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60DA4027-F9F2-442A-89F4-2C5D03DD845A}" xr6:coauthVersionLast="47" xr6:coauthVersionMax="47" xr10:uidLastSave="{00000000-0000-0000-0000-000000000000}"/>
  <bookViews>
    <workbookView xWindow="-110" yWindow="-110" windowWidth="19420" windowHeight="10300" tabRatio="981" xr2:uid="{EEDD5CE0-211A-45D9-9FEA-C9C3746CDBFB}"/>
  </bookViews>
  <sheets>
    <sheet name="目次" sheetId="33" r:id="rId1"/>
    <sheet name="まとめ" sheetId="13" r:id="rId2"/>
    <sheet name="表1SGDP39" sheetId="25" r:id="rId3"/>
    <sheet name="表2SGDP39_2" sheetId="26" r:id="rId4"/>
    <sheet name="表3経済効果" sheetId="24" r:id="rId5"/>
    <sheet name="4推計WS106" sheetId="17" r:id="rId6"/>
    <sheet name="付加価値率" sheetId="38" r:id="rId7"/>
    <sheet name="QE付加価値率" sheetId="41" r:id="rId8"/>
    <sheet name="5従業者数2021" sheetId="9" r:id="rId9"/>
    <sheet name="6統計定義" sheetId="34" r:id="rId10"/>
    <sheet name="従業者数" sheetId="10" r:id="rId11"/>
    <sheet name="QE総生産" sheetId="32" r:id="rId12"/>
    <sheet name="QE産出" sheetId="23" r:id="rId13"/>
    <sheet name="国QE1" sheetId="40" r:id="rId14"/>
    <sheet name="国QE2" sheetId="39" r:id="rId15"/>
    <sheet name="2022県産出" sheetId="20" r:id="rId16"/>
    <sheet name="CT作業分類比較" sheetId="3" r:id="rId17"/>
    <sheet name="CT2020" sheetId="35" r:id="rId18"/>
    <sheet name="CT2015" sheetId="14" r:id="rId19"/>
    <sheet name="雇用表2020" sheetId="37" r:id="rId20"/>
    <sheet name="投入係数" sheetId="18" r:id="rId21"/>
    <sheet name="商業運輸マージン" sheetId="15" r:id="rId22"/>
    <sheet name="雇用表" sheetId="5" r:id="rId23"/>
    <sheet name="h28経済センサス" sheetId="8" r:id="rId24"/>
    <sheet name="r3_2経済センサス" sheetId="12" r:id="rId25"/>
    <sheet name="経済構造実態1" sheetId="11" r:id="rId26"/>
    <sheet name="経済構造実態2" sheetId="19" r:id="rId27"/>
  </sheets>
  <externalReferences>
    <externalReference r:id="rId2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13" l="1"/>
  <c r="D3" i="24"/>
  <c r="E3" i="24"/>
  <c r="F3" i="24"/>
  <c r="G3" i="24"/>
  <c r="D4" i="24"/>
  <c r="E4" i="24"/>
  <c r="F4" i="24"/>
  <c r="G4" i="24"/>
  <c r="D5" i="24"/>
  <c r="E5" i="24"/>
  <c r="F5" i="24"/>
  <c r="G5" i="24"/>
  <c r="D6" i="24"/>
  <c r="E6" i="24"/>
  <c r="F6" i="24"/>
  <c r="G6" i="24"/>
  <c r="D7" i="24"/>
  <c r="E7" i="24"/>
  <c r="F7" i="24"/>
  <c r="G7" i="24"/>
  <c r="D8" i="24"/>
  <c r="E8" i="24"/>
  <c r="F8" i="24"/>
  <c r="G8" i="24"/>
  <c r="D9" i="24"/>
  <c r="E9" i="24"/>
  <c r="F9" i="24"/>
  <c r="G9" i="24"/>
  <c r="D10" i="24"/>
  <c r="E10" i="24"/>
  <c r="F10" i="24"/>
  <c r="G10" i="24"/>
  <c r="D11" i="24"/>
  <c r="E11" i="24"/>
  <c r="F11" i="24"/>
  <c r="G11" i="24"/>
  <c r="D12" i="24"/>
  <c r="E12" i="24"/>
  <c r="F12" i="24"/>
  <c r="G12" i="24"/>
  <c r="D13" i="24"/>
  <c r="E13" i="24"/>
  <c r="F13" i="24"/>
  <c r="G13" i="24"/>
  <c r="D14" i="24"/>
  <c r="E14" i="24"/>
  <c r="F14" i="24"/>
  <c r="G14" i="24"/>
  <c r="D15" i="24"/>
  <c r="E15" i="24"/>
  <c r="F15" i="24"/>
  <c r="G15" i="24"/>
  <c r="D16" i="24"/>
  <c r="E16" i="24"/>
  <c r="F16" i="24"/>
  <c r="G16" i="24"/>
  <c r="D17" i="24"/>
  <c r="E17" i="24"/>
  <c r="F17" i="24"/>
  <c r="G17" i="24"/>
  <c r="D18" i="24"/>
  <c r="E18" i="24"/>
  <c r="F18" i="24"/>
  <c r="G18" i="24"/>
  <c r="D19" i="24"/>
  <c r="E19" i="24"/>
  <c r="F19" i="24"/>
  <c r="G19" i="24"/>
  <c r="D20" i="24"/>
  <c r="E20" i="24"/>
  <c r="F20" i="24"/>
  <c r="G20" i="24"/>
  <c r="D21" i="24"/>
  <c r="E21" i="24"/>
  <c r="F21" i="24"/>
  <c r="G21" i="24"/>
  <c r="D22" i="24"/>
  <c r="E22" i="24"/>
  <c r="F22" i="24"/>
  <c r="G22" i="24"/>
  <c r="D23" i="24"/>
  <c r="E23" i="24"/>
  <c r="F23" i="24"/>
  <c r="G23" i="24"/>
  <c r="D24" i="24"/>
  <c r="E24" i="24"/>
  <c r="F24" i="24"/>
  <c r="G24" i="24"/>
  <c r="D25" i="24"/>
  <c r="E25" i="24"/>
  <c r="F25" i="24"/>
  <c r="G25" i="24"/>
  <c r="D26" i="24"/>
  <c r="E26" i="24"/>
  <c r="F26" i="24"/>
  <c r="G26" i="24"/>
  <c r="D27" i="24"/>
  <c r="E27" i="24"/>
  <c r="F27" i="24"/>
  <c r="G27" i="24"/>
  <c r="D28" i="24"/>
  <c r="E28" i="24"/>
  <c r="F28" i="24"/>
  <c r="G28" i="24"/>
  <c r="D29" i="24"/>
  <c r="E29" i="24"/>
  <c r="F29" i="24"/>
  <c r="G29" i="24"/>
  <c r="D30" i="24"/>
  <c r="E30" i="24"/>
  <c r="F30" i="24"/>
  <c r="G30" i="24"/>
  <c r="D31" i="24"/>
  <c r="E31" i="24"/>
  <c r="F31" i="24"/>
  <c r="G31" i="24"/>
  <c r="D32" i="24"/>
  <c r="E32" i="24"/>
  <c r="F32" i="24"/>
  <c r="G32" i="24"/>
  <c r="D33" i="24"/>
  <c r="E33" i="24"/>
  <c r="F33" i="24"/>
  <c r="G33" i="24"/>
  <c r="D34" i="24"/>
  <c r="E34" i="24"/>
  <c r="F34" i="24"/>
  <c r="G34" i="24"/>
  <c r="D35" i="24"/>
  <c r="E35" i="24"/>
  <c r="F35" i="24"/>
  <c r="G35" i="24"/>
  <c r="D36" i="24"/>
  <c r="E36" i="24"/>
  <c r="F36" i="24"/>
  <c r="G36" i="24"/>
  <c r="D37" i="24"/>
  <c r="E37" i="24"/>
  <c r="F37" i="24"/>
  <c r="G37" i="24"/>
  <c r="D38" i="24"/>
  <c r="E38" i="24"/>
  <c r="F38" i="24"/>
  <c r="G38" i="24"/>
  <c r="D39" i="24"/>
  <c r="E39" i="24"/>
  <c r="F39" i="24"/>
  <c r="G39" i="24"/>
  <c r="D40" i="24"/>
  <c r="E40" i="24"/>
  <c r="F40" i="24"/>
  <c r="G40" i="24"/>
  <c r="D41" i="24"/>
  <c r="E41" i="24"/>
  <c r="F41" i="24"/>
  <c r="G41" i="24"/>
  <c r="D42" i="24"/>
  <c r="E42" i="24"/>
  <c r="F42" i="24"/>
  <c r="G42" i="24"/>
  <c r="J4" i="25" l="1"/>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AE4" i="17"/>
  <c r="AM4" i="17" s="1"/>
  <c r="AE5" i="17"/>
  <c r="AE6" i="17"/>
  <c r="AE7" i="17"/>
  <c r="AM7" i="17" s="1"/>
  <c r="J5" i="26" s="1"/>
  <c r="AE8" i="17"/>
  <c r="AE9" i="17"/>
  <c r="AE10" i="17"/>
  <c r="AE11" i="17"/>
  <c r="AM11" i="17" s="1"/>
  <c r="AE12" i="17"/>
  <c r="AM12" i="17" s="1"/>
  <c r="AE13" i="17"/>
  <c r="AE14" i="17"/>
  <c r="AE15" i="17"/>
  <c r="AM15" i="17" s="1"/>
  <c r="J9" i="26" s="1"/>
  <c r="AE16" i="17"/>
  <c r="AE17" i="17"/>
  <c r="AE18" i="17"/>
  <c r="AE19" i="17"/>
  <c r="AM19" i="17" s="1"/>
  <c r="AE20" i="17"/>
  <c r="AM20" i="17" s="1"/>
  <c r="AE21" i="17"/>
  <c r="AE22" i="17"/>
  <c r="AE23" i="17"/>
  <c r="AM23" i="17" s="1"/>
  <c r="AE24" i="17"/>
  <c r="AE25" i="17"/>
  <c r="AE26" i="17"/>
  <c r="AE27" i="17"/>
  <c r="AM27" i="17" s="1"/>
  <c r="AE28" i="17"/>
  <c r="AM28" i="17" s="1"/>
  <c r="AE29" i="17"/>
  <c r="AE30" i="17"/>
  <c r="AE31" i="17"/>
  <c r="AM31" i="17" s="1"/>
  <c r="AE32" i="17"/>
  <c r="AE33" i="17"/>
  <c r="AE34" i="17"/>
  <c r="AE35" i="17"/>
  <c r="AM35" i="17" s="1"/>
  <c r="AE36" i="17"/>
  <c r="AM36" i="17" s="1"/>
  <c r="J14" i="26" s="1"/>
  <c r="AE37" i="17"/>
  <c r="AE38" i="17"/>
  <c r="AE39" i="17"/>
  <c r="AM39" i="17" s="1"/>
  <c r="J15" i="26" s="1"/>
  <c r="AE40" i="17"/>
  <c r="AE41" i="17"/>
  <c r="AE42" i="17"/>
  <c r="AE43" i="17"/>
  <c r="AM43" i="17" s="1"/>
  <c r="AE44" i="17"/>
  <c r="AM44" i="17" s="1"/>
  <c r="AE45" i="17"/>
  <c r="AE46" i="17"/>
  <c r="AE47" i="17"/>
  <c r="AM47" i="17" s="1"/>
  <c r="J18" i="26" s="1"/>
  <c r="AE48" i="17"/>
  <c r="AE49" i="17"/>
  <c r="AE50" i="17"/>
  <c r="AE51" i="17"/>
  <c r="AM51" i="17" s="1"/>
  <c r="J21" i="26" s="1"/>
  <c r="AE52" i="17"/>
  <c r="AM52" i="17" s="1"/>
  <c r="J22" i="26" s="1"/>
  <c r="AE53" i="17"/>
  <c r="AE54" i="17"/>
  <c r="AE55" i="17"/>
  <c r="AM55" i="17" s="1"/>
  <c r="AE56" i="17"/>
  <c r="AE57" i="17"/>
  <c r="AE58" i="17"/>
  <c r="AE59" i="17"/>
  <c r="AM59" i="17" s="1"/>
  <c r="AE60" i="17"/>
  <c r="AM60" i="17" s="1"/>
  <c r="AE61" i="17"/>
  <c r="AE62" i="17"/>
  <c r="AE63" i="17"/>
  <c r="AM63" i="17" s="1"/>
  <c r="AE64" i="17"/>
  <c r="AE108" i="17"/>
  <c r="AM108" i="17" s="1"/>
  <c r="J41" i="26" s="1"/>
  <c r="AM5" i="17"/>
  <c r="AM6" i="17"/>
  <c r="AM8" i="17"/>
  <c r="AM9" i="17"/>
  <c r="AM10" i="17"/>
  <c r="AM13" i="17"/>
  <c r="AM14" i="17"/>
  <c r="AM16" i="17"/>
  <c r="AM17" i="17"/>
  <c r="AM18" i="17"/>
  <c r="AM21" i="17"/>
  <c r="AM22" i="17"/>
  <c r="AM24" i="17"/>
  <c r="AM25" i="17"/>
  <c r="AM26" i="17"/>
  <c r="AM29" i="17"/>
  <c r="AM30" i="17"/>
  <c r="J12" i="26" s="1"/>
  <c r="AM32" i="17"/>
  <c r="J13" i="26" s="1"/>
  <c r="AM33" i="17"/>
  <c r="AM34" i="17"/>
  <c r="AM37" i="17"/>
  <c r="AM38" i="17"/>
  <c r="AM40" i="17"/>
  <c r="AM41" i="17"/>
  <c r="AM42" i="17"/>
  <c r="AM45" i="17"/>
  <c r="AM46" i="17"/>
  <c r="AM48" i="17"/>
  <c r="AM49" i="17"/>
  <c r="AM50" i="17"/>
  <c r="AM53" i="17"/>
  <c r="AM54" i="17"/>
  <c r="AM56" i="17"/>
  <c r="J23" i="26" s="1"/>
  <c r="AM57" i="17"/>
  <c r="AM58" i="17"/>
  <c r="AM61" i="17"/>
  <c r="AM62" i="17"/>
  <c r="AM64" i="17"/>
  <c r="AM112" i="17"/>
  <c r="J6" i="26"/>
  <c r="J7" i="26"/>
  <c r="J17" i="26"/>
  <c r="J19" i="26"/>
  <c r="J20" i="26"/>
  <c r="V110" i="17"/>
  <c r="V111" i="17"/>
  <c r="V112" i="17"/>
  <c r="V106" i="17"/>
  <c r="V107" i="17"/>
  <c r="V102" i="17"/>
  <c r="V103" i="17"/>
  <c r="V104" i="17"/>
  <c r="V98" i="17"/>
  <c r="V99" i="17"/>
  <c r="V100" i="17"/>
  <c r="V87" i="17"/>
  <c r="V88" i="17"/>
  <c r="V89" i="17"/>
  <c r="V90" i="17"/>
  <c r="V91" i="17"/>
  <c r="V92" i="17"/>
  <c r="V93" i="17"/>
  <c r="V94" i="17"/>
  <c r="V84" i="17"/>
  <c r="V78" i="17"/>
  <c r="V79" i="17"/>
  <c r="V73" i="17"/>
  <c r="V74" i="17"/>
  <c r="V75" i="17"/>
  <c r="V67" i="17"/>
  <c r="V65" i="17"/>
  <c r="V62" i="17"/>
  <c r="V63" i="17"/>
  <c r="V59" i="17"/>
  <c r="V49" i="17"/>
  <c r="V33" i="17"/>
  <c r="V34" i="17"/>
  <c r="V28" i="17"/>
  <c r="V16" i="17"/>
  <c r="V12" i="17"/>
  <c r="V6" i="17"/>
  <c r="M106" i="17"/>
  <c r="M107" i="17" s="1"/>
  <c r="M103" i="17"/>
  <c r="M99" i="17"/>
  <c r="M102" i="17" s="1"/>
  <c r="M94" i="17"/>
  <c r="M98" i="17" s="1"/>
  <c r="M92" i="17"/>
  <c r="M93" i="17" s="1"/>
  <c r="M91" i="17"/>
  <c r="M87" i="17"/>
  <c r="M88" i="17" s="1"/>
  <c r="M78" i="17"/>
  <c r="M84" i="17" s="1"/>
  <c r="M75" i="17"/>
  <c r="M74" i="17"/>
  <c r="M73" i="17"/>
  <c r="M65" i="17"/>
  <c r="M63" i="17"/>
  <c r="M62" i="17"/>
  <c r="M59" i="17"/>
  <c r="M49" i="17"/>
  <c r="M33" i="17"/>
  <c r="M34" i="17" s="1"/>
  <c r="M28" i="17"/>
  <c r="M16" i="17"/>
  <c r="M12" i="17"/>
  <c r="M6" i="17"/>
  <c r="M104" i="17"/>
  <c r="M79" i="17"/>
  <c r="M67" i="17"/>
  <c r="AI11" i="41"/>
  <c r="AI12" i="41"/>
  <c r="AI13" i="41"/>
  <c r="AI14" i="41"/>
  <c r="AI15" i="41"/>
  <c r="AI16" i="41"/>
  <c r="AI17" i="41"/>
  <c r="AI18" i="41"/>
  <c r="AI19" i="41"/>
  <c r="AI20" i="41"/>
  <c r="AI21" i="41"/>
  <c r="Y3" i="41"/>
  <c r="Z3" i="41"/>
  <c r="AA3" i="41"/>
  <c r="AB3" i="41"/>
  <c r="AC3" i="41"/>
  <c r="AD3" i="41"/>
  <c r="AE3" i="41"/>
  <c r="AF3" i="41"/>
  <c r="AG3" i="41"/>
  <c r="AH3" i="41"/>
  <c r="Y4" i="41"/>
  <c r="Z4" i="41"/>
  <c r="AA4" i="41"/>
  <c r="AB4" i="41"/>
  <c r="AC4" i="41"/>
  <c r="AD4" i="41"/>
  <c r="AE4" i="41"/>
  <c r="AF4" i="41"/>
  <c r="AG4" i="41"/>
  <c r="AH4" i="41"/>
  <c r="Y5" i="41"/>
  <c r="Z5" i="41"/>
  <c r="AA5" i="41"/>
  <c r="AB5" i="41"/>
  <c r="AC5" i="41"/>
  <c r="AD5" i="41"/>
  <c r="AE5" i="41"/>
  <c r="AF5" i="41"/>
  <c r="AG5" i="41"/>
  <c r="AH5" i="41"/>
  <c r="Y6" i="41"/>
  <c r="Z6" i="41"/>
  <c r="AA6" i="41"/>
  <c r="AB6" i="41"/>
  <c r="AC6" i="41"/>
  <c r="AD6" i="41"/>
  <c r="AE6" i="41"/>
  <c r="AF6" i="41"/>
  <c r="AG6" i="41"/>
  <c r="AH6" i="41"/>
  <c r="Y7" i="41"/>
  <c r="Z7" i="41"/>
  <c r="AA7" i="41"/>
  <c r="AB7" i="41"/>
  <c r="AC7" i="41"/>
  <c r="AD7" i="41"/>
  <c r="AE7" i="41"/>
  <c r="AF7" i="41"/>
  <c r="AG7" i="41"/>
  <c r="AH7" i="41"/>
  <c r="Y8" i="41"/>
  <c r="Z8" i="41"/>
  <c r="AA8" i="41"/>
  <c r="AB8" i="41"/>
  <c r="AC8" i="41"/>
  <c r="AD8" i="41"/>
  <c r="AE8" i="41"/>
  <c r="AF8" i="41"/>
  <c r="AG8" i="41"/>
  <c r="AH8" i="41"/>
  <c r="Y9" i="41"/>
  <c r="Z9" i="41"/>
  <c r="AA9" i="41"/>
  <c r="AB9" i="41"/>
  <c r="AC9" i="41"/>
  <c r="AD9" i="41"/>
  <c r="AE9" i="41"/>
  <c r="AF9" i="41"/>
  <c r="AG9" i="41"/>
  <c r="AH9" i="41"/>
  <c r="Y10" i="41"/>
  <c r="Z10" i="41"/>
  <c r="AA10" i="41"/>
  <c r="AB10" i="41"/>
  <c r="AC10" i="41"/>
  <c r="AD10" i="41"/>
  <c r="AE10" i="41"/>
  <c r="AF10" i="41"/>
  <c r="AG10" i="41"/>
  <c r="AH10" i="41"/>
  <c r="Y11" i="41"/>
  <c r="Z11" i="41"/>
  <c r="AA11" i="41"/>
  <c r="AB11" i="41"/>
  <c r="AC11" i="41"/>
  <c r="AD11" i="41"/>
  <c r="AE11" i="41"/>
  <c r="AF11" i="41"/>
  <c r="AG11" i="41"/>
  <c r="AH11" i="41"/>
  <c r="Y12" i="41"/>
  <c r="Z12" i="41"/>
  <c r="AA12" i="41"/>
  <c r="AB12" i="41"/>
  <c r="AC12" i="41"/>
  <c r="AD12" i="41"/>
  <c r="AE12" i="41"/>
  <c r="AF12" i="41"/>
  <c r="AG12" i="41"/>
  <c r="AH12" i="41"/>
  <c r="Y13" i="41"/>
  <c r="Z13" i="41"/>
  <c r="AA13" i="41"/>
  <c r="AB13" i="41"/>
  <c r="AC13" i="41"/>
  <c r="AD13" i="41"/>
  <c r="AE13" i="41"/>
  <c r="AF13" i="41"/>
  <c r="AG13" i="41"/>
  <c r="AH13" i="41"/>
  <c r="Y14" i="41"/>
  <c r="Z14" i="41"/>
  <c r="AA14" i="41"/>
  <c r="AB14" i="41"/>
  <c r="AC14" i="41"/>
  <c r="AD14" i="41"/>
  <c r="AE14" i="41"/>
  <c r="AF14" i="41"/>
  <c r="AG14" i="41"/>
  <c r="AH14" i="41"/>
  <c r="Y15" i="41"/>
  <c r="Z15" i="41"/>
  <c r="AA15" i="41"/>
  <c r="AB15" i="41"/>
  <c r="AC15" i="41"/>
  <c r="AD15" i="41"/>
  <c r="AE15" i="41"/>
  <c r="AF15" i="41"/>
  <c r="AG15" i="41"/>
  <c r="AH15" i="41"/>
  <c r="Y16" i="41"/>
  <c r="Z16" i="41"/>
  <c r="AA16" i="41"/>
  <c r="AB16" i="41"/>
  <c r="AC16" i="41"/>
  <c r="AD16" i="41"/>
  <c r="AE16" i="41"/>
  <c r="AF16" i="41"/>
  <c r="AG16" i="41"/>
  <c r="AH16" i="41"/>
  <c r="Y17" i="41"/>
  <c r="Z17" i="41"/>
  <c r="AA17" i="41"/>
  <c r="AB17" i="41"/>
  <c r="AC17" i="41"/>
  <c r="AD17" i="41"/>
  <c r="AE17" i="41"/>
  <c r="AF17" i="41"/>
  <c r="AG17" i="41"/>
  <c r="AH17" i="41"/>
  <c r="Y18" i="41"/>
  <c r="Z18" i="41"/>
  <c r="AA18" i="41"/>
  <c r="AB18" i="41"/>
  <c r="AC18" i="41"/>
  <c r="AD18" i="41"/>
  <c r="AE18" i="41"/>
  <c r="AF18" i="41"/>
  <c r="AG18" i="41"/>
  <c r="AH18" i="41"/>
  <c r="Y19" i="41"/>
  <c r="Z19" i="41"/>
  <c r="AA19" i="41"/>
  <c r="AB19" i="41"/>
  <c r="AC19" i="41"/>
  <c r="AD19" i="41"/>
  <c r="AE19" i="41"/>
  <c r="AF19" i="41"/>
  <c r="AG19" i="41"/>
  <c r="AH19" i="41"/>
  <c r="Y20" i="41"/>
  <c r="Z20" i="41"/>
  <c r="AA20" i="41"/>
  <c r="AB20" i="41"/>
  <c r="AC20" i="41"/>
  <c r="AD20" i="41"/>
  <c r="AE20" i="41"/>
  <c r="AF20" i="41"/>
  <c r="AG20" i="41"/>
  <c r="AH20" i="41"/>
  <c r="Y21" i="41"/>
  <c r="Z21" i="41"/>
  <c r="AA21" i="41"/>
  <c r="AB21" i="41"/>
  <c r="AC21" i="41"/>
  <c r="AD21" i="41"/>
  <c r="AE21" i="41"/>
  <c r="AF21" i="41"/>
  <c r="AG21" i="41"/>
  <c r="AH21" i="41"/>
  <c r="X4" i="41"/>
  <c r="X5" i="41"/>
  <c r="X6" i="41"/>
  <c r="X7" i="41"/>
  <c r="X8" i="41"/>
  <c r="X9" i="41"/>
  <c r="X10" i="41"/>
  <c r="X11" i="41"/>
  <c r="X12" i="41"/>
  <c r="X13" i="41"/>
  <c r="X14" i="41"/>
  <c r="X15" i="41"/>
  <c r="X16" i="41"/>
  <c r="X17" i="41"/>
  <c r="X18" i="41"/>
  <c r="X19" i="41"/>
  <c r="X20" i="41"/>
  <c r="X21" i="41"/>
  <c r="X3" i="41"/>
  <c r="H3" i="41"/>
  <c r="I3" i="41"/>
  <c r="J3" i="41"/>
  <c r="K3" i="41"/>
  <c r="L3" i="41"/>
  <c r="M3" i="41"/>
  <c r="N3" i="41"/>
  <c r="O3" i="41"/>
  <c r="P3" i="41"/>
  <c r="Q3" i="41"/>
  <c r="R3" i="41"/>
  <c r="S3" i="41"/>
  <c r="T3" i="41"/>
  <c r="U3" i="41"/>
  <c r="V3" i="41"/>
  <c r="H4" i="41"/>
  <c r="I4" i="41"/>
  <c r="J4" i="41"/>
  <c r="K4" i="41"/>
  <c r="L4" i="41"/>
  <c r="M4" i="41"/>
  <c r="N4" i="41"/>
  <c r="O4" i="41"/>
  <c r="P4" i="41"/>
  <c r="Q4" i="41"/>
  <c r="R4" i="41"/>
  <c r="S4" i="41"/>
  <c r="T4" i="41"/>
  <c r="U4" i="41"/>
  <c r="V4" i="41"/>
  <c r="H5" i="41"/>
  <c r="I5" i="41"/>
  <c r="J5" i="41"/>
  <c r="K5" i="41"/>
  <c r="L5" i="41"/>
  <c r="M5" i="41"/>
  <c r="N5" i="41"/>
  <c r="O5" i="41"/>
  <c r="P5" i="41"/>
  <c r="Q5" i="41"/>
  <c r="R5" i="41"/>
  <c r="S5" i="41"/>
  <c r="T5" i="41"/>
  <c r="U5" i="41"/>
  <c r="V5" i="41"/>
  <c r="H6" i="41"/>
  <c r="I6" i="41"/>
  <c r="J6" i="41"/>
  <c r="K6" i="41"/>
  <c r="L6" i="41"/>
  <c r="M6" i="41"/>
  <c r="N6" i="41"/>
  <c r="O6" i="41"/>
  <c r="P6" i="41"/>
  <c r="Q6" i="41"/>
  <c r="R6" i="41"/>
  <c r="S6" i="41"/>
  <c r="T6" i="41"/>
  <c r="U6" i="41"/>
  <c r="V6" i="41"/>
  <c r="H7" i="41"/>
  <c r="I7" i="41"/>
  <c r="J7" i="41"/>
  <c r="K7" i="41"/>
  <c r="L7" i="41"/>
  <c r="M7" i="41"/>
  <c r="N7" i="41"/>
  <c r="O7" i="41"/>
  <c r="P7" i="41"/>
  <c r="Q7" i="41"/>
  <c r="R7" i="41"/>
  <c r="S7" i="41"/>
  <c r="T7" i="41"/>
  <c r="U7" i="41"/>
  <c r="V7" i="41"/>
  <c r="H8" i="41"/>
  <c r="I8" i="41"/>
  <c r="J8" i="41"/>
  <c r="K8" i="41"/>
  <c r="L8" i="41"/>
  <c r="M8" i="41"/>
  <c r="N8" i="41"/>
  <c r="O8" i="41"/>
  <c r="P8" i="41"/>
  <c r="Q8" i="41"/>
  <c r="R8" i="41"/>
  <c r="S8" i="41"/>
  <c r="T8" i="41"/>
  <c r="U8" i="41"/>
  <c r="V8" i="41"/>
  <c r="H9" i="41"/>
  <c r="I9" i="41"/>
  <c r="J9" i="41"/>
  <c r="K9" i="41"/>
  <c r="L9" i="41"/>
  <c r="M9" i="41"/>
  <c r="N9" i="41"/>
  <c r="O9" i="41"/>
  <c r="P9" i="41"/>
  <c r="Q9" i="41"/>
  <c r="R9" i="41"/>
  <c r="S9" i="41"/>
  <c r="T9" i="41"/>
  <c r="U9" i="41"/>
  <c r="V9" i="41"/>
  <c r="H10" i="41"/>
  <c r="I10" i="41"/>
  <c r="J10" i="41"/>
  <c r="K10" i="41"/>
  <c r="L10" i="41"/>
  <c r="M10" i="41"/>
  <c r="N10" i="41"/>
  <c r="O10" i="41"/>
  <c r="P10" i="41"/>
  <c r="Q10" i="41"/>
  <c r="R10" i="41"/>
  <c r="S10" i="41"/>
  <c r="T10" i="41"/>
  <c r="U10" i="41"/>
  <c r="V10" i="41"/>
  <c r="H11" i="41"/>
  <c r="I11" i="41"/>
  <c r="J11" i="41"/>
  <c r="K11" i="41"/>
  <c r="L11" i="41"/>
  <c r="M11" i="41"/>
  <c r="N11" i="41"/>
  <c r="O11" i="41"/>
  <c r="P11" i="41"/>
  <c r="Q11" i="41"/>
  <c r="R11" i="41"/>
  <c r="S11" i="41"/>
  <c r="T11" i="41"/>
  <c r="U11" i="41"/>
  <c r="V11" i="41"/>
  <c r="H12" i="41"/>
  <c r="I12" i="41"/>
  <c r="J12" i="41"/>
  <c r="K12" i="41"/>
  <c r="L12" i="41"/>
  <c r="M12" i="41"/>
  <c r="N12" i="41"/>
  <c r="O12" i="41"/>
  <c r="P12" i="41"/>
  <c r="Q12" i="41"/>
  <c r="R12" i="41"/>
  <c r="S12" i="41"/>
  <c r="T12" i="41"/>
  <c r="U12" i="41"/>
  <c r="V12" i="41"/>
  <c r="H13" i="41"/>
  <c r="I13" i="41"/>
  <c r="J13" i="41"/>
  <c r="K13" i="41"/>
  <c r="L13" i="41"/>
  <c r="M13" i="41"/>
  <c r="N13" i="41"/>
  <c r="O13" i="41"/>
  <c r="P13" i="41"/>
  <c r="Q13" i="41"/>
  <c r="R13" i="41"/>
  <c r="S13" i="41"/>
  <c r="T13" i="41"/>
  <c r="U13" i="41"/>
  <c r="V13" i="41"/>
  <c r="H14" i="41"/>
  <c r="I14" i="41"/>
  <c r="J14" i="41"/>
  <c r="K14" i="41"/>
  <c r="L14" i="41"/>
  <c r="M14" i="41"/>
  <c r="N14" i="41"/>
  <c r="O14" i="41"/>
  <c r="P14" i="41"/>
  <c r="Q14" i="41"/>
  <c r="R14" i="41"/>
  <c r="S14" i="41"/>
  <c r="T14" i="41"/>
  <c r="U14" i="41"/>
  <c r="V14" i="41"/>
  <c r="H15" i="41"/>
  <c r="I15" i="41"/>
  <c r="J15" i="41"/>
  <c r="K15" i="41"/>
  <c r="L15" i="41"/>
  <c r="M15" i="41"/>
  <c r="N15" i="41"/>
  <c r="O15" i="41"/>
  <c r="P15" i="41"/>
  <c r="Q15" i="41"/>
  <c r="R15" i="41"/>
  <c r="S15" i="41"/>
  <c r="T15" i="41"/>
  <c r="U15" i="41"/>
  <c r="V15" i="41"/>
  <c r="H16" i="41"/>
  <c r="I16" i="41"/>
  <c r="J16" i="41"/>
  <c r="K16" i="41"/>
  <c r="L16" i="41"/>
  <c r="M16" i="41"/>
  <c r="N16" i="41"/>
  <c r="O16" i="41"/>
  <c r="P16" i="41"/>
  <c r="Q16" i="41"/>
  <c r="R16" i="41"/>
  <c r="S16" i="41"/>
  <c r="T16" i="41"/>
  <c r="U16" i="41"/>
  <c r="V16" i="41"/>
  <c r="H17" i="41"/>
  <c r="I17" i="41"/>
  <c r="J17" i="41"/>
  <c r="K17" i="41"/>
  <c r="L17" i="41"/>
  <c r="M17" i="41"/>
  <c r="N17" i="41"/>
  <c r="O17" i="41"/>
  <c r="P17" i="41"/>
  <c r="Q17" i="41"/>
  <c r="R17" i="41"/>
  <c r="S17" i="41"/>
  <c r="T17" i="41"/>
  <c r="U17" i="41"/>
  <c r="V17" i="41"/>
  <c r="H18" i="41"/>
  <c r="I18" i="41"/>
  <c r="J18" i="41"/>
  <c r="K18" i="41"/>
  <c r="L18" i="41"/>
  <c r="M18" i="41"/>
  <c r="N18" i="41"/>
  <c r="O18" i="41"/>
  <c r="P18" i="41"/>
  <c r="Q18" i="41"/>
  <c r="R18" i="41"/>
  <c r="S18" i="41"/>
  <c r="T18" i="41"/>
  <c r="U18" i="41"/>
  <c r="V18" i="41"/>
  <c r="H19" i="41"/>
  <c r="I19" i="41"/>
  <c r="J19" i="41"/>
  <c r="K19" i="41"/>
  <c r="L19" i="41"/>
  <c r="M19" i="41"/>
  <c r="N19" i="41"/>
  <c r="O19" i="41"/>
  <c r="P19" i="41"/>
  <c r="Q19" i="41"/>
  <c r="R19" i="41"/>
  <c r="S19" i="41"/>
  <c r="T19" i="41"/>
  <c r="U19" i="41"/>
  <c r="V19" i="41"/>
  <c r="H20" i="41"/>
  <c r="I20" i="41"/>
  <c r="J20" i="41"/>
  <c r="K20" i="41"/>
  <c r="L20" i="41"/>
  <c r="M20" i="41"/>
  <c r="N20" i="41"/>
  <c r="O20" i="41"/>
  <c r="P20" i="41"/>
  <c r="Q20" i="41"/>
  <c r="R20" i="41"/>
  <c r="S20" i="41"/>
  <c r="T20" i="41"/>
  <c r="U20" i="41"/>
  <c r="V20" i="41"/>
  <c r="H21" i="41"/>
  <c r="I21" i="41"/>
  <c r="J21" i="41"/>
  <c r="K21" i="41"/>
  <c r="L21" i="41"/>
  <c r="M21" i="41"/>
  <c r="N21" i="41"/>
  <c r="O21" i="41"/>
  <c r="P21" i="41"/>
  <c r="Q21" i="41"/>
  <c r="R21" i="41"/>
  <c r="S21" i="41"/>
  <c r="T21" i="41"/>
  <c r="U21" i="41"/>
  <c r="V21" i="41"/>
  <c r="G4" i="41"/>
  <c r="G5" i="41"/>
  <c r="G6" i="41"/>
  <c r="G7" i="41"/>
  <c r="G8" i="41"/>
  <c r="G9" i="41"/>
  <c r="G10" i="41"/>
  <c r="G11" i="41"/>
  <c r="G12" i="41"/>
  <c r="G13" i="41"/>
  <c r="G14" i="41"/>
  <c r="G15" i="41"/>
  <c r="G16" i="41"/>
  <c r="G17" i="41"/>
  <c r="G18" i="41"/>
  <c r="G19" i="41"/>
  <c r="G20" i="41"/>
  <c r="G21" i="41"/>
  <c r="G3" i="41"/>
  <c r="C3" i="23"/>
  <c r="C4" i="23"/>
  <c r="C5" i="23"/>
  <c r="C6" i="23"/>
  <c r="C7" i="23"/>
  <c r="C8" i="23"/>
  <c r="C9" i="23"/>
  <c r="C10" i="23"/>
  <c r="C11" i="23"/>
  <c r="C12" i="23"/>
  <c r="C13" i="23"/>
  <c r="C14" i="23"/>
  <c r="C15" i="23"/>
  <c r="C16" i="23"/>
  <c r="C17" i="23"/>
  <c r="C18" i="23"/>
  <c r="C19" i="23"/>
  <c r="C20" i="23"/>
  <c r="C21" i="23"/>
  <c r="C22" i="23"/>
  <c r="C2" i="23"/>
  <c r="AN112" i="32"/>
  <c r="AN113" i="32"/>
  <c r="AN114" i="32"/>
  <c r="AN115" i="32"/>
  <c r="AN116" i="32"/>
  <c r="AN117" i="32"/>
  <c r="AN118" i="32"/>
  <c r="AN119" i="32"/>
  <c r="AN120" i="32"/>
  <c r="AN121" i="32"/>
  <c r="AN122" i="32"/>
  <c r="AN123" i="32"/>
  <c r="AN124" i="32"/>
  <c r="AN125" i="32"/>
  <c r="AN126" i="32"/>
  <c r="AN127" i="32"/>
  <c r="AN111" i="32"/>
  <c r="E106" i="23"/>
  <c r="F106" i="23"/>
  <c r="G106" i="23"/>
  <c r="H106" i="23"/>
  <c r="I106" i="23"/>
  <c r="J106" i="23"/>
  <c r="K106" i="23"/>
  <c r="L106" i="23"/>
  <c r="M106" i="23"/>
  <c r="N106" i="23"/>
  <c r="O106" i="23"/>
  <c r="P106" i="23"/>
  <c r="Q106" i="23"/>
  <c r="R106" i="23"/>
  <c r="S106" i="23"/>
  <c r="T106" i="23"/>
  <c r="U106" i="23"/>
  <c r="V106" i="23"/>
  <c r="W106" i="23"/>
  <c r="X106" i="23"/>
  <c r="Y106" i="23"/>
  <c r="Z106" i="23"/>
  <c r="AA106" i="23"/>
  <c r="AB106" i="23"/>
  <c r="AC106" i="23"/>
  <c r="AD106" i="23"/>
  <c r="AE106" i="23"/>
  <c r="AF106" i="23"/>
  <c r="AG106" i="23"/>
  <c r="AH106" i="23"/>
  <c r="AI106" i="23"/>
  <c r="AJ106" i="23"/>
  <c r="AK106" i="23"/>
  <c r="AL106" i="23"/>
  <c r="AM106" i="23"/>
  <c r="D106" i="23"/>
  <c r="J24" i="26" l="1"/>
  <c r="J16" i="26"/>
  <c r="J11" i="26"/>
  <c r="J10" i="26"/>
  <c r="J8" i="26"/>
  <c r="J25" i="26"/>
  <c r="J4" i="26"/>
  <c r="M100" i="17"/>
  <c r="M90" i="17"/>
  <c r="M89" i="17"/>
  <c r="AN106" i="23"/>
  <c r="E22" i="23"/>
  <c r="F22"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D22" i="23"/>
  <c r="E140" i="32"/>
  <c r="E128" i="32" s="1"/>
  <c r="F140" i="32"/>
  <c r="F128" i="32" s="1"/>
  <c r="G140" i="32"/>
  <c r="G128" i="32" s="1"/>
  <c r="H140" i="32"/>
  <c r="H128" i="32" s="1"/>
  <c r="I140" i="32"/>
  <c r="I128" i="32" s="1"/>
  <c r="J140" i="32"/>
  <c r="J128" i="32" s="1"/>
  <c r="K140" i="32"/>
  <c r="K128" i="32" s="1"/>
  <c r="L140" i="32"/>
  <c r="L128" i="32" s="1"/>
  <c r="M140" i="32"/>
  <c r="M128" i="32" s="1"/>
  <c r="N140" i="32"/>
  <c r="N128" i="32" s="1"/>
  <c r="O140" i="32"/>
  <c r="O128" i="32" s="1"/>
  <c r="P140" i="32"/>
  <c r="P128" i="32" s="1"/>
  <c r="Q140" i="32"/>
  <c r="Q128" i="32" s="1"/>
  <c r="R140" i="32"/>
  <c r="R128" i="32" s="1"/>
  <c r="S140" i="32"/>
  <c r="S128" i="32" s="1"/>
  <c r="T140" i="32"/>
  <c r="T128" i="32" s="1"/>
  <c r="U140" i="32"/>
  <c r="U128" i="32" s="1"/>
  <c r="V140" i="32"/>
  <c r="V128" i="32" s="1"/>
  <c r="W140" i="32"/>
  <c r="W128" i="32" s="1"/>
  <c r="X140" i="32"/>
  <c r="X128" i="32" s="1"/>
  <c r="Y140" i="32"/>
  <c r="Y128" i="32" s="1"/>
  <c r="Z140" i="32"/>
  <c r="Z128" i="32" s="1"/>
  <c r="AA140" i="32"/>
  <c r="AA128" i="32" s="1"/>
  <c r="AB140" i="32"/>
  <c r="AB128" i="32" s="1"/>
  <c r="AC140" i="32"/>
  <c r="AC128" i="32" s="1"/>
  <c r="AD140" i="32"/>
  <c r="AD128" i="32" s="1"/>
  <c r="AE140" i="32"/>
  <c r="AE128" i="32" s="1"/>
  <c r="AF140" i="32"/>
  <c r="AF128" i="32" s="1"/>
  <c r="AG140" i="32"/>
  <c r="AG128" i="32" s="1"/>
  <c r="AH140" i="32"/>
  <c r="AH128" i="32" s="1"/>
  <c r="AI140" i="32"/>
  <c r="AI128" i="32" s="1"/>
  <c r="AJ140" i="32"/>
  <c r="AJ128" i="32" s="1"/>
  <c r="AK140" i="32"/>
  <c r="AK128" i="32" s="1"/>
  <c r="AL140" i="32"/>
  <c r="AL128" i="32" s="1"/>
  <c r="D140" i="32"/>
  <c r="D128" i="32" s="1"/>
  <c r="AN22" i="23" l="1"/>
  <c r="C128" i="32"/>
  <c r="AN128" i="32" s="1"/>
  <c r="C140" i="32"/>
  <c r="T40" i="38"/>
  <c r="U40" i="38" s="1"/>
  <c r="V40" i="38" s="1"/>
  <c r="S41" i="38"/>
  <c r="T41" i="38" s="1"/>
  <c r="U41" i="38" s="1"/>
  <c r="V41" i="38" s="1"/>
  <c r="S40" i="38"/>
  <c r="S37" i="38"/>
  <c r="T37" i="38" s="1"/>
  <c r="U37" i="38" s="1"/>
  <c r="V37" i="38" s="1"/>
  <c r="S36" i="38"/>
  <c r="T36" i="38" s="1"/>
  <c r="U36" i="38" s="1"/>
  <c r="V36" i="38" s="1"/>
  <c r="T27" i="38"/>
  <c r="U27" i="38" s="1"/>
  <c r="V27" i="38" s="1"/>
  <c r="T28" i="38"/>
  <c r="U28" i="38" s="1"/>
  <c r="V28" i="38" s="1"/>
  <c r="S28" i="38"/>
  <c r="S27" i="38"/>
  <c r="T32" i="38"/>
  <c r="U32" i="38" s="1"/>
  <c r="V32" i="38" s="1"/>
  <c r="S32" i="38"/>
  <c r="S31" i="38"/>
  <c r="T31" i="38" s="1"/>
  <c r="U31" i="38" s="1"/>
  <c r="V31" i="38" s="1"/>
  <c r="S1597" i="35"/>
  <c r="U27" i="23"/>
  <c r="AO35" i="23"/>
  <c r="AO36" i="23"/>
  <c r="AO47" i="23"/>
  <c r="AO48" i="23"/>
  <c r="AO49" i="23"/>
  <c r="AO50" i="23"/>
  <c r="AO51" i="23"/>
  <c r="AO52" i="23"/>
  <c r="AO63" i="23"/>
  <c r="AO67" i="23"/>
  <c r="AO68" i="23"/>
  <c r="AO79" i="23"/>
  <c r="AO80" i="23"/>
  <c r="AO81" i="23"/>
  <c r="AO82" i="23"/>
  <c r="AO83" i="23"/>
  <c r="AO84" i="23"/>
  <c r="AO95" i="23"/>
  <c r="AO99" i="23"/>
  <c r="AO100" i="23"/>
  <c r="AO37" i="23"/>
  <c r="AO40" i="23"/>
  <c r="AO44" i="23"/>
  <c r="AO45" i="23"/>
  <c r="AO46" i="23"/>
  <c r="AO53" i="23"/>
  <c r="AO56" i="23"/>
  <c r="AO60" i="23"/>
  <c r="AO61" i="23"/>
  <c r="AO62" i="23"/>
  <c r="AO69" i="23"/>
  <c r="AO72" i="23"/>
  <c r="AO76" i="23"/>
  <c r="AO77" i="23"/>
  <c r="AO78" i="23"/>
  <c r="AO85" i="23"/>
  <c r="AO88" i="23"/>
  <c r="AO92" i="23"/>
  <c r="AO93" i="23"/>
  <c r="AO94" i="23"/>
  <c r="AO101" i="23"/>
  <c r="F21" i="23"/>
  <c r="E21" i="41" s="1"/>
  <c r="G21" i="23"/>
  <c r="F21" i="41" s="1"/>
  <c r="H21" i="23"/>
  <c r="J21" i="23"/>
  <c r="K21" i="23"/>
  <c r="L21" i="23"/>
  <c r="M21" i="23"/>
  <c r="N21" i="23"/>
  <c r="P21" i="23"/>
  <c r="Q21" i="23"/>
  <c r="R21" i="23"/>
  <c r="S21" i="23"/>
  <c r="T21" i="23"/>
  <c r="U21" i="23"/>
  <c r="V21" i="23"/>
  <c r="W21" i="23"/>
  <c r="X21" i="23"/>
  <c r="W21" i="41" s="1"/>
  <c r="Z21" i="23"/>
  <c r="AA21" i="23"/>
  <c r="AC21" i="23"/>
  <c r="AD21" i="23"/>
  <c r="AF21" i="23"/>
  <c r="AG21" i="23"/>
  <c r="AH21" i="23"/>
  <c r="AI21" i="23"/>
  <c r="AJ21" i="23"/>
  <c r="AK21" i="23"/>
  <c r="AM21" i="23"/>
  <c r="E21" i="23"/>
  <c r="D21" i="41" s="1"/>
  <c r="D21" i="23"/>
  <c r="C21" i="41" s="1"/>
  <c r="AM20" i="23"/>
  <c r="AM19" i="23"/>
  <c r="AM18" i="23"/>
  <c r="AM17" i="23"/>
  <c r="AM16" i="23"/>
  <c r="AM15" i="23"/>
  <c r="AM14" i="23"/>
  <c r="AM13" i="23"/>
  <c r="AM12" i="23"/>
  <c r="AM11" i="23"/>
  <c r="AM10" i="23"/>
  <c r="AM9" i="23"/>
  <c r="AM8" i="23"/>
  <c r="AM7" i="23"/>
  <c r="AM6" i="23"/>
  <c r="AM5" i="23"/>
  <c r="AM4" i="23"/>
  <c r="E3" i="23"/>
  <c r="D3" i="41" s="1"/>
  <c r="F3" i="23"/>
  <c r="E3" i="41" s="1"/>
  <c r="G3" i="23"/>
  <c r="F3" i="41" s="1"/>
  <c r="H3" i="23"/>
  <c r="I3" i="23"/>
  <c r="J3" i="23"/>
  <c r="K3" i="23"/>
  <c r="L3" i="23"/>
  <c r="M3" i="23"/>
  <c r="N3" i="23"/>
  <c r="O3" i="23"/>
  <c r="P3" i="23"/>
  <c r="Q3" i="23"/>
  <c r="R3" i="23"/>
  <c r="S3" i="23"/>
  <c r="T3" i="23"/>
  <c r="V3" i="23"/>
  <c r="W3" i="23"/>
  <c r="X3" i="23"/>
  <c r="W3" i="41" s="1"/>
  <c r="Y3" i="23"/>
  <c r="Z3" i="23"/>
  <c r="AA3" i="23"/>
  <c r="AB3" i="23"/>
  <c r="AC3" i="23"/>
  <c r="AD3" i="23"/>
  <c r="AE3" i="23"/>
  <c r="AF3" i="23"/>
  <c r="AG3" i="23"/>
  <c r="AH3" i="23"/>
  <c r="AI3" i="23"/>
  <c r="AJ3" i="23"/>
  <c r="AK3" i="23"/>
  <c r="E4" i="23"/>
  <c r="D4" i="41" s="1"/>
  <c r="F4" i="23"/>
  <c r="E4" i="41" s="1"/>
  <c r="G4" i="23"/>
  <c r="F4" i="41" s="1"/>
  <c r="H4" i="23"/>
  <c r="I4" i="23"/>
  <c r="J4" i="23"/>
  <c r="K4" i="23"/>
  <c r="L4" i="23"/>
  <c r="M4" i="23"/>
  <c r="N4" i="23"/>
  <c r="O4" i="23"/>
  <c r="P4" i="23"/>
  <c r="Q4" i="23"/>
  <c r="R4" i="23"/>
  <c r="S4" i="23"/>
  <c r="T4" i="23"/>
  <c r="U4" i="23"/>
  <c r="V4" i="23"/>
  <c r="W4" i="23"/>
  <c r="X4" i="23"/>
  <c r="W4" i="41" s="1"/>
  <c r="Y4" i="23"/>
  <c r="Z4" i="23"/>
  <c r="AA4" i="23"/>
  <c r="AB4" i="23"/>
  <c r="AC4" i="23"/>
  <c r="AD4" i="23"/>
  <c r="AE4" i="23"/>
  <c r="AF4" i="23"/>
  <c r="AG4" i="23"/>
  <c r="AH4" i="23"/>
  <c r="AI4" i="23"/>
  <c r="AJ4" i="23"/>
  <c r="AK4" i="23"/>
  <c r="E5" i="23"/>
  <c r="D5" i="41" s="1"/>
  <c r="F5" i="23"/>
  <c r="E5" i="41" s="1"/>
  <c r="G5" i="23"/>
  <c r="F5" i="41" s="1"/>
  <c r="H5" i="23"/>
  <c r="I5" i="23"/>
  <c r="J5" i="23"/>
  <c r="K5" i="23"/>
  <c r="L5" i="23"/>
  <c r="M5" i="23"/>
  <c r="N5" i="23"/>
  <c r="O5" i="23"/>
  <c r="P5" i="23"/>
  <c r="Q5" i="23"/>
  <c r="R5" i="23"/>
  <c r="S5" i="23"/>
  <c r="T5" i="23"/>
  <c r="U5" i="23"/>
  <c r="V5" i="23"/>
  <c r="W5" i="23"/>
  <c r="X5" i="23"/>
  <c r="W5" i="41" s="1"/>
  <c r="Y5" i="23"/>
  <c r="Z5" i="23"/>
  <c r="AA5" i="23"/>
  <c r="AB5" i="23"/>
  <c r="AC5" i="23"/>
  <c r="AD5" i="23"/>
  <c r="AE5" i="23"/>
  <c r="AF5" i="23"/>
  <c r="AG5" i="23"/>
  <c r="AH5" i="23"/>
  <c r="AI5" i="23"/>
  <c r="AJ5" i="23"/>
  <c r="AK5" i="23"/>
  <c r="E6" i="23"/>
  <c r="D6" i="41" s="1"/>
  <c r="F6" i="23"/>
  <c r="E6" i="41" s="1"/>
  <c r="G6" i="23"/>
  <c r="F6" i="41" s="1"/>
  <c r="H6" i="23"/>
  <c r="I6" i="23"/>
  <c r="J6" i="23"/>
  <c r="K6" i="23"/>
  <c r="L6" i="23"/>
  <c r="M6" i="23"/>
  <c r="N6" i="23"/>
  <c r="O6" i="23"/>
  <c r="P6" i="23"/>
  <c r="Q6" i="23"/>
  <c r="R6" i="23"/>
  <c r="S6" i="23"/>
  <c r="T6" i="23"/>
  <c r="U6" i="23"/>
  <c r="V6" i="23"/>
  <c r="W6" i="23"/>
  <c r="X6" i="23"/>
  <c r="W6" i="41" s="1"/>
  <c r="Y6" i="23"/>
  <c r="Z6" i="23"/>
  <c r="AA6" i="23"/>
  <c r="AB6" i="23"/>
  <c r="AC6" i="23"/>
  <c r="AD6" i="23"/>
  <c r="AE6" i="23"/>
  <c r="AF6" i="23"/>
  <c r="AG6" i="23"/>
  <c r="AH6" i="23"/>
  <c r="AI6" i="23"/>
  <c r="AJ6" i="23"/>
  <c r="AK6" i="23"/>
  <c r="E7" i="23"/>
  <c r="D7" i="41" s="1"/>
  <c r="F7" i="23"/>
  <c r="E7" i="41" s="1"/>
  <c r="G7" i="23"/>
  <c r="F7" i="41" s="1"/>
  <c r="H7" i="23"/>
  <c r="I7" i="23"/>
  <c r="J7" i="23"/>
  <c r="K7" i="23"/>
  <c r="L7" i="23"/>
  <c r="M7" i="23"/>
  <c r="N7" i="23"/>
  <c r="O7" i="23"/>
  <c r="P7" i="23"/>
  <c r="Q7" i="23"/>
  <c r="R7" i="23"/>
  <c r="S7" i="23"/>
  <c r="T7" i="23"/>
  <c r="U7" i="23"/>
  <c r="V7" i="23"/>
  <c r="W7" i="23"/>
  <c r="X7" i="23"/>
  <c r="W7" i="41" s="1"/>
  <c r="Y7" i="23"/>
  <c r="Z7" i="23"/>
  <c r="AA7" i="23"/>
  <c r="AB7" i="23"/>
  <c r="AC7" i="23"/>
  <c r="AD7" i="23"/>
  <c r="AE7" i="23"/>
  <c r="AF7" i="23"/>
  <c r="AG7" i="23"/>
  <c r="AH7" i="23"/>
  <c r="AI7" i="23"/>
  <c r="AJ7" i="23"/>
  <c r="AK7" i="23"/>
  <c r="E8" i="23"/>
  <c r="D8" i="41" s="1"/>
  <c r="F8" i="23"/>
  <c r="E8" i="41" s="1"/>
  <c r="G8" i="23"/>
  <c r="F8" i="41" s="1"/>
  <c r="H8" i="23"/>
  <c r="I8" i="23"/>
  <c r="J8" i="23"/>
  <c r="K8" i="23"/>
  <c r="L8" i="23"/>
  <c r="M8" i="23"/>
  <c r="N8" i="23"/>
  <c r="O8" i="23"/>
  <c r="P8" i="23"/>
  <c r="Q8" i="23"/>
  <c r="R8" i="23"/>
  <c r="S8" i="23"/>
  <c r="T8" i="23"/>
  <c r="U8" i="23"/>
  <c r="V8" i="23"/>
  <c r="W8" i="23"/>
  <c r="X8" i="23"/>
  <c r="W8" i="41" s="1"/>
  <c r="Y8" i="23"/>
  <c r="Z8" i="23"/>
  <c r="AA8" i="23"/>
  <c r="AB8" i="23"/>
  <c r="AC8" i="23"/>
  <c r="AD8" i="23"/>
  <c r="AE8" i="23"/>
  <c r="AF8" i="23"/>
  <c r="AG8" i="23"/>
  <c r="AH8" i="23"/>
  <c r="AI8" i="23"/>
  <c r="AJ8" i="23"/>
  <c r="AK8" i="23"/>
  <c r="E9" i="23"/>
  <c r="D9" i="41" s="1"/>
  <c r="F9" i="23"/>
  <c r="E9" i="41" s="1"/>
  <c r="G9" i="23"/>
  <c r="F9" i="41" s="1"/>
  <c r="H9" i="23"/>
  <c r="I9" i="23"/>
  <c r="J9" i="23"/>
  <c r="K9" i="23"/>
  <c r="L9" i="23"/>
  <c r="M9" i="23"/>
  <c r="N9" i="23"/>
  <c r="O9" i="23"/>
  <c r="P9" i="23"/>
  <c r="Q9" i="23"/>
  <c r="R9" i="23"/>
  <c r="S9" i="23"/>
  <c r="T9" i="23"/>
  <c r="U9" i="23"/>
  <c r="V9" i="23"/>
  <c r="W9" i="23"/>
  <c r="X9" i="23"/>
  <c r="W9" i="41" s="1"/>
  <c r="Y9" i="23"/>
  <c r="Z9" i="23"/>
  <c r="AA9" i="23"/>
  <c r="AB9" i="23"/>
  <c r="AC9" i="23"/>
  <c r="AD9" i="23"/>
  <c r="AE9" i="23"/>
  <c r="AF9" i="23"/>
  <c r="AG9" i="23"/>
  <c r="AH9" i="23"/>
  <c r="AI9" i="23"/>
  <c r="AJ9" i="23"/>
  <c r="AK9" i="23"/>
  <c r="E10" i="23"/>
  <c r="D10" i="41" s="1"/>
  <c r="F10" i="23"/>
  <c r="E10" i="41" s="1"/>
  <c r="G10" i="23"/>
  <c r="F10" i="41" s="1"/>
  <c r="H10" i="23"/>
  <c r="I10" i="23"/>
  <c r="J10" i="23"/>
  <c r="K10" i="23"/>
  <c r="L10" i="23"/>
  <c r="M10" i="23"/>
  <c r="N10" i="23"/>
  <c r="O10" i="23"/>
  <c r="P10" i="23"/>
  <c r="Q10" i="23"/>
  <c r="R10" i="23"/>
  <c r="S10" i="23"/>
  <c r="T10" i="23"/>
  <c r="U10" i="23"/>
  <c r="V10" i="23"/>
  <c r="W10" i="23"/>
  <c r="X10" i="23"/>
  <c r="W10" i="41" s="1"/>
  <c r="Y10" i="23"/>
  <c r="Z10" i="23"/>
  <c r="AA10" i="23"/>
  <c r="AB10" i="23"/>
  <c r="AC10" i="23"/>
  <c r="AD10" i="23"/>
  <c r="AE10" i="23"/>
  <c r="AF10" i="23"/>
  <c r="AG10" i="23"/>
  <c r="AH10" i="23"/>
  <c r="AI10" i="23"/>
  <c r="AJ10" i="23"/>
  <c r="AK10" i="23"/>
  <c r="E11" i="23"/>
  <c r="D11" i="41" s="1"/>
  <c r="F11" i="23"/>
  <c r="E11" i="41" s="1"/>
  <c r="G11" i="23"/>
  <c r="F11" i="41" s="1"/>
  <c r="H11" i="23"/>
  <c r="I11" i="23"/>
  <c r="J11" i="23"/>
  <c r="K11" i="23"/>
  <c r="L11" i="23"/>
  <c r="M11" i="23"/>
  <c r="N11" i="23"/>
  <c r="O11" i="23"/>
  <c r="P11" i="23"/>
  <c r="Q11" i="23"/>
  <c r="R11" i="23"/>
  <c r="S11" i="23"/>
  <c r="T11" i="23"/>
  <c r="U11" i="23"/>
  <c r="V11" i="23"/>
  <c r="W11" i="23"/>
  <c r="X11" i="23"/>
  <c r="W11" i="41" s="1"/>
  <c r="Y11" i="23"/>
  <c r="Z11" i="23"/>
  <c r="AA11" i="23"/>
  <c r="AB11" i="23"/>
  <c r="AC11" i="23"/>
  <c r="AD11" i="23"/>
  <c r="AE11" i="23"/>
  <c r="AF11" i="23"/>
  <c r="AG11" i="23"/>
  <c r="AH11" i="23"/>
  <c r="AI11" i="23"/>
  <c r="AJ11" i="23"/>
  <c r="AK11" i="23"/>
  <c r="E12" i="23"/>
  <c r="D12" i="41" s="1"/>
  <c r="F12" i="23"/>
  <c r="E12" i="41" s="1"/>
  <c r="G12" i="23"/>
  <c r="F12" i="41" s="1"/>
  <c r="H12" i="23"/>
  <c r="I12" i="23"/>
  <c r="J12" i="23"/>
  <c r="K12" i="23"/>
  <c r="L12" i="23"/>
  <c r="M12" i="23"/>
  <c r="N12" i="23"/>
  <c r="O12" i="23"/>
  <c r="P12" i="23"/>
  <c r="Q12" i="23"/>
  <c r="R12" i="23"/>
  <c r="S12" i="23"/>
  <c r="T12" i="23"/>
  <c r="U12" i="23"/>
  <c r="V12" i="23"/>
  <c r="W12" i="23"/>
  <c r="X12" i="23"/>
  <c r="W12" i="41" s="1"/>
  <c r="Y12" i="23"/>
  <c r="Z12" i="23"/>
  <c r="AA12" i="23"/>
  <c r="AB12" i="23"/>
  <c r="AC12" i="23"/>
  <c r="AD12" i="23"/>
  <c r="AE12" i="23"/>
  <c r="AF12" i="23"/>
  <c r="AG12" i="23"/>
  <c r="AH12" i="23"/>
  <c r="AI12" i="23"/>
  <c r="AJ12" i="23"/>
  <c r="AK12" i="23"/>
  <c r="E13" i="23"/>
  <c r="D13" i="41" s="1"/>
  <c r="F13" i="23"/>
  <c r="E13" i="41" s="1"/>
  <c r="G13" i="23"/>
  <c r="F13" i="41" s="1"/>
  <c r="H13" i="23"/>
  <c r="I13" i="23"/>
  <c r="J13" i="23"/>
  <c r="K13" i="23"/>
  <c r="L13" i="23"/>
  <c r="M13" i="23"/>
  <c r="N13" i="23"/>
  <c r="O13" i="23"/>
  <c r="P13" i="23"/>
  <c r="Q13" i="23"/>
  <c r="R13" i="23"/>
  <c r="S13" i="23"/>
  <c r="T13" i="23"/>
  <c r="U13" i="23"/>
  <c r="V13" i="23"/>
  <c r="W13" i="23"/>
  <c r="X13" i="23"/>
  <c r="W13" i="41" s="1"/>
  <c r="Y13" i="23"/>
  <c r="Z13" i="23"/>
  <c r="AA13" i="23"/>
  <c r="AB13" i="23"/>
  <c r="AC13" i="23"/>
  <c r="AD13" i="23"/>
  <c r="AE13" i="23"/>
  <c r="AF13" i="23"/>
  <c r="AG13" i="23"/>
  <c r="AH13" i="23"/>
  <c r="AI13" i="23"/>
  <c r="AJ13" i="23"/>
  <c r="AK13" i="23"/>
  <c r="E14" i="23"/>
  <c r="D14" i="41" s="1"/>
  <c r="F14" i="23"/>
  <c r="E14" i="41" s="1"/>
  <c r="G14" i="23"/>
  <c r="F14" i="41" s="1"/>
  <c r="H14" i="23"/>
  <c r="I14" i="23"/>
  <c r="J14" i="23"/>
  <c r="K14" i="23"/>
  <c r="L14" i="23"/>
  <c r="M14" i="23"/>
  <c r="N14" i="23"/>
  <c r="O14" i="23"/>
  <c r="P14" i="23"/>
  <c r="Q14" i="23"/>
  <c r="R14" i="23"/>
  <c r="S14" i="23"/>
  <c r="T14" i="23"/>
  <c r="U14" i="23"/>
  <c r="V14" i="23"/>
  <c r="W14" i="23"/>
  <c r="X14" i="23"/>
  <c r="W14" i="41" s="1"/>
  <c r="Y14" i="23"/>
  <c r="Z14" i="23"/>
  <c r="AA14" i="23"/>
  <c r="AB14" i="23"/>
  <c r="AC14" i="23"/>
  <c r="AD14" i="23"/>
  <c r="AE14" i="23"/>
  <c r="AF14" i="23"/>
  <c r="AG14" i="23"/>
  <c r="AH14" i="23"/>
  <c r="AI14" i="23"/>
  <c r="AJ14" i="23"/>
  <c r="AK14" i="23"/>
  <c r="E15" i="23"/>
  <c r="D15" i="41" s="1"/>
  <c r="F15" i="23"/>
  <c r="E15" i="41" s="1"/>
  <c r="G15" i="23"/>
  <c r="F15" i="41" s="1"/>
  <c r="H15" i="23"/>
  <c r="I15" i="23"/>
  <c r="J15" i="23"/>
  <c r="K15" i="23"/>
  <c r="L15" i="23"/>
  <c r="M15" i="23"/>
  <c r="N15" i="23"/>
  <c r="O15" i="23"/>
  <c r="P15" i="23"/>
  <c r="Q15" i="23"/>
  <c r="R15" i="23"/>
  <c r="S15" i="23"/>
  <c r="T15" i="23"/>
  <c r="U15" i="23"/>
  <c r="V15" i="23"/>
  <c r="W15" i="23"/>
  <c r="X15" i="23"/>
  <c r="W15" i="41" s="1"/>
  <c r="Y15" i="23"/>
  <c r="Z15" i="23"/>
  <c r="AA15" i="23"/>
  <c r="AB15" i="23"/>
  <c r="AC15" i="23"/>
  <c r="AD15" i="23"/>
  <c r="AE15" i="23"/>
  <c r="AF15" i="23"/>
  <c r="AG15" i="23"/>
  <c r="AH15" i="23"/>
  <c r="AI15" i="23"/>
  <c r="AJ15" i="23"/>
  <c r="AK15" i="23"/>
  <c r="E16" i="23"/>
  <c r="D16" i="41" s="1"/>
  <c r="F16" i="23"/>
  <c r="E16" i="41" s="1"/>
  <c r="G16" i="23"/>
  <c r="F16" i="41" s="1"/>
  <c r="H16" i="23"/>
  <c r="I16" i="23"/>
  <c r="J16" i="23"/>
  <c r="K16" i="23"/>
  <c r="L16" i="23"/>
  <c r="M16" i="23"/>
  <c r="N16" i="23"/>
  <c r="O16" i="23"/>
  <c r="P16" i="23"/>
  <c r="Q16" i="23"/>
  <c r="R16" i="23"/>
  <c r="S16" i="23"/>
  <c r="T16" i="23"/>
  <c r="U16" i="23"/>
  <c r="V16" i="23"/>
  <c r="W16" i="23"/>
  <c r="X16" i="23"/>
  <c r="W16" i="41" s="1"/>
  <c r="Y16" i="23"/>
  <c r="Z16" i="23"/>
  <c r="AA16" i="23"/>
  <c r="AB16" i="23"/>
  <c r="AC16" i="23"/>
  <c r="AD16" i="23"/>
  <c r="AE16" i="23"/>
  <c r="AF16" i="23"/>
  <c r="AG16" i="23"/>
  <c r="AH16" i="23"/>
  <c r="AI16" i="23"/>
  <c r="AJ16" i="23"/>
  <c r="AK16" i="23"/>
  <c r="E17" i="23"/>
  <c r="F17" i="23"/>
  <c r="E17" i="41" s="1"/>
  <c r="G17" i="23"/>
  <c r="F17" i="41" s="1"/>
  <c r="H17" i="23"/>
  <c r="I17" i="23"/>
  <c r="J17" i="23"/>
  <c r="K17" i="23"/>
  <c r="L17" i="23"/>
  <c r="M17" i="23"/>
  <c r="N17" i="23"/>
  <c r="O17" i="23"/>
  <c r="P17" i="23"/>
  <c r="Q17" i="23"/>
  <c r="R17" i="23"/>
  <c r="S17" i="23"/>
  <c r="T17" i="23"/>
  <c r="U17" i="23"/>
  <c r="V17" i="23"/>
  <c r="W17" i="23"/>
  <c r="X17" i="23"/>
  <c r="W17" i="41" s="1"/>
  <c r="Y17" i="23"/>
  <c r="Z17" i="23"/>
  <c r="AA17" i="23"/>
  <c r="AB17" i="23"/>
  <c r="AC17" i="23"/>
  <c r="AD17" i="23"/>
  <c r="AE17" i="23"/>
  <c r="AF17" i="23"/>
  <c r="AG17" i="23"/>
  <c r="AH17" i="23"/>
  <c r="AI17" i="23"/>
  <c r="AJ17" i="23"/>
  <c r="AK17" i="23"/>
  <c r="E18" i="23"/>
  <c r="D18" i="41" s="1"/>
  <c r="F18" i="23"/>
  <c r="E18" i="41" s="1"/>
  <c r="G18" i="23"/>
  <c r="F18" i="41" s="1"/>
  <c r="H18" i="23"/>
  <c r="I18" i="23"/>
  <c r="J18" i="23"/>
  <c r="K18" i="23"/>
  <c r="L18" i="23"/>
  <c r="M18" i="23"/>
  <c r="N18" i="23"/>
  <c r="O18" i="23"/>
  <c r="P18" i="23"/>
  <c r="Q18" i="23"/>
  <c r="R18" i="23"/>
  <c r="S18" i="23"/>
  <c r="T18" i="23"/>
  <c r="U18" i="23"/>
  <c r="V18" i="23"/>
  <c r="W18" i="23"/>
  <c r="X18" i="23"/>
  <c r="W18" i="41" s="1"/>
  <c r="Y18" i="23"/>
  <c r="Z18" i="23"/>
  <c r="AA18" i="23"/>
  <c r="AB18" i="23"/>
  <c r="AC18" i="23"/>
  <c r="AD18" i="23"/>
  <c r="AE18" i="23"/>
  <c r="AF18" i="23"/>
  <c r="AG18" i="23"/>
  <c r="AH18" i="23"/>
  <c r="AI18" i="23"/>
  <c r="AJ18" i="23"/>
  <c r="AK18" i="23"/>
  <c r="E19" i="23"/>
  <c r="D19" i="41" s="1"/>
  <c r="F19" i="23"/>
  <c r="E19" i="41" s="1"/>
  <c r="G19" i="23"/>
  <c r="F19" i="41" s="1"/>
  <c r="H19" i="23"/>
  <c r="I19" i="23"/>
  <c r="J19" i="23"/>
  <c r="K19" i="23"/>
  <c r="L19" i="23"/>
  <c r="M19" i="23"/>
  <c r="N19" i="23"/>
  <c r="O19" i="23"/>
  <c r="P19" i="23"/>
  <c r="Q19" i="23"/>
  <c r="R19" i="23"/>
  <c r="S19" i="23"/>
  <c r="T19" i="23"/>
  <c r="U19" i="23"/>
  <c r="V19" i="23"/>
  <c r="W19" i="23"/>
  <c r="X19" i="23"/>
  <c r="W19" i="41" s="1"/>
  <c r="Y19" i="23"/>
  <c r="Z19" i="23"/>
  <c r="AA19" i="23"/>
  <c r="AB19" i="23"/>
  <c r="AC19" i="23"/>
  <c r="AD19" i="23"/>
  <c r="AE19" i="23"/>
  <c r="AF19" i="23"/>
  <c r="AG19" i="23"/>
  <c r="AH19" i="23"/>
  <c r="AI19" i="23"/>
  <c r="AJ19" i="23"/>
  <c r="AK19" i="23"/>
  <c r="E20" i="23"/>
  <c r="D20" i="41" s="1"/>
  <c r="F20" i="23"/>
  <c r="E20" i="41" s="1"/>
  <c r="G20" i="23"/>
  <c r="F20" i="41" s="1"/>
  <c r="H20" i="23"/>
  <c r="I20" i="23"/>
  <c r="J20" i="23"/>
  <c r="K20" i="23"/>
  <c r="L20" i="23"/>
  <c r="M20" i="23"/>
  <c r="N20" i="23"/>
  <c r="O20" i="23"/>
  <c r="P20" i="23"/>
  <c r="Q20" i="23"/>
  <c r="R20" i="23"/>
  <c r="S20" i="23"/>
  <c r="T20" i="23"/>
  <c r="U20" i="23"/>
  <c r="V20" i="23"/>
  <c r="W20" i="23"/>
  <c r="X20" i="23"/>
  <c r="W20" i="41" s="1"/>
  <c r="Y20" i="23"/>
  <c r="Z20" i="23"/>
  <c r="AA20" i="23"/>
  <c r="AB20" i="23"/>
  <c r="AC20" i="23"/>
  <c r="AD20" i="23"/>
  <c r="AE20" i="23"/>
  <c r="AF20" i="23"/>
  <c r="AG20" i="23"/>
  <c r="AH20" i="23"/>
  <c r="AI20" i="23"/>
  <c r="AJ20" i="23"/>
  <c r="AK20" i="23"/>
  <c r="I21" i="23"/>
  <c r="O21" i="23"/>
  <c r="Y21" i="23"/>
  <c r="AB21" i="23"/>
  <c r="AE21" i="23"/>
  <c r="D20" i="23"/>
  <c r="C20" i="41" s="1"/>
  <c r="D19" i="23"/>
  <c r="C19" i="41" s="1"/>
  <c r="D18" i="23"/>
  <c r="C18" i="41" s="1"/>
  <c r="D17" i="23"/>
  <c r="C17" i="41" s="1"/>
  <c r="D16" i="23"/>
  <c r="C16" i="41" s="1"/>
  <c r="D15" i="23"/>
  <c r="C15" i="41" s="1"/>
  <c r="D14" i="23"/>
  <c r="C14" i="41" s="1"/>
  <c r="D13" i="23"/>
  <c r="D12" i="23"/>
  <c r="C12" i="41" s="1"/>
  <c r="D11" i="23"/>
  <c r="C11" i="41" s="1"/>
  <c r="D10" i="23"/>
  <c r="C10" i="41" s="1"/>
  <c r="D9" i="23"/>
  <c r="C9" i="41" s="1"/>
  <c r="D8" i="23"/>
  <c r="C8" i="41" s="1"/>
  <c r="D7" i="23"/>
  <c r="C7" i="41" s="1"/>
  <c r="D6" i="23"/>
  <c r="C6" i="41" s="1"/>
  <c r="D5" i="23"/>
  <c r="D4" i="23"/>
  <c r="C4" i="41" s="1"/>
  <c r="D3" i="23"/>
  <c r="C3" i="41" s="1"/>
  <c r="X27" i="23"/>
  <c r="AL5" i="23" l="1"/>
  <c r="C5" i="41"/>
  <c r="AL19" i="23"/>
  <c r="AL13" i="23"/>
  <c r="C13" i="41"/>
  <c r="AL17" i="23"/>
  <c r="D17" i="41"/>
  <c r="AL14" i="23"/>
  <c r="AL9" i="23"/>
  <c r="AL6" i="23"/>
  <c r="AL18" i="23"/>
  <c r="AL7" i="23"/>
  <c r="AL10" i="23"/>
  <c r="AL16" i="23"/>
  <c r="AL15" i="23"/>
  <c r="AL11" i="23"/>
  <c r="AL8" i="23"/>
  <c r="AL4" i="23"/>
  <c r="AL12" i="23"/>
  <c r="AL20" i="23"/>
  <c r="AO89" i="23"/>
  <c r="AO73" i="23"/>
  <c r="AO57" i="23"/>
  <c r="AO41" i="23"/>
  <c r="AO98" i="23"/>
  <c r="AO66" i="23"/>
  <c r="AO34" i="23"/>
  <c r="AO97" i="23"/>
  <c r="AO65" i="23"/>
  <c r="AO33" i="23"/>
  <c r="AO91" i="23"/>
  <c r="AO87" i="23"/>
  <c r="AO75" i="23"/>
  <c r="AO71" i="23"/>
  <c r="AO55" i="23"/>
  <c r="AO59" i="23"/>
  <c r="AO43" i="23"/>
  <c r="AO39" i="23"/>
  <c r="AO96" i="23"/>
  <c r="AO64" i="23"/>
  <c r="AO32" i="23"/>
  <c r="AO86" i="23"/>
  <c r="AO90" i="23"/>
  <c r="AO70" i="23"/>
  <c r="AO74" i="23"/>
  <c r="AO58" i="23"/>
  <c r="AO54" i="23"/>
  <c r="AO42" i="23"/>
  <c r="AO38" i="23"/>
  <c r="AL27" i="23"/>
  <c r="AM27" i="23" s="1"/>
  <c r="AN27" i="23" s="1"/>
  <c r="AO31" i="23" s="1"/>
  <c r="AO102" i="23"/>
  <c r="U3" i="23"/>
  <c r="AL21" i="23"/>
  <c r="AN20" i="23" l="1"/>
  <c r="AN7" i="23"/>
  <c r="AM3" i="23"/>
  <c r="AN6" i="23"/>
  <c r="AN19" i="23"/>
  <c r="AN17" i="23"/>
  <c r="AN12" i="23"/>
  <c r="AN21" i="23"/>
  <c r="AN4" i="23"/>
  <c r="AN8" i="23"/>
  <c r="AN14" i="23"/>
  <c r="AN16" i="23"/>
  <c r="AN10" i="23"/>
  <c r="AN13" i="23"/>
  <c r="AN18" i="23"/>
  <c r="AN9" i="23"/>
  <c r="AN11" i="23"/>
  <c r="AN5" i="23"/>
  <c r="AN15" i="23"/>
  <c r="AO21" i="23"/>
  <c r="AO22" i="23"/>
  <c r="U112" i="17"/>
  <c r="AO13" i="23"/>
  <c r="AL3" i="23"/>
  <c r="AO15" i="23" l="1"/>
  <c r="AO18" i="23"/>
  <c r="AO14" i="23"/>
  <c r="AO12" i="23"/>
  <c r="AO5" i="23"/>
  <c r="AO10" i="23"/>
  <c r="AO19" i="23"/>
  <c r="AO9" i="23"/>
  <c r="AO16" i="23"/>
  <c r="AO6" i="23"/>
  <c r="AO11" i="23"/>
  <c r="AO7" i="23"/>
  <c r="AO8" i="23"/>
  <c r="AO17" i="23"/>
  <c r="AO20" i="23"/>
  <c r="AN3" i="23"/>
  <c r="T1597" i="35"/>
  <c r="L436" i="3" s="1"/>
  <c r="T1593" i="35"/>
  <c r="T1594" i="35"/>
  <c r="S1593" i="35"/>
  <c r="S1594" i="35"/>
  <c r="Y110" i="17"/>
  <c r="Z110" i="17" s="1"/>
  <c r="AA110" i="17" s="1"/>
  <c r="AB110" i="17" s="1"/>
  <c r="Y107" i="17"/>
  <c r="Z107" i="17" s="1"/>
  <c r="Y106" i="17"/>
  <c r="Z106" i="17" s="1"/>
  <c r="Y105" i="17"/>
  <c r="AG105" i="17" s="1"/>
  <c r="Y104" i="17"/>
  <c r="Z104" i="17" s="1"/>
  <c r="Y103" i="17"/>
  <c r="Z103" i="17" s="1"/>
  <c r="Y102" i="17"/>
  <c r="Z102" i="17" s="1"/>
  <c r="Y101" i="17"/>
  <c r="Z101" i="17" s="1"/>
  <c r="Y100" i="17"/>
  <c r="Y99" i="17"/>
  <c r="Z99" i="17" s="1"/>
  <c r="Y98" i="17"/>
  <c r="Z98" i="17" s="1"/>
  <c r="Y97" i="17"/>
  <c r="AG97" i="17" s="1"/>
  <c r="Y96" i="17"/>
  <c r="AG96" i="17" s="1"/>
  <c r="Y95" i="17"/>
  <c r="AG95" i="17" s="1"/>
  <c r="Y94" i="17"/>
  <c r="Y93" i="17"/>
  <c r="Y92" i="17"/>
  <c r="Z92" i="17" s="1"/>
  <c r="Y91" i="17"/>
  <c r="Z91" i="17" s="1"/>
  <c r="Y90" i="17"/>
  <c r="Z90" i="17" s="1"/>
  <c r="Y89" i="17"/>
  <c r="Y88" i="17"/>
  <c r="Y87" i="17"/>
  <c r="Y86" i="17"/>
  <c r="Z86" i="17" s="1"/>
  <c r="Y85" i="17"/>
  <c r="AG85" i="17" s="1"/>
  <c r="Y84" i="17"/>
  <c r="Y83" i="17"/>
  <c r="Z83" i="17" s="1"/>
  <c r="Y82" i="17"/>
  <c r="Z82" i="17" s="1"/>
  <c r="AA82" i="17" s="1"/>
  <c r="Y81" i="17"/>
  <c r="Z81" i="17" s="1"/>
  <c r="Y80" i="17"/>
  <c r="Z80" i="17" s="1"/>
  <c r="Y79" i="17"/>
  <c r="Z79" i="17" s="1"/>
  <c r="Y78" i="17"/>
  <c r="Y77" i="17"/>
  <c r="Z77" i="17" s="1"/>
  <c r="Y76" i="17"/>
  <c r="Z76" i="17" s="1"/>
  <c r="Y75" i="17"/>
  <c r="Z75" i="17" s="1"/>
  <c r="Y74" i="17"/>
  <c r="Z74" i="17" s="1"/>
  <c r="Y73" i="17"/>
  <c r="Z73" i="17" s="1"/>
  <c r="AA73" i="17" s="1"/>
  <c r="AB73" i="17" s="1"/>
  <c r="AC73" i="17" s="1"/>
  <c r="AD73" i="17" s="1"/>
  <c r="AE73" i="17" s="1"/>
  <c r="AM73" i="17" s="1"/>
  <c r="J30" i="26" s="1"/>
  <c r="Y72" i="17"/>
  <c r="AG72" i="17" s="1"/>
  <c r="Y71" i="17"/>
  <c r="Z71" i="17" s="1"/>
  <c r="AA71" i="17" s="1"/>
  <c r="Y70" i="17"/>
  <c r="Z70" i="17" s="1"/>
  <c r="Y69" i="17"/>
  <c r="Y68" i="17"/>
  <c r="Z68" i="17" s="1"/>
  <c r="AH68" i="17" s="1"/>
  <c r="Y67" i="17"/>
  <c r="Z67" i="17" s="1"/>
  <c r="Y66" i="17"/>
  <c r="Z66" i="17" s="1"/>
  <c r="Y65" i="17"/>
  <c r="Y64" i="17"/>
  <c r="AG64" i="17" s="1"/>
  <c r="Y63" i="17"/>
  <c r="Z63" i="17" s="1"/>
  <c r="AA63" i="17" s="1"/>
  <c r="AB63" i="17" s="1"/>
  <c r="AC63" i="17" s="1"/>
  <c r="AD63" i="17" s="1"/>
  <c r="Y62" i="17"/>
  <c r="Z62" i="17" s="1"/>
  <c r="AA62" i="17" s="1"/>
  <c r="AB62" i="17" s="1"/>
  <c r="AC62" i="17" s="1"/>
  <c r="AD62" i="17" s="1"/>
  <c r="Y61" i="17"/>
  <c r="Z61" i="17" s="1"/>
  <c r="Y60" i="17"/>
  <c r="Z60" i="17" s="1"/>
  <c r="Y59" i="17"/>
  <c r="Y58" i="17"/>
  <c r="Z58" i="17" s="1"/>
  <c r="Y57" i="17"/>
  <c r="AG57" i="17" s="1"/>
  <c r="Y56" i="17"/>
  <c r="Y55" i="17"/>
  <c r="Z55" i="17" s="1"/>
  <c r="AA55" i="17" s="1"/>
  <c r="AB55" i="17" s="1"/>
  <c r="AC55" i="17" s="1"/>
  <c r="AD55" i="17" s="1"/>
  <c r="Y54" i="17"/>
  <c r="AG54" i="17" s="1"/>
  <c r="Y53" i="17"/>
  <c r="Z53" i="17" s="1"/>
  <c r="AA53" i="17" s="1"/>
  <c r="Y52" i="17"/>
  <c r="AG52" i="17" s="1"/>
  <c r="Y51" i="17"/>
  <c r="AG51" i="17" s="1"/>
  <c r="Y50" i="17"/>
  <c r="AG50" i="17" s="1"/>
  <c r="Y49" i="17"/>
  <c r="Z49" i="17" s="1"/>
  <c r="Y48" i="17"/>
  <c r="Z48" i="17" s="1"/>
  <c r="AH48" i="17" s="1"/>
  <c r="Y47" i="17"/>
  <c r="AG47" i="17" s="1"/>
  <c r="Y46" i="17"/>
  <c r="AG46" i="17" s="1"/>
  <c r="Y45" i="17"/>
  <c r="Z45" i="17" s="1"/>
  <c r="Y44" i="17"/>
  <c r="Z44" i="17" s="1"/>
  <c r="AA44" i="17" s="1"/>
  <c r="AB44" i="17" s="1"/>
  <c r="AC44" i="17" s="1"/>
  <c r="AD44" i="17" s="1"/>
  <c r="Y43" i="17"/>
  <c r="AG43" i="17" s="1"/>
  <c r="Y42" i="17"/>
  <c r="Z42" i="17" s="1"/>
  <c r="AH42" i="17" s="1"/>
  <c r="Y41" i="17"/>
  <c r="Z41" i="17" s="1"/>
  <c r="AA41" i="17" s="1"/>
  <c r="AB41" i="17" s="1"/>
  <c r="AC41" i="17" s="1"/>
  <c r="AD41" i="17" s="1"/>
  <c r="Y40" i="17"/>
  <c r="AG40" i="17" s="1"/>
  <c r="Y39" i="17"/>
  <c r="Z39" i="17" s="1"/>
  <c r="Y38" i="17"/>
  <c r="Y37" i="17"/>
  <c r="Z37" i="17" s="1"/>
  <c r="Y36" i="17"/>
  <c r="Z36" i="17" s="1"/>
  <c r="AA36" i="17" s="1"/>
  <c r="AB36" i="17" s="1"/>
  <c r="AC36" i="17" s="1"/>
  <c r="AD36" i="17" s="1"/>
  <c r="Y35" i="17"/>
  <c r="AG35" i="17" s="1"/>
  <c r="Y34" i="17"/>
  <c r="Z34" i="17" s="1"/>
  <c r="AA34" i="17" s="1"/>
  <c r="AB34" i="17" s="1"/>
  <c r="AC34" i="17" s="1"/>
  <c r="AD34" i="17" s="1"/>
  <c r="Y33" i="17"/>
  <c r="Z33" i="17" s="1"/>
  <c r="Y32" i="17"/>
  <c r="Z32" i="17" s="1"/>
  <c r="AA32" i="17" s="1"/>
  <c r="Y31" i="17"/>
  <c r="AG31" i="17" s="1"/>
  <c r="Y30" i="17"/>
  <c r="Z30" i="17" s="1"/>
  <c r="Y29" i="17"/>
  <c r="Z29" i="17" s="1"/>
  <c r="AA29" i="17" s="1"/>
  <c r="AB29" i="17" s="1"/>
  <c r="AC29" i="17" s="1"/>
  <c r="AD29" i="17" s="1"/>
  <c r="Y28" i="17"/>
  <c r="Z28" i="17" s="1"/>
  <c r="Y27" i="17"/>
  <c r="AG27" i="17" s="1"/>
  <c r="Y26" i="17"/>
  <c r="Z26" i="17" s="1"/>
  <c r="AA26" i="17" s="1"/>
  <c r="Y25" i="17"/>
  <c r="Z25" i="17" s="1"/>
  <c r="Y24" i="17"/>
  <c r="Z24" i="17" s="1"/>
  <c r="Y23" i="17"/>
  <c r="AG23" i="17" s="1"/>
  <c r="Y22" i="17"/>
  <c r="AG22" i="17" s="1"/>
  <c r="Y21" i="17"/>
  <c r="AG21" i="17" s="1"/>
  <c r="Y20" i="17"/>
  <c r="AG20" i="17" s="1"/>
  <c r="Y19" i="17"/>
  <c r="Y18" i="17"/>
  <c r="Z18" i="17" s="1"/>
  <c r="Y17" i="17"/>
  <c r="AG17" i="17" s="1"/>
  <c r="Y16" i="17"/>
  <c r="Y15" i="17"/>
  <c r="Z15" i="17" s="1"/>
  <c r="Y14" i="17"/>
  <c r="Z14" i="17" s="1"/>
  <c r="Y13" i="17"/>
  <c r="AG13" i="17" s="1"/>
  <c r="Y12" i="17"/>
  <c r="Z12" i="17" s="1"/>
  <c r="Y11" i="17"/>
  <c r="Z11" i="17" s="1"/>
  <c r="Y109" i="17"/>
  <c r="AG109" i="17" s="1"/>
  <c r="Y10" i="17"/>
  <c r="AG10" i="17" s="1"/>
  <c r="Y9" i="17"/>
  <c r="AG9" i="17" s="1"/>
  <c r="Y8" i="17"/>
  <c r="Z8" i="17" s="1"/>
  <c r="Y7" i="17"/>
  <c r="AG7" i="17" s="1"/>
  <c r="Y5" i="17"/>
  <c r="Z5" i="17" s="1"/>
  <c r="AA5" i="17" s="1"/>
  <c r="Y108" i="17"/>
  <c r="AG108" i="17" s="1"/>
  <c r="Y6" i="17"/>
  <c r="Y4" i="17"/>
  <c r="Z4" i="17" s="1"/>
  <c r="AA4" i="17" s="1"/>
  <c r="AG82" i="17" l="1"/>
  <c r="AG83" i="17"/>
  <c r="AL44" i="17"/>
  <c r="AL29" i="17"/>
  <c r="AL41" i="17"/>
  <c r="AL36" i="17"/>
  <c r="AL55" i="17"/>
  <c r="AO4" i="23"/>
  <c r="AG14" i="17"/>
  <c r="AG68" i="17"/>
  <c r="AG76" i="17"/>
  <c r="AG81" i="17"/>
  <c r="Z9" i="17"/>
  <c r="AA9" i="17" s="1"/>
  <c r="AB9" i="17" s="1"/>
  <c r="Z89" i="17"/>
  <c r="AA89" i="17" s="1"/>
  <c r="AB89" i="17" s="1"/>
  <c r="AC89" i="17" s="1"/>
  <c r="AD89" i="17" s="1"/>
  <c r="AE89" i="17" s="1"/>
  <c r="AM89" i="17" s="1"/>
  <c r="AG86" i="17"/>
  <c r="AG70" i="17"/>
  <c r="AG71" i="17"/>
  <c r="AB71" i="17"/>
  <c r="AI71" i="17"/>
  <c r="AA58" i="17"/>
  <c r="AH58" i="17"/>
  <c r="AA75" i="17"/>
  <c r="AB75" i="17" s="1"/>
  <c r="AC75" i="17" s="1"/>
  <c r="AD75" i="17" s="1"/>
  <c r="AE75" i="17" s="1"/>
  <c r="AM75" i="17" s="1"/>
  <c r="AA86" i="17"/>
  <c r="AH86" i="17"/>
  <c r="AA14" i="17"/>
  <c r="AH14" i="17"/>
  <c r="AC110" i="17"/>
  <c r="AD110" i="17" s="1"/>
  <c r="AE110" i="17" s="1"/>
  <c r="AA90" i="17"/>
  <c r="AB90" i="17" s="1"/>
  <c r="AC90" i="17" s="1"/>
  <c r="AD90" i="17" s="1"/>
  <c r="AE90" i="17" s="1"/>
  <c r="AM90" i="17" s="1"/>
  <c r="AA76" i="17"/>
  <c r="AH76" i="17"/>
  <c r="AA77" i="17"/>
  <c r="AH77" i="17"/>
  <c r="AH70" i="17"/>
  <c r="AA70" i="17"/>
  <c r="Z87" i="17"/>
  <c r="Z108" i="17"/>
  <c r="Z88" i="17"/>
  <c r="Z94" i="17"/>
  <c r="AG36" i="17"/>
  <c r="Z95" i="17"/>
  <c r="AH95" i="17" s="1"/>
  <c r="AG58" i="17"/>
  <c r="AG5" i="17"/>
  <c r="AH71" i="17"/>
  <c r="AG8" i="17"/>
  <c r="AG101" i="17"/>
  <c r="Z109" i="17"/>
  <c r="AG77" i="17"/>
  <c r="Z72" i="17"/>
  <c r="AG60" i="17"/>
  <c r="AG66" i="17"/>
  <c r="AA107" i="17"/>
  <c r="AB107" i="17" s="1"/>
  <c r="AC107" i="17" s="1"/>
  <c r="AD107" i="17" s="1"/>
  <c r="AE107" i="17" s="1"/>
  <c r="AM107" i="17" s="1"/>
  <c r="AA106" i="17"/>
  <c r="AB106" i="17" s="1"/>
  <c r="AC106" i="17" s="1"/>
  <c r="AD106" i="17" s="1"/>
  <c r="AE106" i="17" s="1"/>
  <c r="AM106" i="17" s="1"/>
  <c r="AA98" i="17"/>
  <c r="AB98" i="17" s="1"/>
  <c r="AC98" i="17" s="1"/>
  <c r="AD98" i="17" s="1"/>
  <c r="AE98" i="17" s="1"/>
  <c r="AM98" i="17" s="1"/>
  <c r="J38" i="26" s="1"/>
  <c r="AA99" i="17"/>
  <c r="AB99" i="17" s="1"/>
  <c r="AC99" i="17" s="1"/>
  <c r="AD99" i="17" s="1"/>
  <c r="AE99" i="17" s="1"/>
  <c r="AM99" i="17" s="1"/>
  <c r="AH101" i="17"/>
  <c r="AA101" i="17"/>
  <c r="AA102" i="17"/>
  <c r="AB102" i="17" s="1"/>
  <c r="AC102" i="17" s="1"/>
  <c r="AD102" i="17" s="1"/>
  <c r="AE102" i="17" s="1"/>
  <c r="AM102" i="17" s="1"/>
  <c r="Z96" i="17"/>
  <c r="Z105" i="17"/>
  <c r="AA92" i="17"/>
  <c r="AB92" i="17" s="1"/>
  <c r="AC92" i="17" s="1"/>
  <c r="AD92" i="17" s="1"/>
  <c r="AE92" i="17" s="1"/>
  <c r="AM92" i="17" s="1"/>
  <c r="Z100" i="17"/>
  <c r="Z93" i="17"/>
  <c r="Z97" i="17"/>
  <c r="AA91" i="17"/>
  <c r="AB91" i="17" s="1"/>
  <c r="AC91" i="17" s="1"/>
  <c r="AD91" i="17" s="1"/>
  <c r="AE91" i="17" s="1"/>
  <c r="AM91" i="17" s="1"/>
  <c r="J35" i="26" s="1"/>
  <c r="AA74" i="17"/>
  <c r="AB74" i="17" s="1"/>
  <c r="AC74" i="17" s="1"/>
  <c r="AD74" i="17" s="1"/>
  <c r="AE74" i="17" s="1"/>
  <c r="AM74" i="17" s="1"/>
  <c r="J31" i="26" s="1"/>
  <c r="AH80" i="17"/>
  <c r="AA80" i="17"/>
  <c r="AA103" i="17"/>
  <c r="AB103" i="17" s="1"/>
  <c r="AC103" i="17" s="1"/>
  <c r="AD103" i="17" s="1"/>
  <c r="AE103" i="17" s="1"/>
  <c r="AM103" i="17" s="1"/>
  <c r="AA79" i="17"/>
  <c r="AB79" i="17" s="1"/>
  <c r="AC79" i="17" s="1"/>
  <c r="AD79" i="17" s="1"/>
  <c r="AE79" i="17" s="1"/>
  <c r="AM79" i="17" s="1"/>
  <c r="AH81" i="17"/>
  <c r="AA81" i="17"/>
  <c r="AB82" i="17"/>
  <c r="AI82" i="17"/>
  <c r="AH83" i="17"/>
  <c r="AA83" i="17"/>
  <c r="AA104" i="17"/>
  <c r="AB104" i="17" s="1"/>
  <c r="AC104" i="17" s="1"/>
  <c r="AD104" i="17" s="1"/>
  <c r="AE104" i="17" s="1"/>
  <c r="AM104" i="17" s="1"/>
  <c r="Z85" i="17"/>
  <c r="AH82" i="17"/>
  <c r="Z84" i="17"/>
  <c r="Z78" i="17"/>
  <c r="AG80" i="17"/>
  <c r="AA66" i="17"/>
  <c r="AH66" i="17"/>
  <c r="AA67" i="17"/>
  <c r="AB67" i="17" s="1"/>
  <c r="AC67" i="17" s="1"/>
  <c r="AD67" i="17" s="1"/>
  <c r="AE67" i="17" s="1"/>
  <c r="AM67" i="17" s="1"/>
  <c r="Z65" i="17"/>
  <c r="AA68" i="17"/>
  <c r="AI44" i="17"/>
  <c r="AG26" i="17"/>
  <c r="AG29" i="17"/>
  <c r="AG61" i="17"/>
  <c r="Z20" i="17"/>
  <c r="AA20" i="17" s="1"/>
  <c r="AB20" i="17" s="1"/>
  <c r="AC20" i="17" s="1"/>
  <c r="AD20" i="17" s="1"/>
  <c r="AG48" i="17"/>
  <c r="AG53" i="17"/>
  <c r="AG11" i="17"/>
  <c r="AG55" i="17"/>
  <c r="AH55" i="17"/>
  <c r="AG25" i="17"/>
  <c r="Z6" i="17"/>
  <c r="AG4" i="17"/>
  <c r="AA11" i="17"/>
  <c r="AH11" i="17"/>
  <c r="AA28" i="17"/>
  <c r="AB28" i="17" s="1"/>
  <c r="AC28" i="17" s="1"/>
  <c r="AD28" i="17" s="1"/>
  <c r="AH30" i="17"/>
  <c r="AA30" i="17"/>
  <c r="AI30" i="17" s="1"/>
  <c r="AH60" i="17"/>
  <c r="AA60" i="17"/>
  <c r="AJ44" i="17"/>
  <c r="Z21" i="17"/>
  <c r="AK44" i="17"/>
  <c r="AG30" i="17"/>
  <c r="AI55" i="17"/>
  <c r="AG32" i="17"/>
  <c r="AH32" i="17"/>
  <c r="Z13" i="17"/>
  <c r="AH13" i="17" s="1"/>
  <c r="AG15" i="17"/>
  <c r="AH36" i="17"/>
  <c r="Z59" i="17"/>
  <c r="AA59" i="17" s="1"/>
  <c r="AB59" i="17" s="1"/>
  <c r="AC59" i="17" s="1"/>
  <c r="AD59" i="17" s="1"/>
  <c r="AA33" i="17"/>
  <c r="AB33" i="17" s="1"/>
  <c r="AC33" i="17" s="1"/>
  <c r="AD33" i="17" s="1"/>
  <c r="AG18" i="17"/>
  <c r="AG39" i="17"/>
  <c r="AG41" i="17"/>
  <c r="AH44" i="17"/>
  <c r="AA61" i="17"/>
  <c r="AH61" i="17"/>
  <c r="AB32" i="17"/>
  <c r="AI32" i="17"/>
  <c r="AB26" i="17"/>
  <c r="AI26" i="17"/>
  <c r="AB53" i="17"/>
  <c r="AI53" i="17"/>
  <c r="AH39" i="17"/>
  <c r="AA39" i="17"/>
  <c r="AH18" i="17"/>
  <c r="AA18" i="17"/>
  <c r="Z47" i="17"/>
  <c r="AA15" i="17"/>
  <c r="AH15" i="17"/>
  <c r="Z54" i="17"/>
  <c r="Z23" i="17"/>
  <c r="Z35" i="17"/>
  <c r="AA24" i="17"/>
  <c r="AH24" i="17"/>
  <c r="AA42" i="17"/>
  <c r="Z64" i="17"/>
  <c r="AA49" i="17"/>
  <c r="AB49" i="17" s="1"/>
  <c r="AC49" i="17" s="1"/>
  <c r="AD49" i="17" s="1"/>
  <c r="AH26" i="17"/>
  <c r="AH41" i="17"/>
  <c r="AA12" i="17"/>
  <c r="AB12" i="17" s="1"/>
  <c r="AC12" i="17" s="1"/>
  <c r="AD12" i="17" s="1"/>
  <c r="AH25" i="17"/>
  <c r="AA25" i="17"/>
  <c r="AA37" i="17"/>
  <c r="AH37" i="17"/>
  <c r="Z43" i="17"/>
  <c r="AI41" i="17"/>
  <c r="AH53" i="17"/>
  <c r="AG38" i="17"/>
  <c r="Z38" i="17"/>
  <c r="Z50" i="17"/>
  <c r="Z56" i="17"/>
  <c r="AG56" i="17"/>
  <c r="AJ41" i="17"/>
  <c r="AK41" i="17"/>
  <c r="AA48" i="17"/>
  <c r="AG42" i="17"/>
  <c r="Z27" i="17"/>
  <c r="Z22" i="17"/>
  <c r="Z16" i="17"/>
  <c r="Z17" i="17"/>
  <c r="AG19" i="17"/>
  <c r="Z19" i="17"/>
  <c r="AA45" i="17"/>
  <c r="AH45" i="17"/>
  <c r="Z31" i="17"/>
  <c r="AH29" i="17"/>
  <c r="AI36" i="17"/>
  <c r="Z51" i="17"/>
  <c r="Z69" i="17"/>
  <c r="AG69" i="17"/>
  <c r="AI29" i="17"/>
  <c r="AJ36" i="17"/>
  <c r="AJ55" i="17"/>
  <c r="Z46" i="17"/>
  <c r="Z57" i="17"/>
  <c r="AJ29" i="17"/>
  <c r="AK36" i="17"/>
  <c r="AK55" i="17"/>
  <c r="AK29" i="17"/>
  <c r="AG44" i="17"/>
  <c r="Z40" i="17"/>
  <c r="AG24" i="17"/>
  <c r="AG37" i="17"/>
  <c r="AG45" i="17"/>
  <c r="Z52" i="17"/>
  <c r="AB4" i="17"/>
  <c r="AI4" i="17"/>
  <c r="AB5" i="17"/>
  <c r="AI5" i="17"/>
  <c r="AA8" i="17"/>
  <c r="AH8" i="17"/>
  <c r="Z7" i="17"/>
  <c r="Z10" i="17"/>
  <c r="AA6" i="17"/>
  <c r="AB6" i="17" s="1"/>
  <c r="AC6" i="17" s="1"/>
  <c r="AD6" i="17" s="1"/>
  <c r="AH5" i="17"/>
  <c r="AL112" i="17"/>
  <c r="I5" i="25"/>
  <c r="C4" i="24" s="1"/>
  <c r="I6" i="25"/>
  <c r="C5" i="24" s="1"/>
  <c r="I7" i="25"/>
  <c r="C6" i="24" s="1"/>
  <c r="I10" i="25"/>
  <c r="C9" i="24" s="1"/>
  <c r="I12" i="25"/>
  <c r="C11" i="24" s="1"/>
  <c r="I14" i="25"/>
  <c r="C13" i="24" s="1"/>
  <c r="I15" i="25"/>
  <c r="C14" i="24" s="1"/>
  <c r="I16" i="25"/>
  <c r="C15" i="24" s="1"/>
  <c r="I17" i="25"/>
  <c r="C16" i="24" s="1"/>
  <c r="I18" i="25"/>
  <c r="C17" i="24" s="1"/>
  <c r="I19" i="25"/>
  <c r="C18" i="24" s="1"/>
  <c r="I21" i="25"/>
  <c r="C20" i="24" s="1"/>
  <c r="I22" i="25"/>
  <c r="C21" i="24" s="1"/>
  <c r="I23" i="25"/>
  <c r="C22" i="24" s="1"/>
  <c r="I27" i="25"/>
  <c r="C26" i="24" s="1"/>
  <c r="I28" i="25"/>
  <c r="C27" i="24" s="1"/>
  <c r="I29" i="25"/>
  <c r="C28" i="24" s="1"/>
  <c r="I41" i="25"/>
  <c r="C40" i="24" s="1"/>
  <c r="I42" i="25"/>
  <c r="C41" i="24" s="1"/>
  <c r="AH4" i="17"/>
  <c r="I106" i="17"/>
  <c r="I107" i="17" s="1"/>
  <c r="H106" i="17"/>
  <c r="H107" i="17" s="1"/>
  <c r="I103" i="17"/>
  <c r="I104" i="17" s="1"/>
  <c r="H103" i="17"/>
  <c r="H104" i="17" s="1"/>
  <c r="I99" i="17"/>
  <c r="I102" i="17" s="1"/>
  <c r="H99" i="17"/>
  <c r="H102" i="17" s="1"/>
  <c r="I94" i="17"/>
  <c r="I98" i="17" s="1"/>
  <c r="H94" i="17"/>
  <c r="H98" i="17" s="1"/>
  <c r="I92" i="17"/>
  <c r="I93" i="17" s="1"/>
  <c r="H92" i="17"/>
  <c r="H93" i="17" s="1"/>
  <c r="I91" i="17"/>
  <c r="H91" i="17"/>
  <c r="I87" i="17"/>
  <c r="I89" i="17" s="1"/>
  <c r="H87" i="17"/>
  <c r="H88" i="17" s="1"/>
  <c r="I78" i="17"/>
  <c r="I84" i="17" s="1"/>
  <c r="H78" i="17"/>
  <c r="H79" i="17" s="1"/>
  <c r="I75" i="17"/>
  <c r="H75" i="17"/>
  <c r="I74" i="17"/>
  <c r="H74" i="17"/>
  <c r="I73" i="17"/>
  <c r="H73" i="17"/>
  <c r="I65" i="17"/>
  <c r="I67" i="17" s="1"/>
  <c r="H65" i="17"/>
  <c r="H67" i="17" s="1"/>
  <c r="I59" i="17"/>
  <c r="I62" i="17" s="1"/>
  <c r="H59" i="17"/>
  <c r="H62" i="17" s="1"/>
  <c r="I49" i="17"/>
  <c r="H49" i="17"/>
  <c r="I33" i="17"/>
  <c r="I63" i="17" s="1"/>
  <c r="H33" i="17"/>
  <c r="H34" i="17" s="1"/>
  <c r="I28" i="17"/>
  <c r="H28" i="17"/>
  <c r="I16" i="17"/>
  <c r="H16" i="17"/>
  <c r="I12" i="17"/>
  <c r="H12" i="17"/>
  <c r="H6" i="17"/>
  <c r="I6" i="17"/>
  <c r="L106" i="17"/>
  <c r="L107" i="17" s="1"/>
  <c r="L103" i="17"/>
  <c r="L104" i="17" s="1"/>
  <c r="L99" i="17"/>
  <c r="L102" i="17" s="1"/>
  <c r="L94" i="17"/>
  <c r="L98" i="17" s="1"/>
  <c r="L92" i="17"/>
  <c r="L93" i="17" s="1"/>
  <c r="L91" i="17"/>
  <c r="L87" i="17"/>
  <c r="L90" i="17" s="1"/>
  <c r="L78" i="17"/>
  <c r="L84" i="17" s="1"/>
  <c r="L75" i="17"/>
  <c r="L74" i="17"/>
  <c r="L73" i="17"/>
  <c r="L65" i="17"/>
  <c r="L67" i="17" s="1"/>
  <c r="L63" i="17"/>
  <c r="L62" i="17"/>
  <c r="L59" i="17"/>
  <c r="L49" i="17"/>
  <c r="L33" i="17"/>
  <c r="L34" i="17" s="1"/>
  <c r="L28" i="17"/>
  <c r="L16" i="17"/>
  <c r="L12" i="17"/>
  <c r="L6" i="17"/>
  <c r="Q102" i="17"/>
  <c r="Q78" i="17"/>
  <c r="Q107" i="17"/>
  <c r="Q79" i="17"/>
  <c r="Q106" i="17"/>
  <c r="Q104" i="17"/>
  <c r="Q103" i="17"/>
  <c r="Q100" i="17"/>
  <c r="Q99" i="17"/>
  <c r="Q98" i="17"/>
  <c r="Q94" i="17"/>
  <c r="Q93" i="17"/>
  <c r="Q92" i="17"/>
  <c r="Q91" i="17"/>
  <c r="Q90" i="17"/>
  <c r="Q89" i="17"/>
  <c r="Q88" i="17"/>
  <c r="Q87" i="17"/>
  <c r="Q84" i="17"/>
  <c r="Q75" i="17"/>
  <c r="Q74" i="17"/>
  <c r="Q73" i="17"/>
  <c r="Q67" i="17"/>
  <c r="Q65" i="17"/>
  <c r="Q63" i="17"/>
  <c r="Q62" i="17"/>
  <c r="Q59" i="17"/>
  <c r="Q49" i="17"/>
  <c r="Q34" i="17"/>
  <c r="Q33" i="17"/>
  <c r="Q28" i="17"/>
  <c r="Q16" i="17"/>
  <c r="Q12" i="17"/>
  <c r="Q6" i="17"/>
  <c r="S1410" i="35"/>
  <c r="S556" i="35"/>
  <c r="T556" i="35" s="1"/>
  <c r="S555" i="35"/>
  <c r="T555" i="35" s="1"/>
  <c r="S554" i="35"/>
  <c r="T554" i="35" s="1"/>
  <c r="S553" i="35"/>
  <c r="T553" i="35" s="1"/>
  <c r="S552" i="35"/>
  <c r="T552" i="35" s="1"/>
  <c r="L90" i="3" s="1"/>
  <c r="S155" i="35"/>
  <c r="S1835" i="35"/>
  <c r="T1835" i="35" s="1"/>
  <c r="L33" i="3" s="1"/>
  <c r="S1689" i="35"/>
  <c r="S1701" i="35"/>
  <c r="S1702" i="35"/>
  <c r="S1703" i="35"/>
  <c r="S1700" i="35"/>
  <c r="S1660" i="35"/>
  <c r="S1656" i="35"/>
  <c r="S1657" i="35"/>
  <c r="S1655" i="35"/>
  <c r="S1654" i="35"/>
  <c r="S1641" i="35"/>
  <c r="S1643" i="35" s="1"/>
  <c r="S1635" i="35"/>
  <c r="S1637" i="35" s="1"/>
  <c r="S1604" i="35"/>
  <c r="S1595" i="35"/>
  <c r="S1596" i="35" s="1"/>
  <c r="S1570" i="35"/>
  <c r="S1548" i="35"/>
  <c r="S1444" i="35"/>
  <c r="T1434" i="35"/>
  <c r="S1434" i="35"/>
  <c r="S1431" i="35"/>
  <c r="S1425" i="35"/>
  <c r="S1421" i="35"/>
  <c r="S1364" i="35"/>
  <c r="S1345" i="35"/>
  <c r="S1350" i="35" s="1"/>
  <c r="S1342" i="35"/>
  <c r="S1339" i="35"/>
  <c r="S1316" i="35"/>
  <c r="T1316" i="35" s="1"/>
  <c r="L365" i="3" s="1"/>
  <c r="S1314" i="35"/>
  <c r="T1314" i="35" s="1"/>
  <c r="L363" i="3" s="1"/>
  <c r="S1309" i="35"/>
  <c r="T1309" i="35" s="1"/>
  <c r="L359" i="3" s="1"/>
  <c r="S1288" i="35"/>
  <c r="T1288" i="35" s="1"/>
  <c r="L348" i="3" s="1"/>
  <c r="S1188" i="35"/>
  <c r="T1188" i="35" s="1"/>
  <c r="L308" i="3" s="1"/>
  <c r="T916" i="35"/>
  <c r="L213" i="3" s="1"/>
  <c r="T913" i="35"/>
  <c r="L211" i="3" s="1"/>
  <c r="T911" i="35"/>
  <c r="L209" i="3" s="1"/>
  <c r="S916" i="35"/>
  <c r="S913" i="35"/>
  <c r="S911" i="35"/>
  <c r="S833" i="35"/>
  <c r="S834" i="35"/>
  <c r="T834" i="35" s="1"/>
  <c r="S832" i="35"/>
  <c r="T832" i="35" s="1"/>
  <c r="S618" i="35"/>
  <c r="S557" i="35"/>
  <c r="T557" i="35" s="1"/>
  <c r="S1761" i="35"/>
  <c r="S1778" i="35"/>
  <c r="S1802" i="35"/>
  <c r="T1802" i="35" s="1"/>
  <c r="L485" i="3" s="1"/>
  <c r="S1811" i="35"/>
  <c r="T1811" i="35" s="1"/>
  <c r="L490" i="3" s="1"/>
  <c r="S1813" i="35"/>
  <c r="T1813" i="35" s="1"/>
  <c r="L492" i="3" s="1"/>
  <c r="S1814" i="35"/>
  <c r="T1814" i="35" s="1"/>
  <c r="L493" i="3" s="1"/>
  <c r="S1812" i="35"/>
  <c r="T1812" i="35" s="1"/>
  <c r="L491" i="3" s="1"/>
  <c r="T1822" i="35"/>
  <c r="L501" i="3" s="1"/>
  <c r="T1821" i="35"/>
  <c r="L500" i="3" s="1"/>
  <c r="S1822" i="35"/>
  <c r="S1821" i="35"/>
  <c r="S1838" i="35"/>
  <c r="S1840" i="35"/>
  <c r="T1838" i="35"/>
  <c r="L507" i="3" s="1"/>
  <c r="V396" i="37"/>
  <c r="AM396" i="37" s="1"/>
  <c r="Q396" i="37"/>
  <c r="AH396" i="37" s="1"/>
  <c r="O396" i="37"/>
  <c r="AF396" i="37" s="1"/>
  <c r="N396" i="37"/>
  <c r="U396" i="37"/>
  <c r="AL396" i="37" s="1"/>
  <c r="T396" i="37"/>
  <c r="V395" i="37"/>
  <c r="AM395" i="37" s="1"/>
  <c r="U395" i="37"/>
  <c r="AL395" i="37" s="1"/>
  <c r="T395" i="37"/>
  <c r="O395" i="37"/>
  <c r="N395" i="37"/>
  <c r="AE395" i="37" s="1"/>
  <c r="Q395" i="37"/>
  <c r="AM393" i="37"/>
  <c r="AM392" i="37"/>
  <c r="AF392" i="37"/>
  <c r="AE392" i="37"/>
  <c r="AM391" i="37"/>
  <c r="AE391" i="37"/>
  <c r="AM390" i="37"/>
  <c r="AF390" i="37"/>
  <c r="AF393" i="37"/>
  <c r="V389" i="37"/>
  <c r="AM389" i="37" s="1"/>
  <c r="U389" i="37"/>
  <c r="AL389" i="37" s="1"/>
  <c r="T389" i="37"/>
  <c r="AK389" i="37" s="1"/>
  <c r="AJ389" i="37" s="1"/>
  <c r="N389" i="37"/>
  <c r="AE389" i="37" s="1"/>
  <c r="O389" i="37"/>
  <c r="AF389" i="37" s="1"/>
  <c r="AM387" i="37"/>
  <c r="AL387" i="37"/>
  <c r="AF387" i="37"/>
  <c r="AM385" i="37"/>
  <c r="AF385" i="37"/>
  <c r="AM384" i="37"/>
  <c r="AE384" i="37"/>
  <c r="AF386" i="37"/>
  <c r="AM382" i="37"/>
  <c r="AL382" i="37"/>
  <c r="AK382" i="37"/>
  <c r="AJ382" i="37" s="1"/>
  <c r="AI382" i="37" s="1"/>
  <c r="S382" i="37"/>
  <c r="R382" i="37" s="1"/>
  <c r="P382" i="37"/>
  <c r="AF382" i="37"/>
  <c r="AM381" i="37"/>
  <c r="V383" i="37"/>
  <c r="AM383" i="37" s="1"/>
  <c r="S381" i="37"/>
  <c r="R381" i="37" s="1"/>
  <c r="P381" i="37" s="1"/>
  <c r="AH381" i="37"/>
  <c r="AE381" i="37"/>
  <c r="AM380" i="37"/>
  <c r="AF380" i="37"/>
  <c r="AL380" i="37"/>
  <c r="AK380" i="37"/>
  <c r="S380" i="37"/>
  <c r="R380" i="37" s="1"/>
  <c r="AM379" i="37"/>
  <c r="AL379" i="37"/>
  <c r="AH379" i="37"/>
  <c r="AF379" i="37"/>
  <c r="AK381" i="37"/>
  <c r="AH382" i="37"/>
  <c r="O378" i="37"/>
  <c r="AF378" i="37" s="1"/>
  <c r="N378" i="37"/>
  <c r="AF377" i="37"/>
  <c r="V376" i="37"/>
  <c r="AM376" i="37" s="1"/>
  <c r="U376" i="37"/>
  <c r="AL376" i="37" s="1"/>
  <c r="T376" i="37"/>
  <c r="AK376" i="37" s="1"/>
  <c r="O376" i="37"/>
  <c r="AF376" i="37" s="1"/>
  <c r="N376" i="37"/>
  <c r="AE376" i="37" s="1"/>
  <c r="Q376" i="37"/>
  <c r="V375" i="37"/>
  <c r="AM375" i="37" s="1"/>
  <c r="N375" i="37"/>
  <c r="AE375" i="37" s="1"/>
  <c r="AM374" i="37"/>
  <c r="AE374" i="37"/>
  <c r="AE373" i="37"/>
  <c r="AM373" i="37"/>
  <c r="AL373" i="37"/>
  <c r="AH373" i="37"/>
  <c r="AE372" i="37"/>
  <c r="AM372" i="37"/>
  <c r="AM371" i="37"/>
  <c r="AE371" i="37"/>
  <c r="AF371" i="37"/>
  <c r="AE370" i="37"/>
  <c r="AL370" i="37"/>
  <c r="AH370" i="37"/>
  <c r="AM369" i="37"/>
  <c r="AE369" i="37"/>
  <c r="AH369" i="37"/>
  <c r="AM368" i="37"/>
  <c r="AM370" i="37"/>
  <c r="Q367" i="37"/>
  <c r="AH367" i="37" s="1"/>
  <c r="O367" i="37"/>
  <c r="AF367" i="37" s="1"/>
  <c r="AH366" i="37"/>
  <c r="AM366" i="37"/>
  <c r="AL366" i="37"/>
  <c r="AF366" i="37"/>
  <c r="V365" i="37"/>
  <c r="AM365" i="37" s="1"/>
  <c r="U365" i="37"/>
  <c r="AL365" i="37" s="1"/>
  <c r="T365" i="37"/>
  <c r="Q365" i="37"/>
  <c r="AH365" i="37" s="1"/>
  <c r="O365" i="37"/>
  <c r="AF365" i="37" s="1"/>
  <c r="N365" i="37"/>
  <c r="T364" i="37"/>
  <c r="AK364" i="37" s="1"/>
  <c r="O364" i="37"/>
  <c r="AF364" i="37" s="1"/>
  <c r="AK363" i="37"/>
  <c r="AH363" i="37"/>
  <c r="AF363" i="37"/>
  <c r="AL363" i="37"/>
  <c r="Q364" i="37"/>
  <c r="AH364" i="37" s="1"/>
  <c r="Q362" i="37"/>
  <c r="AH362" i="37" s="1"/>
  <c r="V362" i="37"/>
  <c r="AM362" i="37" s="1"/>
  <c r="S361" i="37"/>
  <c r="R361" i="37" s="1"/>
  <c r="AH361" i="37"/>
  <c r="P361" i="37"/>
  <c r="M361" i="37" s="1"/>
  <c r="V360" i="37"/>
  <c r="AM360" i="37" s="1"/>
  <c r="U360" i="37"/>
  <c r="AL360" i="37" s="1"/>
  <c r="AM359" i="37"/>
  <c r="AL359" i="37"/>
  <c r="AF357" i="37"/>
  <c r="AE357" i="37"/>
  <c r="AH356" i="37"/>
  <c r="AE356" i="37"/>
  <c r="AH355" i="37"/>
  <c r="AF355" i="37"/>
  <c r="AE355" i="37"/>
  <c r="AH354" i="37"/>
  <c r="U353" i="37"/>
  <c r="AL353" i="37" s="1"/>
  <c r="T353" i="37"/>
  <c r="Q353" i="37"/>
  <c r="AH353" i="37" s="1"/>
  <c r="N353" i="37"/>
  <c r="AK352" i="37"/>
  <c r="AE352" i="37"/>
  <c r="AH352" i="37"/>
  <c r="V351" i="37"/>
  <c r="AM351" i="37" s="1"/>
  <c r="T351" i="37"/>
  <c r="AK351" i="37" s="1"/>
  <c r="AH350" i="37"/>
  <c r="AF350" i="37"/>
  <c r="AE350" i="37"/>
  <c r="AM350" i="37"/>
  <c r="AM349" i="37"/>
  <c r="AH349" i="37"/>
  <c r="AM348" i="37"/>
  <c r="AH348" i="37"/>
  <c r="AE348" i="37"/>
  <c r="AK348" i="37"/>
  <c r="AF348" i="37"/>
  <c r="AK347" i="37"/>
  <c r="AM347" i="37"/>
  <c r="AH347" i="37"/>
  <c r="AF347" i="37"/>
  <c r="AL345" i="37"/>
  <c r="AL344" i="37"/>
  <c r="AK344" i="37"/>
  <c r="AJ344" i="37"/>
  <c r="S344" i="37"/>
  <c r="AK343" i="37"/>
  <c r="AM343" i="37"/>
  <c r="AL343" i="37"/>
  <c r="AH343" i="37"/>
  <c r="AM342" i="37"/>
  <c r="AL342" i="37"/>
  <c r="AH341" i="37"/>
  <c r="AH340" i="37"/>
  <c r="AK340" i="37"/>
  <c r="O346" i="37"/>
  <c r="AM341" i="37"/>
  <c r="AL338" i="37"/>
  <c r="AK338" i="37"/>
  <c r="S338" i="37"/>
  <c r="AH338" i="37"/>
  <c r="AF337" i="37"/>
  <c r="AL337" i="37"/>
  <c r="AF336" i="37"/>
  <c r="AL336" i="37"/>
  <c r="AL335" i="37"/>
  <c r="AH335" i="37"/>
  <c r="AF335" i="37"/>
  <c r="AL334" i="37"/>
  <c r="AF334" i="37"/>
  <c r="AK333" i="37"/>
  <c r="S333" i="37"/>
  <c r="AH332" i="37"/>
  <c r="AL332" i="37"/>
  <c r="AF332" i="37"/>
  <c r="V331" i="37"/>
  <c r="AM331" i="37" s="1"/>
  <c r="AM330" i="37"/>
  <c r="Q329" i="37"/>
  <c r="AH329" i="37" s="1"/>
  <c r="AL328" i="37"/>
  <c r="AK328" i="37"/>
  <c r="AJ328" i="37" s="1"/>
  <c r="AH328" i="37"/>
  <c r="AM328" i="37"/>
  <c r="AF328" i="37"/>
  <c r="AF327" i="37"/>
  <c r="AM327" i="37"/>
  <c r="AL327" i="37"/>
  <c r="S327" i="37"/>
  <c r="R327" i="37" s="1"/>
  <c r="AE327" i="37"/>
  <c r="V326" i="37"/>
  <c r="AM326" i="37" s="1"/>
  <c r="T326" i="37"/>
  <c r="Q326" i="37"/>
  <c r="AH326" i="37" s="1"/>
  <c r="N326" i="37"/>
  <c r="AE326" i="37" s="1"/>
  <c r="U326" i="37"/>
  <c r="AL326" i="37" s="1"/>
  <c r="V325" i="37"/>
  <c r="AM325" i="37" s="1"/>
  <c r="U325" i="37"/>
  <c r="AL325" i="37" s="1"/>
  <c r="Q325" i="37"/>
  <c r="AH325" i="37" s="1"/>
  <c r="O325" i="37"/>
  <c r="AF325" i="37" s="1"/>
  <c r="T325" i="37"/>
  <c r="T324" i="37"/>
  <c r="AH323" i="37"/>
  <c r="AM323" i="37"/>
  <c r="AL323" i="37"/>
  <c r="AM322" i="37"/>
  <c r="AK322" i="37"/>
  <c r="AH322" i="37"/>
  <c r="AK320" i="37"/>
  <c r="AM320" i="37"/>
  <c r="AL320" i="37"/>
  <c r="AM319" i="37"/>
  <c r="AL319" i="37"/>
  <c r="S319" i="37"/>
  <c r="R319" i="37"/>
  <c r="AF319" i="37"/>
  <c r="T318" i="37"/>
  <c r="Q318" i="37"/>
  <c r="AH318" i="37" s="1"/>
  <c r="V318" i="37"/>
  <c r="AM318" i="37" s="1"/>
  <c r="U318" i="37"/>
  <c r="AL318" i="37" s="1"/>
  <c r="O318" i="37"/>
  <c r="AF318" i="37" s="1"/>
  <c r="AM316" i="37"/>
  <c r="AL316" i="37"/>
  <c r="AE316" i="37"/>
  <c r="AF315" i="37"/>
  <c r="AE315" i="37"/>
  <c r="AM314" i="37"/>
  <c r="AL314" i="37"/>
  <c r="AK314" i="37"/>
  <c r="AJ314" i="37" s="1"/>
  <c r="AI314" i="37" s="1"/>
  <c r="S314" i="37"/>
  <c r="R314" i="37" s="1"/>
  <c r="AE314" i="37"/>
  <c r="AH313" i="37"/>
  <c r="AF313" i="37"/>
  <c r="AH312" i="37"/>
  <c r="AF312" i="37"/>
  <c r="AK311" i="37"/>
  <c r="AE310" i="37"/>
  <c r="AF309" i="37"/>
  <c r="AE309" i="37"/>
  <c r="AM309" i="37"/>
  <c r="V308" i="37"/>
  <c r="AM308" i="37" s="1"/>
  <c r="U308" i="37"/>
  <c r="T308" i="37"/>
  <c r="AK308" i="37" s="1"/>
  <c r="Q308" i="37"/>
  <c r="O308" i="37"/>
  <c r="AF308" i="37" s="1"/>
  <c r="AH307" i="37"/>
  <c r="T307" i="37"/>
  <c r="AK307" i="37" s="1"/>
  <c r="Q307" i="37"/>
  <c r="O307" i="37"/>
  <c r="AF307" i="37" s="1"/>
  <c r="N307" i="37"/>
  <c r="AE307" i="37" s="1"/>
  <c r="V307" i="37"/>
  <c r="AM307" i="37" s="1"/>
  <c r="V306" i="37"/>
  <c r="AM306" i="37" s="1"/>
  <c r="Q306" i="37"/>
  <c r="AH306" i="37" s="1"/>
  <c r="O306" i="37"/>
  <c r="AF306" i="37" s="1"/>
  <c r="N306" i="37"/>
  <c r="AE306" i="37" s="1"/>
  <c r="U306" i="37"/>
  <c r="AL306" i="37" s="1"/>
  <c r="T306" i="37"/>
  <c r="U305" i="37"/>
  <c r="AL305" i="37" s="1"/>
  <c r="AE304" i="37"/>
  <c r="AL303" i="37"/>
  <c r="AK303" i="37"/>
  <c r="S303" i="37"/>
  <c r="AE303" i="37"/>
  <c r="AL304" i="37"/>
  <c r="AF301" i="37"/>
  <c r="AK300" i="37"/>
  <c r="AM300" i="37"/>
  <c r="V299" i="37"/>
  <c r="AM299" i="37" s="1"/>
  <c r="Q299" i="37"/>
  <c r="AH299" i="37" s="1"/>
  <c r="AM298" i="37"/>
  <c r="AH298" i="37"/>
  <c r="O299" i="37"/>
  <c r="AK297" i="37"/>
  <c r="AH297" i="37"/>
  <c r="U297" i="37"/>
  <c r="AL297" i="37" s="1"/>
  <c r="O297" i="37"/>
  <c r="AF297" i="37" s="1"/>
  <c r="N297" i="37"/>
  <c r="AE297" i="37" s="1"/>
  <c r="V297" i="37"/>
  <c r="AM297" i="37" s="1"/>
  <c r="T297" i="37"/>
  <c r="Q297" i="37"/>
  <c r="U296" i="37"/>
  <c r="AL296" i="37" s="1"/>
  <c r="Q296" i="37"/>
  <c r="AH296" i="37" s="1"/>
  <c r="O296" i="37"/>
  <c r="AF296" i="37" s="1"/>
  <c r="N296" i="37"/>
  <c r="V296" i="37"/>
  <c r="AM296" i="37" s="1"/>
  <c r="T296" i="37"/>
  <c r="AK296" i="37" s="1"/>
  <c r="AJ296" i="37" s="1"/>
  <c r="AI296" i="37" s="1"/>
  <c r="V295" i="37"/>
  <c r="AM295" i="37" s="1"/>
  <c r="T295" i="37"/>
  <c r="AK295" i="37" s="1"/>
  <c r="O295" i="37"/>
  <c r="AF295" i="37" s="1"/>
  <c r="N295" i="37"/>
  <c r="AE295" i="37" s="1"/>
  <c r="AK294" i="37"/>
  <c r="AM294" i="37"/>
  <c r="AH294" i="37"/>
  <c r="AF294" i="37"/>
  <c r="Q293" i="37"/>
  <c r="AH293" i="37" s="1"/>
  <c r="N293" i="37"/>
  <c r="AE293" i="37" s="1"/>
  <c r="AH292" i="37"/>
  <c r="AH291" i="37"/>
  <c r="AE291" i="37"/>
  <c r="V293" i="37"/>
  <c r="AM293" i="37" s="1"/>
  <c r="AL291" i="37"/>
  <c r="AK291" i="37"/>
  <c r="AM292" i="37"/>
  <c r="V290" i="37"/>
  <c r="AM290" i="37" s="1"/>
  <c r="AM289" i="37"/>
  <c r="AL289" i="37"/>
  <c r="U290" i="37"/>
  <c r="AL290" i="37" s="1"/>
  <c r="AK289" i="37"/>
  <c r="AJ289" i="37" s="1"/>
  <c r="AI289" i="37" s="1"/>
  <c r="AF287" i="37"/>
  <c r="AL287" i="37"/>
  <c r="V286" i="37"/>
  <c r="AM286" i="37" s="1"/>
  <c r="U286" i="37"/>
  <c r="AL286" i="37" s="1"/>
  <c r="T286" i="37"/>
  <c r="AM285" i="37"/>
  <c r="AM284" i="37"/>
  <c r="AL284" i="37"/>
  <c r="AK284" i="37"/>
  <c r="AJ284" i="37" s="1"/>
  <c r="AI284" i="37" s="1"/>
  <c r="S284" i="37"/>
  <c r="R284" i="37"/>
  <c r="P284" i="37" s="1"/>
  <c r="AH284" i="37"/>
  <c r="O286" i="37"/>
  <c r="AL285" i="37"/>
  <c r="V283" i="37"/>
  <c r="AM283" i="37" s="1"/>
  <c r="O283" i="37"/>
  <c r="AH282" i="37"/>
  <c r="N283" i="37"/>
  <c r="AM282" i="37"/>
  <c r="O281" i="37"/>
  <c r="N281" i="37"/>
  <c r="AE277" i="37"/>
  <c r="AL277" i="37"/>
  <c r="AK277" i="37"/>
  <c r="AJ277" i="37" s="1"/>
  <c r="S277" i="37"/>
  <c r="AH276" i="37"/>
  <c r="AF276" i="37"/>
  <c r="AF275" i="37"/>
  <c r="AE275" i="37"/>
  <c r="AL276" i="37"/>
  <c r="AF273" i="37"/>
  <c r="AE273" i="37"/>
  <c r="AK273" i="37"/>
  <c r="AH273" i="37"/>
  <c r="AF272" i="37"/>
  <c r="T271" i="37"/>
  <c r="AK271" i="37" s="1"/>
  <c r="Q271" i="37"/>
  <c r="AH271" i="37" s="1"/>
  <c r="U271" i="37"/>
  <c r="AL271" i="37" s="1"/>
  <c r="O271" i="37"/>
  <c r="AF271" i="37" s="1"/>
  <c r="N271" i="37"/>
  <c r="AE271" i="37" s="1"/>
  <c r="N270" i="37"/>
  <c r="AE270" i="37" s="1"/>
  <c r="AM269" i="37"/>
  <c r="AM268" i="37"/>
  <c r="AF268" i="37"/>
  <c r="AE268" i="37"/>
  <c r="AM267" i="37"/>
  <c r="Q266" i="37"/>
  <c r="N266" i="37"/>
  <c r="AE266" i="37" s="1"/>
  <c r="V266" i="37"/>
  <c r="AM266" i="37" s="1"/>
  <c r="U266" i="37"/>
  <c r="AL266" i="37" s="1"/>
  <c r="T266" i="37"/>
  <c r="AE263" i="37"/>
  <c r="AE262" i="37"/>
  <c r="AE261" i="37"/>
  <c r="AE259" i="37"/>
  <c r="AL261" i="37"/>
  <c r="AK255" i="37"/>
  <c r="AH255" i="37"/>
  <c r="AF255" i="37"/>
  <c r="AL255" i="37"/>
  <c r="AJ255" i="37" s="1"/>
  <c r="AK254" i="37"/>
  <c r="AH254" i="37"/>
  <c r="AF254" i="37"/>
  <c r="AH253" i="37"/>
  <c r="AF253" i="37"/>
  <c r="AK252" i="37"/>
  <c r="AF252" i="37"/>
  <c r="AH252" i="37"/>
  <c r="AK251" i="37"/>
  <c r="AF251" i="37"/>
  <c r="AM251" i="37"/>
  <c r="O256" i="37"/>
  <c r="AF256" i="37" s="1"/>
  <c r="V250" i="37"/>
  <c r="AM250" i="37" s="1"/>
  <c r="Q250" i="37"/>
  <c r="AH250" i="37" s="1"/>
  <c r="AF249" i="37"/>
  <c r="AE249" i="37"/>
  <c r="AM248" i="37"/>
  <c r="AL248" i="37"/>
  <c r="AH248" i="37"/>
  <c r="AF248" i="37"/>
  <c r="AE248" i="37"/>
  <c r="AL247" i="37"/>
  <c r="AM247" i="37"/>
  <c r="AH247" i="37"/>
  <c r="AM249" i="37"/>
  <c r="AL249" i="37"/>
  <c r="AH245" i="37"/>
  <c r="AL245" i="37"/>
  <c r="AF245" i="37"/>
  <c r="AE245" i="37"/>
  <c r="U244" i="37"/>
  <c r="AL244" i="37" s="1"/>
  <c r="T244" i="37"/>
  <c r="AK244" i="37" s="1"/>
  <c r="AJ244" i="37" s="1"/>
  <c r="S244" i="37"/>
  <c r="AL243" i="37"/>
  <c r="AJ242" i="37"/>
  <c r="AI242" i="37"/>
  <c r="AG242" i="37" s="1"/>
  <c r="AD242" i="37" s="1"/>
  <c r="O242" i="37"/>
  <c r="AJ241" i="37"/>
  <c r="AI241" i="37" s="1"/>
  <c r="AG241" i="37" s="1"/>
  <c r="AD241" i="37" s="1"/>
  <c r="Q242" i="37"/>
  <c r="AH239" i="37"/>
  <c r="AH238" i="37"/>
  <c r="AM236" i="37"/>
  <c r="AE236" i="37"/>
  <c r="AL236" i="37"/>
  <c r="AK236" i="37"/>
  <c r="AJ236" i="37" s="1"/>
  <c r="S236" i="37"/>
  <c r="R236" i="37"/>
  <c r="AH236" i="37"/>
  <c r="AF236" i="37"/>
  <c r="AE235" i="37"/>
  <c r="AM235" i="37"/>
  <c r="AL235" i="37"/>
  <c r="AF235" i="37"/>
  <c r="AM234" i="37"/>
  <c r="AK234" i="37"/>
  <c r="AF234" i="37"/>
  <c r="AE234" i="37"/>
  <c r="AL234" i="37"/>
  <c r="AM233" i="37"/>
  <c r="AL233" i="37"/>
  <c r="AK233" i="37"/>
  <c r="AJ233" i="37"/>
  <c r="AI233" i="37" s="1"/>
  <c r="AE233" i="37"/>
  <c r="S233" i="37"/>
  <c r="R233" i="37"/>
  <c r="AH233" i="37"/>
  <c r="AF233" i="37"/>
  <c r="AL232" i="37"/>
  <c r="AM232" i="37"/>
  <c r="AK232" i="37"/>
  <c r="S232" i="37"/>
  <c r="R232" i="37" s="1"/>
  <c r="AH232" i="37"/>
  <c r="AF232" i="37"/>
  <c r="AL231" i="37"/>
  <c r="AK231" i="37"/>
  <c r="AH231" i="37"/>
  <c r="AK229" i="37"/>
  <c r="AM229" i="37"/>
  <c r="AL229" i="37"/>
  <c r="AJ229" i="37" s="1"/>
  <c r="AI229" i="37" s="1"/>
  <c r="AF228" i="37"/>
  <c r="AM228" i="37"/>
  <c r="AL228" i="37"/>
  <c r="AH228" i="37"/>
  <c r="AF227" i="37"/>
  <c r="AL227" i="37"/>
  <c r="AH227" i="37"/>
  <c r="V224" i="37"/>
  <c r="AM224" i="37" s="1"/>
  <c r="Q224" i="37"/>
  <c r="AH224" i="37" s="1"/>
  <c r="AL223" i="37"/>
  <c r="AH223" i="37"/>
  <c r="AF223" i="37"/>
  <c r="AM223" i="37"/>
  <c r="O224" i="37"/>
  <c r="AF224" i="37" s="1"/>
  <c r="AE223" i="37"/>
  <c r="AL220" i="37"/>
  <c r="AM219" i="37"/>
  <c r="AL219" i="37"/>
  <c r="AK219" i="37"/>
  <c r="AL218" i="37"/>
  <c r="AM218" i="37"/>
  <c r="AF218" i="37"/>
  <c r="AK217" i="37"/>
  <c r="AH217" i="37"/>
  <c r="AL221" i="37"/>
  <c r="AL215" i="37"/>
  <c r="AK215" i="37"/>
  <c r="AJ215" i="37" s="1"/>
  <c r="S215" i="37"/>
  <c r="R215" i="37"/>
  <c r="AF215" i="37"/>
  <c r="AM214" i="37"/>
  <c r="AL214" i="37"/>
  <c r="AL212" i="37"/>
  <c r="AK212" i="37"/>
  <c r="AJ212" i="37" s="1"/>
  <c r="AM212" i="37"/>
  <c r="AL211" i="37"/>
  <c r="AJ211" i="37" s="1"/>
  <c r="AI211" i="37" s="1"/>
  <c r="AK211" i="37"/>
  <c r="AM211" i="37"/>
  <c r="S211" i="37"/>
  <c r="R211" i="37" s="1"/>
  <c r="AH210" i="37"/>
  <c r="AM210" i="37"/>
  <c r="U213" i="37"/>
  <c r="AL213" i="37" s="1"/>
  <c r="AF208" i="37"/>
  <c r="AL208" i="37"/>
  <c r="AK208" i="37"/>
  <c r="AJ208" i="37" s="1"/>
  <c r="AH208" i="37"/>
  <c r="AE208" i="37"/>
  <c r="AM207" i="37"/>
  <c r="AL207" i="37"/>
  <c r="AK207" i="37"/>
  <c r="S207" i="37"/>
  <c r="R207" i="37" s="1"/>
  <c r="P207" i="37" s="1"/>
  <c r="AH207" i="37"/>
  <c r="AL206" i="37"/>
  <c r="AK206" i="37"/>
  <c r="AH206" i="37"/>
  <c r="AM206" i="37"/>
  <c r="S206" i="37"/>
  <c r="R206" i="37" s="1"/>
  <c r="AF206" i="37"/>
  <c r="AF205" i="37"/>
  <c r="AE205" i="37"/>
  <c r="AM205" i="37"/>
  <c r="AL205" i="37"/>
  <c r="AL204" i="37"/>
  <c r="AK204" i="37"/>
  <c r="AJ204" i="37" s="1"/>
  <c r="S204" i="37"/>
  <c r="AH204" i="37"/>
  <c r="AF204" i="37"/>
  <c r="AE204" i="37"/>
  <c r="AF203" i="37"/>
  <c r="AE203" i="37"/>
  <c r="AL203" i="37"/>
  <c r="AK203" i="37"/>
  <c r="S203" i="37"/>
  <c r="AE201" i="37"/>
  <c r="AM201" i="37"/>
  <c r="AM200" i="37"/>
  <c r="AE200" i="37"/>
  <c r="AM199" i="37"/>
  <c r="AE199" i="37"/>
  <c r="AH199" i="37"/>
  <c r="AM198" i="37"/>
  <c r="AE197" i="37"/>
  <c r="AM197" i="37"/>
  <c r="AL197" i="37"/>
  <c r="AF197" i="37"/>
  <c r="AM196" i="37"/>
  <c r="AM195" i="37"/>
  <c r="AL195" i="37"/>
  <c r="S195" i="37"/>
  <c r="R195" i="37" s="1"/>
  <c r="P195" i="37" s="1"/>
  <c r="AH195" i="37"/>
  <c r="AF195" i="37"/>
  <c r="AE195" i="37"/>
  <c r="AM194" i="37"/>
  <c r="AF194" i="37"/>
  <c r="AE194" i="37"/>
  <c r="AM193" i="37"/>
  <c r="AK193" i="37"/>
  <c r="AE193" i="37"/>
  <c r="AM192" i="37"/>
  <c r="AH192" i="37"/>
  <c r="AM191" i="37"/>
  <c r="AE191" i="37"/>
  <c r="AM190" i="37"/>
  <c r="AL190" i="37"/>
  <c r="AF190" i="37"/>
  <c r="AE189" i="37"/>
  <c r="AH187" i="37"/>
  <c r="AF187" i="37"/>
  <c r="AE187" i="37"/>
  <c r="AH186" i="37"/>
  <c r="AF186" i="37"/>
  <c r="AL185" i="37"/>
  <c r="AE185" i="37"/>
  <c r="AF185" i="37"/>
  <c r="AL184" i="37"/>
  <c r="AF184" i="37"/>
  <c r="AK184" i="37"/>
  <c r="AE184" i="37"/>
  <c r="AF183" i="37"/>
  <c r="AM183" i="37"/>
  <c r="AL183" i="37"/>
  <c r="AK183" i="37"/>
  <c r="S183" i="37"/>
  <c r="R183" i="37"/>
  <c r="AL182" i="37"/>
  <c r="AM182" i="37"/>
  <c r="AK182" i="37"/>
  <c r="S182" i="37"/>
  <c r="R182" i="37" s="1"/>
  <c r="AF181" i="37"/>
  <c r="AE181" i="37"/>
  <c r="AM181" i="37"/>
  <c r="AF182" i="37"/>
  <c r="AM179" i="37"/>
  <c r="AL179" i="37"/>
  <c r="AK178" i="37"/>
  <c r="AF178" i="37"/>
  <c r="AM178" i="37"/>
  <c r="AK177" i="37"/>
  <c r="AM177" i="37"/>
  <c r="AF177" i="37"/>
  <c r="AL176" i="37"/>
  <c r="AM176" i="37"/>
  <c r="AK176" i="37"/>
  <c r="AF179" i="37"/>
  <c r="N175" i="37"/>
  <c r="AE175" i="37" s="1"/>
  <c r="AL174" i="37"/>
  <c r="AE174" i="37"/>
  <c r="AH174" i="37"/>
  <c r="AF174" i="37"/>
  <c r="AK172" i="37"/>
  <c r="AM168" i="37"/>
  <c r="AH163" i="37"/>
  <c r="Q162" i="37"/>
  <c r="AM161" i="37"/>
  <c r="V162" i="37"/>
  <c r="AM162" i="37" s="1"/>
  <c r="AH161" i="37"/>
  <c r="AL160" i="37"/>
  <c r="AE160" i="37"/>
  <c r="AL159" i="37"/>
  <c r="AF159" i="37"/>
  <c r="AE159" i="37"/>
  <c r="AM158" i="37"/>
  <c r="AL158" i="37"/>
  <c r="V160" i="37"/>
  <c r="AM160" i="37" s="1"/>
  <c r="U160" i="37"/>
  <c r="AF158" i="37"/>
  <c r="N160" i="37"/>
  <c r="AM159" i="37"/>
  <c r="AK156" i="37"/>
  <c r="AF156" i="37"/>
  <c r="AH155" i="37"/>
  <c r="AF155" i="37"/>
  <c r="AK148" i="37"/>
  <c r="AM148" i="37"/>
  <c r="AL148" i="37"/>
  <c r="AF148" i="37"/>
  <c r="AE148" i="37"/>
  <c r="AM147" i="37"/>
  <c r="AL147" i="37"/>
  <c r="AK147" i="37"/>
  <c r="S147" i="37"/>
  <c r="R147" i="37" s="1"/>
  <c r="P147" i="37" s="1"/>
  <c r="AH147" i="37"/>
  <c r="AF147" i="37"/>
  <c r="AE147" i="37"/>
  <c r="AM146" i="37"/>
  <c r="AL146" i="37"/>
  <c r="S146" i="37"/>
  <c r="R146" i="37" s="1"/>
  <c r="AF146" i="37"/>
  <c r="AM145" i="37"/>
  <c r="AL145" i="37"/>
  <c r="AK145" i="37"/>
  <c r="AJ145" i="37" s="1"/>
  <c r="AI145" i="37" s="1"/>
  <c r="S145" i="37"/>
  <c r="R145" i="37" s="1"/>
  <c r="AF145" i="37"/>
  <c r="AE146" i="37"/>
  <c r="U144" i="37"/>
  <c r="AL144" i="37" s="1"/>
  <c r="Q144" i="37"/>
  <c r="V144" i="37"/>
  <c r="T144" i="37"/>
  <c r="AK144" i="37" s="1"/>
  <c r="O144" i="37"/>
  <c r="AF144" i="37" s="1"/>
  <c r="Q143" i="37"/>
  <c r="AH143" i="37" s="1"/>
  <c r="AK142" i="37"/>
  <c r="AH142" i="37"/>
  <c r="AK141" i="37"/>
  <c r="T143" i="37"/>
  <c r="V140" i="37"/>
  <c r="AM140" i="37" s="1"/>
  <c r="Q140" i="37"/>
  <c r="AH140" i="37" s="1"/>
  <c r="O140" i="37"/>
  <c r="AF140" i="37" s="1"/>
  <c r="AM139" i="37"/>
  <c r="S139" i="37"/>
  <c r="R139" i="37" s="1"/>
  <c r="AK139" i="37"/>
  <c r="AF139" i="37"/>
  <c r="AE139" i="37"/>
  <c r="AM138" i="37"/>
  <c r="AH138" i="37"/>
  <c r="AK138" i="37"/>
  <c r="S138" i="37"/>
  <c r="R138" i="37"/>
  <c r="P138" i="37" s="1"/>
  <c r="AF138" i="37"/>
  <c r="T137" i="37"/>
  <c r="AK137" i="37" s="1"/>
  <c r="AK136" i="37"/>
  <c r="AL136" i="37"/>
  <c r="S136" i="37"/>
  <c r="AE136" i="37"/>
  <c r="Q135" i="37"/>
  <c r="AH135" i="37" s="1"/>
  <c r="AH134" i="37"/>
  <c r="AE134" i="37"/>
  <c r="V133" i="37"/>
  <c r="AM133" i="37" s="1"/>
  <c r="U133" i="37"/>
  <c r="AL133" i="37" s="1"/>
  <c r="T133" i="37"/>
  <c r="AK133" i="37" s="1"/>
  <c r="S133" i="37"/>
  <c r="R133" i="37"/>
  <c r="Q133" i="37"/>
  <c r="AH133" i="37" s="1"/>
  <c r="O133" i="37"/>
  <c r="AF133" i="37" s="1"/>
  <c r="N133" i="37"/>
  <c r="AE133" i="37" s="1"/>
  <c r="V132" i="37"/>
  <c r="AM132" i="37" s="1"/>
  <c r="AM131" i="37"/>
  <c r="AE131" i="37"/>
  <c r="AK131" i="37"/>
  <c r="S131" i="37"/>
  <c r="R131" i="37" s="1"/>
  <c r="N132" i="37"/>
  <c r="T130" i="37"/>
  <c r="AK130" i="37" s="1"/>
  <c r="Q130" i="37"/>
  <c r="V130" i="37"/>
  <c r="AM130" i="37" s="1"/>
  <c r="U130" i="37"/>
  <c r="AL130" i="37" s="1"/>
  <c r="O130" i="37"/>
  <c r="AF130" i="37" s="1"/>
  <c r="AF128" i="37"/>
  <c r="AE128" i="37"/>
  <c r="AH127" i="37"/>
  <c r="AH126" i="37"/>
  <c r="AF126" i="37"/>
  <c r="AE126" i="37"/>
  <c r="AH125" i="37"/>
  <c r="AF125" i="37"/>
  <c r="AE125" i="37"/>
  <c r="AM124" i="37"/>
  <c r="AL124" i="37"/>
  <c r="AK124" i="37"/>
  <c r="AJ124" i="37" s="1"/>
  <c r="AI124" i="37" s="1"/>
  <c r="AF124" i="37"/>
  <c r="AE124" i="37"/>
  <c r="AH123" i="37"/>
  <c r="AF123" i="37"/>
  <c r="AE123" i="37"/>
  <c r="AM122" i="37"/>
  <c r="AL122" i="37"/>
  <c r="AF122" i="37"/>
  <c r="V121" i="37"/>
  <c r="AM121" i="37" s="1"/>
  <c r="U121" i="37"/>
  <c r="AL121" i="37" s="1"/>
  <c r="N121" i="37"/>
  <c r="AE121" i="37" s="1"/>
  <c r="T121" i="37"/>
  <c r="Q121" i="37"/>
  <c r="V120" i="37"/>
  <c r="AM120" i="37" s="1"/>
  <c r="U120" i="37"/>
  <c r="AL120" i="37" s="1"/>
  <c r="T120" i="37"/>
  <c r="AK120" i="37" s="1"/>
  <c r="AJ120" i="37" s="1"/>
  <c r="Q120" i="37"/>
  <c r="O120" i="37"/>
  <c r="AF120" i="37" s="1"/>
  <c r="AM118" i="37"/>
  <c r="AK118" i="37"/>
  <c r="AL118" i="37"/>
  <c r="S118" i="37"/>
  <c r="R118" i="37" s="1"/>
  <c r="AF118" i="37"/>
  <c r="AM117" i="37"/>
  <c r="V119" i="37"/>
  <c r="AM119" i="37" s="1"/>
  <c r="AL117" i="37"/>
  <c r="S117" i="37"/>
  <c r="R117" i="37" s="1"/>
  <c r="P117" i="37"/>
  <c r="AM116" i="37"/>
  <c r="AL116" i="37"/>
  <c r="AH116" i="37"/>
  <c r="U119" i="37"/>
  <c r="AL119" i="37" s="1"/>
  <c r="AK116" i="37"/>
  <c r="AF116" i="37"/>
  <c r="AE116" i="37"/>
  <c r="T119" i="37"/>
  <c r="AH117" i="37"/>
  <c r="AE117" i="37"/>
  <c r="AF115" i="37"/>
  <c r="AH114" i="37"/>
  <c r="AF114" i="37"/>
  <c r="AM113" i="37"/>
  <c r="AH113" i="37"/>
  <c r="AL113" i="37"/>
  <c r="AK113" i="37"/>
  <c r="AJ113" i="37" s="1"/>
  <c r="AI113" i="37" s="1"/>
  <c r="S113" i="37"/>
  <c r="R113" i="37"/>
  <c r="P113" i="37" s="1"/>
  <c r="AF113" i="37"/>
  <c r="AH112" i="37"/>
  <c r="AL112" i="37"/>
  <c r="AF112" i="37"/>
  <c r="AL111" i="37"/>
  <c r="AK111" i="37"/>
  <c r="AJ111" i="37" s="1"/>
  <c r="AI111" i="37" s="1"/>
  <c r="S111" i="37"/>
  <c r="R111" i="37" s="1"/>
  <c r="AF111" i="37"/>
  <c r="AL110" i="37"/>
  <c r="AM110" i="37"/>
  <c r="AK110" i="37"/>
  <c r="AJ110" i="37" s="1"/>
  <c r="S110" i="37"/>
  <c r="R110" i="37"/>
  <c r="P110" i="37" s="1"/>
  <c r="M110" i="37" s="1"/>
  <c r="AH110" i="37"/>
  <c r="O115" i="37"/>
  <c r="AM111" i="37"/>
  <c r="V109" i="37"/>
  <c r="AM109" i="37" s="1"/>
  <c r="U109" i="37"/>
  <c r="AL109" i="37" s="1"/>
  <c r="AL106" i="37"/>
  <c r="AL105" i="37"/>
  <c r="AM105" i="37"/>
  <c r="AL104" i="37"/>
  <c r="AF104" i="37"/>
  <c r="U102" i="37"/>
  <c r="AL102" i="37" s="1"/>
  <c r="T102" i="37"/>
  <c r="AK102" i="37" s="1"/>
  <c r="AJ102" i="37" s="1"/>
  <c r="AI102" i="37" s="1"/>
  <c r="S102" i="37"/>
  <c r="R102" i="37"/>
  <c r="Q102" i="37"/>
  <c r="O102" i="37"/>
  <c r="AF102" i="37" s="1"/>
  <c r="N102" i="37"/>
  <c r="V102" i="37"/>
  <c r="AM102" i="37" s="1"/>
  <c r="V101" i="37"/>
  <c r="AM101" i="37" s="1"/>
  <c r="U101" i="37"/>
  <c r="AL101" i="37" s="1"/>
  <c r="T101" i="37"/>
  <c r="O101" i="37"/>
  <c r="AF101" i="37" s="1"/>
  <c r="Q101" i="37"/>
  <c r="AH101" i="37" s="1"/>
  <c r="AE99" i="37"/>
  <c r="AH99" i="37"/>
  <c r="AF99" i="37"/>
  <c r="AH97" i="37"/>
  <c r="AE97" i="37"/>
  <c r="AF98" i="37"/>
  <c r="V96" i="37"/>
  <c r="AM96" i="37" s="1"/>
  <c r="O96" i="37"/>
  <c r="AF96" i="37" s="1"/>
  <c r="N96" i="37"/>
  <c r="AF95" i="37"/>
  <c r="AE95" i="37"/>
  <c r="AM95" i="37"/>
  <c r="AL95" i="37"/>
  <c r="AM94" i="37"/>
  <c r="AL94" i="37"/>
  <c r="AF94" i="37"/>
  <c r="AE94" i="37"/>
  <c r="AE93" i="37"/>
  <c r="AL93" i="37"/>
  <c r="AF93" i="37"/>
  <c r="AF92" i="37"/>
  <c r="AM92" i="37"/>
  <c r="AL92" i="37"/>
  <c r="AE92" i="37"/>
  <c r="AM93" i="37"/>
  <c r="AK90" i="37"/>
  <c r="AL90" i="37"/>
  <c r="AH90" i="37"/>
  <c r="AF90" i="37"/>
  <c r="AE90" i="37"/>
  <c r="AH89" i="37"/>
  <c r="AK88" i="37"/>
  <c r="AM88" i="37"/>
  <c r="S88" i="37"/>
  <c r="R88" i="37" s="1"/>
  <c r="AF88" i="37"/>
  <c r="AE88" i="37"/>
  <c r="Q87" i="37"/>
  <c r="AH87" i="37" s="1"/>
  <c r="AL86" i="37"/>
  <c r="AH86" i="37"/>
  <c r="AK85" i="37"/>
  <c r="AH85" i="37"/>
  <c r="AM85" i="37"/>
  <c r="AL85" i="37"/>
  <c r="S85" i="37"/>
  <c r="R85" i="37" s="1"/>
  <c r="P85" i="37" s="1"/>
  <c r="AL84" i="37"/>
  <c r="AK84" i="37"/>
  <c r="AJ84" i="37" s="1"/>
  <c r="AH84" i="37"/>
  <c r="S84" i="37"/>
  <c r="R84" i="37" s="1"/>
  <c r="P84" i="37" s="1"/>
  <c r="AM86" i="37"/>
  <c r="AM82" i="37"/>
  <c r="AL82" i="37"/>
  <c r="AF82" i="37"/>
  <c r="AM81" i="37"/>
  <c r="AL81" i="37"/>
  <c r="AH81" i="37"/>
  <c r="AF81" i="37"/>
  <c r="AE81" i="37"/>
  <c r="AF80" i="37"/>
  <c r="AE80" i="37"/>
  <c r="AM80" i="37"/>
  <c r="AL80" i="37"/>
  <c r="AL79" i="37"/>
  <c r="AF79" i="37"/>
  <c r="AE79" i="37"/>
  <c r="AM79" i="37"/>
  <c r="AF78" i="37"/>
  <c r="AM78" i="37"/>
  <c r="AL78" i="37"/>
  <c r="O83" i="37"/>
  <c r="AF83" i="37" s="1"/>
  <c r="AL76" i="37"/>
  <c r="AH76" i="37"/>
  <c r="AE76" i="37"/>
  <c r="AL75" i="37"/>
  <c r="AE75" i="37"/>
  <c r="AH75" i="37"/>
  <c r="AL74" i="37"/>
  <c r="AH74" i="37"/>
  <c r="AF74" i="37"/>
  <c r="AL73" i="37"/>
  <c r="AH73" i="37"/>
  <c r="AF73" i="37"/>
  <c r="AE73" i="37"/>
  <c r="AL72" i="37"/>
  <c r="AF72" i="37"/>
  <c r="AE72" i="37"/>
  <c r="Q70" i="37"/>
  <c r="O70" i="37"/>
  <c r="AF70" i="37" s="1"/>
  <c r="V70" i="37"/>
  <c r="AM70" i="37" s="1"/>
  <c r="U70" i="37"/>
  <c r="AL70" i="37" s="1"/>
  <c r="T70" i="37"/>
  <c r="AK70" i="37" s="1"/>
  <c r="U69" i="37"/>
  <c r="AL69" i="37" s="1"/>
  <c r="T69" i="37"/>
  <c r="AK69" i="37" s="1"/>
  <c r="O69" i="37"/>
  <c r="AF69" i="37" s="1"/>
  <c r="N69" i="37"/>
  <c r="AE69" i="37" s="1"/>
  <c r="AF68" i="37"/>
  <c r="AE68" i="37"/>
  <c r="AL68" i="37"/>
  <c r="S68" i="37"/>
  <c r="AM66" i="37"/>
  <c r="AM65" i="37"/>
  <c r="AL65" i="37"/>
  <c r="AM63" i="37"/>
  <c r="AL63" i="37"/>
  <c r="AM62" i="37"/>
  <c r="AL61" i="37"/>
  <c r="AM64" i="37"/>
  <c r="AL64" i="37"/>
  <c r="AM59" i="37"/>
  <c r="AH59" i="37"/>
  <c r="AF59" i="37"/>
  <c r="AE58" i="37"/>
  <c r="AM58" i="37"/>
  <c r="AF58" i="37"/>
  <c r="AE57" i="37"/>
  <c r="AM57" i="37"/>
  <c r="AH57" i="37"/>
  <c r="AF57" i="37"/>
  <c r="AF56" i="37"/>
  <c r="AF55" i="37"/>
  <c r="AM55" i="37"/>
  <c r="AM54" i="37"/>
  <c r="AH53" i="37"/>
  <c r="AF53" i="37"/>
  <c r="AM53" i="37"/>
  <c r="AH52" i="37"/>
  <c r="AM52" i="37"/>
  <c r="AF52" i="37"/>
  <c r="AE52" i="37"/>
  <c r="AH51" i="37"/>
  <c r="AF51" i="37"/>
  <c r="AE51" i="37"/>
  <c r="AF50" i="37"/>
  <c r="AE50" i="37"/>
  <c r="AH49" i="37"/>
  <c r="AF49" i="37"/>
  <c r="AM48" i="37"/>
  <c r="AK48" i="37"/>
  <c r="AH48" i="37"/>
  <c r="AF48" i="37"/>
  <c r="AE48" i="37"/>
  <c r="AM47" i="37"/>
  <c r="AE47" i="37"/>
  <c r="AF47" i="37"/>
  <c r="AF46" i="37"/>
  <c r="AE46" i="37"/>
  <c r="AM46" i="37"/>
  <c r="AM45" i="37"/>
  <c r="AH45" i="37"/>
  <c r="AF45" i="37"/>
  <c r="AH43" i="37"/>
  <c r="AF43" i="37"/>
  <c r="AF42" i="37"/>
  <c r="AE42" i="37"/>
  <c r="AH41" i="37"/>
  <c r="AF41" i="37"/>
  <c r="AE41" i="37"/>
  <c r="AH40" i="37"/>
  <c r="AE40" i="37"/>
  <c r="AK39" i="37"/>
  <c r="AH39" i="37"/>
  <c r="AF39" i="37"/>
  <c r="AM38" i="37"/>
  <c r="AE38" i="37"/>
  <c r="V37" i="37"/>
  <c r="AM37" i="37" s="1"/>
  <c r="AE36" i="37"/>
  <c r="AM36" i="37"/>
  <c r="AL36" i="37"/>
  <c r="V35" i="37"/>
  <c r="AM35" i="37" s="1"/>
  <c r="U35" i="37"/>
  <c r="AL35" i="37" s="1"/>
  <c r="T35" i="37"/>
  <c r="AK35" i="37" s="1"/>
  <c r="Q35" i="37"/>
  <c r="AH35" i="37" s="1"/>
  <c r="O35" i="37"/>
  <c r="AF35" i="37" s="1"/>
  <c r="N35" i="37"/>
  <c r="AF33" i="37"/>
  <c r="AE33" i="37"/>
  <c r="AM32" i="37"/>
  <c r="AL32" i="37"/>
  <c r="AF32" i="37"/>
  <c r="AM31" i="37"/>
  <c r="AF31" i="37"/>
  <c r="AL31" i="37"/>
  <c r="AM33" i="37"/>
  <c r="AM29" i="37"/>
  <c r="AL29" i="37"/>
  <c r="AK29" i="37"/>
  <c r="AJ29" i="37"/>
  <c r="AI29" i="37" s="1"/>
  <c r="S29" i="37"/>
  <c r="R29" i="37" s="1"/>
  <c r="AM28" i="37"/>
  <c r="AE28" i="37"/>
  <c r="S28" i="37"/>
  <c r="R28" i="37" s="1"/>
  <c r="AK28" i="37"/>
  <c r="T30" i="37"/>
  <c r="V27" i="37"/>
  <c r="AM27" i="37" s="1"/>
  <c r="U27" i="37"/>
  <c r="AL27" i="37" s="1"/>
  <c r="T27" i="37"/>
  <c r="S27" i="37" s="1"/>
  <c r="Q27" i="37"/>
  <c r="O27" i="37"/>
  <c r="AF27" i="37" s="1"/>
  <c r="V26" i="37"/>
  <c r="AM26" i="37" s="1"/>
  <c r="AM25" i="37"/>
  <c r="AL25" i="37"/>
  <c r="AK25" i="37"/>
  <c r="AJ25" i="37" s="1"/>
  <c r="S25" i="37"/>
  <c r="R25" i="37" s="1"/>
  <c r="AK24" i="37"/>
  <c r="AM24" i="37"/>
  <c r="AF24" i="37"/>
  <c r="AE24" i="37"/>
  <c r="AF23" i="37"/>
  <c r="AE23" i="37"/>
  <c r="AK22" i="37"/>
  <c r="AM22" i="37"/>
  <c r="AL22" i="37"/>
  <c r="S22" i="37"/>
  <c r="R22" i="37" s="1"/>
  <c r="AF22" i="37"/>
  <c r="AM21" i="37"/>
  <c r="AL21" i="37"/>
  <c r="S21" i="37"/>
  <c r="R21" i="37" s="1"/>
  <c r="AM23" i="37"/>
  <c r="AL24" i="37"/>
  <c r="AL19" i="37"/>
  <c r="AH19" i="37"/>
  <c r="AF19" i="37"/>
  <c r="AL18" i="37"/>
  <c r="AE18" i="37"/>
  <c r="AF18" i="37"/>
  <c r="AF17" i="37"/>
  <c r="AL17" i="37"/>
  <c r="AF16" i="37"/>
  <c r="AE16" i="37"/>
  <c r="AM16" i="37"/>
  <c r="AL16" i="37"/>
  <c r="AM15" i="37"/>
  <c r="AL15" i="37"/>
  <c r="AF15" i="37"/>
  <c r="AL14" i="37"/>
  <c r="AF14" i="37"/>
  <c r="AE14" i="37"/>
  <c r="AL13" i="37"/>
  <c r="AF13" i="37"/>
  <c r="AE13" i="37"/>
  <c r="AM12" i="37"/>
  <c r="AL12" i="37"/>
  <c r="AK12" i="37"/>
  <c r="S12" i="37"/>
  <c r="R12" i="37"/>
  <c r="P12" i="37" s="1"/>
  <c r="AH12" i="37"/>
  <c r="AF12" i="37"/>
  <c r="AE12" i="37"/>
  <c r="AM11" i="37"/>
  <c r="AL11" i="37"/>
  <c r="AF10" i="37"/>
  <c r="AE10" i="37"/>
  <c r="AL10" i="37"/>
  <c r="AL9" i="37"/>
  <c r="AF9" i="37"/>
  <c r="AE9" i="37"/>
  <c r="AL8" i="37"/>
  <c r="AF8" i="37"/>
  <c r="AF11" i="37"/>
  <c r="AL20" i="17" l="1"/>
  <c r="AH20" i="17"/>
  <c r="AJ20" i="17"/>
  <c r="AI9" i="17"/>
  <c r="AI20" i="17"/>
  <c r="AH9" i="17"/>
  <c r="AB30" i="17"/>
  <c r="AJ30" i="17" s="1"/>
  <c r="H5" i="13"/>
  <c r="AH108" i="17"/>
  <c r="AA108" i="17"/>
  <c r="AB70" i="17"/>
  <c r="AI70" i="17"/>
  <c r="AI14" i="17"/>
  <c r="AB14" i="17"/>
  <c r="AA95" i="17"/>
  <c r="AI95" i="17" s="1"/>
  <c r="AA72" i="17"/>
  <c r="AH72" i="17"/>
  <c r="AA87" i="17"/>
  <c r="AB87" i="17" s="1"/>
  <c r="AC87" i="17" s="1"/>
  <c r="AD87" i="17" s="1"/>
  <c r="AE87" i="17" s="1"/>
  <c r="AM87" i="17" s="1"/>
  <c r="AH109" i="17"/>
  <c r="AA109" i="17"/>
  <c r="AB58" i="17"/>
  <c r="AI58" i="17"/>
  <c r="AJ9" i="17"/>
  <c r="AC9" i="17"/>
  <c r="AA94" i="17"/>
  <c r="AB94" i="17" s="1"/>
  <c r="AC94" i="17" s="1"/>
  <c r="AD94" i="17" s="1"/>
  <c r="AE94" i="17" s="1"/>
  <c r="AM94" i="17" s="1"/>
  <c r="AA88" i="17"/>
  <c r="AB88" i="17" s="1"/>
  <c r="AC88" i="17" s="1"/>
  <c r="AD88" i="17" s="1"/>
  <c r="AE88" i="17" s="1"/>
  <c r="AM88" i="17" s="1"/>
  <c r="AB86" i="17"/>
  <c r="AI86" i="17"/>
  <c r="AB77" i="17"/>
  <c r="AI77" i="17"/>
  <c r="AB76" i="17"/>
  <c r="AI76" i="17"/>
  <c r="AC71" i="17"/>
  <c r="AJ71" i="17"/>
  <c r="AH105" i="17"/>
  <c r="AA105" i="17"/>
  <c r="AH97" i="17"/>
  <c r="AA97" i="17"/>
  <c r="AH96" i="17"/>
  <c r="AA96" i="17"/>
  <c r="AB101" i="17"/>
  <c r="AI101" i="17"/>
  <c r="AA93" i="17"/>
  <c r="AB93" i="17" s="1"/>
  <c r="AC93" i="17" s="1"/>
  <c r="AD93" i="17" s="1"/>
  <c r="AE93" i="17" s="1"/>
  <c r="AM93" i="17" s="1"/>
  <c r="J36" i="26" s="1"/>
  <c r="AA100" i="17"/>
  <c r="AB100" i="17" s="1"/>
  <c r="AC100" i="17" s="1"/>
  <c r="AD100" i="17" s="1"/>
  <c r="AE100" i="17" s="1"/>
  <c r="AM100" i="17" s="1"/>
  <c r="AH85" i="17"/>
  <c r="AA85" i="17"/>
  <c r="AC82" i="17"/>
  <c r="AJ82" i="17"/>
  <c r="AB81" i="17"/>
  <c r="AI81" i="17"/>
  <c r="AB83" i="17"/>
  <c r="AI83" i="17"/>
  <c r="AA78" i="17"/>
  <c r="AB78" i="17" s="1"/>
  <c r="AC78" i="17" s="1"/>
  <c r="AD78" i="17" s="1"/>
  <c r="AE78" i="17" s="1"/>
  <c r="AM78" i="17" s="1"/>
  <c r="AA84" i="17"/>
  <c r="AB84" i="17" s="1"/>
  <c r="AC84" i="17" s="1"/>
  <c r="AD84" i="17" s="1"/>
  <c r="AE84" i="17" s="1"/>
  <c r="AM84" i="17" s="1"/>
  <c r="AI80" i="17"/>
  <c r="AB80" i="17"/>
  <c r="AI68" i="17"/>
  <c r="AB68" i="17"/>
  <c r="AA65" i="17"/>
  <c r="AB65" i="17" s="1"/>
  <c r="AC65" i="17" s="1"/>
  <c r="AD65" i="17" s="1"/>
  <c r="AE65" i="17" s="1"/>
  <c r="AM65" i="17" s="1"/>
  <c r="AB66" i="17"/>
  <c r="AI66" i="17"/>
  <c r="AK20" i="17"/>
  <c r="AA13" i="17"/>
  <c r="AB13" i="17" s="1"/>
  <c r="AH21" i="17"/>
  <c r="AA21" i="17"/>
  <c r="AI60" i="17"/>
  <c r="AB60" i="17"/>
  <c r="AB11" i="17"/>
  <c r="AI11" i="17"/>
  <c r="AH22" i="17"/>
  <c r="AA22" i="17"/>
  <c r="AH27" i="17"/>
  <c r="AA27" i="17"/>
  <c r="AB25" i="17"/>
  <c r="AI25" i="17"/>
  <c r="AB39" i="17"/>
  <c r="AI39" i="17"/>
  <c r="AB45" i="17"/>
  <c r="AI45" i="17"/>
  <c r="AH19" i="17"/>
  <c r="AA19" i="17"/>
  <c r="AH56" i="17"/>
  <c r="AA56" i="17"/>
  <c r="AC53" i="17"/>
  <c r="AJ53" i="17"/>
  <c r="AH38" i="17"/>
  <c r="AA38" i="17"/>
  <c r="AI42" i="17"/>
  <c r="AB42" i="17"/>
  <c r="AC26" i="17"/>
  <c r="AJ26" i="17"/>
  <c r="AH43" i="17"/>
  <c r="AA43" i="17"/>
  <c r="AB37" i="17"/>
  <c r="AI37" i="17"/>
  <c r="AI48" i="17"/>
  <c r="AB48" i="17"/>
  <c r="AH64" i="17"/>
  <c r="AA64" i="17"/>
  <c r="AH57" i="17"/>
  <c r="AA57" i="17"/>
  <c r="AA47" i="17"/>
  <c r="AH47" i="17"/>
  <c r="AH46" i="17"/>
  <c r="AA46" i="17"/>
  <c r="AH17" i="17"/>
  <c r="AA17" i="17"/>
  <c r="AI24" i="17"/>
  <c r="AB24" i="17"/>
  <c r="AC32" i="17"/>
  <c r="AJ32" i="17"/>
  <c r="AH54" i="17"/>
  <c r="AA54" i="17"/>
  <c r="AB15" i="17"/>
  <c r="AI15" i="17"/>
  <c r="AH50" i="17"/>
  <c r="AA50" i="17"/>
  <c r="AH35" i="17"/>
  <c r="AA35" i="17"/>
  <c r="AH69" i="17"/>
  <c r="AA69" i="17"/>
  <c r="AA51" i="17"/>
  <c r="AH51" i="17"/>
  <c r="AB18" i="17"/>
  <c r="AI18" i="17"/>
  <c r="AH40" i="17"/>
  <c r="AA40" i="17"/>
  <c r="AH31" i="17"/>
  <c r="AA31" i="17"/>
  <c r="AH52" i="17"/>
  <c r="AA52" i="17"/>
  <c r="AA16" i="17"/>
  <c r="AB16" i="17" s="1"/>
  <c r="AC16" i="17" s="1"/>
  <c r="AD16" i="17" s="1"/>
  <c r="AA23" i="17"/>
  <c r="AH23" i="17"/>
  <c r="AB61" i="17"/>
  <c r="AI61" i="17"/>
  <c r="AH10" i="17"/>
  <c r="AA10" i="17"/>
  <c r="AA7" i="17"/>
  <c r="AH7" i="17"/>
  <c r="AB8" i="17"/>
  <c r="AI8" i="17"/>
  <c r="AC5" i="17"/>
  <c r="AJ5" i="17"/>
  <c r="AC4" i="17"/>
  <c r="AJ4" i="17"/>
  <c r="R49" i="17"/>
  <c r="AI49" i="17" s="1"/>
  <c r="R6" i="17"/>
  <c r="AI6" i="17" s="1"/>
  <c r="R94" i="17"/>
  <c r="R99" i="17"/>
  <c r="AI99" i="17" s="1"/>
  <c r="R103" i="17"/>
  <c r="AI103" i="17" s="1"/>
  <c r="R106" i="17"/>
  <c r="AI106" i="17" s="1"/>
  <c r="I34" i="17"/>
  <c r="R34" i="17" s="1"/>
  <c r="AI34" i="17" s="1"/>
  <c r="R91" i="17"/>
  <c r="AI91" i="17" s="1"/>
  <c r="R92" i="17"/>
  <c r="AI92" i="17" s="1"/>
  <c r="R93" i="17"/>
  <c r="R98" i="17"/>
  <c r="AI98" i="17" s="1"/>
  <c r="R59" i="17"/>
  <c r="AI59" i="17" s="1"/>
  <c r="R65" i="17"/>
  <c r="R73" i="17"/>
  <c r="AI73" i="17" s="1"/>
  <c r="R75" i="17"/>
  <c r="AI75" i="17" s="1"/>
  <c r="I79" i="17"/>
  <c r="R79" i="17" s="1"/>
  <c r="AI79" i="17" s="1"/>
  <c r="R107" i="17"/>
  <c r="AI107" i="17" s="1"/>
  <c r="R78" i="17"/>
  <c r="R12" i="17"/>
  <c r="AI12" i="17" s="1"/>
  <c r="R102" i="17"/>
  <c r="AI102" i="17" s="1"/>
  <c r="R16" i="17"/>
  <c r="R28" i="17"/>
  <c r="AI28" i="17" s="1"/>
  <c r="R67" i="17"/>
  <c r="AI67" i="17" s="1"/>
  <c r="R104" i="17"/>
  <c r="AI104" i="17" s="1"/>
  <c r="R74" i="17"/>
  <c r="AI74" i="17" s="1"/>
  <c r="R33" i="17"/>
  <c r="AI33" i="17" s="1"/>
  <c r="R62" i="17"/>
  <c r="AI62" i="17" s="1"/>
  <c r="H84" i="17"/>
  <c r="R84" i="17" s="1"/>
  <c r="H63" i="17"/>
  <c r="R63" i="17" s="1"/>
  <c r="AI63" i="17" s="1"/>
  <c r="R87" i="17"/>
  <c r="I90" i="17"/>
  <c r="H90" i="17"/>
  <c r="I100" i="17"/>
  <c r="H89" i="17"/>
  <c r="R89" i="17" s="1"/>
  <c r="AI89" i="17" s="1"/>
  <c r="I88" i="17"/>
  <c r="R88" i="17" s="1"/>
  <c r="AI88" i="17" s="1"/>
  <c r="H100" i="17"/>
  <c r="L89" i="17"/>
  <c r="L88" i="17"/>
  <c r="Q110" i="17"/>
  <c r="L100" i="17"/>
  <c r="L79" i="17"/>
  <c r="L517" i="3"/>
  <c r="S1642" i="35"/>
  <c r="S1645" i="35"/>
  <c r="P133" i="37"/>
  <c r="AJ183" i="37"/>
  <c r="AI183" i="37" s="1"/>
  <c r="S389" i="37"/>
  <c r="R389" i="37" s="1"/>
  <c r="AJ303" i="37"/>
  <c r="AJ271" i="37"/>
  <c r="AI25" i="37"/>
  <c r="S69" i="37"/>
  <c r="S1636" i="35"/>
  <c r="AJ118" i="37"/>
  <c r="S35" i="37"/>
  <c r="R35" i="37" s="1"/>
  <c r="P35" i="37" s="1"/>
  <c r="M35" i="37" s="1"/>
  <c r="AJ69" i="37"/>
  <c r="AJ147" i="37"/>
  <c r="AI147" i="37" s="1"/>
  <c r="AG147" i="37" s="1"/>
  <c r="AD147" i="37" s="1"/>
  <c r="S318" i="37"/>
  <c r="R318" i="37" s="1"/>
  <c r="P318" i="37" s="1"/>
  <c r="S1644" i="35"/>
  <c r="S271" i="37"/>
  <c r="S376" i="37"/>
  <c r="R376" i="37" s="1"/>
  <c r="AJ207" i="37"/>
  <c r="AI207" i="37" s="1"/>
  <c r="AG207" i="37" s="1"/>
  <c r="S297" i="37"/>
  <c r="R297" i="37" s="1"/>
  <c r="AJ343" i="37"/>
  <c r="AI343" i="37" s="1"/>
  <c r="AG343" i="37" s="1"/>
  <c r="AJ376" i="37"/>
  <c r="AI376" i="37" s="1"/>
  <c r="AJ130" i="37"/>
  <c r="AI130" i="37" s="1"/>
  <c r="AG113" i="37"/>
  <c r="AI212" i="37"/>
  <c r="AJ297" i="37"/>
  <c r="AI297" i="37" s="1"/>
  <c r="AG296" i="37"/>
  <c r="AI389" i="37"/>
  <c r="S144" i="37"/>
  <c r="R144" i="37" s="1"/>
  <c r="P144" i="37" s="1"/>
  <c r="AJ70" i="37"/>
  <c r="AI70" i="37" s="1"/>
  <c r="AJ22" i="37"/>
  <c r="AI22" i="37" s="1"/>
  <c r="R27" i="37"/>
  <c r="AJ234" i="37"/>
  <c r="AI234" i="37" s="1"/>
  <c r="AJ338" i="37"/>
  <c r="AJ380" i="37"/>
  <c r="AI380" i="37" s="1"/>
  <c r="AJ35" i="37"/>
  <c r="AI35" i="37" s="1"/>
  <c r="AG35" i="37" s="1"/>
  <c r="AJ320" i="37"/>
  <c r="AI320" i="37" s="1"/>
  <c r="AJ12" i="37"/>
  <c r="AI12" i="37" s="1"/>
  <c r="AG12" i="37" s="1"/>
  <c r="AD12" i="37" s="1"/>
  <c r="AI118" i="37"/>
  <c r="AI120" i="37"/>
  <c r="AG284" i="37"/>
  <c r="AD284" i="37" s="1"/>
  <c r="AJ363" i="37"/>
  <c r="AJ184" i="37"/>
  <c r="AG297" i="37"/>
  <c r="S130" i="37"/>
  <c r="R130" i="37" s="1"/>
  <c r="P130" i="37" s="1"/>
  <c r="AJ176" i="37"/>
  <c r="AI176" i="37" s="1"/>
  <c r="AJ182" i="37"/>
  <c r="AI182" i="37" s="1"/>
  <c r="AI328" i="37"/>
  <c r="AG328" i="37" s="1"/>
  <c r="AJ144" i="37"/>
  <c r="AI144" i="37" s="1"/>
  <c r="S296" i="37"/>
  <c r="R296" i="37" s="1"/>
  <c r="P296" i="37" s="1"/>
  <c r="M296" i="37" s="1"/>
  <c r="AJ232" i="37"/>
  <c r="AI232" i="37" s="1"/>
  <c r="AG232" i="37" s="1"/>
  <c r="P210" i="37"/>
  <c r="S151" i="37"/>
  <c r="R151" i="37" s="1"/>
  <c r="AK151" i="37"/>
  <c r="S306" i="37"/>
  <c r="R306" i="37" s="1"/>
  <c r="P306" i="37" s="1"/>
  <c r="M306" i="37" s="1"/>
  <c r="AK306" i="37"/>
  <c r="AJ306" i="37" s="1"/>
  <c r="AI306" i="37" s="1"/>
  <c r="AG306" i="37" s="1"/>
  <c r="AD306" i="37" s="1"/>
  <c r="AM144" i="37"/>
  <c r="AH78" i="37"/>
  <c r="AK13" i="37"/>
  <c r="AJ13" i="37" s="1"/>
  <c r="S13" i="37"/>
  <c r="R13" i="37" s="1"/>
  <c r="AK58" i="37"/>
  <c r="AK71" i="37"/>
  <c r="S71" i="37"/>
  <c r="S79" i="37"/>
  <c r="R79" i="37" s="1"/>
  <c r="AK79" i="37"/>
  <c r="AJ79" i="37" s="1"/>
  <c r="AI79" i="37" s="1"/>
  <c r="S264" i="37"/>
  <c r="R264" i="37" s="1"/>
  <c r="AK264" i="37"/>
  <c r="AK32" i="37"/>
  <c r="AJ32" i="37" s="1"/>
  <c r="AI32" i="37" s="1"/>
  <c r="S32" i="37"/>
  <c r="R32" i="37" s="1"/>
  <c r="AH64" i="37"/>
  <c r="S223" i="37"/>
  <c r="R223" i="37" s="1"/>
  <c r="P223" i="37" s="1"/>
  <c r="M223" i="37" s="1"/>
  <c r="AK223" i="37"/>
  <c r="AJ223" i="37" s="1"/>
  <c r="AI223" i="37" s="1"/>
  <c r="AG223" i="37" s="1"/>
  <c r="AD223" i="37" s="1"/>
  <c r="AF28" i="37"/>
  <c r="AF29" i="37"/>
  <c r="AH72" i="37"/>
  <c r="AL171" i="37"/>
  <c r="AL172" i="37"/>
  <c r="AJ172" i="37" s="1"/>
  <c r="AL167" i="37"/>
  <c r="AL170" i="37"/>
  <c r="AL169" i="37"/>
  <c r="AF231" i="37"/>
  <c r="O237" i="37"/>
  <c r="AF237" i="37" s="1"/>
  <c r="O265" i="37"/>
  <c r="AF265" i="37" s="1"/>
  <c r="AF264" i="37"/>
  <c r="AF263" i="37"/>
  <c r="AF262" i="37"/>
  <c r="AF259" i="37"/>
  <c r="AF258" i="37"/>
  <c r="AF260" i="37"/>
  <c r="AE353" i="37"/>
  <c r="U34" i="37"/>
  <c r="AL34" i="37" s="1"/>
  <c r="AI69" i="37"/>
  <c r="AE155" i="37"/>
  <c r="Q281" i="37"/>
  <c r="AE296" i="37"/>
  <c r="AD296" i="37" s="1"/>
  <c r="AF303" i="37"/>
  <c r="AE378" i="37"/>
  <c r="S379" i="37"/>
  <c r="R379" i="37" s="1"/>
  <c r="P379" i="37" s="1"/>
  <c r="M379" i="37" s="1"/>
  <c r="T383" i="37"/>
  <c r="AK379" i="37"/>
  <c r="AJ379" i="37" s="1"/>
  <c r="AI379" i="37" s="1"/>
  <c r="U307" i="37"/>
  <c r="AL307" i="37" s="1"/>
  <c r="AJ307" i="37" s="1"/>
  <c r="AI307" i="37" s="1"/>
  <c r="AG307" i="37" s="1"/>
  <c r="AD307" i="37" s="1"/>
  <c r="N130" i="37"/>
  <c r="AL217" i="37"/>
  <c r="AJ217" i="37" s="1"/>
  <c r="U222" i="37"/>
  <c r="AL222" i="37" s="1"/>
  <c r="AE272" i="37"/>
  <c r="N274" i="37"/>
  <c r="AE53" i="37"/>
  <c r="AF117" i="37"/>
  <c r="M117" i="37"/>
  <c r="O119" i="37"/>
  <c r="AF119" i="37" s="1"/>
  <c r="N153" i="37"/>
  <c r="AK318" i="37"/>
  <c r="AJ318" i="37" s="1"/>
  <c r="AI318" i="37" s="1"/>
  <c r="AG318" i="37" s="1"/>
  <c r="E397" i="37"/>
  <c r="N120" i="37"/>
  <c r="O153" i="37"/>
  <c r="AF164" i="37"/>
  <c r="AF165" i="37"/>
  <c r="AF163" i="37"/>
  <c r="AE257" i="37"/>
  <c r="N265" i="37"/>
  <c r="U288" i="37"/>
  <c r="AL288" i="37" s="1"/>
  <c r="AL308" i="37"/>
  <c r="AJ308" i="37" s="1"/>
  <c r="AI308" i="37" s="1"/>
  <c r="S308" i="37"/>
  <c r="R308" i="37" s="1"/>
  <c r="P308" i="37" s="1"/>
  <c r="AH337" i="37"/>
  <c r="AL108" i="37"/>
  <c r="Q153" i="37"/>
  <c r="AL210" i="37"/>
  <c r="AK272" i="37"/>
  <c r="T274" i="37"/>
  <c r="AK336" i="37"/>
  <c r="AJ336" i="37" s="1"/>
  <c r="S336" i="37"/>
  <c r="AK21" i="37"/>
  <c r="AJ21" i="37" s="1"/>
  <c r="AI21" i="37" s="1"/>
  <c r="T26" i="37"/>
  <c r="AL57" i="37"/>
  <c r="AL53" i="37"/>
  <c r="AL49" i="37"/>
  <c r="AL45" i="37"/>
  <c r="AL41" i="37"/>
  <c r="U60" i="37"/>
  <c r="AL51" i="37"/>
  <c r="AL40" i="37"/>
  <c r="AL50" i="37"/>
  <c r="AL55" i="37"/>
  <c r="AL43" i="37"/>
  <c r="AL42" i="37"/>
  <c r="AL56" i="37"/>
  <c r="AL47" i="37"/>
  <c r="AL59" i="37"/>
  <c r="AL38" i="37"/>
  <c r="AM61" i="37"/>
  <c r="V67" i="37"/>
  <c r="AM67" i="37" s="1"/>
  <c r="AJ90" i="37"/>
  <c r="AM108" i="37"/>
  <c r="AH120" i="37"/>
  <c r="AG120" i="37" s="1"/>
  <c r="AK325" i="37"/>
  <c r="AJ325" i="37" s="1"/>
  <c r="AI325" i="37" s="1"/>
  <c r="AG325" i="37" s="1"/>
  <c r="S325" i="37"/>
  <c r="R325" i="37" s="1"/>
  <c r="P325" i="37" s="1"/>
  <c r="AE361" i="37"/>
  <c r="N362" i="37"/>
  <c r="Q202" i="37"/>
  <c r="AF361" i="37"/>
  <c r="O362" i="37"/>
  <c r="AF362" i="37" s="1"/>
  <c r="AE43" i="37"/>
  <c r="AH55" i="37"/>
  <c r="AF154" i="37"/>
  <c r="O157" i="37"/>
  <c r="AF157" i="37" s="1"/>
  <c r="AE161" i="37"/>
  <c r="N162" i="37"/>
  <c r="AL322" i="37"/>
  <c r="AJ322" i="37" s="1"/>
  <c r="AI322" i="37" s="1"/>
  <c r="AG322" i="37" s="1"/>
  <c r="AD322" i="37" s="1"/>
  <c r="U324" i="37"/>
  <c r="AL324" i="37" s="1"/>
  <c r="S347" i="37"/>
  <c r="R347" i="37" s="1"/>
  <c r="P347" i="37" s="1"/>
  <c r="M347" i="37" s="1"/>
  <c r="AL347" i="37"/>
  <c r="AJ347" i="37" s="1"/>
  <c r="AI347" i="37" s="1"/>
  <c r="AG347" i="37" s="1"/>
  <c r="AH130" i="37"/>
  <c r="Q157" i="37"/>
  <c r="AH395" i="37"/>
  <c r="AL99" i="37"/>
  <c r="AL98" i="37"/>
  <c r="AL97" i="37"/>
  <c r="AK169" i="37"/>
  <c r="U87" i="37"/>
  <c r="AL87" i="37" s="1"/>
  <c r="T129" i="37"/>
  <c r="AF221" i="37"/>
  <c r="AF220" i="37"/>
  <c r="AF219" i="37"/>
  <c r="AF217" i="37"/>
  <c r="AH386" i="37"/>
  <c r="O34" i="37"/>
  <c r="AF34" i="37" s="1"/>
  <c r="AL46" i="37"/>
  <c r="S90" i="37"/>
  <c r="R90" i="37" s="1"/>
  <c r="P90" i="37" s="1"/>
  <c r="M90" i="37" s="1"/>
  <c r="AE102" i="37"/>
  <c r="S116" i="37"/>
  <c r="R116" i="37" s="1"/>
  <c r="AL127" i="37"/>
  <c r="AL123" i="37"/>
  <c r="AL125" i="37"/>
  <c r="AL126" i="37"/>
  <c r="AL128" i="37"/>
  <c r="P124" i="37"/>
  <c r="AH124" i="37"/>
  <c r="AG124" i="37" s="1"/>
  <c r="AD124" i="37" s="1"/>
  <c r="U129" i="37"/>
  <c r="AL129" i="37" s="1"/>
  <c r="AF134" i="37"/>
  <c r="O135" i="37"/>
  <c r="AF135" i="37" s="1"/>
  <c r="AL138" i="37"/>
  <c r="AJ138" i="37" s="1"/>
  <c r="AI138" i="37" s="1"/>
  <c r="AG138" i="37" s="1"/>
  <c r="U140" i="37"/>
  <c r="AL140" i="37" s="1"/>
  <c r="AK161" i="37"/>
  <c r="S161" i="37"/>
  <c r="R161" i="37" s="1"/>
  <c r="P161" i="37" s="1"/>
  <c r="M161" i="37" s="1"/>
  <c r="T162" i="37"/>
  <c r="AF171" i="37"/>
  <c r="AF172" i="37"/>
  <c r="AF170" i="37"/>
  <c r="AF167" i="37"/>
  <c r="AF169" i="37"/>
  <c r="AF168" i="37"/>
  <c r="AM225" i="37"/>
  <c r="S245" i="37"/>
  <c r="R245" i="37" s="1"/>
  <c r="P245" i="37" s="1"/>
  <c r="M245" i="37" s="1"/>
  <c r="O274" i="37"/>
  <c r="AF274" i="37" s="1"/>
  <c r="AM291" i="37"/>
  <c r="AL315" i="37"/>
  <c r="AL312" i="37"/>
  <c r="AL313" i="37"/>
  <c r="AL309" i="37"/>
  <c r="AL310" i="37"/>
  <c r="AK210" i="37"/>
  <c r="S210" i="37"/>
  <c r="R210" i="37" s="1"/>
  <c r="T213" i="37"/>
  <c r="AL273" i="37"/>
  <c r="U274" i="37"/>
  <c r="AL274" i="37" s="1"/>
  <c r="S287" i="37"/>
  <c r="AK287" i="37"/>
  <c r="AJ287" i="37" s="1"/>
  <c r="S121" i="37"/>
  <c r="R121" i="37" s="1"/>
  <c r="P121" i="37" s="1"/>
  <c r="AK121" i="37"/>
  <c r="AJ121" i="37" s="1"/>
  <c r="AI121" i="37" s="1"/>
  <c r="AM170" i="37"/>
  <c r="AM167" i="37"/>
  <c r="AM171" i="37"/>
  <c r="AM172" i="37"/>
  <c r="AM169" i="37"/>
  <c r="S179" i="37"/>
  <c r="R179" i="37" s="1"/>
  <c r="AK179" i="37"/>
  <c r="AJ179" i="37" s="1"/>
  <c r="AI179" i="37" s="1"/>
  <c r="AE264" i="37"/>
  <c r="AM272" i="37"/>
  <c r="AM273" i="37"/>
  <c r="AK30" i="37"/>
  <c r="AH144" i="37"/>
  <c r="AJ148" i="37"/>
  <c r="AI148" i="37" s="1"/>
  <c r="N202" i="37"/>
  <c r="AE190" i="37"/>
  <c r="AK353" i="37"/>
  <c r="AJ353" i="37" s="1"/>
  <c r="S353" i="37"/>
  <c r="AF86" i="37"/>
  <c r="AF85" i="37"/>
  <c r="AF84" i="37"/>
  <c r="AL168" i="37"/>
  <c r="AL264" i="37"/>
  <c r="AL260" i="37"/>
  <c r="AL258" i="37"/>
  <c r="AL257" i="37"/>
  <c r="AL263" i="37"/>
  <c r="AL262" i="37"/>
  <c r="O326" i="37"/>
  <c r="AJ24" i="37"/>
  <c r="AI24" i="37" s="1"/>
  <c r="R68" i="37"/>
  <c r="AM263" i="37"/>
  <c r="AM257" i="37"/>
  <c r="AM258" i="37"/>
  <c r="AM259" i="37"/>
  <c r="AM264" i="37"/>
  <c r="AM262" i="37"/>
  <c r="AM260" i="37"/>
  <c r="AL393" i="37"/>
  <c r="AL391" i="37"/>
  <c r="AL390" i="37"/>
  <c r="AL392" i="37"/>
  <c r="AH27" i="37"/>
  <c r="P27" i="37"/>
  <c r="AM76" i="37"/>
  <c r="AM72" i="37"/>
  <c r="AM74" i="37"/>
  <c r="AM75" i="37"/>
  <c r="AM73" i="37"/>
  <c r="AF105" i="37"/>
  <c r="AF106" i="37"/>
  <c r="AM215" i="37"/>
  <c r="AI215" i="37" s="1"/>
  <c r="V216" i="37"/>
  <c r="AM216" i="37" s="1"/>
  <c r="Q389" i="37"/>
  <c r="O20" i="37"/>
  <c r="AF20" i="37" s="1"/>
  <c r="N101" i="37"/>
  <c r="AE114" i="37"/>
  <c r="T153" i="37"/>
  <c r="AF200" i="37"/>
  <c r="AF196" i="37"/>
  <c r="AF192" i="37"/>
  <c r="AF189" i="37"/>
  <c r="AF193" i="37"/>
  <c r="T250" i="37"/>
  <c r="AL88" i="37"/>
  <c r="AJ88" i="37" s="1"/>
  <c r="AI88" i="37" s="1"/>
  <c r="AL150" i="37"/>
  <c r="AL151" i="37"/>
  <c r="AL152" i="37"/>
  <c r="AL165" i="37"/>
  <c r="AL164" i="37"/>
  <c r="AL163" i="37"/>
  <c r="O166" i="37"/>
  <c r="AF166" i="37" s="1"/>
  <c r="AJ85" i="37"/>
  <c r="AI85" i="37" s="1"/>
  <c r="AG85" i="37" s="1"/>
  <c r="AE110" i="37"/>
  <c r="AM151" i="37"/>
  <c r="AM150" i="37"/>
  <c r="AM152" i="37"/>
  <c r="V153" i="37"/>
  <c r="AM153" i="37" s="1"/>
  <c r="AM165" i="37"/>
  <c r="AM164" i="37"/>
  <c r="AM163" i="37"/>
  <c r="V175" i="37"/>
  <c r="AM175" i="37" s="1"/>
  <c r="AM174" i="37"/>
  <c r="AK181" i="37"/>
  <c r="AL58" i="37"/>
  <c r="AK68" i="37"/>
  <c r="AJ68" i="37" s="1"/>
  <c r="AF110" i="37"/>
  <c r="AE118" i="37"/>
  <c r="N119" i="37"/>
  <c r="AE132" i="37"/>
  <c r="AF161" i="37"/>
  <c r="O162" i="37"/>
  <c r="AF162" i="37" s="1"/>
  <c r="AL201" i="37"/>
  <c r="AL200" i="37"/>
  <c r="AL199" i="37"/>
  <c r="AL198" i="37"/>
  <c r="AL191" i="37"/>
  <c r="AL192" i="37"/>
  <c r="AL193" i="37"/>
  <c r="AJ193" i="37" s="1"/>
  <c r="AI193" i="37" s="1"/>
  <c r="AL194" i="37"/>
  <c r="AL196" i="37"/>
  <c r="AL189" i="37"/>
  <c r="U237" i="37"/>
  <c r="AL237" i="37" s="1"/>
  <c r="N256" i="37"/>
  <c r="S266" i="37"/>
  <c r="R266" i="37" s="1"/>
  <c r="P266" i="37" s="1"/>
  <c r="AK266" i="37"/>
  <c r="AJ266" i="37" s="1"/>
  <c r="AI266" i="37" s="1"/>
  <c r="S326" i="37"/>
  <c r="R326" i="37" s="1"/>
  <c r="P326" i="37" s="1"/>
  <c r="AK326" i="37"/>
  <c r="AJ326" i="37" s="1"/>
  <c r="AI326" i="37" s="1"/>
  <c r="AG326" i="37" s="1"/>
  <c r="AM71" i="37"/>
  <c r="U107" i="37"/>
  <c r="AL107" i="37" s="1"/>
  <c r="Q160" i="37"/>
  <c r="O216" i="37"/>
  <c r="AF216" i="37" s="1"/>
  <c r="AF214" i="37"/>
  <c r="O305" i="37"/>
  <c r="AF305" i="37" s="1"/>
  <c r="AF391" i="37"/>
  <c r="O394" i="37"/>
  <c r="AF394" i="37" s="1"/>
  <c r="AK27" i="37"/>
  <c r="AJ27" i="37" s="1"/>
  <c r="AI27" i="37" s="1"/>
  <c r="AM99" i="37"/>
  <c r="AM97" i="37"/>
  <c r="AM98" i="37"/>
  <c r="P116" i="37"/>
  <c r="M116" i="37" s="1"/>
  <c r="Q119" i="37"/>
  <c r="S120" i="37"/>
  <c r="R120" i="37" s="1"/>
  <c r="P120" i="37" s="1"/>
  <c r="AK195" i="37"/>
  <c r="AJ195" i="37" s="1"/>
  <c r="AI195" i="37" s="1"/>
  <c r="AG195" i="37" s="1"/>
  <c r="AD195" i="37" s="1"/>
  <c r="AF239" i="37"/>
  <c r="AF238" i="37"/>
  <c r="T37" i="37"/>
  <c r="U67" i="37"/>
  <c r="AL67" i="37" s="1"/>
  <c r="AH70" i="37"/>
  <c r="AL89" i="37"/>
  <c r="AK101" i="37"/>
  <c r="AJ101" i="37" s="1"/>
  <c r="AI101" i="37" s="1"/>
  <c r="AG101" i="37" s="1"/>
  <c r="S101" i="37"/>
  <c r="R101" i="37" s="1"/>
  <c r="P101" i="37" s="1"/>
  <c r="P111" i="37"/>
  <c r="AH111" i="37"/>
  <c r="AG111" i="37" s="1"/>
  <c r="AJ116" i="37"/>
  <c r="AI116" i="37" s="1"/>
  <c r="AM127" i="37"/>
  <c r="AM126" i="37"/>
  <c r="AM123" i="37"/>
  <c r="AM125" i="37"/>
  <c r="AM128" i="37"/>
  <c r="V129" i="37"/>
  <c r="AM129" i="37" s="1"/>
  <c r="AL131" i="37"/>
  <c r="AJ131" i="37" s="1"/>
  <c r="AI131" i="37" s="1"/>
  <c r="U132" i="37"/>
  <c r="AL132" i="37" s="1"/>
  <c r="AK146" i="37"/>
  <c r="AJ146" i="37" s="1"/>
  <c r="AI146" i="37" s="1"/>
  <c r="AL161" i="37"/>
  <c r="U162" i="37"/>
  <c r="AL162" i="37" s="1"/>
  <c r="AK245" i="37"/>
  <c r="AJ245" i="37" s="1"/>
  <c r="T246" i="37"/>
  <c r="AL259" i="37"/>
  <c r="AM313" i="37"/>
  <c r="AM312" i="37"/>
  <c r="AM311" i="37"/>
  <c r="AM310" i="37"/>
  <c r="AM315" i="37"/>
  <c r="T34" i="37"/>
  <c r="AG116" i="37"/>
  <c r="AD116" i="37" s="1"/>
  <c r="AF225" i="37"/>
  <c r="O226" i="37"/>
  <c r="AF226" i="37" s="1"/>
  <c r="S286" i="37"/>
  <c r="R286" i="37" s="1"/>
  <c r="AK286" i="37"/>
  <c r="AJ286" i="37" s="1"/>
  <c r="AI286" i="37" s="1"/>
  <c r="AK316" i="37"/>
  <c r="AJ316" i="37" s="1"/>
  <c r="AI316" i="37" s="1"/>
  <c r="S316" i="37"/>
  <c r="R316" i="37" s="1"/>
  <c r="AH333" i="37"/>
  <c r="AE35" i="37"/>
  <c r="Q83" i="37"/>
  <c r="AE96" i="37"/>
  <c r="AM203" i="37"/>
  <c r="R203" i="37"/>
  <c r="P203" i="37" s="1"/>
  <c r="M203" i="37" s="1"/>
  <c r="S241" i="37"/>
  <c r="R241" i="37" s="1"/>
  <c r="P241" i="37" s="1"/>
  <c r="AE276" i="37"/>
  <c r="T83" i="37"/>
  <c r="AE145" i="37"/>
  <c r="AD145" i="37" s="1"/>
  <c r="N149" i="37"/>
  <c r="N27" i="37"/>
  <c r="AE49" i="37"/>
  <c r="AH197" i="37"/>
  <c r="S36" i="37"/>
  <c r="R36" i="37" s="1"/>
  <c r="AK36" i="37"/>
  <c r="AJ36" i="37" s="1"/>
  <c r="AI36" i="37" s="1"/>
  <c r="AH136" i="37"/>
  <c r="P145" i="37"/>
  <c r="M145" i="37" s="1"/>
  <c r="AH145" i="37"/>
  <c r="AG145" i="37" s="1"/>
  <c r="AH165" i="37"/>
  <c r="N250" i="37"/>
  <c r="M284" i="37"/>
  <c r="N286" i="37"/>
  <c r="AH108" i="37"/>
  <c r="S112" i="37"/>
  <c r="R112" i="37" s="1"/>
  <c r="P112" i="37" s="1"/>
  <c r="AK112" i="37"/>
  <c r="AJ112" i="37" s="1"/>
  <c r="AE320" i="37"/>
  <c r="AF349" i="37"/>
  <c r="O351" i="37"/>
  <c r="AF351" i="37" s="1"/>
  <c r="F397" i="37"/>
  <c r="T20" i="37"/>
  <c r="AM68" i="37"/>
  <c r="V69" i="37"/>
  <c r="AM69" i="37" s="1"/>
  <c r="AM142" i="37"/>
  <c r="AM141" i="37"/>
  <c r="V143" i="37"/>
  <c r="AM143" i="37" s="1"/>
  <c r="S172" i="37"/>
  <c r="T180" i="37"/>
  <c r="AF257" i="37"/>
  <c r="AM112" i="37"/>
  <c r="S119" i="37"/>
  <c r="R119" i="37" s="1"/>
  <c r="AK119" i="37"/>
  <c r="AJ119" i="37" s="1"/>
  <c r="AI119" i="37" s="1"/>
  <c r="T224" i="37"/>
  <c r="Q240" i="37"/>
  <c r="AM261" i="37"/>
  <c r="V271" i="37"/>
  <c r="T329" i="37"/>
  <c r="AK327" i="37"/>
  <c r="AJ327" i="37" s="1"/>
  <c r="AI327" i="37" s="1"/>
  <c r="V394" i="37"/>
  <c r="AM394" i="37" s="1"/>
  <c r="AH121" i="37"/>
  <c r="AJ133" i="37"/>
  <c r="AI133" i="37" s="1"/>
  <c r="AG133" i="37" s="1"/>
  <c r="AD133" i="37" s="1"/>
  <c r="AJ136" i="37"/>
  <c r="AF198" i="37"/>
  <c r="AH205" i="37"/>
  <c r="S218" i="37"/>
  <c r="R218" i="37" s="1"/>
  <c r="AF304" i="37"/>
  <c r="AL139" i="37"/>
  <c r="AJ139" i="37" s="1"/>
  <c r="AI139" i="37" s="1"/>
  <c r="Q30" i="37"/>
  <c r="N60" i="37"/>
  <c r="AL71" i="37"/>
  <c r="U77" i="37"/>
  <c r="AL77" i="37" s="1"/>
  <c r="Q77" i="37"/>
  <c r="AH128" i="37"/>
  <c r="AE21" i="37"/>
  <c r="AL28" i="37"/>
  <c r="AJ28" i="37" s="1"/>
  <c r="AI28" i="37" s="1"/>
  <c r="AF38" i="37"/>
  <c r="AE89" i="37"/>
  <c r="N91" i="37"/>
  <c r="Q246" i="37"/>
  <c r="P376" i="37"/>
  <c r="M376" i="37" s="1"/>
  <c r="AH376" i="37"/>
  <c r="AL52" i="37"/>
  <c r="S70" i="37"/>
  <c r="R70" i="37" s="1"/>
  <c r="P70" i="37" s="1"/>
  <c r="AF75" i="37"/>
  <c r="S86" i="37"/>
  <c r="R86" i="37" s="1"/>
  <c r="AK86" i="37"/>
  <c r="AJ86" i="37" s="1"/>
  <c r="AI86" i="37" s="1"/>
  <c r="AG86" i="37" s="1"/>
  <c r="AF89" i="37"/>
  <c r="O91" i="37"/>
  <c r="AF91" i="37" s="1"/>
  <c r="AH214" i="37"/>
  <c r="AG214" i="37" s="1"/>
  <c r="Q216" i="37"/>
  <c r="N278" i="37"/>
  <c r="U26" i="37"/>
  <c r="AL26" i="37" s="1"/>
  <c r="Q34" i="37"/>
  <c r="U37" i="37"/>
  <c r="AL37" i="37" s="1"/>
  <c r="AE39" i="37"/>
  <c r="AL44" i="37"/>
  <c r="AL54" i="37"/>
  <c r="AE82" i="37"/>
  <c r="AF97" i="37"/>
  <c r="O100" i="37"/>
  <c r="AF100" i="37" s="1"/>
  <c r="AL103" i="37"/>
  <c r="O121" i="37"/>
  <c r="S124" i="37"/>
  <c r="R124" i="37" s="1"/>
  <c r="Q137" i="37"/>
  <c r="S148" i="37"/>
  <c r="R148" i="37" s="1"/>
  <c r="Q166" i="37"/>
  <c r="AH164" i="37"/>
  <c r="T173" i="37"/>
  <c r="AE192" i="37"/>
  <c r="AK218" i="37"/>
  <c r="AJ218" i="37" s="1"/>
  <c r="AI218" i="37" s="1"/>
  <c r="N226" i="37"/>
  <c r="S229" i="37"/>
  <c r="R229" i="37" s="1"/>
  <c r="P229" i="37" s="1"/>
  <c r="AE231" i="37"/>
  <c r="N237" i="37"/>
  <c r="U250" i="37"/>
  <c r="AL250" i="37" s="1"/>
  <c r="AE260" i="37"/>
  <c r="AH266" i="37"/>
  <c r="S289" i="37"/>
  <c r="R289" i="37" s="1"/>
  <c r="AE342" i="37"/>
  <c r="AL384" i="37"/>
  <c r="AL385" i="37"/>
  <c r="AL386" i="37"/>
  <c r="O331" i="37"/>
  <c r="AH336" i="37"/>
  <c r="AE396" i="37"/>
  <c r="M396" i="37"/>
  <c r="U30" i="37"/>
  <c r="AL30" i="37" s="1"/>
  <c r="AL239" i="37"/>
  <c r="AL238" i="37"/>
  <c r="N246" i="37"/>
  <c r="AK301" i="37"/>
  <c r="T302" i="37"/>
  <c r="N318" i="37"/>
  <c r="T358" i="37"/>
  <c r="AE377" i="37"/>
  <c r="U383" i="37"/>
  <c r="AL383" i="37" s="1"/>
  <c r="AL381" i="37"/>
  <c r="AH47" i="37"/>
  <c r="T140" i="37"/>
  <c r="U180" i="37"/>
  <c r="AL180" i="37" s="1"/>
  <c r="AM280" i="37"/>
  <c r="AM279" i="37"/>
  <c r="N329" i="37"/>
  <c r="N26" i="37"/>
  <c r="T87" i="37"/>
  <c r="Q115" i="37"/>
  <c r="AF142" i="37"/>
  <c r="O270" i="37"/>
  <c r="AF269" i="37"/>
  <c r="AF267" i="37"/>
  <c r="AF352" i="37"/>
  <c r="O353" i="37"/>
  <c r="AF353" i="37" s="1"/>
  <c r="AM355" i="37"/>
  <c r="AM357" i="37"/>
  <c r="AM354" i="37"/>
  <c r="AL356" i="37"/>
  <c r="AK361" i="37"/>
  <c r="T362" i="37"/>
  <c r="AE379" i="37"/>
  <c r="AE8" i="37"/>
  <c r="M12" i="37"/>
  <c r="AF25" i="37"/>
  <c r="AF21" i="37"/>
  <c r="D397" i="37"/>
  <c r="N70" i="37"/>
  <c r="AH88" i="37"/>
  <c r="AG88" i="37" s="1"/>
  <c r="AD88" i="37" s="1"/>
  <c r="P88" i="37"/>
  <c r="M88" i="37" s="1"/>
  <c r="AK89" i="37"/>
  <c r="N100" i="37"/>
  <c r="AM104" i="37"/>
  <c r="AM106" i="37"/>
  <c r="O109" i="37"/>
  <c r="M133" i="37"/>
  <c r="AM134" i="37"/>
  <c r="AH141" i="37"/>
  <c r="O188" i="37"/>
  <c r="AF188" i="37" s="1"/>
  <c r="S184" i="37"/>
  <c r="R184" i="37" s="1"/>
  <c r="S208" i="37"/>
  <c r="R208" i="37" s="1"/>
  <c r="P208" i="37" s="1"/>
  <c r="M208" i="37" s="1"/>
  <c r="U216" i="37"/>
  <c r="AL216" i="37" s="1"/>
  <c r="P232" i="37"/>
  <c r="M232" i="37" s="1"/>
  <c r="S243" i="37"/>
  <c r="AK243" i="37"/>
  <c r="AJ243" i="37" s="1"/>
  <c r="N308" i="37"/>
  <c r="AK324" i="37"/>
  <c r="AM356" i="37"/>
  <c r="S366" i="37"/>
  <c r="R366" i="37" s="1"/>
  <c r="P366" i="37" s="1"/>
  <c r="AK366" i="37"/>
  <c r="AJ366" i="37" s="1"/>
  <c r="AI366" i="37" s="1"/>
  <c r="AG366" i="37" s="1"/>
  <c r="T367" i="37"/>
  <c r="AF300" i="37"/>
  <c r="AM352" i="37"/>
  <c r="V353" i="37"/>
  <c r="AM353" i="37" s="1"/>
  <c r="T160" i="37"/>
  <c r="U224" i="37"/>
  <c r="AL224" i="37" s="1"/>
  <c r="AK225" i="37"/>
  <c r="S225" i="37"/>
  <c r="T226" i="37"/>
  <c r="AL280" i="37"/>
  <c r="Q302" i="37"/>
  <c r="Q331" i="37"/>
  <c r="AF395" i="37"/>
  <c r="AM17" i="37"/>
  <c r="AM13" i="37"/>
  <c r="AM9" i="37"/>
  <c r="AM14" i="37"/>
  <c r="AM19" i="37"/>
  <c r="V20" i="37"/>
  <c r="AM20" i="37" s="1"/>
  <c r="H397" i="37"/>
  <c r="AM10" i="37"/>
  <c r="AH162" i="37"/>
  <c r="N213" i="37"/>
  <c r="AL225" i="37"/>
  <c r="U226" i="37"/>
  <c r="AL226" i="37" s="1"/>
  <c r="T331" i="37"/>
  <c r="AE345" i="37"/>
  <c r="AH44" i="37"/>
  <c r="AL134" i="37"/>
  <c r="U135" i="37"/>
  <c r="AL135" i="37" s="1"/>
  <c r="Q209" i="37"/>
  <c r="AH203" i="37"/>
  <c r="AM275" i="37"/>
  <c r="AM277" i="37"/>
  <c r="AI277" i="37" s="1"/>
  <c r="AM276" i="37"/>
  <c r="AM18" i="37"/>
  <c r="N34" i="37"/>
  <c r="N67" i="37"/>
  <c r="N83" i="37"/>
  <c r="V87" i="37"/>
  <c r="AM87" i="37" s="1"/>
  <c r="AM84" i="37"/>
  <c r="AI84" i="37" s="1"/>
  <c r="AG84" i="37" s="1"/>
  <c r="T91" i="37"/>
  <c r="Q109" i="37"/>
  <c r="T132" i="37"/>
  <c r="M138" i="37"/>
  <c r="AE138" i="37"/>
  <c r="N140" i="37"/>
  <c r="AK143" i="37"/>
  <c r="V180" i="37"/>
  <c r="AM180" i="37" s="1"/>
  <c r="AM189" i="37"/>
  <c r="V202" i="37"/>
  <c r="AM202" i="37" s="1"/>
  <c r="M195" i="37"/>
  <c r="AG206" i="37"/>
  <c r="AH229" i="37"/>
  <c r="AG229" i="37" s="1"/>
  <c r="AM254" i="37"/>
  <c r="AM252" i="37"/>
  <c r="AM255" i="37"/>
  <c r="AI255" i="37" s="1"/>
  <c r="AG255" i="37" s="1"/>
  <c r="AM253" i="37"/>
  <c r="S252" i="37"/>
  <c r="R252" i="37" s="1"/>
  <c r="P252" i="37" s="1"/>
  <c r="AL252" i="37"/>
  <c r="AJ252" i="37" s="1"/>
  <c r="T270" i="37"/>
  <c r="Q274" i="37"/>
  <c r="AL282" i="37"/>
  <c r="Q290" i="37"/>
  <c r="S291" i="37"/>
  <c r="R291" i="37" s="1"/>
  <c r="P291" i="37" s="1"/>
  <c r="AD297" i="37"/>
  <c r="AH311" i="37"/>
  <c r="S328" i="37"/>
  <c r="R328" i="37" s="1"/>
  <c r="P328" i="37" s="1"/>
  <c r="AH334" i="37"/>
  <c r="AE368" i="37"/>
  <c r="U299" i="37"/>
  <c r="AL299" i="37" s="1"/>
  <c r="T339" i="37"/>
  <c r="AF373" i="37"/>
  <c r="S214" i="37"/>
  <c r="R214" i="37" s="1"/>
  <c r="P214" i="37" s="1"/>
  <c r="AK214" i="37"/>
  <c r="AJ214" i="37" s="1"/>
  <c r="AI214" i="37" s="1"/>
  <c r="T216" i="37"/>
  <c r="AE232" i="37"/>
  <c r="AM239" i="37"/>
  <c r="AM238" i="37"/>
  <c r="AH249" i="37"/>
  <c r="AL357" i="37"/>
  <c r="AL354" i="37"/>
  <c r="AL355" i="37"/>
  <c r="AF40" i="37"/>
  <c r="N109" i="37"/>
  <c r="AH139" i="37"/>
  <c r="P139" i="37"/>
  <c r="M139" i="37" s="1"/>
  <c r="AF210" i="37"/>
  <c r="AF212" i="37"/>
  <c r="AF211" i="37"/>
  <c r="S24" i="37"/>
  <c r="R24" i="37" s="1"/>
  <c r="AH56" i="37"/>
  <c r="O67" i="37"/>
  <c r="AF67" i="37" s="1"/>
  <c r="AF63" i="37"/>
  <c r="AF61" i="37"/>
  <c r="AF66" i="37"/>
  <c r="AF64" i="37"/>
  <c r="AF62" i="37"/>
  <c r="AF65" i="37"/>
  <c r="AH71" i="37"/>
  <c r="T100" i="37"/>
  <c r="T109" i="37"/>
  <c r="AK117" i="37"/>
  <c r="AJ117" i="37" s="1"/>
  <c r="AI117" i="37" s="1"/>
  <c r="AG117" i="37" s="1"/>
  <c r="AD117" i="37" s="1"/>
  <c r="AF127" i="37"/>
  <c r="AJ206" i="37"/>
  <c r="AI206" i="37" s="1"/>
  <c r="AI236" i="37"/>
  <c r="AG236" i="37" s="1"/>
  <c r="AD236" i="37" s="1"/>
  <c r="AL268" i="37"/>
  <c r="AL269" i="37"/>
  <c r="AL267" i="37"/>
  <c r="AE269" i="37"/>
  <c r="AL279" i="37"/>
  <c r="AH287" i="37"/>
  <c r="Q288" i="37"/>
  <c r="T290" i="37"/>
  <c r="AJ291" i="37"/>
  <c r="T299" i="37"/>
  <c r="AK298" i="37"/>
  <c r="AK310" i="37"/>
  <c r="AJ310" i="37" s="1"/>
  <c r="AI310" i="37" s="1"/>
  <c r="AF368" i="37"/>
  <c r="AG379" i="37"/>
  <c r="AM51" i="37"/>
  <c r="AM41" i="37"/>
  <c r="AM40" i="37"/>
  <c r="AM50" i="37"/>
  <c r="AM39" i="37"/>
  <c r="AM49" i="37"/>
  <c r="AM43" i="37"/>
  <c r="AM42" i="37"/>
  <c r="AM56" i="37"/>
  <c r="AM44" i="37"/>
  <c r="AM89" i="37"/>
  <c r="AM90" i="37"/>
  <c r="P102" i="37"/>
  <c r="M102" i="37" s="1"/>
  <c r="AH102" i="37"/>
  <c r="AG102" i="37" s="1"/>
  <c r="AI110" i="37"/>
  <c r="AG110" i="37" s="1"/>
  <c r="M124" i="37"/>
  <c r="T149" i="37"/>
  <c r="T157" i="37"/>
  <c r="AE196" i="37"/>
  <c r="S231" i="37"/>
  <c r="R231" i="37" s="1"/>
  <c r="P231" i="37" s="1"/>
  <c r="M231" i="37" s="1"/>
  <c r="P236" i="37"/>
  <c r="M236" i="37" s="1"/>
  <c r="AF247" i="37"/>
  <c r="O250" i="37"/>
  <c r="AF250" i="37" s="1"/>
  <c r="AH251" i="37"/>
  <c r="Q256" i="37"/>
  <c r="S273" i="37"/>
  <c r="AK285" i="37"/>
  <c r="AJ285" i="37" s="1"/>
  <c r="AI285" i="37" s="1"/>
  <c r="S285" i="37"/>
  <c r="R285" i="37" s="1"/>
  <c r="U295" i="37"/>
  <c r="U362" i="37"/>
  <c r="AL362" i="37" s="1"/>
  <c r="AL361" i="37"/>
  <c r="AK365" i="37"/>
  <c r="AJ365" i="37" s="1"/>
  <c r="AI365" i="37" s="1"/>
  <c r="AG365" i="37" s="1"/>
  <c r="S365" i="37"/>
  <c r="R365" i="37" s="1"/>
  <c r="P365" i="37" s="1"/>
  <c r="M365" i="37" s="1"/>
  <c r="U149" i="37"/>
  <c r="AL149" i="37" s="1"/>
  <c r="AL154" i="37"/>
  <c r="AL155" i="37"/>
  <c r="AK186" i="37"/>
  <c r="S186" i="37"/>
  <c r="R186" i="37" s="1"/>
  <c r="P186" i="37" s="1"/>
  <c r="S212" i="37"/>
  <c r="R212" i="37" s="1"/>
  <c r="S219" i="37"/>
  <c r="R219" i="37" s="1"/>
  <c r="AJ231" i="37"/>
  <c r="AE258" i="37"/>
  <c r="O266" i="37"/>
  <c r="AE267" i="37"/>
  <c r="AJ273" i="37"/>
  <c r="AI273" i="37" s="1"/>
  <c r="AG273" i="37" s="1"/>
  <c r="AD273" i="37" s="1"/>
  <c r="N290" i="37"/>
  <c r="AH309" i="37"/>
  <c r="N321" i="37"/>
  <c r="S322" i="37"/>
  <c r="R322" i="37" s="1"/>
  <c r="P322" i="37" s="1"/>
  <c r="AF333" i="37"/>
  <c r="O360" i="37"/>
  <c r="O388" i="37"/>
  <c r="AF388" i="37" s="1"/>
  <c r="AF384" i="37"/>
  <c r="AH387" i="37"/>
  <c r="AM154" i="37"/>
  <c r="AM155" i="37"/>
  <c r="AM156" i="37"/>
  <c r="AE198" i="37"/>
  <c r="AH215" i="37"/>
  <c r="P215" i="37"/>
  <c r="AJ219" i="37"/>
  <c r="AI219" i="37" s="1"/>
  <c r="AL275" i="37"/>
  <c r="U278" i="37"/>
  <c r="AL278" i="37" s="1"/>
  <c r="AF289" i="37"/>
  <c r="AE294" i="37"/>
  <c r="AF320" i="37"/>
  <c r="O321" i="37"/>
  <c r="AF321" i="37" s="1"/>
  <c r="AL352" i="37"/>
  <c r="AJ352" i="37" s="1"/>
  <c r="S352" i="37"/>
  <c r="AL372" i="37"/>
  <c r="AL371" i="37"/>
  <c r="AL369" i="37"/>
  <c r="AL374" i="37"/>
  <c r="AJ381" i="37"/>
  <c r="AI381" i="37" s="1"/>
  <c r="AG381" i="37" s="1"/>
  <c r="AK387" i="37"/>
  <c r="AJ387" i="37" s="1"/>
  <c r="AI387" i="37" s="1"/>
  <c r="S387" i="37"/>
  <c r="R387" i="37" s="1"/>
  <c r="P387" i="37" s="1"/>
  <c r="AM231" i="37"/>
  <c r="V237" i="37"/>
  <c r="AM237" i="37" s="1"/>
  <c r="N288" i="37"/>
  <c r="N325" i="37"/>
  <c r="AL377" i="37"/>
  <c r="N299" i="37"/>
  <c r="AH308" i="37"/>
  <c r="U339" i="37"/>
  <c r="AL339" i="37" s="1"/>
  <c r="AL333" i="37"/>
  <c r="AJ333" i="37" s="1"/>
  <c r="U364" i="37"/>
  <c r="N37" i="37"/>
  <c r="Q213" i="37"/>
  <c r="U242" i="37"/>
  <c r="AM304" i="37"/>
  <c r="AL349" i="37"/>
  <c r="AL350" i="37"/>
  <c r="AM363" i="37"/>
  <c r="AI363" i="37" s="1"/>
  <c r="AG363" i="37" s="1"/>
  <c r="O37" i="37"/>
  <c r="AF37" i="37" s="1"/>
  <c r="AE59" i="37"/>
  <c r="AL62" i="37"/>
  <c r="Q129" i="37"/>
  <c r="AH122" i="37"/>
  <c r="O132" i="37"/>
  <c r="N144" i="37"/>
  <c r="M147" i="37"/>
  <c r="S176" i="37"/>
  <c r="R176" i="37" s="1"/>
  <c r="AJ203" i="37"/>
  <c r="N216" i="37"/>
  <c r="P233" i="37"/>
  <c r="M233" i="37" s="1"/>
  <c r="V242" i="37"/>
  <c r="N244" i="37"/>
  <c r="O288" i="37"/>
  <c r="AF288" i="37" s="1"/>
  <c r="P297" i="37"/>
  <c r="M297" i="37" s="1"/>
  <c r="AH314" i="37"/>
  <c r="AG314" i="37" s="1"/>
  <c r="P314" i="37"/>
  <c r="AK319" i="37"/>
  <c r="AJ319" i="37" s="1"/>
  <c r="AI319" i="37" s="1"/>
  <c r="T321" i="37"/>
  <c r="V329" i="37"/>
  <c r="AM329" i="37" s="1"/>
  <c r="N360" i="37"/>
  <c r="AE365" i="37"/>
  <c r="V378" i="37"/>
  <c r="AM378" i="37" s="1"/>
  <c r="AM377" i="37"/>
  <c r="AM334" i="37"/>
  <c r="AM333" i="37"/>
  <c r="AM335" i="37"/>
  <c r="AM332" i="37"/>
  <c r="AM336" i="37"/>
  <c r="AF176" i="37"/>
  <c r="O180" i="37"/>
  <c r="AF180" i="37" s="1"/>
  <c r="U293" i="37"/>
  <c r="AL293" i="37" s="1"/>
  <c r="O324" i="37"/>
  <c r="Q37" i="37"/>
  <c r="AL66" i="37"/>
  <c r="U96" i="37"/>
  <c r="AL96" i="37" s="1"/>
  <c r="Q132" i="37"/>
  <c r="N135" i="37"/>
  <c r="U137" i="37"/>
  <c r="U175" i="37"/>
  <c r="AL175" i="37" s="1"/>
  <c r="Q230" i="37"/>
  <c r="AG233" i="37"/>
  <c r="AD233" i="37" s="1"/>
  <c r="O244" i="37"/>
  <c r="AE247" i="37"/>
  <c r="AL292" i="37"/>
  <c r="S304" i="37"/>
  <c r="AK304" i="37"/>
  <c r="AJ304" i="37" s="1"/>
  <c r="AK323" i="37"/>
  <c r="AJ323" i="37" s="1"/>
  <c r="AI323" i="37" s="1"/>
  <c r="AG323" i="37" s="1"/>
  <c r="AD323" i="37" s="1"/>
  <c r="S323" i="37"/>
  <c r="R323" i="37" s="1"/>
  <c r="P323" i="37" s="1"/>
  <c r="AM337" i="37"/>
  <c r="AE347" i="37"/>
  <c r="AG382" i="37"/>
  <c r="AE393" i="37"/>
  <c r="S396" i="37"/>
  <c r="R396" i="37" s="1"/>
  <c r="P396" i="37" s="1"/>
  <c r="AK396" i="37"/>
  <c r="AJ396" i="37" s="1"/>
  <c r="AI396" i="37" s="1"/>
  <c r="AG396" i="37" s="1"/>
  <c r="AL330" i="37"/>
  <c r="U331" i="37"/>
  <c r="AL331" i="37" s="1"/>
  <c r="U367" i="37"/>
  <c r="AL367" i="37" s="1"/>
  <c r="AL33" i="37"/>
  <c r="U83" i="37"/>
  <c r="AL83" i="37" s="1"/>
  <c r="V137" i="37"/>
  <c r="AM137" i="37" s="1"/>
  <c r="AK350" i="37"/>
  <c r="AL23" i="37"/>
  <c r="AL181" i="37"/>
  <c r="AL187" i="37"/>
  <c r="AL186" i="37"/>
  <c r="N230" i="37"/>
  <c r="R344" i="37"/>
  <c r="C397" i="37"/>
  <c r="U20" i="37"/>
  <c r="AL20" i="37" s="1"/>
  <c r="V30" i="37"/>
  <c r="AM30" i="37" s="1"/>
  <c r="AF44" i="37"/>
  <c r="AF54" i="37"/>
  <c r="N137" i="37"/>
  <c r="AM184" i="37"/>
  <c r="AM186" i="37"/>
  <c r="AM187" i="37"/>
  <c r="AM185" i="37"/>
  <c r="P206" i="37"/>
  <c r="N224" i="37"/>
  <c r="S234" i="37"/>
  <c r="R234" i="37" s="1"/>
  <c r="U246" i="37"/>
  <c r="AL246" i="37" s="1"/>
  <c r="V270" i="37"/>
  <c r="AM270" i="37" s="1"/>
  <c r="AE292" i="37"/>
  <c r="AF311" i="37"/>
  <c r="U329" i="37"/>
  <c r="AL329" i="37" s="1"/>
  <c r="O329" i="37"/>
  <c r="AF329" i="37" s="1"/>
  <c r="AM344" i="37"/>
  <c r="AI344" i="37" s="1"/>
  <c r="AM340" i="37"/>
  <c r="AM345" i="37"/>
  <c r="T115" i="37"/>
  <c r="AE158" i="37"/>
  <c r="O175" i="37"/>
  <c r="Q222" i="37"/>
  <c r="N388" i="37"/>
  <c r="AE390" i="37"/>
  <c r="N394" i="37"/>
  <c r="V34" i="37"/>
  <c r="AM34" i="37" s="1"/>
  <c r="V83" i="37"/>
  <c r="AM83" i="37" s="1"/>
  <c r="AL178" i="37"/>
  <c r="AJ178" i="37" s="1"/>
  <c r="AI178" i="37" s="1"/>
  <c r="S217" i="37"/>
  <c r="AH235" i="37"/>
  <c r="S300" i="37"/>
  <c r="R300" i="37" s="1"/>
  <c r="P86" i="37"/>
  <c r="Q91" i="37"/>
  <c r="O149" i="37"/>
  <c r="AF149" i="37" s="1"/>
  <c r="O160" i="37"/>
  <c r="AF160" i="37" s="1"/>
  <c r="AM220" i="37"/>
  <c r="AM217" i="37"/>
  <c r="AM221" i="37"/>
  <c r="AF229" i="37"/>
  <c r="Q237" i="37"/>
  <c r="AM243" i="37"/>
  <c r="AM245" i="37"/>
  <c r="AL253" i="37"/>
  <c r="AF292" i="37"/>
  <c r="AF291" i="37"/>
  <c r="AK349" i="37"/>
  <c r="N351" i="37"/>
  <c r="AM361" i="37"/>
  <c r="S363" i="37"/>
  <c r="O383" i="37"/>
  <c r="AF383" i="37" s="1"/>
  <c r="T388" i="37"/>
  <c r="AL114" i="37"/>
  <c r="N188" i="37"/>
  <c r="U209" i="37"/>
  <c r="AL209" i="37" s="1"/>
  <c r="U230" i="37"/>
  <c r="AL230" i="37" s="1"/>
  <c r="T305" i="37"/>
  <c r="S320" i="37"/>
  <c r="R320" i="37" s="1"/>
  <c r="AF354" i="37"/>
  <c r="O358" i="37"/>
  <c r="AF358" i="37" s="1"/>
  <c r="AH357" i="37"/>
  <c r="G397" i="37"/>
  <c r="AM114" i="37"/>
  <c r="V149" i="37"/>
  <c r="AM149" i="37" s="1"/>
  <c r="AM208" i="37"/>
  <c r="AI208" i="37" s="1"/>
  <c r="AG208" i="37" s="1"/>
  <c r="AD208" i="37" s="1"/>
  <c r="AM227" i="37"/>
  <c r="O246" i="37"/>
  <c r="AF246" i="37" s="1"/>
  <c r="Q283" i="37"/>
  <c r="T288" i="37"/>
  <c r="AM301" i="37"/>
  <c r="V302" i="37"/>
  <c r="AM302" i="37" s="1"/>
  <c r="Q324" i="37"/>
  <c r="N383" i="37"/>
  <c r="Q175" i="37"/>
  <c r="V213" i="37"/>
  <c r="AM213" i="37" s="1"/>
  <c r="S255" i="37"/>
  <c r="R255" i="37" s="1"/>
  <c r="P255" i="37" s="1"/>
  <c r="AM287" i="37"/>
  <c r="Q295" i="37"/>
  <c r="N305" i="37"/>
  <c r="P327" i="37"/>
  <c r="M327" i="37" s="1"/>
  <c r="AH327" i="37"/>
  <c r="Q339" i="37"/>
  <c r="S343" i="37"/>
  <c r="R343" i="37" s="1"/>
  <c r="P343" i="37" s="1"/>
  <c r="AM386" i="37"/>
  <c r="S395" i="37"/>
  <c r="R395" i="37" s="1"/>
  <c r="P395" i="37" s="1"/>
  <c r="M395" i="37" s="1"/>
  <c r="AK395" i="37"/>
  <c r="AJ395" i="37" s="1"/>
  <c r="AI395" i="37" s="1"/>
  <c r="T256" i="37"/>
  <c r="V321" i="37"/>
  <c r="AM321" i="37" s="1"/>
  <c r="AL341" i="37"/>
  <c r="U346" i="37"/>
  <c r="AL346" i="37" s="1"/>
  <c r="U321" i="37"/>
  <c r="AL321" i="37" s="1"/>
  <c r="V324" i="37"/>
  <c r="AM324" i="37" s="1"/>
  <c r="V367" i="37"/>
  <c r="AM367" i="37" s="1"/>
  <c r="AF338" i="37"/>
  <c r="Q351" i="37"/>
  <c r="Q358" i="37"/>
  <c r="AC30" i="17" l="1"/>
  <c r="AI13" i="17"/>
  <c r="AB95" i="17"/>
  <c r="AJ95" i="17" s="1"/>
  <c r="R100" i="17"/>
  <c r="AI94" i="17"/>
  <c r="AD71" i="17"/>
  <c r="AE71" i="17" s="1"/>
  <c r="AM71" i="17" s="1"/>
  <c r="J28" i="26" s="1"/>
  <c r="AK71" i="17"/>
  <c r="AC76" i="17"/>
  <c r="AJ76" i="17"/>
  <c r="AJ77" i="17"/>
  <c r="AC77" i="17"/>
  <c r="AI65" i="17"/>
  <c r="AI72" i="17"/>
  <c r="AB72" i="17"/>
  <c r="AC86" i="17"/>
  <c r="AJ86" i="17"/>
  <c r="AC14" i="17"/>
  <c r="AJ14" i="17"/>
  <c r="AC58" i="17"/>
  <c r="AJ58" i="17"/>
  <c r="AI87" i="17"/>
  <c r="AB109" i="17"/>
  <c r="AI109" i="17"/>
  <c r="AC70" i="17"/>
  <c r="AJ70" i="17"/>
  <c r="AB108" i="17"/>
  <c r="AI108" i="17"/>
  <c r="AK9" i="17"/>
  <c r="AD9" i="17"/>
  <c r="AC101" i="17"/>
  <c r="AJ101" i="17"/>
  <c r="AI96" i="17"/>
  <c r="AB96" i="17"/>
  <c r="AI93" i="17"/>
  <c r="AC95" i="17"/>
  <c r="AB105" i="17"/>
  <c r="AI105" i="17"/>
  <c r="AB97" i="17"/>
  <c r="AI97" i="17"/>
  <c r="AI100" i="17"/>
  <c r="AJ80" i="17"/>
  <c r="AC80" i="17"/>
  <c r="AC83" i="17"/>
  <c r="AJ83" i="17"/>
  <c r="AC81" i="17"/>
  <c r="AJ81" i="17"/>
  <c r="AD82" i="17"/>
  <c r="AE82" i="17" s="1"/>
  <c r="AM82" i="17" s="1"/>
  <c r="AK82" i="17"/>
  <c r="AI84" i="17"/>
  <c r="AB85" i="17"/>
  <c r="AI85" i="17"/>
  <c r="AI78" i="17"/>
  <c r="AC66" i="17"/>
  <c r="AJ66" i="17"/>
  <c r="AJ68" i="17"/>
  <c r="AC68" i="17"/>
  <c r="AC11" i="17"/>
  <c r="AJ11" i="17"/>
  <c r="AJ60" i="17"/>
  <c r="AC60" i="17"/>
  <c r="AI21" i="17"/>
  <c r="AB21" i="17"/>
  <c r="AC24" i="17"/>
  <c r="AJ24" i="17"/>
  <c r="AC18" i="17"/>
  <c r="AJ18" i="17"/>
  <c r="AC13" i="17"/>
  <c r="AJ13" i="17"/>
  <c r="AI69" i="17"/>
  <c r="AB69" i="17"/>
  <c r="AC61" i="17"/>
  <c r="AJ61" i="17"/>
  <c r="AB46" i="17"/>
  <c r="AI46" i="17"/>
  <c r="AB23" i="17"/>
  <c r="AI23" i="17"/>
  <c r="AI47" i="17"/>
  <c r="AB47" i="17"/>
  <c r="AD26" i="17"/>
  <c r="AK26" i="17"/>
  <c r="AJ39" i="17"/>
  <c r="AC39" i="17"/>
  <c r="AI51" i="17"/>
  <c r="AB51" i="17"/>
  <c r="AB43" i="17"/>
  <c r="AI43" i="17"/>
  <c r="AB52" i="17"/>
  <c r="AI52" i="17"/>
  <c r="AI16" i="17"/>
  <c r="AC15" i="17"/>
  <c r="AJ15" i="17"/>
  <c r="AC25" i="17"/>
  <c r="AJ25" i="17"/>
  <c r="AB31" i="17"/>
  <c r="AI31" i="17"/>
  <c r="AI54" i="17"/>
  <c r="AB54" i="17"/>
  <c r="AI64" i="17"/>
  <c r="AB64" i="17"/>
  <c r="AB38" i="17"/>
  <c r="AI38" i="17"/>
  <c r="AI27" i="17"/>
  <c r="AB27" i="17"/>
  <c r="AI57" i="17"/>
  <c r="AB57" i="17"/>
  <c r="AI56" i="17"/>
  <c r="AB56" i="17"/>
  <c r="AB19" i="17"/>
  <c r="AI19" i="17"/>
  <c r="AC37" i="17"/>
  <c r="AJ37" i="17"/>
  <c r="AB35" i="17"/>
  <c r="AI35" i="17"/>
  <c r="AB40" i="17"/>
  <c r="AI40" i="17"/>
  <c r="AB22" i="17"/>
  <c r="AI22" i="17"/>
  <c r="AJ48" i="17"/>
  <c r="AC48" i="17"/>
  <c r="AK30" i="17"/>
  <c r="AD30" i="17"/>
  <c r="AB17" i="17"/>
  <c r="AI17" i="17"/>
  <c r="AJ45" i="17"/>
  <c r="AC45" i="17"/>
  <c r="AB50" i="17"/>
  <c r="AI50" i="17"/>
  <c r="AJ42" i="17"/>
  <c r="AC42" i="17"/>
  <c r="AD32" i="17"/>
  <c r="AK32" i="17"/>
  <c r="AD53" i="17"/>
  <c r="AK53" i="17"/>
  <c r="AD4" i="17"/>
  <c r="AK4" i="17"/>
  <c r="AD5" i="17"/>
  <c r="AK5" i="17"/>
  <c r="AI10" i="17"/>
  <c r="AB10" i="17"/>
  <c r="AC8" i="17"/>
  <c r="AJ8" i="17"/>
  <c r="AB7" i="17"/>
  <c r="AI7" i="17"/>
  <c r="R90" i="17"/>
  <c r="AI90" i="17" s="1"/>
  <c r="AG376" i="37"/>
  <c r="AD376" i="37" s="1"/>
  <c r="S307" i="37"/>
  <c r="R307" i="37" s="1"/>
  <c r="P307" i="37" s="1"/>
  <c r="M307" i="37" s="1"/>
  <c r="AG387" i="37"/>
  <c r="AG130" i="37"/>
  <c r="AI352" i="37"/>
  <c r="AG352" i="37" s="1"/>
  <c r="AD352" i="37" s="1"/>
  <c r="AI172" i="37"/>
  <c r="AI184" i="37"/>
  <c r="AD396" i="37"/>
  <c r="AI333" i="37"/>
  <c r="AG333" i="37" s="1"/>
  <c r="AI13" i="37"/>
  <c r="S324" i="37"/>
  <c r="R324" i="37" s="1"/>
  <c r="AI291" i="37"/>
  <c r="AG291" i="37" s="1"/>
  <c r="AD291" i="37" s="1"/>
  <c r="AI90" i="37"/>
  <c r="AG90" i="37" s="1"/>
  <c r="AD90" i="37" s="1"/>
  <c r="AJ210" i="37"/>
  <c r="AI210" i="37" s="1"/>
  <c r="AG210" i="37" s="1"/>
  <c r="R69" i="37"/>
  <c r="AD102" i="37"/>
  <c r="AG395" i="37"/>
  <c r="AD395" i="37" s="1"/>
  <c r="AD379" i="37"/>
  <c r="AG70" i="37"/>
  <c r="AJ161" i="37"/>
  <c r="AI161" i="37" s="1"/>
  <c r="AG161" i="37" s="1"/>
  <c r="AD161" i="37" s="1"/>
  <c r="AI112" i="37"/>
  <c r="AG112" i="37" s="1"/>
  <c r="AG308" i="37"/>
  <c r="AJ186" i="37"/>
  <c r="AI186" i="37" s="1"/>
  <c r="AG186" i="37" s="1"/>
  <c r="AD35" i="37"/>
  <c r="AG266" i="37"/>
  <c r="AJ264" i="37"/>
  <c r="AI264" i="37" s="1"/>
  <c r="AJ151" i="37"/>
  <c r="AI151" i="37" s="1"/>
  <c r="AI68" i="37"/>
  <c r="AI252" i="37"/>
  <c r="AG252" i="37" s="1"/>
  <c r="AE67" i="37"/>
  <c r="AE188" i="37"/>
  <c r="AH281" i="37"/>
  <c r="AE383" i="37"/>
  <c r="AE26" i="37"/>
  <c r="AE226" i="37"/>
  <c r="AH290" i="37"/>
  <c r="AH274" i="37"/>
  <c r="AH202" i="37"/>
  <c r="S20" i="37"/>
  <c r="R20" i="37" s="1"/>
  <c r="AK20" i="37"/>
  <c r="AJ20" i="37" s="1"/>
  <c r="AI20" i="37" s="1"/>
  <c r="AL60" i="37"/>
  <c r="AH157" i="37"/>
  <c r="AL295" i="37"/>
  <c r="AJ295" i="37" s="1"/>
  <c r="AI295" i="37" s="1"/>
  <c r="S295" i="37"/>
  <c r="R295" i="37" s="1"/>
  <c r="P295" i="37" s="1"/>
  <c r="M295" i="37" s="1"/>
  <c r="S83" i="37"/>
  <c r="R83" i="37" s="1"/>
  <c r="P83" i="37" s="1"/>
  <c r="M83" i="37" s="1"/>
  <c r="AK83" i="37"/>
  <c r="AJ83" i="37" s="1"/>
  <c r="AI83" i="37" s="1"/>
  <c r="S250" i="37"/>
  <c r="R250" i="37" s="1"/>
  <c r="P250" i="37" s="1"/>
  <c r="M250" i="37" s="1"/>
  <c r="AK250" i="37"/>
  <c r="AJ250" i="37" s="1"/>
  <c r="AI250" i="37" s="1"/>
  <c r="AG250" i="37" s="1"/>
  <c r="AE351" i="37"/>
  <c r="AH237" i="37"/>
  <c r="AK270" i="37"/>
  <c r="AK153" i="37"/>
  <c r="S34" i="37"/>
  <c r="R34" i="37" s="1"/>
  <c r="P34" i="37" s="1"/>
  <c r="M34" i="37" s="1"/>
  <c r="AK34" i="37"/>
  <c r="AJ34" i="37" s="1"/>
  <c r="AI34" i="37" s="1"/>
  <c r="AK256" i="37"/>
  <c r="AE256" i="37"/>
  <c r="S345" i="37"/>
  <c r="R345" i="37" s="1"/>
  <c r="P345" i="37" s="1"/>
  <c r="M345" i="37" s="1"/>
  <c r="AK345" i="37"/>
  <c r="AJ345" i="37" s="1"/>
  <c r="AI345" i="37" s="1"/>
  <c r="AE127" i="37"/>
  <c r="AD127" i="37" s="1"/>
  <c r="M127" i="37"/>
  <c r="AH222" i="37"/>
  <c r="AE71" i="37"/>
  <c r="N77" i="37"/>
  <c r="AE288" i="37"/>
  <c r="AK275" i="37"/>
  <c r="AJ275" i="37" s="1"/>
  <c r="AI275" i="37" s="1"/>
  <c r="S275" i="37"/>
  <c r="R275" i="37" s="1"/>
  <c r="P275" i="37" s="1"/>
  <c r="M275" i="37" s="1"/>
  <c r="AE141" i="37"/>
  <c r="N143" i="37"/>
  <c r="AE64" i="37"/>
  <c r="AK106" i="37"/>
  <c r="AJ106" i="37" s="1"/>
  <c r="AI106" i="37" s="1"/>
  <c r="S106" i="37"/>
  <c r="R106" i="37" s="1"/>
  <c r="P106" i="37" s="1"/>
  <c r="M106" i="37" s="1"/>
  <c r="AH179" i="37"/>
  <c r="AG179" i="37" s="1"/>
  <c r="P179" i="37"/>
  <c r="M179" i="37" s="1"/>
  <c r="AE362" i="37"/>
  <c r="P13" i="37"/>
  <c r="M13" i="37" s="1"/>
  <c r="AH13" i="37"/>
  <c r="AG13" i="37" s="1"/>
  <c r="AD13" i="37" s="1"/>
  <c r="M255" i="37"/>
  <c r="AE255" i="37"/>
  <c r="AD255" i="37" s="1"/>
  <c r="AD155" i="37"/>
  <c r="AE312" i="37"/>
  <c r="AF316" i="37"/>
  <c r="AH380" i="37"/>
  <c r="AG380" i="37" s="1"/>
  <c r="P380" i="37"/>
  <c r="M380" i="37" s="1"/>
  <c r="Q383" i="37"/>
  <c r="AL368" i="37"/>
  <c r="U375" i="37"/>
  <c r="AL375" i="37" s="1"/>
  <c r="M241" i="37"/>
  <c r="N242" i="37"/>
  <c r="T107" i="37"/>
  <c r="AH105" i="37"/>
  <c r="AK173" i="37"/>
  <c r="AE91" i="37"/>
  <c r="AH14" i="37"/>
  <c r="AG14" i="37" s="1"/>
  <c r="AD14" i="37" s="1"/>
  <c r="P14" i="37"/>
  <c r="M14" i="37" s="1"/>
  <c r="AE172" i="37"/>
  <c r="AD172" i="37" s="1"/>
  <c r="S49" i="37"/>
  <c r="R49" i="37" s="1"/>
  <c r="P49" i="37" s="1"/>
  <c r="M49" i="37" s="1"/>
  <c r="AK49" i="37"/>
  <c r="AJ49" i="37" s="1"/>
  <c r="AI49" i="37" s="1"/>
  <c r="AG49" i="37" s="1"/>
  <c r="AD49" i="37" s="1"/>
  <c r="AK260" i="37"/>
  <c r="AJ260" i="37" s="1"/>
  <c r="AI260" i="37" s="1"/>
  <c r="S260" i="37"/>
  <c r="R260" i="37" s="1"/>
  <c r="AH377" i="37"/>
  <c r="Q378" i="37"/>
  <c r="AH200" i="37"/>
  <c r="AE332" i="37"/>
  <c r="M130" i="37"/>
  <c r="AE130" i="37"/>
  <c r="AD130" i="37" s="1"/>
  <c r="AH91" i="37"/>
  <c r="S187" i="37"/>
  <c r="R187" i="37" s="1"/>
  <c r="P187" i="37" s="1"/>
  <c r="M187" i="37" s="1"/>
  <c r="AK187" i="37"/>
  <c r="AJ187" i="37" s="1"/>
  <c r="AI187" i="37" s="1"/>
  <c r="AG187" i="37" s="1"/>
  <c r="AD187" i="37" s="1"/>
  <c r="AD365" i="37"/>
  <c r="V364" i="37"/>
  <c r="AM364" i="37" s="1"/>
  <c r="AL364" i="37"/>
  <c r="AJ364" i="37" s="1"/>
  <c r="AI364" i="37" s="1"/>
  <c r="AG364" i="37" s="1"/>
  <c r="S364" i="37"/>
  <c r="S155" i="37"/>
  <c r="R155" i="37" s="1"/>
  <c r="P155" i="37" s="1"/>
  <c r="M155" i="37" s="1"/>
  <c r="AK155" i="37"/>
  <c r="AJ155" i="37" s="1"/>
  <c r="AI155" i="37" s="1"/>
  <c r="AG155" i="37" s="1"/>
  <c r="S109" i="37"/>
  <c r="R109" i="37" s="1"/>
  <c r="P109" i="37" s="1"/>
  <c r="M109" i="37" s="1"/>
  <c r="AK109" i="37"/>
  <c r="AJ109" i="37" s="1"/>
  <c r="AI109" i="37" s="1"/>
  <c r="S132" i="37"/>
  <c r="R132" i="37" s="1"/>
  <c r="P132" i="37" s="1"/>
  <c r="M132" i="37" s="1"/>
  <c r="AK132" i="37"/>
  <c r="AJ132" i="37" s="1"/>
  <c r="AI132" i="37" s="1"/>
  <c r="S103" i="37"/>
  <c r="R103" i="37" s="1"/>
  <c r="P103" i="37" s="1"/>
  <c r="M103" i="37" s="1"/>
  <c r="AK103" i="37"/>
  <c r="AJ103" i="37" s="1"/>
  <c r="AK167" i="37"/>
  <c r="AJ167" i="37" s="1"/>
  <c r="AI167" i="37" s="1"/>
  <c r="S167" i="37"/>
  <c r="R167" i="37" s="1"/>
  <c r="P167" i="37" s="1"/>
  <c r="M167" i="37" s="1"/>
  <c r="AK38" i="37"/>
  <c r="AJ38" i="37" s="1"/>
  <c r="AI38" i="37" s="1"/>
  <c r="S38" i="37"/>
  <c r="R38" i="37" s="1"/>
  <c r="P38" i="37" s="1"/>
  <c r="M38" i="37" s="1"/>
  <c r="AH304" i="37"/>
  <c r="AE153" i="37"/>
  <c r="AK388" i="37"/>
  <c r="AJ388" i="37" s="1"/>
  <c r="AI388" i="37" s="1"/>
  <c r="AH385" i="37"/>
  <c r="S221" i="37"/>
  <c r="R221" i="37" s="1"/>
  <c r="P221" i="37" s="1"/>
  <c r="M221" i="37" s="1"/>
  <c r="AK221" i="37"/>
  <c r="AJ221" i="37" s="1"/>
  <c r="AI221" i="37" s="1"/>
  <c r="S313" i="37"/>
  <c r="R313" i="37" s="1"/>
  <c r="P313" i="37" s="1"/>
  <c r="AK313" i="37"/>
  <c r="AJ313" i="37" s="1"/>
  <c r="AI313" i="37" s="1"/>
  <c r="AG313" i="37" s="1"/>
  <c r="S104" i="37"/>
  <c r="R104" i="37" s="1"/>
  <c r="P104" i="37" s="1"/>
  <c r="M104" i="37" s="1"/>
  <c r="AK104" i="37"/>
  <c r="AJ104" i="37" s="1"/>
  <c r="AI104" i="37" s="1"/>
  <c r="AE308" i="37"/>
  <c r="M308" i="37"/>
  <c r="S362" i="37"/>
  <c r="R362" i="37" s="1"/>
  <c r="P362" i="37" s="1"/>
  <c r="M362" i="37" s="1"/>
  <c r="AK362" i="37"/>
  <c r="AJ362" i="37" s="1"/>
  <c r="AI362" i="37" s="1"/>
  <c r="AG362" i="37" s="1"/>
  <c r="M318" i="37"/>
  <c r="AE318" i="37"/>
  <c r="AD318" i="37" s="1"/>
  <c r="U388" i="37"/>
  <c r="AL388" i="37" s="1"/>
  <c r="S171" i="37"/>
  <c r="R171" i="37" s="1"/>
  <c r="P171" i="37" s="1"/>
  <c r="M171" i="37" s="1"/>
  <c r="AK171" i="37"/>
  <c r="AJ171" i="37" s="1"/>
  <c r="AI171" i="37" s="1"/>
  <c r="AH34" i="37"/>
  <c r="AG34" i="37" s="1"/>
  <c r="AK56" i="37"/>
  <c r="AJ56" i="37" s="1"/>
  <c r="AI56" i="37" s="1"/>
  <c r="AG56" i="37" s="1"/>
  <c r="S56" i="37"/>
  <c r="R56" i="37" s="1"/>
  <c r="P56" i="37" s="1"/>
  <c r="M56" i="37" s="1"/>
  <c r="V173" i="37"/>
  <c r="AM173" i="37" s="1"/>
  <c r="AE253" i="37"/>
  <c r="AH198" i="37"/>
  <c r="AH18" i="37"/>
  <c r="AG18" i="37" s="1"/>
  <c r="AD18" i="37" s="1"/>
  <c r="AE334" i="37"/>
  <c r="S288" i="37"/>
  <c r="AK288" i="37"/>
  <c r="AJ288" i="37" s="1"/>
  <c r="AH310" i="37"/>
  <c r="AG310" i="37" s="1"/>
  <c r="AF207" i="37"/>
  <c r="O209" i="37"/>
  <c r="AF209" i="37" s="1"/>
  <c r="AE238" i="37"/>
  <c r="AD238" i="37" s="1"/>
  <c r="U270" i="37"/>
  <c r="AL270" i="37" s="1"/>
  <c r="AE61" i="37"/>
  <c r="AH115" i="37"/>
  <c r="S89" i="37"/>
  <c r="R89" i="37" s="1"/>
  <c r="P89" i="37" s="1"/>
  <c r="M89" i="37" s="1"/>
  <c r="S170" i="37"/>
  <c r="R170" i="37" s="1"/>
  <c r="P170" i="37" s="1"/>
  <c r="M170" i="37" s="1"/>
  <c r="AK170" i="37"/>
  <c r="AJ170" i="37" s="1"/>
  <c r="AI170" i="37" s="1"/>
  <c r="AH320" i="37"/>
  <c r="AG320" i="37" s="1"/>
  <c r="AD320" i="37" s="1"/>
  <c r="P320" i="37"/>
  <c r="M320" i="37" s="1"/>
  <c r="S72" i="37"/>
  <c r="R72" i="37" s="1"/>
  <c r="P72" i="37" s="1"/>
  <c r="M72" i="37" s="1"/>
  <c r="AK72" i="37"/>
  <c r="AJ72" i="37" s="1"/>
  <c r="AI72" i="37" s="1"/>
  <c r="AG72" i="37" s="1"/>
  <c r="AD72" i="37" s="1"/>
  <c r="AH171" i="37"/>
  <c r="AE163" i="37"/>
  <c r="AD163" i="37" s="1"/>
  <c r="V166" i="37"/>
  <c r="AM166" i="37" s="1"/>
  <c r="S59" i="37"/>
  <c r="R59" i="37" s="1"/>
  <c r="P59" i="37" s="1"/>
  <c r="M59" i="37" s="1"/>
  <c r="AK59" i="37"/>
  <c r="AJ59" i="37" s="1"/>
  <c r="AI59" i="37" s="1"/>
  <c r="AG59" i="37" s="1"/>
  <c r="AD59" i="37" s="1"/>
  <c r="P151" i="37"/>
  <c r="AH151" i="37"/>
  <c r="AE335" i="37"/>
  <c r="V288" i="37"/>
  <c r="AM288" i="37" s="1"/>
  <c r="S384" i="37"/>
  <c r="R384" i="37" s="1"/>
  <c r="P384" i="37" s="1"/>
  <c r="M384" i="37" s="1"/>
  <c r="AK384" i="37"/>
  <c r="AJ384" i="37" s="1"/>
  <c r="AI384" i="37" s="1"/>
  <c r="AF71" i="37"/>
  <c r="O77" i="37"/>
  <c r="AF77" i="37" s="1"/>
  <c r="AD347" i="37"/>
  <c r="N240" i="37"/>
  <c r="V60" i="37"/>
  <c r="AM60" i="37" s="1"/>
  <c r="AG334" i="37"/>
  <c r="AH302" i="37"/>
  <c r="S87" i="37"/>
  <c r="R87" i="37" s="1"/>
  <c r="P87" i="37" s="1"/>
  <c r="AK87" i="37"/>
  <c r="AJ87" i="37" s="1"/>
  <c r="AI87" i="37" s="1"/>
  <c r="AG87" i="37" s="1"/>
  <c r="AH93" i="37"/>
  <c r="Q321" i="37"/>
  <c r="AK94" i="37"/>
  <c r="AJ94" i="37" s="1"/>
  <c r="AI94" i="37" s="1"/>
  <c r="S94" i="37"/>
  <c r="R94" i="37" s="1"/>
  <c r="S54" i="37"/>
  <c r="R54" i="37" s="1"/>
  <c r="AK54" i="37"/>
  <c r="AJ54" i="37" s="1"/>
  <c r="AI54" i="37" s="1"/>
  <c r="AH160" i="37"/>
  <c r="S65" i="37"/>
  <c r="R65" i="37" s="1"/>
  <c r="P65" i="37" s="1"/>
  <c r="M65" i="37" s="1"/>
  <c r="AK65" i="37"/>
  <c r="AJ65" i="37" s="1"/>
  <c r="AI65" i="37" s="1"/>
  <c r="O222" i="37"/>
  <c r="AF222" i="37" s="1"/>
  <c r="P191" i="37"/>
  <c r="M191" i="37" s="1"/>
  <c r="AH191" i="37"/>
  <c r="AH15" i="37"/>
  <c r="S386" i="37"/>
  <c r="R386" i="37" s="1"/>
  <c r="P386" i="37" s="1"/>
  <c r="M386" i="37" s="1"/>
  <c r="AK386" i="37"/>
  <c r="AJ386" i="37" s="1"/>
  <c r="AI386" i="37" s="1"/>
  <c r="AG386" i="37" s="1"/>
  <c r="AE56" i="37"/>
  <c r="AE11" i="37"/>
  <c r="N20" i="37"/>
  <c r="S377" i="37"/>
  <c r="R377" i="37" s="1"/>
  <c r="P377" i="37" s="1"/>
  <c r="M377" i="37" s="1"/>
  <c r="AK377" i="37"/>
  <c r="AJ377" i="37" s="1"/>
  <c r="AI377" i="37" s="1"/>
  <c r="S374" i="37"/>
  <c r="R374" i="37" s="1"/>
  <c r="P374" i="37" s="1"/>
  <c r="M374" i="37" s="1"/>
  <c r="AK374" i="37"/>
  <c r="AJ374" i="37" s="1"/>
  <c r="AI374" i="37" s="1"/>
  <c r="O213" i="37"/>
  <c r="AF213" i="37" s="1"/>
  <c r="AE34" i="37"/>
  <c r="T77" i="37"/>
  <c r="AH167" i="37"/>
  <c r="S50" i="37"/>
  <c r="R50" i="37" s="1"/>
  <c r="AK50" i="37"/>
  <c r="AJ50" i="37" s="1"/>
  <c r="AI50" i="37" s="1"/>
  <c r="S393" i="37"/>
  <c r="R393" i="37" s="1"/>
  <c r="P393" i="37" s="1"/>
  <c r="M393" i="37" s="1"/>
  <c r="AK393" i="37"/>
  <c r="AJ393" i="37" s="1"/>
  <c r="AI393" i="37" s="1"/>
  <c r="S62" i="37"/>
  <c r="R62" i="37" s="1"/>
  <c r="AK62" i="37"/>
  <c r="AJ62" i="37" s="1"/>
  <c r="AI62" i="37" s="1"/>
  <c r="AE162" i="37"/>
  <c r="M162" i="37"/>
  <c r="AH9" i="37"/>
  <c r="U302" i="37"/>
  <c r="AL302" i="37" s="1"/>
  <c r="AL300" i="37"/>
  <c r="AJ300" i="37" s="1"/>
  <c r="AI300" i="37" s="1"/>
  <c r="O293" i="37"/>
  <c r="AE385" i="37"/>
  <c r="AE15" i="37"/>
  <c r="S321" i="37"/>
  <c r="R321" i="37" s="1"/>
  <c r="AK321" i="37"/>
  <c r="AJ321" i="37" s="1"/>
  <c r="AI321" i="37" s="1"/>
  <c r="T378" i="37"/>
  <c r="Q317" i="37"/>
  <c r="AF374" i="37"/>
  <c r="AE31" i="37"/>
  <c r="P300" i="37"/>
  <c r="M300" i="37" s="1"/>
  <c r="AH300" i="37"/>
  <c r="V135" i="37"/>
  <c r="AM135" i="37" s="1"/>
  <c r="AH95" i="37"/>
  <c r="AK180" i="37"/>
  <c r="AJ180" i="37" s="1"/>
  <c r="AI180" i="37" s="1"/>
  <c r="S180" i="37"/>
  <c r="R180" i="37" s="1"/>
  <c r="AK74" i="37"/>
  <c r="AJ74" i="37" s="1"/>
  <c r="AI74" i="37" s="1"/>
  <c r="AG74" i="37" s="1"/>
  <c r="S74" i="37"/>
  <c r="R74" i="37" s="1"/>
  <c r="P74" i="37" s="1"/>
  <c r="M74" i="37" s="1"/>
  <c r="M27" i="37"/>
  <c r="AE27" i="37"/>
  <c r="M111" i="37"/>
  <c r="AE111" i="37"/>
  <c r="AD111" i="37" s="1"/>
  <c r="S44" i="37"/>
  <c r="R44" i="37" s="1"/>
  <c r="P44" i="37" s="1"/>
  <c r="M44" i="37" s="1"/>
  <c r="AK44" i="37"/>
  <c r="AJ44" i="37" s="1"/>
  <c r="AI44" i="37" s="1"/>
  <c r="AG44" i="37" s="1"/>
  <c r="T394" i="37"/>
  <c r="S66" i="37"/>
  <c r="R66" i="37" s="1"/>
  <c r="P66" i="37" s="1"/>
  <c r="M66" i="37" s="1"/>
  <c r="AK66" i="37"/>
  <c r="AJ66" i="37" s="1"/>
  <c r="AI66" i="37" s="1"/>
  <c r="AL48" i="37"/>
  <c r="AJ48" i="37" s="1"/>
  <c r="AI48" i="37" s="1"/>
  <c r="AG48" i="37" s="1"/>
  <c r="AD48" i="37" s="1"/>
  <c r="S48" i="37"/>
  <c r="R48" i="37" s="1"/>
  <c r="P48" i="37" s="1"/>
  <c r="M48" i="37" s="1"/>
  <c r="AH10" i="37"/>
  <c r="AH258" i="37"/>
  <c r="AH38" i="37"/>
  <c r="Q60" i="37"/>
  <c r="AK115" i="37"/>
  <c r="AH118" i="37"/>
  <c r="AG118" i="37" s="1"/>
  <c r="AD118" i="37" s="1"/>
  <c r="P118" i="37"/>
  <c r="M118" i="37" s="1"/>
  <c r="M322" i="37"/>
  <c r="V240" i="37"/>
  <c r="AM240" i="37" s="1"/>
  <c r="AH209" i="37"/>
  <c r="U281" i="37"/>
  <c r="AL281" i="37" s="1"/>
  <c r="AK197" i="37"/>
  <c r="AJ197" i="37" s="1"/>
  <c r="AI197" i="37" s="1"/>
  <c r="AG197" i="37" s="1"/>
  <c r="AD197" i="37" s="1"/>
  <c r="S197" i="37"/>
  <c r="R197" i="37" s="1"/>
  <c r="P197" i="37" s="1"/>
  <c r="M197" i="37" s="1"/>
  <c r="R172" i="37"/>
  <c r="P172" i="37" s="1"/>
  <c r="M172" i="37" s="1"/>
  <c r="S75" i="37"/>
  <c r="R75" i="37" s="1"/>
  <c r="P75" i="37" s="1"/>
  <c r="M75" i="37" s="1"/>
  <c r="AK75" i="37"/>
  <c r="AJ75" i="37" s="1"/>
  <c r="AI75" i="37" s="1"/>
  <c r="AG75" i="37" s="1"/>
  <c r="AD75" i="37" s="1"/>
  <c r="P63" i="37"/>
  <c r="M63" i="37" s="1"/>
  <c r="AH63" i="37"/>
  <c r="AG63" i="37" s="1"/>
  <c r="V222" i="37"/>
  <c r="AM222" i="37" s="1"/>
  <c r="S390" i="37"/>
  <c r="R390" i="37" s="1"/>
  <c r="AK390" i="37"/>
  <c r="AJ390" i="37" s="1"/>
  <c r="AI390" i="37" s="1"/>
  <c r="AK129" i="37"/>
  <c r="AJ129" i="37" s="1"/>
  <c r="AI129" i="37" s="1"/>
  <c r="S129" i="37"/>
  <c r="R129" i="37" s="1"/>
  <c r="P129" i="37" s="1"/>
  <c r="AH16" i="37"/>
  <c r="S181" i="37"/>
  <c r="R181" i="37" s="1"/>
  <c r="P181" i="37" s="1"/>
  <c r="M181" i="37" s="1"/>
  <c r="U173" i="37"/>
  <c r="AL173" i="37" s="1"/>
  <c r="AH175" i="37"/>
  <c r="M215" i="37"/>
  <c r="AE215" i="37"/>
  <c r="AD215" i="37" s="1"/>
  <c r="AK299" i="37"/>
  <c r="AJ299" i="37" s="1"/>
  <c r="AI299" i="37" s="1"/>
  <c r="AG299" i="37" s="1"/>
  <c r="AD299" i="37" s="1"/>
  <c r="S299" i="37"/>
  <c r="R299" i="37" s="1"/>
  <c r="P299" i="37" s="1"/>
  <c r="M299" i="37" s="1"/>
  <c r="AE22" i="37"/>
  <c r="AE246" i="37"/>
  <c r="AE154" i="37"/>
  <c r="S191" i="37"/>
  <c r="R191" i="37" s="1"/>
  <c r="AK191" i="37"/>
  <c r="AJ191" i="37" s="1"/>
  <c r="AI191" i="37" s="1"/>
  <c r="P79" i="37"/>
  <c r="M79" i="37" s="1"/>
  <c r="AH79" i="37"/>
  <c r="AG79" i="37" s="1"/>
  <c r="AD79" i="37" s="1"/>
  <c r="Q173" i="37"/>
  <c r="O107" i="37"/>
  <c r="AF107" i="37" s="1"/>
  <c r="AF103" i="37"/>
  <c r="AI287" i="37"/>
  <c r="AG287" i="37" s="1"/>
  <c r="M120" i="37"/>
  <c r="AE120" i="37"/>
  <c r="AD120" i="37" s="1"/>
  <c r="AH262" i="37"/>
  <c r="AM204" i="37"/>
  <c r="AI204" i="37" s="1"/>
  <c r="AG204" i="37" s="1"/>
  <c r="AD204" i="37" s="1"/>
  <c r="R204" i="37"/>
  <c r="P204" i="37" s="1"/>
  <c r="M204" i="37" s="1"/>
  <c r="R217" i="37"/>
  <c r="P217" i="37" s="1"/>
  <c r="M217" i="37" s="1"/>
  <c r="AH393" i="37"/>
  <c r="AH156" i="37"/>
  <c r="AG156" i="37" s="1"/>
  <c r="P156" i="37"/>
  <c r="M156" i="37" s="1"/>
  <c r="AH345" i="37"/>
  <c r="S185" i="37"/>
  <c r="R185" i="37" s="1"/>
  <c r="P185" i="37" s="1"/>
  <c r="M185" i="37" s="1"/>
  <c r="AK185" i="37"/>
  <c r="AJ185" i="37" s="1"/>
  <c r="AI185" i="37" s="1"/>
  <c r="P131" i="37"/>
  <c r="M131" i="37" s="1"/>
  <c r="AH131" i="37"/>
  <c r="AG131" i="37" s="1"/>
  <c r="AD131" i="37" s="1"/>
  <c r="N324" i="37"/>
  <c r="AI231" i="37"/>
  <c r="AG231" i="37" s="1"/>
  <c r="AD231" i="37" s="1"/>
  <c r="S290" i="37"/>
  <c r="R290" i="37" s="1"/>
  <c r="P290" i="37" s="1"/>
  <c r="M290" i="37" s="1"/>
  <c r="AK290" i="37"/>
  <c r="AJ290" i="37" s="1"/>
  <c r="AI290" i="37" s="1"/>
  <c r="AE83" i="37"/>
  <c r="AI243" i="37"/>
  <c r="V274" i="37"/>
  <c r="AM274" i="37" s="1"/>
  <c r="S190" i="37"/>
  <c r="R190" i="37" s="1"/>
  <c r="AK190" i="37"/>
  <c r="AJ190" i="37" s="1"/>
  <c r="AI190" i="37" s="1"/>
  <c r="S224" i="37"/>
  <c r="R224" i="37" s="1"/>
  <c r="P224" i="37" s="1"/>
  <c r="M224" i="37" s="1"/>
  <c r="AK224" i="37"/>
  <c r="AJ224" i="37" s="1"/>
  <c r="AI224" i="37" s="1"/>
  <c r="AG224" i="37" s="1"/>
  <c r="R333" i="37"/>
  <c r="P333" i="37" s="1"/>
  <c r="O87" i="37"/>
  <c r="AF87" i="37" s="1"/>
  <c r="O173" i="37"/>
  <c r="AF173" i="37" s="1"/>
  <c r="AK125" i="37"/>
  <c r="AJ125" i="37" s="1"/>
  <c r="AI125" i="37" s="1"/>
  <c r="AG125" i="37" s="1"/>
  <c r="AD125" i="37" s="1"/>
  <c r="S125" i="37"/>
  <c r="R125" i="37" s="1"/>
  <c r="P125" i="37" s="1"/>
  <c r="M125" i="37" s="1"/>
  <c r="AE380" i="37"/>
  <c r="V346" i="37"/>
  <c r="AM346" i="37" s="1"/>
  <c r="AK292" i="37"/>
  <c r="AJ292" i="37" s="1"/>
  <c r="AI292" i="37" s="1"/>
  <c r="AG292" i="37" s="1"/>
  <c r="AD292" i="37" s="1"/>
  <c r="S292" i="37"/>
  <c r="R292" i="37" s="1"/>
  <c r="P292" i="37" s="1"/>
  <c r="M292" i="37" s="1"/>
  <c r="T293" i="37"/>
  <c r="AK368" i="37"/>
  <c r="S368" i="37"/>
  <c r="R368" i="37" s="1"/>
  <c r="P368" i="37" s="1"/>
  <c r="M368" i="37" s="1"/>
  <c r="T375" i="37"/>
  <c r="P184" i="37"/>
  <c r="M184" i="37" s="1"/>
  <c r="AH184" i="37"/>
  <c r="AG184" i="37" s="1"/>
  <c r="AD184" i="37" s="1"/>
  <c r="AE98" i="37"/>
  <c r="AK337" i="37"/>
  <c r="AJ337" i="37" s="1"/>
  <c r="AI337" i="37" s="1"/>
  <c r="S337" i="37"/>
  <c r="R337" i="37" s="1"/>
  <c r="P337" i="37" s="1"/>
  <c r="AH23" i="37"/>
  <c r="AK367" i="37"/>
  <c r="AJ367" i="37" s="1"/>
  <c r="AI367" i="37" s="1"/>
  <c r="AG367" i="37" s="1"/>
  <c r="S367" i="37"/>
  <c r="R367" i="37" s="1"/>
  <c r="P367" i="37" s="1"/>
  <c r="O26" i="37"/>
  <c r="AK200" i="37"/>
  <c r="AJ200" i="37" s="1"/>
  <c r="AI200" i="37" s="1"/>
  <c r="S200" i="37"/>
  <c r="R200" i="37" s="1"/>
  <c r="P200" i="37" s="1"/>
  <c r="M200" i="37" s="1"/>
  <c r="M366" i="37"/>
  <c r="AE366" i="37"/>
  <c r="AD366" i="37" s="1"/>
  <c r="O375" i="37"/>
  <c r="S51" i="37"/>
  <c r="R51" i="37" s="1"/>
  <c r="P51" i="37" s="1"/>
  <c r="M51" i="37" s="1"/>
  <c r="AK51" i="37"/>
  <c r="AJ51" i="37" s="1"/>
  <c r="AI51" i="37" s="1"/>
  <c r="AG51" i="37" s="1"/>
  <c r="AD51" i="37" s="1"/>
  <c r="AF326" i="37"/>
  <c r="AD326" i="37" s="1"/>
  <c r="M326" i="37"/>
  <c r="S169" i="37"/>
  <c r="R169" i="37" s="1"/>
  <c r="S163" i="37"/>
  <c r="R163" i="37" s="1"/>
  <c r="P163" i="37" s="1"/>
  <c r="M163" i="37" s="1"/>
  <c r="AK163" i="37"/>
  <c r="AJ163" i="37" s="1"/>
  <c r="AI163" i="37" s="1"/>
  <c r="AG163" i="37" s="1"/>
  <c r="AJ71" i="37"/>
  <c r="AI71" i="37" s="1"/>
  <c r="AH58" i="37"/>
  <c r="AH218" i="37"/>
  <c r="AG218" i="37" s="1"/>
  <c r="P218" i="37"/>
  <c r="M218" i="37" s="1"/>
  <c r="AE137" i="37"/>
  <c r="AM338" i="37"/>
  <c r="AI338" i="37" s="1"/>
  <c r="AG338" i="37" s="1"/>
  <c r="R338" i="37"/>
  <c r="P338" i="37" s="1"/>
  <c r="M338" i="37" s="1"/>
  <c r="AH374" i="37"/>
  <c r="AH256" i="37"/>
  <c r="P183" i="37"/>
  <c r="AH183" i="37"/>
  <c r="AG183" i="37" s="1"/>
  <c r="AE341" i="37"/>
  <c r="AH288" i="37"/>
  <c r="S142" i="37"/>
  <c r="R142" i="37" s="1"/>
  <c r="P142" i="37" s="1"/>
  <c r="M142" i="37" s="1"/>
  <c r="AL142" i="37"/>
  <c r="AJ142" i="37" s="1"/>
  <c r="AI142" i="37" s="1"/>
  <c r="AG142" i="37" s="1"/>
  <c r="AK334" i="37"/>
  <c r="AJ334" i="37" s="1"/>
  <c r="AI334" i="37" s="1"/>
  <c r="S334" i="37"/>
  <c r="R334" i="37" s="1"/>
  <c r="P334" i="37" s="1"/>
  <c r="M334" i="37" s="1"/>
  <c r="AH24" i="37"/>
  <c r="AG24" i="37" s="1"/>
  <c r="AD24" i="37" s="1"/>
  <c r="P24" i="37"/>
  <c r="M24" i="37" s="1"/>
  <c r="S354" i="37"/>
  <c r="R354" i="37" s="1"/>
  <c r="P354" i="37" s="1"/>
  <c r="M354" i="37" s="1"/>
  <c r="AK354" i="37"/>
  <c r="AJ354" i="37" s="1"/>
  <c r="AI354" i="37" s="1"/>
  <c r="AG354" i="37" s="1"/>
  <c r="S227" i="37"/>
  <c r="R227" i="37" s="1"/>
  <c r="P227" i="37" s="1"/>
  <c r="M227" i="37" s="1"/>
  <c r="T230" i="37"/>
  <c r="AK227" i="37"/>
  <c r="AJ227" i="37" s="1"/>
  <c r="AI227" i="37" s="1"/>
  <c r="AG227" i="37" s="1"/>
  <c r="AE278" i="37"/>
  <c r="AH246" i="37"/>
  <c r="S201" i="37"/>
  <c r="R201" i="37" s="1"/>
  <c r="P201" i="37" s="1"/>
  <c r="M201" i="37" s="1"/>
  <c r="AK201" i="37"/>
  <c r="AJ201" i="37" s="1"/>
  <c r="AI201" i="37" s="1"/>
  <c r="AH178" i="37"/>
  <c r="AG178" i="37" s="1"/>
  <c r="N367" i="37"/>
  <c r="AH392" i="37"/>
  <c r="AH61" i="37"/>
  <c r="AI245" i="37"/>
  <c r="AG245" i="37" s="1"/>
  <c r="AD245" i="37" s="1"/>
  <c r="AE169" i="37"/>
  <c r="AJ181" i="37"/>
  <c r="AI181" i="37" s="1"/>
  <c r="V77" i="37"/>
  <c r="AM77" i="37" s="1"/>
  <c r="S42" i="37"/>
  <c r="R42" i="37" s="1"/>
  <c r="P42" i="37" s="1"/>
  <c r="M42" i="37" s="1"/>
  <c r="AK42" i="37"/>
  <c r="AJ42" i="37" s="1"/>
  <c r="AI42" i="37" s="1"/>
  <c r="N166" i="37"/>
  <c r="R353" i="37"/>
  <c r="P353" i="37" s="1"/>
  <c r="M353" i="37" s="1"/>
  <c r="AG144" i="37"/>
  <c r="U317" i="37"/>
  <c r="AL317" i="37" s="1"/>
  <c r="S127" i="37"/>
  <c r="R127" i="37" s="1"/>
  <c r="P127" i="37" s="1"/>
  <c r="AK127" i="37"/>
  <c r="AJ127" i="37" s="1"/>
  <c r="AI127" i="37" s="1"/>
  <c r="AG127" i="37" s="1"/>
  <c r="AH11" i="37"/>
  <c r="P11" i="37"/>
  <c r="M11" i="37" s="1"/>
  <c r="AE156" i="37"/>
  <c r="S164" i="37"/>
  <c r="R164" i="37" s="1"/>
  <c r="P164" i="37" s="1"/>
  <c r="M164" i="37" s="1"/>
  <c r="AK164" i="37"/>
  <c r="AJ164" i="37" s="1"/>
  <c r="AI164" i="37" s="1"/>
  <c r="AG164" i="37" s="1"/>
  <c r="AI336" i="37"/>
  <c r="AG336" i="37" s="1"/>
  <c r="AE265" i="37"/>
  <c r="AE104" i="37"/>
  <c r="AE254" i="37"/>
  <c r="S31" i="37"/>
  <c r="R31" i="37" s="1"/>
  <c r="P31" i="37" s="1"/>
  <c r="M31" i="37" s="1"/>
  <c r="AK31" i="37"/>
  <c r="AJ31" i="37" s="1"/>
  <c r="AI31" i="37" s="1"/>
  <c r="AE178" i="37"/>
  <c r="AK383" i="37"/>
  <c r="AJ383" i="37" s="1"/>
  <c r="AI383" i="37" s="1"/>
  <c r="S383" i="37"/>
  <c r="R383" i="37" s="1"/>
  <c r="AH261" i="37"/>
  <c r="AK95" i="37"/>
  <c r="AJ95" i="37" s="1"/>
  <c r="AI95" i="37" s="1"/>
  <c r="S95" i="37"/>
  <c r="R95" i="37" s="1"/>
  <c r="P95" i="37" s="1"/>
  <c r="M95" i="37" s="1"/>
  <c r="AJ58" i="37"/>
  <c r="AI58" i="37" s="1"/>
  <c r="AE311" i="37"/>
  <c r="AE230" i="37"/>
  <c r="O339" i="37"/>
  <c r="AF339" i="37" s="1"/>
  <c r="AH372" i="37"/>
  <c r="AK157" i="37"/>
  <c r="AE340" i="37"/>
  <c r="N346" i="37"/>
  <c r="S160" i="37"/>
  <c r="R160" i="37" s="1"/>
  <c r="P160" i="37" s="1"/>
  <c r="M160" i="37" s="1"/>
  <c r="AK160" i="37"/>
  <c r="AJ160" i="37" s="1"/>
  <c r="AI160" i="37" s="1"/>
  <c r="V107" i="37"/>
  <c r="AM107" i="37" s="1"/>
  <c r="AM103" i="37"/>
  <c r="AF270" i="37"/>
  <c r="AH177" i="37"/>
  <c r="S8" i="37"/>
  <c r="R8" i="37" s="1"/>
  <c r="P8" i="37" s="1"/>
  <c r="M8" i="37" s="1"/>
  <c r="AK8" i="37"/>
  <c r="AK239" i="37"/>
  <c r="AJ239" i="37" s="1"/>
  <c r="AI239" i="37" s="1"/>
  <c r="AG239" i="37" s="1"/>
  <c r="S239" i="37"/>
  <c r="R239" i="37" s="1"/>
  <c r="P239" i="37" s="1"/>
  <c r="M239" i="37" s="1"/>
  <c r="AE171" i="37"/>
  <c r="P303" i="37"/>
  <c r="M303" i="37" s="1"/>
  <c r="AH303" i="37"/>
  <c r="AE176" i="37"/>
  <c r="S341" i="37"/>
  <c r="R341" i="37" s="1"/>
  <c r="P341" i="37" s="1"/>
  <c r="M341" i="37" s="1"/>
  <c r="AK341" i="37"/>
  <c r="AJ341" i="37" s="1"/>
  <c r="AI341" i="37" s="1"/>
  <c r="AG341" i="37" s="1"/>
  <c r="AE186" i="37"/>
  <c r="M186" i="37"/>
  <c r="AH384" i="37"/>
  <c r="AE227" i="37"/>
  <c r="AK276" i="37"/>
  <c r="AJ276" i="37" s="1"/>
  <c r="AI276" i="37" s="1"/>
  <c r="AG276" i="37" s="1"/>
  <c r="AD276" i="37" s="1"/>
  <c r="S276" i="37"/>
  <c r="R276" i="37" s="1"/>
  <c r="P276" i="37" s="1"/>
  <c r="M276" i="37" s="1"/>
  <c r="AE343" i="37"/>
  <c r="AD343" i="37" s="1"/>
  <c r="M343" i="37"/>
  <c r="AE62" i="37"/>
  <c r="AF141" i="37"/>
  <c r="O143" i="37"/>
  <c r="AF143" i="37" s="1"/>
  <c r="T242" i="37"/>
  <c r="S242" i="37" s="1"/>
  <c r="R242" i="37" s="1"/>
  <c r="P242" i="37" s="1"/>
  <c r="AF199" i="37"/>
  <c r="U91" i="37"/>
  <c r="AL91" i="37" s="1"/>
  <c r="AK247" i="37"/>
  <c r="AJ247" i="37" s="1"/>
  <c r="AI247" i="37" s="1"/>
  <c r="AG247" i="37" s="1"/>
  <c r="S247" i="37"/>
  <c r="R247" i="37" s="1"/>
  <c r="P247" i="37" s="1"/>
  <c r="M247" i="37" s="1"/>
  <c r="M86" i="37"/>
  <c r="AE86" i="37"/>
  <c r="AD86" i="37" s="1"/>
  <c r="Q305" i="37"/>
  <c r="AL39" i="37"/>
  <c r="AJ39" i="37" s="1"/>
  <c r="AI39" i="37" s="1"/>
  <c r="AG39" i="37" s="1"/>
  <c r="AD39" i="37" s="1"/>
  <c r="S39" i="37"/>
  <c r="R39" i="37" s="1"/>
  <c r="P39" i="37" s="1"/>
  <c r="M39" i="37" s="1"/>
  <c r="P316" i="37"/>
  <c r="M316" i="37" s="1"/>
  <c r="AH316" i="37"/>
  <c r="AG316" i="37" s="1"/>
  <c r="Q388" i="37"/>
  <c r="AE228" i="37"/>
  <c r="AE60" i="37"/>
  <c r="U394" i="37"/>
  <c r="AL394" i="37" s="1"/>
  <c r="N173" i="37"/>
  <c r="T265" i="37"/>
  <c r="T188" i="37"/>
  <c r="AK149" i="37"/>
  <c r="AJ149" i="37" s="1"/>
  <c r="AI149" i="37" s="1"/>
  <c r="S149" i="37"/>
  <c r="R149" i="37" s="1"/>
  <c r="AH330" i="37"/>
  <c r="S140" i="37"/>
  <c r="R140" i="37" s="1"/>
  <c r="P140" i="37" s="1"/>
  <c r="M140" i="37" s="1"/>
  <c r="AK140" i="37"/>
  <c r="AJ140" i="37" s="1"/>
  <c r="AI140" i="37" s="1"/>
  <c r="AG140" i="37" s="1"/>
  <c r="AE113" i="37"/>
  <c r="AD113" i="37" s="1"/>
  <c r="M113" i="37"/>
  <c r="S329" i="37"/>
  <c r="R329" i="37" s="1"/>
  <c r="P329" i="37" s="1"/>
  <c r="M329" i="37" s="1"/>
  <c r="AK329" i="37"/>
  <c r="AJ329" i="37" s="1"/>
  <c r="AI329" i="37" s="1"/>
  <c r="AG329" i="37" s="1"/>
  <c r="AH68" i="37"/>
  <c r="P68" i="37"/>
  <c r="M68" i="37" s="1"/>
  <c r="AH172" i="37"/>
  <c r="AG172" i="37" s="1"/>
  <c r="AK248" i="37"/>
  <c r="AJ248" i="37" s="1"/>
  <c r="AI248" i="37" s="1"/>
  <c r="AG248" i="37" s="1"/>
  <c r="AD248" i="37" s="1"/>
  <c r="S248" i="37"/>
  <c r="R248" i="37" s="1"/>
  <c r="P248" i="37" s="1"/>
  <c r="M248" i="37" s="1"/>
  <c r="AK64" i="37"/>
  <c r="AJ64" i="37" s="1"/>
  <c r="AI64" i="37" s="1"/>
  <c r="AG64" i="37" s="1"/>
  <c r="S64" i="37"/>
  <c r="R64" i="37" s="1"/>
  <c r="P64" i="37" s="1"/>
  <c r="M64" i="37" s="1"/>
  <c r="AE224" i="37"/>
  <c r="AE207" i="37"/>
  <c r="M207" i="37"/>
  <c r="AL156" i="37"/>
  <c r="AJ156" i="37" s="1"/>
  <c r="AI156" i="37" s="1"/>
  <c r="S156" i="37"/>
  <c r="R156" i="37" s="1"/>
  <c r="AK100" i="37"/>
  <c r="V278" i="37"/>
  <c r="AM278" i="37" s="1"/>
  <c r="S189" i="37"/>
  <c r="R189" i="37" s="1"/>
  <c r="P189" i="37" s="1"/>
  <c r="M189" i="37" s="1"/>
  <c r="AK189" i="37"/>
  <c r="AJ189" i="37" s="1"/>
  <c r="AI189" i="37" s="1"/>
  <c r="S9" i="37"/>
  <c r="R9" i="37" s="1"/>
  <c r="P9" i="37" s="1"/>
  <c r="M9" i="37" s="1"/>
  <c r="AK9" i="37"/>
  <c r="AJ9" i="37" s="1"/>
  <c r="AI9" i="37" s="1"/>
  <c r="Q69" i="37"/>
  <c r="U202" i="37"/>
  <c r="AL202" i="37" s="1"/>
  <c r="U166" i="37"/>
  <c r="AL166" i="37" s="1"/>
  <c r="S262" i="37"/>
  <c r="R262" i="37" s="1"/>
  <c r="P262" i="37" s="1"/>
  <c r="M262" i="37" s="1"/>
  <c r="AK262" i="37"/>
  <c r="AJ262" i="37" s="1"/>
  <c r="AI262" i="37" s="1"/>
  <c r="AL340" i="37"/>
  <c r="AJ340" i="37" s="1"/>
  <c r="AI340" i="37" s="1"/>
  <c r="AG340" i="37" s="1"/>
  <c r="S340" i="37"/>
  <c r="R340" i="37" s="1"/>
  <c r="P340" i="37" s="1"/>
  <c r="M340" i="37" s="1"/>
  <c r="AH283" i="37"/>
  <c r="S220" i="37"/>
  <c r="R220" i="37" s="1"/>
  <c r="P220" i="37" s="1"/>
  <c r="M220" i="37" s="1"/>
  <c r="AK220" i="37"/>
  <c r="AJ220" i="37" s="1"/>
  <c r="AI220" i="37" s="1"/>
  <c r="AE319" i="37"/>
  <c r="S268" i="37"/>
  <c r="R268" i="37" s="1"/>
  <c r="P268" i="37" s="1"/>
  <c r="M268" i="37" s="1"/>
  <c r="AK268" i="37"/>
  <c r="AJ268" i="37" s="1"/>
  <c r="AI268" i="37" s="1"/>
  <c r="S330" i="37"/>
  <c r="R330" i="37" s="1"/>
  <c r="P330" i="37" s="1"/>
  <c r="M330" i="37" s="1"/>
  <c r="AK330" i="37"/>
  <c r="AJ330" i="37" s="1"/>
  <c r="AI330" i="37" s="1"/>
  <c r="AK302" i="37"/>
  <c r="S168" i="37"/>
  <c r="R168" i="37" s="1"/>
  <c r="P168" i="37" s="1"/>
  <c r="M168" i="37" s="1"/>
  <c r="AK168" i="37"/>
  <c r="AJ168" i="37" s="1"/>
  <c r="AI168" i="37" s="1"/>
  <c r="AK198" i="37"/>
  <c r="AJ198" i="37" s="1"/>
  <c r="AI198" i="37" s="1"/>
  <c r="S198" i="37"/>
  <c r="R198" i="37" s="1"/>
  <c r="P198" i="37" s="1"/>
  <c r="M198" i="37" s="1"/>
  <c r="S76" i="37"/>
  <c r="R76" i="37" s="1"/>
  <c r="P76" i="37" s="1"/>
  <c r="M76" i="37" s="1"/>
  <c r="AK76" i="37"/>
  <c r="AJ76" i="37" s="1"/>
  <c r="AI76" i="37" s="1"/>
  <c r="AG76" i="37" s="1"/>
  <c r="AH170" i="37"/>
  <c r="AG170" i="37" s="1"/>
  <c r="AH119" i="37"/>
  <c r="AG119" i="37" s="1"/>
  <c r="P119" i="37"/>
  <c r="M119" i="37" s="1"/>
  <c r="N115" i="37"/>
  <c r="AH389" i="37"/>
  <c r="AG389" i="37" s="1"/>
  <c r="AD389" i="37" s="1"/>
  <c r="P389" i="37"/>
  <c r="M389" i="37" s="1"/>
  <c r="V226" i="37"/>
  <c r="AM226" i="37" s="1"/>
  <c r="AE221" i="37"/>
  <c r="AE300" i="37"/>
  <c r="AE338" i="37"/>
  <c r="AH28" i="37"/>
  <c r="AG28" i="37" s="1"/>
  <c r="AD28" i="37" s="1"/>
  <c r="P28" i="37"/>
  <c r="M28" i="37" s="1"/>
  <c r="AE354" i="37"/>
  <c r="N358" i="37"/>
  <c r="S305" i="37"/>
  <c r="AK305" i="37"/>
  <c r="AJ305" i="37" s="1"/>
  <c r="M387" i="37"/>
  <c r="AE387" i="37"/>
  <c r="AD387" i="37" s="1"/>
  <c r="AE216" i="37"/>
  <c r="AH359" i="37"/>
  <c r="AK99" i="37"/>
  <c r="AJ99" i="37" s="1"/>
  <c r="AI99" i="37" s="1"/>
  <c r="AG99" i="37" s="1"/>
  <c r="AD99" i="37" s="1"/>
  <c r="S99" i="37"/>
  <c r="R99" i="37" s="1"/>
  <c r="P99" i="37" s="1"/>
  <c r="M99" i="37" s="1"/>
  <c r="AF372" i="37"/>
  <c r="S282" i="37"/>
  <c r="R282" i="37" s="1"/>
  <c r="P282" i="37" s="1"/>
  <c r="M282" i="37" s="1"/>
  <c r="AK282" i="37"/>
  <c r="AJ282" i="37" s="1"/>
  <c r="AI282" i="37" s="1"/>
  <c r="AG282" i="37" s="1"/>
  <c r="AD282" i="37" s="1"/>
  <c r="T283" i="37"/>
  <c r="AH92" i="37"/>
  <c r="AG92" i="37" s="1"/>
  <c r="AD92" i="37" s="1"/>
  <c r="P92" i="37"/>
  <c r="M92" i="37" s="1"/>
  <c r="Q96" i="37"/>
  <c r="S196" i="37"/>
  <c r="R196" i="37" s="1"/>
  <c r="P196" i="37" s="1"/>
  <c r="M196" i="37" s="1"/>
  <c r="AK196" i="37"/>
  <c r="AJ196" i="37" s="1"/>
  <c r="AI196" i="37" s="1"/>
  <c r="S359" i="37"/>
  <c r="R359" i="37" s="1"/>
  <c r="P359" i="37" s="1"/>
  <c r="M359" i="37" s="1"/>
  <c r="AK359" i="37"/>
  <c r="AJ359" i="37" s="1"/>
  <c r="AI359" i="37" s="1"/>
  <c r="AK263" i="37"/>
  <c r="AJ263" i="37" s="1"/>
  <c r="AI263" i="37" s="1"/>
  <c r="S263" i="37"/>
  <c r="R263" i="37" s="1"/>
  <c r="AE152" i="37"/>
  <c r="P29" i="37"/>
  <c r="M29" i="37" s="1"/>
  <c r="AH29" i="37"/>
  <c r="AG29" i="37" s="1"/>
  <c r="AF381" i="37"/>
  <c r="AD381" i="37" s="1"/>
  <c r="M381" i="37"/>
  <c r="U188" i="37"/>
  <c r="AL188" i="37" s="1"/>
  <c r="Q360" i="37"/>
  <c r="S309" i="37"/>
  <c r="R309" i="37" s="1"/>
  <c r="P309" i="37" s="1"/>
  <c r="M309" i="37" s="1"/>
  <c r="AK309" i="37"/>
  <c r="AJ309" i="37" s="1"/>
  <c r="AI309" i="37" s="1"/>
  <c r="AG309" i="37" s="1"/>
  <c r="AD309" i="37" s="1"/>
  <c r="AH269" i="37"/>
  <c r="AH166" i="37"/>
  <c r="T222" i="37"/>
  <c r="S78" i="37"/>
  <c r="R78" i="37" s="1"/>
  <c r="P78" i="37" s="1"/>
  <c r="M78" i="37" s="1"/>
  <c r="AK78" i="37"/>
  <c r="AJ78" i="37" s="1"/>
  <c r="AI78" i="37" s="1"/>
  <c r="AH150" i="37"/>
  <c r="O202" i="37"/>
  <c r="AF202" i="37" s="1"/>
  <c r="V265" i="37"/>
  <c r="AM265" i="37" s="1"/>
  <c r="AE220" i="37"/>
  <c r="AE301" i="37"/>
  <c r="AH82" i="37"/>
  <c r="AE274" i="37"/>
  <c r="V230" i="37"/>
  <c r="AM230" i="37" s="1"/>
  <c r="AH277" i="37"/>
  <c r="AG277" i="37" s="1"/>
  <c r="AH225" i="37"/>
  <c r="P225" i="37"/>
  <c r="M225" i="37" s="1"/>
  <c r="AE19" i="37"/>
  <c r="AD19" i="37" s="1"/>
  <c r="R352" i="37"/>
  <c r="P352" i="37" s="1"/>
  <c r="M352" i="37" s="1"/>
  <c r="AE32" i="37"/>
  <c r="AM8" i="37"/>
  <c r="AH267" i="37"/>
  <c r="M70" i="37"/>
  <c r="AE70" i="37"/>
  <c r="V339" i="37"/>
  <c r="AM339" i="37" s="1"/>
  <c r="T60" i="37"/>
  <c r="AH154" i="37"/>
  <c r="AH193" i="37"/>
  <c r="AG193" i="37" s="1"/>
  <c r="AD193" i="37" s="1"/>
  <c r="AK26" i="37"/>
  <c r="AJ26" i="37" s="1"/>
  <c r="AI26" i="37" s="1"/>
  <c r="S26" i="37"/>
  <c r="R26" i="37" s="1"/>
  <c r="AG337" i="37"/>
  <c r="S205" i="37"/>
  <c r="R205" i="37" s="1"/>
  <c r="P205" i="37" s="1"/>
  <c r="M205" i="37" s="1"/>
  <c r="AK205" i="37"/>
  <c r="AJ205" i="37" s="1"/>
  <c r="AI205" i="37" s="1"/>
  <c r="AG205" i="37" s="1"/>
  <c r="AD205" i="37" s="1"/>
  <c r="Q226" i="37"/>
  <c r="AK114" i="37"/>
  <c r="AJ114" i="37" s="1"/>
  <c r="AI114" i="37" s="1"/>
  <c r="AG114" i="37" s="1"/>
  <c r="S114" i="37"/>
  <c r="R114" i="37" s="1"/>
  <c r="P114" i="37" s="1"/>
  <c r="M114" i="37" s="1"/>
  <c r="S370" i="37"/>
  <c r="R370" i="37" s="1"/>
  <c r="P370" i="37" s="1"/>
  <c r="M370" i="37" s="1"/>
  <c r="AK370" i="37"/>
  <c r="AJ370" i="37" s="1"/>
  <c r="AI370" i="37" s="1"/>
  <c r="AG370" i="37" s="1"/>
  <c r="AG71" i="37"/>
  <c r="AE212" i="37"/>
  <c r="AH268" i="37"/>
  <c r="AH240" i="37"/>
  <c r="S43" i="37"/>
  <c r="R43" i="37" s="1"/>
  <c r="P43" i="37" s="1"/>
  <c r="M43" i="37" s="1"/>
  <c r="AK43" i="37"/>
  <c r="AJ43" i="37" s="1"/>
  <c r="AI43" i="37" s="1"/>
  <c r="AG43" i="37" s="1"/>
  <c r="AD43" i="37" s="1"/>
  <c r="AE218" i="37"/>
  <c r="AH189" i="37"/>
  <c r="AG78" i="37"/>
  <c r="S253" i="37"/>
  <c r="R253" i="37" s="1"/>
  <c r="P253" i="37" s="1"/>
  <c r="M253" i="37" s="1"/>
  <c r="AK253" i="37"/>
  <c r="AJ253" i="37" s="1"/>
  <c r="AI253" i="37" s="1"/>
  <c r="AG253" i="37" s="1"/>
  <c r="P344" i="37"/>
  <c r="M344" i="37" s="1"/>
  <c r="AH344" i="37"/>
  <c r="AG344" i="37" s="1"/>
  <c r="R363" i="37"/>
  <c r="P363" i="37" s="1"/>
  <c r="T209" i="37"/>
  <c r="AF310" i="37"/>
  <c r="V188" i="37"/>
  <c r="AM188" i="37" s="1"/>
  <c r="AH132" i="37"/>
  <c r="AH285" i="37"/>
  <c r="AG285" i="37" s="1"/>
  <c r="AD285" i="37" s="1"/>
  <c r="P285" i="37"/>
  <c r="M285" i="37" s="1"/>
  <c r="AK373" i="37"/>
  <c r="AJ373" i="37" s="1"/>
  <c r="AI373" i="37" s="1"/>
  <c r="AG373" i="37" s="1"/>
  <c r="AD373" i="37" s="1"/>
  <c r="S373" i="37"/>
  <c r="R373" i="37" s="1"/>
  <c r="P373" i="37" s="1"/>
  <c r="M373" i="37" s="1"/>
  <c r="S174" i="37"/>
  <c r="R174" i="37" s="1"/>
  <c r="P174" i="37" s="1"/>
  <c r="M174" i="37" s="1"/>
  <c r="AK174" i="37"/>
  <c r="AJ174" i="37" s="1"/>
  <c r="AI174" i="37" s="1"/>
  <c r="AG174" i="37" s="1"/>
  <c r="AD174" i="37" s="1"/>
  <c r="AD232" i="37"/>
  <c r="AK226" i="37"/>
  <c r="AJ226" i="37" s="1"/>
  <c r="S226" i="37"/>
  <c r="R226" i="37" s="1"/>
  <c r="Q270" i="37"/>
  <c r="AK192" i="37"/>
  <c r="AJ192" i="37" s="1"/>
  <c r="AI192" i="37" s="1"/>
  <c r="AG192" i="37" s="1"/>
  <c r="AD192" i="37" s="1"/>
  <c r="S192" i="37"/>
  <c r="R192" i="37" s="1"/>
  <c r="P192" i="37" s="1"/>
  <c r="M192" i="37" s="1"/>
  <c r="AF201" i="37"/>
  <c r="S61" i="37"/>
  <c r="R61" i="37" s="1"/>
  <c r="P61" i="37" s="1"/>
  <c r="M61" i="37" s="1"/>
  <c r="AK61" i="37"/>
  <c r="AJ61" i="37" s="1"/>
  <c r="AI61" i="37" s="1"/>
  <c r="S391" i="37"/>
  <c r="R391" i="37" s="1"/>
  <c r="P391" i="37" s="1"/>
  <c r="M391" i="37" s="1"/>
  <c r="AK391" i="37"/>
  <c r="AJ391" i="37" s="1"/>
  <c r="AI391" i="37" s="1"/>
  <c r="AE202" i="37"/>
  <c r="R287" i="37"/>
  <c r="P287" i="37" s="1"/>
  <c r="M287" i="37" s="1"/>
  <c r="S128" i="37"/>
  <c r="R128" i="37" s="1"/>
  <c r="P128" i="37" s="1"/>
  <c r="M128" i="37" s="1"/>
  <c r="AK128" i="37"/>
  <c r="AJ128" i="37" s="1"/>
  <c r="AI128" i="37" s="1"/>
  <c r="AG128" i="37" s="1"/>
  <c r="AD128" i="37" s="1"/>
  <c r="P190" i="37"/>
  <c r="M190" i="37" s="1"/>
  <c r="AH190" i="37"/>
  <c r="AH257" i="37"/>
  <c r="AL251" i="37"/>
  <c r="AJ251" i="37" s="1"/>
  <c r="AI251" i="37" s="1"/>
  <c r="AG251" i="37" s="1"/>
  <c r="U256" i="37"/>
  <c r="AL256" i="37" s="1"/>
  <c r="S251" i="37"/>
  <c r="R251" i="37" s="1"/>
  <c r="P251" i="37" s="1"/>
  <c r="M251" i="37" s="1"/>
  <c r="AL177" i="37"/>
  <c r="AJ177" i="37" s="1"/>
  <c r="AI177" i="37" s="1"/>
  <c r="S177" i="37"/>
  <c r="R177" i="37" s="1"/>
  <c r="P177" i="37" s="1"/>
  <c r="M177" i="37" s="1"/>
  <c r="AF314" i="37"/>
  <c r="AD314" i="37" s="1"/>
  <c r="M314" i="37"/>
  <c r="R304" i="37"/>
  <c r="P304" i="37" s="1"/>
  <c r="M304" i="37" s="1"/>
  <c r="S371" i="37"/>
  <c r="R371" i="37" s="1"/>
  <c r="P371" i="37" s="1"/>
  <c r="M371" i="37" s="1"/>
  <c r="AK371" i="37"/>
  <c r="AJ371" i="37" s="1"/>
  <c r="AI371" i="37" s="1"/>
  <c r="S332" i="37"/>
  <c r="R332" i="37" s="1"/>
  <c r="P332" i="37" s="1"/>
  <c r="M332" i="37" s="1"/>
  <c r="AK332" i="37"/>
  <c r="AJ332" i="37" s="1"/>
  <c r="AI332" i="37" s="1"/>
  <c r="AG332" i="37" s="1"/>
  <c r="AH148" i="37"/>
  <c r="AG148" i="37" s="1"/>
  <c r="AD148" i="37" s="1"/>
  <c r="P148" i="37"/>
  <c r="M148" i="37" s="1"/>
  <c r="AH391" i="37"/>
  <c r="S33" i="37"/>
  <c r="R33" i="37" s="1"/>
  <c r="AK33" i="37"/>
  <c r="AJ33" i="37" s="1"/>
  <c r="AI33" i="37" s="1"/>
  <c r="V388" i="37"/>
  <c r="AM388" i="37" s="1"/>
  <c r="AJ169" i="37"/>
  <c r="AI169" i="37" s="1"/>
  <c r="AE103" i="37"/>
  <c r="N107" i="37"/>
  <c r="R71" i="37"/>
  <c r="P71" i="37" s="1"/>
  <c r="M71" i="37" s="1"/>
  <c r="AH342" i="37"/>
  <c r="Q346" i="37"/>
  <c r="AE349" i="37"/>
  <c r="P54" i="37"/>
  <c r="M54" i="37" s="1"/>
  <c r="AH54" i="37"/>
  <c r="AG54" i="37" s="1"/>
  <c r="U378" i="37"/>
  <c r="AL378" i="37" s="1"/>
  <c r="AH371" i="37"/>
  <c r="V91" i="37"/>
  <c r="AM91" i="37" s="1"/>
  <c r="S141" i="37"/>
  <c r="R141" i="37" s="1"/>
  <c r="P141" i="37" s="1"/>
  <c r="M141" i="37" s="1"/>
  <c r="AL141" i="37"/>
  <c r="AJ141" i="37" s="1"/>
  <c r="AI141" i="37" s="1"/>
  <c r="AG141" i="37" s="1"/>
  <c r="AH289" i="37"/>
  <c r="AG289" i="37" s="1"/>
  <c r="P289" i="37"/>
  <c r="AE78" i="37"/>
  <c r="AJ225" i="37"/>
  <c r="AI225" i="37" s="1"/>
  <c r="R243" i="37"/>
  <c r="P243" i="37" s="1"/>
  <c r="M243" i="37" s="1"/>
  <c r="S310" i="37"/>
  <c r="R310" i="37" s="1"/>
  <c r="P310" i="37" s="1"/>
  <c r="M310" i="37" s="1"/>
  <c r="U240" i="37"/>
  <c r="AL240" i="37" s="1"/>
  <c r="P390" i="37"/>
  <c r="M390" i="37" s="1"/>
  <c r="AH390" i="37"/>
  <c r="S246" i="37"/>
  <c r="AK246" i="37"/>
  <c r="AJ246" i="37" s="1"/>
  <c r="AK46" i="37"/>
  <c r="AJ46" i="37" s="1"/>
  <c r="AI46" i="37" s="1"/>
  <c r="S46" i="37"/>
  <c r="R46" i="37" s="1"/>
  <c r="AK152" i="37"/>
  <c r="AJ152" i="37" s="1"/>
  <c r="AI152" i="37" s="1"/>
  <c r="S152" i="37"/>
  <c r="R152" i="37" s="1"/>
  <c r="P152" i="37" s="1"/>
  <c r="M152" i="37" s="1"/>
  <c r="AL272" i="37"/>
  <c r="AJ272" i="37" s="1"/>
  <c r="AI272" i="37" s="1"/>
  <c r="S272" i="37"/>
  <c r="R272" i="37" s="1"/>
  <c r="P272" i="37" s="1"/>
  <c r="M272" i="37" s="1"/>
  <c r="AK123" i="37"/>
  <c r="AJ123" i="37" s="1"/>
  <c r="AI123" i="37" s="1"/>
  <c r="AG123" i="37" s="1"/>
  <c r="AD123" i="37" s="1"/>
  <c r="S123" i="37"/>
  <c r="R123" i="37" s="1"/>
  <c r="P123" i="37" s="1"/>
  <c r="M123" i="37" s="1"/>
  <c r="AE105" i="37"/>
  <c r="P259" i="37"/>
  <c r="M259" i="37" s="1"/>
  <c r="AH259" i="37"/>
  <c r="AG259" i="37" s="1"/>
  <c r="AD259" i="37" s="1"/>
  <c r="AH339" i="37"/>
  <c r="AF356" i="37"/>
  <c r="AJ349" i="37"/>
  <c r="AI349" i="37" s="1"/>
  <c r="AG349" i="37" s="1"/>
  <c r="AH358" i="37"/>
  <c r="T346" i="37"/>
  <c r="AG327" i="37"/>
  <c r="AD327" i="37" s="1"/>
  <c r="P324" i="37"/>
  <c r="AH324" i="37"/>
  <c r="S349" i="37"/>
  <c r="R349" i="37" s="1"/>
  <c r="P349" i="37" s="1"/>
  <c r="M349" i="37" s="1"/>
  <c r="AE17" i="37"/>
  <c r="AJ350" i="37"/>
  <c r="AI350" i="37" s="1"/>
  <c r="AG350" i="37" s="1"/>
  <c r="AD350" i="37" s="1"/>
  <c r="AH37" i="37"/>
  <c r="V157" i="37"/>
  <c r="AM157" i="37" s="1"/>
  <c r="AH368" i="37"/>
  <c r="AH181" i="37"/>
  <c r="Q188" i="37"/>
  <c r="AE344" i="37"/>
  <c r="U143" i="37"/>
  <c r="S335" i="37"/>
  <c r="R335" i="37" s="1"/>
  <c r="P335" i="37" s="1"/>
  <c r="M335" i="37" s="1"/>
  <c r="AK335" i="37"/>
  <c r="AJ335" i="37" s="1"/>
  <c r="AI335" i="37" s="1"/>
  <c r="AG335" i="37" s="1"/>
  <c r="AE140" i="37"/>
  <c r="AE66" i="37"/>
  <c r="P25" i="37"/>
  <c r="M25" i="37" s="1"/>
  <c r="AH25" i="37"/>
  <c r="AG25" i="37" s="1"/>
  <c r="AK158" i="37"/>
  <c r="AJ158" i="37" s="1"/>
  <c r="AI158" i="37" s="1"/>
  <c r="S158" i="37"/>
  <c r="R158" i="37" s="1"/>
  <c r="P158" i="37" s="1"/>
  <c r="M158" i="37" s="1"/>
  <c r="AH106" i="37"/>
  <c r="S356" i="37"/>
  <c r="R356" i="37" s="1"/>
  <c r="P356" i="37" s="1"/>
  <c r="M356" i="37" s="1"/>
  <c r="AK356" i="37"/>
  <c r="AJ356" i="37" s="1"/>
  <c r="AI356" i="37" s="1"/>
  <c r="AG356" i="37" s="1"/>
  <c r="AK228" i="37"/>
  <c r="AJ228" i="37" s="1"/>
  <c r="AI228" i="37" s="1"/>
  <c r="AG228" i="37" s="1"/>
  <c r="S228" i="37"/>
  <c r="R228" i="37" s="1"/>
  <c r="P228" i="37" s="1"/>
  <c r="M228" i="37" s="1"/>
  <c r="AK126" i="37"/>
  <c r="AJ126" i="37" s="1"/>
  <c r="AI126" i="37" s="1"/>
  <c r="AG126" i="37" s="1"/>
  <c r="AD126" i="37" s="1"/>
  <c r="S126" i="37"/>
  <c r="R126" i="37" s="1"/>
  <c r="P126" i="37" s="1"/>
  <c r="M126" i="37" s="1"/>
  <c r="O240" i="37"/>
  <c r="AF240" i="37" s="1"/>
  <c r="T202" i="37"/>
  <c r="V115" i="37"/>
  <c r="AM115" i="37" s="1"/>
  <c r="S10" i="37"/>
  <c r="R10" i="37" s="1"/>
  <c r="P10" i="37" s="1"/>
  <c r="M10" i="37" s="1"/>
  <c r="AK10" i="37"/>
  <c r="AJ10" i="37" s="1"/>
  <c r="AI10" i="37" s="1"/>
  <c r="Q180" i="37"/>
  <c r="Q394" i="37"/>
  <c r="T240" i="37"/>
  <c r="AE168" i="37"/>
  <c r="S178" i="37"/>
  <c r="R178" i="37" s="1"/>
  <c r="P178" i="37" s="1"/>
  <c r="M178" i="37" s="1"/>
  <c r="AK150" i="37"/>
  <c r="AJ150" i="37" s="1"/>
  <c r="AI150" i="37" s="1"/>
  <c r="S150" i="37"/>
  <c r="R150" i="37" s="1"/>
  <c r="P150" i="37" s="1"/>
  <c r="M150" i="37" s="1"/>
  <c r="S52" i="37"/>
  <c r="R52" i="37" s="1"/>
  <c r="P52" i="37" s="1"/>
  <c r="M52" i="37" s="1"/>
  <c r="AK52" i="37"/>
  <c r="AJ52" i="37" s="1"/>
  <c r="AI52" i="37" s="1"/>
  <c r="AG52" i="37" s="1"/>
  <c r="AD52" i="37" s="1"/>
  <c r="AG27" i="37"/>
  <c r="AE165" i="37"/>
  <c r="AH264" i="37"/>
  <c r="AG264" i="37" s="1"/>
  <c r="AD264" i="37" s="1"/>
  <c r="P264" i="37"/>
  <c r="M264" i="37" s="1"/>
  <c r="AI353" i="37"/>
  <c r="AG353" i="37" s="1"/>
  <c r="AD353" i="37" s="1"/>
  <c r="M134" i="37"/>
  <c r="S213" i="37"/>
  <c r="R213" i="37" s="1"/>
  <c r="P213" i="37" s="1"/>
  <c r="AK213" i="37"/>
  <c r="AJ213" i="37" s="1"/>
  <c r="AI213" i="37" s="1"/>
  <c r="S162" i="37"/>
  <c r="R162" i="37" s="1"/>
  <c r="P162" i="37" s="1"/>
  <c r="AK162" i="37"/>
  <c r="AJ162" i="37" s="1"/>
  <c r="AI162" i="37" s="1"/>
  <c r="AG162" i="37" s="1"/>
  <c r="U358" i="37"/>
  <c r="AL358" i="37" s="1"/>
  <c r="AK274" i="37"/>
  <c r="AJ274" i="37" s="1"/>
  <c r="AI274" i="37" s="1"/>
  <c r="S274" i="37"/>
  <c r="R274" i="37" s="1"/>
  <c r="P274" i="37" s="1"/>
  <c r="M274" i="37" s="1"/>
  <c r="AE106" i="37"/>
  <c r="N180" i="37"/>
  <c r="Q265" i="37"/>
  <c r="S92" i="37"/>
  <c r="R92" i="37" s="1"/>
  <c r="AK92" i="37"/>
  <c r="AJ92" i="37" s="1"/>
  <c r="AI92" i="37" s="1"/>
  <c r="S58" i="37"/>
  <c r="R58" i="37" s="1"/>
  <c r="P58" i="37" s="1"/>
  <c r="M58" i="37" s="1"/>
  <c r="AE182" i="37"/>
  <c r="AK279" i="37"/>
  <c r="AJ279" i="37" s="1"/>
  <c r="AI279" i="37" s="1"/>
  <c r="S279" i="37"/>
  <c r="R279" i="37" s="1"/>
  <c r="P279" i="37" s="1"/>
  <c r="M279" i="37" s="1"/>
  <c r="AK358" i="37"/>
  <c r="AF121" i="37"/>
  <c r="M121" i="37"/>
  <c r="AK16" i="37"/>
  <c r="AJ16" i="37" s="1"/>
  <c r="AI16" i="37" s="1"/>
  <c r="S16" i="37"/>
  <c r="R16" i="37" s="1"/>
  <c r="P16" i="37" s="1"/>
  <c r="M16" i="37" s="1"/>
  <c r="AF136" i="37"/>
  <c r="AE251" i="37"/>
  <c r="AK45" i="37"/>
  <c r="AJ45" i="37" s="1"/>
  <c r="AI45" i="37" s="1"/>
  <c r="AG45" i="37" s="1"/>
  <c r="S45" i="37"/>
  <c r="R45" i="37" s="1"/>
  <c r="P45" i="37" s="1"/>
  <c r="M45" i="37" s="1"/>
  <c r="AE85" i="37"/>
  <c r="AD85" i="37" s="1"/>
  <c r="M85" i="37"/>
  <c r="M337" i="37"/>
  <c r="AE337" i="37"/>
  <c r="S93" i="37"/>
  <c r="R93" i="37" s="1"/>
  <c r="P93" i="37" s="1"/>
  <c r="M93" i="37" s="1"/>
  <c r="AK93" i="37"/>
  <c r="AJ93" i="37" s="1"/>
  <c r="AI93" i="37" s="1"/>
  <c r="AE305" i="37"/>
  <c r="S235" i="37"/>
  <c r="R235" i="37" s="1"/>
  <c r="P235" i="37" s="1"/>
  <c r="M235" i="37" s="1"/>
  <c r="AK235" i="37"/>
  <c r="AJ235" i="37" s="1"/>
  <c r="AI235" i="37" s="1"/>
  <c r="AG235" i="37" s="1"/>
  <c r="AD235" i="37" s="1"/>
  <c r="T237" i="37"/>
  <c r="P219" i="37"/>
  <c r="M219" i="37" s="1"/>
  <c r="AH219" i="37"/>
  <c r="AG219" i="37" s="1"/>
  <c r="AE74" i="37"/>
  <c r="AH243" i="37"/>
  <c r="M144" i="37"/>
  <c r="AE144" i="37"/>
  <c r="AD144" i="37" s="1"/>
  <c r="AE287" i="37"/>
  <c r="AK154" i="37"/>
  <c r="AJ154" i="37" s="1"/>
  <c r="AI154" i="37" s="1"/>
  <c r="S154" i="37"/>
  <c r="R154" i="37" s="1"/>
  <c r="P154" i="37" s="1"/>
  <c r="M154" i="37" s="1"/>
  <c r="AL298" i="37"/>
  <c r="AJ298" i="37" s="1"/>
  <c r="AI298" i="37" s="1"/>
  <c r="AG298" i="37" s="1"/>
  <c r="AD298" i="37" s="1"/>
  <c r="S298" i="37"/>
  <c r="R298" i="37" s="1"/>
  <c r="P298" i="37" s="1"/>
  <c r="M298" i="37" s="1"/>
  <c r="AK19" i="37"/>
  <c r="AJ19" i="37" s="1"/>
  <c r="AI19" i="37" s="1"/>
  <c r="AG19" i="37" s="1"/>
  <c r="S19" i="37"/>
  <c r="R19" i="37" s="1"/>
  <c r="P19" i="37" s="1"/>
  <c r="M19" i="37" s="1"/>
  <c r="AE149" i="37"/>
  <c r="O137" i="37"/>
  <c r="AF137" i="37" s="1"/>
  <c r="AE119" i="37"/>
  <c r="M101" i="37"/>
  <c r="AE101" i="37"/>
  <c r="AD101" i="37" s="1"/>
  <c r="U265" i="37"/>
  <c r="AL265" i="37" s="1"/>
  <c r="U100" i="37"/>
  <c r="AL100" i="37" s="1"/>
  <c r="AF261" i="37"/>
  <c r="AH234" i="37"/>
  <c r="AG234" i="37" s="1"/>
  <c r="AD234" i="37" s="1"/>
  <c r="P234" i="37"/>
  <c r="M234" i="37" s="1"/>
  <c r="AE394" i="37"/>
  <c r="Q244" i="37"/>
  <c r="AH272" i="37"/>
  <c r="AE65" i="37"/>
  <c r="AH331" i="37"/>
  <c r="AG331" i="37" s="1"/>
  <c r="AD331" i="37" s="1"/>
  <c r="P331" i="37"/>
  <c r="AJ324" i="37"/>
  <c r="AI324" i="37" s="1"/>
  <c r="AE100" i="37"/>
  <c r="AH104" i="37"/>
  <c r="Q20" i="37"/>
  <c r="AK14" i="37"/>
  <c r="AJ14" i="37" s="1"/>
  <c r="AI14" i="37" s="1"/>
  <c r="S14" i="37"/>
  <c r="R14" i="37" s="1"/>
  <c r="AK249" i="37"/>
  <c r="AJ249" i="37" s="1"/>
  <c r="AI249" i="37" s="1"/>
  <c r="AG249" i="37" s="1"/>
  <c r="AD249" i="37" s="1"/>
  <c r="S249" i="37"/>
  <c r="R249" i="37" s="1"/>
  <c r="P249" i="37" s="1"/>
  <c r="M249" i="37" s="1"/>
  <c r="S53" i="37"/>
  <c r="R53" i="37" s="1"/>
  <c r="P53" i="37" s="1"/>
  <c r="M53" i="37" s="1"/>
  <c r="AK53" i="37"/>
  <c r="AJ53" i="37" s="1"/>
  <c r="AI53" i="37" s="1"/>
  <c r="AG53" i="37" s="1"/>
  <c r="AD53" i="37" s="1"/>
  <c r="N87" i="37"/>
  <c r="AH194" i="37"/>
  <c r="AH153" i="37"/>
  <c r="AE333" i="37"/>
  <c r="M333" i="37"/>
  <c r="AH295" i="37"/>
  <c r="AH315" i="37"/>
  <c r="AH230" i="37"/>
  <c r="AE321" i="37"/>
  <c r="S108" i="37"/>
  <c r="R108" i="37" s="1"/>
  <c r="P108" i="37" s="1"/>
  <c r="M108" i="37" s="1"/>
  <c r="AK108" i="37"/>
  <c r="AJ108" i="37" s="1"/>
  <c r="AI108" i="37" s="1"/>
  <c r="AG108" i="37" s="1"/>
  <c r="AD108" i="37" s="1"/>
  <c r="O129" i="37"/>
  <c r="AF129" i="37" s="1"/>
  <c r="AH98" i="37"/>
  <c r="Q100" i="37"/>
  <c r="AH103" i="37"/>
  <c r="Q107" i="37"/>
  <c r="AH30" i="37"/>
  <c r="AG30" i="37" s="1"/>
  <c r="P30" i="37"/>
  <c r="S73" i="37"/>
  <c r="R73" i="37" s="1"/>
  <c r="P73" i="37" s="1"/>
  <c r="M73" i="37" s="1"/>
  <c r="AK73" i="37"/>
  <c r="AJ73" i="37" s="1"/>
  <c r="AI73" i="37" s="1"/>
  <c r="AG73" i="37" s="1"/>
  <c r="AD73" i="37" s="1"/>
  <c r="AE167" i="37"/>
  <c r="AK57" i="37"/>
  <c r="AJ57" i="37" s="1"/>
  <c r="AI57" i="37" s="1"/>
  <c r="AG57" i="37" s="1"/>
  <c r="AD57" i="37" s="1"/>
  <c r="S57" i="37"/>
  <c r="R57" i="37" s="1"/>
  <c r="P57" i="37" s="1"/>
  <c r="M57" i="37" s="1"/>
  <c r="S259" i="37"/>
  <c r="R259" i="37" s="1"/>
  <c r="AK259" i="37"/>
  <c r="AJ259" i="37" s="1"/>
  <c r="AI259" i="37" s="1"/>
  <c r="AH66" i="37"/>
  <c r="AH152" i="37"/>
  <c r="M151" i="37"/>
  <c r="AE151" i="37"/>
  <c r="S385" i="37"/>
  <c r="R385" i="37" s="1"/>
  <c r="P385" i="37" s="1"/>
  <c r="M385" i="37" s="1"/>
  <c r="AK385" i="37"/>
  <c r="AJ385" i="37" s="1"/>
  <c r="AI385" i="37" s="1"/>
  <c r="AF76" i="37"/>
  <c r="AF175" i="37"/>
  <c r="AL348" i="37"/>
  <c r="AJ348" i="37" s="1"/>
  <c r="AI348" i="37" s="1"/>
  <c r="AG348" i="37" s="1"/>
  <c r="AD348" i="37" s="1"/>
  <c r="S348" i="37"/>
  <c r="R348" i="37" s="1"/>
  <c r="P348" i="37" s="1"/>
  <c r="M348" i="37" s="1"/>
  <c r="U351" i="37"/>
  <c r="O230" i="37"/>
  <c r="AF230" i="37" s="1"/>
  <c r="AK315" i="37"/>
  <c r="AJ315" i="37" s="1"/>
  <c r="AI315" i="37" s="1"/>
  <c r="S315" i="37"/>
  <c r="R315" i="37" s="1"/>
  <c r="P315" i="37" s="1"/>
  <c r="M315" i="37" s="1"/>
  <c r="AK267" i="37"/>
  <c r="AJ267" i="37" s="1"/>
  <c r="AI267" i="37" s="1"/>
  <c r="S267" i="37"/>
  <c r="R267" i="37" s="1"/>
  <c r="P267" i="37" s="1"/>
  <c r="M267" i="37" s="1"/>
  <c r="S331" i="37"/>
  <c r="R331" i="37" s="1"/>
  <c r="AK331" i="37"/>
  <c r="AJ331" i="37" s="1"/>
  <c r="AI331" i="37" s="1"/>
  <c r="AJ89" i="37"/>
  <c r="AI89" i="37" s="1"/>
  <c r="AG89" i="37" s="1"/>
  <c r="AD89" i="37" s="1"/>
  <c r="AJ361" i="37"/>
  <c r="AI361" i="37" s="1"/>
  <c r="AG361" i="37" s="1"/>
  <c r="AD361" i="37" s="1"/>
  <c r="AE237" i="37"/>
  <c r="AH32" i="37"/>
  <c r="AG32" i="37" s="1"/>
  <c r="P32" i="37"/>
  <c r="M32" i="37" s="1"/>
  <c r="O60" i="37"/>
  <c r="AF60" i="37" s="1"/>
  <c r="AK81" i="37"/>
  <c r="AJ81" i="37" s="1"/>
  <c r="AI81" i="37" s="1"/>
  <c r="AG81" i="37" s="1"/>
  <c r="AD81" i="37" s="1"/>
  <c r="S81" i="37"/>
  <c r="R81" i="37" s="1"/>
  <c r="P81" i="37" s="1"/>
  <c r="M81" i="37" s="1"/>
  <c r="AF191" i="37"/>
  <c r="AK63" i="37"/>
  <c r="AJ63" i="37" s="1"/>
  <c r="AI63" i="37" s="1"/>
  <c r="S63" i="37"/>
  <c r="R63" i="37" s="1"/>
  <c r="AH17" i="37"/>
  <c r="AE150" i="37"/>
  <c r="AE388" i="37"/>
  <c r="AF266" i="37"/>
  <c r="M266" i="37"/>
  <c r="AK312" i="37"/>
  <c r="AJ312" i="37" s="1"/>
  <c r="AI312" i="37" s="1"/>
  <c r="AG312" i="37" s="1"/>
  <c r="S312" i="37"/>
  <c r="R312" i="37" s="1"/>
  <c r="P312" i="37" s="1"/>
  <c r="M312" i="37" s="1"/>
  <c r="S98" i="37"/>
  <c r="R98" i="37" s="1"/>
  <c r="P98" i="37" s="1"/>
  <c r="M98" i="37" s="1"/>
  <c r="AK98" i="37"/>
  <c r="AJ98" i="37" s="1"/>
  <c r="AI98" i="37" s="1"/>
  <c r="AF370" i="37"/>
  <c r="U115" i="37"/>
  <c r="AL115" i="37" s="1"/>
  <c r="AH33" i="37"/>
  <c r="P33" i="37"/>
  <c r="M33" i="37" s="1"/>
  <c r="AK15" i="37"/>
  <c r="AJ15" i="37" s="1"/>
  <c r="AI15" i="37" s="1"/>
  <c r="S15" i="37"/>
  <c r="R15" i="37" s="1"/>
  <c r="P15" i="37" s="1"/>
  <c r="M15" i="37" s="1"/>
  <c r="AK47" i="37"/>
  <c r="AJ47" i="37" s="1"/>
  <c r="AI47" i="37" s="1"/>
  <c r="AG47" i="37" s="1"/>
  <c r="AD47" i="37" s="1"/>
  <c r="S47" i="37"/>
  <c r="R47" i="37" s="1"/>
  <c r="P47" i="37" s="1"/>
  <c r="M47" i="37" s="1"/>
  <c r="S257" i="37"/>
  <c r="R257" i="37" s="1"/>
  <c r="P257" i="37" s="1"/>
  <c r="M257" i="37" s="1"/>
  <c r="AK257" i="37"/>
  <c r="AJ257" i="37" s="1"/>
  <c r="AI257" i="37" s="1"/>
  <c r="AH8" i="37"/>
  <c r="AH279" i="37"/>
  <c r="AM136" i="37"/>
  <c r="AI136" i="37" s="1"/>
  <c r="AG136" i="37" s="1"/>
  <c r="R136" i="37"/>
  <c r="P136" i="37" s="1"/>
  <c r="M136" i="37" s="1"/>
  <c r="V305" i="37"/>
  <c r="AM305" i="37" s="1"/>
  <c r="AM303" i="37"/>
  <c r="AI303" i="37" s="1"/>
  <c r="AE239" i="37"/>
  <c r="U157" i="37"/>
  <c r="AL157" i="37" s="1"/>
  <c r="T317" i="37"/>
  <c r="S269" i="37"/>
  <c r="R269" i="37" s="1"/>
  <c r="P269" i="37" s="1"/>
  <c r="M269" i="37" s="1"/>
  <c r="AK269" i="37"/>
  <c r="AJ269" i="37" s="1"/>
  <c r="AI269" i="37" s="1"/>
  <c r="AH109" i="37"/>
  <c r="AH301" i="37"/>
  <c r="AE25" i="37"/>
  <c r="AH31" i="37"/>
  <c r="AH319" i="37"/>
  <c r="AG319" i="37" s="1"/>
  <c r="P319" i="37"/>
  <c r="M319" i="37" s="1"/>
  <c r="AK80" i="37"/>
  <c r="AJ80" i="37" s="1"/>
  <c r="AI80" i="37" s="1"/>
  <c r="S80" i="37"/>
  <c r="R80" i="37" s="1"/>
  <c r="P80" i="37" s="1"/>
  <c r="M80" i="37" s="1"/>
  <c r="V317" i="37"/>
  <c r="AM317" i="37" s="1"/>
  <c r="S37" i="37"/>
  <c r="R37" i="37" s="1"/>
  <c r="P37" i="37" s="1"/>
  <c r="M37" i="37" s="1"/>
  <c r="AK37" i="37"/>
  <c r="AJ37" i="37" s="1"/>
  <c r="AI37" i="37" s="1"/>
  <c r="AE112" i="37"/>
  <c r="M112" i="37"/>
  <c r="U153" i="37"/>
  <c r="AL153" i="37" s="1"/>
  <c r="AH196" i="37"/>
  <c r="N302" i="37"/>
  <c r="AE336" i="37"/>
  <c r="AH280" i="37"/>
  <c r="AE45" i="37"/>
  <c r="AD45" i="37" s="1"/>
  <c r="AH129" i="37"/>
  <c r="AK369" i="37"/>
  <c r="AJ369" i="37" s="1"/>
  <c r="AI369" i="37" s="1"/>
  <c r="AG369" i="37" s="1"/>
  <c r="S369" i="37"/>
  <c r="R369" i="37" s="1"/>
  <c r="P369" i="37" s="1"/>
  <c r="M369" i="37" s="1"/>
  <c r="S294" i="37"/>
  <c r="R294" i="37" s="1"/>
  <c r="P294" i="37" s="1"/>
  <c r="M294" i="37" s="1"/>
  <c r="AL294" i="37"/>
  <c r="AJ294" i="37" s="1"/>
  <c r="AI294" i="37" s="1"/>
  <c r="AG294" i="37" s="1"/>
  <c r="AD294" i="37" s="1"/>
  <c r="S97" i="37"/>
  <c r="R97" i="37" s="1"/>
  <c r="P97" i="37" s="1"/>
  <c r="M97" i="37" s="1"/>
  <c r="AK97" i="37"/>
  <c r="AJ97" i="37" s="1"/>
  <c r="AI97" i="37" s="1"/>
  <c r="AG97" i="37" s="1"/>
  <c r="AD97" i="37" s="1"/>
  <c r="V358" i="37"/>
  <c r="AM358" i="37" s="1"/>
  <c r="AE29" i="37"/>
  <c r="N30" i="37"/>
  <c r="S199" i="37"/>
  <c r="R199" i="37" s="1"/>
  <c r="P199" i="37" s="1"/>
  <c r="M199" i="37" s="1"/>
  <c r="AK199" i="37"/>
  <c r="AJ199" i="37" s="1"/>
  <c r="AI199" i="37" s="1"/>
  <c r="AG199" i="37" s="1"/>
  <c r="AM271" i="37"/>
  <c r="AI271" i="37" s="1"/>
  <c r="AG271" i="37" s="1"/>
  <c r="AD271" i="37" s="1"/>
  <c r="R271" i="37"/>
  <c r="P271" i="37" s="1"/>
  <c r="M271" i="37" s="1"/>
  <c r="AH83" i="37"/>
  <c r="AH168" i="37"/>
  <c r="T360" i="37"/>
  <c r="S258" i="37"/>
  <c r="R258" i="37" s="1"/>
  <c r="P258" i="37" s="1"/>
  <c r="M258" i="37" s="1"/>
  <c r="AK258" i="37"/>
  <c r="AJ258" i="37" s="1"/>
  <c r="AI258" i="37" s="1"/>
  <c r="AH201" i="37"/>
  <c r="AG201" i="37" s="1"/>
  <c r="AL301" i="37"/>
  <c r="AJ301" i="37" s="1"/>
  <c r="AI301" i="37" s="1"/>
  <c r="S301" i="37"/>
  <c r="R301" i="37" s="1"/>
  <c r="P301" i="37" s="1"/>
  <c r="M301" i="37" s="1"/>
  <c r="M206" i="37"/>
  <c r="AE206" i="37"/>
  <c r="AD206" i="37" s="1"/>
  <c r="N209" i="37"/>
  <c r="AE386" i="37"/>
  <c r="S137" i="37"/>
  <c r="R137" i="37" s="1"/>
  <c r="P137" i="37" s="1"/>
  <c r="AL137" i="37"/>
  <c r="AJ137" i="37" s="1"/>
  <c r="AI137" i="37" s="1"/>
  <c r="M214" i="37"/>
  <c r="AE214" i="37"/>
  <c r="AD214" i="37" s="1"/>
  <c r="S372" i="37"/>
  <c r="R372" i="37" s="1"/>
  <c r="P372" i="37" s="1"/>
  <c r="M372" i="37" s="1"/>
  <c r="AK372" i="37"/>
  <c r="AJ372" i="37" s="1"/>
  <c r="AI372" i="37" s="1"/>
  <c r="AK134" i="37"/>
  <c r="AJ134" i="37" s="1"/>
  <c r="AI134" i="37" s="1"/>
  <c r="AG134" i="37" s="1"/>
  <c r="AD134" i="37" s="1"/>
  <c r="S134" i="37"/>
  <c r="R134" i="37" s="1"/>
  <c r="P134" i="37" s="1"/>
  <c r="AF369" i="37"/>
  <c r="AK91" i="37"/>
  <c r="AE213" i="37"/>
  <c r="O302" i="37"/>
  <c r="AF302" i="37" s="1"/>
  <c r="AE225" i="37"/>
  <c r="AH80" i="37"/>
  <c r="P169" i="37"/>
  <c r="M169" i="37" s="1"/>
  <c r="AH169" i="37"/>
  <c r="AG169" i="37" s="1"/>
  <c r="P159" i="37"/>
  <c r="M159" i="37" s="1"/>
  <c r="AH159" i="37"/>
  <c r="AJ30" i="37"/>
  <c r="AI30" i="37" s="1"/>
  <c r="AE219" i="37"/>
  <c r="AH263" i="37"/>
  <c r="AG263" i="37" s="1"/>
  <c r="AD263" i="37" s="1"/>
  <c r="P263" i="37"/>
  <c r="M263" i="37" s="1"/>
  <c r="AH275" i="37"/>
  <c r="Q278" i="37"/>
  <c r="AH42" i="37"/>
  <c r="M363" i="37"/>
  <c r="N364" i="37"/>
  <c r="AE363" i="37"/>
  <c r="AD363" i="37" s="1"/>
  <c r="O317" i="37"/>
  <c r="AF317" i="37" s="1"/>
  <c r="AE135" i="37"/>
  <c r="M323" i="37"/>
  <c r="AG215" i="37"/>
  <c r="T135" i="37"/>
  <c r="AG139" i="37"/>
  <c r="AD139" i="37" s="1"/>
  <c r="AH146" i="37"/>
  <c r="AG146" i="37" s="1"/>
  <c r="AD146" i="37" s="1"/>
  <c r="P146" i="37"/>
  <c r="M146" i="37" s="1"/>
  <c r="T281" i="37"/>
  <c r="AE329" i="37"/>
  <c r="N317" i="37"/>
  <c r="P94" i="37"/>
  <c r="M94" i="37" s="1"/>
  <c r="AH94" i="37"/>
  <c r="AG94" i="37" s="1"/>
  <c r="AD94" i="37" s="1"/>
  <c r="AD110" i="37"/>
  <c r="AH158" i="37"/>
  <c r="S392" i="37"/>
  <c r="R392" i="37" s="1"/>
  <c r="P392" i="37" s="1"/>
  <c r="M392" i="37" s="1"/>
  <c r="AK392" i="37"/>
  <c r="AJ392" i="37" s="1"/>
  <c r="AI392" i="37" s="1"/>
  <c r="S30" i="37"/>
  <c r="R30" i="37" s="1"/>
  <c r="AL311" i="37"/>
  <c r="AJ311" i="37" s="1"/>
  <c r="AI311" i="37" s="1"/>
  <c r="AG311" i="37" s="1"/>
  <c r="S311" i="37"/>
  <c r="R311" i="37" s="1"/>
  <c r="P311" i="37" s="1"/>
  <c r="M311" i="37" s="1"/>
  <c r="AK122" i="37"/>
  <c r="AJ122" i="37" s="1"/>
  <c r="AI122" i="37" s="1"/>
  <c r="AG122" i="37" s="1"/>
  <c r="S122" i="37"/>
  <c r="R122" i="37" s="1"/>
  <c r="P122" i="37" s="1"/>
  <c r="M382" i="37"/>
  <c r="AE382" i="37"/>
  <c r="AD382" i="37" s="1"/>
  <c r="S254" i="37"/>
  <c r="R254" i="37" s="1"/>
  <c r="P254" i="37" s="1"/>
  <c r="M254" i="37" s="1"/>
  <c r="AL254" i="37"/>
  <c r="AJ254" i="37" s="1"/>
  <c r="AI254" i="37" s="1"/>
  <c r="AG254" i="37" s="1"/>
  <c r="P46" i="37"/>
  <c r="M46" i="37" s="1"/>
  <c r="AH46" i="37"/>
  <c r="AG46" i="37" s="1"/>
  <c r="AD46" i="37" s="1"/>
  <c r="S23" i="37"/>
  <c r="R23" i="37" s="1"/>
  <c r="P23" i="37" s="1"/>
  <c r="M23" i="37" s="1"/>
  <c r="AK23" i="37"/>
  <c r="AJ23" i="37" s="1"/>
  <c r="AI23" i="37" s="1"/>
  <c r="AE55" i="37"/>
  <c r="AI304" i="37"/>
  <c r="AI203" i="37"/>
  <c r="AG203" i="37" s="1"/>
  <c r="AD203" i="37" s="1"/>
  <c r="AH213" i="37"/>
  <c r="R303" i="37"/>
  <c r="AH185" i="37"/>
  <c r="AK339" i="37"/>
  <c r="AJ339" i="37" s="1"/>
  <c r="S339" i="37"/>
  <c r="Q149" i="37"/>
  <c r="P21" i="37"/>
  <c r="AH21" i="37"/>
  <c r="AG21" i="37" s="1"/>
  <c r="AD21" i="37" s="1"/>
  <c r="Q26" i="37"/>
  <c r="AE211" i="37"/>
  <c r="AK280" i="37"/>
  <c r="AJ280" i="37" s="1"/>
  <c r="AI280" i="37" s="1"/>
  <c r="S280" i="37"/>
  <c r="R280" i="37" s="1"/>
  <c r="P280" i="37" s="1"/>
  <c r="M280" i="37" s="1"/>
  <c r="M328" i="37"/>
  <c r="AE328" i="37"/>
  <c r="AD328" i="37" s="1"/>
  <c r="AE250" i="37"/>
  <c r="AD250" i="37" s="1"/>
  <c r="Q67" i="37"/>
  <c r="AE164" i="37"/>
  <c r="S55" i="37"/>
  <c r="R55" i="37" s="1"/>
  <c r="P55" i="37" s="1"/>
  <c r="M55" i="37" s="1"/>
  <c r="AK55" i="37"/>
  <c r="AJ55" i="37" s="1"/>
  <c r="AI55" i="37" s="1"/>
  <c r="AG55" i="37" s="1"/>
  <c r="AE217" i="37"/>
  <c r="N222" i="37"/>
  <c r="S165" i="37"/>
  <c r="R165" i="37" s="1"/>
  <c r="P165" i="37" s="1"/>
  <c r="M165" i="37" s="1"/>
  <c r="AK165" i="37"/>
  <c r="AJ165" i="37" s="1"/>
  <c r="AI165" i="37" s="1"/>
  <c r="AG165" i="37" s="1"/>
  <c r="AI217" i="37"/>
  <c r="AG217" i="37" s="1"/>
  <c r="P50" i="37"/>
  <c r="M50" i="37" s="1"/>
  <c r="AH50" i="37"/>
  <c r="AG50" i="37" s="1"/>
  <c r="AD50" i="37" s="1"/>
  <c r="AH211" i="37"/>
  <c r="AG211" i="37" s="1"/>
  <c r="P211" i="37"/>
  <c r="M211" i="37" s="1"/>
  <c r="AE290" i="37"/>
  <c r="T175" i="37"/>
  <c r="AK216" i="37"/>
  <c r="AJ216" i="37" s="1"/>
  <c r="AI216" i="37" s="1"/>
  <c r="S216" i="37"/>
  <c r="R216" i="37" s="1"/>
  <c r="P216" i="37" s="1"/>
  <c r="M216" i="37" s="1"/>
  <c r="V256" i="37"/>
  <c r="AM256" i="37" s="1"/>
  <c r="AH22" i="37"/>
  <c r="AG22" i="37" s="1"/>
  <c r="P22" i="37"/>
  <c r="M22" i="37" s="1"/>
  <c r="R225" i="37"/>
  <c r="AK17" i="37"/>
  <c r="AJ17" i="37" s="1"/>
  <c r="AI17" i="37" s="1"/>
  <c r="S17" i="37"/>
  <c r="R17" i="37" s="1"/>
  <c r="P17" i="37" s="1"/>
  <c r="M17" i="37" s="1"/>
  <c r="S193" i="37"/>
  <c r="R193" i="37" s="1"/>
  <c r="P193" i="37" s="1"/>
  <c r="M193" i="37" s="1"/>
  <c r="S261" i="37"/>
  <c r="R261" i="37" s="1"/>
  <c r="P261" i="37" s="1"/>
  <c r="M261" i="37" s="1"/>
  <c r="AK261" i="37"/>
  <c r="AJ261" i="37" s="1"/>
  <c r="AI261" i="37" s="1"/>
  <c r="AH62" i="37"/>
  <c r="P62" i="37"/>
  <c r="M62" i="37" s="1"/>
  <c r="V100" i="37"/>
  <c r="AM100" i="37" s="1"/>
  <c r="AE84" i="37"/>
  <c r="AD84" i="37" s="1"/>
  <c r="M84" i="37"/>
  <c r="S40" i="37"/>
  <c r="R40" i="37" s="1"/>
  <c r="P40" i="37" s="1"/>
  <c r="M40" i="37" s="1"/>
  <c r="AK40" i="37"/>
  <c r="AJ40" i="37" s="1"/>
  <c r="AI40" i="37" s="1"/>
  <c r="AG40" i="37" s="1"/>
  <c r="AD40" i="37" s="1"/>
  <c r="AK82" i="37"/>
  <c r="AJ82" i="37" s="1"/>
  <c r="AI82" i="37" s="1"/>
  <c r="S82" i="37"/>
  <c r="R82" i="37" s="1"/>
  <c r="P82" i="37" s="1"/>
  <c r="M82" i="37" s="1"/>
  <c r="T166" i="37"/>
  <c r="AE177" i="37"/>
  <c r="P260" i="37"/>
  <c r="M260" i="37" s="1"/>
  <c r="AH260" i="37"/>
  <c r="AG260" i="37" s="1"/>
  <c r="AD260" i="37" s="1"/>
  <c r="P212" i="37"/>
  <c r="M212" i="37" s="1"/>
  <c r="AH212" i="37"/>
  <c r="AG212" i="37" s="1"/>
  <c r="M289" i="37"/>
  <c r="AE289" i="37"/>
  <c r="AD289" i="37" s="1"/>
  <c r="R273" i="37"/>
  <c r="P273" i="37" s="1"/>
  <c r="M273" i="37" s="1"/>
  <c r="M210" i="37"/>
  <c r="AE210" i="37"/>
  <c r="AK355" i="37"/>
  <c r="AJ355" i="37" s="1"/>
  <c r="AI355" i="37" s="1"/>
  <c r="AG355" i="37" s="1"/>
  <c r="AD355" i="37" s="1"/>
  <c r="S355" i="37"/>
  <c r="R355" i="37" s="1"/>
  <c r="P355" i="37" s="1"/>
  <c r="M355" i="37" s="1"/>
  <c r="AH137" i="37"/>
  <c r="AH65" i="37"/>
  <c r="AK11" i="37"/>
  <c r="AJ11" i="37" s="1"/>
  <c r="AI11" i="37" s="1"/>
  <c r="S11" i="37"/>
  <c r="R11" i="37" s="1"/>
  <c r="N157" i="37"/>
  <c r="R336" i="37"/>
  <c r="P336" i="37" s="1"/>
  <c r="M336" i="37" s="1"/>
  <c r="V246" i="37"/>
  <c r="AM246" i="37" s="1"/>
  <c r="M122" i="37"/>
  <c r="AE122" i="37"/>
  <c r="N129" i="37"/>
  <c r="AE54" i="37"/>
  <c r="AH220" i="37"/>
  <c r="AF277" i="37"/>
  <c r="M291" i="37"/>
  <c r="AH351" i="37"/>
  <c r="S342" i="37"/>
  <c r="R342" i="37" s="1"/>
  <c r="P342" i="37" s="1"/>
  <c r="M342" i="37" s="1"/>
  <c r="AK342" i="37"/>
  <c r="AJ342" i="37" s="1"/>
  <c r="AI342" i="37" s="1"/>
  <c r="M313" i="37"/>
  <c r="AE313" i="37"/>
  <c r="AD313" i="37" s="1"/>
  <c r="M183" i="37"/>
  <c r="AE183" i="37"/>
  <c r="AD183" i="37" s="1"/>
  <c r="V244" i="37"/>
  <c r="AE44" i="37"/>
  <c r="AH221" i="37"/>
  <c r="O278" i="37"/>
  <c r="AF278" i="37" s="1"/>
  <c r="AE229" i="37"/>
  <c r="AD229" i="37" s="1"/>
  <c r="M229" i="37"/>
  <c r="S350" i="37"/>
  <c r="R350" i="37" s="1"/>
  <c r="P350" i="37" s="1"/>
  <c r="M350" i="37" s="1"/>
  <c r="AD247" i="37"/>
  <c r="P36" i="37"/>
  <c r="AH36" i="37"/>
  <c r="AG36" i="37" s="1"/>
  <c r="AF36" i="37"/>
  <c r="AD36" i="37" s="1"/>
  <c r="M36" i="37"/>
  <c r="AE37" i="37"/>
  <c r="AE325" i="37"/>
  <c r="AD325" i="37" s="1"/>
  <c r="M325" i="37"/>
  <c r="O290" i="37"/>
  <c r="AF290" i="37" s="1"/>
  <c r="T278" i="37"/>
  <c r="Q375" i="37"/>
  <c r="P182" i="37"/>
  <c r="M182" i="37" s="1"/>
  <c r="AH182" i="37"/>
  <c r="AG182" i="37" s="1"/>
  <c r="Q286" i="37"/>
  <c r="AE142" i="37"/>
  <c r="U283" i="37"/>
  <c r="AL283" i="37" s="1"/>
  <c r="AD138" i="37"/>
  <c r="AE63" i="37"/>
  <c r="AK105" i="37"/>
  <c r="AJ105" i="37" s="1"/>
  <c r="AI105" i="37" s="1"/>
  <c r="S105" i="37"/>
  <c r="R105" i="37" s="1"/>
  <c r="P105" i="37" s="1"/>
  <c r="M105" i="37" s="1"/>
  <c r="S159" i="37"/>
  <c r="R159" i="37" s="1"/>
  <c r="AK159" i="37"/>
  <c r="AJ159" i="37" s="1"/>
  <c r="AI159" i="37" s="1"/>
  <c r="V281" i="37"/>
  <c r="AM281" i="37" s="1"/>
  <c r="S357" i="37"/>
  <c r="R357" i="37" s="1"/>
  <c r="P357" i="37" s="1"/>
  <c r="M357" i="37" s="1"/>
  <c r="AK357" i="37"/>
  <c r="AJ357" i="37" s="1"/>
  <c r="AI357" i="37" s="1"/>
  <c r="AG357" i="37" s="1"/>
  <c r="AD357" i="37" s="1"/>
  <c r="R277" i="37"/>
  <c r="P277" i="37" s="1"/>
  <c r="M277" i="37" s="1"/>
  <c r="AH216" i="37"/>
  <c r="AH77" i="37"/>
  <c r="S194" i="37"/>
  <c r="R194" i="37" s="1"/>
  <c r="P194" i="37" s="1"/>
  <c r="M194" i="37" s="1"/>
  <c r="AK194" i="37"/>
  <c r="AJ194" i="37" s="1"/>
  <c r="AI194" i="37" s="1"/>
  <c r="AG121" i="37"/>
  <c r="S18" i="37"/>
  <c r="R18" i="37" s="1"/>
  <c r="P18" i="37" s="1"/>
  <c r="M18" i="37" s="1"/>
  <c r="AK18" i="37"/>
  <c r="AJ18" i="37" s="1"/>
  <c r="AI18" i="37" s="1"/>
  <c r="P176" i="37"/>
  <c r="M176" i="37" s="1"/>
  <c r="AH176" i="37"/>
  <c r="AG176" i="37" s="1"/>
  <c r="S238" i="37"/>
  <c r="R238" i="37" s="1"/>
  <c r="P238" i="37" s="1"/>
  <c r="M238" i="37" s="1"/>
  <c r="AK238" i="37"/>
  <c r="AJ238" i="37" s="1"/>
  <c r="AI238" i="37" s="1"/>
  <c r="AG238" i="37" s="1"/>
  <c r="AE170" i="37"/>
  <c r="N331" i="37"/>
  <c r="AD114" i="37"/>
  <c r="S41" i="37"/>
  <c r="R41" i="37" s="1"/>
  <c r="P41" i="37" s="1"/>
  <c r="M41" i="37" s="1"/>
  <c r="AK41" i="37"/>
  <c r="AJ41" i="37" s="1"/>
  <c r="AI41" i="37" s="1"/>
  <c r="AG41" i="37" s="1"/>
  <c r="AD41" i="37" s="1"/>
  <c r="M21" i="37"/>
  <c r="O30" i="37"/>
  <c r="AF30" i="37" s="1"/>
  <c r="M252" i="37"/>
  <c r="AE252" i="37"/>
  <c r="AD252" i="37" s="1"/>
  <c r="N339" i="37"/>
  <c r="AE179" i="37"/>
  <c r="T96" i="37"/>
  <c r="T67" i="37"/>
  <c r="V209" i="37"/>
  <c r="AM209" i="37" s="1"/>
  <c r="AL82" i="17" l="1"/>
  <c r="AL71" i="17"/>
  <c r="I28" i="26" s="1"/>
  <c r="AL9" i="17"/>
  <c r="AL26" i="17"/>
  <c r="AL53" i="17"/>
  <c r="AL32" i="17"/>
  <c r="AL30" i="17"/>
  <c r="AL4" i="17"/>
  <c r="AL5" i="17"/>
  <c r="AK14" i="17"/>
  <c r="AD14" i="17"/>
  <c r="AC72" i="17"/>
  <c r="AJ72" i="17"/>
  <c r="AD77" i="17"/>
  <c r="AE77" i="17" s="1"/>
  <c r="AM77" i="17" s="1"/>
  <c r="AK77" i="17"/>
  <c r="AD86" i="17"/>
  <c r="AE86" i="17" s="1"/>
  <c r="AM86" i="17" s="1"/>
  <c r="J34" i="26" s="1"/>
  <c r="AK86" i="17"/>
  <c r="AC108" i="17"/>
  <c r="AJ108" i="17"/>
  <c r="AD58" i="17"/>
  <c r="AK58" i="17"/>
  <c r="AD70" i="17"/>
  <c r="AE70" i="17" s="1"/>
  <c r="AM70" i="17" s="1"/>
  <c r="AK70" i="17"/>
  <c r="AD76" i="17"/>
  <c r="AE76" i="17" s="1"/>
  <c r="AM76" i="17" s="1"/>
  <c r="J32" i="26" s="1"/>
  <c r="AK76" i="17"/>
  <c r="AC109" i="17"/>
  <c r="AJ109" i="17"/>
  <c r="AC97" i="17"/>
  <c r="AJ97" i="17"/>
  <c r="AC105" i="17"/>
  <c r="AJ105" i="17"/>
  <c r="AD95" i="17"/>
  <c r="AE95" i="17" s="1"/>
  <c r="AM95" i="17" s="1"/>
  <c r="AK95" i="17"/>
  <c r="AJ96" i="17"/>
  <c r="AC96" i="17"/>
  <c r="AD101" i="17"/>
  <c r="AE101" i="17" s="1"/>
  <c r="AM101" i="17" s="1"/>
  <c r="J39" i="26" s="1"/>
  <c r="AK101" i="17"/>
  <c r="AC85" i="17"/>
  <c r="AJ85" i="17"/>
  <c r="AD81" i="17"/>
  <c r="AE81" i="17" s="1"/>
  <c r="AM81" i="17" s="1"/>
  <c r="AK81" i="17"/>
  <c r="AD83" i="17"/>
  <c r="AE83" i="17" s="1"/>
  <c r="AM83" i="17" s="1"/>
  <c r="AK83" i="17"/>
  <c r="AK80" i="17"/>
  <c r="AD80" i="17"/>
  <c r="AE80" i="17" s="1"/>
  <c r="AM80" i="17" s="1"/>
  <c r="AD68" i="17"/>
  <c r="AE68" i="17" s="1"/>
  <c r="AM68" i="17" s="1"/>
  <c r="AK68" i="17"/>
  <c r="AK66" i="17"/>
  <c r="AD66" i="17"/>
  <c r="AE66" i="17" s="1"/>
  <c r="AM66" i="17" s="1"/>
  <c r="AJ21" i="17"/>
  <c r="AC21" i="17"/>
  <c r="AK60" i="17"/>
  <c r="AD60" i="17"/>
  <c r="AD11" i="17"/>
  <c r="AK11" i="17"/>
  <c r="AD25" i="17"/>
  <c r="AK25" i="17"/>
  <c r="AJ56" i="17"/>
  <c r="AC56" i="17"/>
  <c r="AD15" i="17"/>
  <c r="AK15" i="17"/>
  <c r="AJ57" i="17"/>
  <c r="AC57" i="17"/>
  <c r="AJ27" i="17"/>
  <c r="AC27" i="17"/>
  <c r="AD61" i="17"/>
  <c r="AK61" i="17"/>
  <c r="AC22" i="17"/>
  <c r="AJ22" i="17"/>
  <c r="AC38" i="17"/>
  <c r="AJ38" i="17"/>
  <c r="AJ69" i="17"/>
  <c r="AC69" i="17"/>
  <c r="AC64" i="17"/>
  <c r="AJ64" i="17"/>
  <c r="AC43" i="17"/>
  <c r="AJ43" i="17"/>
  <c r="AK48" i="17"/>
  <c r="AD48" i="17"/>
  <c r="AD42" i="17"/>
  <c r="AK42" i="17"/>
  <c r="AJ54" i="17"/>
  <c r="AC54" i="17"/>
  <c r="AD13" i="17"/>
  <c r="AK13" i="17"/>
  <c r="AC35" i="17"/>
  <c r="AJ35" i="17"/>
  <c r="AK39" i="17"/>
  <c r="AD39" i="17"/>
  <c r="AC17" i="17"/>
  <c r="AJ17" i="17"/>
  <c r="AC40" i="17"/>
  <c r="AJ40" i="17"/>
  <c r="AD18" i="17"/>
  <c r="AK18" i="17"/>
  <c r="AC19" i="17"/>
  <c r="AJ19" i="17"/>
  <c r="AC52" i="17"/>
  <c r="AJ52" i="17"/>
  <c r="AC50" i="17"/>
  <c r="AJ50" i="17"/>
  <c r="AD37" i="17"/>
  <c r="AK37" i="17"/>
  <c r="AC31" i="17"/>
  <c r="AJ31" i="17"/>
  <c r="AJ47" i="17"/>
  <c r="AC47" i="17"/>
  <c r="AC23" i="17"/>
  <c r="AJ23" i="17"/>
  <c r="AC46" i="17"/>
  <c r="AJ46" i="17"/>
  <c r="AJ51" i="17"/>
  <c r="AC51" i="17"/>
  <c r="AK45" i="17"/>
  <c r="AD45" i="17"/>
  <c r="AD24" i="17"/>
  <c r="AK24" i="17"/>
  <c r="AC7" i="17"/>
  <c r="AJ7" i="17"/>
  <c r="AD8" i="17"/>
  <c r="AK8" i="17"/>
  <c r="AJ10" i="17"/>
  <c r="AC10" i="17"/>
  <c r="AG68" i="37"/>
  <c r="AD68" i="37" s="1"/>
  <c r="AG168" i="37"/>
  <c r="AD349" i="37"/>
  <c r="AD27" i="37"/>
  <c r="AG129" i="37"/>
  <c r="AG11" i="37"/>
  <c r="AJ115" i="37"/>
  <c r="AI115" i="37" s="1"/>
  <c r="AG83" i="37"/>
  <c r="AD83" i="37" s="1"/>
  <c r="AD266" i="37"/>
  <c r="AG98" i="37"/>
  <c r="AD98" i="37" s="1"/>
  <c r="AD212" i="37"/>
  <c r="S115" i="37"/>
  <c r="R115" i="37" s="1"/>
  <c r="P115" i="37" s="1"/>
  <c r="M115" i="37" s="1"/>
  <c r="AD253" i="37"/>
  <c r="AG33" i="37"/>
  <c r="AD33" i="37" s="1"/>
  <c r="AD386" i="37"/>
  <c r="AG109" i="37"/>
  <c r="AD109" i="37" s="1"/>
  <c r="AG17" i="37"/>
  <c r="AD32" i="37"/>
  <c r="AG330" i="37"/>
  <c r="AD330" i="37" s="1"/>
  <c r="AD22" i="37"/>
  <c r="AG10" i="37"/>
  <c r="AD10" i="37" s="1"/>
  <c r="AD44" i="37"/>
  <c r="AD122" i="37"/>
  <c r="AG9" i="37"/>
  <c r="AD9" i="37" s="1"/>
  <c r="AG80" i="37"/>
  <c r="AD80" i="37" s="1"/>
  <c r="AG37" i="37"/>
  <c r="AD37" i="37" s="1"/>
  <c r="AI305" i="37"/>
  <c r="AG151" i="37"/>
  <c r="AD151" i="37" s="1"/>
  <c r="AD210" i="37"/>
  <c r="R305" i="37"/>
  <c r="AD186" i="37"/>
  <c r="R364" i="37"/>
  <c r="P364" i="37" s="1"/>
  <c r="AG196" i="37"/>
  <c r="AD196" i="37" s="1"/>
  <c r="AD354" i="37"/>
  <c r="AD156" i="37"/>
  <c r="AG61" i="37"/>
  <c r="AD61" i="37" s="1"/>
  <c r="AG171" i="37"/>
  <c r="AD171" i="37" s="1"/>
  <c r="AD54" i="37"/>
  <c r="AD329" i="37"/>
  <c r="AG198" i="37"/>
  <c r="AD198" i="37" s="1"/>
  <c r="AD338" i="37"/>
  <c r="AG300" i="37"/>
  <c r="AD308" i="37"/>
  <c r="AD112" i="37"/>
  <c r="AD70" i="37"/>
  <c r="AD300" i="37"/>
  <c r="AD178" i="37"/>
  <c r="AD239" i="37"/>
  <c r="AD251" i="37"/>
  <c r="AG391" i="37"/>
  <c r="AD391" i="37" s="1"/>
  <c r="AG257" i="37"/>
  <c r="AD257" i="37" s="1"/>
  <c r="AJ302" i="37"/>
  <c r="AI302" i="37" s="1"/>
  <c r="AD176" i="37"/>
  <c r="AD341" i="37"/>
  <c r="AJ256" i="37"/>
  <c r="AI256" i="37" s="1"/>
  <c r="AG256" i="37" s="1"/>
  <c r="AD256" i="37" s="1"/>
  <c r="R339" i="37"/>
  <c r="P339" i="37" s="1"/>
  <c r="M339" i="37" s="1"/>
  <c r="AG23" i="37"/>
  <c r="AD23" i="37" s="1"/>
  <c r="AG302" i="37"/>
  <c r="S256" i="37"/>
  <c r="R256" i="37" s="1"/>
  <c r="P256" i="37" s="1"/>
  <c r="M256" i="37" s="1"/>
  <c r="AD319" i="37"/>
  <c r="M137" i="37"/>
  <c r="S358" i="37"/>
  <c r="R358" i="37" s="1"/>
  <c r="P358" i="37" s="1"/>
  <c r="M358" i="37" s="1"/>
  <c r="AG304" i="37"/>
  <c r="AD304" i="37" s="1"/>
  <c r="AJ358" i="37"/>
  <c r="AI358" i="37" s="1"/>
  <c r="AD78" i="37"/>
  <c r="AD17" i="37"/>
  <c r="AG261" i="37"/>
  <c r="AG275" i="37"/>
  <c r="AD275" i="37" s="1"/>
  <c r="AD182" i="37"/>
  <c r="AD310" i="37"/>
  <c r="AD11" i="37"/>
  <c r="AD140" i="37"/>
  <c r="AI339" i="37"/>
  <c r="AG339" i="37" s="1"/>
  <c r="S302" i="37"/>
  <c r="R302" i="37" s="1"/>
  <c r="P302" i="37" s="1"/>
  <c r="M302" i="37" s="1"/>
  <c r="AG16" i="37"/>
  <c r="AD16" i="37" s="1"/>
  <c r="AG315" i="37"/>
  <c r="AD315" i="37" s="1"/>
  <c r="AG390" i="37"/>
  <c r="AD390" i="37" s="1"/>
  <c r="AG190" i="37"/>
  <c r="AD190" i="37" s="1"/>
  <c r="AI226" i="37"/>
  <c r="AG303" i="37"/>
  <c r="AD303" i="37" s="1"/>
  <c r="AD340" i="37"/>
  <c r="AG345" i="37"/>
  <c r="AD345" i="37" s="1"/>
  <c r="AG191" i="37"/>
  <c r="AH149" i="37"/>
  <c r="AG149" i="37" s="1"/>
  <c r="P149" i="37"/>
  <c r="M149" i="37" s="1"/>
  <c r="AD31" i="37"/>
  <c r="Q397" i="37"/>
  <c r="AD121" i="37"/>
  <c r="AM244" i="37"/>
  <c r="AI244" i="37" s="1"/>
  <c r="R244" i="37"/>
  <c r="P244" i="37" s="1"/>
  <c r="M244" i="37" s="1"/>
  <c r="S175" i="37"/>
  <c r="R175" i="37" s="1"/>
  <c r="P175" i="37" s="1"/>
  <c r="M175" i="37" s="1"/>
  <c r="AK175" i="37"/>
  <c r="AJ175" i="37" s="1"/>
  <c r="AI175" i="37" s="1"/>
  <c r="AG175" i="37" s="1"/>
  <c r="AD175" i="37" s="1"/>
  <c r="AE317" i="37"/>
  <c r="AK360" i="37"/>
  <c r="AJ360" i="37" s="1"/>
  <c r="AI360" i="37" s="1"/>
  <c r="S360" i="37"/>
  <c r="R360" i="37" s="1"/>
  <c r="P360" i="37" s="1"/>
  <c r="M360" i="37" s="1"/>
  <c r="AD63" i="37"/>
  <c r="AG42" i="37"/>
  <c r="AD42" i="37" s="1"/>
  <c r="AG194" i="37"/>
  <c r="AD194" i="37" s="1"/>
  <c r="AH67" i="37"/>
  <c r="AD337" i="37"/>
  <c r="AH278" i="37"/>
  <c r="AG324" i="37"/>
  <c r="AD324" i="37" s="1"/>
  <c r="AH346" i="37"/>
  <c r="S283" i="37"/>
  <c r="R283" i="37" s="1"/>
  <c r="P283" i="37" s="1"/>
  <c r="M283" i="37" s="1"/>
  <c r="AK283" i="37"/>
  <c r="AJ283" i="37" s="1"/>
  <c r="AI283" i="37" s="1"/>
  <c r="AG283" i="37" s="1"/>
  <c r="AD283" i="37" s="1"/>
  <c r="AK188" i="37"/>
  <c r="AJ188" i="37" s="1"/>
  <c r="AI188" i="37" s="1"/>
  <c r="S188" i="37"/>
  <c r="R188" i="37" s="1"/>
  <c r="P188" i="37" s="1"/>
  <c r="M188" i="37" s="1"/>
  <c r="AF26" i="37"/>
  <c r="O397" i="37"/>
  <c r="AI103" i="37"/>
  <c r="AG103" i="37" s="1"/>
  <c r="AD103" i="37" s="1"/>
  <c r="AK67" i="37"/>
  <c r="AJ67" i="37" s="1"/>
  <c r="AI67" i="37" s="1"/>
  <c r="S67" i="37"/>
  <c r="R67" i="37" s="1"/>
  <c r="P67" i="37" s="1"/>
  <c r="M67" i="37" s="1"/>
  <c r="AD142" i="37"/>
  <c r="AG154" i="37"/>
  <c r="AD154" i="37" s="1"/>
  <c r="AG150" i="37"/>
  <c r="AD150" i="37" s="1"/>
  <c r="AG258" i="37"/>
  <c r="AD258" i="37" s="1"/>
  <c r="AD332" i="37"/>
  <c r="AG213" i="37"/>
  <c r="AD213" i="37" s="1"/>
  <c r="AK240" i="37"/>
  <c r="AJ240" i="37" s="1"/>
  <c r="AI240" i="37" s="1"/>
  <c r="AG240" i="37" s="1"/>
  <c r="S240" i="37"/>
  <c r="R240" i="37" s="1"/>
  <c r="P240" i="37" s="1"/>
  <c r="M240" i="37" s="1"/>
  <c r="AK346" i="37"/>
  <c r="AJ346" i="37" s="1"/>
  <c r="AI346" i="37" s="1"/>
  <c r="S346" i="37"/>
  <c r="R346" i="37" s="1"/>
  <c r="P346" i="37" s="1"/>
  <c r="M346" i="37" s="1"/>
  <c r="AK60" i="37"/>
  <c r="AJ60" i="37" s="1"/>
  <c r="AI60" i="37" s="1"/>
  <c r="S60" i="37"/>
  <c r="R60" i="37" s="1"/>
  <c r="P60" i="37" s="1"/>
  <c r="M60" i="37" s="1"/>
  <c r="AJ100" i="37"/>
  <c r="AI100" i="37" s="1"/>
  <c r="AD227" i="37"/>
  <c r="S157" i="37"/>
  <c r="R157" i="37" s="1"/>
  <c r="P157" i="37" s="1"/>
  <c r="AE107" i="37"/>
  <c r="S100" i="37"/>
  <c r="R100" i="37" s="1"/>
  <c r="P100" i="37" s="1"/>
  <c r="M100" i="37" s="1"/>
  <c r="AG372" i="37"/>
  <c r="AD372" i="37" s="1"/>
  <c r="AG393" i="37"/>
  <c r="AD393" i="37" s="1"/>
  <c r="AJ173" i="37"/>
  <c r="AI173" i="37" s="1"/>
  <c r="AD74" i="37"/>
  <c r="AG181" i="37"/>
  <c r="AD181" i="37" s="1"/>
  <c r="AG385" i="37"/>
  <c r="AD385" i="37" s="1"/>
  <c r="AG65" i="37"/>
  <c r="AD65" i="37" s="1"/>
  <c r="AD211" i="37"/>
  <c r="S91" i="37"/>
  <c r="R91" i="37" s="1"/>
  <c r="P91" i="37" s="1"/>
  <c r="M91" i="37" s="1"/>
  <c r="M30" i="37"/>
  <c r="AE30" i="37"/>
  <c r="AD30" i="37" s="1"/>
  <c r="AG31" i="37"/>
  <c r="AH107" i="37"/>
  <c r="AD218" i="37"/>
  <c r="AG384" i="37"/>
  <c r="AD384" i="37" s="1"/>
  <c r="AD277" i="37"/>
  <c r="AH20" i="37"/>
  <c r="AG20" i="37" s="1"/>
  <c r="P20" i="37"/>
  <c r="M20" i="37" s="1"/>
  <c r="AI246" i="37"/>
  <c r="AG246" i="37" s="1"/>
  <c r="AD246" i="37" s="1"/>
  <c r="P226" i="37"/>
  <c r="M226" i="37" s="1"/>
  <c r="AH226" i="37"/>
  <c r="AG226" i="37" s="1"/>
  <c r="AD226" i="37" s="1"/>
  <c r="R288" i="37"/>
  <c r="P288" i="37" s="1"/>
  <c r="M288" i="37" s="1"/>
  <c r="S107" i="37"/>
  <c r="R107" i="37" s="1"/>
  <c r="P107" i="37" s="1"/>
  <c r="M107" i="37" s="1"/>
  <c r="AK107" i="37"/>
  <c r="AJ107" i="37" s="1"/>
  <c r="AI107" i="37" s="1"/>
  <c r="AK166" i="37"/>
  <c r="AJ166" i="37" s="1"/>
  <c r="AI166" i="37" s="1"/>
  <c r="S166" i="37"/>
  <c r="R166" i="37" s="1"/>
  <c r="P166" i="37" s="1"/>
  <c r="M166" i="37" s="1"/>
  <c r="AE222" i="37"/>
  <c r="AH26" i="37"/>
  <c r="AG26" i="37" s="1"/>
  <c r="P26" i="37"/>
  <c r="M26" i="37" s="1"/>
  <c r="AD29" i="37"/>
  <c r="AG279" i="37"/>
  <c r="AD279" i="37" s="1"/>
  <c r="AD191" i="37"/>
  <c r="S237" i="37"/>
  <c r="R237" i="37" s="1"/>
  <c r="P237" i="37" s="1"/>
  <c r="M237" i="37" s="1"/>
  <c r="AK237" i="37"/>
  <c r="AJ237" i="37" s="1"/>
  <c r="AI237" i="37" s="1"/>
  <c r="AG237" i="37" s="1"/>
  <c r="AD237" i="37" s="1"/>
  <c r="AD136" i="37"/>
  <c r="M180" i="37"/>
  <c r="AE180" i="37"/>
  <c r="AD180" i="37" s="1"/>
  <c r="AD165" i="37"/>
  <c r="AD356" i="37"/>
  <c r="R246" i="37"/>
  <c r="P246" i="37" s="1"/>
  <c r="M246" i="37" s="1"/>
  <c r="AG371" i="37"/>
  <c r="AD371" i="37" s="1"/>
  <c r="AG132" i="37"/>
  <c r="AD132" i="37" s="1"/>
  <c r="AG269" i="37"/>
  <c r="AD269" i="37" s="1"/>
  <c r="AD207" i="37"/>
  <c r="AF293" i="37"/>
  <c r="AG93" i="37"/>
  <c r="AD93" i="37" s="1"/>
  <c r="AD334" i="37"/>
  <c r="AG377" i="37"/>
  <c r="AD377" i="37" s="1"/>
  <c r="AG274" i="37"/>
  <c r="AE166" i="37"/>
  <c r="AE364" i="37"/>
  <c r="AD364" i="37" s="1"/>
  <c r="M364" i="37"/>
  <c r="V397" i="37"/>
  <c r="AH96" i="37"/>
  <c r="AG96" i="37" s="1"/>
  <c r="AD96" i="37" s="1"/>
  <c r="AL351" i="37"/>
  <c r="AJ351" i="37" s="1"/>
  <c r="AI351" i="37" s="1"/>
  <c r="AG351" i="37" s="1"/>
  <c r="AD351" i="37" s="1"/>
  <c r="S351" i="37"/>
  <c r="R351" i="37" s="1"/>
  <c r="P351" i="37" s="1"/>
  <c r="M351" i="37" s="1"/>
  <c r="S209" i="37"/>
  <c r="R209" i="37" s="1"/>
  <c r="P209" i="37" s="1"/>
  <c r="M209" i="37" s="1"/>
  <c r="AK209" i="37"/>
  <c r="AJ209" i="37" s="1"/>
  <c r="AI209" i="37" s="1"/>
  <c r="AG209" i="37" s="1"/>
  <c r="AE115" i="37"/>
  <c r="AH383" i="37"/>
  <c r="AG383" i="37" s="1"/>
  <c r="AD383" i="37" s="1"/>
  <c r="P383" i="37"/>
  <c r="M383" i="37" s="1"/>
  <c r="S293" i="37"/>
  <c r="R293" i="37" s="1"/>
  <c r="P293" i="37" s="1"/>
  <c r="M293" i="37" s="1"/>
  <c r="AK293" i="37"/>
  <c r="AJ293" i="37" s="1"/>
  <c r="AI293" i="37" s="1"/>
  <c r="AG293" i="37" s="1"/>
  <c r="M87" i="37"/>
  <c r="AE87" i="37"/>
  <c r="AD87" i="37" s="1"/>
  <c r="AE346" i="37"/>
  <c r="AH60" i="37"/>
  <c r="AD64" i="37"/>
  <c r="S281" i="37"/>
  <c r="R281" i="37" s="1"/>
  <c r="P281" i="37" s="1"/>
  <c r="M281" i="37" s="1"/>
  <c r="AK281" i="37"/>
  <c r="AJ281" i="37" s="1"/>
  <c r="AI281" i="37" s="1"/>
  <c r="AG281" i="37" s="1"/>
  <c r="AD281" i="37" s="1"/>
  <c r="AH317" i="37"/>
  <c r="U397" i="37"/>
  <c r="AG62" i="37"/>
  <c r="AD62" i="37" s="1"/>
  <c r="AD344" i="37"/>
  <c r="AD169" i="37"/>
  <c r="AH173" i="37"/>
  <c r="AE20" i="37"/>
  <c r="N397" i="37"/>
  <c r="AG160" i="37"/>
  <c r="AD160" i="37" s="1"/>
  <c r="AD316" i="37"/>
  <c r="AG216" i="37"/>
  <c r="AD216" i="37" s="1"/>
  <c r="AE157" i="37"/>
  <c r="M157" i="37"/>
  <c r="AD119" i="37"/>
  <c r="AG106" i="37"/>
  <c r="AD106" i="37" s="1"/>
  <c r="AK265" i="37"/>
  <c r="AJ265" i="37" s="1"/>
  <c r="AI265" i="37" s="1"/>
  <c r="S265" i="37"/>
  <c r="R265" i="37" s="1"/>
  <c r="P265" i="37" s="1"/>
  <c r="M265" i="37" s="1"/>
  <c r="AJ157" i="37"/>
  <c r="AI157" i="37" s="1"/>
  <c r="AG157" i="37" s="1"/>
  <c r="AK230" i="37"/>
  <c r="AJ230" i="37" s="1"/>
  <c r="AI230" i="37" s="1"/>
  <c r="AG230" i="37" s="1"/>
  <c r="AD230" i="37" s="1"/>
  <c r="S230" i="37"/>
  <c r="R230" i="37" s="1"/>
  <c r="P230" i="37" s="1"/>
  <c r="M230" i="37" s="1"/>
  <c r="AE143" i="37"/>
  <c r="AD170" i="37"/>
  <c r="AD76" i="37"/>
  <c r="AG243" i="37"/>
  <c r="AD243" i="37" s="1"/>
  <c r="AH188" i="37"/>
  <c r="AG188" i="37" s="1"/>
  <c r="AD188" i="37" s="1"/>
  <c r="AJ8" i="37"/>
  <c r="AI8" i="37" s="1"/>
  <c r="AG8" i="37" s="1"/>
  <c r="AD8" i="37" s="1"/>
  <c r="AH394" i="37"/>
  <c r="AG189" i="37"/>
  <c r="AD189" i="37" s="1"/>
  <c r="AD380" i="37"/>
  <c r="AD179" i="37"/>
  <c r="S135" i="37"/>
  <c r="R135" i="37" s="1"/>
  <c r="P135" i="37" s="1"/>
  <c r="M135" i="37" s="1"/>
  <c r="AK135" i="37"/>
  <c r="AJ135" i="37" s="1"/>
  <c r="AI135" i="37" s="1"/>
  <c r="AG135" i="37" s="1"/>
  <c r="AD135" i="37" s="1"/>
  <c r="M213" i="37"/>
  <c r="AK222" i="37"/>
  <c r="AJ222" i="37" s="1"/>
  <c r="AI222" i="37" s="1"/>
  <c r="AG222" i="37" s="1"/>
  <c r="S222" i="37"/>
  <c r="R222" i="37" s="1"/>
  <c r="P222" i="37" s="1"/>
  <c r="M222" i="37" s="1"/>
  <c r="T397" i="37"/>
  <c r="S397" i="37" s="1"/>
  <c r="AG105" i="37"/>
  <c r="AD105" i="37" s="1"/>
  <c r="AG166" i="37"/>
  <c r="AD56" i="37"/>
  <c r="P321" i="37"/>
  <c r="M321" i="37" s="1"/>
  <c r="AH321" i="37"/>
  <c r="AG321" i="37" s="1"/>
  <c r="AD321" i="37" s="1"/>
  <c r="AI288" i="37"/>
  <c r="AG288" i="37" s="1"/>
  <c r="AD288" i="37" s="1"/>
  <c r="AH378" i="37"/>
  <c r="AH375" i="37"/>
  <c r="AH265" i="37"/>
  <c r="AK77" i="37"/>
  <c r="AJ77" i="37" s="1"/>
  <c r="AI77" i="37" s="1"/>
  <c r="AG77" i="37" s="1"/>
  <c r="S77" i="37"/>
  <c r="R77" i="37" s="1"/>
  <c r="P77" i="37" s="1"/>
  <c r="M77" i="37" s="1"/>
  <c r="AD335" i="37"/>
  <c r="S278" i="37"/>
  <c r="R278" i="37" s="1"/>
  <c r="P278" i="37" s="1"/>
  <c r="M278" i="37" s="1"/>
  <c r="AK278" i="37"/>
  <c r="AJ278" i="37" s="1"/>
  <c r="AI278" i="37" s="1"/>
  <c r="AG221" i="37"/>
  <c r="AD221" i="37" s="1"/>
  <c r="AG220" i="37"/>
  <c r="AD220" i="37" s="1"/>
  <c r="AD217" i="37"/>
  <c r="AG158" i="37"/>
  <c r="AD158" i="37" s="1"/>
  <c r="AD369" i="37"/>
  <c r="AE302" i="37"/>
  <c r="AD25" i="37"/>
  <c r="AG152" i="37"/>
  <c r="AH100" i="37"/>
  <c r="AG100" i="37" s="1"/>
  <c r="AD100" i="37" s="1"/>
  <c r="AG104" i="37"/>
  <c r="AD104" i="37" s="1"/>
  <c r="S202" i="37"/>
  <c r="R202" i="37" s="1"/>
  <c r="P202" i="37" s="1"/>
  <c r="AK202" i="37"/>
  <c r="AJ202" i="37" s="1"/>
  <c r="AI202" i="37" s="1"/>
  <c r="AG202" i="37" s="1"/>
  <c r="AD202" i="37" s="1"/>
  <c r="AD201" i="37"/>
  <c r="AG267" i="37"/>
  <c r="AD267" i="37" s="1"/>
  <c r="AD224" i="37"/>
  <c r="AD228" i="37"/>
  <c r="AD311" i="37"/>
  <c r="AF375" i="37"/>
  <c r="AG262" i="37"/>
  <c r="AD262" i="37" s="1"/>
  <c r="S394" i="37"/>
  <c r="R394" i="37" s="1"/>
  <c r="P394" i="37" s="1"/>
  <c r="M394" i="37" s="1"/>
  <c r="AK394" i="37"/>
  <c r="AJ394" i="37" s="1"/>
  <c r="AI394" i="37" s="1"/>
  <c r="M242" i="37"/>
  <c r="AE77" i="37"/>
  <c r="AH388" i="37"/>
  <c r="AG388" i="37" s="1"/>
  <c r="AD388" i="37" s="1"/>
  <c r="S375" i="37"/>
  <c r="R375" i="37" s="1"/>
  <c r="P375" i="37" s="1"/>
  <c r="M375" i="37" s="1"/>
  <c r="AK375" i="37"/>
  <c r="AJ375" i="37" s="1"/>
  <c r="AI375" i="37" s="1"/>
  <c r="AH360" i="37"/>
  <c r="S153" i="37"/>
  <c r="R153" i="37" s="1"/>
  <c r="P153" i="37" s="1"/>
  <c r="M153" i="37" s="1"/>
  <c r="M129" i="37"/>
  <c r="AE129" i="37"/>
  <c r="AD129" i="37" s="1"/>
  <c r="AD164" i="37"/>
  <c r="AG268" i="37"/>
  <c r="AD268" i="37" s="1"/>
  <c r="P69" i="37"/>
  <c r="M69" i="37" s="1"/>
  <c r="AH69" i="37"/>
  <c r="AG69" i="37" s="1"/>
  <c r="AD69" i="37" s="1"/>
  <c r="AJ368" i="37"/>
  <c r="AI368" i="37" s="1"/>
  <c r="AG368" i="37" s="1"/>
  <c r="AD368" i="37" s="1"/>
  <c r="AJ153" i="37"/>
  <c r="AI153" i="37" s="1"/>
  <c r="AG153" i="37" s="1"/>
  <c r="AD153" i="37" s="1"/>
  <c r="AD287" i="37"/>
  <c r="AH270" i="37"/>
  <c r="AD162" i="37"/>
  <c r="AG91" i="37"/>
  <c r="AD91" i="37" s="1"/>
  <c r="AG185" i="37"/>
  <c r="AD185" i="37" s="1"/>
  <c r="AL143" i="37"/>
  <c r="AJ143" i="37" s="1"/>
  <c r="AI143" i="37" s="1"/>
  <c r="AG143" i="37" s="1"/>
  <c r="S143" i="37"/>
  <c r="R143" i="37" s="1"/>
  <c r="P143" i="37" s="1"/>
  <c r="M143" i="37" s="1"/>
  <c r="AE358" i="37"/>
  <c r="AG58" i="37"/>
  <c r="AD58" i="37" s="1"/>
  <c r="S317" i="37"/>
  <c r="R317" i="37" s="1"/>
  <c r="P317" i="37" s="1"/>
  <c r="M317" i="37" s="1"/>
  <c r="AK317" i="37"/>
  <c r="AJ317" i="37" s="1"/>
  <c r="AI317" i="37" s="1"/>
  <c r="AD167" i="37"/>
  <c r="AH305" i="37"/>
  <c r="AG305" i="37" s="1"/>
  <c r="AD305" i="37" s="1"/>
  <c r="P305" i="37"/>
  <c r="M305" i="37" s="1"/>
  <c r="AG38" i="37"/>
  <c r="AD38" i="37" s="1"/>
  <c r="AE240" i="37"/>
  <c r="S270" i="37"/>
  <c r="R270" i="37" s="1"/>
  <c r="P270" i="37" s="1"/>
  <c r="M270" i="37" s="1"/>
  <c r="M331" i="37"/>
  <c r="AD168" i="37"/>
  <c r="S378" i="37"/>
  <c r="R378" i="37" s="1"/>
  <c r="P378" i="37" s="1"/>
  <c r="M378" i="37" s="1"/>
  <c r="AK378" i="37"/>
  <c r="AJ378" i="37" s="1"/>
  <c r="AI378" i="37" s="1"/>
  <c r="AJ270" i="37"/>
  <c r="AI270" i="37" s="1"/>
  <c r="AG272" i="37"/>
  <c r="AD272" i="37" s="1"/>
  <c r="AG342" i="37"/>
  <c r="AD342" i="37" s="1"/>
  <c r="M202" i="37"/>
  <c r="AD312" i="37"/>
  <c r="AK96" i="37"/>
  <c r="AJ96" i="37" s="1"/>
  <c r="AI96" i="37" s="1"/>
  <c r="S96" i="37"/>
  <c r="R96" i="37" s="1"/>
  <c r="P96" i="37" s="1"/>
  <c r="M96" i="37" s="1"/>
  <c r="AG225" i="37"/>
  <c r="AD225" i="37" s="1"/>
  <c r="S173" i="37"/>
  <c r="R173" i="37" s="1"/>
  <c r="P173" i="37" s="1"/>
  <c r="M173" i="37" s="1"/>
  <c r="AD141" i="37"/>
  <c r="P286" i="37"/>
  <c r="M286" i="37" s="1"/>
  <c r="AH286" i="37"/>
  <c r="AG286" i="37" s="1"/>
  <c r="AD286" i="37" s="1"/>
  <c r="AE209" i="37"/>
  <c r="AD152" i="37"/>
  <c r="AE173" i="37"/>
  <c r="AH244" i="37"/>
  <c r="P180" i="37"/>
  <c r="AH180" i="37"/>
  <c r="AG180" i="37" s="1"/>
  <c r="AG358" i="37"/>
  <c r="AG167" i="37"/>
  <c r="AG200" i="37"/>
  <c r="AD200" i="37" s="1"/>
  <c r="AG280" i="37"/>
  <c r="AD280" i="37" s="1"/>
  <c r="AD149" i="37"/>
  <c r="AD199" i="37"/>
  <c r="AG392" i="37"/>
  <c r="AD392" i="37" s="1"/>
  <c r="AG374" i="37"/>
  <c r="AD374" i="37" s="1"/>
  <c r="AG95" i="37"/>
  <c r="AD95" i="37" s="1"/>
  <c r="AE339" i="37"/>
  <c r="AD55" i="37"/>
  <c r="AD219" i="37"/>
  <c r="AJ91" i="37"/>
  <c r="AI91" i="37" s="1"/>
  <c r="AD336" i="37"/>
  <c r="AD370" i="37"/>
  <c r="AG295" i="37"/>
  <c r="AD295" i="37" s="1"/>
  <c r="AD274" i="37"/>
  <c r="AG359" i="37"/>
  <c r="AD359" i="37" s="1"/>
  <c r="AG177" i="37"/>
  <c r="AD177" i="37" s="1"/>
  <c r="AD254" i="37"/>
  <c r="AE367" i="37"/>
  <c r="AD367" i="37" s="1"/>
  <c r="M367" i="37"/>
  <c r="S388" i="37"/>
  <c r="R388" i="37" s="1"/>
  <c r="P388" i="37" s="1"/>
  <c r="M388" i="37" s="1"/>
  <c r="AG137" i="37"/>
  <c r="AD137" i="37" s="1"/>
  <c r="AG159" i="37"/>
  <c r="AD159" i="37" s="1"/>
  <c r="AG301" i="37"/>
  <c r="AD301" i="37" s="1"/>
  <c r="AG66" i="37"/>
  <c r="AD66" i="37" s="1"/>
  <c r="AD333" i="37"/>
  <c r="AD261" i="37"/>
  <c r="AG82" i="37"/>
  <c r="AD82" i="37" s="1"/>
  <c r="M324" i="37"/>
  <c r="AD34" i="37"/>
  <c r="AG15" i="37"/>
  <c r="AD15" i="37" s="1"/>
  <c r="AG115" i="37"/>
  <c r="AD362" i="37"/>
  <c r="AD71" i="37"/>
  <c r="AG290" i="37"/>
  <c r="AD290" i="37" s="1"/>
  <c r="J26" i="26" l="1"/>
  <c r="J27" i="26"/>
  <c r="AL68" i="17"/>
  <c r="AL70" i="17"/>
  <c r="AL77" i="17"/>
  <c r="AL80" i="17"/>
  <c r="AL101" i="17"/>
  <c r="AL58" i="17"/>
  <c r="AL14" i="17"/>
  <c r="AL83" i="17"/>
  <c r="AL66" i="17"/>
  <c r="AL81" i="17"/>
  <c r="AL95" i="17"/>
  <c r="AL76" i="17"/>
  <c r="AL86" i="17"/>
  <c r="AL61" i="17"/>
  <c r="AL48" i="17"/>
  <c r="I19" i="26" s="1"/>
  <c r="AL60" i="17"/>
  <c r="AL24" i="17"/>
  <c r="AL13" i="17"/>
  <c r="AL15" i="17"/>
  <c r="AL45" i="17"/>
  <c r="AL39" i="17"/>
  <c r="AL42" i="17"/>
  <c r="AL25" i="17"/>
  <c r="AL37" i="17"/>
  <c r="AL18" i="17"/>
  <c r="AL11" i="17"/>
  <c r="AL8" i="17"/>
  <c r="I6" i="26" s="1"/>
  <c r="AD108" i="17"/>
  <c r="AK108" i="17"/>
  <c r="AD72" i="17"/>
  <c r="AE72" i="17" s="1"/>
  <c r="AM72" i="17" s="1"/>
  <c r="J29" i="26" s="1"/>
  <c r="AK72" i="17"/>
  <c r="AD109" i="17"/>
  <c r="AE109" i="17" s="1"/>
  <c r="AM109" i="17" s="1"/>
  <c r="J42" i="26" s="1"/>
  <c r="AK109" i="17"/>
  <c r="AK96" i="17"/>
  <c r="AD96" i="17"/>
  <c r="AE96" i="17" s="1"/>
  <c r="AM96" i="17" s="1"/>
  <c r="AD105" i="17"/>
  <c r="AE105" i="17" s="1"/>
  <c r="AM105" i="17" s="1"/>
  <c r="J40" i="26" s="1"/>
  <c r="AK105" i="17"/>
  <c r="AK97" i="17"/>
  <c r="AD97" i="17"/>
  <c r="AE97" i="17" s="1"/>
  <c r="AM97" i="17" s="1"/>
  <c r="J37" i="26" s="1"/>
  <c r="AD85" i="17"/>
  <c r="AE85" i="17" s="1"/>
  <c r="AM85" i="17" s="1"/>
  <c r="J33" i="26" s="1"/>
  <c r="AK85" i="17"/>
  <c r="AK21" i="17"/>
  <c r="AD21" i="17"/>
  <c r="AD35" i="17"/>
  <c r="AK35" i="17"/>
  <c r="AD46" i="17"/>
  <c r="AK46" i="17"/>
  <c r="AD57" i="17"/>
  <c r="AK57" i="17"/>
  <c r="AD19" i="17"/>
  <c r="AK19" i="17"/>
  <c r="AD43" i="17"/>
  <c r="AK43" i="17"/>
  <c r="AK51" i="17"/>
  <c r="AD51" i="17"/>
  <c r="AD17" i="17"/>
  <c r="AK17" i="17"/>
  <c r="AD56" i="17"/>
  <c r="AK56" i="17"/>
  <c r="AD64" i="17"/>
  <c r="AK64" i="17"/>
  <c r="AK54" i="17"/>
  <c r="AD54" i="17"/>
  <c r="AD23" i="17"/>
  <c r="AK23" i="17"/>
  <c r="AD47" i="17"/>
  <c r="AK47" i="17"/>
  <c r="AD31" i="17"/>
  <c r="AK31" i="17"/>
  <c r="AD69" i="17"/>
  <c r="AE69" i="17" s="1"/>
  <c r="AM69" i="17" s="1"/>
  <c r="AK69" i="17"/>
  <c r="AD38" i="17"/>
  <c r="AK38" i="17"/>
  <c r="AD50" i="17"/>
  <c r="AK50" i="17"/>
  <c r="AD22" i="17"/>
  <c r="AK22" i="17"/>
  <c r="AD52" i="17"/>
  <c r="AK52" i="17"/>
  <c r="AK27" i="17"/>
  <c r="AD27" i="17"/>
  <c r="AD40" i="17"/>
  <c r="AK40" i="17"/>
  <c r="AD10" i="17"/>
  <c r="AK10" i="17"/>
  <c r="AD7" i="17"/>
  <c r="AK7" i="17"/>
  <c r="R397" i="37"/>
  <c r="P397" i="37" s="1"/>
  <c r="M397" i="37" s="1"/>
  <c r="AG360" i="37"/>
  <c r="AD360" i="37" s="1"/>
  <c r="AD26" i="37"/>
  <c r="AG107" i="37"/>
  <c r="AD107" i="37" s="1"/>
  <c r="AG394" i="37"/>
  <c r="AD394" i="37" s="1"/>
  <c r="AD302" i="37"/>
  <c r="AG278" i="37"/>
  <c r="AD278" i="37" s="1"/>
  <c r="AD222" i="37"/>
  <c r="AG173" i="37"/>
  <c r="AD339" i="37"/>
  <c r="AG270" i="37"/>
  <c r="AD270" i="37" s="1"/>
  <c r="AD173" i="37"/>
  <c r="AD20" i="37"/>
  <c r="AH397" i="37"/>
  <c r="AG375" i="37"/>
  <c r="AD375" i="37" s="1"/>
  <c r="AD293" i="37"/>
  <c r="AG244" i="37"/>
  <c r="AD244" i="37" s="1"/>
  <c r="AD143" i="37"/>
  <c r="AG378" i="37"/>
  <c r="AD378" i="37" s="1"/>
  <c r="AD166" i="37"/>
  <c r="AK397" i="37"/>
  <c r="AE397" i="37"/>
  <c r="AD358" i="37"/>
  <c r="AG317" i="37"/>
  <c r="AD157" i="37"/>
  <c r="AD77" i="37"/>
  <c r="AD115" i="37"/>
  <c r="AD346" i="37"/>
  <c r="AD209" i="37"/>
  <c r="AG265" i="37"/>
  <c r="AD265" i="37" s="1"/>
  <c r="AD317" i="37"/>
  <c r="AL397" i="37"/>
  <c r="AG67" i="37"/>
  <c r="AD67" i="37" s="1"/>
  <c r="AF397" i="37"/>
  <c r="AM397" i="37"/>
  <c r="AD240" i="37"/>
  <c r="AG60" i="37"/>
  <c r="AD60" i="37" s="1"/>
  <c r="AG346" i="37"/>
  <c r="AM110" i="17" l="1"/>
  <c r="AM111" i="17" s="1"/>
  <c r="J43" i="26"/>
  <c r="AL105" i="17"/>
  <c r="AL108" i="17"/>
  <c r="I41" i="26" s="1"/>
  <c r="AL96" i="17"/>
  <c r="AL85" i="17"/>
  <c r="AL109" i="17"/>
  <c r="I42" i="26" s="1"/>
  <c r="AL97" i="17"/>
  <c r="AL69" i="17"/>
  <c r="I27" i="26" s="1"/>
  <c r="AL72" i="17"/>
  <c r="I29" i="26" s="1"/>
  <c r="AL46" i="17"/>
  <c r="I17" i="26" s="1"/>
  <c r="AL22" i="17"/>
  <c r="AL64" i="17"/>
  <c r="AL50" i="17"/>
  <c r="AL38" i="17"/>
  <c r="AL52" i="17"/>
  <c r="AL31" i="17"/>
  <c r="I12" i="26" s="1"/>
  <c r="AL43" i="17"/>
  <c r="I16" i="26" s="1"/>
  <c r="AL35" i="17"/>
  <c r="AL40" i="17"/>
  <c r="I15" i="26" s="1"/>
  <c r="AL47" i="17"/>
  <c r="I18" i="26" s="1"/>
  <c r="AL56" i="17"/>
  <c r="AL19" i="17"/>
  <c r="AL21" i="17"/>
  <c r="AL27" i="17"/>
  <c r="AL23" i="17"/>
  <c r="AL17" i="17"/>
  <c r="AL54" i="17"/>
  <c r="AL51" i="17"/>
  <c r="AL57" i="17"/>
  <c r="AL10" i="17"/>
  <c r="I7" i="26" s="1"/>
  <c r="AL7" i="17"/>
  <c r="I5" i="26" s="1"/>
  <c r="I10" i="26"/>
  <c r="I22" i="26"/>
  <c r="I21" i="26"/>
  <c r="I14" i="26"/>
  <c r="AJ397" i="37"/>
  <c r="AI397" i="37" s="1"/>
  <c r="AG397" i="37"/>
  <c r="AD397" i="37" s="1"/>
  <c r="I23" i="26" l="1"/>
  <c r="I1852" i="35"/>
  <c r="F1852" i="35"/>
  <c r="G1852" i="35" s="1"/>
  <c r="D1852" i="35"/>
  <c r="P1851" i="35"/>
  <c r="F1851" i="35"/>
  <c r="G1851" i="35" s="1"/>
  <c r="I1851" i="35" s="1"/>
  <c r="D1851" i="35"/>
  <c r="P1850" i="35"/>
  <c r="F1850" i="35"/>
  <c r="G1850" i="35" s="1"/>
  <c r="I1850" i="35" s="1"/>
  <c r="D1850" i="35"/>
  <c r="Q1840" i="35"/>
  <c r="I1840" i="35"/>
  <c r="F1840" i="35"/>
  <c r="G1840" i="35" s="1"/>
  <c r="G1841" i="35" s="1"/>
  <c r="D1840" i="35"/>
  <c r="P1839" i="35"/>
  <c r="I1839" i="35"/>
  <c r="F1839" i="35"/>
  <c r="G1839" i="35" s="1"/>
  <c r="D1839" i="35"/>
  <c r="P1838" i="35"/>
  <c r="I1838" i="35"/>
  <c r="F1838" i="35"/>
  <c r="G1838" i="35" s="1"/>
  <c r="D1838" i="35"/>
  <c r="P1837" i="35"/>
  <c r="I1837" i="35"/>
  <c r="F1837" i="35"/>
  <c r="G1837" i="35" s="1"/>
  <c r="D1837" i="35"/>
  <c r="P1836" i="35"/>
  <c r="I1836" i="35"/>
  <c r="F1836" i="35"/>
  <c r="G1836" i="35" s="1"/>
  <c r="D1836" i="35"/>
  <c r="P1835" i="35"/>
  <c r="I1835" i="35"/>
  <c r="F1835" i="35"/>
  <c r="G1835" i="35" s="1"/>
  <c r="D1835" i="35"/>
  <c r="M1834" i="35"/>
  <c r="L1834" i="35"/>
  <c r="M1833" i="35"/>
  <c r="L1833" i="35"/>
  <c r="Q1833" i="35" s="1"/>
  <c r="M1832" i="35"/>
  <c r="L1832" i="35"/>
  <c r="K1832" i="35"/>
  <c r="L1831" i="35"/>
  <c r="Q1831" i="35" s="1"/>
  <c r="Q1830" i="35"/>
  <c r="Q1829" i="35"/>
  <c r="Q1828" i="35"/>
  <c r="Q1827" i="35"/>
  <c r="Q1826" i="35"/>
  <c r="Q1825" i="35"/>
  <c r="I1824" i="35"/>
  <c r="F1824" i="35"/>
  <c r="G1824" i="35" s="1"/>
  <c r="G1825" i="35" s="1"/>
  <c r="D1824" i="35"/>
  <c r="P1823" i="35"/>
  <c r="I1823" i="35"/>
  <c r="F1823" i="35"/>
  <c r="G1823" i="35" s="1"/>
  <c r="D1823" i="35"/>
  <c r="P1822" i="35"/>
  <c r="F1822" i="35"/>
  <c r="G1822" i="35" s="1"/>
  <c r="I1822" i="35" s="1"/>
  <c r="D1822" i="35"/>
  <c r="P1821" i="35"/>
  <c r="F1821" i="35"/>
  <c r="G1821" i="35" s="1"/>
  <c r="D1821" i="35"/>
  <c r="P1820" i="35"/>
  <c r="I1820" i="35"/>
  <c r="F1820" i="35"/>
  <c r="G1820" i="35" s="1"/>
  <c r="D1820" i="35"/>
  <c r="P1819" i="35"/>
  <c r="I1819" i="35"/>
  <c r="F1819" i="35"/>
  <c r="G1819" i="35" s="1"/>
  <c r="D1819" i="35"/>
  <c r="P1818" i="35"/>
  <c r="F1818" i="35"/>
  <c r="G1818" i="35" s="1"/>
  <c r="I1818" i="35" s="1"/>
  <c r="D1818" i="35"/>
  <c r="P1817" i="35"/>
  <c r="F1817" i="35"/>
  <c r="G1817" i="35" s="1"/>
  <c r="I1817" i="35" s="1"/>
  <c r="D1817" i="35"/>
  <c r="P1816" i="35"/>
  <c r="F1816" i="35"/>
  <c r="G1816" i="35" s="1"/>
  <c r="I1816" i="35" s="1"/>
  <c r="D1816" i="35"/>
  <c r="P1815" i="35"/>
  <c r="I1815" i="35"/>
  <c r="F1815" i="35"/>
  <c r="G1815" i="35" s="1"/>
  <c r="D1815" i="35"/>
  <c r="P1814" i="35"/>
  <c r="I1814" i="35"/>
  <c r="F1814" i="35"/>
  <c r="G1814" i="35" s="1"/>
  <c r="D1814" i="35"/>
  <c r="P1813" i="35"/>
  <c r="F1813" i="35"/>
  <c r="G1813" i="35" s="1"/>
  <c r="I1813" i="35" s="1"/>
  <c r="D1813" i="35"/>
  <c r="P1812" i="35"/>
  <c r="I1812" i="35"/>
  <c r="F1812" i="35"/>
  <c r="G1812" i="35" s="1"/>
  <c r="D1812" i="35"/>
  <c r="P1811" i="35"/>
  <c r="I1811" i="35"/>
  <c r="F1811" i="35"/>
  <c r="G1811" i="35" s="1"/>
  <c r="D1811" i="35"/>
  <c r="P1810" i="35"/>
  <c r="F1810" i="35"/>
  <c r="G1810" i="35" s="1"/>
  <c r="I1810" i="35" s="1"/>
  <c r="D1810" i="35"/>
  <c r="Q1809" i="35"/>
  <c r="P1809" i="35" s="1"/>
  <c r="F1809" i="35"/>
  <c r="G1809" i="35" s="1"/>
  <c r="I1809" i="35" s="1"/>
  <c r="D1809" i="35"/>
  <c r="P1808" i="35"/>
  <c r="I1808" i="35"/>
  <c r="F1808" i="35"/>
  <c r="G1808" i="35" s="1"/>
  <c r="D1808" i="35"/>
  <c r="F1806" i="35"/>
  <c r="Q1805" i="35"/>
  <c r="P1805" i="35" s="1"/>
  <c r="I1805" i="35"/>
  <c r="F1805" i="35"/>
  <c r="G1805" i="35" s="1"/>
  <c r="D1805" i="35"/>
  <c r="P1804" i="35"/>
  <c r="F1804" i="35"/>
  <c r="G1804" i="35" s="1"/>
  <c r="I1804" i="35" s="1"/>
  <c r="D1804" i="35"/>
  <c r="P1803" i="35"/>
  <c r="I1803" i="35"/>
  <c r="F1803" i="35"/>
  <c r="G1803" i="35" s="1"/>
  <c r="D1803" i="35"/>
  <c r="P1802" i="35"/>
  <c r="I1802" i="35"/>
  <c r="F1802" i="35"/>
  <c r="G1802" i="35" s="1"/>
  <c r="D1802" i="35"/>
  <c r="Q1798" i="35"/>
  <c r="Q1796" i="35" s="1"/>
  <c r="P1796" i="35" s="1"/>
  <c r="I1796" i="35"/>
  <c r="F1796" i="35"/>
  <c r="G1796" i="35" s="1"/>
  <c r="G1797" i="35" s="1"/>
  <c r="G1798" i="35" s="1"/>
  <c r="G1799" i="35" s="1"/>
  <c r="G1800" i="35" s="1"/>
  <c r="G1801" i="35" s="1"/>
  <c r="D1796" i="35"/>
  <c r="Q1795" i="35"/>
  <c r="Q1794" i="35"/>
  <c r="M1793" i="35"/>
  <c r="L1793" i="35"/>
  <c r="K1793" i="35"/>
  <c r="I1792" i="35"/>
  <c r="F1792" i="35"/>
  <c r="G1792" i="35" s="1"/>
  <c r="G1793" i="35" s="1"/>
  <c r="G1794" i="35" s="1"/>
  <c r="G1795" i="35" s="1"/>
  <c r="D1792" i="35"/>
  <c r="Q1791" i="35"/>
  <c r="F1791" i="35"/>
  <c r="D1791" i="35"/>
  <c r="Q1790" i="35"/>
  <c r="Q1789" i="35"/>
  <c r="Q1788" i="35"/>
  <c r="Q1787" i="35"/>
  <c r="Q1786" i="35"/>
  <c r="Q1785" i="35"/>
  <c r="Q1784" i="35"/>
  <c r="F1784" i="35"/>
  <c r="D1784" i="35"/>
  <c r="Q1783" i="35"/>
  <c r="F1783" i="35"/>
  <c r="D1783" i="35"/>
  <c r="Q1782" i="35"/>
  <c r="F1782" i="35"/>
  <c r="D1782" i="35"/>
  <c r="I1781" i="35"/>
  <c r="F1781" i="35"/>
  <c r="G1781" i="35" s="1"/>
  <c r="D1781" i="35"/>
  <c r="Q1780" i="35"/>
  <c r="F1780" i="35"/>
  <c r="D1780" i="35"/>
  <c r="Q1779" i="35"/>
  <c r="F1779" i="35"/>
  <c r="D1779" i="35"/>
  <c r="I1778" i="35"/>
  <c r="F1778" i="35"/>
  <c r="G1778" i="35" s="1"/>
  <c r="G1779" i="35" s="1"/>
  <c r="I1779" i="35" s="1"/>
  <c r="D1778" i="35"/>
  <c r="I1777" i="35"/>
  <c r="F1777" i="35"/>
  <c r="D1777" i="35"/>
  <c r="M1776" i="35"/>
  <c r="L1776" i="35"/>
  <c r="F1776" i="35"/>
  <c r="D1776" i="35"/>
  <c r="M1775" i="35"/>
  <c r="L1775" i="35"/>
  <c r="Q1775" i="35" s="1"/>
  <c r="F1775" i="35"/>
  <c r="D1775" i="35"/>
  <c r="M1774" i="35"/>
  <c r="L1774" i="35"/>
  <c r="F1774" i="35"/>
  <c r="D1774" i="35"/>
  <c r="I1773" i="35"/>
  <c r="F1773" i="35"/>
  <c r="G1773" i="35" s="1"/>
  <c r="D1773" i="35"/>
  <c r="Q1772" i="35"/>
  <c r="Q1771" i="35"/>
  <c r="Q1770" i="35"/>
  <c r="Q1769" i="35" s="1"/>
  <c r="F1769" i="35"/>
  <c r="Q1768" i="35"/>
  <c r="Q1767" i="35"/>
  <c r="Q1766" i="35"/>
  <c r="F1765" i="35"/>
  <c r="Q1764" i="35"/>
  <c r="Q1763" i="35"/>
  <c r="Q1762" i="35"/>
  <c r="F1761" i="35"/>
  <c r="F1760" i="35"/>
  <c r="G1760" i="35" s="1"/>
  <c r="Q1759" i="35"/>
  <c r="Q1758" i="35"/>
  <c r="Q1757" i="35"/>
  <c r="F1756" i="35"/>
  <c r="G1756" i="35" s="1"/>
  <c r="G1757" i="35" s="1"/>
  <c r="I1757" i="35" s="1"/>
  <c r="Q1755" i="35"/>
  <c r="Q1754" i="35"/>
  <c r="Q1753" i="35"/>
  <c r="F1752" i="35"/>
  <c r="G1752" i="35" s="1"/>
  <c r="G1753" i="35" s="1"/>
  <c r="G1754" i="35" s="1"/>
  <c r="I1754" i="35" s="1"/>
  <c r="Q1751" i="35"/>
  <c r="Q1750" i="35"/>
  <c r="Q1749" i="35"/>
  <c r="F1748" i="35"/>
  <c r="G1748" i="35" s="1"/>
  <c r="G1749" i="35" s="1"/>
  <c r="Q1747" i="35"/>
  <c r="Q1746" i="35"/>
  <c r="Q1745" i="35"/>
  <c r="Q1743" i="35"/>
  <c r="Q1742" i="35"/>
  <c r="Q1741" i="35"/>
  <c r="Q1739" i="35"/>
  <c r="Q1738" i="35"/>
  <c r="Q1737" i="35"/>
  <c r="Q1735" i="35"/>
  <c r="Q1734" i="35"/>
  <c r="Q1733" i="35"/>
  <c r="Q1731" i="35"/>
  <c r="Q1730" i="35"/>
  <c r="Q1729" i="35"/>
  <c r="Q1727" i="35"/>
  <c r="Q1726" i="35"/>
  <c r="Q1725" i="35"/>
  <c r="Q1723" i="35"/>
  <c r="Q1722" i="35"/>
  <c r="Q1721" i="35"/>
  <c r="F1720" i="35"/>
  <c r="F1719" i="35"/>
  <c r="G1719" i="35" s="1"/>
  <c r="D1718" i="35"/>
  <c r="M1717" i="35"/>
  <c r="L1717" i="35"/>
  <c r="F1717" i="35"/>
  <c r="G1717" i="35" s="1"/>
  <c r="I1717" i="35" s="1"/>
  <c r="D1717" i="35"/>
  <c r="M1716" i="35"/>
  <c r="L1716" i="35"/>
  <c r="F1716" i="35"/>
  <c r="G1716" i="35" s="1"/>
  <c r="I1716" i="35" s="1"/>
  <c r="D1716" i="35"/>
  <c r="M1715" i="35"/>
  <c r="L1715" i="35"/>
  <c r="F1715" i="35"/>
  <c r="G1715" i="35" s="1"/>
  <c r="I1715" i="35" s="1"/>
  <c r="D1715" i="35"/>
  <c r="Q1714" i="35"/>
  <c r="P1714" i="35" s="1"/>
  <c r="F1714" i="35"/>
  <c r="G1714" i="35" s="1"/>
  <c r="I1714" i="35" s="1"/>
  <c r="D1714" i="35"/>
  <c r="K1713" i="35"/>
  <c r="Q1713" i="35" s="1"/>
  <c r="P1713" i="35" s="1"/>
  <c r="I1713" i="35"/>
  <c r="F1713" i="35"/>
  <c r="G1713" i="35" s="1"/>
  <c r="D1713" i="35"/>
  <c r="P1712" i="35"/>
  <c r="F1712" i="35"/>
  <c r="G1712" i="35" s="1"/>
  <c r="I1712" i="35" s="1"/>
  <c r="D1712" i="35"/>
  <c r="P1711" i="35"/>
  <c r="F1711" i="35"/>
  <c r="G1711" i="35" s="1"/>
  <c r="I1711" i="35" s="1"/>
  <c r="D1711" i="35"/>
  <c r="Q1710" i="35"/>
  <c r="P1710" i="35" s="1"/>
  <c r="F1710" i="35"/>
  <c r="G1710" i="35" s="1"/>
  <c r="I1710" i="35" s="1"/>
  <c r="D1710" i="35"/>
  <c r="M1709" i="35"/>
  <c r="L1709" i="35"/>
  <c r="Q1708" i="35"/>
  <c r="I1707" i="35"/>
  <c r="F1707" i="35"/>
  <c r="G1707" i="35" s="1"/>
  <c r="G1708" i="35" s="1"/>
  <c r="G1709" i="35" s="1"/>
  <c r="I1709" i="35" s="1"/>
  <c r="D1707" i="35"/>
  <c r="P1706" i="35"/>
  <c r="F1706" i="35"/>
  <c r="G1706" i="35" s="1"/>
  <c r="I1706" i="35" s="1"/>
  <c r="D1706" i="35"/>
  <c r="Q1705" i="35"/>
  <c r="P1705" i="35" s="1"/>
  <c r="F1705" i="35"/>
  <c r="G1705" i="35" s="1"/>
  <c r="I1705" i="35" s="1"/>
  <c r="D1705" i="35"/>
  <c r="Q1704" i="35"/>
  <c r="P1704" i="35" s="1"/>
  <c r="F1704" i="35"/>
  <c r="G1704" i="35" s="1"/>
  <c r="I1704" i="35" s="1"/>
  <c r="D1704" i="35"/>
  <c r="Q1703" i="35"/>
  <c r="F1703" i="35"/>
  <c r="G1703" i="35" s="1"/>
  <c r="I1703" i="35" s="1"/>
  <c r="D1703" i="35"/>
  <c r="Q1702" i="35"/>
  <c r="F1702" i="35"/>
  <c r="G1702" i="35" s="1"/>
  <c r="I1702" i="35" s="1"/>
  <c r="D1702" i="35"/>
  <c r="M1701" i="35"/>
  <c r="Q1701" i="35" s="1"/>
  <c r="F1701" i="35"/>
  <c r="G1701" i="35" s="1"/>
  <c r="I1701" i="35" s="1"/>
  <c r="D1701" i="35"/>
  <c r="M1700" i="35"/>
  <c r="Q1700" i="35" s="1"/>
  <c r="F1700" i="35"/>
  <c r="G1700" i="35" s="1"/>
  <c r="I1700" i="35" s="1"/>
  <c r="D1700" i="35"/>
  <c r="M1699" i="35"/>
  <c r="L1699" i="35"/>
  <c r="F1699" i="35"/>
  <c r="G1699" i="35" s="1"/>
  <c r="I1699" i="35" s="1"/>
  <c r="D1699" i="35"/>
  <c r="M1698" i="35"/>
  <c r="L1698" i="35"/>
  <c r="F1698" i="35"/>
  <c r="G1698" i="35" s="1"/>
  <c r="I1698" i="35" s="1"/>
  <c r="D1698" i="35"/>
  <c r="M1697" i="35"/>
  <c r="L1697" i="35"/>
  <c r="Q1697" i="35" s="1"/>
  <c r="F1697" i="35"/>
  <c r="G1697" i="35" s="1"/>
  <c r="I1697" i="35" s="1"/>
  <c r="D1697" i="35"/>
  <c r="M1696" i="35"/>
  <c r="L1696" i="35"/>
  <c r="F1696" i="35"/>
  <c r="G1696" i="35" s="1"/>
  <c r="I1696" i="35" s="1"/>
  <c r="D1696" i="35"/>
  <c r="M1695" i="35"/>
  <c r="L1695" i="35"/>
  <c r="F1695" i="35"/>
  <c r="G1695" i="35" s="1"/>
  <c r="I1695" i="35" s="1"/>
  <c r="D1695" i="35"/>
  <c r="M1694" i="35"/>
  <c r="L1694" i="35"/>
  <c r="F1694" i="35"/>
  <c r="D1694" i="35"/>
  <c r="Q1693" i="35"/>
  <c r="P1693" i="35"/>
  <c r="F1693" i="35"/>
  <c r="D1693" i="35"/>
  <c r="I1692" i="35"/>
  <c r="F1692" i="35"/>
  <c r="G1692" i="35" s="1"/>
  <c r="D1692" i="35"/>
  <c r="M1691" i="35"/>
  <c r="L1691" i="35"/>
  <c r="F1691" i="35"/>
  <c r="D1691" i="35"/>
  <c r="Q1690" i="35"/>
  <c r="P1690" i="35" s="1"/>
  <c r="F1690" i="35"/>
  <c r="D1690" i="35"/>
  <c r="I1689" i="35"/>
  <c r="F1689" i="35"/>
  <c r="G1689" i="35" s="1"/>
  <c r="D1689" i="35"/>
  <c r="Q1688" i="35"/>
  <c r="P1688" i="35" s="1"/>
  <c r="F1688" i="35"/>
  <c r="G1688" i="35" s="1"/>
  <c r="I1688" i="35" s="1"/>
  <c r="D1688" i="35"/>
  <c r="Q1687" i="35"/>
  <c r="P1687" i="35" s="1"/>
  <c r="F1687" i="35"/>
  <c r="G1687" i="35" s="1"/>
  <c r="I1687" i="35" s="1"/>
  <c r="D1687" i="35"/>
  <c r="Q1686" i="35"/>
  <c r="P1686" i="35" s="1"/>
  <c r="F1686" i="35"/>
  <c r="G1686" i="35" s="1"/>
  <c r="I1686" i="35" s="1"/>
  <c r="D1686" i="35"/>
  <c r="M1685" i="35"/>
  <c r="L1685" i="35"/>
  <c r="F1685" i="35"/>
  <c r="D1685" i="35"/>
  <c r="Q1684" i="35"/>
  <c r="F1684" i="35"/>
  <c r="D1684" i="35"/>
  <c r="Q1683" i="35"/>
  <c r="F1683" i="35"/>
  <c r="D1683" i="35"/>
  <c r="Q1682" i="35"/>
  <c r="F1682" i="35"/>
  <c r="D1682" i="35"/>
  <c r="I1681" i="35"/>
  <c r="F1681" i="35"/>
  <c r="G1681" i="35" s="1"/>
  <c r="D1681" i="35"/>
  <c r="Q1680" i="35"/>
  <c r="P1680" i="35" s="1"/>
  <c r="F1680" i="35"/>
  <c r="G1680" i="35" s="1"/>
  <c r="I1680" i="35" s="1"/>
  <c r="D1680" i="35"/>
  <c r="M1679" i="35"/>
  <c r="L1679" i="35"/>
  <c r="Q1679" i="35" s="1"/>
  <c r="P1679" i="35" s="1"/>
  <c r="F1679" i="35"/>
  <c r="G1679" i="35" s="1"/>
  <c r="I1679" i="35" s="1"/>
  <c r="D1679" i="35"/>
  <c r="Q1678" i="35"/>
  <c r="Q1677" i="35"/>
  <c r="F1677" i="35"/>
  <c r="D1677" i="35"/>
  <c r="Q1676" i="35"/>
  <c r="F1676" i="35"/>
  <c r="D1676" i="35"/>
  <c r="F1675" i="35"/>
  <c r="D1675" i="35"/>
  <c r="Q1674" i="35"/>
  <c r="F1674" i="35"/>
  <c r="D1674" i="35"/>
  <c r="Q1673" i="35"/>
  <c r="F1673" i="35"/>
  <c r="D1673" i="35"/>
  <c r="F1672" i="35"/>
  <c r="D1672" i="35"/>
  <c r="F1671" i="35"/>
  <c r="D1671" i="35"/>
  <c r="M1670" i="35"/>
  <c r="L1670" i="35"/>
  <c r="Q1669" i="35"/>
  <c r="F1669" i="35"/>
  <c r="D1669" i="35"/>
  <c r="Q1668" i="35"/>
  <c r="F1668" i="35"/>
  <c r="D1668" i="35"/>
  <c r="Q1667" i="35"/>
  <c r="F1667" i="35"/>
  <c r="D1667" i="35"/>
  <c r="I1666" i="35"/>
  <c r="F1666" i="35"/>
  <c r="G1666" i="35" s="1"/>
  <c r="D1666" i="35"/>
  <c r="M1665" i="35"/>
  <c r="L1665" i="35"/>
  <c r="F1664" i="35"/>
  <c r="D1664" i="35"/>
  <c r="M1663" i="35"/>
  <c r="L1663" i="35"/>
  <c r="F1663" i="35"/>
  <c r="D1663" i="35"/>
  <c r="M1662" i="35"/>
  <c r="Q1662" i="35" s="1"/>
  <c r="F1662" i="35"/>
  <c r="D1662" i="35"/>
  <c r="F1661" i="35"/>
  <c r="D1661" i="35"/>
  <c r="M1660" i="35"/>
  <c r="L1660" i="35"/>
  <c r="Q1660" i="35" s="1"/>
  <c r="T1660" i="35" s="1"/>
  <c r="F1660" i="35"/>
  <c r="D1660" i="35"/>
  <c r="M1659" i="35"/>
  <c r="Q1659" i="35" s="1"/>
  <c r="F1659" i="35"/>
  <c r="D1659" i="35"/>
  <c r="Q1658" i="35"/>
  <c r="F1658" i="35"/>
  <c r="D1658" i="35"/>
  <c r="M1657" i="35"/>
  <c r="L1657" i="35"/>
  <c r="Q1656" i="35"/>
  <c r="T1656" i="35" s="1"/>
  <c r="M1655" i="35"/>
  <c r="L1655" i="35"/>
  <c r="F1655" i="35"/>
  <c r="D1655" i="35"/>
  <c r="M1654" i="35"/>
  <c r="L1654" i="35"/>
  <c r="F1654" i="35"/>
  <c r="D1654" i="35"/>
  <c r="M1653" i="35"/>
  <c r="L1653" i="35"/>
  <c r="F1653" i="35"/>
  <c r="D1653" i="35"/>
  <c r="I1652" i="35"/>
  <c r="F1652" i="35"/>
  <c r="G1652" i="35" s="1"/>
  <c r="D1652" i="35"/>
  <c r="Q1651" i="35"/>
  <c r="F1651" i="35"/>
  <c r="G1651" i="35" s="1"/>
  <c r="I1651" i="35" s="1"/>
  <c r="D1651" i="35"/>
  <c r="Q1650" i="35"/>
  <c r="P1650" i="35" s="1"/>
  <c r="F1650" i="35"/>
  <c r="G1650" i="35" s="1"/>
  <c r="I1650" i="35" s="1"/>
  <c r="D1650" i="35"/>
  <c r="M1649" i="35"/>
  <c r="Q1648" i="35"/>
  <c r="Q1647" i="35"/>
  <c r="Q1646" i="35"/>
  <c r="Q1645" i="35"/>
  <c r="T1645" i="35" s="1"/>
  <c r="Q1644" i="35"/>
  <c r="T1644" i="35" s="1"/>
  <c r="Q1643" i="35"/>
  <c r="T1643" i="35" s="1"/>
  <c r="Q1642" i="35"/>
  <c r="T1642" i="35" s="1"/>
  <c r="Q1641" i="35"/>
  <c r="T1641" i="35" s="1"/>
  <c r="I1640" i="35"/>
  <c r="F1640" i="35"/>
  <c r="G1640" i="35" s="1"/>
  <c r="G1641" i="35" s="1"/>
  <c r="D1640" i="35"/>
  <c r="Q1639" i="35"/>
  <c r="Q1638" i="35"/>
  <c r="Q1637" i="35"/>
  <c r="T1637" i="35" s="1"/>
  <c r="Q1636" i="35"/>
  <c r="T1636" i="35" s="1"/>
  <c r="Q1635" i="35"/>
  <c r="T1635" i="35" s="1"/>
  <c r="L440" i="3" s="1"/>
  <c r="I1634" i="35"/>
  <c r="F1634" i="35"/>
  <c r="G1634" i="35" s="1"/>
  <c r="G1635" i="35" s="1"/>
  <c r="D1634" i="35"/>
  <c r="Q1633" i="35"/>
  <c r="Q1632" i="35"/>
  <c r="Q1631" i="35"/>
  <c r="M1630" i="35"/>
  <c r="Q1629" i="35"/>
  <c r="Q1628" i="35"/>
  <c r="Q1627" i="35"/>
  <c r="Q1626" i="35"/>
  <c r="Q1625" i="35"/>
  <c r="L1630" i="35" s="1"/>
  <c r="M1624" i="35"/>
  <c r="M1623" i="35"/>
  <c r="Q1622" i="35"/>
  <c r="Q1621" i="35"/>
  <c r="Q1620" i="35"/>
  <c r="Q1619" i="35"/>
  <c r="Q1618" i="35"/>
  <c r="Q1617" i="35"/>
  <c r="Q1616" i="35"/>
  <c r="L1623" i="35" s="1"/>
  <c r="I1615" i="35"/>
  <c r="F1615" i="35"/>
  <c r="G1615" i="35" s="1"/>
  <c r="G1616" i="35" s="1"/>
  <c r="D1615" i="35"/>
  <c r="Q1604" i="35"/>
  <c r="I1604" i="35"/>
  <c r="F1604" i="35"/>
  <c r="G1604" i="35" s="1"/>
  <c r="G1605" i="35" s="1"/>
  <c r="G1606" i="35" s="1"/>
  <c r="D1604" i="35"/>
  <c r="Q1603" i="35"/>
  <c r="Q1602" i="35"/>
  <c r="Q1601" i="35"/>
  <c r="Q1600" i="35"/>
  <c r="I1599" i="35"/>
  <c r="F1599" i="35"/>
  <c r="G1599" i="35" s="1"/>
  <c r="G1600" i="35" s="1"/>
  <c r="D1599" i="35"/>
  <c r="Q1598" i="35"/>
  <c r="Q1597" i="35"/>
  <c r="Q1596" i="35"/>
  <c r="T1596" i="35" s="1"/>
  <c r="Q1595" i="35"/>
  <c r="T1595" i="35" s="1"/>
  <c r="Q1594" i="35"/>
  <c r="Q1593" i="35"/>
  <c r="Q1592" i="35"/>
  <c r="Q1591" i="35"/>
  <c r="Q1590" i="35"/>
  <c r="Q1589" i="35"/>
  <c r="Q1588" i="35"/>
  <c r="Q1587" i="35"/>
  <c r="F1587" i="35"/>
  <c r="D1587" i="35"/>
  <c r="I1586" i="35"/>
  <c r="F1586" i="35"/>
  <c r="G1586" i="35" s="1"/>
  <c r="D1586" i="35"/>
  <c r="I1585" i="35"/>
  <c r="F1585" i="35"/>
  <c r="D1585" i="35"/>
  <c r="Q1579" i="35"/>
  <c r="I1579" i="35"/>
  <c r="F1579" i="35"/>
  <c r="G1579" i="35" s="1"/>
  <c r="G1580" i="35" s="1"/>
  <c r="D1579" i="35"/>
  <c r="M1578" i="35"/>
  <c r="L1578" i="35"/>
  <c r="I1572" i="35"/>
  <c r="F1572" i="35"/>
  <c r="G1572" i="35" s="1"/>
  <c r="G1573" i="35" s="1"/>
  <c r="D1572" i="35"/>
  <c r="M1571" i="35"/>
  <c r="L1571" i="35"/>
  <c r="Q1570" i="35"/>
  <c r="T1570" i="35" s="1"/>
  <c r="L433" i="3" s="1"/>
  <c r="I1569" i="35"/>
  <c r="F1569" i="35"/>
  <c r="G1569" i="35" s="1"/>
  <c r="G1570" i="35" s="1"/>
  <c r="D1569" i="35"/>
  <c r="Q1568" i="35"/>
  <c r="P1568" i="35"/>
  <c r="F1568" i="35"/>
  <c r="G1568" i="35" s="1"/>
  <c r="I1568" i="35" s="1"/>
  <c r="D1568" i="35"/>
  <c r="K1562" i="35"/>
  <c r="Q1562" i="35" s="1"/>
  <c r="P1562" i="35" s="1"/>
  <c r="I1562" i="35"/>
  <c r="F1562" i="35"/>
  <c r="G1562" i="35" s="1"/>
  <c r="D1562" i="35"/>
  <c r="K1553" i="35"/>
  <c r="Q1553" i="35" s="1"/>
  <c r="P1553" i="35" s="1"/>
  <c r="I1553" i="35"/>
  <c r="F1553" i="35"/>
  <c r="G1553" i="35" s="1"/>
  <c r="G1554" i="35" s="1"/>
  <c r="D1553" i="35"/>
  <c r="M1552" i="35"/>
  <c r="L1552" i="35"/>
  <c r="F1552" i="35"/>
  <c r="G1552" i="35" s="1"/>
  <c r="I1552" i="35" s="1"/>
  <c r="D1552" i="35"/>
  <c r="Q1551" i="35"/>
  <c r="Q1550" i="35"/>
  <c r="Q1549" i="35"/>
  <c r="M1548" i="35"/>
  <c r="L1548" i="35"/>
  <c r="F1547" i="35"/>
  <c r="G1547" i="35" s="1"/>
  <c r="G1548" i="35" s="1"/>
  <c r="D1547" i="35"/>
  <c r="F1546" i="35"/>
  <c r="G1546" i="35" s="1"/>
  <c r="I1546" i="35" s="1"/>
  <c r="D1546" i="35"/>
  <c r="Q1545" i="35"/>
  <c r="L1544" i="35"/>
  <c r="Q1544" i="35" s="1"/>
  <c r="I1543" i="35"/>
  <c r="F1543" i="35"/>
  <c r="G1543" i="35" s="1"/>
  <c r="D1543" i="35"/>
  <c r="Q1542" i="35"/>
  <c r="Q1541" i="35" s="1"/>
  <c r="P1541" i="35" s="1"/>
  <c r="I1541" i="35"/>
  <c r="F1541" i="35"/>
  <c r="G1541" i="35" s="1"/>
  <c r="G1545" i="35" s="1"/>
  <c r="D1541" i="35"/>
  <c r="M1540" i="35"/>
  <c r="L1540" i="35"/>
  <c r="Q1540" i="35" s="1"/>
  <c r="F1540" i="35"/>
  <c r="D1540" i="35"/>
  <c r="M1539" i="35"/>
  <c r="L1539" i="35"/>
  <c r="F1539" i="35"/>
  <c r="D1539" i="35"/>
  <c r="M1538" i="35"/>
  <c r="L1538" i="35"/>
  <c r="F1538" i="35"/>
  <c r="D1538" i="35"/>
  <c r="Q1537" i="35"/>
  <c r="F1537" i="35"/>
  <c r="D1537" i="35"/>
  <c r="L1536" i="35"/>
  <c r="Q1536" i="35" s="1"/>
  <c r="F1536" i="35"/>
  <c r="D1536" i="35"/>
  <c r="I1535" i="35"/>
  <c r="F1535" i="35"/>
  <c r="G1535" i="35" s="1"/>
  <c r="D1535" i="35"/>
  <c r="F1534" i="35"/>
  <c r="D1534" i="35"/>
  <c r="M1533" i="35"/>
  <c r="M1534" i="35" s="1"/>
  <c r="L1533" i="35"/>
  <c r="F1533" i="35"/>
  <c r="D1533" i="35"/>
  <c r="I1532" i="35"/>
  <c r="F1532" i="35"/>
  <c r="G1532" i="35" s="1"/>
  <c r="D1532" i="35"/>
  <c r="F1531" i="35"/>
  <c r="D1531" i="35"/>
  <c r="Q1530" i="35"/>
  <c r="F1530" i="35"/>
  <c r="D1530" i="35"/>
  <c r="M1529" i="35"/>
  <c r="M1531" i="35" s="1"/>
  <c r="L1529" i="35"/>
  <c r="L1531" i="35" s="1"/>
  <c r="F1529" i="35"/>
  <c r="D1529" i="35"/>
  <c r="F1528" i="35"/>
  <c r="D1528" i="35"/>
  <c r="F1527" i="35"/>
  <c r="D1527" i="35"/>
  <c r="I1526" i="35"/>
  <c r="F1526" i="35"/>
  <c r="G1526" i="35" s="1"/>
  <c r="D1526" i="35"/>
  <c r="Q1525" i="35"/>
  <c r="F1525" i="35"/>
  <c r="D1525" i="35"/>
  <c r="M1524" i="35"/>
  <c r="L1524" i="35"/>
  <c r="F1524" i="35"/>
  <c r="D1524" i="35"/>
  <c r="Q1523" i="35"/>
  <c r="F1523" i="35"/>
  <c r="D1523" i="35"/>
  <c r="F1522" i="35"/>
  <c r="D1522" i="35"/>
  <c r="F1521" i="35"/>
  <c r="D1521" i="35"/>
  <c r="F1520" i="35"/>
  <c r="D1520" i="35"/>
  <c r="F1519" i="35"/>
  <c r="D1519" i="35"/>
  <c r="I1518" i="35"/>
  <c r="F1518" i="35"/>
  <c r="G1518" i="35" s="1"/>
  <c r="D1518" i="35"/>
  <c r="Q1517" i="35"/>
  <c r="P1517" i="35" s="1"/>
  <c r="F1517" i="35"/>
  <c r="G1517" i="35" s="1"/>
  <c r="I1517" i="35" s="1"/>
  <c r="D1517" i="35"/>
  <c r="Q1516" i="35"/>
  <c r="F1516" i="35"/>
  <c r="D1516" i="35"/>
  <c r="Q1515" i="35"/>
  <c r="F1515" i="35"/>
  <c r="D1515" i="35"/>
  <c r="Q1514" i="35"/>
  <c r="F1514" i="35"/>
  <c r="D1514" i="35"/>
  <c r="Q1513" i="35"/>
  <c r="F1513" i="35"/>
  <c r="D1513" i="35"/>
  <c r="Q1512" i="35"/>
  <c r="F1512" i="35"/>
  <c r="D1512" i="35"/>
  <c r="I1511" i="35"/>
  <c r="F1511" i="35"/>
  <c r="G1511" i="35" s="1"/>
  <c r="D1511" i="35"/>
  <c r="F1510" i="35"/>
  <c r="M1509" i="35"/>
  <c r="M1510" i="35" s="1"/>
  <c r="L1509" i="35"/>
  <c r="F1509" i="35"/>
  <c r="F1508" i="35"/>
  <c r="G1508" i="35" s="1"/>
  <c r="D1508" i="35"/>
  <c r="Q1507" i="35"/>
  <c r="F1507" i="35"/>
  <c r="G1507" i="35" s="1"/>
  <c r="I1507" i="35" s="1"/>
  <c r="D1507" i="35"/>
  <c r="Q1506" i="35"/>
  <c r="F1506" i="35"/>
  <c r="D1506" i="35"/>
  <c r="Q1505" i="35"/>
  <c r="F1505" i="35"/>
  <c r="D1505" i="35"/>
  <c r="Q1504" i="35"/>
  <c r="F1504" i="35"/>
  <c r="D1504" i="35"/>
  <c r="K1503" i="35"/>
  <c r="M1546" i="35" s="1"/>
  <c r="I1503" i="35"/>
  <c r="F1503" i="35"/>
  <c r="G1503" i="35" s="1"/>
  <c r="D1503" i="35"/>
  <c r="Q1502" i="35"/>
  <c r="F1502" i="35"/>
  <c r="G1502" i="35" s="1"/>
  <c r="I1502" i="35" s="1"/>
  <c r="D1502" i="35"/>
  <c r="Q1501" i="35"/>
  <c r="I1501" i="35"/>
  <c r="F1501" i="35"/>
  <c r="G1501" i="35" s="1"/>
  <c r="D1501" i="35"/>
  <c r="I1500" i="35"/>
  <c r="F1500" i="35"/>
  <c r="D1500" i="35"/>
  <c r="F1499" i="35"/>
  <c r="D1499" i="35"/>
  <c r="Q1498" i="35"/>
  <c r="F1498" i="35"/>
  <c r="D1498" i="35"/>
  <c r="M1497" i="35"/>
  <c r="L1497" i="35"/>
  <c r="F1497" i="35"/>
  <c r="D1497" i="35"/>
  <c r="M1496" i="35"/>
  <c r="L1496" i="35"/>
  <c r="F1496" i="35"/>
  <c r="D1496" i="35"/>
  <c r="M1495" i="35"/>
  <c r="L1495" i="35"/>
  <c r="F1495" i="35"/>
  <c r="D1495" i="35"/>
  <c r="M1494" i="35"/>
  <c r="L1494" i="35"/>
  <c r="F1494" i="35"/>
  <c r="D1494" i="35"/>
  <c r="Q1493" i="35"/>
  <c r="F1493" i="35"/>
  <c r="D1493" i="35"/>
  <c r="Q1492" i="35"/>
  <c r="F1492" i="35"/>
  <c r="D1492" i="35"/>
  <c r="Q1491" i="35"/>
  <c r="F1491" i="35"/>
  <c r="D1491" i="35"/>
  <c r="Q1490" i="35"/>
  <c r="F1490" i="35"/>
  <c r="D1490" i="35"/>
  <c r="I1489" i="35"/>
  <c r="F1489" i="35"/>
  <c r="G1489" i="35" s="1"/>
  <c r="D1489" i="35"/>
  <c r="M1488" i="35"/>
  <c r="L1488" i="35"/>
  <c r="Q1487" i="35"/>
  <c r="M1486" i="35"/>
  <c r="L1486" i="35"/>
  <c r="Q1485" i="35"/>
  <c r="M1484" i="35"/>
  <c r="L1484" i="35"/>
  <c r="Q1484" i="35" s="1"/>
  <c r="M1483" i="35"/>
  <c r="L1483" i="35"/>
  <c r="M1482" i="35"/>
  <c r="L1482" i="35"/>
  <c r="Q1481" i="35"/>
  <c r="I1480" i="35"/>
  <c r="F1480" i="35"/>
  <c r="G1480" i="35" s="1"/>
  <c r="G1481" i="35" s="1"/>
  <c r="D1480" i="35"/>
  <c r="Q1479" i="35"/>
  <c r="F1479" i="35"/>
  <c r="G1479" i="35" s="1"/>
  <c r="I1479" i="35" s="1"/>
  <c r="D1479" i="35"/>
  <c r="I1478" i="35"/>
  <c r="D1478" i="35"/>
  <c r="M1477" i="35"/>
  <c r="L1477" i="35"/>
  <c r="F1477" i="35"/>
  <c r="D1477" i="35"/>
  <c r="M1476" i="35"/>
  <c r="L1476" i="35"/>
  <c r="F1476" i="35"/>
  <c r="D1476" i="35"/>
  <c r="M1475" i="35"/>
  <c r="L1475" i="35"/>
  <c r="F1475" i="35"/>
  <c r="D1475" i="35"/>
  <c r="M1474" i="35"/>
  <c r="L1474" i="35"/>
  <c r="F1474" i="35"/>
  <c r="D1474" i="35"/>
  <c r="M1473" i="35"/>
  <c r="L1473" i="35"/>
  <c r="F1473" i="35"/>
  <c r="D1473" i="35"/>
  <c r="M1472" i="35"/>
  <c r="L1472" i="35"/>
  <c r="F1472" i="35"/>
  <c r="D1472" i="35"/>
  <c r="Q1471" i="35"/>
  <c r="F1471" i="35"/>
  <c r="D1471" i="35"/>
  <c r="I1470" i="35"/>
  <c r="F1470" i="35"/>
  <c r="G1470" i="35" s="1"/>
  <c r="D1470" i="35"/>
  <c r="Q1454" i="35"/>
  <c r="Q1453" i="35"/>
  <c r="I1452" i="35"/>
  <c r="F1452" i="35"/>
  <c r="G1452" i="35" s="1"/>
  <c r="G1453" i="35" s="1"/>
  <c r="D1452" i="35"/>
  <c r="Q1451" i="35"/>
  <c r="F1451" i="35"/>
  <c r="D1451" i="35"/>
  <c r="Q1450" i="35"/>
  <c r="F1450" i="35"/>
  <c r="D1450" i="35"/>
  <c r="I1449" i="35"/>
  <c r="F1449" i="35"/>
  <c r="G1449" i="35" s="1"/>
  <c r="D1449" i="35"/>
  <c r="Q1448" i="35"/>
  <c r="Q1447" i="35"/>
  <c r="F1447" i="35"/>
  <c r="D1447" i="35"/>
  <c r="Q1446" i="35"/>
  <c r="F1446" i="35"/>
  <c r="D1446" i="35"/>
  <c r="Q1445" i="35"/>
  <c r="F1445" i="35"/>
  <c r="D1445" i="35"/>
  <c r="I1444" i="35"/>
  <c r="F1444" i="35"/>
  <c r="G1444" i="35" s="1"/>
  <c r="D1444" i="35"/>
  <c r="F1443" i="35"/>
  <c r="D1443" i="35"/>
  <c r="F1442" i="35"/>
  <c r="D1442" i="35"/>
  <c r="F1441" i="35"/>
  <c r="D1441" i="35"/>
  <c r="F1440" i="35"/>
  <c r="D1440" i="35"/>
  <c r="I1439" i="35"/>
  <c r="F1439" i="35"/>
  <c r="G1439" i="35" s="1"/>
  <c r="D1439" i="35"/>
  <c r="Q1438" i="35"/>
  <c r="F1438" i="35"/>
  <c r="D1438" i="35"/>
  <c r="F1437" i="35"/>
  <c r="D1437" i="35"/>
  <c r="Q1436" i="35"/>
  <c r="F1436" i="35"/>
  <c r="D1436" i="35"/>
  <c r="F1435" i="35"/>
  <c r="D1435" i="35"/>
  <c r="F1434" i="35"/>
  <c r="D1434" i="35"/>
  <c r="M1433" i="35"/>
  <c r="F1433" i="35"/>
  <c r="D1433" i="35"/>
  <c r="Q1432" i="35"/>
  <c r="F1432" i="35"/>
  <c r="D1432" i="35"/>
  <c r="L1433" i="35"/>
  <c r="F1431" i="35"/>
  <c r="D1431" i="35"/>
  <c r="I1430" i="35"/>
  <c r="F1430" i="35"/>
  <c r="G1430" i="35" s="1"/>
  <c r="D1430" i="35"/>
  <c r="P1429" i="35"/>
  <c r="F1429" i="35"/>
  <c r="G1429" i="35" s="1"/>
  <c r="I1429" i="35" s="1"/>
  <c r="D1429" i="35"/>
  <c r="P1428" i="35"/>
  <c r="F1428" i="35"/>
  <c r="G1428" i="35" s="1"/>
  <c r="I1428" i="35" s="1"/>
  <c r="D1428" i="35"/>
  <c r="Q1427" i="35"/>
  <c r="M1426" i="35"/>
  <c r="L1426" i="35"/>
  <c r="F1426" i="35"/>
  <c r="D1426" i="35"/>
  <c r="F1425" i="35"/>
  <c r="D1425" i="35"/>
  <c r="M1424" i="35"/>
  <c r="L1424" i="35"/>
  <c r="L1423" i="35" s="1"/>
  <c r="F1424" i="35"/>
  <c r="D1424" i="35"/>
  <c r="M1423" i="35"/>
  <c r="F1423" i="35"/>
  <c r="D1423" i="35"/>
  <c r="I1422" i="35"/>
  <c r="F1422" i="35"/>
  <c r="G1422" i="35" s="1"/>
  <c r="D1422" i="35"/>
  <c r="Q1421" i="35"/>
  <c r="F1421" i="35"/>
  <c r="G1421" i="35" s="1"/>
  <c r="I1421" i="35" s="1"/>
  <c r="D1421" i="35"/>
  <c r="Q1420" i="35"/>
  <c r="P1420" i="35" s="1"/>
  <c r="F1420" i="35"/>
  <c r="G1420" i="35" s="1"/>
  <c r="I1420" i="35" s="1"/>
  <c r="D1420" i="35"/>
  <c r="F1419" i="35"/>
  <c r="G1419" i="35" s="1"/>
  <c r="I1419" i="35" s="1"/>
  <c r="D1419" i="35"/>
  <c r="L1418" i="35"/>
  <c r="F1418" i="35"/>
  <c r="G1418" i="35" s="1"/>
  <c r="I1418" i="35" s="1"/>
  <c r="D1418" i="35"/>
  <c r="Q1417" i="35"/>
  <c r="Q1416" i="35"/>
  <c r="M1419" i="35"/>
  <c r="L1419" i="35"/>
  <c r="F1415" i="35"/>
  <c r="G1415" i="35" s="1"/>
  <c r="I1415" i="35" s="1"/>
  <c r="D1415" i="35"/>
  <c r="Q1413" i="35"/>
  <c r="F1412" i="35"/>
  <c r="G1412" i="35" s="1"/>
  <c r="I1412" i="35" s="1"/>
  <c r="D1412" i="35"/>
  <c r="I1411" i="35"/>
  <c r="F1411" i="35"/>
  <c r="D1411" i="35"/>
  <c r="Q1410" i="35"/>
  <c r="F1410" i="35"/>
  <c r="G1410" i="35" s="1"/>
  <c r="I1410" i="35" s="1"/>
  <c r="D1410" i="35"/>
  <c r="Q1409" i="35"/>
  <c r="P1409" i="35" s="1"/>
  <c r="F1409" i="35"/>
  <c r="G1409" i="35" s="1"/>
  <c r="I1409" i="35" s="1"/>
  <c r="D1409" i="35"/>
  <c r="O1408" i="35"/>
  <c r="Q1408" i="35" s="1"/>
  <c r="P1408" i="35" s="1"/>
  <c r="F1408" i="35"/>
  <c r="G1408" i="35" s="1"/>
  <c r="I1408" i="35" s="1"/>
  <c r="D1408" i="35"/>
  <c r="P1407" i="35"/>
  <c r="F1407" i="35"/>
  <c r="G1407" i="35" s="1"/>
  <c r="I1407" i="35" s="1"/>
  <c r="D1407" i="35"/>
  <c r="Q1406" i="35"/>
  <c r="P1406" i="35" s="1"/>
  <c r="F1406" i="35"/>
  <c r="G1406" i="35" s="1"/>
  <c r="I1406" i="35" s="1"/>
  <c r="D1406" i="35"/>
  <c r="P1405" i="35"/>
  <c r="F1405" i="35"/>
  <c r="G1405" i="35" s="1"/>
  <c r="I1405" i="35" s="1"/>
  <c r="D1405" i="35"/>
  <c r="F1404" i="35"/>
  <c r="D1404" i="35"/>
  <c r="F1403" i="35"/>
  <c r="D1403" i="35"/>
  <c r="I1402" i="35"/>
  <c r="F1402" i="35"/>
  <c r="D1402" i="35"/>
  <c r="F1401" i="35"/>
  <c r="D1401" i="35"/>
  <c r="F1400" i="35"/>
  <c r="D1400" i="35"/>
  <c r="I1399" i="35"/>
  <c r="F1399" i="35"/>
  <c r="D1399" i="35"/>
  <c r="Q1398" i="35"/>
  <c r="P1398" i="35" s="1"/>
  <c r="I1398" i="35"/>
  <c r="F1398" i="35"/>
  <c r="G1398" i="35" s="1"/>
  <c r="D1398" i="35"/>
  <c r="F1397" i="35"/>
  <c r="D1397" i="35"/>
  <c r="Q1396" i="35"/>
  <c r="Q1397" i="35" s="1"/>
  <c r="F1396" i="35"/>
  <c r="D1396" i="35"/>
  <c r="P1395" i="35"/>
  <c r="I1395" i="35"/>
  <c r="F1395" i="35"/>
  <c r="G1395" i="35" s="1"/>
  <c r="D1395" i="35"/>
  <c r="F1394" i="35"/>
  <c r="D1394" i="35"/>
  <c r="Q1393" i="35"/>
  <c r="F1393" i="35"/>
  <c r="D1393" i="35"/>
  <c r="F1392" i="35"/>
  <c r="D1392" i="35"/>
  <c r="Q1391" i="35"/>
  <c r="F1391" i="35"/>
  <c r="D1391" i="35"/>
  <c r="I1390" i="35"/>
  <c r="F1390" i="35"/>
  <c r="G1390" i="35" s="1"/>
  <c r="D1390" i="35"/>
  <c r="P1389" i="35"/>
  <c r="I1389" i="35"/>
  <c r="F1389" i="35"/>
  <c r="D1389" i="35"/>
  <c r="P1388" i="35"/>
  <c r="I1388" i="35"/>
  <c r="F1388" i="35"/>
  <c r="D1388" i="35"/>
  <c r="P1387" i="35"/>
  <c r="I1387" i="35"/>
  <c r="F1387" i="35"/>
  <c r="D1387" i="35"/>
  <c r="I1386" i="35"/>
  <c r="F1386" i="35"/>
  <c r="G1386" i="35" s="1"/>
  <c r="D1386" i="35"/>
  <c r="Q1385" i="35"/>
  <c r="F1385" i="35"/>
  <c r="D1385" i="35"/>
  <c r="Q1384" i="35"/>
  <c r="F1384" i="35"/>
  <c r="D1384" i="35"/>
  <c r="Q1383" i="35"/>
  <c r="F1383" i="35"/>
  <c r="D1383" i="35"/>
  <c r="M1382" i="35"/>
  <c r="L1382" i="35"/>
  <c r="F1382" i="35"/>
  <c r="D1382" i="35"/>
  <c r="Q1381" i="35"/>
  <c r="F1381" i="35"/>
  <c r="D1381" i="35"/>
  <c r="I1380" i="35"/>
  <c r="F1380" i="35"/>
  <c r="G1380" i="35" s="1"/>
  <c r="D1380" i="35"/>
  <c r="Q1379" i="35"/>
  <c r="P1379" i="35" s="1"/>
  <c r="F1379" i="35"/>
  <c r="G1379" i="35" s="1"/>
  <c r="I1379" i="35" s="1"/>
  <c r="D1379" i="35"/>
  <c r="F1378" i="35"/>
  <c r="G1378" i="35" s="1"/>
  <c r="I1378" i="35" s="1"/>
  <c r="D1378" i="35"/>
  <c r="F1377" i="35"/>
  <c r="D1377" i="35"/>
  <c r="Q1376" i="35"/>
  <c r="F1376" i="35"/>
  <c r="D1376" i="35"/>
  <c r="Q1375" i="35"/>
  <c r="F1375" i="35"/>
  <c r="D1375" i="35"/>
  <c r="I1374" i="35"/>
  <c r="F1374" i="35"/>
  <c r="G1374" i="35" s="1"/>
  <c r="D1374" i="35"/>
  <c r="Q1373" i="35"/>
  <c r="F1373" i="35"/>
  <c r="D1373" i="35"/>
  <c r="Q1372" i="35"/>
  <c r="F1372" i="35"/>
  <c r="D1372" i="35"/>
  <c r="Q1371" i="35"/>
  <c r="F1371" i="35"/>
  <c r="D1371" i="35"/>
  <c r="Q1370" i="35"/>
  <c r="F1370" i="35"/>
  <c r="D1370" i="35"/>
  <c r="I1369" i="35"/>
  <c r="F1369" i="35"/>
  <c r="G1369" i="35" s="1"/>
  <c r="D1369" i="35"/>
  <c r="Q1368" i="35"/>
  <c r="F1368" i="35"/>
  <c r="D1368" i="35"/>
  <c r="Q1367" i="35"/>
  <c r="F1367" i="35"/>
  <c r="D1367" i="35"/>
  <c r="F1366" i="35"/>
  <c r="D1366" i="35"/>
  <c r="Q1365" i="35"/>
  <c r="F1365" i="35"/>
  <c r="D1365" i="35"/>
  <c r="Q1364" i="35"/>
  <c r="T1364" i="35" s="1"/>
  <c r="L378" i="3" s="1"/>
  <c r="F1364" i="35"/>
  <c r="D1364" i="35"/>
  <c r="Q1363" i="35"/>
  <c r="F1363" i="35"/>
  <c r="D1363" i="35"/>
  <c r="Q1362" i="35"/>
  <c r="F1362" i="35"/>
  <c r="D1362" i="35"/>
  <c r="Q1361" i="35"/>
  <c r="F1361" i="35"/>
  <c r="D1361" i="35"/>
  <c r="Q1360" i="35"/>
  <c r="F1360" i="35"/>
  <c r="D1360" i="35"/>
  <c r="Q1359" i="35"/>
  <c r="F1359" i="35"/>
  <c r="D1359" i="35"/>
  <c r="Q1358" i="35"/>
  <c r="F1358" i="35"/>
  <c r="D1358" i="35"/>
  <c r="I1357" i="35"/>
  <c r="F1357" i="35"/>
  <c r="G1357" i="35" s="1"/>
  <c r="D1357" i="35"/>
  <c r="Q1356" i="35"/>
  <c r="F1356" i="35"/>
  <c r="D1356" i="35"/>
  <c r="F1355" i="35"/>
  <c r="D1355" i="35"/>
  <c r="Q1354" i="35"/>
  <c r="F1354" i="35"/>
  <c r="D1354" i="35"/>
  <c r="Q1353" i="35"/>
  <c r="F1353" i="35"/>
  <c r="D1353" i="35"/>
  <c r="I1352" i="35"/>
  <c r="F1352" i="35"/>
  <c r="G1352" i="35" s="1"/>
  <c r="D1352" i="35"/>
  <c r="F1351" i="35"/>
  <c r="D1351" i="35"/>
  <c r="Q1350" i="35"/>
  <c r="T1350" i="35" s="1"/>
  <c r="L376" i="3" s="1"/>
  <c r="F1350" i="35"/>
  <c r="D1350" i="35"/>
  <c r="I1349" i="35"/>
  <c r="F1349" i="35"/>
  <c r="G1349" i="35" s="1"/>
  <c r="D1349" i="35"/>
  <c r="M1348" i="35"/>
  <c r="L1348" i="35"/>
  <c r="M1347" i="35"/>
  <c r="L1347" i="35"/>
  <c r="M1346" i="35"/>
  <c r="L1346" i="35"/>
  <c r="M1345" i="35"/>
  <c r="L1345" i="35"/>
  <c r="Q1344" i="35"/>
  <c r="M1343" i="35"/>
  <c r="L1343" i="35"/>
  <c r="M1342" i="35"/>
  <c r="L1342" i="35"/>
  <c r="M1341" i="35"/>
  <c r="L1341" i="35"/>
  <c r="Q1341" i="35" s="1"/>
  <c r="I1340" i="35"/>
  <c r="F1340" i="35"/>
  <c r="G1340" i="35" s="1"/>
  <c r="G1341" i="35" s="1"/>
  <c r="D1340" i="35"/>
  <c r="M1339" i="35"/>
  <c r="L1339" i="35"/>
  <c r="M1338" i="35"/>
  <c r="L1338" i="35"/>
  <c r="I1337" i="35"/>
  <c r="F1337" i="35"/>
  <c r="G1337" i="35" s="1"/>
  <c r="G1338" i="35" s="1"/>
  <c r="D1337" i="35"/>
  <c r="M1336" i="35"/>
  <c r="L1336" i="35"/>
  <c r="M1335" i="35"/>
  <c r="L1335" i="35"/>
  <c r="M1334" i="35"/>
  <c r="L1334" i="35"/>
  <c r="M1333" i="35"/>
  <c r="L1333" i="35"/>
  <c r="Q1333" i="35" s="1"/>
  <c r="M1332" i="35"/>
  <c r="L1332" i="35"/>
  <c r="I1331" i="35"/>
  <c r="F1331" i="35"/>
  <c r="G1331" i="35" s="1"/>
  <c r="G1332" i="35" s="1"/>
  <c r="D1331" i="35"/>
  <c r="Q1330" i="35"/>
  <c r="M1329" i="35"/>
  <c r="L1329" i="35"/>
  <c r="I1328" i="35"/>
  <c r="F1328" i="35"/>
  <c r="G1328" i="35" s="1"/>
  <c r="G1329" i="35" s="1"/>
  <c r="D1328" i="35"/>
  <c r="P1327" i="35"/>
  <c r="I1327" i="35"/>
  <c r="F1327" i="35"/>
  <c r="G1327" i="35" s="1"/>
  <c r="D1327" i="35"/>
  <c r="P1326" i="35"/>
  <c r="I1326" i="35"/>
  <c r="F1326" i="35"/>
  <c r="G1326" i="35" s="1"/>
  <c r="D1326" i="35"/>
  <c r="Q1324" i="35"/>
  <c r="Q1322" i="35"/>
  <c r="I1320" i="35"/>
  <c r="F1320" i="35"/>
  <c r="G1320" i="35" s="1"/>
  <c r="D1320" i="35"/>
  <c r="P1319" i="35"/>
  <c r="I1319" i="35"/>
  <c r="F1319" i="35"/>
  <c r="G1319" i="35" s="1"/>
  <c r="D1319" i="35"/>
  <c r="P1318" i="35"/>
  <c r="I1318" i="35"/>
  <c r="F1318" i="35"/>
  <c r="G1318" i="35" s="1"/>
  <c r="D1318" i="35"/>
  <c r="P1317" i="35"/>
  <c r="I1317" i="35"/>
  <c r="F1317" i="35"/>
  <c r="G1317" i="35" s="1"/>
  <c r="D1317" i="35"/>
  <c r="P1316" i="35"/>
  <c r="I1316" i="35"/>
  <c r="F1316" i="35"/>
  <c r="G1316" i="35" s="1"/>
  <c r="D1316" i="35"/>
  <c r="P1315" i="35"/>
  <c r="I1315" i="35"/>
  <c r="F1315" i="35"/>
  <c r="G1315" i="35" s="1"/>
  <c r="D1315" i="35"/>
  <c r="P1314" i="35"/>
  <c r="I1314" i="35"/>
  <c r="F1314" i="35"/>
  <c r="G1314" i="35" s="1"/>
  <c r="D1314" i="35"/>
  <c r="P1313" i="35"/>
  <c r="I1313" i="35"/>
  <c r="F1313" i="35"/>
  <c r="G1313" i="35" s="1"/>
  <c r="D1313" i="35"/>
  <c r="I1312" i="35"/>
  <c r="F1312" i="35"/>
  <c r="D1312" i="35"/>
  <c r="I1311" i="35"/>
  <c r="F1311" i="35"/>
  <c r="D1311" i="35"/>
  <c r="Q1310" i="35"/>
  <c r="P1310" i="35" s="1"/>
  <c r="I1310" i="35"/>
  <c r="F1310" i="35"/>
  <c r="G1310" i="35" s="1"/>
  <c r="D1310" i="35"/>
  <c r="P1309" i="35"/>
  <c r="I1309" i="35"/>
  <c r="F1309" i="35"/>
  <c r="G1309" i="35" s="1"/>
  <c r="D1309" i="35"/>
  <c r="Q1308" i="35"/>
  <c r="P1308" i="35" s="1"/>
  <c r="F1308" i="35"/>
  <c r="G1308" i="35" s="1"/>
  <c r="I1308" i="35" s="1"/>
  <c r="D1308" i="35"/>
  <c r="P1307" i="35"/>
  <c r="I1307" i="35"/>
  <c r="F1307" i="35"/>
  <c r="G1307" i="35" s="1"/>
  <c r="D1307" i="35"/>
  <c r="M1306" i="35"/>
  <c r="M1305" i="35"/>
  <c r="L1305" i="35"/>
  <c r="I1304" i="35"/>
  <c r="F1304" i="35"/>
  <c r="G1304" i="35" s="1"/>
  <c r="G1305" i="35" s="1"/>
  <c r="D1304" i="35"/>
  <c r="Q1303" i="35"/>
  <c r="F1303" i="35"/>
  <c r="D1303" i="35"/>
  <c r="F1302" i="35"/>
  <c r="D1302" i="35"/>
  <c r="M1301" i="35"/>
  <c r="L1301" i="35"/>
  <c r="F1301" i="35"/>
  <c r="D1301" i="35"/>
  <c r="M1300" i="35"/>
  <c r="F1300" i="35"/>
  <c r="D1300" i="35"/>
  <c r="F1299" i="35"/>
  <c r="D1299" i="35"/>
  <c r="F1298" i="35"/>
  <c r="D1298" i="35"/>
  <c r="Q1297" i="35"/>
  <c r="F1297" i="35"/>
  <c r="D1297" i="35"/>
  <c r="Q1296" i="35"/>
  <c r="F1296" i="35"/>
  <c r="D1296" i="35"/>
  <c r="I1295" i="35"/>
  <c r="F1295" i="35"/>
  <c r="G1295" i="35" s="1"/>
  <c r="D1295" i="35"/>
  <c r="P1294" i="35"/>
  <c r="F1294" i="35"/>
  <c r="G1294" i="35" s="1"/>
  <c r="I1294" i="35" s="1"/>
  <c r="D1294" i="35"/>
  <c r="P1293" i="35"/>
  <c r="I1293" i="35"/>
  <c r="F1293" i="35"/>
  <c r="G1293" i="35" s="1"/>
  <c r="D1293" i="35"/>
  <c r="P1292" i="35"/>
  <c r="I1292" i="35"/>
  <c r="F1292" i="35"/>
  <c r="G1292" i="35" s="1"/>
  <c r="D1292" i="35"/>
  <c r="Q1291" i="35"/>
  <c r="P1291" i="35" s="1"/>
  <c r="I1291" i="35"/>
  <c r="F1291" i="35"/>
  <c r="G1291" i="35" s="1"/>
  <c r="D1291" i="35"/>
  <c r="P1290" i="35"/>
  <c r="I1290" i="35"/>
  <c r="F1290" i="35"/>
  <c r="G1290" i="35" s="1"/>
  <c r="D1290" i="35"/>
  <c r="P1289" i="35"/>
  <c r="I1289" i="35"/>
  <c r="F1289" i="35"/>
  <c r="G1289" i="35" s="1"/>
  <c r="D1289" i="35"/>
  <c r="P1288" i="35"/>
  <c r="I1288" i="35"/>
  <c r="F1288" i="35"/>
  <c r="G1288" i="35" s="1"/>
  <c r="D1288" i="35"/>
  <c r="P1287" i="35"/>
  <c r="I1287" i="35"/>
  <c r="F1287" i="35"/>
  <c r="G1287" i="35" s="1"/>
  <c r="D1287" i="35"/>
  <c r="P1286" i="35"/>
  <c r="I1286" i="35"/>
  <c r="F1286" i="35"/>
  <c r="G1286" i="35" s="1"/>
  <c r="D1286" i="35"/>
  <c r="P1285" i="35"/>
  <c r="I1285" i="35"/>
  <c r="F1285" i="35"/>
  <c r="G1285" i="35" s="1"/>
  <c r="D1285" i="35"/>
  <c r="P1284" i="35"/>
  <c r="I1284" i="35"/>
  <c r="F1284" i="35"/>
  <c r="G1284" i="35" s="1"/>
  <c r="D1284" i="35"/>
  <c r="P1283" i="35"/>
  <c r="I1283" i="35"/>
  <c r="F1283" i="35"/>
  <c r="G1283" i="35" s="1"/>
  <c r="D1283" i="35"/>
  <c r="P1282" i="35"/>
  <c r="I1282" i="35"/>
  <c r="F1282" i="35"/>
  <c r="G1282" i="35" s="1"/>
  <c r="D1282" i="35"/>
  <c r="P1281" i="35"/>
  <c r="I1281" i="35"/>
  <c r="F1281" i="35"/>
  <c r="G1281" i="35" s="1"/>
  <c r="D1281" i="35"/>
  <c r="P1280" i="35"/>
  <c r="I1280" i="35"/>
  <c r="F1280" i="35"/>
  <c r="G1280" i="35" s="1"/>
  <c r="D1280" i="35"/>
  <c r="P1279" i="35"/>
  <c r="I1279" i="35"/>
  <c r="F1279" i="35"/>
  <c r="G1279" i="35" s="1"/>
  <c r="D1279" i="35"/>
  <c r="P1278" i="35"/>
  <c r="I1278" i="35"/>
  <c r="F1278" i="35"/>
  <c r="G1278" i="35" s="1"/>
  <c r="D1278" i="35"/>
  <c r="P1277" i="35"/>
  <c r="I1277" i="35"/>
  <c r="F1277" i="35"/>
  <c r="G1277" i="35" s="1"/>
  <c r="D1277" i="35"/>
  <c r="P1276" i="35"/>
  <c r="I1276" i="35"/>
  <c r="F1276" i="35"/>
  <c r="G1276" i="35" s="1"/>
  <c r="D1276" i="35"/>
  <c r="P1275" i="35"/>
  <c r="I1275" i="35"/>
  <c r="F1275" i="35"/>
  <c r="G1275" i="35" s="1"/>
  <c r="D1275" i="35"/>
  <c r="P1274" i="35"/>
  <c r="I1274" i="35"/>
  <c r="F1274" i="35"/>
  <c r="G1274" i="35" s="1"/>
  <c r="D1274" i="35"/>
  <c r="P1273" i="35"/>
  <c r="I1273" i="35"/>
  <c r="F1273" i="35"/>
  <c r="G1273" i="35" s="1"/>
  <c r="D1273" i="35"/>
  <c r="P1272" i="35"/>
  <c r="I1272" i="35"/>
  <c r="F1272" i="35"/>
  <c r="G1272" i="35" s="1"/>
  <c r="D1272" i="35"/>
  <c r="P1271" i="35"/>
  <c r="I1271" i="35"/>
  <c r="F1271" i="35"/>
  <c r="G1271" i="35" s="1"/>
  <c r="D1271" i="35"/>
  <c r="P1270" i="35"/>
  <c r="I1270" i="35"/>
  <c r="F1270" i="35"/>
  <c r="G1270" i="35" s="1"/>
  <c r="D1270" i="35"/>
  <c r="P1269" i="35"/>
  <c r="I1269" i="35"/>
  <c r="F1269" i="35"/>
  <c r="G1269" i="35" s="1"/>
  <c r="D1269" i="35"/>
  <c r="P1268" i="35"/>
  <c r="I1268" i="35"/>
  <c r="F1268" i="35"/>
  <c r="G1268" i="35" s="1"/>
  <c r="D1268" i="35"/>
  <c r="P1267" i="35"/>
  <c r="I1267" i="35"/>
  <c r="F1267" i="35"/>
  <c r="G1267" i="35" s="1"/>
  <c r="D1267" i="35"/>
  <c r="P1266" i="35"/>
  <c r="I1266" i="35"/>
  <c r="F1266" i="35"/>
  <c r="G1266" i="35" s="1"/>
  <c r="D1266" i="35"/>
  <c r="P1265" i="35"/>
  <c r="I1265" i="35"/>
  <c r="F1265" i="35"/>
  <c r="G1265" i="35" s="1"/>
  <c r="D1265" i="35"/>
  <c r="P1264" i="35"/>
  <c r="I1264" i="35"/>
  <c r="F1264" i="35"/>
  <c r="G1264" i="35" s="1"/>
  <c r="D1264" i="35"/>
  <c r="P1263" i="35"/>
  <c r="F1263" i="35"/>
  <c r="G1263" i="35" s="1"/>
  <c r="D1263" i="35"/>
  <c r="P1262" i="35"/>
  <c r="F1262" i="35"/>
  <c r="G1262" i="35" s="1"/>
  <c r="D1262" i="35"/>
  <c r="Q1260" i="35"/>
  <c r="Q1243" i="35" s="1"/>
  <c r="P1241" i="35" s="1"/>
  <c r="I1243" i="35"/>
  <c r="F1243" i="35"/>
  <c r="G1243" i="35" s="1"/>
  <c r="G1244" i="35" s="1"/>
  <c r="G1245" i="35" s="1"/>
  <c r="D1243" i="35"/>
  <c r="I1242" i="35"/>
  <c r="F1242" i="35"/>
  <c r="G1242" i="35" s="1"/>
  <c r="D1242" i="35"/>
  <c r="I1241" i="35"/>
  <c r="F1241" i="35"/>
  <c r="D1241" i="35"/>
  <c r="P1240" i="35"/>
  <c r="I1240" i="35"/>
  <c r="F1240" i="35"/>
  <c r="G1240" i="35" s="1"/>
  <c r="D1240" i="35"/>
  <c r="P1239" i="35"/>
  <c r="F1239" i="35"/>
  <c r="G1239" i="35" s="1"/>
  <c r="D1239" i="35"/>
  <c r="P1238" i="35"/>
  <c r="I1238" i="35"/>
  <c r="F1238" i="35"/>
  <c r="G1238" i="35" s="1"/>
  <c r="D1238" i="35"/>
  <c r="Q1233" i="35"/>
  <c r="P1233" i="35" s="1"/>
  <c r="I1233" i="35"/>
  <c r="F1233" i="35"/>
  <c r="G1233" i="35" s="1"/>
  <c r="D1233" i="35"/>
  <c r="Q1227" i="35"/>
  <c r="P1227" i="35" s="1"/>
  <c r="F1227" i="35"/>
  <c r="G1227" i="35" s="1"/>
  <c r="G1228" i="35" s="1"/>
  <c r="D1227" i="35"/>
  <c r="P1210" i="35"/>
  <c r="I1210" i="35"/>
  <c r="D1210" i="35"/>
  <c r="Q1193" i="35"/>
  <c r="P1193" i="35" s="1"/>
  <c r="I1193" i="35"/>
  <c r="F1193" i="35"/>
  <c r="G1193" i="35" s="1"/>
  <c r="G1194" i="35" s="1"/>
  <c r="G1195" i="35" s="1"/>
  <c r="D1193" i="35"/>
  <c r="P1192" i="35"/>
  <c r="F1192" i="35"/>
  <c r="G1192" i="35" s="1"/>
  <c r="D1192" i="35"/>
  <c r="P1191" i="35"/>
  <c r="F1191" i="35"/>
  <c r="G1191" i="35" s="1"/>
  <c r="D1191" i="35"/>
  <c r="P1190" i="35"/>
  <c r="F1190" i="35"/>
  <c r="G1190" i="35" s="1"/>
  <c r="D1190" i="35"/>
  <c r="P1189" i="35"/>
  <c r="F1189" i="35"/>
  <c r="G1189" i="35" s="1"/>
  <c r="D1189" i="35"/>
  <c r="I1188" i="35"/>
  <c r="F1188" i="35"/>
  <c r="D1188" i="35"/>
  <c r="I1187" i="35"/>
  <c r="F1187" i="35"/>
  <c r="D1187" i="35"/>
  <c r="I1186" i="35"/>
  <c r="F1186" i="35"/>
  <c r="D1186" i="35"/>
  <c r="Q1185" i="35"/>
  <c r="P1185" i="35" s="1"/>
  <c r="I1185" i="35"/>
  <c r="F1185" i="35"/>
  <c r="G1185" i="35" s="1"/>
  <c r="D1185" i="35"/>
  <c r="P1184" i="35"/>
  <c r="I1184" i="35"/>
  <c r="F1184" i="35"/>
  <c r="G1184" i="35" s="1"/>
  <c r="D1184" i="35"/>
  <c r="P1183" i="35"/>
  <c r="I1183" i="35"/>
  <c r="F1183" i="35"/>
  <c r="G1183" i="35" s="1"/>
  <c r="D1183" i="35"/>
  <c r="P1182" i="35"/>
  <c r="I1182" i="35"/>
  <c r="F1182" i="35"/>
  <c r="G1182" i="35" s="1"/>
  <c r="D1182" i="35"/>
  <c r="P1181" i="35"/>
  <c r="I1181" i="35"/>
  <c r="F1181" i="35"/>
  <c r="G1181" i="35" s="1"/>
  <c r="D1181" i="35"/>
  <c r="P1180" i="35"/>
  <c r="F1180" i="35"/>
  <c r="G1180" i="35" s="1"/>
  <c r="D1180" i="35"/>
  <c r="P1179" i="35"/>
  <c r="I1179" i="35"/>
  <c r="F1179" i="35"/>
  <c r="G1179" i="35" s="1"/>
  <c r="D1179" i="35"/>
  <c r="P1178" i="35"/>
  <c r="I1178" i="35"/>
  <c r="F1178" i="35"/>
  <c r="G1178" i="35" s="1"/>
  <c r="D1178" i="35"/>
  <c r="P1177" i="35"/>
  <c r="I1177" i="35"/>
  <c r="F1177" i="35"/>
  <c r="G1177" i="35" s="1"/>
  <c r="D1177" i="35"/>
  <c r="P1176" i="35"/>
  <c r="I1176" i="35"/>
  <c r="F1176" i="35"/>
  <c r="G1176" i="35" s="1"/>
  <c r="D1176" i="35"/>
  <c r="P1175" i="35"/>
  <c r="I1175" i="35"/>
  <c r="F1175" i="35"/>
  <c r="G1175" i="35" s="1"/>
  <c r="D1175" i="35"/>
  <c r="I1174" i="35"/>
  <c r="F1174" i="35"/>
  <c r="D1174" i="35"/>
  <c r="I1173" i="35"/>
  <c r="F1173" i="35"/>
  <c r="D1173" i="35"/>
  <c r="Q1172" i="35"/>
  <c r="P1172" i="35" s="1"/>
  <c r="F1172" i="35"/>
  <c r="G1172" i="35" s="1"/>
  <c r="D1172" i="35"/>
  <c r="P1171" i="35"/>
  <c r="I1171" i="35"/>
  <c r="F1171" i="35"/>
  <c r="G1171" i="35" s="1"/>
  <c r="D1171" i="35"/>
  <c r="I1170" i="35"/>
  <c r="F1170" i="35"/>
  <c r="D1170" i="35"/>
  <c r="I1169" i="35"/>
  <c r="F1169" i="35"/>
  <c r="D1169" i="35"/>
  <c r="I1168" i="35"/>
  <c r="F1168" i="35"/>
  <c r="D1168" i="35"/>
  <c r="I1167" i="35"/>
  <c r="F1167" i="35"/>
  <c r="D1167" i="35"/>
  <c r="I1166" i="35"/>
  <c r="F1166" i="35"/>
  <c r="Q1165" i="35"/>
  <c r="P1165" i="35" s="1"/>
  <c r="I1165" i="35"/>
  <c r="F1165" i="35"/>
  <c r="G1165" i="35" s="1"/>
  <c r="D1165" i="35"/>
  <c r="P1164" i="35"/>
  <c r="I1164" i="35"/>
  <c r="F1164" i="35"/>
  <c r="G1164" i="35" s="1"/>
  <c r="D1164" i="35"/>
  <c r="P1163" i="35"/>
  <c r="I1163" i="35"/>
  <c r="F1163" i="35"/>
  <c r="G1163" i="35" s="1"/>
  <c r="D1163" i="35"/>
  <c r="P1162" i="35"/>
  <c r="I1162" i="35"/>
  <c r="F1162" i="35"/>
  <c r="G1162" i="35" s="1"/>
  <c r="D1162" i="35"/>
  <c r="F1161" i="35"/>
  <c r="F1160" i="35"/>
  <c r="Q1159" i="35"/>
  <c r="P1159" i="35" s="1"/>
  <c r="I1159" i="35"/>
  <c r="F1159" i="35"/>
  <c r="G1159" i="35" s="1"/>
  <c r="D1159" i="35"/>
  <c r="P1158" i="35"/>
  <c r="I1158" i="35"/>
  <c r="F1158" i="35"/>
  <c r="G1158" i="35" s="1"/>
  <c r="D1158" i="35"/>
  <c r="P1157" i="35"/>
  <c r="I1157" i="35"/>
  <c r="F1157" i="35"/>
  <c r="G1157" i="35" s="1"/>
  <c r="D1157" i="35"/>
  <c r="P1156" i="35"/>
  <c r="I1156" i="35"/>
  <c r="F1156" i="35"/>
  <c r="G1156" i="35" s="1"/>
  <c r="D1156" i="35"/>
  <c r="P1155" i="35"/>
  <c r="I1155" i="35"/>
  <c r="F1155" i="35"/>
  <c r="G1155" i="35" s="1"/>
  <c r="D1155" i="35"/>
  <c r="P1154" i="35"/>
  <c r="I1154" i="35"/>
  <c r="F1154" i="35"/>
  <c r="G1154" i="35" s="1"/>
  <c r="D1154" i="35"/>
  <c r="P1153" i="35"/>
  <c r="I1153" i="35"/>
  <c r="F1153" i="35"/>
  <c r="G1153" i="35" s="1"/>
  <c r="D1153" i="35"/>
  <c r="P1152" i="35"/>
  <c r="I1152" i="35"/>
  <c r="F1152" i="35"/>
  <c r="G1152" i="35" s="1"/>
  <c r="D1152" i="35"/>
  <c r="I1151" i="35"/>
  <c r="F1151" i="35"/>
  <c r="D1151" i="35"/>
  <c r="I1150" i="35"/>
  <c r="F1150" i="35"/>
  <c r="D1150" i="35"/>
  <c r="I1149" i="35"/>
  <c r="F1149" i="35"/>
  <c r="D1149" i="35"/>
  <c r="Q1148" i="35"/>
  <c r="P1148" i="35" s="1"/>
  <c r="I1148" i="35"/>
  <c r="F1148" i="35"/>
  <c r="G1148" i="35" s="1"/>
  <c r="D1148" i="35"/>
  <c r="I1147" i="35"/>
  <c r="F1147" i="35"/>
  <c r="G1147" i="35" s="1"/>
  <c r="D1147" i="35"/>
  <c r="I1146" i="35"/>
  <c r="F1146" i="35"/>
  <c r="G1146" i="35" s="1"/>
  <c r="D1146" i="35"/>
  <c r="I1145" i="35"/>
  <c r="F1145" i="35"/>
  <c r="G1145" i="35" s="1"/>
  <c r="D1145" i="35"/>
  <c r="P1144" i="35"/>
  <c r="I1144" i="35"/>
  <c r="F1144" i="35"/>
  <c r="D1144" i="35"/>
  <c r="P1143" i="35"/>
  <c r="I1143" i="35"/>
  <c r="F1143" i="35"/>
  <c r="G1143" i="35" s="1"/>
  <c r="D1143" i="35"/>
  <c r="P1142" i="35"/>
  <c r="I1142" i="35"/>
  <c r="F1142" i="35"/>
  <c r="G1142" i="35" s="1"/>
  <c r="D1142" i="35"/>
  <c r="Q1139" i="35"/>
  <c r="Q1127" i="35" s="1"/>
  <c r="P1127" i="35" s="1"/>
  <c r="I1127" i="35"/>
  <c r="F1127" i="35"/>
  <c r="G1127" i="35" s="1"/>
  <c r="D1127" i="35"/>
  <c r="P1126" i="35"/>
  <c r="I1126" i="35"/>
  <c r="F1126" i="35"/>
  <c r="G1126" i="35" s="1"/>
  <c r="D1126" i="35"/>
  <c r="P1125" i="35"/>
  <c r="I1125" i="35"/>
  <c r="F1125" i="35"/>
  <c r="G1125" i="35" s="1"/>
  <c r="D1125" i="35"/>
  <c r="P1124" i="35"/>
  <c r="I1124" i="35"/>
  <c r="F1124" i="35"/>
  <c r="G1124" i="35" s="1"/>
  <c r="D1124" i="35"/>
  <c r="P1123" i="35"/>
  <c r="I1123" i="35"/>
  <c r="F1123" i="35"/>
  <c r="G1123" i="35" s="1"/>
  <c r="D1123" i="35"/>
  <c r="P1122" i="35"/>
  <c r="I1122" i="35"/>
  <c r="F1122" i="35"/>
  <c r="G1122" i="35" s="1"/>
  <c r="D1122" i="35"/>
  <c r="Q1117" i="35"/>
  <c r="Q1113" i="35" s="1"/>
  <c r="P1113" i="35" s="1"/>
  <c r="I1113" i="35"/>
  <c r="F1113" i="35"/>
  <c r="G1113" i="35" s="1"/>
  <c r="G1114" i="35" s="1"/>
  <c r="D1113" i="35"/>
  <c r="P1112" i="35"/>
  <c r="I1112" i="35"/>
  <c r="F1112" i="35"/>
  <c r="G1112" i="35" s="1"/>
  <c r="D1112" i="35"/>
  <c r="Q1110" i="35"/>
  <c r="Q1109" i="35"/>
  <c r="I1108" i="35"/>
  <c r="F1108" i="35"/>
  <c r="G1108" i="35" s="1"/>
  <c r="G1109" i="35" s="1"/>
  <c r="I1109" i="35" s="1"/>
  <c r="D1108" i="35"/>
  <c r="Q1098" i="35"/>
  <c r="P1098" i="35" s="1"/>
  <c r="I1098" i="35"/>
  <c r="F1098" i="35"/>
  <c r="G1098" i="35" s="1"/>
  <c r="G1099" i="35" s="1"/>
  <c r="I1099" i="35" s="1"/>
  <c r="D1098" i="35"/>
  <c r="I1097" i="35"/>
  <c r="F1097" i="35"/>
  <c r="G1097" i="35" s="1"/>
  <c r="D1097" i="35"/>
  <c r="P1096" i="35"/>
  <c r="I1096" i="35"/>
  <c r="F1096" i="35"/>
  <c r="G1096" i="35" s="1"/>
  <c r="D1096" i="35"/>
  <c r="P1095" i="35"/>
  <c r="I1095" i="35"/>
  <c r="F1095" i="35"/>
  <c r="G1095" i="35" s="1"/>
  <c r="D1095" i="35"/>
  <c r="P1094" i="35"/>
  <c r="I1094" i="35"/>
  <c r="F1094" i="35"/>
  <c r="G1094" i="35" s="1"/>
  <c r="D1094" i="35"/>
  <c r="P1093" i="35"/>
  <c r="I1093" i="35"/>
  <c r="F1093" i="35"/>
  <c r="G1093" i="35" s="1"/>
  <c r="D1093" i="35"/>
  <c r="P1092" i="35"/>
  <c r="I1092" i="35"/>
  <c r="F1092" i="35"/>
  <c r="G1092" i="35" s="1"/>
  <c r="D1092" i="35"/>
  <c r="P1091" i="35"/>
  <c r="I1091" i="35"/>
  <c r="F1091" i="35"/>
  <c r="G1091" i="35" s="1"/>
  <c r="D1091" i="35"/>
  <c r="Q1078" i="35"/>
  <c r="Q1076" i="35" s="1"/>
  <c r="P1076" i="35" s="1"/>
  <c r="I1078" i="35"/>
  <c r="F1078" i="35"/>
  <c r="D1078" i="35"/>
  <c r="I1077" i="35"/>
  <c r="F1077" i="35"/>
  <c r="D1077" i="35"/>
  <c r="I1076" i="35"/>
  <c r="F1076" i="35"/>
  <c r="G1076" i="35" s="1"/>
  <c r="D1076" i="35"/>
  <c r="Q1074" i="35"/>
  <c r="Q1073" i="35" s="1"/>
  <c r="P1073" i="35" s="1"/>
  <c r="I1073" i="35"/>
  <c r="F1073" i="35"/>
  <c r="G1073" i="35" s="1"/>
  <c r="D1073" i="35"/>
  <c r="Q1071" i="35"/>
  <c r="Q1070" i="35"/>
  <c r="I1069" i="35"/>
  <c r="F1069" i="35"/>
  <c r="D1069" i="35"/>
  <c r="Q1067" i="35"/>
  <c r="Q1066" i="35"/>
  <c r="Q1065" i="35" s="1"/>
  <c r="I1065" i="35"/>
  <c r="F1065" i="35"/>
  <c r="D1065" i="35"/>
  <c r="I1064" i="35"/>
  <c r="F1064" i="35"/>
  <c r="G1064" i="35" s="1"/>
  <c r="D1064" i="35"/>
  <c r="Q1062" i="35"/>
  <c r="Q1061" i="35"/>
  <c r="Q1060" i="35"/>
  <c r="Q1059" i="35"/>
  <c r="Q1058" i="35"/>
  <c r="Q1056" i="35"/>
  <c r="I1055" i="35"/>
  <c r="F1055" i="35"/>
  <c r="G1055" i="35" s="1"/>
  <c r="G1056" i="35" s="1"/>
  <c r="G1057" i="35" s="1"/>
  <c r="G1058" i="35" s="1"/>
  <c r="G1059" i="35" s="1"/>
  <c r="G1060" i="35" s="1"/>
  <c r="G1061" i="35" s="1"/>
  <c r="G1062" i="35" s="1"/>
  <c r="G1063" i="35" s="1"/>
  <c r="D1055" i="35"/>
  <c r="Q1053" i="35"/>
  <c r="Q1052" i="35"/>
  <c r="Q1051" i="35"/>
  <c r="Q1050" i="35"/>
  <c r="Q1049" i="35"/>
  <c r="Q1048" i="35"/>
  <c r="Q1047" i="35"/>
  <c r="Q1046" i="35"/>
  <c r="Q1045" i="35"/>
  <c r="I1044" i="35"/>
  <c r="F1044" i="35"/>
  <c r="D1044" i="35"/>
  <c r="Q1042" i="35"/>
  <c r="Q1040" i="35"/>
  <c r="Q1039" i="35"/>
  <c r="Q1038" i="35"/>
  <c r="Q1037" i="35"/>
  <c r="Q1036" i="35"/>
  <c r="Q1035" i="35"/>
  <c r="Q1033" i="35"/>
  <c r="Q1032" i="35"/>
  <c r="I1031" i="35"/>
  <c r="F1031" i="35"/>
  <c r="D1031" i="35"/>
  <c r="I1030" i="35"/>
  <c r="F1030" i="35"/>
  <c r="G1030" i="35" s="1"/>
  <c r="D1030" i="35"/>
  <c r="Q1028" i="35"/>
  <c r="Q1027" i="35"/>
  <c r="Q1024" i="35" s="1"/>
  <c r="I1024" i="35"/>
  <c r="F1024" i="35"/>
  <c r="D1024" i="35"/>
  <c r="Q1022" i="35"/>
  <c r="Q1021" i="35"/>
  <c r="Q1020" i="35"/>
  <c r="Q1019" i="35"/>
  <c r="Q1018" i="35"/>
  <c r="Q1017" i="35"/>
  <c r="I1016" i="35"/>
  <c r="F1016" i="35"/>
  <c r="D1016" i="35"/>
  <c r="I1015" i="35"/>
  <c r="F1015" i="35"/>
  <c r="G1015" i="35" s="1"/>
  <c r="D1015" i="35"/>
  <c r="P1012" i="35"/>
  <c r="F1012" i="35"/>
  <c r="G1012" i="35" s="1"/>
  <c r="D1012" i="35"/>
  <c r="Q1007" i="35"/>
  <c r="Q1006" i="35"/>
  <c r="Q1004" i="35"/>
  <c r="Q1003" i="35"/>
  <c r="Q1002" i="35"/>
  <c r="Q1001" i="35"/>
  <c r="Q1000" i="35"/>
  <c r="Q999" i="35"/>
  <c r="Q998" i="35"/>
  <c r="Q997" i="35"/>
  <c r="Q996" i="35"/>
  <c r="Q995" i="35"/>
  <c r="Q994" i="35"/>
  <c r="I994" i="35"/>
  <c r="F994" i="35"/>
  <c r="D994" i="35"/>
  <c r="Q990" i="35"/>
  <c r="Q989" i="35"/>
  <c r="Q988" i="35"/>
  <c r="Q987" i="35"/>
  <c r="Q986" i="35"/>
  <c r="Q985" i="35"/>
  <c r="Q984" i="35"/>
  <c r="Q983" i="35"/>
  <c r="Q982" i="35"/>
  <c r="I981" i="35"/>
  <c r="F981" i="35"/>
  <c r="D981" i="35"/>
  <c r="Q979" i="35"/>
  <c r="Q978" i="35"/>
  <c r="I977" i="35"/>
  <c r="F977" i="35"/>
  <c r="D977" i="35"/>
  <c r="Q975" i="35"/>
  <c r="Q974" i="35"/>
  <c r="Q973" i="35"/>
  <c r="Q972" i="35"/>
  <c r="I972" i="35"/>
  <c r="F972" i="35"/>
  <c r="D972" i="35"/>
  <c r="Q970" i="35"/>
  <c r="Q969" i="35"/>
  <c r="I968" i="35"/>
  <c r="F968" i="35"/>
  <c r="D968" i="35"/>
  <c r="Q966" i="35"/>
  <c r="Q965" i="35"/>
  <c r="Q964" i="35"/>
  <c r="Q963" i="35"/>
  <c r="I962" i="35"/>
  <c r="F962" i="35"/>
  <c r="D962" i="35"/>
  <c r="I961" i="35"/>
  <c r="F961" i="35"/>
  <c r="G961" i="35" s="1"/>
  <c r="D961" i="35"/>
  <c r="I960" i="35"/>
  <c r="F960" i="35"/>
  <c r="G960" i="35" s="1"/>
  <c r="D960" i="35"/>
  <c r="Q958" i="35"/>
  <c r="Q957" i="35"/>
  <c r="Q956" i="35"/>
  <c r="Q955" i="35"/>
  <c r="Q954" i="35"/>
  <c r="K953" i="35"/>
  <c r="I953" i="35"/>
  <c r="F953" i="35"/>
  <c r="G953" i="35" s="1"/>
  <c r="G954" i="35" s="1"/>
  <c r="D953" i="35"/>
  <c r="Q951" i="35"/>
  <c r="Q950" i="35"/>
  <c r="Q949" i="35"/>
  <c r="K948" i="35"/>
  <c r="I948" i="35"/>
  <c r="F948" i="35"/>
  <c r="G948" i="35" s="1"/>
  <c r="G949" i="35" s="1"/>
  <c r="G950" i="35" s="1"/>
  <c r="D948" i="35"/>
  <c r="Q943" i="35"/>
  <c r="P943" i="35" s="1"/>
  <c r="I943" i="35"/>
  <c r="F943" i="35"/>
  <c r="G943" i="35" s="1"/>
  <c r="G944" i="35" s="1"/>
  <c r="D943" i="35"/>
  <c r="Q942" i="35"/>
  <c r="P942" i="35" s="1"/>
  <c r="I942" i="35"/>
  <c r="F942" i="35"/>
  <c r="G942" i="35" s="1"/>
  <c r="D942" i="35"/>
  <c r="P941" i="35"/>
  <c r="I941" i="35"/>
  <c r="F941" i="35"/>
  <c r="G941" i="35" s="1"/>
  <c r="D941" i="35"/>
  <c r="P940" i="35"/>
  <c r="I940" i="35"/>
  <c r="F940" i="35"/>
  <c r="G940" i="35" s="1"/>
  <c r="D940" i="35"/>
  <c r="P939" i="35"/>
  <c r="I939" i="35"/>
  <c r="F939" i="35"/>
  <c r="G939" i="35" s="1"/>
  <c r="D939" i="35"/>
  <c r="P938" i="35"/>
  <c r="I938" i="35"/>
  <c r="F938" i="35"/>
  <c r="G938" i="35" s="1"/>
  <c r="D938" i="35"/>
  <c r="P937" i="35"/>
  <c r="I937" i="35"/>
  <c r="F937" i="35"/>
  <c r="G937" i="35" s="1"/>
  <c r="D937" i="35"/>
  <c r="I936" i="35"/>
  <c r="F936" i="35"/>
  <c r="G936" i="35" s="1"/>
  <c r="D936" i="35"/>
  <c r="I935" i="35"/>
  <c r="F935" i="35"/>
  <c r="G935" i="35" s="1"/>
  <c r="D935" i="35"/>
  <c r="I934" i="35"/>
  <c r="F934" i="35"/>
  <c r="G934" i="35" s="1"/>
  <c r="D934" i="35"/>
  <c r="Q933" i="35"/>
  <c r="P933" i="35" s="1"/>
  <c r="I933" i="35"/>
  <c r="F933" i="35"/>
  <c r="D933" i="35"/>
  <c r="P932" i="35"/>
  <c r="I932" i="35"/>
  <c r="F932" i="35"/>
  <c r="G932" i="35" s="1"/>
  <c r="D932" i="35"/>
  <c r="P931" i="35"/>
  <c r="I931" i="35"/>
  <c r="F931" i="35"/>
  <c r="G931" i="35" s="1"/>
  <c r="D931" i="35"/>
  <c r="I930" i="35"/>
  <c r="Q924" i="35"/>
  <c r="P924" i="35" s="1"/>
  <c r="I924" i="35"/>
  <c r="F924" i="35"/>
  <c r="G924" i="35" s="1"/>
  <c r="G925" i="35" s="1"/>
  <c r="D924" i="35"/>
  <c r="I923" i="35"/>
  <c r="F923" i="35"/>
  <c r="G923" i="35" s="1"/>
  <c r="D923" i="35"/>
  <c r="I922" i="35"/>
  <c r="F922" i="35"/>
  <c r="G922" i="35" s="1"/>
  <c r="D922" i="35"/>
  <c r="P921" i="35"/>
  <c r="I921" i="35"/>
  <c r="F921" i="35"/>
  <c r="D921" i="35"/>
  <c r="P920" i="35"/>
  <c r="I920" i="35"/>
  <c r="F920" i="35"/>
  <c r="G920" i="35" s="1"/>
  <c r="D920" i="35"/>
  <c r="I919" i="35"/>
  <c r="F919" i="35"/>
  <c r="D919" i="35"/>
  <c r="I918" i="35"/>
  <c r="F918" i="35"/>
  <c r="D918" i="35"/>
  <c r="Q917" i="35"/>
  <c r="P917" i="35" s="1"/>
  <c r="I917" i="35"/>
  <c r="F917" i="35"/>
  <c r="G917" i="35" s="1"/>
  <c r="G918" i="35" s="1"/>
  <c r="D917" i="35"/>
  <c r="I916" i="35"/>
  <c r="F916" i="35"/>
  <c r="I915" i="35"/>
  <c r="F915" i="35"/>
  <c r="Q914" i="35"/>
  <c r="P914" i="35" s="1"/>
  <c r="I914" i="35"/>
  <c r="F914" i="35"/>
  <c r="G914" i="35" s="1"/>
  <c r="D914" i="35"/>
  <c r="P913" i="35"/>
  <c r="I913" i="35"/>
  <c r="F913" i="35"/>
  <c r="G913" i="35" s="1"/>
  <c r="D913" i="35"/>
  <c r="I912" i="35"/>
  <c r="F912" i="35"/>
  <c r="G912" i="35" s="1"/>
  <c r="I911" i="35"/>
  <c r="F911" i="35"/>
  <c r="G911" i="35" s="1"/>
  <c r="P910" i="35"/>
  <c r="I910" i="35"/>
  <c r="D910" i="35"/>
  <c r="P909" i="35"/>
  <c r="I909" i="35"/>
  <c r="F909" i="35"/>
  <c r="G909" i="35" s="1"/>
  <c r="D909" i="35"/>
  <c r="I908" i="35"/>
  <c r="F908" i="35"/>
  <c r="G908" i="35" s="1"/>
  <c r="D908" i="35"/>
  <c r="I907" i="35"/>
  <c r="F907" i="35"/>
  <c r="G907" i="35" s="1"/>
  <c r="D907" i="35"/>
  <c r="I906" i="35"/>
  <c r="F906" i="35"/>
  <c r="G906" i="35" s="1"/>
  <c r="D906" i="35"/>
  <c r="I905" i="35"/>
  <c r="F905" i="35"/>
  <c r="G905" i="35" s="1"/>
  <c r="D905" i="35"/>
  <c r="I904" i="35"/>
  <c r="F904" i="35"/>
  <c r="G904" i="35" s="1"/>
  <c r="D904" i="35"/>
  <c r="I903" i="35"/>
  <c r="F903" i="35"/>
  <c r="G903" i="35" s="1"/>
  <c r="D903" i="35"/>
  <c r="I902" i="35"/>
  <c r="F902" i="35"/>
  <c r="G902" i="35" s="1"/>
  <c r="D902" i="35"/>
  <c r="I901" i="35"/>
  <c r="F901" i="35"/>
  <c r="G901" i="35" s="1"/>
  <c r="D901" i="35"/>
  <c r="P900" i="35"/>
  <c r="I900" i="35"/>
  <c r="F900" i="35"/>
  <c r="D900" i="35"/>
  <c r="P899" i="35"/>
  <c r="I899" i="35"/>
  <c r="F899" i="35"/>
  <c r="G899" i="35" s="1"/>
  <c r="D899" i="35"/>
  <c r="I898" i="35"/>
  <c r="F898" i="35"/>
  <c r="G898" i="35" s="1"/>
  <c r="D898" i="35"/>
  <c r="I897" i="35"/>
  <c r="F897" i="35"/>
  <c r="G897" i="35" s="1"/>
  <c r="D897" i="35"/>
  <c r="P896" i="35"/>
  <c r="I896" i="35"/>
  <c r="F896" i="35"/>
  <c r="D896" i="35"/>
  <c r="I895" i="35"/>
  <c r="F895" i="35"/>
  <c r="G895" i="35" s="1"/>
  <c r="D895" i="35"/>
  <c r="I894" i="35"/>
  <c r="F894" i="35"/>
  <c r="G894" i="35" s="1"/>
  <c r="D894" i="35"/>
  <c r="I893" i="35"/>
  <c r="F893" i="35"/>
  <c r="G893" i="35" s="1"/>
  <c r="D893" i="35"/>
  <c r="I892" i="35"/>
  <c r="F892" i="35"/>
  <c r="G892" i="35" s="1"/>
  <c r="D892" i="35"/>
  <c r="I891" i="35"/>
  <c r="F891" i="35"/>
  <c r="G891" i="35" s="1"/>
  <c r="D891" i="35"/>
  <c r="I890" i="35"/>
  <c r="F890" i="35"/>
  <c r="G890" i="35" s="1"/>
  <c r="D890" i="35"/>
  <c r="I889" i="35"/>
  <c r="F889" i="35"/>
  <c r="G889" i="35" s="1"/>
  <c r="D889" i="35"/>
  <c r="I888" i="35"/>
  <c r="F888" i="35"/>
  <c r="G888" i="35" s="1"/>
  <c r="D888" i="35"/>
  <c r="I887" i="35"/>
  <c r="F887" i="35"/>
  <c r="G887" i="35" s="1"/>
  <c r="D887" i="35"/>
  <c r="P886" i="35"/>
  <c r="I886" i="35"/>
  <c r="F886" i="35"/>
  <c r="D886" i="35"/>
  <c r="F885" i="35"/>
  <c r="G885" i="35" s="1"/>
  <c r="D884" i="35"/>
  <c r="Q875" i="35"/>
  <c r="P874" i="35" s="1"/>
  <c r="I875" i="35"/>
  <c r="F875" i="35"/>
  <c r="G875" i="35" s="1"/>
  <c r="G876" i="35" s="1"/>
  <c r="D875" i="35"/>
  <c r="I874" i="35"/>
  <c r="F874" i="35"/>
  <c r="D874" i="35"/>
  <c r="P873" i="35"/>
  <c r="I873" i="35"/>
  <c r="F873" i="35"/>
  <c r="G873" i="35" s="1"/>
  <c r="D873" i="35"/>
  <c r="P872" i="35"/>
  <c r="I872" i="35"/>
  <c r="F872" i="35"/>
  <c r="G872" i="35" s="1"/>
  <c r="D872" i="35"/>
  <c r="F871" i="35"/>
  <c r="D871" i="35"/>
  <c r="F870" i="35"/>
  <c r="D870" i="35"/>
  <c r="F869" i="35"/>
  <c r="D869" i="35"/>
  <c r="F868" i="35"/>
  <c r="D868" i="35"/>
  <c r="Q867" i="35"/>
  <c r="P867" i="35" s="1"/>
  <c r="I867" i="35"/>
  <c r="F867" i="35"/>
  <c r="G867" i="35" s="1"/>
  <c r="D867" i="35"/>
  <c r="Q864" i="35"/>
  <c r="Q857" i="35" s="1"/>
  <c r="P857" i="35"/>
  <c r="I857" i="35"/>
  <c r="F857" i="35"/>
  <c r="G857" i="35" s="1"/>
  <c r="D857" i="35"/>
  <c r="P856" i="35"/>
  <c r="I856" i="35"/>
  <c r="F856" i="35"/>
  <c r="G856" i="35" s="1"/>
  <c r="D856" i="35"/>
  <c r="P855" i="35"/>
  <c r="I855" i="35"/>
  <c r="F855" i="35"/>
  <c r="G855" i="35" s="1"/>
  <c r="D855" i="35"/>
  <c r="Q839" i="35"/>
  <c r="P836" i="35" s="1"/>
  <c r="I839" i="35"/>
  <c r="F839" i="35"/>
  <c r="G839" i="35" s="1"/>
  <c r="G840" i="35" s="1"/>
  <c r="D839" i="35"/>
  <c r="F838" i="35"/>
  <c r="G838" i="35" s="1"/>
  <c r="I837" i="35"/>
  <c r="F837" i="35"/>
  <c r="G837" i="35" s="1"/>
  <c r="D837" i="35"/>
  <c r="I836" i="35"/>
  <c r="F836" i="35"/>
  <c r="D836" i="35"/>
  <c r="F835" i="35"/>
  <c r="D835" i="35"/>
  <c r="F834" i="35"/>
  <c r="D834" i="35"/>
  <c r="Q833" i="35"/>
  <c r="F833" i="35"/>
  <c r="D833" i="35"/>
  <c r="F832" i="35"/>
  <c r="D832" i="35"/>
  <c r="I831" i="35"/>
  <c r="F831" i="35"/>
  <c r="G831" i="35" s="1"/>
  <c r="D831" i="35"/>
  <c r="Q822" i="35"/>
  <c r="Q820" i="35" s="1"/>
  <c r="P820" i="35" s="1"/>
  <c r="I822" i="35"/>
  <c r="F822" i="35"/>
  <c r="I821" i="35"/>
  <c r="F821" i="35"/>
  <c r="I820" i="35"/>
  <c r="F820" i="35"/>
  <c r="G820" i="35" s="1"/>
  <c r="D820" i="35"/>
  <c r="Q810" i="35"/>
  <c r="P810" i="35" s="1"/>
  <c r="I810" i="35"/>
  <c r="F810" i="35"/>
  <c r="G810" i="35" s="1"/>
  <c r="G811" i="35" s="1"/>
  <c r="D810" i="35"/>
  <c r="I809" i="35"/>
  <c r="Q807" i="35"/>
  <c r="P807" i="35" s="1"/>
  <c r="I807" i="35"/>
  <c r="F807" i="35"/>
  <c r="G807" i="35" s="1"/>
  <c r="D807" i="35"/>
  <c r="Q802" i="35"/>
  <c r="Q798" i="35" s="1"/>
  <c r="P798" i="35" s="1"/>
  <c r="I802" i="35"/>
  <c r="F802" i="35"/>
  <c r="D802" i="35"/>
  <c r="F801" i="35"/>
  <c r="D801" i="35"/>
  <c r="F800" i="35"/>
  <c r="D800" i="35"/>
  <c r="F799" i="35"/>
  <c r="D799" i="35"/>
  <c r="I798" i="35"/>
  <c r="F798" i="35"/>
  <c r="G798" i="35" s="1"/>
  <c r="D798" i="35"/>
  <c r="Q789" i="35"/>
  <c r="P789" i="35" s="1"/>
  <c r="I789" i="35"/>
  <c r="F789" i="35"/>
  <c r="G789" i="35" s="1"/>
  <c r="G790" i="35" s="1"/>
  <c r="D789" i="35"/>
  <c r="P788" i="35"/>
  <c r="I788" i="35"/>
  <c r="F788" i="35"/>
  <c r="G788" i="35" s="1"/>
  <c r="D788" i="35"/>
  <c r="P787" i="35"/>
  <c r="I787" i="35"/>
  <c r="F787" i="35"/>
  <c r="G787" i="35" s="1"/>
  <c r="D787" i="35"/>
  <c r="P786" i="35"/>
  <c r="I786" i="35"/>
  <c r="F786" i="35"/>
  <c r="G786" i="35" s="1"/>
  <c r="D786" i="35"/>
  <c r="P785" i="35"/>
  <c r="I785" i="35"/>
  <c r="F785" i="35"/>
  <c r="G785" i="35" s="1"/>
  <c r="D785" i="35"/>
  <c r="I784" i="35"/>
  <c r="F784" i="35"/>
  <c r="D784" i="35"/>
  <c r="I783" i="35"/>
  <c r="F783" i="35"/>
  <c r="D783" i="35"/>
  <c r="I782" i="35"/>
  <c r="F782" i="35"/>
  <c r="D782" i="35"/>
  <c r="I781" i="35"/>
  <c r="F781" i="35"/>
  <c r="D781" i="35"/>
  <c r="I780" i="35"/>
  <c r="F780" i="35"/>
  <c r="D780" i="35"/>
  <c r="Q776" i="35"/>
  <c r="Q775" i="35" s="1"/>
  <c r="Q774" i="35" s="1"/>
  <c r="P774" i="35" s="1"/>
  <c r="I775" i="35"/>
  <c r="F775" i="35"/>
  <c r="I774" i="35"/>
  <c r="F774" i="35"/>
  <c r="G774" i="35" s="1"/>
  <c r="G775" i="35" s="1"/>
  <c r="G776" i="35" s="1"/>
  <c r="G777" i="35" s="1"/>
  <c r="G778" i="35" s="1"/>
  <c r="G779" i="35" s="1"/>
  <c r="D774" i="35"/>
  <c r="Q773" i="35"/>
  <c r="I773" i="35"/>
  <c r="F773" i="35"/>
  <c r="D773" i="35"/>
  <c r="I772" i="35"/>
  <c r="F772" i="35"/>
  <c r="D772" i="35"/>
  <c r="I771" i="35"/>
  <c r="F771" i="35"/>
  <c r="D771" i="35"/>
  <c r="I770" i="35"/>
  <c r="F770" i="35"/>
  <c r="D770" i="35"/>
  <c r="Q768" i="35"/>
  <c r="Q767" i="35"/>
  <c r="I767" i="35"/>
  <c r="F767" i="35"/>
  <c r="D767" i="35"/>
  <c r="I766" i="35"/>
  <c r="F766" i="35"/>
  <c r="D766" i="35"/>
  <c r="I765" i="35"/>
  <c r="F765" i="35"/>
  <c r="G765" i="35" s="1"/>
  <c r="D765" i="35"/>
  <c r="I764" i="35"/>
  <c r="F764" i="35"/>
  <c r="D764" i="35"/>
  <c r="I763" i="35"/>
  <c r="F763" i="35"/>
  <c r="D763" i="35"/>
  <c r="Q760" i="35"/>
  <c r="I760" i="35"/>
  <c r="F760" i="35"/>
  <c r="D760" i="35"/>
  <c r="Q757" i="35"/>
  <c r="I757" i="35"/>
  <c r="F757" i="35"/>
  <c r="D757" i="35"/>
  <c r="I756" i="35"/>
  <c r="F756" i="35"/>
  <c r="G756" i="35" s="1"/>
  <c r="D756" i="35"/>
  <c r="I755" i="35"/>
  <c r="F755" i="35"/>
  <c r="D755" i="35"/>
  <c r="I754" i="35"/>
  <c r="F754" i="35"/>
  <c r="D754" i="35"/>
  <c r="I753" i="35"/>
  <c r="F753" i="35"/>
  <c r="D753" i="35"/>
  <c r="Q752" i="35"/>
  <c r="P752" i="35" s="1"/>
  <c r="I752" i="35"/>
  <c r="F752" i="35"/>
  <c r="G752" i="35" s="1"/>
  <c r="D752" i="35"/>
  <c r="Q750" i="35"/>
  <c r="Q731" i="35" s="1"/>
  <c r="P731" i="35" s="1"/>
  <c r="I731" i="35"/>
  <c r="F731" i="35"/>
  <c r="G731" i="35" s="1"/>
  <c r="G732" i="35" s="1"/>
  <c r="I732" i="35" s="1"/>
  <c r="D731" i="35"/>
  <c r="F730" i="35"/>
  <c r="D730" i="35"/>
  <c r="F729" i="35"/>
  <c r="D729" i="35"/>
  <c r="Q728" i="35"/>
  <c r="P726" i="35" s="1"/>
  <c r="I728" i="35"/>
  <c r="F728" i="35"/>
  <c r="G728" i="35" s="1"/>
  <c r="D728" i="35"/>
  <c r="F727" i="35"/>
  <c r="G727" i="35" s="1"/>
  <c r="I727" i="35" s="1"/>
  <c r="D727" i="35"/>
  <c r="I726" i="35"/>
  <c r="F726" i="35"/>
  <c r="D726" i="35"/>
  <c r="P725" i="35"/>
  <c r="I725" i="35"/>
  <c r="F725" i="35"/>
  <c r="G725" i="35" s="1"/>
  <c r="D725" i="35"/>
  <c r="I724" i="35"/>
  <c r="F724" i="35"/>
  <c r="D724" i="35"/>
  <c r="Q721" i="35"/>
  <c r="I721" i="35"/>
  <c r="F721" i="35"/>
  <c r="D721" i="35"/>
  <c r="F718" i="35"/>
  <c r="D718" i="35"/>
  <c r="Q717" i="35"/>
  <c r="I716" i="35"/>
  <c r="F716" i="35"/>
  <c r="G716" i="35" s="1"/>
  <c r="G717" i="35" s="1"/>
  <c r="G718" i="35" s="1"/>
  <c r="D716" i="35"/>
  <c r="Q711" i="35"/>
  <c r="I711" i="35"/>
  <c r="F711" i="35"/>
  <c r="D711" i="35"/>
  <c r="Q708" i="35"/>
  <c r="I708" i="35"/>
  <c r="Q704" i="35"/>
  <c r="I704" i="35"/>
  <c r="F704" i="35"/>
  <c r="D704" i="35"/>
  <c r="Q701" i="35"/>
  <c r="I701" i="35"/>
  <c r="I700" i="35"/>
  <c r="F700" i="35"/>
  <c r="G700" i="35" s="1"/>
  <c r="G701" i="35" s="1"/>
  <c r="G702" i="35" s="1"/>
  <c r="D700" i="35"/>
  <c r="P699" i="35"/>
  <c r="I699" i="35"/>
  <c r="F699" i="35"/>
  <c r="G699" i="35" s="1"/>
  <c r="D699" i="35"/>
  <c r="Q684" i="35"/>
  <c r="P684" i="35" s="1"/>
  <c r="I684" i="35"/>
  <c r="F684" i="35"/>
  <c r="G684" i="35" s="1"/>
  <c r="G685" i="35" s="1"/>
  <c r="D684" i="35"/>
  <c r="P683" i="35"/>
  <c r="I683" i="35"/>
  <c r="F683" i="35"/>
  <c r="G683" i="35" s="1"/>
  <c r="D683" i="35"/>
  <c r="P682" i="35"/>
  <c r="I682" i="35"/>
  <c r="F682" i="35"/>
  <c r="G682" i="35" s="1"/>
  <c r="D682" i="35"/>
  <c r="P681" i="35"/>
  <c r="I681" i="35"/>
  <c r="F681" i="35"/>
  <c r="G681" i="35" s="1"/>
  <c r="D681" i="35"/>
  <c r="P680" i="35"/>
  <c r="I680" i="35"/>
  <c r="F680" i="35"/>
  <c r="G680" i="35" s="1"/>
  <c r="D680" i="35"/>
  <c r="P679" i="35"/>
  <c r="I679" i="35"/>
  <c r="F679" i="35"/>
  <c r="G679" i="35" s="1"/>
  <c r="D679" i="35"/>
  <c r="F678" i="35"/>
  <c r="Q674" i="35"/>
  <c r="P674" i="35" s="1"/>
  <c r="I674" i="35"/>
  <c r="F674" i="35"/>
  <c r="G674" i="35" s="1"/>
  <c r="G675" i="35" s="1"/>
  <c r="D674" i="35"/>
  <c r="Q662" i="35"/>
  <c r="P662" i="35" s="1"/>
  <c r="I662" i="35"/>
  <c r="F662" i="35"/>
  <c r="G662" i="35" s="1"/>
  <c r="G663" i="35" s="1"/>
  <c r="G664" i="35" s="1"/>
  <c r="G665" i="35" s="1"/>
  <c r="D662" i="35"/>
  <c r="P661" i="35"/>
  <c r="I661" i="35"/>
  <c r="F661" i="35"/>
  <c r="G661" i="35" s="1"/>
  <c r="D661" i="35"/>
  <c r="I660" i="35"/>
  <c r="F660" i="35"/>
  <c r="G660" i="35" s="1"/>
  <c r="D660" i="35"/>
  <c r="Q651" i="35"/>
  <c r="P651" i="35" s="1"/>
  <c r="I651" i="35"/>
  <c r="F651" i="35"/>
  <c r="G651" i="35" s="1"/>
  <c r="G652" i="35" s="1"/>
  <c r="D651" i="35"/>
  <c r="P650" i="35"/>
  <c r="F650" i="35"/>
  <c r="G650" i="35" s="1"/>
  <c r="D650" i="35"/>
  <c r="P649" i="35"/>
  <c r="I649" i="35"/>
  <c r="F649" i="35"/>
  <c r="G649" i="35" s="1"/>
  <c r="D649" i="35"/>
  <c r="Q639" i="35"/>
  <c r="P639" i="35" s="1"/>
  <c r="I639" i="35"/>
  <c r="F639" i="35"/>
  <c r="G639" i="35" s="1"/>
  <c r="G640" i="35" s="1"/>
  <c r="D639" i="35"/>
  <c r="P638" i="35"/>
  <c r="I638" i="35"/>
  <c r="F638" i="35"/>
  <c r="G638" i="35" s="1"/>
  <c r="D638" i="35"/>
  <c r="I637" i="35"/>
  <c r="F637" i="35"/>
  <c r="D637" i="35"/>
  <c r="I636" i="35"/>
  <c r="F636" i="35"/>
  <c r="D636" i="35"/>
  <c r="Q635" i="35"/>
  <c r="P635" i="35" s="1"/>
  <c r="I635" i="35"/>
  <c r="F635" i="35"/>
  <c r="G635" i="35" s="1"/>
  <c r="D635" i="35"/>
  <c r="P634" i="35"/>
  <c r="I634" i="35"/>
  <c r="F634" i="35"/>
  <c r="G634" i="35" s="1"/>
  <c r="D634" i="35"/>
  <c r="P633" i="35"/>
  <c r="I633" i="35"/>
  <c r="F633" i="35"/>
  <c r="G633" i="35" s="1"/>
  <c r="D633" i="35"/>
  <c r="P632" i="35"/>
  <c r="I632" i="35"/>
  <c r="F632" i="35"/>
  <c r="G632" i="35" s="1"/>
  <c r="D632" i="35"/>
  <c r="F631" i="35"/>
  <c r="F630" i="35"/>
  <c r="Q629" i="35"/>
  <c r="P629" i="35"/>
  <c r="I629" i="35"/>
  <c r="F629" i="35"/>
  <c r="G629" i="35" s="1"/>
  <c r="D629" i="35"/>
  <c r="P628" i="35"/>
  <c r="F628" i="35"/>
  <c r="G628" i="35" s="1"/>
  <c r="D628" i="35"/>
  <c r="P627" i="35"/>
  <c r="I627" i="35"/>
  <c r="F627" i="35"/>
  <c r="G627" i="35" s="1"/>
  <c r="D627" i="35"/>
  <c r="P626" i="35"/>
  <c r="I626" i="35"/>
  <c r="F626" i="35"/>
  <c r="G626" i="35" s="1"/>
  <c r="D626" i="35"/>
  <c r="Q622" i="35"/>
  <c r="I622" i="35"/>
  <c r="F622" i="35"/>
  <c r="G622" i="35" s="1"/>
  <c r="G623" i="35" s="1"/>
  <c r="I623" i="35" s="1"/>
  <c r="D622" i="35"/>
  <c r="Q618" i="35"/>
  <c r="I618" i="35"/>
  <c r="F618" i="35"/>
  <c r="G618" i="35" s="1"/>
  <c r="G619" i="35" s="1"/>
  <c r="G620" i="35" s="1"/>
  <c r="D618" i="35"/>
  <c r="F617" i="35"/>
  <c r="D617" i="35"/>
  <c r="F607" i="35"/>
  <c r="D607" i="35"/>
  <c r="Q606" i="35"/>
  <c r="P606" i="35" s="1"/>
  <c r="I606" i="35"/>
  <c r="F606" i="35"/>
  <c r="G606" i="35" s="1"/>
  <c r="D606" i="35"/>
  <c r="I605" i="35"/>
  <c r="Q597" i="35"/>
  <c r="P597" i="35" s="1"/>
  <c r="I597" i="35"/>
  <c r="F597" i="35"/>
  <c r="G597" i="35" s="1"/>
  <c r="G598" i="35" s="1"/>
  <c r="G599" i="35" s="1"/>
  <c r="I599" i="35" s="1"/>
  <c r="D597" i="35"/>
  <c r="Q590" i="35"/>
  <c r="P590" i="35" s="1"/>
  <c r="I590" i="35"/>
  <c r="F590" i="35"/>
  <c r="G590" i="35" s="1"/>
  <c r="G591" i="35" s="1"/>
  <c r="G592" i="35" s="1"/>
  <c r="D590" i="35"/>
  <c r="Q583" i="35"/>
  <c r="P583" i="35" s="1"/>
  <c r="I583" i="35"/>
  <c r="F583" i="35"/>
  <c r="G583" i="35" s="1"/>
  <c r="G584" i="35" s="1"/>
  <c r="D583" i="35"/>
  <c r="I578" i="35"/>
  <c r="P577" i="35"/>
  <c r="I577" i="35"/>
  <c r="F577" i="35"/>
  <c r="G577" i="35" s="1"/>
  <c r="G578" i="35" s="1"/>
  <c r="G579" i="35" s="1"/>
  <c r="D577" i="35"/>
  <c r="I574" i="35"/>
  <c r="Q573" i="35"/>
  <c r="P573" i="35" s="1"/>
  <c r="I573" i="35"/>
  <c r="F573" i="35"/>
  <c r="G573" i="35" s="1"/>
  <c r="G574" i="35" s="1"/>
  <c r="G575" i="35" s="1"/>
  <c r="D573" i="35"/>
  <c r="P572" i="35"/>
  <c r="I572" i="35"/>
  <c r="F572" i="35"/>
  <c r="G572" i="35" s="1"/>
  <c r="D572" i="35"/>
  <c r="Q569" i="35"/>
  <c r="P569" i="35" s="1"/>
  <c r="F569" i="35"/>
  <c r="G569" i="35" s="1"/>
  <c r="G570" i="35" s="1"/>
  <c r="G571" i="35" s="1"/>
  <c r="I571" i="35" s="1"/>
  <c r="D569" i="35"/>
  <c r="F568" i="35"/>
  <c r="D568" i="35"/>
  <c r="F567" i="35"/>
  <c r="D567" i="35"/>
  <c r="Q566" i="35"/>
  <c r="P566" i="35" s="1"/>
  <c r="I566" i="35"/>
  <c r="F566" i="35"/>
  <c r="G566" i="35" s="1"/>
  <c r="D566" i="35"/>
  <c r="Q561" i="35"/>
  <c r="P561" i="35" s="1"/>
  <c r="I561" i="35"/>
  <c r="F561" i="35"/>
  <c r="G561" i="35" s="1"/>
  <c r="G562" i="35" s="1"/>
  <c r="I562" i="35" s="1"/>
  <c r="D561" i="35"/>
  <c r="P560" i="35"/>
  <c r="F560" i="35"/>
  <c r="G560" i="35" s="1"/>
  <c r="I560" i="35" s="1"/>
  <c r="D560" i="35"/>
  <c r="F559" i="35"/>
  <c r="D559" i="35"/>
  <c r="M558" i="35"/>
  <c r="L558" i="35"/>
  <c r="Q558" i="35" s="1"/>
  <c r="Q551" i="35" s="1"/>
  <c r="P551" i="35" s="1"/>
  <c r="F552" i="35"/>
  <c r="D552" i="35"/>
  <c r="I551" i="35"/>
  <c r="F551" i="35"/>
  <c r="G551" i="35" s="1"/>
  <c r="D551" i="35"/>
  <c r="F550" i="35"/>
  <c r="D550" i="35"/>
  <c r="M549" i="35"/>
  <c r="L549" i="35"/>
  <c r="F549" i="35"/>
  <c r="D549" i="35"/>
  <c r="F545" i="35"/>
  <c r="D545" i="35"/>
  <c r="I544" i="35"/>
  <c r="F544" i="35"/>
  <c r="G544" i="35" s="1"/>
  <c r="D544" i="35"/>
  <c r="P543" i="35"/>
  <c r="I543" i="35"/>
  <c r="F543" i="35"/>
  <c r="G543" i="35" s="1"/>
  <c r="D543" i="35"/>
  <c r="P542" i="35"/>
  <c r="I542" i="35"/>
  <c r="F542" i="35"/>
  <c r="G542" i="35" s="1"/>
  <c r="D542" i="35"/>
  <c r="Q539" i="35"/>
  <c r="Q537" i="35" s="1"/>
  <c r="P537" i="35" s="1"/>
  <c r="I537" i="35"/>
  <c r="F537" i="35"/>
  <c r="G537" i="35" s="1"/>
  <c r="G538" i="35" s="1"/>
  <c r="D537" i="35"/>
  <c r="M535" i="35"/>
  <c r="L535" i="35"/>
  <c r="Q534" i="35"/>
  <c r="I531" i="35"/>
  <c r="F531" i="35"/>
  <c r="G531" i="35" s="1"/>
  <c r="G532" i="35" s="1"/>
  <c r="D531" i="35"/>
  <c r="M529" i="35"/>
  <c r="L529" i="35"/>
  <c r="F529" i="35"/>
  <c r="D529" i="35"/>
  <c r="F519" i="35"/>
  <c r="D519" i="35"/>
  <c r="I518" i="35"/>
  <c r="F518" i="35"/>
  <c r="G518" i="35" s="1"/>
  <c r="D518" i="35"/>
  <c r="M516" i="35"/>
  <c r="L516" i="35"/>
  <c r="F515" i="35"/>
  <c r="D515" i="35"/>
  <c r="F514" i="35"/>
  <c r="D514" i="35"/>
  <c r="F513" i="35"/>
  <c r="D513" i="35"/>
  <c r="I512" i="35"/>
  <c r="F512" i="35"/>
  <c r="G512" i="35" s="1"/>
  <c r="D512" i="35"/>
  <c r="F511" i="35"/>
  <c r="D511" i="35"/>
  <c r="Q510" i="35"/>
  <c r="Q509" i="35" s="1"/>
  <c r="P509" i="35" s="1"/>
  <c r="F510" i="35"/>
  <c r="D510" i="35"/>
  <c r="I509" i="35"/>
  <c r="F509" i="35"/>
  <c r="G509" i="35" s="1"/>
  <c r="D509" i="35"/>
  <c r="Q507" i="35"/>
  <c r="Q506" i="35" s="1"/>
  <c r="P506" i="35" s="1"/>
  <c r="F507" i="35"/>
  <c r="F506" i="35"/>
  <c r="G506" i="35" s="1"/>
  <c r="D506" i="35"/>
  <c r="M504" i="35"/>
  <c r="L504" i="35"/>
  <c r="F504" i="35"/>
  <c r="D504" i="35"/>
  <c r="F495" i="35"/>
  <c r="D495" i="35"/>
  <c r="I494" i="35"/>
  <c r="F494" i="35"/>
  <c r="G494" i="35" s="1"/>
  <c r="D494" i="35"/>
  <c r="Q492" i="35"/>
  <c r="Q491" i="35" s="1"/>
  <c r="I491" i="35"/>
  <c r="F491" i="35"/>
  <c r="G491" i="35" s="1"/>
  <c r="G492" i="35" s="1"/>
  <c r="D491" i="35"/>
  <c r="Q489" i="35"/>
  <c r="Q488" i="35"/>
  <c r="Q487" i="35"/>
  <c r="I486" i="35"/>
  <c r="F486" i="35"/>
  <c r="G486" i="35" s="1"/>
  <c r="G487" i="35" s="1"/>
  <c r="I487" i="35" s="1"/>
  <c r="D486" i="35"/>
  <c r="F485" i="35"/>
  <c r="M484" i="35"/>
  <c r="L484" i="35"/>
  <c r="F484" i="35"/>
  <c r="Q483" i="35"/>
  <c r="F483" i="35"/>
  <c r="Q482" i="35"/>
  <c r="F482" i="35"/>
  <c r="F481" i="35"/>
  <c r="G481" i="35" s="1"/>
  <c r="Q479" i="35"/>
  <c r="Q478" i="35"/>
  <c r="Q477" i="35"/>
  <c r="I476" i="35"/>
  <c r="F476" i="35"/>
  <c r="G476" i="35" s="1"/>
  <c r="G477" i="35" s="1"/>
  <c r="D476" i="35"/>
  <c r="I475" i="35"/>
  <c r="F475" i="35"/>
  <c r="D475" i="35"/>
  <c r="Q473" i="35"/>
  <c r="F473" i="35"/>
  <c r="D473" i="35"/>
  <c r="Q472" i="35"/>
  <c r="F472" i="35"/>
  <c r="D472" i="35"/>
  <c r="F471" i="35"/>
  <c r="D471" i="35"/>
  <c r="I470" i="35"/>
  <c r="F470" i="35"/>
  <c r="G470" i="35" s="1"/>
  <c r="D470" i="35"/>
  <c r="F468" i="35"/>
  <c r="D468" i="35"/>
  <c r="Q467" i="35"/>
  <c r="Q466" i="35" s="1"/>
  <c r="P466" i="35" s="1"/>
  <c r="F467" i="35"/>
  <c r="D467" i="35"/>
  <c r="I466" i="35"/>
  <c r="F466" i="35"/>
  <c r="G466" i="35" s="1"/>
  <c r="D466" i="35"/>
  <c r="F465" i="35"/>
  <c r="D465" i="35"/>
  <c r="Q464" i="35"/>
  <c r="Q462" i="35" s="1"/>
  <c r="F464" i="35"/>
  <c r="D464" i="35"/>
  <c r="F463" i="35"/>
  <c r="D463" i="35"/>
  <c r="I462" i="35"/>
  <c r="F462" i="35"/>
  <c r="D462" i="35"/>
  <c r="Q460" i="35"/>
  <c r="I460" i="35"/>
  <c r="F460" i="35"/>
  <c r="D460" i="35"/>
  <c r="I459" i="35"/>
  <c r="F459" i="35"/>
  <c r="G459" i="35" s="1"/>
  <c r="D459" i="35"/>
  <c r="F458" i="35"/>
  <c r="D458" i="35"/>
  <c r="M457" i="35"/>
  <c r="L457" i="35"/>
  <c r="F457" i="35"/>
  <c r="D457" i="35"/>
  <c r="Q456" i="35"/>
  <c r="F455" i="35"/>
  <c r="D455" i="35"/>
  <c r="Q454" i="35"/>
  <c r="F454" i="35"/>
  <c r="D454" i="35"/>
  <c r="M453" i="35"/>
  <c r="L453" i="35"/>
  <c r="M452" i="35"/>
  <c r="L452" i="35"/>
  <c r="M451" i="35"/>
  <c r="L451" i="35"/>
  <c r="F451" i="35"/>
  <c r="D451" i="35"/>
  <c r="I450" i="35"/>
  <c r="F450" i="35"/>
  <c r="G450" i="35" s="1"/>
  <c r="D450" i="35"/>
  <c r="F449" i="35"/>
  <c r="D449" i="35"/>
  <c r="M448" i="35"/>
  <c r="L448" i="35"/>
  <c r="Q448" i="35" s="1"/>
  <c r="Q446" i="35"/>
  <c r="F446" i="35"/>
  <c r="D446" i="35"/>
  <c r="I445" i="35"/>
  <c r="F445" i="35"/>
  <c r="G445" i="35" s="1"/>
  <c r="D445" i="35"/>
  <c r="F444" i="35"/>
  <c r="D444" i="35"/>
  <c r="M443" i="35"/>
  <c r="L443" i="35"/>
  <c r="Q443" i="35" s="1"/>
  <c r="F443" i="35"/>
  <c r="D443" i="35"/>
  <c r="Q442" i="35"/>
  <c r="F442" i="35"/>
  <c r="D442" i="35"/>
  <c r="Q441" i="35"/>
  <c r="Q440" i="35"/>
  <c r="Q439" i="35"/>
  <c r="F439" i="35"/>
  <c r="D439" i="35"/>
  <c r="I438" i="35"/>
  <c r="F438" i="35"/>
  <c r="G438" i="35" s="1"/>
  <c r="D438" i="35"/>
  <c r="F437" i="35"/>
  <c r="D437" i="35"/>
  <c r="M436" i="35"/>
  <c r="L436" i="35"/>
  <c r="F436" i="35"/>
  <c r="D436" i="35"/>
  <c r="Q435" i="35"/>
  <c r="F435" i="35"/>
  <c r="D435" i="35"/>
  <c r="Q434" i="35"/>
  <c r="F434" i="35"/>
  <c r="D434" i="35"/>
  <c r="Q433" i="35"/>
  <c r="F433" i="35"/>
  <c r="D433" i="35"/>
  <c r="Q432" i="35"/>
  <c r="F432" i="35"/>
  <c r="D432" i="35"/>
  <c r="I431" i="35"/>
  <c r="F431" i="35"/>
  <c r="G431" i="35" s="1"/>
  <c r="D431" i="35"/>
  <c r="F430" i="35"/>
  <c r="D430" i="35"/>
  <c r="Q427" i="35"/>
  <c r="I427" i="35"/>
  <c r="F427" i="35"/>
  <c r="D427" i="35"/>
  <c r="Q426" i="35"/>
  <c r="F426" i="35"/>
  <c r="D426" i="35"/>
  <c r="I425" i="35"/>
  <c r="F425" i="35"/>
  <c r="G425" i="35" s="1"/>
  <c r="D425" i="35"/>
  <c r="F424" i="35"/>
  <c r="D424" i="35"/>
  <c r="F423" i="35"/>
  <c r="D423" i="35"/>
  <c r="Q422" i="35"/>
  <c r="I422" i="35"/>
  <c r="F422" i="35"/>
  <c r="D422" i="35"/>
  <c r="Q421" i="35"/>
  <c r="F421" i="35"/>
  <c r="D421" i="35"/>
  <c r="I420" i="35"/>
  <c r="F420" i="35"/>
  <c r="G420" i="35" s="1"/>
  <c r="D420" i="35"/>
  <c r="F419" i="35"/>
  <c r="D419" i="35"/>
  <c r="Q418" i="35"/>
  <c r="F418" i="35"/>
  <c r="D418" i="35"/>
  <c r="M417" i="35"/>
  <c r="L417" i="35"/>
  <c r="F417" i="35"/>
  <c r="D417" i="35"/>
  <c r="Q416" i="35"/>
  <c r="M416" i="35"/>
  <c r="F416" i="35"/>
  <c r="D416" i="35"/>
  <c r="Q415" i="35"/>
  <c r="F415" i="35"/>
  <c r="D415" i="35"/>
  <c r="I414" i="35"/>
  <c r="F414" i="35"/>
  <c r="G414" i="35" s="1"/>
  <c r="D414" i="35"/>
  <c r="M412" i="35"/>
  <c r="L412" i="35"/>
  <c r="F412" i="35"/>
  <c r="D412" i="35"/>
  <c r="Q411" i="35"/>
  <c r="F411" i="35"/>
  <c r="D411" i="35"/>
  <c r="Q410" i="35"/>
  <c r="F410" i="35"/>
  <c r="D410" i="35"/>
  <c r="I409" i="35"/>
  <c r="F409" i="35"/>
  <c r="G409" i="35" s="1"/>
  <c r="D409" i="35"/>
  <c r="F407" i="35"/>
  <c r="D407" i="35"/>
  <c r="M406" i="35"/>
  <c r="M407" i="35" s="1"/>
  <c r="L406" i="35"/>
  <c r="L407" i="35" s="1"/>
  <c r="F406" i="35"/>
  <c r="D406" i="35"/>
  <c r="I405" i="35"/>
  <c r="F405" i="35"/>
  <c r="G405" i="35" s="1"/>
  <c r="D405" i="35"/>
  <c r="F404" i="35"/>
  <c r="D404" i="35"/>
  <c r="M403" i="35"/>
  <c r="F403" i="35"/>
  <c r="D403" i="35"/>
  <c r="Q402" i="35"/>
  <c r="F402" i="35"/>
  <c r="D402" i="35"/>
  <c r="M401" i="35"/>
  <c r="L401" i="35"/>
  <c r="F401" i="35"/>
  <c r="D401" i="35"/>
  <c r="M400" i="35"/>
  <c r="L400" i="35"/>
  <c r="F400" i="35"/>
  <c r="D400" i="35"/>
  <c r="I399" i="35"/>
  <c r="F399" i="35"/>
  <c r="G399" i="35" s="1"/>
  <c r="D399" i="35"/>
  <c r="M398" i="35"/>
  <c r="F398" i="35"/>
  <c r="D398" i="35"/>
  <c r="Q397" i="35"/>
  <c r="F397" i="35"/>
  <c r="D397" i="35"/>
  <c r="Q396" i="35"/>
  <c r="F396" i="35"/>
  <c r="D396" i="35"/>
  <c r="I395" i="35"/>
  <c r="F395" i="35"/>
  <c r="G395" i="35" s="1"/>
  <c r="D395" i="35"/>
  <c r="Q393" i="35"/>
  <c r="F393" i="35"/>
  <c r="D393" i="35"/>
  <c r="Q392" i="35"/>
  <c r="Q391" i="35"/>
  <c r="F391" i="35"/>
  <c r="D391" i="35"/>
  <c r="F390" i="35"/>
  <c r="D390" i="35"/>
  <c r="I389" i="35"/>
  <c r="F389" i="35"/>
  <c r="G389" i="35" s="1"/>
  <c r="D389" i="35"/>
  <c r="F388" i="35"/>
  <c r="D388" i="35"/>
  <c r="M387" i="35"/>
  <c r="L387" i="35"/>
  <c r="Q386" i="35"/>
  <c r="Q385" i="35"/>
  <c r="Q384" i="35"/>
  <c r="Q383" i="35"/>
  <c r="F383" i="35"/>
  <c r="D383" i="35"/>
  <c r="Q382" i="35"/>
  <c r="Q381" i="35"/>
  <c r="M380" i="35"/>
  <c r="L380" i="35"/>
  <c r="F380" i="35"/>
  <c r="D380" i="35"/>
  <c r="I379" i="35"/>
  <c r="F379" i="35"/>
  <c r="D379" i="35"/>
  <c r="F378" i="35"/>
  <c r="D378" i="35"/>
  <c r="Q377" i="35"/>
  <c r="Q376" i="35" s="1"/>
  <c r="F377" i="35"/>
  <c r="D377" i="35"/>
  <c r="I376" i="35"/>
  <c r="F376" i="35"/>
  <c r="D376" i="35"/>
  <c r="I375" i="35"/>
  <c r="F375" i="35"/>
  <c r="G375" i="35" s="1"/>
  <c r="D375" i="35"/>
  <c r="M374" i="35"/>
  <c r="F374" i="35"/>
  <c r="D374" i="35"/>
  <c r="Q373" i="35"/>
  <c r="F373" i="35"/>
  <c r="D373" i="35"/>
  <c r="F372" i="35"/>
  <c r="D372" i="35"/>
  <c r="Q371" i="35"/>
  <c r="F371" i="35"/>
  <c r="D371" i="35"/>
  <c r="Q370" i="35"/>
  <c r="F370" i="35"/>
  <c r="D370" i="35"/>
  <c r="Q369" i="35"/>
  <c r="F369" i="35"/>
  <c r="D369" i="35"/>
  <c r="Q368" i="35"/>
  <c r="F368" i="35"/>
  <c r="D368" i="35"/>
  <c r="I367" i="35"/>
  <c r="F367" i="35"/>
  <c r="D367" i="35"/>
  <c r="F366" i="35"/>
  <c r="D366" i="35"/>
  <c r="Q365" i="35"/>
  <c r="Q364" i="35" s="1"/>
  <c r="F365" i="35"/>
  <c r="D365" i="35"/>
  <c r="K364" i="35"/>
  <c r="I364" i="35"/>
  <c r="F364" i="35"/>
  <c r="D364" i="35"/>
  <c r="M363" i="35"/>
  <c r="L363" i="35"/>
  <c r="Q362" i="35"/>
  <c r="F362" i="35"/>
  <c r="D362" i="35"/>
  <c r="F361" i="35"/>
  <c r="D361" i="35"/>
  <c r="I360" i="35"/>
  <c r="F360" i="35"/>
  <c r="D360" i="35"/>
  <c r="O359" i="35"/>
  <c r="Q359" i="35" s="1"/>
  <c r="F359" i="35"/>
  <c r="D359" i="35"/>
  <c r="Q358" i="35"/>
  <c r="Q357" i="35"/>
  <c r="Q356" i="35"/>
  <c r="O355" i="35"/>
  <c r="Q355" i="35" s="1"/>
  <c r="Q354" i="35"/>
  <c r="F354" i="35"/>
  <c r="D354" i="35"/>
  <c r="O353" i="35"/>
  <c r="Q353" i="35" s="1"/>
  <c r="F353" i="35"/>
  <c r="D353" i="35"/>
  <c r="O352" i="35"/>
  <c r="Q352" i="35" s="1"/>
  <c r="F352" i="35"/>
  <c r="D352" i="35"/>
  <c r="Q351" i="35"/>
  <c r="F351" i="35"/>
  <c r="D351" i="35"/>
  <c r="O350" i="35"/>
  <c r="Q350" i="35" s="1"/>
  <c r="O349" i="35"/>
  <c r="Q349" i="35" s="1"/>
  <c r="F349" i="35"/>
  <c r="D349" i="35"/>
  <c r="O348" i="35"/>
  <c r="Q348" i="35" s="1"/>
  <c r="F348" i="35"/>
  <c r="D348" i="35"/>
  <c r="O347" i="35"/>
  <c r="Q347" i="35" s="1"/>
  <c r="F347" i="35"/>
  <c r="D347" i="35"/>
  <c r="O346" i="35"/>
  <c r="Q346" i="35" s="1"/>
  <c r="F346" i="35"/>
  <c r="D346" i="35"/>
  <c r="K345" i="35"/>
  <c r="I345" i="35"/>
  <c r="F345" i="35"/>
  <c r="D345" i="35"/>
  <c r="I344" i="35"/>
  <c r="F344" i="35"/>
  <c r="G344" i="35" s="1"/>
  <c r="D344" i="35"/>
  <c r="I343" i="35"/>
  <c r="F343" i="35"/>
  <c r="G343" i="35" s="1"/>
  <c r="I342" i="35"/>
  <c r="F342" i="35"/>
  <c r="G342" i="35" s="1"/>
  <c r="D342" i="35"/>
  <c r="F341" i="35"/>
  <c r="G341" i="35" s="1"/>
  <c r="I341" i="35" s="1"/>
  <c r="D341" i="35"/>
  <c r="F340" i="35"/>
  <c r="D340" i="35"/>
  <c r="F339" i="35"/>
  <c r="Q338" i="35"/>
  <c r="I338" i="35"/>
  <c r="F338" i="35"/>
  <c r="G338" i="35" s="1"/>
  <c r="D338" i="35"/>
  <c r="F337" i="35"/>
  <c r="Q336" i="35"/>
  <c r="I336" i="35"/>
  <c r="F336" i="35"/>
  <c r="G336" i="35" s="1"/>
  <c r="D336" i="35"/>
  <c r="I335" i="35"/>
  <c r="F335" i="35"/>
  <c r="D335" i="35"/>
  <c r="M334" i="35"/>
  <c r="Q326" i="35"/>
  <c r="P326" i="35" s="1"/>
  <c r="I326" i="35"/>
  <c r="F326" i="35"/>
  <c r="G326" i="35" s="1"/>
  <c r="G327" i="35" s="1"/>
  <c r="D326" i="35"/>
  <c r="F325" i="35"/>
  <c r="D325" i="35"/>
  <c r="F324" i="35"/>
  <c r="D324" i="35"/>
  <c r="F323" i="35"/>
  <c r="D323" i="35"/>
  <c r="Q321" i="35"/>
  <c r="I321" i="35"/>
  <c r="F321" i="35"/>
  <c r="G321" i="35" s="1"/>
  <c r="G322" i="35" s="1"/>
  <c r="I322" i="35" s="1"/>
  <c r="D321" i="35"/>
  <c r="F320" i="35"/>
  <c r="G320" i="35" s="1"/>
  <c r="I320" i="35" s="1"/>
  <c r="D320" i="35"/>
  <c r="I319" i="35"/>
  <c r="F319" i="35"/>
  <c r="D319" i="35"/>
  <c r="I318" i="35"/>
  <c r="Q317" i="35"/>
  <c r="I317" i="35"/>
  <c r="F317" i="35"/>
  <c r="G317" i="35" s="1"/>
  <c r="G318" i="35" s="1"/>
  <c r="D317" i="35"/>
  <c r="I316" i="35"/>
  <c r="F316" i="35"/>
  <c r="D316" i="35"/>
  <c r="Q315" i="35"/>
  <c r="F315" i="35"/>
  <c r="D315" i="35"/>
  <c r="Q314" i="35"/>
  <c r="Q313" i="35"/>
  <c r="Q312" i="35"/>
  <c r="F312" i="35"/>
  <c r="Q311" i="35"/>
  <c r="F311" i="35"/>
  <c r="Q310" i="35"/>
  <c r="F310" i="35"/>
  <c r="Q309" i="35"/>
  <c r="F309" i="35"/>
  <c r="Q308" i="35"/>
  <c r="F308" i="35"/>
  <c r="Q307" i="35"/>
  <c r="F307" i="35"/>
  <c r="G306" i="35"/>
  <c r="D306" i="35"/>
  <c r="Q305" i="35"/>
  <c r="F305" i="35"/>
  <c r="D305" i="35"/>
  <c r="Q304" i="35"/>
  <c r="F304" i="35"/>
  <c r="D304" i="35"/>
  <c r="Q303" i="35"/>
  <c r="F303" i="35"/>
  <c r="D303" i="35"/>
  <c r="Q302" i="35"/>
  <c r="F302" i="35"/>
  <c r="D302" i="35"/>
  <c r="Q301" i="35"/>
  <c r="F301" i="35"/>
  <c r="D301" i="35"/>
  <c r="Q300" i="35"/>
  <c r="Q299" i="35"/>
  <c r="Q298" i="35"/>
  <c r="F298" i="35"/>
  <c r="D298" i="35"/>
  <c r="Q297" i="35"/>
  <c r="F297" i="35"/>
  <c r="D297" i="35"/>
  <c r="Q296" i="35"/>
  <c r="F296" i="35"/>
  <c r="D296" i="35"/>
  <c r="Q295" i="35"/>
  <c r="F295" i="35"/>
  <c r="D295" i="35"/>
  <c r="Q294" i="35"/>
  <c r="F294" i="35"/>
  <c r="D294" i="35"/>
  <c r="Q293" i="35"/>
  <c r="F293" i="35"/>
  <c r="D293" i="35"/>
  <c r="Q292" i="35"/>
  <c r="F292" i="35"/>
  <c r="D292" i="35"/>
  <c r="Q291" i="35"/>
  <c r="F291" i="35"/>
  <c r="D291" i="35"/>
  <c r="Q290" i="35"/>
  <c r="F290" i="35"/>
  <c r="D290" i="35"/>
  <c r="Q289" i="35"/>
  <c r="F289" i="35"/>
  <c r="D289" i="35"/>
  <c r="I288" i="35"/>
  <c r="D288" i="35"/>
  <c r="G287" i="35"/>
  <c r="M286" i="35"/>
  <c r="L286" i="35"/>
  <c r="F262" i="35"/>
  <c r="D262" i="35"/>
  <c r="F261" i="35"/>
  <c r="D261" i="35"/>
  <c r="F260" i="35"/>
  <c r="D260" i="35"/>
  <c r="F259" i="35"/>
  <c r="D259" i="35"/>
  <c r="F258" i="35"/>
  <c r="D258" i="35"/>
  <c r="F257" i="35"/>
  <c r="D257" i="35"/>
  <c r="F256" i="35"/>
  <c r="D256" i="35"/>
  <c r="I255" i="35"/>
  <c r="F255" i="35"/>
  <c r="G255" i="35" s="1"/>
  <c r="D255" i="35"/>
  <c r="F203" i="35"/>
  <c r="Q202" i="35"/>
  <c r="P202" i="35" s="1"/>
  <c r="F202" i="35"/>
  <c r="G202" i="35" s="1"/>
  <c r="D202" i="35"/>
  <c r="Q200" i="35"/>
  <c r="F200" i="35"/>
  <c r="D200" i="35"/>
  <c r="Q199" i="35"/>
  <c r="F199" i="35"/>
  <c r="D199" i="35"/>
  <c r="Q198" i="35"/>
  <c r="F198" i="35"/>
  <c r="D198" i="35"/>
  <c r="Q197" i="35"/>
  <c r="F197" i="35"/>
  <c r="D197" i="35"/>
  <c r="M196" i="35"/>
  <c r="L196" i="35"/>
  <c r="Q196" i="35" s="1"/>
  <c r="F196" i="35"/>
  <c r="D196" i="35"/>
  <c r="Q195" i="35"/>
  <c r="Q194" i="35"/>
  <c r="Q193" i="35"/>
  <c r="Q192" i="35"/>
  <c r="F192" i="35"/>
  <c r="D192" i="35"/>
  <c r="Q191" i="35"/>
  <c r="F191" i="35"/>
  <c r="D191" i="35"/>
  <c r="Q190" i="35"/>
  <c r="F190" i="35"/>
  <c r="D190" i="35"/>
  <c r="Q189" i="35"/>
  <c r="F189" i="35"/>
  <c r="D189" i="35"/>
  <c r="Q188" i="35"/>
  <c r="F188" i="35"/>
  <c r="D188" i="35"/>
  <c r="Q187" i="35"/>
  <c r="F187" i="35"/>
  <c r="D187" i="35"/>
  <c r="K186" i="35"/>
  <c r="I186" i="35"/>
  <c r="F186" i="35"/>
  <c r="G186" i="35" s="1"/>
  <c r="D186" i="35"/>
  <c r="Q185" i="35"/>
  <c r="Q184" i="35"/>
  <c r="F184" i="35"/>
  <c r="D184" i="35"/>
  <c r="Q183" i="35"/>
  <c r="Q182" i="35"/>
  <c r="F182" i="35"/>
  <c r="D182" i="35"/>
  <c r="Q181" i="35"/>
  <c r="F181" i="35"/>
  <c r="D181" i="35"/>
  <c r="F180" i="35"/>
  <c r="D180" i="35"/>
  <c r="M179" i="35"/>
  <c r="M180" i="35" s="1"/>
  <c r="Q180" i="35" s="1"/>
  <c r="Q178" i="35"/>
  <c r="F178" i="35"/>
  <c r="D178" i="35"/>
  <c r="Q177" i="35"/>
  <c r="F177" i="35"/>
  <c r="D177" i="35"/>
  <c r="Q176" i="35"/>
  <c r="F176" i="35"/>
  <c r="D176" i="35"/>
  <c r="I175" i="35"/>
  <c r="F175" i="35"/>
  <c r="G175" i="35" s="1"/>
  <c r="D175" i="35"/>
  <c r="Q174" i="35"/>
  <c r="Q173" i="35"/>
  <c r="I171" i="35"/>
  <c r="F171" i="35"/>
  <c r="G171" i="35" s="1"/>
  <c r="G172" i="35" s="1"/>
  <c r="G173" i="35" s="1"/>
  <c r="D171" i="35"/>
  <c r="Q170" i="35"/>
  <c r="F170" i="35"/>
  <c r="D170" i="35"/>
  <c r="M169" i="35"/>
  <c r="L169" i="35"/>
  <c r="F169" i="35"/>
  <c r="D169" i="35"/>
  <c r="Q168" i="35"/>
  <c r="F168" i="35"/>
  <c r="D168" i="35"/>
  <c r="Q167" i="35"/>
  <c r="F167" i="35"/>
  <c r="D167" i="35"/>
  <c r="M166" i="35"/>
  <c r="L166" i="35"/>
  <c r="F166" i="35"/>
  <c r="D166" i="35"/>
  <c r="M165" i="35"/>
  <c r="F165" i="35"/>
  <c r="D165" i="35"/>
  <c r="M164" i="35"/>
  <c r="L164" i="35"/>
  <c r="F164" i="35"/>
  <c r="D164" i="35"/>
  <c r="K163" i="35"/>
  <c r="I163" i="35"/>
  <c r="F163" i="35"/>
  <c r="G163" i="35" s="1"/>
  <c r="D163" i="35"/>
  <c r="M162" i="35"/>
  <c r="L162" i="35"/>
  <c r="F162" i="35"/>
  <c r="D162" i="35"/>
  <c r="F161" i="35"/>
  <c r="D161" i="35"/>
  <c r="Q160" i="35"/>
  <c r="F160" i="35"/>
  <c r="D160" i="35"/>
  <c r="Q159" i="35"/>
  <c r="F159" i="35"/>
  <c r="D159" i="35"/>
  <c r="Q158" i="35"/>
  <c r="F158" i="35"/>
  <c r="D158" i="35"/>
  <c r="Q157" i="35"/>
  <c r="F157" i="35"/>
  <c r="D157" i="35"/>
  <c r="Q156" i="35"/>
  <c r="F156" i="35"/>
  <c r="D156" i="35"/>
  <c r="Q155" i="35"/>
  <c r="T155" i="35" s="1"/>
  <c r="F155" i="35"/>
  <c r="D155" i="35"/>
  <c r="I154" i="35"/>
  <c r="F154" i="35"/>
  <c r="G154" i="35" s="1"/>
  <c r="D154" i="35"/>
  <c r="Q153" i="35"/>
  <c r="Q151" i="35" s="1"/>
  <c r="P151" i="35" s="1"/>
  <c r="F153" i="35"/>
  <c r="D153" i="35"/>
  <c r="F152" i="35"/>
  <c r="D152" i="35"/>
  <c r="I151" i="35"/>
  <c r="F151" i="35"/>
  <c r="G151" i="35" s="1"/>
  <c r="D151" i="35"/>
  <c r="M150" i="35"/>
  <c r="L150" i="35"/>
  <c r="F150" i="35"/>
  <c r="D150" i="35"/>
  <c r="L149" i="35"/>
  <c r="Q149" i="35" s="1"/>
  <c r="F149" i="35"/>
  <c r="D149" i="35"/>
  <c r="Q148" i="35"/>
  <c r="F148" i="35"/>
  <c r="D148" i="35"/>
  <c r="F147" i="35"/>
  <c r="D147" i="35"/>
  <c r="I146" i="35"/>
  <c r="F146" i="35"/>
  <c r="G146" i="35" s="1"/>
  <c r="D146" i="35"/>
  <c r="Q145" i="35"/>
  <c r="Q143" i="35" s="1"/>
  <c r="P143" i="35" s="1"/>
  <c r="F145" i="35"/>
  <c r="D145" i="35"/>
  <c r="F144" i="35"/>
  <c r="D144" i="35"/>
  <c r="I143" i="35"/>
  <c r="F143" i="35"/>
  <c r="G143" i="35" s="1"/>
  <c r="D143" i="35"/>
  <c r="M142" i="35"/>
  <c r="L142" i="35"/>
  <c r="F142" i="35"/>
  <c r="D142" i="35"/>
  <c r="M140" i="35"/>
  <c r="M141" i="35" s="1"/>
  <c r="L140" i="35"/>
  <c r="L141" i="35" s="1"/>
  <c r="F140" i="35"/>
  <c r="D140" i="35"/>
  <c r="M139" i="35"/>
  <c r="L139" i="35"/>
  <c r="F139" i="35"/>
  <c r="D139" i="35"/>
  <c r="I138" i="35"/>
  <c r="F138" i="35"/>
  <c r="G138" i="35" s="1"/>
  <c r="D138" i="35"/>
  <c r="M137" i="35"/>
  <c r="L137" i="35"/>
  <c r="F137" i="35"/>
  <c r="D137" i="35"/>
  <c r="Q136" i="35"/>
  <c r="F136" i="35"/>
  <c r="D136" i="35"/>
  <c r="M135" i="35"/>
  <c r="M134" i="35" s="1"/>
  <c r="L135" i="35"/>
  <c r="F135" i="35"/>
  <c r="D135" i="35"/>
  <c r="F134" i="35"/>
  <c r="D134" i="35"/>
  <c r="I133" i="35"/>
  <c r="F133" i="35"/>
  <c r="G133" i="35" s="1"/>
  <c r="D133" i="35"/>
  <c r="F132" i="35"/>
  <c r="G132" i="35" s="1"/>
  <c r="I132" i="35" s="1"/>
  <c r="D132" i="35"/>
  <c r="I131" i="35"/>
  <c r="F131" i="35"/>
  <c r="D131" i="35"/>
  <c r="F130" i="35"/>
  <c r="D130" i="35"/>
  <c r="F129" i="35"/>
  <c r="D129" i="35"/>
  <c r="Q128" i="35"/>
  <c r="P124" i="35" s="1"/>
  <c r="I128" i="35"/>
  <c r="F128" i="35"/>
  <c r="G128" i="35" s="1"/>
  <c r="D128" i="35"/>
  <c r="F127" i="35"/>
  <c r="G127" i="35" s="1"/>
  <c r="I127" i="35" s="1"/>
  <c r="D127" i="35"/>
  <c r="F126" i="35"/>
  <c r="G126" i="35" s="1"/>
  <c r="I126" i="35" s="1"/>
  <c r="D126" i="35"/>
  <c r="F125" i="35"/>
  <c r="G125" i="35" s="1"/>
  <c r="I125" i="35" s="1"/>
  <c r="D125" i="35"/>
  <c r="I124" i="35"/>
  <c r="F124" i="35"/>
  <c r="D124" i="35"/>
  <c r="F123" i="35"/>
  <c r="D123" i="35"/>
  <c r="F122" i="35"/>
  <c r="D122" i="35"/>
  <c r="Q121" i="35"/>
  <c r="Q118" i="35" s="1"/>
  <c r="P118" i="35" s="1"/>
  <c r="F121" i="35"/>
  <c r="D121" i="35"/>
  <c r="F120" i="35"/>
  <c r="D120" i="35"/>
  <c r="F119" i="35"/>
  <c r="D119" i="35"/>
  <c r="I118" i="35"/>
  <c r="F118" i="35"/>
  <c r="G118" i="35" s="1"/>
  <c r="D118" i="35"/>
  <c r="M117" i="35"/>
  <c r="L117" i="35"/>
  <c r="F117" i="35"/>
  <c r="D117" i="35"/>
  <c r="F116" i="35"/>
  <c r="D116" i="35"/>
  <c r="Q115" i="35"/>
  <c r="F115" i="35"/>
  <c r="D115" i="35"/>
  <c r="I114" i="35"/>
  <c r="F114" i="35"/>
  <c r="G114" i="35" s="1"/>
  <c r="D114" i="35"/>
  <c r="M113" i="35"/>
  <c r="M109" i="35" s="1"/>
  <c r="L113" i="35"/>
  <c r="L109" i="35" s="1"/>
  <c r="K113" i="35"/>
  <c r="I113" i="35"/>
  <c r="F113" i="35"/>
  <c r="D113" i="35"/>
  <c r="K112" i="35"/>
  <c r="Q112" i="35" s="1"/>
  <c r="I112" i="35"/>
  <c r="F112" i="35"/>
  <c r="D112" i="35"/>
  <c r="K111" i="35"/>
  <c r="Q111" i="35" s="1"/>
  <c r="I111" i="35"/>
  <c r="F111" i="35"/>
  <c r="D111" i="35"/>
  <c r="K110" i="35"/>
  <c r="Q110" i="35" s="1"/>
  <c r="I110" i="35"/>
  <c r="F110" i="35"/>
  <c r="D110" i="35"/>
  <c r="F109" i="35"/>
  <c r="G109" i="35" s="1"/>
  <c r="I109" i="35" s="1"/>
  <c r="D109" i="35"/>
  <c r="M107" i="35"/>
  <c r="L107" i="35"/>
  <c r="F107" i="35"/>
  <c r="D107" i="35"/>
  <c r="F106" i="35"/>
  <c r="D106" i="35"/>
  <c r="I105" i="35"/>
  <c r="F105" i="35"/>
  <c r="F104" i="35"/>
  <c r="D104" i="35"/>
  <c r="F103" i="35"/>
  <c r="D103" i="35"/>
  <c r="Q102" i="35"/>
  <c r="I102" i="35"/>
  <c r="F102" i="35"/>
  <c r="D102" i="35"/>
  <c r="I101" i="35"/>
  <c r="F101" i="35"/>
  <c r="G101" i="35" s="1"/>
  <c r="D101" i="35"/>
  <c r="F100" i="35"/>
  <c r="D100" i="35"/>
  <c r="F99" i="35"/>
  <c r="D99" i="35"/>
  <c r="F98" i="35"/>
  <c r="D98" i="35"/>
  <c r="Q97" i="35"/>
  <c r="Q95" i="35" s="1"/>
  <c r="P95" i="35" s="1"/>
  <c r="I97" i="35"/>
  <c r="F97" i="35"/>
  <c r="D97" i="35"/>
  <c r="F96" i="35"/>
  <c r="D96" i="35"/>
  <c r="I95" i="35"/>
  <c r="F95" i="35"/>
  <c r="G95" i="35" s="1"/>
  <c r="D95" i="35"/>
  <c r="F94" i="35"/>
  <c r="D94" i="35"/>
  <c r="F93" i="35"/>
  <c r="D93" i="35"/>
  <c r="Q92" i="35"/>
  <c r="P92" i="35" s="1"/>
  <c r="I92" i="35"/>
  <c r="F92" i="35"/>
  <c r="G92" i="35" s="1"/>
  <c r="D92" i="35"/>
  <c r="Q91" i="35"/>
  <c r="F91" i="35"/>
  <c r="D91" i="35"/>
  <c r="Q90" i="35"/>
  <c r="F90" i="35"/>
  <c r="D90" i="35"/>
  <c r="F89" i="35"/>
  <c r="D89" i="35"/>
  <c r="F88" i="35"/>
  <c r="D88" i="35"/>
  <c r="F87" i="35"/>
  <c r="D87" i="35"/>
  <c r="F86" i="35"/>
  <c r="D86" i="35"/>
  <c r="F85" i="35"/>
  <c r="D85" i="35"/>
  <c r="F84" i="35"/>
  <c r="D84" i="35"/>
  <c r="F83" i="35"/>
  <c r="D83" i="35"/>
  <c r="F82" i="35"/>
  <c r="D82" i="35"/>
  <c r="F81" i="35"/>
  <c r="D81" i="35"/>
  <c r="F80" i="35"/>
  <c r="D80" i="35"/>
  <c r="F79" i="35"/>
  <c r="D79" i="35"/>
  <c r="F78" i="35"/>
  <c r="D78" i="35"/>
  <c r="F77" i="35"/>
  <c r="D77" i="35"/>
  <c r="F76" i="35"/>
  <c r="D76" i="35"/>
  <c r="I75" i="35"/>
  <c r="F75" i="35"/>
  <c r="G75" i="35" s="1"/>
  <c r="D75" i="35"/>
  <c r="F74" i="35"/>
  <c r="D74" i="35"/>
  <c r="F73" i="35"/>
  <c r="D73" i="35"/>
  <c r="F72" i="35"/>
  <c r="D72" i="35"/>
  <c r="F71" i="35"/>
  <c r="D71" i="35"/>
  <c r="F70" i="35"/>
  <c r="D70" i="35"/>
  <c r="F69" i="35"/>
  <c r="D69" i="35"/>
  <c r="F68" i="35"/>
  <c r="D68" i="35"/>
  <c r="F67" i="35"/>
  <c r="D67" i="35"/>
  <c r="F66" i="35"/>
  <c r="D66" i="35"/>
  <c r="Q65" i="35"/>
  <c r="F65" i="35"/>
  <c r="D65" i="35"/>
  <c r="Q63" i="35"/>
  <c r="F61" i="35"/>
  <c r="D61" i="35"/>
  <c r="F59" i="35"/>
  <c r="D59" i="35"/>
  <c r="F57" i="35"/>
  <c r="D57" i="35"/>
  <c r="F56" i="35"/>
  <c r="D56" i="35"/>
  <c r="F55" i="35"/>
  <c r="D55" i="35"/>
  <c r="F54" i="35"/>
  <c r="D54" i="35"/>
  <c r="F53" i="35"/>
  <c r="D53" i="35"/>
  <c r="F52" i="35"/>
  <c r="D52" i="35"/>
  <c r="F51" i="35"/>
  <c r="D51" i="35"/>
  <c r="F50" i="35"/>
  <c r="D50" i="35"/>
  <c r="F49" i="35"/>
  <c r="D49" i="35"/>
  <c r="F48" i="35"/>
  <c r="D48" i="35"/>
  <c r="F47" i="35"/>
  <c r="D47" i="35"/>
  <c r="F46" i="35"/>
  <c r="D46" i="35"/>
  <c r="F45" i="35"/>
  <c r="D45" i="35"/>
  <c r="Q44" i="35"/>
  <c r="F44" i="35"/>
  <c r="D44" i="35"/>
  <c r="F43" i="35"/>
  <c r="D43" i="35"/>
  <c r="F42" i="35"/>
  <c r="D42" i="35"/>
  <c r="F41" i="35"/>
  <c r="D41" i="35"/>
  <c r="F40" i="35"/>
  <c r="D40" i="35"/>
  <c r="F39" i="35"/>
  <c r="D39" i="35"/>
  <c r="F38" i="35"/>
  <c r="D38" i="35"/>
  <c r="F37" i="35"/>
  <c r="D37" i="35"/>
  <c r="F36" i="35"/>
  <c r="D36" i="35"/>
  <c r="F35" i="35"/>
  <c r="D35" i="35"/>
  <c r="F34" i="35"/>
  <c r="D34" i="35"/>
  <c r="F33" i="35"/>
  <c r="D33" i="35"/>
  <c r="F32" i="35"/>
  <c r="D32" i="35"/>
  <c r="F31" i="35"/>
  <c r="D31" i="35"/>
  <c r="I30" i="35"/>
  <c r="F30" i="35"/>
  <c r="G30" i="35" s="1"/>
  <c r="D30" i="35"/>
  <c r="F29" i="35"/>
  <c r="D29" i="35"/>
  <c r="F28" i="35"/>
  <c r="D28" i="35"/>
  <c r="F27" i="35"/>
  <c r="D27" i="35"/>
  <c r="F26" i="35"/>
  <c r="D26" i="35"/>
  <c r="Q25" i="35"/>
  <c r="I25" i="35"/>
  <c r="F25" i="35"/>
  <c r="D25" i="35"/>
  <c r="Q24" i="35"/>
  <c r="F24" i="35"/>
  <c r="D24" i="35"/>
  <c r="I23" i="35"/>
  <c r="F23" i="35"/>
  <c r="G23" i="35" s="1"/>
  <c r="D23" i="35"/>
  <c r="F22" i="35"/>
  <c r="D22" i="35"/>
  <c r="Q21" i="35"/>
  <c r="Q20" i="35" s="1"/>
  <c r="P20" i="35" s="1"/>
  <c r="F21" i="35"/>
  <c r="D21" i="35"/>
  <c r="I20" i="35"/>
  <c r="F20" i="35"/>
  <c r="G20" i="35" s="1"/>
  <c r="D20" i="35"/>
  <c r="Q19" i="35"/>
  <c r="F19" i="35"/>
  <c r="D19" i="35"/>
  <c r="Q18" i="35"/>
  <c r="F18" i="35"/>
  <c r="D18" i="35"/>
  <c r="Q17" i="35"/>
  <c r="F17" i="35"/>
  <c r="D17" i="35"/>
  <c r="I16" i="35"/>
  <c r="F16" i="35"/>
  <c r="D16" i="35"/>
  <c r="Q15" i="35"/>
  <c r="F15" i="35"/>
  <c r="D15" i="35"/>
  <c r="I14" i="35"/>
  <c r="F14" i="35"/>
  <c r="G14" i="35" s="1"/>
  <c r="D14" i="35"/>
  <c r="L13" i="35"/>
  <c r="Q13" i="35" s="1"/>
  <c r="F13" i="35"/>
  <c r="G13" i="35" s="1"/>
  <c r="I13" i="35" s="1"/>
  <c r="D13" i="35"/>
  <c r="F12" i="35"/>
  <c r="D12" i="35"/>
  <c r="Q11" i="35"/>
  <c r="Q10" i="35"/>
  <c r="F10" i="35"/>
  <c r="D10" i="35"/>
  <c r="F9" i="35"/>
  <c r="G9" i="35" s="1"/>
  <c r="D9" i="35"/>
  <c r="D8" i="35"/>
  <c r="P1701" i="35" l="1"/>
  <c r="T1701" i="35"/>
  <c r="L460" i="3" s="1"/>
  <c r="P1697" i="35"/>
  <c r="P1421" i="35"/>
  <c r="T1421" i="35"/>
  <c r="L400" i="3" s="1"/>
  <c r="P1702" i="35"/>
  <c r="T1702" i="35"/>
  <c r="L461" i="3" s="1"/>
  <c r="P1651" i="35"/>
  <c r="P1703" i="35"/>
  <c r="T1703" i="35"/>
  <c r="L462" i="3" s="1"/>
  <c r="G410" i="35"/>
  <c r="I410" i="35" s="1"/>
  <c r="P1700" i="35"/>
  <c r="T1700" i="35"/>
  <c r="L459" i="3" s="1"/>
  <c r="G421" i="35"/>
  <c r="I421" i="35" s="1"/>
  <c r="P1410" i="35"/>
  <c r="T1410" i="35"/>
  <c r="L394" i="3" s="1"/>
  <c r="Q1538" i="35"/>
  <c r="G176" i="35"/>
  <c r="I176" i="35" s="1"/>
  <c r="P1604" i="35"/>
  <c r="T1604" i="35"/>
  <c r="L438" i="3" s="1"/>
  <c r="Q75" i="35"/>
  <c r="P75" i="35" s="1"/>
  <c r="G345" i="35"/>
  <c r="L398" i="35"/>
  <c r="Q398" i="35" s="1"/>
  <c r="Q395" i="35" s="1"/>
  <c r="P395" i="35" s="1"/>
  <c r="P1579" i="35"/>
  <c r="L441" i="3"/>
  <c r="Q1724" i="35"/>
  <c r="Q113" i="35"/>
  <c r="Q142" i="35"/>
  <c r="Q380" i="35"/>
  <c r="Q535" i="35"/>
  <c r="Q531" i="35" s="1"/>
  <c r="P531" i="35" s="1"/>
  <c r="Q1069" i="35"/>
  <c r="Q1474" i="35"/>
  <c r="Q1497" i="35"/>
  <c r="Q1695" i="35"/>
  <c r="G460" i="35"/>
  <c r="G461" i="35" s="1"/>
  <c r="Q968" i="35"/>
  <c r="Q1305" i="35"/>
  <c r="Q1335" i="35"/>
  <c r="Q1728" i="35"/>
  <c r="Q1670" i="35"/>
  <c r="Q1716" i="35"/>
  <c r="P1716" i="35" s="1"/>
  <c r="G1533" i="35"/>
  <c r="G1534" i="35" s="1"/>
  <c r="I1534" i="35" s="1"/>
  <c r="G1780" i="35"/>
  <c r="I1780" i="35" s="1"/>
  <c r="Q425" i="35"/>
  <c r="P425" i="35" s="1"/>
  <c r="Q1717" i="35"/>
  <c r="P1840" i="35"/>
  <c r="T1840" i="35"/>
  <c r="L509" i="3" s="1"/>
  <c r="Q107" i="35"/>
  <c r="Q105" i="35" s="1"/>
  <c r="Q101" i="35" s="1"/>
  <c r="P101" i="35" s="1"/>
  <c r="Q171" i="35"/>
  <c r="P171" i="35" s="1"/>
  <c r="Q400" i="35"/>
  <c r="Q417" i="35"/>
  <c r="P618" i="35"/>
  <c r="T618" i="35"/>
  <c r="L103" i="3" s="1"/>
  <c r="Q1346" i="35"/>
  <c r="Q1578" i="35"/>
  <c r="Q1572" i="35" s="1"/>
  <c r="P622" i="35"/>
  <c r="Q831" i="35"/>
  <c r="P831" i="35" s="1"/>
  <c r="T833" i="35"/>
  <c r="L176" i="3" s="1"/>
  <c r="Q1630" i="35"/>
  <c r="Q1615" i="35" s="1"/>
  <c r="P1615" i="35" s="1"/>
  <c r="Q1832" i="35"/>
  <c r="Q412" i="35"/>
  <c r="Q409" i="35" s="1"/>
  <c r="P409" i="35" s="1"/>
  <c r="Q962" i="35"/>
  <c r="Q1339" i="35"/>
  <c r="T1339" i="35" s="1"/>
  <c r="L374" i="3" s="1"/>
  <c r="Q1548" i="35"/>
  <c r="Q1655" i="35"/>
  <c r="T1655" i="35" s="1"/>
  <c r="Q1657" i="35"/>
  <c r="T1657" i="35" s="1"/>
  <c r="G1375" i="35"/>
  <c r="I1375" i="35" s="1"/>
  <c r="G1381" i="35"/>
  <c r="I1381" i="35" s="1"/>
  <c r="Q549" i="35"/>
  <c r="Q544" i="35" s="1"/>
  <c r="P544" i="35" s="1"/>
  <c r="G1031" i="35"/>
  <c r="G1032" i="35" s="1"/>
  <c r="G1033" i="35" s="1"/>
  <c r="G1034" i="35" s="1"/>
  <c r="G1035" i="35" s="1"/>
  <c r="G1036" i="35" s="1"/>
  <c r="G1037" i="35" s="1"/>
  <c r="G1038" i="35" s="1"/>
  <c r="G1039" i="35" s="1"/>
  <c r="G1040" i="35" s="1"/>
  <c r="G1041" i="35" s="1"/>
  <c r="G1042" i="35" s="1"/>
  <c r="G1043" i="35" s="1"/>
  <c r="G1044" i="35" s="1"/>
  <c r="G1045" i="35" s="1"/>
  <c r="G1046" i="35" s="1"/>
  <c r="G1047" i="35" s="1"/>
  <c r="G1048" i="35" s="1"/>
  <c r="G1049" i="35" s="1"/>
  <c r="G1050" i="35" s="1"/>
  <c r="G1051" i="35" s="1"/>
  <c r="G1052" i="35" s="1"/>
  <c r="G1053" i="35" s="1"/>
  <c r="G1054" i="35" s="1"/>
  <c r="Q1044" i="35"/>
  <c r="G1391" i="35"/>
  <c r="I1391" i="35" s="1"/>
  <c r="Q1415" i="35"/>
  <c r="Q1452" i="35"/>
  <c r="P1452" i="35" s="1"/>
  <c r="Q1486" i="35"/>
  <c r="Q1386" i="35"/>
  <c r="Q716" i="35"/>
  <c r="P716" i="35" s="1"/>
  <c r="G753" i="35"/>
  <c r="G754" i="35" s="1"/>
  <c r="G755" i="35" s="1"/>
  <c r="Q420" i="35"/>
  <c r="P420" i="35" s="1"/>
  <c r="Q23" i="35"/>
  <c r="P23" i="35" s="1"/>
  <c r="Q486" i="35"/>
  <c r="G510" i="35"/>
  <c r="I510" i="35" s="1"/>
  <c r="Q1623" i="35"/>
  <c r="G93" i="35"/>
  <c r="I93" i="35" s="1"/>
  <c r="Q139" i="35"/>
  <c r="G1761" i="35"/>
  <c r="G1762" i="35" s="1"/>
  <c r="G1763" i="35" s="1"/>
  <c r="I1763" i="35" s="1"/>
  <c r="G1690" i="35"/>
  <c r="I1690" i="35" s="1"/>
  <c r="G868" i="35"/>
  <c r="G869" i="35" s="1"/>
  <c r="I869" i="35" s="1"/>
  <c r="G1166" i="35"/>
  <c r="G1167" i="35" s="1"/>
  <c r="G1168" i="35" s="1"/>
  <c r="G1169" i="35" s="1"/>
  <c r="G1170" i="35" s="1"/>
  <c r="G24" i="35"/>
  <c r="I24" i="35" s="1"/>
  <c r="Q1301" i="35"/>
  <c r="Q1345" i="35"/>
  <c r="T1345" i="35" s="1"/>
  <c r="Q1571" i="35"/>
  <c r="Q1569" i="35" s="1"/>
  <c r="P1569" i="35" s="1"/>
  <c r="Q1653" i="35"/>
  <c r="Q1699" i="35"/>
  <c r="P1699" i="35" s="1"/>
  <c r="Q1793" i="35"/>
  <c r="Q1792" i="35" s="1"/>
  <c r="P1792" i="35" s="1"/>
  <c r="Q407" i="35"/>
  <c r="Q1778" i="35"/>
  <c r="T1778" i="35" s="1"/>
  <c r="L481" i="3" s="1"/>
  <c r="G31" i="35"/>
  <c r="I31" i="35" s="1"/>
  <c r="Q1476" i="35"/>
  <c r="P316" i="35"/>
  <c r="Q504" i="35"/>
  <c r="Q494" i="35" s="1"/>
  <c r="P494" i="35" s="1"/>
  <c r="Q1665" i="35"/>
  <c r="I685" i="35"/>
  <c r="G686" i="35"/>
  <c r="G687" i="35" s="1"/>
  <c r="G688" i="35" s="1"/>
  <c r="I688" i="35" s="1"/>
  <c r="G1693" i="35"/>
  <c r="I1693" i="35" s="1"/>
  <c r="G164" i="35"/>
  <c r="I164" i="35" s="1"/>
  <c r="P335" i="35"/>
  <c r="G406" i="35"/>
  <c r="I406" i="35" s="1"/>
  <c r="G426" i="35"/>
  <c r="I426" i="35" s="1"/>
  <c r="Q1424" i="35"/>
  <c r="Q1422" i="35" s="1"/>
  <c r="P1422" i="35" s="1"/>
  <c r="G1527" i="35"/>
  <c r="I1527" i="35" s="1"/>
  <c r="G10" i="35"/>
  <c r="G11" i="35" s="1"/>
  <c r="I11" i="35" s="1"/>
  <c r="G21" i="35"/>
  <c r="I21" i="35" s="1"/>
  <c r="G119" i="35"/>
  <c r="I119" i="35" s="1"/>
  <c r="Q164" i="35"/>
  <c r="G411" i="35"/>
  <c r="I411" i="35" s="1"/>
  <c r="G462" i="35"/>
  <c r="G463" i="35" s="1"/>
  <c r="I463" i="35" s="1"/>
  <c r="G495" i="35"/>
  <c r="G504" i="35" s="1"/>
  <c r="Q516" i="35"/>
  <c r="Q512" i="35" s="1"/>
  <c r="P512" i="35" s="1"/>
  <c r="Q765" i="35"/>
  <c r="P765" i="35" s="1"/>
  <c r="G780" i="35"/>
  <c r="G781" i="35" s="1"/>
  <c r="G782" i="35" s="1"/>
  <c r="G783" i="35" s="1"/>
  <c r="G784" i="35" s="1"/>
  <c r="Q1774" i="35"/>
  <c r="Q345" i="35"/>
  <c r="L372" i="35" s="1"/>
  <c r="Q1382" i="35"/>
  <c r="Q1380" i="35" s="1"/>
  <c r="P1380" i="35" s="1"/>
  <c r="G636" i="35"/>
  <c r="G637" i="35" s="1"/>
  <c r="Q1740" i="35"/>
  <c r="G147" i="35"/>
  <c r="I147" i="35" s="1"/>
  <c r="G432" i="35"/>
  <c r="I432" i="35" s="1"/>
  <c r="G552" i="35"/>
  <c r="I552" i="35" s="1"/>
  <c r="Q1423" i="35"/>
  <c r="G1186" i="35"/>
  <c r="Q1329" i="35"/>
  <c r="Q1328" i="35" s="1"/>
  <c r="P1328" i="35" s="1"/>
  <c r="G1471" i="35"/>
  <c r="I1471" i="35" s="1"/>
  <c r="G115" i="35"/>
  <c r="G116" i="35" s="1"/>
  <c r="G117" i="35" s="1"/>
  <c r="I117" i="35" s="1"/>
  <c r="Q169" i="35"/>
  <c r="Q453" i="35"/>
  <c r="G1431" i="35"/>
  <c r="I1431" i="35" s="1"/>
  <c r="G1667" i="35"/>
  <c r="I1667" i="35" s="1"/>
  <c r="I570" i="35"/>
  <c r="G1806" i="35"/>
  <c r="I1806" i="35" s="1"/>
  <c r="G1682" i="35"/>
  <c r="I1682" i="35" s="1"/>
  <c r="G870" i="35"/>
  <c r="I870" i="35" s="1"/>
  <c r="G962" i="35"/>
  <c r="G963" i="35" s="1"/>
  <c r="I963" i="35" s="1"/>
  <c r="G624" i="35"/>
  <c r="G625" i="35" s="1"/>
  <c r="I625" i="35" s="1"/>
  <c r="Q529" i="35"/>
  <c r="Q518" i="35" s="1"/>
  <c r="P518" i="35" s="1"/>
  <c r="G1440" i="35"/>
  <c r="I1440" i="35" s="1"/>
  <c r="G607" i="35"/>
  <c r="G608" i="35" s="1"/>
  <c r="Q1343" i="35"/>
  <c r="G15" i="35"/>
  <c r="I15" i="35" s="1"/>
  <c r="G1504" i="35"/>
  <c r="I1504" i="35" s="1"/>
  <c r="Q363" i="35"/>
  <c r="Q360" i="35" s="1"/>
  <c r="G396" i="35"/>
  <c r="G397" i="35" s="1"/>
  <c r="I397" i="35" s="1"/>
  <c r="Q445" i="35"/>
  <c r="P445" i="35" s="1"/>
  <c r="Q484" i="35"/>
  <c r="Q481" i="35" s="1"/>
  <c r="Q977" i="35"/>
  <c r="Q1374" i="35"/>
  <c r="P1374" i="35" s="1"/>
  <c r="Q1482" i="35"/>
  <c r="G1490" i="35"/>
  <c r="I1490" i="35" s="1"/>
  <c r="Q1503" i="35"/>
  <c r="L1546" i="35" s="1"/>
  <c r="Q1546" i="35" s="1"/>
  <c r="P1546" i="35" s="1"/>
  <c r="Q1765" i="35"/>
  <c r="G1330" i="35"/>
  <c r="I1330" i="35" s="1"/>
  <c r="I1329" i="35"/>
  <c r="G666" i="35"/>
  <c r="I666" i="35" s="1"/>
  <c r="I665" i="35"/>
  <c r="I1453" i="35"/>
  <c r="G1454" i="35"/>
  <c r="I1454" i="35" s="1"/>
  <c r="I620" i="35"/>
  <c r="G621" i="35"/>
  <c r="I621" i="35" s="1"/>
  <c r="G841" i="35"/>
  <c r="G842" i="35" s="1"/>
  <c r="I840" i="35"/>
  <c r="G641" i="35"/>
  <c r="G642" i="35" s="1"/>
  <c r="I640" i="35"/>
  <c r="I1332" i="35"/>
  <c r="G1333" i="35"/>
  <c r="G1334" i="35" s="1"/>
  <c r="I1305" i="35"/>
  <c r="G1306" i="35"/>
  <c r="I1306" i="35" s="1"/>
  <c r="Q1338" i="35"/>
  <c r="Q457" i="35"/>
  <c r="Q1495" i="35"/>
  <c r="G376" i="35"/>
  <c r="G377" i="35" s="1"/>
  <c r="I377" i="35" s="1"/>
  <c r="Q401" i="35"/>
  <c r="Q451" i="35"/>
  <c r="G757" i="35"/>
  <c r="G758" i="35" s="1"/>
  <c r="G759" i="35" s="1"/>
  <c r="G760" i="35" s="1"/>
  <c r="G761" i="35" s="1"/>
  <c r="G762" i="35" s="1"/>
  <c r="G763" i="35" s="1"/>
  <c r="G764" i="35" s="1"/>
  <c r="Q1016" i="35"/>
  <c r="Q1015" i="35" s="1"/>
  <c r="P1015" i="35" s="1"/>
  <c r="Q1426" i="35"/>
  <c r="Q1425" i="35" s="1"/>
  <c r="G1445" i="35"/>
  <c r="I1445" i="35" s="1"/>
  <c r="G1774" i="35"/>
  <c r="I1774" i="35" s="1"/>
  <c r="G390" i="35"/>
  <c r="I390" i="35" s="1"/>
  <c r="G799" i="35"/>
  <c r="I799" i="35" s="1"/>
  <c r="G1358" i="35"/>
  <c r="I1358" i="35" s="1"/>
  <c r="Q414" i="35"/>
  <c r="P414" i="35" s="1"/>
  <c r="G439" i="35"/>
  <c r="I439" i="35" s="1"/>
  <c r="G545" i="35"/>
  <c r="G546" i="35" s="1"/>
  <c r="Q1444" i="35"/>
  <c r="G1587" i="35"/>
  <c r="I1587" i="35" s="1"/>
  <c r="Q1477" i="35"/>
  <c r="G1536" i="35"/>
  <c r="I1536" i="35" s="1"/>
  <c r="G110" i="35"/>
  <c r="G111" i="35" s="1"/>
  <c r="G112" i="35" s="1"/>
  <c r="G113" i="35" s="1"/>
  <c r="G451" i="35"/>
  <c r="I451" i="35" s="1"/>
  <c r="G832" i="35"/>
  <c r="G833" i="35" s="1"/>
  <c r="Q1776" i="35"/>
  <c r="Q166" i="35"/>
  <c r="Q389" i="35"/>
  <c r="P389" i="35" s="1"/>
  <c r="Q438" i="35"/>
  <c r="P438" i="35" s="1"/>
  <c r="Q452" i="35"/>
  <c r="G630" i="35"/>
  <c r="G631" i="35" s="1"/>
  <c r="Q1031" i="35"/>
  <c r="Q1030" i="35" s="1"/>
  <c r="P1030" i="35" s="1"/>
  <c r="Q1496" i="35"/>
  <c r="Q1761" i="35"/>
  <c r="T1761" i="35" s="1"/>
  <c r="L475" i="3" s="1"/>
  <c r="G1782" i="35"/>
  <c r="I1782" i="35" s="1"/>
  <c r="G1160" i="35"/>
  <c r="G1161" i="35" s="1"/>
  <c r="Q1494" i="35"/>
  <c r="G144" i="35"/>
  <c r="I144" i="35" s="1"/>
  <c r="Q1685" i="35"/>
  <c r="Q1681" i="35" s="1"/>
  <c r="P1681" i="35" s="1"/>
  <c r="Q117" i="35"/>
  <c r="Q114" i="35" s="1"/>
  <c r="P114" i="35" s="1"/>
  <c r="Q1634" i="35"/>
  <c r="P1634" i="35" s="1"/>
  <c r="G1016" i="35"/>
  <c r="G1017" i="35" s="1"/>
  <c r="G1018" i="35" s="1"/>
  <c r="G1019" i="35" s="1"/>
  <c r="G1020" i="35" s="1"/>
  <c r="G1021" i="35" s="1"/>
  <c r="G1022" i="35" s="1"/>
  <c r="G1023" i="35" s="1"/>
  <c r="G1024" i="35" s="1"/>
  <c r="G1025" i="35" s="1"/>
  <c r="G1026" i="35" s="1"/>
  <c r="G1027" i="35" s="1"/>
  <c r="G1028" i="35" s="1"/>
  <c r="G1029" i="35" s="1"/>
  <c r="Q1473" i="35"/>
  <c r="Q1709" i="35"/>
  <c r="Q1707" i="35" s="1"/>
  <c r="P1707" i="35" s="1"/>
  <c r="G600" i="35"/>
  <c r="G601" i="35" s="1"/>
  <c r="G602" i="35" s="1"/>
  <c r="G1370" i="35"/>
  <c r="I1370" i="35" s="1"/>
  <c r="Q1543" i="35"/>
  <c r="P1543" i="35" s="1"/>
  <c r="Q162" i="35"/>
  <c r="Q154" i="35" s="1"/>
  <c r="P154" i="35" s="1"/>
  <c r="Q137" i="35"/>
  <c r="Q286" i="35"/>
  <c r="Q255" i="35" s="1"/>
  <c r="P255" i="35" s="1"/>
  <c r="P306" i="35"/>
  <c r="G919" i="35"/>
  <c r="Q1752" i="35"/>
  <c r="Q1834" i="35"/>
  <c r="G1065" i="35"/>
  <c r="G1066" i="35" s="1"/>
  <c r="G1067" i="35" s="1"/>
  <c r="G1068" i="35" s="1"/>
  <c r="G1069" i="35" s="1"/>
  <c r="G1070" i="35" s="1"/>
  <c r="G1071" i="35" s="1"/>
  <c r="G1072" i="35" s="1"/>
  <c r="Q1732" i="35"/>
  <c r="G319" i="35"/>
  <c r="I591" i="35"/>
  <c r="G729" i="35"/>
  <c r="G730" i="35" s="1"/>
  <c r="I730" i="35" s="1"/>
  <c r="G821" i="35"/>
  <c r="G822" i="35" s="1"/>
  <c r="G823" i="35" s="1"/>
  <c r="G824" i="35" s="1"/>
  <c r="G825" i="35" s="1"/>
  <c r="G826" i="35" s="1"/>
  <c r="G827" i="35" s="1"/>
  <c r="G828" i="35" s="1"/>
  <c r="G829" i="35" s="1"/>
  <c r="G830" i="35" s="1"/>
  <c r="Q1064" i="35"/>
  <c r="P1064" i="35" s="1"/>
  <c r="Q1691" i="35"/>
  <c r="P1691" i="35" s="1"/>
  <c r="Q1663" i="35"/>
  <c r="G733" i="35"/>
  <c r="I733" i="35" s="1"/>
  <c r="I598" i="35"/>
  <c r="G446" i="35"/>
  <c r="I446" i="35" s="1"/>
  <c r="G1423" i="35"/>
  <c r="I1423" i="35" s="1"/>
  <c r="I1753" i="35"/>
  <c r="G134" i="35"/>
  <c r="I134" i="35" s="1"/>
  <c r="G139" i="35"/>
  <c r="G140" i="35" s="1"/>
  <c r="G142" i="35" s="1"/>
  <c r="I142" i="35" s="1"/>
  <c r="G415" i="35"/>
  <c r="I415" i="35" s="1"/>
  <c r="Q470" i="35"/>
  <c r="P470" i="35" s="1"/>
  <c r="Q952" i="35"/>
  <c r="Q948" i="35" s="1"/>
  <c r="P948" i="35" s="1"/>
  <c r="Q1320" i="35"/>
  <c r="P1320" i="35" s="1"/>
  <c r="Q1336" i="35"/>
  <c r="Q1488" i="35"/>
  <c r="Q1524" i="35"/>
  <c r="Q1518" i="35" s="1"/>
  <c r="P1518" i="35" s="1"/>
  <c r="Q1529" i="35"/>
  <c r="Q1526" i="35" s="1"/>
  <c r="P1526" i="35" s="1"/>
  <c r="Q1736" i="35"/>
  <c r="G1755" i="35"/>
  <c r="I1755" i="35" s="1"/>
  <c r="Q1586" i="35"/>
  <c r="Q1756" i="35"/>
  <c r="G1149" i="35"/>
  <c r="G1150" i="35" s="1"/>
  <c r="G1151" i="35" s="1"/>
  <c r="G155" i="35"/>
  <c r="I155" i="35" s="1"/>
  <c r="G96" i="35"/>
  <c r="I96" i="35" s="1"/>
  <c r="G102" i="35"/>
  <c r="G103" i="35" s="1"/>
  <c r="G1382" i="35"/>
  <c r="I1382" i="35" s="1"/>
  <c r="Q1720" i="35"/>
  <c r="Q109" i="35"/>
  <c r="P109" i="35" s="1"/>
  <c r="G339" i="35"/>
  <c r="I339" i="35" s="1"/>
  <c r="Q436" i="35"/>
  <c r="Q431" i="35" s="1"/>
  <c r="P431" i="35" s="1"/>
  <c r="I1244" i="35"/>
  <c r="Q1539" i="35"/>
  <c r="Q1535" i="35" s="1"/>
  <c r="P1535" i="35" s="1"/>
  <c r="Q1552" i="35"/>
  <c r="P1552" i="35" s="1"/>
  <c r="G719" i="35"/>
  <c r="G720" i="35" s="1"/>
  <c r="G721" i="35" s="1"/>
  <c r="G722" i="35" s="1"/>
  <c r="G723" i="35" s="1"/>
  <c r="G724" i="35" s="1"/>
  <c r="I718" i="35"/>
  <c r="G1196" i="35"/>
  <c r="I1195" i="35"/>
  <c r="G653" i="35"/>
  <c r="I652" i="35"/>
  <c r="G582" i="35"/>
  <c r="I582" i="35" s="1"/>
  <c r="I579" i="35"/>
  <c r="G580" i="35"/>
  <c r="L134" i="35"/>
  <c r="Q134" i="35" s="1"/>
  <c r="Q135" i="35"/>
  <c r="I492" i="35"/>
  <c r="G493" i="35"/>
  <c r="I493" i="35" s="1"/>
  <c r="G1342" i="35"/>
  <c r="I1341" i="35"/>
  <c r="G1574" i="35"/>
  <c r="I1573" i="35"/>
  <c r="G307" i="35"/>
  <c r="G703" i="35"/>
  <c r="I703" i="35" s="1"/>
  <c r="I702" i="35"/>
  <c r="G507" i="35"/>
  <c r="G915" i="35"/>
  <c r="G916" i="35" s="1"/>
  <c r="G174" i="35"/>
  <c r="I174" i="35" s="1"/>
  <c r="I173" i="35"/>
  <c r="L1649" i="35"/>
  <c r="Q1649" i="35" s="1"/>
  <c r="Q1640" i="35"/>
  <c r="P1640" i="35" s="1"/>
  <c r="I172" i="35"/>
  <c r="G488" i="35"/>
  <c r="G129" i="35"/>
  <c r="Q140" i="35"/>
  <c r="G585" i="35"/>
  <c r="I584" i="35"/>
  <c r="G1512" i="35"/>
  <c r="G400" i="35"/>
  <c r="I954" i="35"/>
  <c r="G955" i="35"/>
  <c r="G676" i="35"/>
  <c r="I675" i="35"/>
  <c r="I876" i="35"/>
  <c r="G877" i="35"/>
  <c r="I1194" i="35"/>
  <c r="G1617" i="35"/>
  <c r="I1616" i="35"/>
  <c r="G576" i="35"/>
  <c r="I576" i="35" s="1"/>
  <c r="I575" i="35"/>
  <c r="G791" i="35"/>
  <c r="I790" i="35"/>
  <c r="G1581" i="35"/>
  <c r="I1580" i="35"/>
  <c r="L1624" i="35"/>
  <c r="Q1624" i="35" s="1"/>
  <c r="G32" i="35"/>
  <c r="I32" i="35" s="1"/>
  <c r="G152" i="35"/>
  <c r="I1635" i="35"/>
  <c r="G1636" i="35"/>
  <c r="Q141" i="35"/>
  <c r="I327" i="35"/>
  <c r="G328" i="35"/>
  <c r="G422" i="35"/>
  <c r="G423" i="35" s="1"/>
  <c r="I423" i="35" s="1"/>
  <c r="G1110" i="35"/>
  <c r="Q1511" i="35"/>
  <c r="P1511" i="35" s="1"/>
  <c r="I950" i="35"/>
  <c r="G951" i="35"/>
  <c r="G289" i="35"/>
  <c r="I289" i="35" s="1"/>
  <c r="Q186" i="35"/>
  <c r="P186" i="35" s="1"/>
  <c r="G203" i="35"/>
  <c r="G346" i="35"/>
  <c r="I477" i="35"/>
  <c r="G478" i="35"/>
  <c r="G519" i="35"/>
  <c r="G533" i="35"/>
  <c r="I532" i="35"/>
  <c r="G1353" i="35"/>
  <c r="I1353" i="35" s="1"/>
  <c r="G1750" i="35"/>
  <c r="I1750" i="35" s="1"/>
  <c r="G1751" i="35"/>
  <c r="I1751" i="35" s="1"/>
  <c r="I1749" i="35"/>
  <c r="Q459" i="35"/>
  <c r="P459" i="35" s="1"/>
  <c r="L165" i="35"/>
  <c r="Q165" i="35" s="1"/>
  <c r="Q9" i="35"/>
  <c r="P8" i="35" s="1"/>
  <c r="Q150" i="35"/>
  <c r="Q146" i="35" s="1"/>
  <c r="P146" i="35" s="1"/>
  <c r="I949" i="35"/>
  <c r="G1100" i="35"/>
  <c r="G1246" i="35"/>
  <c r="I1245" i="35"/>
  <c r="G337" i="35"/>
  <c r="I337" i="35" s="1"/>
  <c r="Q1055" i="35"/>
  <c r="P1055" i="35" s="1"/>
  <c r="I1114" i="35"/>
  <c r="G1115" i="35"/>
  <c r="G1542" i="35"/>
  <c r="I1545" i="35"/>
  <c r="I1548" i="35"/>
  <c r="G1549" i="35"/>
  <c r="G766" i="35"/>
  <c r="G767" i="35" s="1"/>
  <c r="G768" i="35" s="1"/>
  <c r="G769" i="35" s="1"/>
  <c r="G770" i="35" s="1"/>
  <c r="G771" i="35" s="1"/>
  <c r="G772" i="35" s="1"/>
  <c r="G773" i="35" s="1"/>
  <c r="G1555" i="35"/>
  <c r="I1554" i="35"/>
  <c r="G563" i="35"/>
  <c r="G593" i="35"/>
  <c r="I592" i="35"/>
  <c r="M1418" i="35"/>
  <c r="Q1418" i="35" s="1"/>
  <c r="Q1414" i="35"/>
  <c r="Q1509" i="35"/>
  <c r="L1510" i="35"/>
  <c r="Q1510" i="35" s="1"/>
  <c r="G482" i="35"/>
  <c r="I482" i="35" s="1"/>
  <c r="Q700" i="35"/>
  <c r="P700" i="35" s="1"/>
  <c r="I925" i="35"/>
  <c r="G926" i="35"/>
  <c r="G1311" i="35"/>
  <c r="G1312" i="35" s="1"/>
  <c r="G1509" i="35"/>
  <c r="G1607" i="35"/>
  <c r="I1606" i="35"/>
  <c r="G323" i="35"/>
  <c r="I323" i="35" s="1"/>
  <c r="M372" i="35"/>
  <c r="G471" i="35"/>
  <c r="I471" i="35" s="1"/>
  <c r="G513" i="35"/>
  <c r="I619" i="35"/>
  <c r="I1228" i="35"/>
  <c r="G1229" i="35"/>
  <c r="G1339" i="35"/>
  <c r="I1339" i="35" s="1"/>
  <c r="I1338" i="35"/>
  <c r="Q1342" i="35"/>
  <c r="T1342" i="35" s="1"/>
  <c r="L375" i="3" s="1"/>
  <c r="G1396" i="35"/>
  <c r="I1396" i="35" s="1"/>
  <c r="Q1449" i="35"/>
  <c r="P1449" i="35" s="1"/>
  <c r="I1481" i="35"/>
  <c r="G1482" i="35"/>
  <c r="G1571" i="35"/>
  <c r="I1571" i="35" s="1"/>
  <c r="I1570" i="35"/>
  <c r="Q30" i="35"/>
  <c r="P30" i="35" s="1"/>
  <c r="Q959" i="35"/>
  <c r="Q953" i="35" s="1"/>
  <c r="P953" i="35" s="1"/>
  <c r="G1505" i="35"/>
  <c r="I1505" i="35" s="1"/>
  <c r="I1605" i="35"/>
  <c r="G1831" i="35"/>
  <c r="G1826" i="35"/>
  <c r="Q476" i="35"/>
  <c r="I1825" i="35"/>
  <c r="G1842" i="35"/>
  <c r="I1841" i="35"/>
  <c r="Q179" i="35"/>
  <c r="Q175" i="35" s="1"/>
  <c r="P175" i="35" s="1"/>
  <c r="G467" i="35"/>
  <c r="G1720" i="35"/>
  <c r="G1722" i="35" s="1"/>
  <c r="G1724" i="35"/>
  <c r="G1725" i="35" s="1"/>
  <c r="G1721" i="35"/>
  <c r="I1721" i="35" s="1"/>
  <c r="P288" i="35"/>
  <c r="I663" i="35"/>
  <c r="I1533" i="35"/>
  <c r="I1600" i="35"/>
  <c r="G1601" i="35"/>
  <c r="G187" i="35"/>
  <c r="I187" i="35" s="1"/>
  <c r="Q16" i="35"/>
  <c r="Q14" i="35" s="1"/>
  <c r="P14" i="35" s="1"/>
  <c r="G76" i="35"/>
  <c r="I76" i="35" s="1"/>
  <c r="I664" i="35"/>
  <c r="Q1108" i="35"/>
  <c r="P1108" i="35" s="1"/>
  <c r="Q1369" i="35"/>
  <c r="P1369" i="35" s="1"/>
  <c r="L1534" i="35"/>
  <c r="Q1534" i="35" s="1"/>
  <c r="Q1533" i="35"/>
  <c r="Q1744" i="35"/>
  <c r="Q981" i="35"/>
  <c r="G1350" i="35"/>
  <c r="I1350" i="35" s="1"/>
  <c r="G1759" i="35"/>
  <c r="I1759" i="35" s="1"/>
  <c r="G1758" i="35"/>
  <c r="I1758" i="35" s="1"/>
  <c r="I538" i="35"/>
  <c r="G539" i="35"/>
  <c r="Q1433" i="35"/>
  <c r="I1641" i="35"/>
  <c r="G1642" i="35"/>
  <c r="I1708" i="35"/>
  <c r="G1653" i="35"/>
  <c r="G812" i="35"/>
  <c r="I811" i="35"/>
  <c r="G1296" i="35"/>
  <c r="G256" i="35"/>
  <c r="I256" i="35" s="1"/>
  <c r="Q387" i="35"/>
  <c r="Q379" i="35" s="1"/>
  <c r="Q375" i="35" s="1"/>
  <c r="P375" i="35" s="1"/>
  <c r="Q406" i="35"/>
  <c r="G567" i="35"/>
  <c r="G945" i="35"/>
  <c r="I944" i="35"/>
  <c r="Q1419" i="35"/>
  <c r="Q1431" i="35"/>
  <c r="T1431" i="35" s="1"/>
  <c r="L405" i="3" s="1"/>
  <c r="Q1698" i="35"/>
  <c r="Q1715" i="35"/>
  <c r="P1715" i="35" s="1"/>
  <c r="G1077" i="35"/>
  <c r="G1078" i="35" s="1"/>
  <c r="G1079" i="35" s="1"/>
  <c r="G1080" i="35" s="1"/>
  <c r="G1081" i="35" s="1"/>
  <c r="G1082" i="35" s="1"/>
  <c r="G1083" i="35" s="1"/>
  <c r="G1084" i="35" s="1"/>
  <c r="G1085" i="35" s="1"/>
  <c r="G1086" i="35" s="1"/>
  <c r="G1087" i="35" s="1"/>
  <c r="G1088" i="35" s="1"/>
  <c r="G1089" i="35" s="1"/>
  <c r="G1090" i="35" s="1"/>
  <c r="P1390" i="35"/>
  <c r="Q1392" i="35"/>
  <c r="Q1394" i="35"/>
  <c r="Q1483" i="35"/>
  <c r="G1519" i="35"/>
  <c r="I1519" i="35" s="1"/>
  <c r="Q1599" i="35"/>
  <c r="Q756" i="35"/>
  <c r="P756" i="35" s="1"/>
  <c r="Q1332" i="35"/>
  <c r="Q1654" i="35"/>
  <c r="T1654" i="35" s="1"/>
  <c r="Q1475" i="35"/>
  <c r="G1187" i="35"/>
  <c r="G1188" i="35" s="1"/>
  <c r="Q1348" i="35"/>
  <c r="Q1351" i="35"/>
  <c r="Q1349" i="35" s="1"/>
  <c r="P1349" i="35" s="1"/>
  <c r="Q1439" i="35"/>
  <c r="P1439" i="35" s="1"/>
  <c r="Q1531" i="35"/>
  <c r="Q1334" i="35"/>
  <c r="Q1355" i="35"/>
  <c r="Q1352" i="35" s="1"/>
  <c r="P1352" i="35" s="1"/>
  <c r="G1376" i="35"/>
  <c r="Q1781" i="35"/>
  <c r="G1392" i="35"/>
  <c r="I1392" i="35" s="1"/>
  <c r="Q1748" i="35"/>
  <c r="Q1347" i="35"/>
  <c r="Q1666" i="35"/>
  <c r="P1666" i="35" s="1"/>
  <c r="Q1696" i="35"/>
  <c r="Q1378" i="35"/>
  <c r="P1378" i="35" s="1"/>
  <c r="G1399" i="35"/>
  <c r="G1400" i="35" s="1"/>
  <c r="Q1694" i="35"/>
  <c r="P1694" i="35" s="1"/>
  <c r="Q1366" i="35"/>
  <c r="Q1357" i="35" s="1"/>
  <c r="P1357" i="35" s="1"/>
  <c r="Q1472" i="35"/>
  <c r="Q1547" i="35" l="1"/>
  <c r="P1547" i="35" s="1"/>
  <c r="T1548" i="35"/>
  <c r="I396" i="35"/>
  <c r="G689" i="35"/>
  <c r="G690" i="35" s="1"/>
  <c r="I690" i="35" s="1"/>
  <c r="P1698" i="35"/>
  <c r="G94" i="35"/>
  <c r="I94" i="35" s="1"/>
  <c r="Q450" i="35"/>
  <c r="P450" i="35" s="1"/>
  <c r="L515" i="3"/>
  <c r="P1696" i="35"/>
  <c r="P1425" i="35"/>
  <c r="T1425" i="35"/>
  <c r="L402" i="3" s="1"/>
  <c r="P1572" i="35"/>
  <c r="P1444" i="35"/>
  <c r="T1444" i="35"/>
  <c r="L407" i="3" s="1"/>
  <c r="G177" i="35"/>
  <c r="P1695" i="35"/>
  <c r="P1717" i="35"/>
  <c r="G871" i="35"/>
  <c r="I871" i="35" s="1"/>
  <c r="L403" i="35"/>
  <c r="Q403" i="35" s="1"/>
  <c r="G1764" i="35"/>
  <c r="Q1337" i="35"/>
  <c r="P1337" i="35" s="1"/>
  <c r="Q1430" i="35"/>
  <c r="I1762" i="35"/>
  <c r="Q1652" i="35"/>
  <c r="P1652" i="35" s="1"/>
  <c r="Q1824" i="35"/>
  <c r="P1824" i="35" s="1"/>
  <c r="Q405" i="35"/>
  <c r="P405" i="35" s="1"/>
  <c r="G12" i="35"/>
  <c r="I12" i="35" s="1"/>
  <c r="I10" i="35"/>
  <c r="G156" i="35"/>
  <c r="G158" i="35" s="1"/>
  <c r="I158" i="35" s="1"/>
  <c r="G667" i="35"/>
  <c r="G668" i="35" s="1"/>
  <c r="P1777" i="35"/>
  <c r="G447" i="35"/>
  <c r="G165" i="35"/>
  <c r="I165" i="35" s="1"/>
  <c r="G511" i="35"/>
  <c r="I511" i="35" s="1"/>
  <c r="G553" i="35"/>
  <c r="G554" i="35" s="1"/>
  <c r="I554" i="35" s="1"/>
  <c r="G964" i="35"/>
  <c r="G965" i="35" s="1"/>
  <c r="I641" i="35"/>
  <c r="I832" i="35"/>
  <c r="G1351" i="35"/>
  <c r="I1351" i="35" s="1"/>
  <c r="G452" i="35"/>
  <c r="G453" i="35" s="1"/>
  <c r="G1776" i="35"/>
  <c r="I1776" i="35" s="1"/>
  <c r="I103" i="35"/>
  <c r="G104" i="35"/>
  <c r="I104" i="35" s="1"/>
  <c r="G1807" i="35"/>
  <c r="I1807" i="35" s="1"/>
  <c r="I686" i="35"/>
  <c r="G734" i="35"/>
  <c r="G735" i="35" s="1"/>
  <c r="G340" i="35"/>
  <c r="I340" i="35" s="1"/>
  <c r="G25" i="35"/>
  <c r="G26" i="35" s="1"/>
  <c r="I26" i="35" s="1"/>
  <c r="G1691" i="35"/>
  <c r="I1691" i="35" s="1"/>
  <c r="I729" i="35"/>
  <c r="G1683" i="35"/>
  <c r="I1683" i="35" s="1"/>
  <c r="G691" i="35"/>
  <c r="I691" i="35" s="1"/>
  <c r="G440" i="35"/>
  <c r="I440" i="35" s="1"/>
  <c r="I600" i="35"/>
  <c r="G427" i="35"/>
  <c r="G428" i="35" s="1"/>
  <c r="I428" i="35" s="1"/>
  <c r="Q399" i="35"/>
  <c r="P399" i="35" s="1"/>
  <c r="G1397" i="35"/>
  <c r="I1397" i="35" s="1"/>
  <c r="G1694" i="35"/>
  <c r="I1694" i="35" s="1"/>
  <c r="I687" i="35"/>
  <c r="G549" i="35"/>
  <c r="G550" i="35" s="1"/>
  <c r="I550" i="35" s="1"/>
  <c r="I495" i="35"/>
  <c r="Q1773" i="35"/>
  <c r="P1773" i="35" s="1"/>
  <c r="G1491" i="35"/>
  <c r="G1432" i="35"/>
  <c r="I1432" i="35" s="1"/>
  <c r="I868" i="35"/>
  <c r="G496" i="35"/>
  <c r="I496" i="35" s="1"/>
  <c r="I624" i="35"/>
  <c r="G391" i="35"/>
  <c r="G392" i="35" s="1"/>
  <c r="I392" i="35" s="1"/>
  <c r="G145" i="35"/>
  <c r="I145" i="35" s="1"/>
  <c r="I607" i="35"/>
  <c r="I116" i="35"/>
  <c r="G1472" i="35"/>
  <c r="G324" i="35"/>
  <c r="I324" i="35" s="1"/>
  <c r="G1441" i="35"/>
  <c r="G148" i="35"/>
  <c r="I148" i="35" s="1"/>
  <c r="G436" i="35"/>
  <c r="P1500" i="35"/>
  <c r="G120" i="35"/>
  <c r="I120" i="35" s="1"/>
  <c r="Q1760" i="35"/>
  <c r="P1411" i="35"/>
  <c r="Q1480" i="35"/>
  <c r="P1478" i="35" s="1"/>
  <c r="G97" i="35"/>
  <c r="G98" i="35" s="1"/>
  <c r="Q961" i="35"/>
  <c r="P961" i="35" s="1"/>
  <c r="G433" i="35"/>
  <c r="G434" i="35" s="1"/>
  <c r="G1528" i="35"/>
  <c r="I1528" i="35" s="1"/>
  <c r="G800" i="35"/>
  <c r="I800" i="35" s="1"/>
  <c r="G16" i="35"/>
  <c r="G17" i="35" s="1"/>
  <c r="I17" i="35" s="1"/>
  <c r="G27" i="35"/>
  <c r="I27" i="35" s="1"/>
  <c r="I553" i="35"/>
  <c r="I1333" i="35"/>
  <c r="G412" i="35"/>
  <c r="G413" i="35" s="1"/>
  <c r="I413" i="35" s="1"/>
  <c r="P475" i="35"/>
  <c r="G22" i="35"/>
  <c r="I22" i="35" s="1"/>
  <c r="G1383" i="35"/>
  <c r="I1383" i="35" s="1"/>
  <c r="Q1532" i="35"/>
  <c r="P1532" i="35" s="1"/>
  <c r="Q287" i="35"/>
  <c r="G1446" i="35"/>
  <c r="I1446" i="35" s="1"/>
  <c r="G1668" i="35"/>
  <c r="I1668" i="35" s="1"/>
  <c r="I115" i="35"/>
  <c r="G1775" i="35"/>
  <c r="I1775" i="35" s="1"/>
  <c r="G407" i="35"/>
  <c r="I407" i="35" s="1"/>
  <c r="I601" i="35"/>
  <c r="I545" i="35"/>
  <c r="G442" i="35"/>
  <c r="I442" i="35" s="1"/>
  <c r="G28" i="35"/>
  <c r="I28" i="35" s="1"/>
  <c r="Q1689" i="35"/>
  <c r="Q1692" i="35"/>
  <c r="G378" i="35"/>
  <c r="I378" i="35" s="1"/>
  <c r="G1537" i="35"/>
  <c r="I1537" i="35" s="1"/>
  <c r="I841" i="35"/>
  <c r="G1588" i="35"/>
  <c r="I1588" i="35" s="1"/>
  <c r="G166" i="35"/>
  <c r="I166" i="35" s="1"/>
  <c r="G1783" i="35"/>
  <c r="G416" i="35"/>
  <c r="I416" i="35" s="1"/>
  <c r="I139" i="35"/>
  <c r="G1371" i="35"/>
  <c r="I1371" i="35" s="1"/>
  <c r="Q1719" i="35"/>
  <c r="G1520" i="35"/>
  <c r="I1520" i="35" s="1"/>
  <c r="G290" i="35"/>
  <c r="I290" i="35" s="1"/>
  <c r="Q1331" i="35"/>
  <c r="P1331" i="35" s="1"/>
  <c r="Q1470" i="35"/>
  <c r="P1470" i="35" s="1"/>
  <c r="G1359" i="35"/>
  <c r="I1359" i="35" s="1"/>
  <c r="P1585" i="35"/>
  <c r="G704" i="35"/>
  <c r="G705" i="35" s="1"/>
  <c r="G706" i="35" s="1"/>
  <c r="Q1340" i="35"/>
  <c r="P1340" i="35" s="1"/>
  <c r="Q163" i="35"/>
  <c r="P163" i="35" s="1"/>
  <c r="G135" i="35"/>
  <c r="I135" i="35" s="1"/>
  <c r="G1424" i="35"/>
  <c r="Q1489" i="35"/>
  <c r="P1489" i="35" s="1"/>
  <c r="G417" i="35"/>
  <c r="I98" i="35"/>
  <c r="G99" i="35"/>
  <c r="I1400" i="35"/>
  <c r="G1401" i="35"/>
  <c r="G1116" i="35"/>
  <c r="I1115" i="35"/>
  <c r="I539" i="35"/>
  <c r="G540" i="35"/>
  <c r="I152" i="35"/>
  <c r="G153" i="35"/>
  <c r="I153" i="35" s="1"/>
  <c r="G1230" i="35"/>
  <c r="I1229" i="35"/>
  <c r="G1343" i="35"/>
  <c r="I1342" i="35"/>
  <c r="G1433" i="35"/>
  <c r="G594" i="35"/>
  <c r="I593" i="35"/>
  <c r="I391" i="35"/>
  <c r="I447" i="35"/>
  <c r="G448" i="35"/>
  <c r="L1306" i="35"/>
  <c r="Q1306" i="35" s="1"/>
  <c r="Q1304" i="35" s="1"/>
  <c r="P1304" i="35" s="1"/>
  <c r="L1300" i="35"/>
  <c r="Q1300" i="35" s="1"/>
  <c r="Q1295" i="35" s="1"/>
  <c r="P1295" i="35" s="1"/>
  <c r="P1430" i="35"/>
  <c r="I467" i="35"/>
  <c r="G468" i="35"/>
  <c r="G520" i="35"/>
  <c r="I519" i="35"/>
  <c r="Q133" i="35"/>
  <c r="P131" i="35" s="1"/>
  <c r="I1549" i="35"/>
  <c r="G1550" i="35"/>
  <c r="G1335" i="35"/>
  <c r="I1334" i="35"/>
  <c r="Q138" i="35"/>
  <c r="P138" i="35" s="1"/>
  <c r="I567" i="35"/>
  <c r="G568" i="35"/>
  <c r="I568" i="35" s="1"/>
  <c r="G1513" i="35"/>
  <c r="I1512" i="35"/>
  <c r="I129" i="35"/>
  <c r="G130" i="35"/>
  <c r="I130" i="35" s="1"/>
  <c r="G1197" i="35"/>
  <c r="I1196" i="35"/>
  <c r="I955" i="35"/>
  <c r="G956" i="35"/>
  <c r="I1574" i="35"/>
  <c r="G1575" i="35"/>
  <c r="G1297" i="35"/>
  <c r="I1296" i="35"/>
  <c r="G1726" i="35"/>
  <c r="I1726" i="35" s="1"/>
  <c r="G1727" i="35"/>
  <c r="I1725" i="35"/>
  <c r="I1110" i="35"/>
  <c r="G1111" i="35"/>
  <c r="I1111" i="35" s="1"/>
  <c r="G401" i="35"/>
  <c r="I400" i="35"/>
  <c r="G609" i="35"/>
  <c r="I608" i="35"/>
  <c r="G188" i="35"/>
  <c r="I513" i="35"/>
  <c r="G514" i="35"/>
  <c r="G508" i="35"/>
  <c r="I508" i="35" s="1"/>
  <c r="I507" i="35"/>
  <c r="I546" i="35"/>
  <c r="G547" i="35"/>
  <c r="I488" i="35"/>
  <c r="G489" i="35"/>
  <c r="G1377" i="35"/>
  <c r="I1377" i="35" s="1"/>
  <c r="I1376" i="35"/>
  <c r="I478" i="35"/>
  <c r="G479" i="35"/>
  <c r="Q372" i="35"/>
  <c r="G257" i="35"/>
  <c r="G33" i="35"/>
  <c r="G483" i="35"/>
  <c r="I1642" i="35"/>
  <c r="G1643" i="35"/>
  <c r="G505" i="35"/>
  <c r="I505" i="35" s="1"/>
  <c r="I504" i="35"/>
  <c r="I1826" i="35"/>
  <c r="G1827" i="35"/>
  <c r="Q1508" i="35"/>
  <c r="P1508" i="35" s="1"/>
  <c r="G1582" i="35"/>
  <c r="I1581" i="35"/>
  <c r="I307" i="35"/>
  <c r="G308" i="35"/>
  <c r="G105" i="35"/>
  <c r="G106" i="35" s="1"/>
  <c r="G1510" i="35"/>
  <c r="I1510" i="35" s="1"/>
  <c r="I1509" i="35"/>
  <c r="G1101" i="35"/>
  <c r="I1100" i="35"/>
  <c r="G1506" i="35"/>
  <c r="I1506" i="35" s="1"/>
  <c r="I833" i="35"/>
  <c r="G834" i="35"/>
  <c r="G643" i="35"/>
  <c r="I642" i="35"/>
  <c r="G813" i="35"/>
  <c r="I812" i="35"/>
  <c r="G1723" i="35"/>
  <c r="I1722" i="35"/>
  <c r="G1618" i="35"/>
  <c r="I1617" i="35"/>
  <c r="G586" i="35"/>
  <c r="I585" i="35"/>
  <c r="G534" i="35"/>
  <c r="I533" i="35"/>
  <c r="I653" i="35"/>
  <c r="G654" i="35"/>
  <c r="I1482" i="35"/>
  <c r="G1483" i="35"/>
  <c r="I945" i="35"/>
  <c r="G946" i="35"/>
  <c r="G398" i="35"/>
  <c r="I398" i="35" s="1"/>
  <c r="G878" i="35"/>
  <c r="I877" i="35"/>
  <c r="G472" i="35"/>
  <c r="I1831" i="35"/>
  <c r="G1832" i="35"/>
  <c r="G1833" i="35" s="1"/>
  <c r="I1542" i="35"/>
  <c r="G1544" i="35"/>
  <c r="I1544" i="35" s="1"/>
  <c r="G204" i="35"/>
  <c r="I203" i="35"/>
  <c r="G952" i="35"/>
  <c r="I952" i="35" s="1"/>
  <c r="I951" i="35"/>
  <c r="G529" i="35"/>
  <c r="G581" i="35"/>
  <c r="I581" i="35" s="1"/>
  <c r="I580" i="35"/>
  <c r="G424" i="35"/>
  <c r="I424" i="35" s="1"/>
  <c r="I791" i="35"/>
  <c r="G792" i="35"/>
  <c r="G1843" i="35"/>
  <c r="I1842" i="35"/>
  <c r="I328" i="35"/>
  <c r="G329" i="35"/>
  <c r="G843" i="35"/>
  <c r="I842" i="35"/>
  <c r="I926" i="35"/>
  <c r="G927" i="35"/>
  <c r="G1602" i="35"/>
  <c r="I1601" i="35"/>
  <c r="G1393" i="35"/>
  <c r="G564" i="35"/>
  <c r="I563" i="35"/>
  <c r="G692" i="35"/>
  <c r="G141" i="35"/>
  <c r="I141" i="35" s="1"/>
  <c r="I140" i="35"/>
  <c r="G1654" i="35"/>
  <c r="I1653" i="35"/>
  <c r="G603" i="35"/>
  <c r="I602" i="35"/>
  <c r="I346" i="35"/>
  <c r="G347" i="35"/>
  <c r="G1173" i="35"/>
  <c r="G1174" i="35" s="1"/>
  <c r="G464" i="35"/>
  <c r="G1608" i="35"/>
  <c r="I1607" i="35"/>
  <c r="G1556" i="35"/>
  <c r="I1555" i="35"/>
  <c r="G1247" i="35"/>
  <c r="I1246" i="35"/>
  <c r="I1636" i="35"/>
  <c r="G1637" i="35"/>
  <c r="I676" i="35"/>
  <c r="G677" i="35"/>
  <c r="G1354" i="35"/>
  <c r="G77" i="35"/>
  <c r="P1689" i="35" l="1"/>
  <c r="T1689" i="35"/>
  <c r="L452" i="3" s="1"/>
  <c r="G497" i="35"/>
  <c r="I497" i="35" s="1"/>
  <c r="I689" i="35"/>
  <c r="I177" i="35"/>
  <c r="G178" i="35"/>
  <c r="G555" i="35"/>
  <c r="P1692" i="35"/>
  <c r="G1765" i="35"/>
  <c r="G1766" i="35" s="1"/>
  <c r="I1764" i="35"/>
  <c r="I452" i="35"/>
  <c r="I549" i="35"/>
  <c r="I156" i="35"/>
  <c r="G159" i="35"/>
  <c r="G149" i="35"/>
  <c r="G157" i="35"/>
  <c r="I157" i="35" s="1"/>
  <c r="I964" i="35"/>
  <c r="I667" i="35"/>
  <c r="I734" i="35"/>
  <c r="G291" i="35"/>
  <c r="G292" i="35" s="1"/>
  <c r="G1684" i="35"/>
  <c r="I1684" i="35" s="1"/>
  <c r="I433" i="35"/>
  <c r="G441" i="35"/>
  <c r="I441" i="35" s="1"/>
  <c r="G1529" i="35"/>
  <c r="G1530" i="35" s="1"/>
  <c r="G429" i="35"/>
  <c r="I429" i="35" s="1"/>
  <c r="G325" i="35"/>
  <c r="I325" i="35" s="1"/>
  <c r="G1372" i="35"/>
  <c r="G1373" i="35" s="1"/>
  <c r="I1373" i="35" s="1"/>
  <c r="G1521" i="35"/>
  <c r="I1521" i="35" s="1"/>
  <c r="G408" i="35"/>
  <c r="I408" i="35" s="1"/>
  <c r="G443" i="35"/>
  <c r="I443" i="35" s="1"/>
  <c r="I1491" i="35"/>
  <c r="G1492" i="35"/>
  <c r="G29" i="35"/>
  <c r="I29" i="35" s="1"/>
  <c r="G1669" i="35"/>
  <c r="I1669" i="35" s="1"/>
  <c r="G136" i="35"/>
  <c r="G137" i="35" s="1"/>
  <c r="I137" i="35" s="1"/>
  <c r="G393" i="35"/>
  <c r="I393" i="35" s="1"/>
  <c r="G1447" i="35"/>
  <c r="I1447" i="35" s="1"/>
  <c r="G1538" i="35"/>
  <c r="G1539" i="35" s="1"/>
  <c r="I1441" i="35"/>
  <c r="G1442" i="35"/>
  <c r="G379" i="35"/>
  <c r="G380" i="35" s="1"/>
  <c r="G381" i="35" s="1"/>
  <c r="G18" i="35"/>
  <c r="I18" i="35" s="1"/>
  <c r="G1384" i="35"/>
  <c r="I1384" i="35" s="1"/>
  <c r="G121" i="35"/>
  <c r="I121" i="35" s="1"/>
  <c r="P1718" i="35"/>
  <c r="I412" i="35"/>
  <c r="G801" i="35"/>
  <c r="I801" i="35" s="1"/>
  <c r="I436" i="35"/>
  <c r="G437" i="35"/>
  <c r="I437" i="35" s="1"/>
  <c r="I1472" i="35"/>
  <c r="G1473" i="35"/>
  <c r="G167" i="35"/>
  <c r="G168" i="35" s="1"/>
  <c r="G1426" i="35"/>
  <c r="I1424" i="35"/>
  <c r="I1783" i="35"/>
  <c r="G1784" i="35"/>
  <c r="G1589" i="35"/>
  <c r="I1589" i="35" s="1"/>
  <c r="I705" i="35"/>
  <c r="G1360" i="35"/>
  <c r="I1360" i="35" s="1"/>
  <c r="I417" i="35"/>
  <c r="G418" i="35"/>
  <c r="G78" i="35"/>
  <c r="I77" i="35"/>
  <c r="I159" i="35"/>
  <c r="G160" i="35"/>
  <c r="I1354" i="35"/>
  <c r="G1355" i="35"/>
  <c r="G530" i="35"/>
  <c r="I530" i="35" s="1"/>
  <c r="I529" i="35"/>
  <c r="I878" i="35"/>
  <c r="G879" i="35"/>
  <c r="I1582" i="35"/>
  <c r="G1583" i="35"/>
  <c r="G1576" i="35"/>
  <c r="I1575" i="35"/>
  <c r="I448" i="35"/>
  <c r="G449" i="35"/>
  <c r="I449" i="35" s="1"/>
  <c r="G604" i="35"/>
  <c r="I603" i="35"/>
  <c r="G587" i="35"/>
  <c r="I586" i="35"/>
  <c r="G1102" i="35"/>
  <c r="I1101" i="35"/>
  <c r="G1551" i="35"/>
  <c r="I1551" i="35" s="1"/>
  <c r="I1550" i="35"/>
  <c r="I1483" i="35"/>
  <c r="G1484" i="35"/>
  <c r="G1619" i="35"/>
  <c r="I1618" i="35"/>
  <c r="L374" i="35"/>
  <c r="Q374" i="35" s="1"/>
  <c r="Q367" i="35" s="1"/>
  <c r="Q344" i="35" s="1"/>
  <c r="P344" i="35" s="1"/>
  <c r="G1248" i="35"/>
  <c r="I1247" i="35"/>
  <c r="I564" i="35"/>
  <c r="G565" i="35"/>
  <c r="I565" i="35" s="1"/>
  <c r="G205" i="35"/>
  <c r="I204" i="35"/>
  <c r="G480" i="35"/>
  <c r="I480" i="35" s="1"/>
  <c r="I479" i="35"/>
  <c r="I609" i="35"/>
  <c r="G610" i="35"/>
  <c r="G1394" i="35"/>
  <c r="I1394" i="35" s="1"/>
  <c r="I1393" i="35"/>
  <c r="I1723" i="35"/>
  <c r="G1728" i="35"/>
  <c r="G1729" i="35" s="1"/>
  <c r="I594" i="35"/>
  <c r="G595" i="35"/>
  <c r="I347" i="35"/>
  <c r="G348" i="35"/>
  <c r="I188" i="35"/>
  <c r="G189" i="35"/>
  <c r="G1638" i="35"/>
  <c r="I1637" i="35"/>
  <c r="G1844" i="35"/>
  <c r="I1843" i="35"/>
  <c r="G1336" i="35"/>
  <c r="I1336" i="35" s="1"/>
  <c r="I1335" i="35"/>
  <c r="G1117" i="35"/>
  <c r="I1116" i="35"/>
  <c r="I1654" i="35"/>
  <c r="G1655" i="35"/>
  <c r="G1557" i="35"/>
  <c r="I1556" i="35"/>
  <c r="I706" i="35"/>
  <c r="G707" i="35"/>
  <c r="I106" i="35"/>
  <c r="G107" i="35"/>
  <c r="I434" i="35"/>
  <c r="G435" i="35"/>
  <c r="I435" i="35" s="1"/>
  <c r="I489" i="35"/>
  <c r="G490" i="35"/>
  <c r="I490" i="35" s="1"/>
  <c r="G1603" i="35"/>
  <c r="I1603" i="35" s="1"/>
  <c r="I1602" i="35"/>
  <c r="I472" i="35"/>
  <c r="G473" i="35"/>
  <c r="G655" i="35"/>
  <c r="I654" i="35"/>
  <c r="I643" i="35"/>
  <c r="G644" i="35"/>
  <c r="I99" i="35"/>
  <c r="G100" i="35"/>
  <c r="I100" i="35" s="1"/>
  <c r="I534" i="35"/>
  <c r="G535" i="35"/>
  <c r="I483" i="35"/>
  <c r="G484" i="35"/>
  <c r="I843" i="35"/>
  <c r="G844" i="35"/>
  <c r="I540" i="35"/>
  <c r="G541" i="35"/>
  <c r="I541" i="35" s="1"/>
  <c r="I834" i="35"/>
  <c r="G835" i="35"/>
  <c r="I835" i="35" s="1"/>
  <c r="I677" i="35"/>
  <c r="G678" i="35"/>
  <c r="I678" i="35" s="1"/>
  <c r="I33" i="35"/>
  <c r="G34" i="35"/>
  <c r="I1297" i="35"/>
  <c r="G1298" i="35"/>
  <c r="I257" i="35"/>
  <c r="G258" i="35"/>
  <c r="G947" i="35"/>
  <c r="I947" i="35" s="1"/>
  <c r="I946" i="35"/>
  <c r="G793" i="35"/>
  <c r="I792" i="35"/>
  <c r="I735" i="35"/>
  <c r="G736" i="35"/>
  <c r="I149" i="35"/>
  <c r="G150" i="35"/>
  <c r="I150" i="35" s="1"/>
  <c r="I401" i="35"/>
  <c r="G402" i="35"/>
  <c r="G1834" i="35"/>
  <c r="I1834" i="35" s="1"/>
  <c r="I1833" i="35"/>
  <c r="I813" i="35"/>
  <c r="G814" i="35"/>
  <c r="G1402" i="35"/>
  <c r="G1403" i="35" s="1"/>
  <c r="I1401" i="35"/>
  <c r="I668" i="35"/>
  <c r="G669" i="35"/>
  <c r="I308" i="35"/>
  <c r="G309" i="35"/>
  <c r="G1344" i="35"/>
  <c r="I1343" i="35"/>
  <c r="I453" i="35"/>
  <c r="G454" i="35"/>
  <c r="I927" i="35"/>
  <c r="G928" i="35"/>
  <c r="I1643" i="35"/>
  <c r="G1644" i="35"/>
  <c r="G548" i="35"/>
  <c r="I548" i="35" s="1"/>
  <c r="I547" i="35"/>
  <c r="I1727" i="35"/>
  <c r="G1732" i="35"/>
  <c r="G1733" i="35" s="1"/>
  <c r="G521" i="35"/>
  <c r="I520" i="35"/>
  <c r="G1231" i="35"/>
  <c r="I1230" i="35"/>
  <c r="I329" i="35"/>
  <c r="G330" i="35"/>
  <c r="G556" i="35"/>
  <c r="I555" i="35"/>
  <c r="I514" i="35"/>
  <c r="G515" i="35"/>
  <c r="G693" i="35"/>
  <c r="I692" i="35"/>
  <c r="I965" i="35"/>
  <c r="G966" i="35"/>
  <c r="I956" i="35"/>
  <c r="G957" i="35"/>
  <c r="I1827" i="35"/>
  <c r="G1828" i="35"/>
  <c r="I1433" i="35"/>
  <c r="G1434" i="35"/>
  <c r="I1197" i="35"/>
  <c r="G1198" i="35"/>
  <c r="G1609" i="35"/>
  <c r="I1608" i="35"/>
  <c r="I464" i="35"/>
  <c r="G465" i="35"/>
  <c r="I465" i="35" s="1"/>
  <c r="G498" i="35"/>
  <c r="I1513" i="35"/>
  <c r="G1514" i="35"/>
  <c r="G469" i="35"/>
  <c r="I469" i="35" s="1"/>
  <c r="I468" i="35"/>
  <c r="G180" i="35" l="1"/>
  <c r="I178" i="35"/>
  <c r="G179" i="35"/>
  <c r="I179" i="35" s="1"/>
  <c r="I167" i="35"/>
  <c r="G122" i="35"/>
  <c r="G123" i="35" s="1"/>
  <c r="I123" i="35" s="1"/>
  <c r="G1448" i="35"/>
  <c r="G1450" i="35" s="1"/>
  <c r="I1450" i="35" s="1"/>
  <c r="I1529" i="35"/>
  <c r="G394" i="35"/>
  <c r="I394" i="35" s="1"/>
  <c r="I291" i="35"/>
  <c r="G1685" i="35"/>
  <c r="I1685" i="35" s="1"/>
  <c r="G1767" i="35"/>
  <c r="I1766" i="35"/>
  <c r="G1590" i="35"/>
  <c r="G1591" i="35" s="1"/>
  <c r="G1385" i="35"/>
  <c r="I1385" i="35" s="1"/>
  <c r="I1538" i="35"/>
  <c r="G430" i="35"/>
  <c r="I430" i="35" s="1"/>
  <c r="G444" i="35"/>
  <c r="I444" i="35" s="1"/>
  <c r="I1372" i="35"/>
  <c r="I136" i="35"/>
  <c r="G1671" i="35"/>
  <c r="I1671" i="35" s="1"/>
  <c r="G1670" i="35"/>
  <c r="I1670" i="35" s="1"/>
  <c r="I1492" i="35"/>
  <c r="G1493" i="35"/>
  <c r="G1522" i="35"/>
  <c r="G1523" i="35" s="1"/>
  <c r="G19" i="35"/>
  <c r="I19" i="35" s="1"/>
  <c r="I1473" i="35"/>
  <c r="G1474" i="35"/>
  <c r="G802" i="35"/>
  <c r="G803" i="35" s="1"/>
  <c r="G808" i="35" s="1"/>
  <c r="I808" i="35" s="1"/>
  <c r="I1442" i="35"/>
  <c r="G1443" i="35"/>
  <c r="I1443" i="35" s="1"/>
  <c r="I380" i="35"/>
  <c r="G1785" i="35"/>
  <c r="I1784" i="35"/>
  <c r="G1361" i="35"/>
  <c r="I1361" i="35" s="1"/>
  <c r="G1427" i="35"/>
  <c r="I1427" i="35" s="1"/>
  <c r="I1426" i="35"/>
  <c r="I418" i="35"/>
  <c r="G419" i="35"/>
  <c r="I419" i="35" s="1"/>
  <c r="I928" i="35"/>
  <c r="G929" i="35"/>
  <c r="G1485" i="35"/>
  <c r="I1484" i="35"/>
  <c r="I1514" i="35"/>
  <c r="G1515" i="35"/>
  <c r="I454" i="35"/>
  <c r="G455" i="35"/>
  <c r="G645" i="35"/>
  <c r="I644" i="35"/>
  <c r="I595" i="35"/>
  <c r="G596" i="35"/>
  <c r="I596" i="35" s="1"/>
  <c r="G880" i="35"/>
  <c r="I879" i="35"/>
  <c r="G958" i="35"/>
  <c r="I957" i="35"/>
  <c r="I1344" i="35"/>
  <c r="G1345" i="35"/>
  <c r="G206" i="35"/>
  <c r="I205" i="35"/>
  <c r="I309" i="35"/>
  <c r="G310" i="35"/>
  <c r="G845" i="35"/>
  <c r="I844" i="35"/>
  <c r="G474" i="35"/>
  <c r="I474" i="35" s="1"/>
  <c r="I473" i="35"/>
  <c r="G1657" i="35"/>
  <c r="I1657" i="35" s="1"/>
  <c r="I1655" i="35"/>
  <c r="G1656" i="35"/>
  <c r="I1656" i="35" s="1"/>
  <c r="G1658" i="35"/>
  <c r="I966" i="35"/>
  <c r="G967" i="35"/>
  <c r="I1231" i="35"/>
  <c r="G1232" i="35"/>
  <c r="I1232" i="35" s="1"/>
  <c r="I793" i="35"/>
  <c r="G794" i="35"/>
  <c r="G588" i="35"/>
  <c r="I587" i="35"/>
  <c r="I669" i="35"/>
  <c r="G670" i="35"/>
  <c r="I348" i="35"/>
  <c r="G349" i="35"/>
  <c r="I1355" i="35"/>
  <c r="G1356" i="35"/>
  <c r="I1356" i="35" s="1"/>
  <c r="G522" i="35"/>
  <c r="I521" i="35"/>
  <c r="G382" i="35"/>
  <c r="I381" i="35"/>
  <c r="I1117" i="35"/>
  <c r="G1118" i="35"/>
  <c r="I1248" i="35"/>
  <c r="G1249" i="35"/>
  <c r="G605" i="35"/>
  <c r="I604" i="35"/>
  <c r="G1639" i="35"/>
  <c r="I1639" i="35" s="1"/>
  <c r="I1638" i="35"/>
  <c r="I189" i="35"/>
  <c r="G190" i="35"/>
  <c r="I1828" i="35"/>
  <c r="G1829" i="35"/>
  <c r="G499" i="35"/>
  <c r="I498" i="35"/>
  <c r="I1557" i="35"/>
  <c r="G1558" i="35"/>
  <c r="G1734" i="35"/>
  <c r="I1734" i="35" s="1"/>
  <c r="G1735" i="35"/>
  <c r="I1733" i="35"/>
  <c r="G259" i="35"/>
  <c r="I258" i="35"/>
  <c r="G815" i="35"/>
  <c r="I814" i="35"/>
  <c r="I484" i="35"/>
  <c r="G485" i="35"/>
  <c r="I485" i="35" s="1"/>
  <c r="I160" i="35"/>
  <c r="G161" i="35"/>
  <c r="I292" i="35"/>
  <c r="G293" i="35"/>
  <c r="I1576" i="35"/>
  <c r="G1577" i="35"/>
  <c r="G1645" i="35"/>
  <c r="I1644" i="35"/>
  <c r="G611" i="35"/>
  <c r="I610" i="35"/>
  <c r="I402" i="35"/>
  <c r="G403" i="35"/>
  <c r="G108" i="35"/>
  <c r="I108" i="35" s="1"/>
  <c r="I107" i="35"/>
  <c r="I1434" i="35"/>
  <c r="G1435" i="35"/>
  <c r="I707" i="35"/>
  <c r="G708" i="35"/>
  <c r="G709" i="35" s="1"/>
  <c r="G737" i="35"/>
  <c r="I736" i="35"/>
  <c r="G1731" i="35"/>
  <c r="G1730" i="35"/>
  <c r="I1730" i="35" s="1"/>
  <c r="I1729" i="35"/>
  <c r="G656" i="35"/>
  <c r="I655" i="35"/>
  <c r="I1102" i="35"/>
  <c r="G1103" i="35"/>
  <c r="I693" i="35"/>
  <c r="G694" i="35"/>
  <c r="I1530" i="35"/>
  <c r="G1531" i="35"/>
  <c r="I1531" i="35" s="1"/>
  <c r="G1540" i="35"/>
  <c r="I1540" i="35" s="1"/>
  <c r="I1539" i="35"/>
  <c r="G516" i="35"/>
  <c r="I515" i="35"/>
  <c r="I1403" i="35"/>
  <c r="G1404" i="35"/>
  <c r="I1404" i="35" s="1"/>
  <c r="I168" i="35"/>
  <c r="G169" i="35"/>
  <c r="I1298" i="35"/>
  <c r="G1299" i="35"/>
  <c r="G1610" i="35"/>
  <c r="I1609" i="35"/>
  <c r="G557" i="35"/>
  <c r="I556" i="35"/>
  <c r="I34" i="35"/>
  <c r="G35" i="35"/>
  <c r="I535" i="35"/>
  <c r="G536" i="35"/>
  <c r="I536" i="35" s="1"/>
  <c r="G1584" i="35"/>
  <c r="I1584" i="35" s="1"/>
  <c r="I1583" i="35"/>
  <c r="G1199" i="35"/>
  <c r="I1198" i="35"/>
  <c r="G331" i="35"/>
  <c r="I330" i="35"/>
  <c r="G1845" i="35"/>
  <c r="I1844" i="35"/>
  <c r="G1620" i="35"/>
  <c r="I1619" i="35"/>
  <c r="I78" i="35"/>
  <c r="G79" i="35"/>
  <c r="I1590" i="35" l="1"/>
  <c r="G1451" i="35"/>
  <c r="I1451" i="35" s="1"/>
  <c r="I1448" i="35"/>
  <c r="I122" i="35"/>
  <c r="I180" i="35"/>
  <c r="G181" i="35"/>
  <c r="I1522" i="35"/>
  <c r="G1672" i="35"/>
  <c r="G1362" i="35"/>
  <c r="I1767" i="35"/>
  <c r="G1768" i="35"/>
  <c r="G804" i="35"/>
  <c r="I804" i="35" s="1"/>
  <c r="I803" i="35"/>
  <c r="G1494" i="35"/>
  <c r="I1493" i="35"/>
  <c r="I1474" i="35"/>
  <c r="G1475" i="35"/>
  <c r="G1786" i="35"/>
  <c r="I1785" i="35"/>
  <c r="I79" i="35"/>
  <c r="G80" i="35"/>
  <c r="G1524" i="35"/>
  <c r="I1523" i="35"/>
  <c r="G1578" i="35"/>
  <c r="I1578" i="35" s="1"/>
  <c r="I1577" i="35"/>
  <c r="G1250" i="35"/>
  <c r="I1249" i="35"/>
  <c r="I1672" i="35"/>
  <c r="G1673" i="35"/>
  <c r="G710" i="35"/>
  <c r="I709" i="35"/>
  <c r="G1119" i="35"/>
  <c r="I1118" i="35"/>
  <c r="I1299" i="35"/>
  <c r="G1300" i="35"/>
  <c r="G1104" i="35"/>
  <c r="I1103" i="35"/>
  <c r="I1435" i="35"/>
  <c r="G1437" i="35"/>
  <c r="I1437" i="35" s="1"/>
  <c r="G1436" i="35"/>
  <c r="I161" i="35"/>
  <c r="G162" i="35"/>
  <c r="I162" i="35" s="1"/>
  <c r="I1558" i="35"/>
  <c r="G1559" i="35"/>
  <c r="I310" i="35"/>
  <c r="G311" i="35"/>
  <c r="G332" i="35"/>
  <c r="I331" i="35"/>
  <c r="I382" i="35"/>
  <c r="G383" i="35"/>
  <c r="G646" i="35"/>
  <c r="I645" i="35"/>
  <c r="I169" i="35"/>
  <c r="G170" i="35"/>
  <c r="I170" i="35" s="1"/>
  <c r="I967" i="35"/>
  <c r="G968" i="35"/>
  <c r="G969" i="35" s="1"/>
  <c r="G456" i="35"/>
  <c r="I455" i="35"/>
  <c r="G1200" i="35"/>
  <c r="I1199" i="35"/>
  <c r="I656" i="35"/>
  <c r="G657" i="35"/>
  <c r="G500" i="35"/>
  <c r="I499" i="35"/>
  <c r="G523" i="35"/>
  <c r="I522" i="35"/>
  <c r="G207" i="35"/>
  <c r="I206" i="35"/>
  <c r="I557" i="35"/>
  <c r="G558" i="35"/>
  <c r="I259" i="35"/>
  <c r="G260" i="35"/>
  <c r="G1611" i="35"/>
  <c r="I1610" i="35"/>
  <c r="I694" i="35"/>
  <c r="G695" i="35"/>
  <c r="I1735" i="35"/>
  <c r="G1740" i="35"/>
  <c r="G1741" i="35" s="1"/>
  <c r="G846" i="35"/>
  <c r="I845" i="35"/>
  <c r="I403" i="35"/>
  <c r="G404" i="35"/>
  <c r="I404" i="35" s="1"/>
  <c r="G1830" i="35"/>
  <c r="I1830" i="35" s="1"/>
  <c r="I1829" i="35"/>
  <c r="G1346" i="35"/>
  <c r="I1345" i="35"/>
  <c r="I190" i="35"/>
  <c r="G191" i="35"/>
  <c r="G959" i="35"/>
  <c r="I959" i="35" s="1"/>
  <c r="I958" i="35"/>
  <c r="G816" i="35"/>
  <c r="I815" i="35"/>
  <c r="I349" i="35"/>
  <c r="G350" i="35"/>
  <c r="I350" i="35" s="1"/>
  <c r="G351" i="35"/>
  <c r="I1658" i="35"/>
  <c r="G1659" i="35"/>
  <c r="I929" i="35"/>
  <c r="G930" i="35"/>
  <c r="G671" i="35"/>
  <c r="I670" i="35"/>
  <c r="I1645" i="35"/>
  <c r="G1646" i="35"/>
  <c r="G1592" i="35"/>
  <c r="I1591" i="35"/>
  <c r="I1620" i="35"/>
  <c r="G1621" i="35"/>
  <c r="I588" i="35"/>
  <c r="G589" i="35"/>
  <c r="I589" i="35" s="1"/>
  <c r="I293" i="35"/>
  <c r="G294" i="35"/>
  <c r="I794" i="35"/>
  <c r="G795" i="35"/>
  <c r="I1845" i="35"/>
  <c r="G1846" i="35"/>
  <c r="I1515" i="35"/>
  <c r="G1516" i="35"/>
  <c r="I1516" i="35" s="1"/>
  <c r="I1731" i="35"/>
  <c r="G1736" i="35"/>
  <c r="G1737" i="35" s="1"/>
  <c r="I516" i="35"/>
  <c r="G517" i="35"/>
  <c r="I517" i="35" s="1"/>
  <c r="G612" i="35"/>
  <c r="I611" i="35"/>
  <c r="G1486" i="35"/>
  <c r="I1485" i="35"/>
  <c r="I35" i="35"/>
  <c r="G36" i="35"/>
  <c r="G738" i="35"/>
  <c r="I737" i="35"/>
  <c r="I1362" i="35"/>
  <c r="G1363" i="35"/>
  <c r="I880" i="35"/>
  <c r="G881" i="35"/>
  <c r="I181" i="35" l="1"/>
  <c r="G182" i="35"/>
  <c r="I1768" i="35"/>
  <c r="G1769" i="35"/>
  <c r="G1770" i="35" s="1"/>
  <c r="G809" i="35"/>
  <c r="G805" i="35"/>
  <c r="I1494" i="35"/>
  <c r="G1495" i="35"/>
  <c r="G1476" i="35"/>
  <c r="I1475" i="35"/>
  <c r="G1787" i="35"/>
  <c r="I1786" i="35"/>
  <c r="I1104" i="35"/>
  <c r="G1105" i="35"/>
  <c r="G1301" i="35"/>
  <c r="I1300" i="35"/>
  <c r="G384" i="35"/>
  <c r="I383" i="35"/>
  <c r="G1622" i="35"/>
  <c r="I1621" i="35"/>
  <c r="I1524" i="35"/>
  <c r="G1525" i="35"/>
  <c r="I1525" i="35" s="1"/>
  <c r="I1119" i="35"/>
  <c r="G1120" i="35"/>
  <c r="G882" i="35"/>
  <c r="I881" i="35"/>
  <c r="I1592" i="35"/>
  <c r="G1593" i="35"/>
  <c r="G1743" i="35"/>
  <c r="I1743" i="35" s="1"/>
  <c r="I1741" i="35"/>
  <c r="G1742" i="35"/>
  <c r="I1742" i="35" s="1"/>
  <c r="I657" i="35"/>
  <c r="G658" i="35"/>
  <c r="I311" i="35"/>
  <c r="G312" i="35"/>
  <c r="I710" i="35"/>
  <c r="G711" i="35"/>
  <c r="G712" i="35" s="1"/>
  <c r="I1737" i="35"/>
  <c r="G1739" i="35"/>
  <c r="G1738" i="35"/>
  <c r="I1738" i="35" s="1"/>
  <c r="I1646" i="35"/>
  <c r="G1647" i="35"/>
  <c r="I1673" i="35"/>
  <c r="G1674" i="35"/>
  <c r="G1364" i="35"/>
  <c r="I1363" i="35"/>
  <c r="G696" i="35"/>
  <c r="I695" i="35"/>
  <c r="G1560" i="35"/>
  <c r="I1559" i="35"/>
  <c r="G1201" i="35"/>
  <c r="I1200" i="35"/>
  <c r="G672" i="35"/>
  <c r="I671" i="35"/>
  <c r="I191" i="35"/>
  <c r="G192" i="35"/>
  <c r="G1251" i="35"/>
  <c r="I1250" i="35"/>
  <c r="G739" i="35"/>
  <c r="I738" i="35"/>
  <c r="I1846" i="35"/>
  <c r="G1847" i="35"/>
  <c r="I1611" i="35"/>
  <c r="G1612" i="35"/>
  <c r="I456" i="35"/>
  <c r="G457" i="35"/>
  <c r="I36" i="35"/>
  <c r="G37" i="35"/>
  <c r="I260" i="35"/>
  <c r="G261" i="35"/>
  <c r="G970" i="35"/>
  <c r="I969" i="35"/>
  <c r="I1436" i="35"/>
  <c r="G1438" i="35"/>
  <c r="I1438" i="35" s="1"/>
  <c r="G796" i="35"/>
  <c r="I795" i="35"/>
  <c r="I1659" i="35"/>
  <c r="G1660" i="35"/>
  <c r="I1346" i="35"/>
  <c r="G1347" i="35"/>
  <c r="I558" i="35"/>
  <c r="G559" i="35"/>
  <c r="I559" i="35" s="1"/>
  <c r="G1487" i="35"/>
  <c r="I1486" i="35"/>
  <c r="I294" i="35"/>
  <c r="G295" i="35"/>
  <c r="I351" i="35"/>
  <c r="G352" i="35"/>
  <c r="G806" i="35"/>
  <c r="I806" i="35" s="1"/>
  <c r="I805" i="35"/>
  <c r="G613" i="35"/>
  <c r="I612" i="35"/>
  <c r="I207" i="35"/>
  <c r="G208" i="35"/>
  <c r="G647" i="35"/>
  <c r="I646" i="35"/>
  <c r="I816" i="35"/>
  <c r="G817" i="35"/>
  <c r="G524" i="35"/>
  <c r="I523" i="35"/>
  <c r="I80" i="35"/>
  <c r="G81" i="35"/>
  <c r="I846" i="35"/>
  <c r="G847" i="35"/>
  <c r="G501" i="35"/>
  <c r="I500" i="35"/>
  <c r="I332" i="35"/>
  <c r="G333" i="35"/>
  <c r="G184" i="35" l="1"/>
  <c r="I182" i="35"/>
  <c r="G183" i="35"/>
  <c r="I183" i="35" s="1"/>
  <c r="I1770" i="35"/>
  <c r="G1771" i="35"/>
  <c r="G1496" i="35"/>
  <c r="I1495" i="35"/>
  <c r="I1476" i="35"/>
  <c r="G1477" i="35"/>
  <c r="I1477" i="35" s="1"/>
  <c r="I1787" i="35"/>
  <c r="G1788" i="35"/>
  <c r="I295" i="35"/>
  <c r="G296" i="35"/>
  <c r="G193" i="35"/>
  <c r="I192" i="35"/>
  <c r="I261" i="35"/>
  <c r="G262" i="35"/>
  <c r="I524" i="35"/>
  <c r="G525" i="35"/>
  <c r="I1487" i="35"/>
  <c r="G1488" i="35"/>
  <c r="I1488" i="35" s="1"/>
  <c r="G673" i="35"/>
  <c r="I673" i="35" s="1"/>
  <c r="I672" i="35"/>
  <c r="I1739" i="35"/>
  <c r="G1744" i="35"/>
  <c r="G1745" i="35" s="1"/>
  <c r="G883" i="35"/>
  <c r="I882" i="35"/>
  <c r="G818" i="35"/>
  <c r="I817" i="35"/>
  <c r="I37" i="35"/>
  <c r="G38" i="35"/>
  <c r="G1121" i="35"/>
  <c r="I1121" i="35" s="1"/>
  <c r="I1120" i="35"/>
  <c r="G1202" i="35"/>
  <c r="I1201" i="35"/>
  <c r="I712" i="35"/>
  <c r="G713" i="35"/>
  <c r="G458" i="35"/>
  <c r="I458" i="35" s="1"/>
  <c r="I457" i="35"/>
  <c r="I647" i="35"/>
  <c r="G648" i="35"/>
  <c r="I648" i="35" s="1"/>
  <c r="G1561" i="35"/>
  <c r="I1561" i="35" s="1"/>
  <c r="I1560" i="35"/>
  <c r="I312" i="35"/>
  <c r="G313" i="35"/>
  <c r="G334" i="35"/>
  <c r="I334" i="35" s="1"/>
  <c r="I333" i="35"/>
  <c r="G209" i="35"/>
  <c r="I208" i="35"/>
  <c r="G1348" i="35"/>
  <c r="I1348" i="35" s="1"/>
  <c r="I1347" i="35"/>
  <c r="G1613" i="35"/>
  <c r="I1612" i="35"/>
  <c r="I696" i="35"/>
  <c r="G697" i="35"/>
  <c r="G659" i="35"/>
  <c r="I659" i="35" s="1"/>
  <c r="I658" i="35"/>
  <c r="I1622" i="35"/>
  <c r="G1623" i="35"/>
  <c r="G1648" i="35"/>
  <c r="I1647" i="35"/>
  <c r="G971" i="35"/>
  <c r="I970" i="35"/>
  <c r="G1848" i="35"/>
  <c r="I1847" i="35"/>
  <c r="I1660" i="35"/>
  <c r="G1661" i="35"/>
  <c r="G502" i="35"/>
  <c r="I501" i="35"/>
  <c r="G614" i="35"/>
  <c r="I613" i="35"/>
  <c r="I384" i="35"/>
  <c r="G385" i="35"/>
  <c r="G848" i="35"/>
  <c r="I847" i="35"/>
  <c r="G797" i="35"/>
  <c r="I797" i="35" s="1"/>
  <c r="I796" i="35"/>
  <c r="G740" i="35"/>
  <c r="I739" i="35"/>
  <c r="I1364" i="35"/>
  <c r="G1365" i="35"/>
  <c r="I1301" i="35"/>
  <c r="G1302" i="35"/>
  <c r="I81" i="35"/>
  <c r="G82" i="35"/>
  <c r="I352" i="35"/>
  <c r="G353" i="35"/>
  <c r="G1675" i="35"/>
  <c r="I1674" i="35"/>
  <c r="I1593" i="35"/>
  <c r="G1594" i="35"/>
  <c r="G1106" i="35"/>
  <c r="I1105" i="35"/>
  <c r="G1252" i="35"/>
  <c r="I1251" i="35"/>
  <c r="G185" i="35" l="1"/>
  <c r="I185" i="35" s="1"/>
  <c r="I184" i="35"/>
  <c r="G1772" i="35"/>
  <c r="I1772" i="35" s="1"/>
  <c r="I1771" i="35"/>
  <c r="I1496" i="35"/>
  <c r="G1497" i="35"/>
  <c r="I1788" i="35"/>
  <c r="G1789" i="35"/>
  <c r="G354" i="35"/>
  <c r="I353" i="35"/>
  <c r="I614" i="35"/>
  <c r="G615" i="35"/>
  <c r="I883" i="35"/>
  <c r="G884" i="35"/>
  <c r="I884" i="35" s="1"/>
  <c r="I1302" i="35"/>
  <c r="G1303" i="35"/>
  <c r="I1303" i="35" s="1"/>
  <c r="I1848" i="35"/>
  <c r="G1849" i="35"/>
  <c r="I1849" i="35" s="1"/>
  <c r="G1203" i="35"/>
  <c r="I1202" i="35"/>
  <c r="G526" i="35"/>
  <c r="I525" i="35"/>
  <c r="I1252" i="35"/>
  <c r="G1253" i="35"/>
  <c r="G741" i="35"/>
  <c r="I740" i="35"/>
  <c r="I971" i="35"/>
  <c r="G972" i="35"/>
  <c r="G977" i="35" s="1"/>
  <c r="G978" i="35" s="1"/>
  <c r="G210" i="35"/>
  <c r="I209" i="35"/>
  <c r="G1747" i="35"/>
  <c r="I1747" i="35" s="1"/>
  <c r="G1746" i="35"/>
  <c r="I1746" i="35" s="1"/>
  <c r="I1745" i="35"/>
  <c r="I1613" i="35"/>
  <c r="G1614" i="35"/>
  <c r="I1614" i="35" s="1"/>
  <c r="G1366" i="35"/>
  <c r="I1365" i="35"/>
  <c r="I38" i="35"/>
  <c r="G39" i="35"/>
  <c r="G1595" i="35"/>
  <c r="I1594" i="35"/>
  <c r="G1649" i="35"/>
  <c r="I1649" i="35" s="1"/>
  <c r="I1648" i="35"/>
  <c r="I296" i="35"/>
  <c r="G297" i="35"/>
  <c r="G83" i="35"/>
  <c r="I82" i="35"/>
  <c r="G698" i="35"/>
  <c r="I698" i="35" s="1"/>
  <c r="I697" i="35"/>
  <c r="I502" i="35"/>
  <c r="G503" i="35"/>
  <c r="I503" i="35" s="1"/>
  <c r="I1661" i="35"/>
  <c r="G1662" i="35"/>
  <c r="G714" i="35"/>
  <c r="I713" i="35"/>
  <c r="G263" i="35"/>
  <c r="I263" i="35" s="1"/>
  <c r="G264" i="35"/>
  <c r="I262" i="35"/>
  <c r="G1107" i="35"/>
  <c r="I1106" i="35"/>
  <c r="G314" i="35"/>
  <c r="I313" i="35"/>
  <c r="I848" i="35"/>
  <c r="G849" i="35"/>
  <c r="G194" i="35"/>
  <c r="I193" i="35"/>
  <c r="I385" i="35"/>
  <c r="G386" i="35"/>
  <c r="G388" i="35"/>
  <c r="I388" i="35" s="1"/>
  <c r="G1624" i="35"/>
  <c r="I1623" i="35"/>
  <c r="I1675" i="35"/>
  <c r="G1676" i="35"/>
  <c r="G819" i="35"/>
  <c r="I819" i="35" s="1"/>
  <c r="I818" i="35"/>
  <c r="G1498" i="35" l="1"/>
  <c r="I1497" i="35"/>
  <c r="I1789" i="35"/>
  <c r="G1790" i="35"/>
  <c r="I386" i="35"/>
  <c r="G387" i="35"/>
  <c r="I387" i="35" s="1"/>
  <c r="G1254" i="35"/>
  <c r="I1253" i="35"/>
  <c r="I526" i="35"/>
  <c r="G527" i="35"/>
  <c r="G1204" i="35"/>
  <c r="I1203" i="35"/>
  <c r="G850" i="35"/>
  <c r="I849" i="35"/>
  <c r="I83" i="35"/>
  <c r="G84" i="35"/>
  <c r="I314" i="35"/>
  <c r="G315" i="35"/>
  <c r="I315" i="35" s="1"/>
  <c r="G298" i="35"/>
  <c r="I297" i="35"/>
  <c r="G715" i="35"/>
  <c r="I715" i="35" s="1"/>
  <c r="I714" i="35"/>
  <c r="I194" i="35"/>
  <c r="G195" i="35"/>
  <c r="I1366" i="35"/>
  <c r="G1367" i="35"/>
  <c r="G616" i="35"/>
  <c r="I615" i="35"/>
  <c r="G265" i="35"/>
  <c r="I264" i="35"/>
  <c r="I1662" i="35"/>
  <c r="G1663" i="35"/>
  <c r="I1676" i="35"/>
  <c r="G1677" i="35"/>
  <c r="G211" i="35"/>
  <c r="I210" i="35"/>
  <c r="I978" i="35"/>
  <c r="G979" i="35"/>
  <c r="G1625" i="35"/>
  <c r="I1624" i="35"/>
  <c r="G1596" i="35"/>
  <c r="I1595" i="35"/>
  <c r="I39" i="35"/>
  <c r="G40" i="35"/>
  <c r="I741" i="35"/>
  <c r="G742" i="35"/>
  <c r="G355" i="35"/>
  <c r="I354" i="35"/>
  <c r="G359" i="35"/>
  <c r="G1499" i="35" l="1"/>
  <c r="I1499" i="35" s="1"/>
  <c r="I1498" i="35"/>
  <c r="G1791" i="35"/>
  <c r="I1791" i="35" s="1"/>
  <c r="I1790" i="35"/>
  <c r="I298" i="35"/>
  <c r="G299" i="35"/>
  <c r="G360" i="35"/>
  <c r="G361" i="35" s="1"/>
  <c r="I359" i="35"/>
  <c r="I84" i="35"/>
  <c r="G85" i="35"/>
  <c r="I742" i="35"/>
  <c r="G743" i="35"/>
  <c r="G266" i="35"/>
  <c r="I265" i="35"/>
  <c r="G851" i="35"/>
  <c r="I850" i="35"/>
  <c r="G41" i="35"/>
  <c r="I40" i="35"/>
  <c r="I616" i="35"/>
  <c r="G617" i="35"/>
  <c r="I617" i="35" s="1"/>
  <c r="G1205" i="35"/>
  <c r="I1204" i="35"/>
  <c r="G212" i="35"/>
  <c r="I211" i="35"/>
  <c r="G1678" i="35"/>
  <c r="I1678" i="35" s="1"/>
  <c r="I1677" i="35"/>
  <c r="G1664" i="35"/>
  <c r="I1663" i="35"/>
  <c r="G528" i="35"/>
  <c r="I528" i="35" s="1"/>
  <c r="I527" i="35"/>
  <c r="G1597" i="35"/>
  <c r="I1596" i="35"/>
  <c r="I355" i="35"/>
  <c r="G356" i="35"/>
  <c r="G1368" i="35"/>
  <c r="I1368" i="35" s="1"/>
  <c r="I1367" i="35"/>
  <c r="G196" i="35"/>
  <c r="I195" i="35"/>
  <c r="I1625" i="35"/>
  <c r="G1626" i="35"/>
  <c r="G1255" i="35"/>
  <c r="I1254" i="35"/>
  <c r="I979" i="35"/>
  <c r="G980" i="35"/>
  <c r="I851" i="35" l="1"/>
  <c r="G852" i="35"/>
  <c r="G267" i="35"/>
  <c r="I266" i="35"/>
  <c r="I980" i="35"/>
  <c r="G981" i="35"/>
  <c r="G982" i="35" s="1"/>
  <c r="G744" i="35"/>
  <c r="I743" i="35"/>
  <c r="I1664" i="35"/>
  <c r="G1665" i="35"/>
  <c r="I1665" i="35" s="1"/>
  <c r="I41" i="35"/>
  <c r="G42" i="35"/>
  <c r="G1598" i="35"/>
  <c r="I1598" i="35" s="1"/>
  <c r="I1597" i="35"/>
  <c r="I356" i="35"/>
  <c r="G357" i="35"/>
  <c r="I85" i="35"/>
  <c r="G86" i="35"/>
  <c r="I1255" i="35"/>
  <c r="G1256" i="35"/>
  <c r="I1626" i="35"/>
  <c r="G1627" i="35"/>
  <c r="G213" i="35"/>
  <c r="I212" i="35"/>
  <c r="G362" i="35"/>
  <c r="I361" i="35"/>
  <c r="G300" i="35"/>
  <c r="I299" i="35"/>
  <c r="I196" i="35"/>
  <c r="G197" i="35"/>
  <c r="G1206" i="35"/>
  <c r="I1205" i="35"/>
  <c r="I357" i="35" l="1"/>
  <c r="G358" i="35"/>
  <c r="I358" i="35" s="1"/>
  <c r="G983" i="35"/>
  <c r="I982" i="35"/>
  <c r="I267" i="35"/>
  <c r="G268" i="35"/>
  <c r="I300" i="35"/>
  <c r="G301" i="35"/>
  <c r="G745" i="35"/>
  <c r="I744" i="35"/>
  <c r="G1257" i="35"/>
  <c r="I1256" i="35"/>
  <c r="I86" i="35"/>
  <c r="G87" i="35"/>
  <c r="I852" i="35"/>
  <c r="G853" i="35"/>
  <c r="G1207" i="35"/>
  <c r="I1206" i="35"/>
  <c r="I197" i="35"/>
  <c r="G198" i="35"/>
  <c r="I42" i="35"/>
  <c r="G43" i="35"/>
  <c r="I43" i="35" s="1"/>
  <c r="G44" i="35"/>
  <c r="G363" i="35"/>
  <c r="I362" i="35"/>
  <c r="G214" i="35"/>
  <c r="I213" i="35"/>
  <c r="I1627" i="35"/>
  <c r="G1628" i="35"/>
  <c r="I853" i="35" l="1"/>
  <c r="G854" i="35"/>
  <c r="I854" i="35" s="1"/>
  <c r="I87" i="35"/>
  <c r="G88" i="35"/>
  <c r="I1257" i="35"/>
  <c r="G1258" i="35"/>
  <c r="I363" i="35"/>
  <c r="G364" i="35"/>
  <c r="G365" i="35" s="1"/>
  <c r="I44" i="35"/>
  <c r="G45" i="35"/>
  <c r="I268" i="35"/>
  <c r="G269" i="35"/>
  <c r="I198" i="35"/>
  <c r="G199" i="35"/>
  <c r="I983" i="35"/>
  <c r="G984" i="35"/>
  <c r="G215" i="35"/>
  <c r="I214" i="35"/>
  <c r="I301" i="35"/>
  <c r="G302" i="35"/>
  <c r="I1628" i="35"/>
  <c r="G1629" i="35"/>
  <c r="I745" i="35"/>
  <c r="G746" i="35"/>
  <c r="I1207" i="35"/>
  <c r="G1208" i="35"/>
  <c r="I365" i="35" l="1"/>
  <c r="G366" i="35"/>
  <c r="G270" i="35"/>
  <c r="I269" i="35"/>
  <c r="G985" i="35"/>
  <c r="I984" i="35"/>
  <c r="I199" i="35"/>
  <c r="G200" i="35"/>
  <c r="I45" i="35"/>
  <c r="G46" i="35"/>
  <c r="G747" i="35"/>
  <c r="I746" i="35"/>
  <c r="G1259" i="35"/>
  <c r="I1258" i="35"/>
  <c r="I88" i="35"/>
  <c r="G89" i="35"/>
  <c r="I1208" i="35"/>
  <c r="G1209" i="35"/>
  <c r="G1630" i="35"/>
  <c r="I1629" i="35"/>
  <c r="I302" i="35"/>
  <c r="G303" i="35"/>
  <c r="G216" i="35"/>
  <c r="I215" i="35"/>
  <c r="G748" i="35" l="1"/>
  <c r="I747" i="35"/>
  <c r="I46" i="35"/>
  <c r="G47" i="35"/>
  <c r="G201" i="35"/>
  <c r="I201" i="35" s="1"/>
  <c r="I200" i="35"/>
  <c r="G217" i="35"/>
  <c r="I216" i="35"/>
  <c r="I89" i="35"/>
  <c r="G90" i="35"/>
  <c r="I303" i="35"/>
  <c r="G304" i="35"/>
  <c r="G271" i="35"/>
  <c r="I270" i="35"/>
  <c r="G986" i="35"/>
  <c r="I985" i="35"/>
  <c r="G1210" i="35"/>
  <c r="I1209" i="35"/>
  <c r="I366" i="35"/>
  <c r="G367" i="35"/>
  <c r="G368" i="35" s="1"/>
  <c r="G1260" i="35"/>
  <c r="I1259" i="35"/>
  <c r="G1631" i="35"/>
  <c r="I1630" i="35"/>
  <c r="I304" i="35" l="1"/>
  <c r="G305" i="35"/>
  <c r="I305" i="35" s="1"/>
  <c r="I90" i="35"/>
  <c r="G91" i="35"/>
  <c r="I91" i="35" s="1"/>
  <c r="I1631" i="35"/>
  <c r="G1632" i="35"/>
  <c r="G218" i="35"/>
  <c r="I217" i="35"/>
  <c r="G272" i="35"/>
  <c r="I271" i="35"/>
  <c r="I1260" i="35"/>
  <c r="G1261" i="35"/>
  <c r="I1261" i="35" s="1"/>
  <c r="G369" i="35"/>
  <c r="I368" i="35"/>
  <c r="G987" i="35"/>
  <c r="I986" i="35"/>
  <c r="I47" i="35"/>
  <c r="G48" i="35"/>
  <c r="I748" i="35"/>
  <c r="G749" i="35"/>
  <c r="I987" i="35" l="1"/>
  <c r="G988" i="35"/>
  <c r="G219" i="35"/>
  <c r="I218" i="35"/>
  <c r="G273" i="35"/>
  <c r="I272" i="35"/>
  <c r="G750" i="35"/>
  <c r="I749" i="35"/>
  <c r="I369" i="35"/>
  <c r="G370" i="35"/>
  <c r="G1633" i="35"/>
  <c r="I1633" i="35" s="1"/>
  <c r="I1632" i="35"/>
  <c r="I48" i="35"/>
  <c r="G49" i="35"/>
  <c r="I49" i="35" l="1"/>
  <c r="G50" i="35"/>
  <c r="G274" i="35"/>
  <c r="I273" i="35"/>
  <c r="G989" i="35"/>
  <c r="I988" i="35"/>
  <c r="G371" i="35"/>
  <c r="I370" i="35"/>
  <c r="G751" i="35"/>
  <c r="I751" i="35" s="1"/>
  <c r="I750" i="35"/>
  <c r="G220" i="35"/>
  <c r="I219" i="35"/>
  <c r="G372" i="35" l="1"/>
  <c r="I371" i="35"/>
  <c r="I50" i="35"/>
  <c r="G51" i="35"/>
  <c r="I220" i="35"/>
  <c r="G221" i="35"/>
  <c r="I989" i="35"/>
  <c r="G990" i="35"/>
  <c r="I274" i="35"/>
  <c r="G275" i="35"/>
  <c r="G276" i="35" l="1"/>
  <c r="I275" i="35"/>
  <c r="G991" i="35"/>
  <c r="I990" i="35"/>
  <c r="G222" i="35"/>
  <c r="I221" i="35"/>
  <c r="I51" i="35"/>
  <c r="G52" i="35"/>
  <c r="I372" i="35"/>
  <c r="G373" i="35"/>
  <c r="I52" i="35" l="1"/>
  <c r="G53" i="35"/>
  <c r="G223" i="35"/>
  <c r="I222" i="35"/>
  <c r="G992" i="35"/>
  <c r="I991" i="35"/>
  <c r="I373" i="35"/>
  <c r="G374" i="35"/>
  <c r="I374" i="35" s="1"/>
  <c r="I276" i="35"/>
  <c r="G277" i="35"/>
  <c r="I992" i="35" l="1"/>
  <c r="G993" i="35"/>
  <c r="I223" i="35"/>
  <c r="G224" i="35"/>
  <c r="I53" i="35"/>
  <c r="G54" i="35"/>
  <c r="G278" i="35"/>
  <c r="I277" i="35"/>
  <c r="I54" i="35" l="1"/>
  <c r="G55" i="35"/>
  <c r="I993" i="35"/>
  <c r="G994" i="35"/>
  <c r="G279" i="35"/>
  <c r="I278" i="35"/>
  <c r="G225" i="35"/>
  <c r="I224" i="35"/>
  <c r="I55" i="35" l="1"/>
  <c r="G56" i="35"/>
  <c r="G226" i="35"/>
  <c r="I225" i="35"/>
  <c r="G280" i="35"/>
  <c r="I279" i="35"/>
  <c r="I280" i="35" l="1"/>
  <c r="G281" i="35"/>
  <c r="I56" i="35"/>
  <c r="G57" i="35"/>
  <c r="G227" i="35"/>
  <c r="I226" i="35"/>
  <c r="G282" i="35" l="1"/>
  <c r="I281" i="35"/>
  <c r="G228" i="35"/>
  <c r="I227" i="35"/>
  <c r="I57" i="35"/>
  <c r="G58" i="35"/>
  <c r="I58" i="35" l="1"/>
  <c r="G59" i="35"/>
  <c r="G229" i="35"/>
  <c r="I228" i="35"/>
  <c r="I282" i="35"/>
  <c r="G283" i="35"/>
  <c r="G284" i="35" l="1"/>
  <c r="I283" i="35"/>
  <c r="G60" i="35"/>
  <c r="I59" i="35"/>
  <c r="I229" i="35"/>
  <c r="G230" i="35"/>
  <c r="G231" i="35" l="1"/>
  <c r="I230" i="35"/>
  <c r="G61" i="35"/>
  <c r="I60" i="35"/>
  <c r="G285" i="35"/>
  <c r="I284" i="35"/>
  <c r="I285" i="35" l="1"/>
  <c r="G286" i="35"/>
  <c r="I286" i="35" s="1"/>
  <c r="G62" i="35"/>
  <c r="I61" i="35"/>
  <c r="I231" i="35"/>
  <c r="G232" i="35"/>
  <c r="G63" i="35" l="1"/>
  <c r="I63" i="35" s="1"/>
  <c r="I62" i="35"/>
  <c r="G65" i="35"/>
  <c r="G64" i="35"/>
  <c r="I64" i="35" s="1"/>
  <c r="G233" i="35"/>
  <c r="I232" i="35"/>
  <c r="G234" i="35" l="1"/>
  <c r="I233" i="35"/>
  <c r="I65" i="35"/>
  <c r="G66" i="35"/>
  <c r="I66" i="35" l="1"/>
  <c r="G67" i="35"/>
  <c r="G235" i="35"/>
  <c r="I234" i="35"/>
  <c r="G236" i="35" l="1"/>
  <c r="I235" i="35"/>
  <c r="I67" i="35"/>
  <c r="G68" i="35"/>
  <c r="I68" i="35" l="1"/>
  <c r="G69" i="35"/>
  <c r="G237" i="35"/>
  <c r="I236" i="35"/>
  <c r="G238" i="35" l="1"/>
  <c r="I237" i="35"/>
  <c r="G70" i="35"/>
  <c r="I69" i="35"/>
  <c r="I70" i="35" l="1"/>
  <c r="G71" i="35"/>
  <c r="G239" i="35"/>
  <c r="I238" i="35"/>
  <c r="I71" i="35" l="1"/>
  <c r="G72" i="35"/>
  <c r="G240" i="35"/>
  <c r="I239" i="35"/>
  <c r="I72" i="35" l="1"/>
  <c r="G73" i="35"/>
  <c r="G241" i="35"/>
  <c r="I240" i="35"/>
  <c r="G74" i="35" l="1"/>
  <c r="I74" i="35" s="1"/>
  <c r="I73" i="35"/>
  <c r="G242" i="35"/>
  <c r="I241" i="35"/>
  <c r="G243" i="35" l="1"/>
  <c r="I242" i="35"/>
  <c r="I243" i="35" l="1"/>
  <c r="G244" i="35"/>
  <c r="G245" i="35" l="1"/>
  <c r="I244" i="35"/>
  <c r="G246" i="35" l="1"/>
  <c r="I245" i="35"/>
  <c r="G247" i="35" l="1"/>
  <c r="I246" i="35"/>
  <c r="G248" i="35"/>
  <c r="I248" i="35" s="1"/>
  <c r="G249" i="35" l="1"/>
  <c r="I247" i="35"/>
  <c r="G250" i="35" l="1"/>
  <c r="I249" i="35"/>
  <c r="I250" i="35" l="1"/>
  <c r="G251" i="35"/>
  <c r="G252" i="35" l="1"/>
  <c r="I251" i="35"/>
  <c r="I252" i="35" l="1"/>
  <c r="G253" i="35"/>
  <c r="G254" i="35" l="1"/>
  <c r="I254" i="35" s="1"/>
  <c r="I253" i="35"/>
  <c r="M3" i="13" l="1"/>
  <c r="H5" i="25" l="1"/>
  <c r="H6" i="25"/>
  <c r="H7" i="25"/>
  <c r="H10" i="25"/>
  <c r="H12" i="25"/>
  <c r="H14" i="25"/>
  <c r="H15" i="25"/>
  <c r="H16" i="25"/>
  <c r="H17" i="25"/>
  <c r="H18" i="25"/>
  <c r="H19" i="25"/>
  <c r="H21" i="25"/>
  <c r="H22" i="25"/>
  <c r="H23" i="25"/>
  <c r="H27" i="25"/>
  <c r="H28" i="25"/>
  <c r="H29" i="25"/>
  <c r="H41" i="25"/>
  <c r="H42" i="25"/>
  <c r="AK112" i="17" l="1"/>
  <c r="G5" i="13" s="1"/>
  <c r="H5" i="26"/>
  <c r="H6" i="26"/>
  <c r="H18" i="26"/>
  <c r="H19" i="26"/>
  <c r="H28" i="26"/>
  <c r="H29" i="26"/>
  <c r="H41" i="26"/>
  <c r="H42" i="26"/>
  <c r="T112" i="17"/>
  <c r="K106" i="17"/>
  <c r="K107" i="17" s="1"/>
  <c r="K103" i="17"/>
  <c r="K104" i="17" s="1"/>
  <c r="K99" i="17"/>
  <c r="K102" i="17" s="1"/>
  <c r="K94" i="17"/>
  <c r="K98" i="17" s="1"/>
  <c r="K92" i="17"/>
  <c r="K93" i="17" s="1"/>
  <c r="K91" i="17"/>
  <c r="K87" i="17"/>
  <c r="K90" i="17" s="1"/>
  <c r="K78" i="17"/>
  <c r="K84" i="17" s="1"/>
  <c r="K75" i="17"/>
  <c r="K74" i="17"/>
  <c r="K73" i="17"/>
  <c r="K65" i="17"/>
  <c r="K67" i="17" s="1"/>
  <c r="K63" i="17"/>
  <c r="H21" i="26" l="1"/>
  <c r="H15" i="26"/>
  <c r="H23" i="26"/>
  <c r="H10" i="26"/>
  <c r="H17" i="26"/>
  <c r="K88" i="17"/>
  <c r="H16" i="26"/>
  <c r="H12" i="26"/>
  <c r="H27" i="26"/>
  <c r="H7" i="26"/>
  <c r="H14" i="26"/>
  <c r="H22" i="26"/>
  <c r="K79" i="17"/>
  <c r="K89" i="17"/>
  <c r="K100" i="17"/>
  <c r="K62" i="17"/>
  <c r="K59" i="17"/>
  <c r="K49" i="17"/>
  <c r="K33" i="17"/>
  <c r="K34" i="17" s="1"/>
  <c r="K28" i="17"/>
  <c r="K16" i="17"/>
  <c r="K12" i="17"/>
  <c r="K6" i="17"/>
  <c r="I1" i="17" l="1"/>
  <c r="K1" i="25"/>
  <c r="I1" i="13"/>
  <c r="E5" i="25" l="1"/>
  <c r="E6" i="25"/>
  <c r="E7" i="25"/>
  <c r="E10" i="25"/>
  <c r="E12" i="25"/>
  <c r="E14" i="25"/>
  <c r="E15" i="25"/>
  <c r="E16" i="25"/>
  <c r="E17" i="25"/>
  <c r="E18" i="25"/>
  <c r="E19" i="25"/>
  <c r="E21" i="25"/>
  <c r="E22" i="25"/>
  <c r="E23" i="25"/>
  <c r="E27" i="25"/>
  <c r="E28" i="25"/>
  <c r="E29" i="25"/>
  <c r="E41" i="25"/>
  <c r="E42" i="25"/>
  <c r="AJ112" i="17" l="1"/>
  <c r="D5" i="13" s="1"/>
  <c r="AI112" i="17"/>
  <c r="AH112" i="17"/>
  <c r="AG112" i="17"/>
  <c r="AF112" i="17"/>
  <c r="E5" i="26"/>
  <c r="E6" i="26"/>
  <c r="E18" i="26"/>
  <c r="E19" i="26"/>
  <c r="E28" i="26"/>
  <c r="E29" i="26"/>
  <c r="E41" i="26"/>
  <c r="E42" i="26"/>
  <c r="E21" i="26" l="1"/>
  <c r="E17" i="26"/>
  <c r="E16" i="26"/>
  <c r="E23" i="26"/>
  <c r="E27" i="26"/>
  <c r="E12" i="26"/>
  <c r="E10" i="26"/>
  <c r="E22" i="26"/>
  <c r="E15" i="26"/>
  <c r="E14" i="26"/>
  <c r="E7" i="26"/>
  <c r="P112" i="17"/>
  <c r="Q112" i="17" s="1"/>
  <c r="Q111" i="17" s="1"/>
  <c r="G93" i="17" l="1"/>
  <c r="G75" i="17" l="1"/>
  <c r="G34" i="17" l="1"/>
  <c r="G62" i="17"/>
  <c r="G63" i="17"/>
  <c r="G65" i="17"/>
  <c r="K1" i="26" l="1"/>
  <c r="D5" i="25" l="1"/>
  <c r="D6" i="25"/>
  <c r="D7" i="25"/>
  <c r="D10" i="25"/>
  <c r="D12" i="25"/>
  <c r="D14" i="25"/>
  <c r="D15" i="25"/>
  <c r="D16" i="25"/>
  <c r="D17" i="25"/>
  <c r="D18" i="25"/>
  <c r="D19" i="25"/>
  <c r="D21" i="25"/>
  <c r="D22" i="25"/>
  <c r="D23" i="25"/>
  <c r="D27" i="25"/>
  <c r="D28" i="25"/>
  <c r="D29" i="25"/>
  <c r="D41" i="25"/>
  <c r="D42" i="25"/>
  <c r="F5" i="25"/>
  <c r="F6" i="25"/>
  <c r="F7" i="25"/>
  <c r="F10" i="25"/>
  <c r="F12" i="25"/>
  <c r="F14" i="25"/>
  <c r="F15" i="25"/>
  <c r="F16" i="25"/>
  <c r="F17" i="25"/>
  <c r="F18" i="25"/>
  <c r="F19" i="25"/>
  <c r="F21" i="25"/>
  <c r="F22" i="25"/>
  <c r="F23" i="25"/>
  <c r="F27" i="25"/>
  <c r="F28" i="25"/>
  <c r="F29" i="25"/>
  <c r="F41" i="25"/>
  <c r="F42" i="25"/>
  <c r="D5" i="26" l="1"/>
  <c r="D6" i="26"/>
  <c r="D18" i="26"/>
  <c r="D19" i="26"/>
  <c r="D28" i="26"/>
  <c r="D29" i="26"/>
  <c r="D41" i="26"/>
  <c r="D42" i="26"/>
  <c r="C5" i="13"/>
  <c r="O112" i="17"/>
  <c r="R112" i="17"/>
  <c r="D12" i="26" l="1"/>
  <c r="D7" i="26"/>
  <c r="D21" i="26"/>
  <c r="D17" i="26"/>
  <c r="D10" i="26"/>
  <c r="D27" i="26"/>
  <c r="D23" i="26"/>
  <c r="D22" i="26"/>
  <c r="D16" i="26"/>
  <c r="D15" i="26"/>
  <c r="D14" i="26"/>
  <c r="F93" i="17"/>
  <c r="F75" i="17" l="1"/>
  <c r="F67" i="17" l="1"/>
  <c r="F62" i="17"/>
  <c r="F34" i="17"/>
  <c r="F63" i="17" l="1"/>
  <c r="L865" i="14"/>
  <c r="I211" i="3" s="1"/>
  <c r="M211" i="3" s="1"/>
  <c r="O211" i="3" s="1"/>
  <c r="L781" i="14"/>
  <c r="L780" i="14"/>
  <c r="G5" i="25" l="1"/>
  <c r="G6" i="25"/>
  <c r="G7" i="25"/>
  <c r="G10" i="25"/>
  <c r="G12" i="25"/>
  <c r="G14" i="25"/>
  <c r="G15" i="25"/>
  <c r="G16" i="25"/>
  <c r="G17" i="25"/>
  <c r="G18" i="25"/>
  <c r="G19" i="25"/>
  <c r="G21" i="25"/>
  <c r="G22" i="25"/>
  <c r="G23" i="25"/>
  <c r="G27" i="25"/>
  <c r="G28" i="25"/>
  <c r="G29" i="25"/>
  <c r="G41" i="25"/>
  <c r="G42" i="25"/>
  <c r="F5" i="13" l="1"/>
  <c r="G5" i="26"/>
  <c r="G6" i="26"/>
  <c r="G18" i="26"/>
  <c r="G19" i="26"/>
  <c r="G28" i="26"/>
  <c r="G29" i="26"/>
  <c r="G41" i="26"/>
  <c r="G42" i="26"/>
  <c r="J99" i="17"/>
  <c r="J94" i="17"/>
  <c r="J87" i="17"/>
  <c r="J89" i="17" l="1"/>
  <c r="S89" i="17" s="1"/>
  <c r="AJ89" i="17" s="1"/>
  <c r="S87" i="17"/>
  <c r="AJ87" i="17" s="1"/>
  <c r="J102" i="17"/>
  <c r="S102" i="17" s="1"/>
  <c r="AJ102" i="17" s="1"/>
  <c r="S99" i="17"/>
  <c r="AJ99" i="17" s="1"/>
  <c r="J98" i="17"/>
  <c r="S98" i="17" s="1"/>
  <c r="AJ98" i="17" s="1"/>
  <c r="S94" i="17"/>
  <c r="AJ94" i="17" s="1"/>
  <c r="G21" i="26"/>
  <c r="G27" i="26"/>
  <c r="G16" i="26"/>
  <c r="G23" i="26"/>
  <c r="G17" i="26"/>
  <c r="G12" i="26"/>
  <c r="G10" i="26"/>
  <c r="G22" i="26"/>
  <c r="G15" i="26"/>
  <c r="G14" i="26"/>
  <c r="G7" i="26"/>
  <c r="J90" i="17"/>
  <c r="S90" i="17" s="1"/>
  <c r="AJ90" i="17" s="1"/>
  <c r="J88" i="17"/>
  <c r="S88" i="17" s="1"/>
  <c r="AJ88" i="17" s="1"/>
  <c r="J100" i="17"/>
  <c r="S100" i="17" s="1"/>
  <c r="AJ100" i="17" s="1"/>
  <c r="J106" i="17"/>
  <c r="J103" i="17"/>
  <c r="J92" i="17"/>
  <c r="J91" i="17"/>
  <c r="S91" i="17" s="1"/>
  <c r="AJ91" i="17" s="1"/>
  <c r="J78" i="17"/>
  <c r="J75" i="17"/>
  <c r="S75" i="17" s="1"/>
  <c r="AJ75" i="17" s="1"/>
  <c r="J74" i="17"/>
  <c r="S74" i="17" s="1"/>
  <c r="AJ74" i="17" s="1"/>
  <c r="J73" i="17"/>
  <c r="S73" i="17" s="1"/>
  <c r="AJ73" i="17" s="1"/>
  <c r="J65" i="17"/>
  <c r="J59" i="17"/>
  <c r="J49" i="17"/>
  <c r="S49" i="17" s="1"/>
  <c r="AJ49" i="17" s="1"/>
  <c r="J33" i="17"/>
  <c r="J28" i="17"/>
  <c r="S28" i="17" s="1"/>
  <c r="AJ28" i="17" s="1"/>
  <c r="J16" i="17"/>
  <c r="S16" i="17" s="1"/>
  <c r="AJ16" i="17" s="1"/>
  <c r="J12" i="17"/>
  <c r="S12" i="17" s="1"/>
  <c r="AJ12" i="17" s="1"/>
  <c r="S112" i="17"/>
  <c r="J6" i="17"/>
  <c r="S6" i="17" s="1"/>
  <c r="AJ6" i="17" s="1"/>
  <c r="T94" i="17" l="1"/>
  <c r="AK94" i="17" s="1"/>
  <c r="T99" i="17"/>
  <c r="AK99" i="17" s="1"/>
  <c r="T49" i="17"/>
  <c r="AK49" i="17" s="1"/>
  <c r="T75" i="17"/>
  <c r="AK75" i="17" s="1"/>
  <c r="T6" i="17"/>
  <c r="AK6" i="17" s="1"/>
  <c r="T12" i="17"/>
  <c r="AK12" i="17" s="1"/>
  <c r="T16" i="17"/>
  <c r="AK16" i="17" s="1"/>
  <c r="T90" i="17"/>
  <c r="AK90" i="17" s="1"/>
  <c r="T87" i="17"/>
  <c r="AK87" i="17" s="1"/>
  <c r="T73" i="17"/>
  <c r="AK73" i="17" s="1"/>
  <c r="T74" i="17"/>
  <c r="AK74" i="17" s="1"/>
  <c r="T91" i="17"/>
  <c r="AK91" i="17" s="1"/>
  <c r="T98" i="17"/>
  <c r="AK98" i="17" s="1"/>
  <c r="T100" i="17"/>
  <c r="AK100" i="17" s="1"/>
  <c r="T88" i="17"/>
  <c r="AK88" i="17" s="1"/>
  <c r="T102" i="17"/>
  <c r="AK102" i="17" s="1"/>
  <c r="T28" i="17"/>
  <c r="AK28" i="17" s="1"/>
  <c r="T89" i="17"/>
  <c r="AK89" i="17" s="1"/>
  <c r="J62" i="17"/>
  <c r="S62" i="17" s="1"/>
  <c r="AJ62" i="17" s="1"/>
  <c r="S59" i="17"/>
  <c r="AJ59" i="17" s="1"/>
  <c r="J63" i="17"/>
  <c r="S63" i="17" s="1"/>
  <c r="AJ63" i="17" s="1"/>
  <c r="S33" i="17"/>
  <c r="AJ33" i="17" s="1"/>
  <c r="J84" i="17"/>
  <c r="S84" i="17" s="1"/>
  <c r="AJ84" i="17" s="1"/>
  <c r="S78" i="17"/>
  <c r="AJ78" i="17" s="1"/>
  <c r="J104" i="17"/>
  <c r="S104" i="17" s="1"/>
  <c r="AJ104" i="17" s="1"/>
  <c r="S103" i="17"/>
  <c r="AJ103" i="17" s="1"/>
  <c r="J67" i="17"/>
  <c r="S67" i="17" s="1"/>
  <c r="AJ67" i="17" s="1"/>
  <c r="S65" i="17"/>
  <c r="AJ65" i="17" s="1"/>
  <c r="J107" i="17"/>
  <c r="S107" i="17" s="1"/>
  <c r="AJ107" i="17" s="1"/>
  <c r="S106" i="17"/>
  <c r="AJ106" i="17" s="1"/>
  <c r="J93" i="17"/>
  <c r="S93" i="17" s="1"/>
  <c r="AJ93" i="17" s="1"/>
  <c r="S92" i="17"/>
  <c r="AJ92" i="17" s="1"/>
  <c r="J34" i="17"/>
  <c r="S34" i="17" s="1"/>
  <c r="AJ34" i="17" s="1"/>
  <c r="J79" i="17"/>
  <c r="S79" i="17" s="1"/>
  <c r="AJ79" i="17" s="1"/>
  <c r="T67" i="17" l="1"/>
  <c r="AK67" i="17" s="1"/>
  <c r="U74" i="17"/>
  <c r="AL74" i="17" s="1"/>
  <c r="T104" i="17"/>
  <c r="AK104" i="17" s="1"/>
  <c r="U6" i="17"/>
  <c r="U91" i="17"/>
  <c r="AL91" i="17" s="1"/>
  <c r="U99" i="17"/>
  <c r="AL99" i="17" s="1"/>
  <c r="T107" i="17"/>
  <c r="AK107" i="17" s="1"/>
  <c r="U102" i="17"/>
  <c r="AL102" i="17" s="1"/>
  <c r="T65" i="17"/>
  <c r="AK65" i="17" s="1"/>
  <c r="U88" i="17"/>
  <c r="AL88" i="17" s="1"/>
  <c r="T103" i="17"/>
  <c r="AK103" i="17" s="1"/>
  <c r="U12" i="17"/>
  <c r="AL12" i="17" s="1"/>
  <c r="U98" i="17"/>
  <c r="AL98" i="17" s="1"/>
  <c r="U75" i="17"/>
  <c r="AL75" i="17" s="1"/>
  <c r="T62" i="17"/>
  <c r="AK62" i="17" s="1"/>
  <c r="T79" i="17"/>
  <c r="AK79" i="17" s="1"/>
  <c r="U89" i="17"/>
  <c r="AL89" i="17" s="1"/>
  <c r="T92" i="17"/>
  <c r="AK92" i="17" s="1"/>
  <c r="T106" i="17"/>
  <c r="AK106" i="17" s="1"/>
  <c r="U90" i="17"/>
  <c r="AL90" i="17" s="1"/>
  <c r="U16" i="17"/>
  <c r="AL16" i="17" s="1"/>
  <c r="U100" i="17"/>
  <c r="AL100" i="17" s="1"/>
  <c r="T78" i="17"/>
  <c r="AK78" i="17" s="1"/>
  <c r="T84" i="17"/>
  <c r="AK84" i="17" s="1"/>
  <c r="T33" i="17"/>
  <c r="AK33" i="17" s="1"/>
  <c r="T63" i="17"/>
  <c r="AK63" i="17" s="1"/>
  <c r="T59" i="17"/>
  <c r="AK59" i="17" s="1"/>
  <c r="U49" i="17"/>
  <c r="AL49" i="17" s="1"/>
  <c r="T34" i="17"/>
  <c r="AK34" i="17" s="1"/>
  <c r="U73" i="17"/>
  <c r="AL73" i="17" s="1"/>
  <c r="T93" i="17"/>
  <c r="AK93" i="17" s="1"/>
  <c r="U28" i="17"/>
  <c r="AL28" i="17" s="1"/>
  <c r="U87" i="17"/>
  <c r="AL87" i="17" s="1"/>
  <c r="U94" i="17"/>
  <c r="AL94" i="17" s="1"/>
  <c r="AL6" i="17" l="1"/>
  <c r="I30" i="25"/>
  <c r="C29" i="24" s="1"/>
  <c r="I30" i="26"/>
  <c r="U78" i="17"/>
  <c r="AL78" i="17" s="1"/>
  <c r="U93" i="17"/>
  <c r="AL93" i="17" s="1"/>
  <c r="I9" i="25"/>
  <c r="C8" i="24" s="1"/>
  <c r="I9" i="26"/>
  <c r="I31" i="26"/>
  <c r="I31" i="25"/>
  <c r="C30" i="24" s="1"/>
  <c r="U84" i="17"/>
  <c r="AL84" i="17" s="1"/>
  <c r="U62" i="17"/>
  <c r="AL62" i="17" s="1"/>
  <c r="I32" i="25"/>
  <c r="C31" i="24" s="1"/>
  <c r="I32" i="26"/>
  <c r="U34" i="17"/>
  <c r="AL34" i="17" s="1"/>
  <c r="I35" i="25"/>
  <c r="C34" i="24" s="1"/>
  <c r="I35" i="26"/>
  <c r="I4" i="25"/>
  <c r="C3" i="24" s="1"/>
  <c r="I4" i="26"/>
  <c r="U59" i="17"/>
  <c r="AL59" i="17" s="1"/>
  <c r="U103" i="17"/>
  <c r="AL103" i="17" s="1"/>
  <c r="I37" i="26"/>
  <c r="I37" i="25"/>
  <c r="C36" i="24" s="1"/>
  <c r="U92" i="17"/>
  <c r="AL92" i="17" s="1"/>
  <c r="I11" i="25"/>
  <c r="C10" i="24" s="1"/>
  <c r="I11" i="26"/>
  <c r="U79" i="17"/>
  <c r="AL79" i="17" s="1"/>
  <c r="U107" i="17"/>
  <c r="AL107" i="17" s="1"/>
  <c r="I39" i="26"/>
  <c r="I39" i="25"/>
  <c r="C38" i="24" s="1"/>
  <c r="I38" i="26"/>
  <c r="I38" i="25"/>
  <c r="C37" i="24" s="1"/>
  <c r="I20" i="26"/>
  <c r="I20" i="25"/>
  <c r="C19" i="24" s="1"/>
  <c r="I8" i="25"/>
  <c r="C7" i="24" s="1"/>
  <c r="I8" i="26"/>
  <c r="U106" i="17"/>
  <c r="AL106" i="17" s="1"/>
  <c r="U104" i="17"/>
  <c r="AL104" i="17" s="1"/>
  <c r="U63" i="17"/>
  <c r="AL63" i="17" s="1"/>
  <c r="I34" i="26"/>
  <c r="I34" i="25"/>
  <c r="C33" i="24" s="1"/>
  <c r="U33" i="17"/>
  <c r="AL33" i="17" s="1"/>
  <c r="U65" i="17"/>
  <c r="AL65" i="17" s="1"/>
  <c r="U67" i="17"/>
  <c r="AL67" i="17" s="1"/>
  <c r="I24" i="25" l="1"/>
  <c r="C23" i="24" s="1"/>
  <c r="I24" i="26"/>
  <c r="I40" i="26"/>
  <c r="I40" i="25"/>
  <c r="C39" i="24" s="1"/>
  <c r="I26" i="25"/>
  <c r="C25" i="24" s="1"/>
  <c r="I26" i="26"/>
  <c r="I36" i="25"/>
  <c r="C35" i="24" s="1"/>
  <c r="I36" i="26"/>
  <c r="I25" i="25"/>
  <c r="C24" i="24" s="1"/>
  <c r="I25" i="26"/>
  <c r="I33" i="25"/>
  <c r="C32" i="24" s="1"/>
  <c r="I33" i="26"/>
  <c r="I13" i="25"/>
  <c r="C12" i="24" s="1"/>
  <c r="I13" i="26"/>
  <c r="K1548" i="14"/>
  <c r="L1548" i="14" s="1"/>
  <c r="K1547" i="14"/>
  <c r="K1541" i="14" s="1"/>
  <c r="I43" i="26" l="1"/>
  <c r="I43" i="25"/>
  <c r="C42" i="24" s="1"/>
  <c r="L1541" i="14"/>
  <c r="S1618" i="35"/>
  <c r="L1547" i="14"/>
  <c r="I439" i="3" s="1"/>
  <c r="E5" i="13"/>
  <c r="B5" i="13"/>
  <c r="S1632" i="35" l="1"/>
  <c r="T1632" i="35" s="1"/>
  <c r="T1618" i="35"/>
  <c r="L439" i="3" s="1"/>
  <c r="M439" i="3" s="1"/>
  <c r="O439" i="3" s="1"/>
  <c r="E65" i="17"/>
  <c r="F5" i="26"/>
  <c r="F6" i="26"/>
  <c r="F18" i="26"/>
  <c r="F19" i="26"/>
  <c r="F28" i="26"/>
  <c r="F29" i="26"/>
  <c r="F41" i="26"/>
  <c r="F42" i="26"/>
  <c r="F10" i="26" l="1"/>
  <c r="F7" i="26"/>
  <c r="F12" i="26"/>
  <c r="F27" i="26"/>
  <c r="F23" i="26"/>
  <c r="F22" i="26"/>
  <c r="F16" i="26"/>
  <c r="F15" i="26"/>
  <c r="F14" i="26"/>
  <c r="F21" i="26"/>
  <c r="F17" i="26"/>
  <c r="E93" i="17"/>
  <c r="E63" i="17" l="1"/>
  <c r="E62" i="17"/>
  <c r="E34" i="17"/>
  <c r="E62" i="19" l="1"/>
  <c r="F62" i="19"/>
  <c r="G62" i="19"/>
  <c r="H62" i="19"/>
  <c r="I62" i="19"/>
  <c r="J62" i="19"/>
  <c r="K62" i="19"/>
  <c r="L62" i="19"/>
  <c r="M62" i="19"/>
  <c r="N62" i="19"/>
  <c r="O62" i="19"/>
  <c r="Q62" i="19"/>
  <c r="R62" i="19"/>
  <c r="S62" i="19"/>
  <c r="U62" i="19"/>
  <c r="V62" i="19"/>
  <c r="W62" i="19"/>
  <c r="Y62" i="19"/>
  <c r="Z62" i="19"/>
  <c r="AA62" i="19"/>
  <c r="AB62" i="19"/>
  <c r="AC62" i="19"/>
  <c r="AD62" i="19"/>
  <c r="AE62" i="19"/>
  <c r="AF62" i="19"/>
  <c r="AG62" i="19"/>
  <c r="AH62" i="19"/>
  <c r="AI62" i="19"/>
  <c r="AJ62" i="19"/>
  <c r="AK62" i="19"/>
  <c r="AL62" i="19"/>
  <c r="AM62" i="19"/>
  <c r="AN62" i="19"/>
  <c r="C62" i="19"/>
  <c r="I394" i="3" l="1"/>
  <c r="M394" i="3" s="1"/>
  <c r="O394" i="3" s="1"/>
  <c r="G515" i="3"/>
  <c r="H515" i="3"/>
  <c r="G516" i="3"/>
  <c r="H517" i="3"/>
  <c r="L1284" i="14"/>
  <c r="I365" i="3" s="1"/>
  <c r="M365" i="3" s="1"/>
  <c r="O365" i="3" s="1"/>
  <c r="L1145" i="14"/>
  <c r="I308" i="3" s="1"/>
  <c r="K1558" i="14"/>
  <c r="S1651" i="35" s="1"/>
  <c r="T1651" i="35" s="1"/>
  <c r="L443" i="3" s="1"/>
  <c r="K1619" i="14"/>
  <c r="L1558" i="14"/>
  <c r="I443" i="3" s="1"/>
  <c r="D91" i="17" s="1"/>
  <c r="L1688" i="14"/>
  <c r="I492" i="3" s="1"/>
  <c r="L1313" i="14"/>
  <c r="L1310" i="14"/>
  <c r="I375" i="3" s="1"/>
  <c r="M375" i="3" s="1"/>
  <c r="O375" i="3" s="1"/>
  <c r="L1307" i="14"/>
  <c r="I374" i="3" s="1"/>
  <c r="M374" i="3" s="1"/>
  <c r="O374" i="3" s="1"/>
  <c r="L1277" i="14"/>
  <c r="I359" i="3" s="1"/>
  <c r="L1332" i="14"/>
  <c r="I378" i="3" s="1"/>
  <c r="L1256" i="14"/>
  <c r="I348" i="3" s="1"/>
  <c r="L868" i="14"/>
  <c r="I213" i="3" s="1"/>
  <c r="L779" i="14"/>
  <c r="D4" i="17"/>
  <c r="AF4" i="17" s="1"/>
  <c r="D7" i="17"/>
  <c r="D8" i="17"/>
  <c r="D9" i="17"/>
  <c r="D10" i="17"/>
  <c r="AF10" i="17" s="1"/>
  <c r="D11" i="17"/>
  <c r="D13" i="17"/>
  <c r="AF13" i="17" s="1"/>
  <c r="D14" i="17"/>
  <c r="AF14" i="17" s="1"/>
  <c r="D15" i="17"/>
  <c r="D17" i="17"/>
  <c r="D18" i="17"/>
  <c r="AF18" i="17" s="1"/>
  <c r="D19" i="17"/>
  <c r="AF19" i="17" s="1"/>
  <c r="D20" i="17"/>
  <c r="AF20" i="17" s="1"/>
  <c r="D21" i="17"/>
  <c r="AF21" i="17" s="1"/>
  <c r="D22" i="17"/>
  <c r="AF22" i="17" s="1"/>
  <c r="D23" i="17"/>
  <c r="AF23" i="17" s="1"/>
  <c r="D24" i="17"/>
  <c r="AF24" i="17" s="1"/>
  <c r="D25" i="17"/>
  <c r="AF25" i="17" s="1"/>
  <c r="D26" i="17"/>
  <c r="AF26" i="17" s="1"/>
  <c r="D27" i="17"/>
  <c r="AF27" i="17" s="1"/>
  <c r="D29" i="17"/>
  <c r="AF29" i="17" s="1"/>
  <c r="D31" i="17"/>
  <c r="AF31" i="17" s="1"/>
  <c r="D32" i="17"/>
  <c r="AF32" i="17" s="1"/>
  <c r="D35" i="17"/>
  <c r="D36" i="17"/>
  <c r="AF36" i="17" s="1"/>
  <c r="D37" i="17"/>
  <c r="AF37" i="17" s="1"/>
  <c r="D38" i="17"/>
  <c r="AF38" i="17" s="1"/>
  <c r="D39" i="17"/>
  <c r="D40" i="17"/>
  <c r="AF40" i="17" s="1"/>
  <c r="D41" i="17"/>
  <c r="AF41" i="17" s="1"/>
  <c r="D42" i="17"/>
  <c r="AF42" i="17" s="1"/>
  <c r="D43" i="17"/>
  <c r="D44" i="17"/>
  <c r="AF44" i="17" s="1"/>
  <c r="D45" i="17"/>
  <c r="D46" i="17"/>
  <c r="AF46" i="17" s="1"/>
  <c r="D47" i="17"/>
  <c r="D48" i="17"/>
  <c r="D50" i="17"/>
  <c r="D51" i="17"/>
  <c r="AF51" i="17" s="1"/>
  <c r="D52" i="17"/>
  <c r="D53" i="17"/>
  <c r="AF53" i="17" s="1"/>
  <c r="D54" i="17"/>
  <c r="AF54" i="17" s="1"/>
  <c r="D55" i="17"/>
  <c r="AF55" i="17" s="1"/>
  <c r="D56" i="17"/>
  <c r="D57" i="17"/>
  <c r="AF57" i="17" s="1"/>
  <c r="D58" i="17"/>
  <c r="D60" i="17"/>
  <c r="AF60" i="17" s="1"/>
  <c r="D61" i="17"/>
  <c r="AF61" i="17" s="1"/>
  <c r="D64" i="17"/>
  <c r="AF64" i="17" s="1"/>
  <c r="D66" i="17"/>
  <c r="AF66" i="17" s="1"/>
  <c r="D68" i="17"/>
  <c r="AF68" i="17" s="1"/>
  <c r="D69" i="17"/>
  <c r="D70" i="17"/>
  <c r="AF70" i="17" s="1"/>
  <c r="D71" i="17"/>
  <c r="D72" i="17"/>
  <c r="D76" i="17"/>
  <c r="AF76" i="17" s="1"/>
  <c r="D77" i="17"/>
  <c r="AF77" i="17" s="1"/>
  <c r="D80" i="17"/>
  <c r="AF80" i="17" s="1"/>
  <c r="D81" i="17"/>
  <c r="AF81" i="17" s="1"/>
  <c r="D82" i="17"/>
  <c r="AF82" i="17" s="1"/>
  <c r="D83" i="17"/>
  <c r="AF83" i="17" s="1"/>
  <c r="D85" i="17"/>
  <c r="AF85" i="17" s="1"/>
  <c r="D86" i="17"/>
  <c r="D95" i="17"/>
  <c r="AF95" i="17" s="1"/>
  <c r="D96" i="17"/>
  <c r="AF96" i="17" s="1"/>
  <c r="D97" i="17"/>
  <c r="AF97" i="17" s="1"/>
  <c r="D101" i="17"/>
  <c r="AF101" i="17" s="1"/>
  <c r="D105" i="17"/>
  <c r="AF105" i="17" s="1"/>
  <c r="D108" i="17"/>
  <c r="D109" i="17"/>
  <c r="L1673" i="14"/>
  <c r="I490" i="3" s="1"/>
  <c r="M490" i="3" s="1"/>
  <c r="O490" i="3" s="1"/>
  <c r="K1568" i="14"/>
  <c r="I32" i="3"/>
  <c r="D5" i="17" s="1"/>
  <c r="AF5" i="17" s="1"/>
  <c r="F111" i="15"/>
  <c r="H111" i="15" s="1"/>
  <c r="AQ110" i="17" s="1"/>
  <c r="E111" i="15"/>
  <c r="G111" i="15" s="1"/>
  <c r="AP110" i="17" s="1"/>
  <c r="G12" i="15"/>
  <c r="AP11" i="17" s="1"/>
  <c r="H12" i="15"/>
  <c r="AQ11" i="17" s="1"/>
  <c r="G13" i="15"/>
  <c r="AP12" i="17" s="1"/>
  <c r="H13" i="15"/>
  <c r="AQ12" i="17" s="1"/>
  <c r="G14" i="15"/>
  <c r="AP13" i="17" s="1"/>
  <c r="H14" i="15"/>
  <c r="AQ13" i="17" s="1"/>
  <c r="G15" i="15"/>
  <c r="AP14" i="17" s="1"/>
  <c r="H15" i="15"/>
  <c r="AQ14" i="17" s="1"/>
  <c r="G16" i="15"/>
  <c r="AP15" i="17" s="1"/>
  <c r="H16" i="15"/>
  <c r="AQ15" i="17" s="1"/>
  <c r="G17" i="15"/>
  <c r="AP16" i="17" s="1"/>
  <c r="H17" i="15"/>
  <c r="AQ16" i="17" s="1"/>
  <c r="G18" i="15"/>
  <c r="AP17" i="17" s="1"/>
  <c r="H18" i="15"/>
  <c r="AQ17" i="17" s="1"/>
  <c r="G19" i="15"/>
  <c r="AP18" i="17" s="1"/>
  <c r="H19" i="15"/>
  <c r="AQ18" i="17" s="1"/>
  <c r="G20" i="15"/>
  <c r="AP19" i="17" s="1"/>
  <c r="H20" i="15"/>
  <c r="AQ19" i="17" s="1"/>
  <c r="G21" i="15"/>
  <c r="AP20" i="17" s="1"/>
  <c r="H21" i="15"/>
  <c r="AQ20" i="17" s="1"/>
  <c r="G22" i="15"/>
  <c r="AP21" i="17" s="1"/>
  <c r="H22" i="15"/>
  <c r="AQ21" i="17" s="1"/>
  <c r="G23" i="15"/>
  <c r="AP22" i="17" s="1"/>
  <c r="H23" i="15"/>
  <c r="AQ22" i="17" s="1"/>
  <c r="G24" i="15"/>
  <c r="AP23" i="17" s="1"/>
  <c r="H24" i="15"/>
  <c r="AQ23" i="17" s="1"/>
  <c r="G25" i="15"/>
  <c r="AP24" i="17" s="1"/>
  <c r="H25" i="15"/>
  <c r="AQ24" i="17" s="1"/>
  <c r="G26" i="15"/>
  <c r="AP25" i="17" s="1"/>
  <c r="H26" i="15"/>
  <c r="AQ25" i="17" s="1"/>
  <c r="G27" i="15"/>
  <c r="AP26" i="17" s="1"/>
  <c r="H27" i="15"/>
  <c r="AQ26" i="17" s="1"/>
  <c r="G28" i="15"/>
  <c r="AP27" i="17" s="1"/>
  <c r="H28" i="15"/>
  <c r="AQ27" i="17" s="1"/>
  <c r="G29" i="15"/>
  <c r="AP28" i="17" s="1"/>
  <c r="H29" i="15"/>
  <c r="AQ28" i="17" s="1"/>
  <c r="G30" i="15"/>
  <c r="AP29" i="17" s="1"/>
  <c r="H30" i="15"/>
  <c r="AQ29" i="17" s="1"/>
  <c r="G31" i="15"/>
  <c r="AP30" i="17" s="1"/>
  <c r="H31" i="15"/>
  <c r="AQ30" i="17" s="1"/>
  <c r="G32" i="15"/>
  <c r="AP31" i="17" s="1"/>
  <c r="H32" i="15"/>
  <c r="AQ31" i="17" s="1"/>
  <c r="G33" i="15"/>
  <c r="AP32" i="17" s="1"/>
  <c r="H33" i="15"/>
  <c r="AQ32" i="17" s="1"/>
  <c r="G34" i="15"/>
  <c r="AP33" i="17" s="1"/>
  <c r="H34" i="15"/>
  <c r="AQ33" i="17" s="1"/>
  <c r="G35" i="15"/>
  <c r="AP34" i="17" s="1"/>
  <c r="H35" i="15"/>
  <c r="AQ34" i="17" s="1"/>
  <c r="G36" i="15"/>
  <c r="AP35" i="17" s="1"/>
  <c r="H36" i="15"/>
  <c r="AQ35" i="17" s="1"/>
  <c r="G37" i="15"/>
  <c r="AP36" i="17" s="1"/>
  <c r="H37" i="15"/>
  <c r="AQ36" i="17" s="1"/>
  <c r="G38" i="15"/>
  <c r="AP37" i="17" s="1"/>
  <c r="H38" i="15"/>
  <c r="AQ37" i="17" s="1"/>
  <c r="G39" i="15"/>
  <c r="AP38" i="17" s="1"/>
  <c r="H39" i="15"/>
  <c r="AQ38" i="17" s="1"/>
  <c r="G40" i="15"/>
  <c r="AP39" i="17" s="1"/>
  <c r="H40" i="15"/>
  <c r="AQ39" i="17" s="1"/>
  <c r="G41" i="15"/>
  <c r="AP40" i="17" s="1"/>
  <c r="H41" i="15"/>
  <c r="AQ40" i="17" s="1"/>
  <c r="G42" i="15"/>
  <c r="AP41" i="17" s="1"/>
  <c r="H42" i="15"/>
  <c r="AQ41" i="17" s="1"/>
  <c r="G43" i="15"/>
  <c r="AP42" i="17" s="1"/>
  <c r="H43" i="15"/>
  <c r="AQ42" i="17" s="1"/>
  <c r="G44" i="15"/>
  <c r="AP43" i="17" s="1"/>
  <c r="H44" i="15"/>
  <c r="AQ43" i="17" s="1"/>
  <c r="G45" i="15"/>
  <c r="AP44" i="17" s="1"/>
  <c r="H45" i="15"/>
  <c r="AQ44" i="17" s="1"/>
  <c r="G46" i="15"/>
  <c r="AP45" i="17" s="1"/>
  <c r="H46" i="15"/>
  <c r="AQ45" i="17" s="1"/>
  <c r="G47" i="15"/>
  <c r="AP46" i="17" s="1"/>
  <c r="H47" i="15"/>
  <c r="AQ46" i="17" s="1"/>
  <c r="G48" i="15"/>
  <c r="AP47" i="17" s="1"/>
  <c r="H48" i="15"/>
  <c r="AQ47" i="17" s="1"/>
  <c r="G49" i="15"/>
  <c r="AP48" i="17" s="1"/>
  <c r="H49" i="15"/>
  <c r="AQ48" i="17" s="1"/>
  <c r="G50" i="15"/>
  <c r="AP49" i="17" s="1"/>
  <c r="H50" i="15"/>
  <c r="AQ49" i="17" s="1"/>
  <c r="G51" i="15"/>
  <c r="AP50" i="17" s="1"/>
  <c r="H51" i="15"/>
  <c r="AQ50" i="17" s="1"/>
  <c r="G52" i="15"/>
  <c r="AP51" i="17" s="1"/>
  <c r="H52" i="15"/>
  <c r="AQ51" i="17" s="1"/>
  <c r="G53" i="15"/>
  <c r="AP52" i="17" s="1"/>
  <c r="H53" i="15"/>
  <c r="AQ52" i="17" s="1"/>
  <c r="G54" i="15"/>
  <c r="AP53" i="17" s="1"/>
  <c r="H54" i="15"/>
  <c r="AQ53" i="17" s="1"/>
  <c r="G55" i="15"/>
  <c r="AP54" i="17" s="1"/>
  <c r="H55" i="15"/>
  <c r="AQ54" i="17" s="1"/>
  <c r="G56" i="15"/>
  <c r="AP55" i="17" s="1"/>
  <c r="H56" i="15"/>
  <c r="AQ55" i="17" s="1"/>
  <c r="G57" i="15"/>
  <c r="AP56" i="17" s="1"/>
  <c r="H57" i="15"/>
  <c r="AQ56" i="17" s="1"/>
  <c r="G58" i="15"/>
  <c r="AP57" i="17" s="1"/>
  <c r="H58" i="15"/>
  <c r="AQ57" i="17" s="1"/>
  <c r="G59" i="15"/>
  <c r="AP58" i="17" s="1"/>
  <c r="H59" i="15"/>
  <c r="AQ58" i="17" s="1"/>
  <c r="G60" i="15"/>
  <c r="AP59" i="17" s="1"/>
  <c r="H60" i="15"/>
  <c r="AQ59" i="17" s="1"/>
  <c r="G61" i="15"/>
  <c r="AP60" i="17" s="1"/>
  <c r="H61" i="15"/>
  <c r="AQ60" i="17" s="1"/>
  <c r="G62" i="15"/>
  <c r="AP61" i="17" s="1"/>
  <c r="H62" i="15"/>
  <c r="AQ61" i="17" s="1"/>
  <c r="G63" i="15"/>
  <c r="AP62" i="17" s="1"/>
  <c r="H63" i="15"/>
  <c r="AQ62" i="17" s="1"/>
  <c r="G64" i="15"/>
  <c r="AP63" i="17" s="1"/>
  <c r="H64" i="15"/>
  <c r="AQ63" i="17" s="1"/>
  <c r="G65" i="15"/>
  <c r="AP64" i="17" s="1"/>
  <c r="H65" i="15"/>
  <c r="AQ64" i="17" s="1"/>
  <c r="G66" i="15"/>
  <c r="AP65" i="17" s="1"/>
  <c r="H66" i="15"/>
  <c r="AQ65" i="17" s="1"/>
  <c r="G67" i="15"/>
  <c r="AP66" i="17" s="1"/>
  <c r="H67" i="15"/>
  <c r="AQ66" i="17" s="1"/>
  <c r="G68" i="15"/>
  <c r="AP67" i="17" s="1"/>
  <c r="H68" i="15"/>
  <c r="AQ67" i="17" s="1"/>
  <c r="G69" i="15"/>
  <c r="AP68" i="17" s="1"/>
  <c r="H69" i="15"/>
  <c r="AQ68" i="17" s="1"/>
  <c r="G70" i="15"/>
  <c r="AP69" i="17" s="1"/>
  <c r="H70" i="15"/>
  <c r="AQ69" i="17" s="1"/>
  <c r="G71" i="15"/>
  <c r="AP70" i="17" s="1"/>
  <c r="H71" i="15"/>
  <c r="AQ70" i="17" s="1"/>
  <c r="G72" i="15"/>
  <c r="AP71" i="17" s="1"/>
  <c r="H72" i="15"/>
  <c r="AQ71" i="17" s="1"/>
  <c r="G73" i="15"/>
  <c r="AP72" i="17" s="1"/>
  <c r="H73" i="15"/>
  <c r="AQ72" i="17" s="1"/>
  <c r="G74" i="15"/>
  <c r="AP73" i="17" s="1"/>
  <c r="H74" i="15"/>
  <c r="AQ73" i="17" s="1"/>
  <c r="G75" i="15"/>
  <c r="AP74" i="17" s="1"/>
  <c r="H75" i="15"/>
  <c r="AQ74" i="17" s="1"/>
  <c r="G76" i="15"/>
  <c r="AP75" i="17" s="1"/>
  <c r="H76" i="15"/>
  <c r="AQ75" i="17" s="1"/>
  <c r="G77" i="15"/>
  <c r="AP76" i="17" s="1"/>
  <c r="H77" i="15"/>
  <c r="AQ76" i="17" s="1"/>
  <c r="G78" i="15"/>
  <c r="AP77" i="17" s="1"/>
  <c r="H78" i="15"/>
  <c r="AQ77" i="17" s="1"/>
  <c r="G79" i="15"/>
  <c r="AP78" i="17" s="1"/>
  <c r="H79" i="15"/>
  <c r="AQ78" i="17" s="1"/>
  <c r="G80" i="15"/>
  <c r="AP79" i="17" s="1"/>
  <c r="H80" i="15"/>
  <c r="AQ79" i="17" s="1"/>
  <c r="G81" i="15"/>
  <c r="AP80" i="17" s="1"/>
  <c r="H81" i="15"/>
  <c r="AQ80" i="17" s="1"/>
  <c r="G82" i="15"/>
  <c r="AP81" i="17" s="1"/>
  <c r="H82" i="15"/>
  <c r="AQ81" i="17" s="1"/>
  <c r="G83" i="15"/>
  <c r="AP82" i="17" s="1"/>
  <c r="H83" i="15"/>
  <c r="AQ82" i="17" s="1"/>
  <c r="G84" i="15"/>
  <c r="AP83" i="17" s="1"/>
  <c r="H84" i="15"/>
  <c r="AQ83" i="17" s="1"/>
  <c r="G85" i="15"/>
  <c r="AP84" i="17" s="1"/>
  <c r="H85" i="15"/>
  <c r="AQ84" i="17" s="1"/>
  <c r="G86" i="15"/>
  <c r="AP85" i="17" s="1"/>
  <c r="H86" i="15"/>
  <c r="AQ85" i="17" s="1"/>
  <c r="G87" i="15"/>
  <c r="AP86" i="17" s="1"/>
  <c r="H87" i="15"/>
  <c r="AQ86" i="17" s="1"/>
  <c r="G88" i="15"/>
  <c r="AP87" i="17" s="1"/>
  <c r="H88" i="15"/>
  <c r="AQ87" i="17" s="1"/>
  <c r="G89" i="15"/>
  <c r="AP88" i="17" s="1"/>
  <c r="H89" i="15"/>
  <c r="AQ88" i="17" s="1"/>
  <c r="G90" i="15"/>
  <c r="AP89" i="17" s="1"/>
  <c r="H90" i="15"/>
  <c r="AQ89" i="17" s="1"/>
  <c r="G91" i="15"/>
  <c r="AP90" i="17" s="1"/>
  <c r="H91" i="15"/>
  <c r="AQ90" i="17" s="1"/>
  <c r="G92" i="15"/>
  <c r="AP91" i="17" s="1"/>
  <c r="H92" i="15"/>
  <c r="AQ91" i="17" s="1"/>
  <c r="G93" i="15"/>
  <c r="AP92" i="17" s="1"/>
  <c r="H93" i="15"/>
  <c r="AQ92" i="17" s="1"/>
  <c r="G94" i="15"/>
  <c r="AP93" i="17" s="1"/>
  <c r="H94" i="15"/>
  <c r="AQ93" i="17" s="1"/>
  <c r="G95" i="15"/>
  <c r="AP94" i="17" s="1"/>
  <c r="H95" i="15"/>
  <c r="AQ94" i="17" s="1"/>
  <c r="G96" i="15"/>
  <c r="AP95" i="17" s="1"/>
  <c r="H96" i="15"/>
  <c r="AQ95" i="17" s="1"/>
  <c r="G97" i="15"/>
  <c r="AP96" i="17" s="1"/>
  <c r="H97" i="15"/>
  <c r="AQ96" i="17" s="1"/>
  <c r="G98" i="15"/>
  <c r="AP97" i="17" s="1"/>
  <c r="H98" i="15"/>
  <c r="AQ97" i="17" s="1"/>
  <c r="G99" i="15"/>
  <c r="AP98" i="17" s="1"/>
  <c r="H99" i="15"/>
  <c r="AQ98" i="17" s="1"/>
  <c r="G100" i="15"/>
  <c r="AP99" i="17" s="1"/>
  <c r="H100" i="15"/>
  <c r="AQ99" i="17" s="1"/>
  <c r="G101" i="15"/>
  <c r="AP100" i="17" s="1"/>
  <c r="H101" i="15"/>
  <c r="AQ100" i="17" s="1"/>
  <c r="G102" i="15"/>
  <c r="AP101" i="17" s="1"/>
  <c r="H102" i="15"/>
  <c r="AQ101" i="17" s="1"/>
  <c r="G103" i="15"/>
  <c r="AP102" i="17" s="1"/>
  <c r="H103" i="15"/>
  <c r="AQ102" i="17" s="1"/>
  <c r="G104" i="15"/>
  <c r="AP103" i="17" s="1"/>
  <c r="H104" i="15"/>
  <c r="AQ103" i="17" s="1"/>
  <c r="G105" i="15"/>
  <c r="AP104" i="17" s="1"/>
  <c r="H105" i="15"/>
  <c r="AQ104" i="17" s="1"/>
  <c r="G106" i="15"/>
  <c r="AP105" i="17" s="1"/>
  <c r="H106" i="15"/>
  <c r="AQ105" i="17" s="1"/>
  <c r="G107" i="15"/>
  <c r="AP106" i="17" s="1"/>
  <c r="H107" i="15"/>
  <c r="AQ106" i="17" s="1"/>
  <c r="G108" i="15"/>
  <c r="AP107" i="17" s="1"/>
  <c r="H108" i="15"/>
  <c r="AQ107" i="17" s="1"/>
  <c r="G109" i="15"/>
  <c r="AP108" i="17" s="1"/>
  <c r="H109" i="15"/>
  <c r="AQ108" i="17" s="1"/>
  <c r="G110" i="15"/>
  <c r="AP109" i="17" s="1"/>
  <c r="H110" i="15"/>
  <c r="AQ109" i="17" s="1"/>
  <c r="H10" i="15"/>
  <c r="AQ9" i="17" s="1"/>
  <c r="G6" i="15"/>
  <c r="AP5" i="17" s="1"/>
  <c r="H6" i="15"/>
  <c r="AQ5" i="17" s="1"/>
  <c r="L1568" i="14" l="1"/>
  <c r="S1662" i="35"/>
  <c r="T1662" i="35" s="1"/>
  <c r="M443" i="3"/>
  <c r="O443" i="3" s="1"/>
  <c r="M492" i="3"/>
  <c r="O492" i="3" s="1"/>
  <c r="L1619" i="14"/>
  <c r="I474" i="3" s="1"/>
  <c r="D98" i="17" s="1"/>
  <c r="H38" i="25" s="1"/>
  <c r="S1717" i="35"/>
  <c r="T1717" i="35" s="1"/>
  <c r="L474" i="3" s="1"/>
  <c r="M474" i="3" s="1"/>
  <c r="O474" i="3" s="1"/>
  <c r="D67" i="17"/>
  <c r="AF67" i="17" s="1"/>
  <c r="M378" i="3"/>
  <c r="O378" i="3" s="1"/>
  <c r="D65" i="17"/>
  <c r="D62" i="17"/>
  <c r="P62" i="17" s="1"/>
  <c r="M359" i="3"/>
  <c r="O359" i="3" s="1"/>
  <c r="D49" i="17"/>
  <c r="M308" i="3"/>
  <c r="O308" i="3" s="1"/>
  <c r="D34" i="17"/>
  <c r="M213" i="3"/>
  <c r="O213" i="3" s="1"/>
  <c r="D59" i="17"/>
  <c r="AS59" i="17" s="1"/>
  <c r="M348" i="3"/>
  <c r="O348" i="3" s="1"/>
  <c r="AR86" i="17"/>
  <c r="AS17" i="17"/>
  <c r="AR72" i="17"/>
  <c r="AS9" i="17"/>
  <c r="AR14" i="17"/>
  <c r="AR52" i="17"/>
  <c r="I176" i="3"/>
  <c r="H35" i="26"/>
  <c r="H35" i="25"/>
  <c r="O91" i="17"/>
  <c r="P91" i="17"/>
  <c r="AF86" i="17"/>
  <c r="AF109" i="17"/>
  <c r="C42" i="26" s="1"/>
  <c r="C42" i="25"/>
  <c r="AF71" i="17"/>
  <c r="C28" i="26" s="1"/>
  <c r="C28" i="25"/>
  <c r="AF58" i="17"/>
  <c r="AF50" i="17"/>
  <c r="C21" i="26" s="1"/>
  <c r="C21" i="25"/>
  <c r="AF45" i="17"/>
  <c r="C17" i="26" s="1"/>
  <c r="C17" i="25"/>
  <c r="AF17" i="17"/>
  <c r="C10" i="26" s="1"/>
  <c r="C10" i="25"/>
  <c r="AF11" i="17"/>
  <c r="AF7" i="17"/>
  <c r="C5" i="26" s="1"/>
  <c r="C5" i="25"/>
  <c r="AF72" i="17"/>
  <c r="C29" i="26" s="1"/>
  <c r="C29" i="25"/>
  <c r="AF108" i="17"/>
  <c r="C41" i="26" s="1"/>
  <c r="C41" i="25"/>
  <c r="AF48" i="17"/>
  <c r="C19" i="26" s="1"/>
  <c r="C19" i="25"/>
  <c r="AF15" i="17"/>
  <c r="AF69" i="17"/>
  <c r="C27" i="26" s="1"/>
  <c r="C27" i="25"/>
  <c r="AF56" i="17"/>
  <c r="C23" i="26" s="1"/>
  <c r="C23" i="25"/>
  <c r="AF52" i="17"/>
  <c r="C22" i="26" s="1"/>
  <c r="C22" i="25"/>
  <c r="AF47" i="17"/>
  <c r="C18" i="26" s="1"/>
  <c r="C18" i="25"/>
  <c r="AF43" i="17"/>
  <c r="C16" i="26" s="1"/>
  <c r="C16" i="25"/>
  <c r="AF39" i="17"/>
  <c r="C15" i="26" s="1"/>
  <c r="C15" i="25"/>
  <c r="AF35" i="17"/>
  <c r="C14" i="26" s="1"/>
  <c r="C14" i="25"/>
  <c r="AF9" i="17"/>
  <c r="C7" i="26" s="1"/>
  <c r="C7" i="25"/>
  <c r="C35" i="25"/>
  <c r="AF8" i="17"/>
  <c r="C6" i="26" s="1"/>
  <c r="C6" i="25"/>
  <c r="M10" i="13"/>
  <c r="AR64" i="17"/>
  <c r="AF98" i="17"/>
  <c r="C38" i="26" s="1"/>
  <c r="AF91" i="17"/>
  <c r="C35" i="26" s="1"/>
  <c r="F35" i="25"/>
  <c r="AR44" i="17"/>
  <c r="AR36" i="17"/>
  <c r="AR24" i="17"/>
  <c r="AR69" i="17"/>
  <c r="AR29" i="17"/>
  <c r="AR60" i="17"/>
  <c r="AR61" i="17"/>
  <c r="AR53" i="17"/>
  <c r="AR45" i="17"/>
  <c r="AR37" i="17"/>
  <c r="AR21" i="17"/>
  <c r="AS81" i="17"/>
  <c r="AS97" i="17"/>
  <c r="AR83" i="17"/>
  <c r="AR70" i="17"/>
  <c r="AR58" i="17"/>
  <c r="AR54" i="17"/>
  <c r="AR50" i="17"/>
  <c r="AS41" i="17"/>
  <c r="AS25" i="17"/>
  <c r="AS105" i="17"/>
  <c r="AS15" i="17"/>
  <c r="AS96" i="17"/>
  <c r="AS80" i="17"/>
  <c r="AS72" i="17"/>
  <c r="AS64" i="17"/>
  <c r="AS56" i="17"/>
  <c r="AS48" i="17"/>
  <c r="AS40" i="17"/>
  <c r="AS32" i="17"/>
  <c r="AS24" i="17"/>
  <c r="AR48" i="17"/>
  <c r="AR20" i="17"/>
  <c r="AR109" i="17"/>
  <c r="AS14" i="17"/>
  <c r="AS95" i="17"/>
  <c r="AS71" i="17"/>
  <c r="AS55" i="17"/>
  <c r="AS47" i="17"/>
  <c r="AS39" i="17"/>
  <c r="AS31" i="17"/>
  <c r="AS23" i="17"/>
  <c r="AR40" i="17"/>
  <c r="AR85" i="17"/>
  <c r="AS13" i="17"/>
  <c r="AS5" i="17"/>
  <c r="AS86" i="17"/>
  <c r="AS70" i="17"/>
  <c r="AS54" i="17"/>
  <c r="AS46" i="17"/>
  <c r="AS38" i="17"/>
  <c r="AS22" i="17"/>
  <c r="AR77" i="17"/>
  <c r="AS109" i="17"/>
  <c r="AS101" i="17"/>
  <c r="AS85" i="17"/>
  <c r="AS77" i="17"/>
  <c r="AS69" i="17"/>
  <c r="AS61" i="17"/>
  <c r="AS53" i="17"/>
  <c r="AS45" i="17"/>
  <c r="AS37" i="17"/>
  <c r="AS29" i="17"/>
  <c r="AS21" i="17"/>
  <c r="AS11" i="17"/>
  <c r="AS108" i="17"/>
  <c r="AS76" i="17"/>
  <c r="AS68" i="17"/>
  <c r="AS60" i="17"/>
  <c r="AS52" i="17"/>
  <c r="AS44" i="17"/>
  <c r="AS36" i="17"/>
  <c r="AS20" i="17"/>
  <c r="AS18" i="17"/>
  <c r="AS91" i="17"/>
  <c r="AS83" i="17"/>
  <c r="AS51" i="17"/>
  <c r="AS43" i="17"/>
  <c r="AS35" i="17"/>
  <c r="AS27" i="17"/>
  <c r="AS19" i="17"/>
  <c r="AS57" i="17"/>
  <c r="AS82" i="17"/>
  <c r="AS66" i="17"/>
  <c r="AS58" i="17"/>
  <c r="AS50" i="17"/>
  <c r="AS42" i="17"/>
  <c r="AS26" i="17"/>
  <c r="AR108" i="17"/>
  <c r="AR76" i="17"/>
  <c r="AR51" i="17"/>
  <c r="AR43" i="17"/>
  <c r="AR35" i="17"/>
  <c r="AR27" i="17"/>
  <c r="AR19" i="17"/>
  <c r="AR11" i="17"/>
  <c r="AR68" i="17"/>
  <c r="AR91" i="17"/>
  <c r="AR66" i="17"/>
  <c r="AR42" i="17"/>
  <c r="AR26" i="17"/>
  <c r="AR18" i="17"/>
  <c r="AR101" i="17"/>
  <c r="AR82" i="17"/>
  <c r="AR57" i="17"/>
  <c r="AR41" i="17"/>
  <c r="AR25" i="17"/>
  <c r="AR17" i="17"/>
  <c r="AR97" i="17"/>
  <c r="AR56" i="17"/>
  <c r="AR105" i="17"/>
  <c r="AR81" i="17"/>
  <c r="AR32" i="17"/>
  <c r="AR96" i="17"/>
  <c r="AR80" i="17"/>
  <c r="AR71" i="17"/>
  <c r="AR55" i="17"/>
  <c r="AR47" i="17"/>
  <c r="AR39" i="17"/>
  <c r="AR31" i="17"/>
  <c r="AR23" i="17"/>
  <c r="AR15" i="17"/>
  <c r="AR95" i="17"/>
  <c r="AR46" i="17"/>
  <c r="AR38" i="17"/>
  <c r="AR22" i="17"/>
  <c r="AR13" i="17"/>
  <c r="AR5" i="17"/>
  <c r="G8" i="15"/>
  <c r="AP7" i="17" s="1"/>
  <c r="AR7" i="17" s="1"/>
  <c r="G11" i="15"/>
  <c r="AP10" i="17" s="1"/>
  <c r="AR10" i="17" s="1"/>
  <c r="H11" i="15"/>
  <c r="AQ10" i="17" s="1"/>
  <c r="AS10" i="17" s="1"/>
  <c r="G10" i="15"/>
  <c r="AP9" i="17" s="1"/>
  <c r="AR9" i="17" s="1"/>
  <c r="G5" i="15"/>
  <c r="AP4" i="17" s="1"/>
  <c r="AR4" i="17" s="1"/>
  <c r="H8" i="15"/>
  <c r="AQ7" i="17" s="1"/>
  <c r="AS7" i="17" s="1"/>
  <c r="AH91" i="17" l="1"/>
  <c r="E35" i="26" s="1"/>
  <c r="P98" i="17"/>
  <c r="AG91" i="17"/>
  <c r="D35" i="26" s="1"/>
  <c r="O98" i="17"/>
  <c r="AH62" i="17"/>
  <c r="AN62" i="17" s="1"/>
  <c r="AR62" i="17"/>
  <c r="H20" i="26"/>
  <c r="H38" i="26"/>
  <c r="F38" i="25"/>
  <c r="AF65" i="17"/>
  <c r="C26" i="26" s="1"/>
  <c r="O59" i="17"/>
  <c r="AG59" i="17" s="1"/>
  <c r="C24" i="25"/>
  <c r="O49" i="17"/>
  <c r="AF62" i="17"/>
  <c r="F24" i="26"/>
  <c r="AF59" i="17"/>
  <c r="P59" i="17"/>
  <c r="AH59" i="17" s="1"/>
  <c r="P65" i="17"/>
  <c r="O65" i="17"/>
  <c r="AG65" i="17" s="1"/>
  <c r="O34" i="17"/>
  <c r="AG34" i="17" s="1"/>
  <c r="G20" i="26"/>
  <c r="AR67" i="17"/>
  <c r="AS65" i="17"/>
  <c r="D28" i="17"/>
  <c r="M176" i="3"/>
  <c r="O176" i="3" s="1"/>
  <c r="AS62" i="17"/>
  <c r="AR49" i="17"/>
  <c r="AR65" i="17"/>
  <c r="AR98" i="17"/>
  <c r="C26" i="25"/>
  <c r="P67" i="17"/>
  <c r="P34" i="17"/>
  <c r="H20" i="25"/>
  <c r="AS67" i="17"/>
  <c r="AS49" i="17"/>
  <c r="F20" i="25"/>
  <c r="O62" i="17"/>
  <c r="AG62" i="17" s="1"/>
  <c r="O67" i="17"/>
  <c r="AG67" i="17" s="1"/>
  <c r="C38" i="25"/>
  <c r="P49" i="17"/>
  <c r="AH49" i="17" s="1"/>
  <c r="AS98" i="17"/>
  <c r="AF49" i="17"/>
  <c r="C20" i="26" s="1"/>
  <c r="AR59" i="17"/>
  <c r="AR34" i="17"/>
  <c r="AS34" i="17"/>
  <c r="AF34" i="17"/>
  <c r="C20" i="25"/>
  <c r="D35" i="25"/>
  <c r="E35" i="25"/>
  <c r="E38" i="25"/>
  <c r="F35" i="26"/>
  <c r="F38" i="26"/>
  <c r="G35" i="25"/>
  <c r="G38" i="25"/>
  <c r="M7" i="13"/>
  <c r="M9" i="13" s="1"/>
  <c r="H5" i="15"/>
  <c r="AQ4" i="17" s="1"/>
  <c r="AS4" i="17" s="1"/>
  <c r="G9" i="15"/>
  <c r="AP8" i="17" s="1"/>
  <c r="AR8" i="17" s="1"/>
  <c r="H9" i="15"/>
  <c r="AQ8" i="17" s="1"/>
  <c r="AS8" i="17" s="1"/>
  <c r="G7" i="15"/>
  <c r="AP6" i="17" s="1"/>
  <c r="H7" i="15"/>
  <c r="AQ6" i="17" s="1"/>
  <c r="AN91" i="17" l="1"/>
  <c r="D38" i="25"/>
  <c r="AG98" i="17"/>
  <c r="D38" i="26" s="1"/>
  <c r="AH67" i="17"/>
  <c r="AN67" i="17" s="1"/>
  <c r="AG49" i="17"/>
  <c r="D20" i="26" s="1"/>
  <c r="AH65" i="17"/>
  <c r="AN65" i="17" s="1"/>
  <c r="AH98" i="17"/>
  <c r="E38" i="26" s="1"/>
  <c r="AH34" i="17"/>
  <c r="AN34" i="17" s="1"/>
  <c r="E20" i="25"/>
  <c r="AN49" i="17"/>
  <c r="AN59" i="17"/>
  <c r="H24" i="25"/>
  <c r="D26" i="26"/>
  <c r="H26" i="26"/>
  <c r="H24" i="26"/>
  <c r="G24" i="26"/>
  <c r="AS28" i="17"/>
  <c r="C11" i="25"/>
  <c r="O28" i="17"/>
  <c r="D20" i="25"/>
  <c r="G11" i="26"/>
  <c r="F24" i="25"/>
  <c r="P28" i="17"/>
  <c r="AH28" i="17" s="1"/>
  <c r="F11" i="25"/>
  <c r="AR28" i="17"/>
  <c r="D24" i="26"/>
  <c r="AF28" i="17"/>
  <c r="C11" i="26" s="1"/>
  <c r="D24" i="25"/>
  <c r="C24" i="26"/>
  <c r="E20" i="26"/>
  <c r="G20" i="25"/>
  <c r="E26" i="25"/>
  <c r="F20" i="26"/>
  <c r="E24" i="25"/>
  <c r="G24" i="25"/>
  <c r="G26" i="25"/>
  <c r="D26" i="25"/>
  <c r="H26" i="25"/>
  <c r="F26" i="25"/>
  <c r="F26" i="26"/>
  <c r="F11" i="26"/>
  <c r="H11" i="26"/>
  <c r="H11" i="25"/>
  <c r="G35" i="26"/>
  <c r="G38" i="26"/>
  <c r="G26" i="26"/>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107" i="17"/>
  <c r="C106" i="17"/>
  <c r="C105" i="17"/>
  <c r="C104" i="17"/>
  <c r="C103" i="17"/>
  <c r="C102" i="17"/>
  <c r="C101" i="17"/>
  <c r="C100" i="17"/>
  <c r="C99" i="17"/>
  <c r="C98" i="17"/>
  <c r="C97" i="17"/>
  <c r="C96" i="17"/>
  <c r="C95" i="17"/>
  <c r="C94" i="17"/>
  <c r="C93" i="17"/>
  <c r="C92" i="17"/>
  <c r="C91" i="17"/>
  <c r="C22" i="17"/>
  <c r="C20" i="17"/>
  <c r="C19" i="17"/>
  <c r="C21" i="17"/>
  <c r="C17" i="17"/>
  <c r="C18" i="17"/>
  <c r="C16" i="17"/>
  <c r="C15" i="17"/>
  <c r="C109" i="17"/>
  <c r="C108" i="17"/>
  <c r="C14" i="17"/>
  <c r="C13" i="17"/>
  <c r="C12" i="17"/>
  <c r="C11" i="17"/>
  <c r="C10" i="17"/>
  <c r="C9" i="17"/>
  <c r="C8" i="17"/>
  <c r="C7" i="17"/>
  <c r="C6" i="17"/>
  <c r="C5" i="17"/>
  <c r="C4" i="17"/>
  <c r="L1663" i="14"/>
  <c r="I485" i="3" s="1"/>
  <c r="AG28" i="17" l="1"/>
  <c r="D11" i="26" s="1"/>
  <c r="E26" i="26"/>
  <c r="AN98" i="17"/>
  <c r="E11" i="25"/>
  <c r="E24" i="26"/>
  <c r="D11" i="25"/>
  <c r="G11" i="25"/>
  <c r="D102" i="17"/>
  <c r="P102" i="17" s="1"/>
  <c r="M485" i="3"/>
  <c r="O485" i="3" s="1"/>
  <c r="C110" i="17"/>
  <c r="K1513" i="14"/>
  <c r="L1512" i="14"/>
  <c r="L1411" i="14"/>
  <c r="I407" i="3" s="1"/>
  <c r="L1402" i="14"/>
  <c r="L1399" i="14"/>
  <c r="AH102" i="17" l="1"/>
  <c r="AN102" i="17" s="1"/>
  <c r="AR102" i="17"/>
  <c r="AF102" i="17"/>
  <c r="O102" i="17"/>
  <c r="AG102" i="17" s="1"/>
  <c r="AS102" i="17"/>
  <c r="AN28" i="17"/>
  <c r="E11" i="26"/>
  <c r="L1513" i="14"/>
  <c r="S1549" i="35"/>
  <c r="T1549" i="35" s="1"/>
  <c r="L428" i="3" s="1"/>
  <c r="D79" i="17"/>
  <c r="P79" i="17" s="1"/>
  <c r="M407" i="3"/>
  <c r="O407" i="3" s="1"/>
  <c r="AS79" i="17"/>
  <c r="AF79" i="17"/>
  <c r="AR79" i="17"/>
  <c r="I405" i="3"/>
  <c r="I428" i="3"/>
  <c r="L1712" i="14"/>
  <c r="L1689" i="14"/>
  <c r="I493" i="3" s="1"/>
  <c r="I517" i="3" s="1"/>
  <c r="K1579" i="14"/>
  <c r="K1576" i="14"/>
  <c r="K1575" i="14"/>
  <c r="S1669" i="35" s="1"/>
  <c r="T1669" i="35" s="1"/>
  <c r="K1574" i="14"/>
  <c r="K1567" i="14"/>
  <c r="L1553" i="14"/>
  <c r="I441" i="3" s="1"/>
  <c r="M441" i="3" s="1"/>
  <c r="O441" i="3" s="1"/>
  <c r="L1527" i="14"/>
  <c r="I436" i="3" s="1"/>
  <c r="L1538" i="14"/>
  <c r="I438" i="3" s="1"/>
  <c r="L839" i="14"/>
  <c r="I188" i="3" s="1"/>
  <c r="D30" i="17" s="1"/>
  <c r="L1737" i="14"/>
  <c r="I509" i="3" s="1"/>
  <c r="M509" i="3" s="1"/>
  <c r="O509" i="3" s="1"/>
  <c r="L1732" i="14"/>
  <c r="I507" i="3" s="1"/>
  <c r="M507" i="3" s="1"/>
  <c r="O507" i="3" s="1"/>
  <c r="L1703" i="14"/>
  <c r="I501" i="3" s="1"/>
  <c r="M501" i="3" s="1"/>
  <c r="O501" i="3" s="1"/>
  <c r="L1702" i="14"/>
  <c r="I500" i="3" s="1"/>
  <c r="M500" i="3" s="1"/>
  <c r="O500" i="3" s="1"/>
  <c r="L1641" i="14"/>
  <c r="I481" i="3" s="1"/>
  <c r="M481" i="3" s="1"/>
  <c r="O481" i="3" s="1"/>
  <c r="K1644" i="14"/>
  <c r="L1687" i="14"/>
  <c r="I491" i="3" s="1"/>
  <c r="L1395" i="14"/>
  <c r="I402" i="3" s="1"/>
  <c r="L1391" i="14"/>
  <c r="I400" i="3" s="1"/>
  <c r="L1520" i="14"/>
  <c r="I433" i="3" s="1"/>
  <c r="M433" i="3" s="1"/>
  <c r="O433" i="3" s="1"/>
  <c r="K1522" i="14"/>
  <c r="K1521" i="14"/>
  <c r="L863" i="14"/>
  <c r="I209" i="3" s="1"/>
  <c r="K562" i="14"/>
  <c r="K561" i="14"/>
  <c r="AH79" i="17" l="1"/>
  <c r="AN79" i="17" s="1"/>
  <c r="O79" i="17"/>
  <c r="AG79" i="17" s="1"/>
  <c r="L1567" i="14"/>
  <c r="S1661" i="35"/>
  <c r="T1661" i="35" s="1"/>
  <c r="L562" i="14"/>
  <c r="I105" i="3" s="1"/>
  <c r="S626" i="35"/>
  <c r="T626" i="35" s="1"/>
  <c r="L105" i="3" s="1"/>
  <c r="M105" i="3" s="1"/>
  <c r="O105" i="3" s="1"/>
  <c r="L1522" i="14"/>
  <c r="I435" i="3" s="1"/>
  <c r="S1579" i="35"/>
  <c r="T1579" i="35" s="1"/>
  <c r="L435" i="3" s="1"/>
  <c r="M435" i="3" s="1"/>
  <c r="O435" i="3" s="1"/>
  <c r="L1574" i="14"/>
  <c r="S1668" i="35"/>
  <c r="T1668" i="35" s="1"/>
  <c r="K1577" i="14"/>
  <c r="S1670" i="35"/>
  <c r="T1670" i="35" s="1"/>
  <c r="L1575" i="14"/>
  <c r="L1644" i="14"/>
  <c r="I482" i="3" s="1"/>
  <c r="S1781" i="35"/>
  <c r="T1781" i="35" s="1"/>
  <c r="L482" i="3" s="1"/>
  <c r="M482" i="3" s="1"/>
  <c r="O482" i="3" s="1"/>
  <c r="K1581" i="14"/>
  <c r="S1673" i="35"/>
  <c r="T1673" i="35" s="1"/>
  <c r="L561" i="14"/>
  <c r="I104" i="3" s="1"/>
  <c r="S622" i="35"/>
  <c r="T622" i="35" s="1"/>
  <c r="L1521" i="14"/>
  <c r="I434" i="3" s="1"/>
  <c r="S1572" i="35"/>
  <c r="T1572" i="35" s="1"/>
  <c r="L434" i="3" s="1"/>
  <c r="L1576" i="14"/>
  <c r="D84" i="17"/>
  <c r="M428" i="3"/>
  <c r="O428" i="3" s="1"/>
  <c r="D104" i="17"/>
  <c r="P104" i="17" s="1"/>
  <c r="M493" i="3"/>
  <c r="O493" i="3" s="1"/>
  <c r="D78" i="17"/>
  <c r="M405" i="3"/>
  <c r="O405" i="3" s="1"/>
  <c r="D89" i="17"/>
  <c r="M438" i="3"/>
  <c r="O438" i="3" s="1"/>
  <c r="D88" i="17"/>
  <c r="AR88" i="17" s="1"/>
  <c r="M436" i="3"/>
  <c r="O436" i="3" s="1"/>
  <c r="D75" i="17"/>
  <c r="M402" i="3"/>
  <c r="O402" i="3" s="1"/>
  <c r="D33" i="17"/>
  <c r="M209" i="3"/>
  <c r="O209" i="3" s="1"/>
  <c r="D74" i="17"/>
  <c r="M400" i="3"/>
  <c r="O400" i="3" s="1"/>
  <c r="D103" i="17"/>
  <c r="M491" i="3"/>
  <c r="O491" i="3" s="1"/>
  <c r="AS30" i="17"/>
  <c r="C12" i="25"/>
  <c r="AF30" i="17"/>
  <c r="C12" i="26" s="1"/>
  <c r="AR30" i="17"/>
  <c r="D107" i="17"/>
  <c r="K1580" i="14"/>
  <c r="L1579" i="14"/>
  <c r="D100" i="17"/>
  <c r="D87" i="17"/>
  <c r="L527" i="14"/>
  <c r="I90" i="3" s="1"/>
  <c r="L190" i="14"/>
  <c r="I33" i="3" s="1"/>
  <c r="M33" i="3" s="1"/>
  <c r="O33" i="3" s="1"/>
  <c r="L1634" i="14"/>
  <c r="I475" i="3" s="1"/>
  <c r="L1550" i="14"/>
  <c r="K1551" i="14"/>
  <c r="L1551" i="14" s="1"/>
  <c r="L1706" i="14"/>
  <c r="L1707" i="14"/>
  <c r="L1708" i="14"/>
  <c r="L1709" i="14"/>
  <c r="L1710" i="14"/>
  <c r="L1711" i="14"/>
  <c r="L1705" i="14"/>
  <c r="L1603" i="14"/>
  <c r="I460" i="3" s="1"/>
  <c r="M460" i="3" s="1"/>
  <c r="O460" i="3" s="1"/>
  <c r="L1604" i="14"/>
  <c r="I461" i="3" s="1"/>
  <c r="M461" i="3" s="1"/>
  <c r="O461" i="3" s="1"/>
  <c r="L1605" i="14"/>
  <c r="I462" i="3" s="1"/>
  <c r="M462" i="3" s="1"/>
  <c r="O462" i="3" s="1"/>
  <c r="L1602" i="14"/>
  <c r="I459" i="3" s="1"/>
  <c r="L1595" i="14"/>
  <c r="I452" i="3" s="1"/>
  <c r="M452" i="3" s="1"/>
  <c r="O452" i="3" s="1"/>
  <c r="K1600" i="14"/>
  <c r="K1599" i="14"/>
  <c r="K1598" i="14"/>
  <c r="K1597" i="14"/>
  <c r="K1596" i="14"/>
  <c r="K1564" i="14"/>
  <c r="L1566" i="14"/>
  <c r="L1562" i="14"/>
  <c r="L1563" i="14"/>
  <c r="L1561" i="14"/>
  <c r="L1282" i="14"/>
  <c r="I363" i="3" s="1"/>
  <c r="L560" i="14"/>
  <c r="I103" i="3" s="1"/>
  <c r="AH104" i="17" l="1"/>
  <c r="AN104" i="17" s="1"/>
  <c r="P78" i="17"/>
  <c r="P84" i="17"/>
  <c r="O104" i="17"/>
  <c r="AG104" i="17" s="1"/>
  <c r="H33" i="25"/>
  <c r="H13" i="25"/>
  <c r="G13" i="25"/>
  <c r="H32" i="26"/>
  <c r="H31" i="26"/>
  <c r="AS33" i="17"/>
  <c r="C31" i="25"/>
  <c r="AR103" i="17"/>
  <c r="AF103" i="17"/>
  <c r="AF89" i="17"/>
  <c r="F31" i="25"/>
  <c r="AS74" i="17"/>
  <c r="O78" i="17"/>
  <c r="AG78" i="17" s="1"/>
  <c r="AS84" i="17"/>
  <c r="C33" i="25"/>
  <c r="AS104" i="17"/>
  <c r="AR84" i="17"/>
  <c r="L1600" i="14"/>
  <c r="I457" i="3" s="1"/>
  <c r="S1698" i="35"/>
  <c r="T1698" i="35" s="1"/>
  <c r="L457" i="3" s="1"/>
  <c r="M457" i="3" s="1"/>
  <c r="O457" i="3" s="1"/>
  <c r="D12" i="17"/>
  <c r="M90" i="3"/>
  <c r="O90" i="3" s="1"/>
  <c r="I515" i="3"/>
  <c r="M459" i="3"/>
  <c r="O459" i="3" s="1"/>
  <c r="L1577" i="14"/>
  <c r="I445" i="3" s="1"/>
  <c r="S1671" i="35"/>
  <c r="T1671" i="35" s="1"/>
  <c r="AR78" i="17"/>
  <c r="L445" i="3"/>
  <c r="AF78" i="17"/>
  <c r="AF84" i="17"/>
  <c r="O84" i="17"/>
  <c r="AG84" i="17" s="1"/>
  <c r="AR104" i="17"/>
  <c r="D99" i="17"/>
  <c r="M475" i="3"/>
  <c r="O475" i="3" s="1"/>
  <c r="AR75" i="17"/>
  <c r="D16" i="17"/>
  <c r="H9" i="26" s="1"/>
  <c r="M103" i="3"/>
  <c r="O103" i="3" s="1"/>
  <c r="P89" i="17"/>
  <c r="L1564" i="14"/>
  <c r="I444" i="3" s="1"/>
  <c r="S1658" i="35"/>
  <c r="T1658" i="35" s="1"/>
  <c r="L444" i="3" s="1"/>
  <c r="L1596" i="14"/>
  <c r="I453" i="3" s="1"/>
  <c r="D93" i="17" s="1"/>
  <c r="S1692" i="35"/>
  <c r="T1692" i="35" s="1"/>
  <c r="L453" i="3" s="1"/>
  <c r="M453" i="3" s="1"/>
  <c r="O453" i="3" s="1"/>
  <c r="AF104" i="17"/>
  <c r="L1597" i="14"/>
  <c r="I454" i="3" s="1"/>
  <c r="S1695" i="35"/>
  <c r="T1695" i="35" s="1"/>
  <c r="L454" i="3" s="1"/>
  <c r="M454" i="3" s="1"/>
  <c r="O454" i="3" s="1"/>
  <c r="P103" i="17"/>
  <c r="M434" i="3"/>
  <c r="O434" i="3" s="1"/>
  <c r="L1599" i="14"/>
  <c r="I456" i="3" s="1"/>
  <c r="S1697" i="35"/>
  <c r="T1697" i="35" s="1"/>
  <c r="L456" i="3" s="1"/>
  <c r="M456" i="3" s="1"/>
  <c r="O456" i="3" s="1"/>
  <c r="L1581" i="14"/>
  <c r="S1675" i="35"/>
  <c r="T1675" i="35" s="1"/>
  <c r="P88" i="17"/>
  <c r="L1580" i="14"/>
  <c r="S1674" i="35"/>
  <c r="T1674" i="35" s="1"/>
  <c r="I502" i="3"/>
  <c r="D106" i="17" s="1"/>
  <c r="S1823" i="35"/>
  <c r="T1823" i="35" s="1"/>
  <c r="L502" i="3" s="1"/>
  <c r="M502" i="3" s="1"/>
  <c r="O502" i="3" s="1"/>
  <c r="C32" i="25"/>
  <c r="AS89" i="17"/>
  <c r="AF88" i="17"/>
  <c r="AS103" i="17"/>
  <c r="L1598" i="14"/>
  <c r="I455" i="3" s="1"/>
  <c r="S1696" i="35"/>
  <c r="T1696" i="35" s="1"/>
  <c r="L455" i="3" s="1"/>
  <c r="AR89" i="17"/>
  <c r="O103" i="17"/>
  <c r="AG103" i="17" s="1"/>
  <c r="L104" i="3"/>
  <c r="O75" i="17"/>
  <c r="AF74" i="17"/>
  <c r="C31" i="26" s="1"/>
  <c r="H13" i="26"/>
  <c r="AF75" i="17"/>
  <c r="C32" i="26" s="1"/>
  <c r="AR74" i="17"/>
  <c r="P33" i="17"/>
  <c r="AH33" i="17" s="1"/>
  <c r="H32" i="25"/>
  <c r="D63" i="17"/>
  <c r="M363" i="3"/>
  <c r="H31" i="25"/>
  <c r="AF33" i="17"/>
  <c r="C13" i="26" s="1"/>
  <c r="F32" i="25"/>
  <c r="O88" i="17"/>
  <c r="AG88" i="17" s="1"/>
  <c r="O74" i="17"/>
  <c r="AG74" i="17" s="1"/>
  <c r="AS75" i="17"/>
  <c r="O33" i="17"/>
  <c r="AG33" i="17" s="1"/>
  <c r="P74" i="17"/>
  <c r="AH74" i="17" s="1"/>
  <c r="AS88" i="17"/>
  <c r="O89" i="17"/>
  <c r="AG89" i="17" s="1"/>
  <c r="G31" i="26"/>
  <c r="P75" i="17"/>
  <c r="AH75" i="17" s="1"/>
  <c r="AR33" i="17"/>
  <c r="F33" i="25"/>
  <c r="AS78" i="17"/>
  <c r="F13" i="25"/>
  <c r="C13" i="25"/>
  <c r="I440" i="3"/>
  <c r="P100" i="17"/>
  <c r="P107" i="17"/>
  <c r="O87" i="17"/>
  <c r="AG87" i="17" s="1"/>
  <c r="P87" i="17"/>
  <c r="E33" i="25"/>
  <c r="O107" i="17"/>
  <c r="AG107" i="17" s="1"/>
  <c r="O100" i="17"/>
  <c r="AG100" i="17" s="1"/>
  <c r="F31" i="26"/>
  <c r="AS87" i="17"/>
  <c r="AS107" i="17"/>
  <c r="AS100" i="17"/>
  <c r="AF100" i="17"/>
  <c r="AR100" i="17"/>
  <c r="AF87" i="17"/>
  <c r="AR87" i="17"/>
  <c r="AF107" i="17"/>
  <c r="AR107" i="17"/>
  <c r="D94" i="17"/>
  <c r="D6" i="17"/>
  <c r="J757" i="8"/>
  <c r="J758" i="8" s="1"/>
  <c r="H662" i="11"/>
  <c r="I662" i="11"/>
  <c r="J662" i="11"/>
  <c r="K662" i="11"/>
  <c r="L662" i="11"/>
  <c r="M662" i="11"/>
  <c r="M663" i="11" s="1"/>
  <c r="N662" i="11"/>
  <c r="N663" i="11" s="1"/>
  <c r="O662" i="11"/>
  <c r="O663" i="11" s="1"/>
  <c r="P662" i="11"/>
  <c r="P663" i="11" s="1"/>
  <c r="Q662" i="11"/>
  <c r="Q663" i="11" s="1"/>
  <c r="R662" i="11"/>
  <c r="R663" i="11" s="1"/>
  <c r="S662" i="11"/>
  <c r="T662" i="11"/>
  <c r="U662" i="11"/>
  <c r="V662" i="11"/>
  <c r="W662" i="11"/>
  <c r="X662" i="11"/>
  <c r="Y662" i="11"/>
  <c r="Z662" i="11"/>
  <c r="AA662" i="11"/>
  <c r="AB662" i="11"/>
  <c r="AC662" i="11"/>
  <c r="AD662" i="11"/>
  <c r="AE662" i="11"/>
  <c r="AE663" i="11" s="1"/>
  <c r="AF662" i="11"/>
  <c r="AF663" i="11" s="1"/>
  <c r="AG662" i="11"/>
  <c r="AG663" i="11" s="1"/>
  <c r="AH662" i="11"/>
  <c r="AH663" i="11" s="1"/>
  <c r="AI662" i="11"/>
  <c r="AJ662" i="11"/>
  <c r="G662" i="11"/>
  <c r="G663" i="11" s="1"/>
  <c r="G779" i="9"/>
  <c r="G780" i="9" s="1"/>
  <c r="I779" i="9"/>
  <c r="I780" i="9" s="1"/>
  <c r="J779" i="9"/>
  <c r="H779" i="9" s="1"/>
  <c r="K779" i="9"/>
  <c r="K780" i="9" s="1"/>
  <c r="L779" i="9"/>
  <c r="L780" i="9" s="1"/>
  <c r="M779" i="9"/>
  <c r="M780" i="9" s="1"/>
  <c r="N779" i="9"/>
  <c r="N780" i="9" s="1"/>
  <c r="O779" i="9"/>
  <c r="O780" i="9" s="1"/>
  <c r="P779" i="9"/>
  <c r="P780" i="9" s="1"/>
  <c r="Q779" i="9"/>
  <c r="Q780" i="9" s="1"/>
  <c r="R779" i="9"/>
  <c r="R780" i="9" s="1"/>
  <c r="S779" i="9"/>
  <c r="S780" i="9" s="1"/>
  <c r="T779" i="9"/>
  <c r="T780" i="9" s="1"/>
  <c r="U779" i="9"/>
  <c r="U780" i="9" s="1"/>
  <c r="V779" i="9"/>
  <c r="V780" i="9" s="1"/>
  <c r="F779" i="9"/>
  <c r="F780" i="9" s="1"/>
  <c r="L757" i="8"/>
  <c r="L758" i="8" s="1"/>
  <c r="M757" i="8"/>
  <c r="M758" i="8" s="1"/>
  <c r="N757" i="8"/>
  <c r="N758" i="8" s="1"/>
  <c r="O757" i="8"/>
  <c r="O758" i="8" s="1"/>
  <c r="P757" i="8"/>
  <c r="P758" i="8" s="1"/>
  <c r="Q757" i="8"/>
  <c r="Q758" i="8" s="1"/>
  <c r="R757" i="8"/>
  <c r="R758" i="8" s="1"/>
  <c r="S757" i="8"/>
  <c r="S758" i="8" s="1"/>
  <c r="T757" i="8"/>
  <c r="T758" i="8" s="1"/>
  <c r="U757" i="8"/>
  <c r="U758" i="8" s="1"/>
  <c r="V757" i="8"/>
  <c r="V758" i="8" s="1"/>
  <c r="W757" i="8"/>
  <c r="W758" i="8" s="1"/>
  <c r="X757" i="8"/>
  <c r="X758" i="8" s="1"/>
  <c r="Y757" i="8"/>
  <c r="Y758" i="8" s="1"/>
  <c r="K757" i="8"/>
  <c r="K758" i="8" s="1"/>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10" i="9"/>
  <c r="H663" i="11"/>
  <c r="I663" i="11"/>
  <c r="J663" i="11"/>
  <c r="K663" i="11"/>
  <c r="L663" i="11"/>
  <c r="S663" i="11"/>
  <c r="T663" i="11"/>
  <c r="U663" i="11"/>
  <c r="V663" i="11"/>
  <c r="W663" i="11"/>
  <c r="X663" i="11"/>
  <c r="Y663" i="11"/>
  <c r="Z663" i="11"/>
  <c r="AA663" i="11"/>
  <c r="AB663" i="11"/>
  <c r="AC663" i="11"/>
  <c r="AD663" i="11"/>
  <c r="AI663" i="11"/>
  <c r="AJ663" i="11"/>
  <c r="D28" i="10"/>
  <c r="I4" i="10"/>
  <c r="K8" i="10"/>
  <c r="J8" i="10"/>
  <c r="K7" i="10"/>
  <c r="J7" i="10"/>
  <c r="K6" i="10"/>
  <c r="J6" i="10"/>
  <c r="K5" i="10"/>
  <c r="J5" i="10"/>
  <c r="K4" i="10"/>
  <c r="J4" i="10"/>
  <c r="D32" i="25" l="1"/>
  <c r="AG75" i="17"/>
  <c r="AH87" i="17"/>
  <c r="AN87" i="17" s="1"/>
  <c r="AH84" i="17"/>
  <c r="AN84" i="17" s="1"/>
  <c r="AH78" i="17"/>
  <c r="E33" i="26" s="1"/>
  <c r="AH88" i="17"/>
  <c r="AN88" i="17" s="1"/>
  <c r="AH107" i="17"/>
  <c r="AN107" i="17" s="1"/>
  <c r="AH103" i="17"/>
  <c r="AN103" i="17" s="1"/>
  <c r="AH89" i="17"/>
  <c r="AN89" i="17" s="1"/>
  <c r="AH100" i="17"/>
  <c r="AN100" i="17" s="1"/>
  <c r="E32" i="25"/>
  <c r="AN75" i="17"/>
  <c r="E13" i="25"/>
  <c r="AN33" i="17"/>
  <c r="E31" i="25"/>
  <c r="AN74" i="17"/>
  <c r="P63" i="17"/>
  <c r="G13" i="26"/>
  <c r="O63" i="17"/>
  <c r="D25" i="25" s="1"/>
  <c r="D33" i="26"/>
  <c r="H33" i="26"/>
  <c r="H25" i="25"/>
  <c r="H8" i="26"/>
  <c r="H9" i="25"/>
  <c r="O99" i="17"/>
  <c r="H25" i="26"/>
  <c r="C39" i="25"/>
  <c r="P99" i="17"/>
  <c r="AH99" i="17" s="1"/>
  <c r="G33" i="25"/>
  <c r="AS99" i="17"/>
  <c r="AF12" i="17"/>
  <c r="C8" i="26" s="1"/>
  <c r="AR99" i="17"/>
  <c r="C8" i="25"/>
  <c r="F9" i="25"/>
  <c r="F8" i="25"/>
  <c r="H8" i="25"/>
  <c r="AF99" i="17"/>
  <c r="C39" i="26" s="1"/>
  <c r="AS16" i="17"/>
  <c r="AS12" i="17"/>
  <c r="AR16" i="17"/>
  <c r="AF16" i="17"/>
  <c r="C9" i="26" s="1"/>
  <c r="E32" i="26"/>
  <c r="P16" i="17"/>
  <c r="AH16" i="17" s="1"/>
  <c r="O106" i="17"/>
  <c r="O16" i="17"/>
  <c r="AG16" i="17" s="1"/>
  <c r="G40" i="26"/>
  <c r="P12" i="17"/>
  <c r="AH12" i="17" s="1"/>
  <c r="C40" i="25"/>
  <c r="O12" i="17"/>
  <c r="AS106" i="17"/>
  <c r="AR12" i="17"/>
  <c r="C33" i="26"/>
  <c r="D92" i="17"/>
  <c r="O363" i="3"/>
  <c r="D33" i="25"/>
  <c r="D90" i="17"/>
  <c r="P90" i="17" s="1"/>
  <c r="M440" i="3"/>
  <c r="O440" i="3" s="1"/>
  <c r="M445" i="3"/>
  <c r="O445" i="3" s="1"/>
  <c r="J780" i="9"/>
  <c r="G31" i="25"/>
  <c r="T1852" i="35"/>
  <c r="C9" i="25"/>
  <c r="P106" i="17"/>
  <c r="AH106" i="17" s="1"/>
  <c r="D32" i="26"/>
  <c r="M104" i="3"/>
  <c r="O104" i="3" s="1"/>
  <c r="L512" i="3"/>
  <c r="F33" i="26"/>
  <c r="M444" i="3"/>
  <c r="O444" i="3" s="1"/>
  <c r="AR106" i="17"/>
  <c r="AF106" i="17"/>
  <c r="C40" i="26" s="1"/>
  <c r="E31" i="26"/>
  <c r="G9" i="25"/>
  <c r="M455" i="3"/>
  <c r="O455" i="3" s="1"/>
  <c r="G32" i="25"/>
  <c r="F13" i="26"/>
  <c r="H39" i="25"/>
  <c r="AS63" i="17"/>
  <c r="F32" i="26"/>
  <c r="D13" i="26"/>
  <c r="D13" i="25"/>
  <c r="F25" i="25"/>
  <c r="AR63" i="17"/>
  <c r="C25" i="25"/>
  <c r="AF63" i="17"/>
  <c r="C25" i="26" s="1"/>
  <c r="D31" i="26"/>
  <c r="D31" i="25"/>
  <c r="F39" i="25"/>
  <c r="H37" i="26"/>
  <c r="H37" i="25"/>
  <c r="P6" i="17"/>
  <c r="F4" i="25"/>
  <c r="P93" i="17"/>
  <c r="O94" i="17"/>
  <c r="AG94" i="17" s="1"/>
  <c r="P94" i="17"/>
  <c r="F40" i="25"/>
  <c r="G32" i="26"/>
  <c r="F40" i="26"/>
  <c r="G33" i="26"/>
  <c r="O93" i="17"/>
  <c r="AG93" i="17" s="1"/>
  <c r="C4" i="25"/>
  <c r="O6" i="17"/>
  <c r="AG6" i="17" s="1"/>
  <c r="C37" i="25"/>
  <c r="G39" i="25"/>
  <c r="F39" i="26"/>
  <c r="AS93" i="17"/>
  <c r="AS94" i="17"/>
  <c r="F37" i="25"/>
  <c r="AR6" i="17"/>
  <c r="AS6" i="17"/>
  <c r="AF94" i="17"/>
  <c r="C37" i="26" s="1"/>
  <c r="AR94" i="17"/>
  <c r="AF93" i="17"/>
  <c r="AR93" i="17"/>
  <c r="AF6" i="17"/>
  <c r="C4" i="26" s="1"/>
  <c r="M398" i="5"/>
  <c r="L398" i="5"/>
  <c r="L399" i="5" s="1"/>
  <c r="K398" i="5"/>
  <c r="J398" i="5"/>
  <c r="G398" i="5"/>
  <c r="E398" i="5"/>
  <c r="E399" i="5" s="1"/>
  <c r="D398" i="5"/>
  <c r="D399" i="5" s="1"/>
  <c r="M396" i="5"/>
  <c r="M393" i="5"/>
  <c r="L393" i="5"/>
  <c r="K393" i="5"/>
  <c r="J393" i="5"/>
  <c r="G393" i="5"/>
  <c r="E393" i="5"/>
  <c r="D393" i="5"/>
  <c r="I392" i="5"/>
  <c r="H392" i="5" s="1"/>
  <c r="F392" i="5" s="1"/>
  <c r="C392" i="5" s="1"/>
  <c r="I391" i="5"/>
  <c r="H391" i="5" s="1"/>
  <c r="F391" i="5" s="1"/>
  <c r="C391" i="5" s="1"/>
  <c r="I390" i="5"/>
  <c r="H390" i="5" s="1"/>
  <c r="F390" i="5" s="1"/>
  <c r="C390" i="5"/>
  <c r="I389" i="5"/>
  <c r="H389" i="5" s="1"/>
  <c r="F389" i="5" s="1"/>
  <c r="C389" i="5" s="1"/>
  <c r="I388" i="5"/>
  <c r="H388" i="5" s="1"/>
  <c r="F388" i="5" s="1"/>
  <c r="C388" i="5"/>
  <c r="I387" i="5"/>
  <c r="H387" i="5" s="1"/>
  <c r="F387" i="5" s="1"/>
  <c r="C387" i="5" s="1"/>
  <c r="I386" i="5"/>
  <c r="H386" i="5" s="1"/>
  <c r="F386" i="5" s="1"/>
  <c r="C386" i="5" s="1"/>
  <c r="I385" i="5"/>
  <c r="H385" i="5" s="1"/>
  <c r="F385" i="5" s="1"/>
  <c r="C385" i="5" s="1"/>
  <c r="I8" i="10" s="1"/>
  <c r="I384" i="5"/>
  <c r="H384" i="5" s="1"/>
  <c r="F384" i="5" s="1"/>
  <c r="C384" i="5" s="1"/>
  <c r="I7" i="10" s="1"/>
  <c r="I383" i="5"/>
  <c r="H383" i="5" s="1"/>
  <c r="F383" i="5" s="1"/>
  <c r="C383" i="5" s="1"/>
  <c r="I6" i="10" s="1"/>
  <c r="I382" i="5"/>
  <c r="H382" i="5" s="1"/>
  <c r="F382" i="5" s="1"/>
  <c r="C382" i="5"/>
  <c r="I5" i="10" s="1"/>
  <c r="I381" i="5"/>
  <c r="H381" i="5" s="1"/>
  <c r="F381" i="5" s="1"/>
  <c r="C381" i="5" s="1"/>
  <c r="I380" i="5"/>
  <c r="H380" i="5" s="1"/>
  <c r="F380" i="5" s="1"/>
  <c r="C380" i="5" s="1"/>
  <c r="I379" i="5"/>
  <c r="H379" i="5" s="1"/>
  <c r="F379" i="5" s="1"/>
  <c r="C379" i="5" s="1"/>
  <c r="I378" i="5"/>
  <c r="H378" i="5" s="1"/>
  <c r="F378" i="5" s="1"/>
  <c r="C378" i="5"/>
  <c r="I377" i="5"/>
  <c r="H377" i="5" s="1"/>
  <c r="F377" i="5" s="1"/>
  <c r="C377" i="5" s="1"/>
  <c r="I376" i="5"/>
  <c r="H376" i="5" s="1"/>
  <c r="F376" i="5" s="1"/>
  <c r="C376" i="5" s="1"/>
  <c r="I375" i="5"/>
  <c r="H375" i="5" s="1"/>
  <c r="F375" i="5" s="1"/>
  <c r="C375" i="5" s="1"/>
  <c r="I374" i="5"/>
  <c r="H374" i="5" s="1"/>
  <c r="F374" i="5" s="1"/>
  <c r="C374" i="5"/>
  <c r="I373" i="5"/>
  <c r="H373" i="5" s="1"/>
  <c r="F373" i="5" s="1"/>
  <c r="C373" i="5" s="1"/>
  <c r="I372" i="5"/>
  <c r="H372" i="5" s="1"/>
  <c r="F372" i="5" s="1"/>
  <c r="C372" i="5" s="1"/>
  <c r="I371" i="5"/>
  <c r="H371" i="5" s="1"/>
  <c r="F371" i="5" s="1"/>
  <c r="C371" i="5" s="1"/>
  <c r="I370" i="5"/>
  <c r="H370" i="5" s="1"/>
  <c r="F370" i="5" s="1"/>
  <c r="C370" i="5"/>
  <c r="I369" i="5"/>
  <c r="H369" i="5" s="1"/>
  <c r="F369" i="5" s="1"/>
  <c r="C369" i="5" s="1"/>
  <c r="I368" i="5"/>
  <c r="H368" i="5" s="1"/>
  <c r="F368" i="5" s="1"/>
  <c r="C368" i="5"/>
  <c r="I367" i="5"/>
  <c r="H367" i="5" s="1"/>
  <c r="F367" i="5" s="1"/>
  <c r="C367" i="5" s="1"/>
  <c r="I366" i="5"/>
  <c r="H366" i="5" s="1"/>
  <c r="F366" i="5" s="1"/>
  <c r="C366" i="5"/>
  <c r="I365" i="5"/>
  <c r="H365" i="5" s="1"/>
  <c r="F365" i="5" s="1"/>
  <c r="C365" i="5" s="1"/>
  <c r="I364" i="5"/>
  <c r="H364" i="5" s="1"/>
  <c r="F364" i="5" s="1"/>
  <c r="C364" i="5"/>
  <c r="I363" i="5"/>
  <c r="H363" i="5" s="1"/>
  <c r="F363" i="5" s="1"/>
  <c r="C363" i="5" s="1"/>
  <c r="I362" i="5"/>
  <c r="H362" i="5" s="1"/>
  <c r="F362" i="5" s="1"/>
  <c r="C362" i="5" s="1"/>
  <c r="I361" i="5"/>
  <c r="H361" i="5" s="1"/>
  <c r="F361" i="5" s="1"/>
  <c r="C361" i="5" s="1"/>
  <c r="I360" i="5"/>
  <c r="H360" i="5" s="1"/>
  <c r="F360" i="5" s="1"/>
  <c r="C360" i="5"/>
  <c r="I359" i="5"/>
  <c r="H359" i="5" s="1"/>
  <c r="F359" i="5" s="1"/>
  <c r="C359" i="5" s="1"/>
  <c r="I358" i="5"/>
  <c r="H358" i="5" s="1"/>
  <c r="F358" i="5" s="1"/>
  <c r="C358" i="5"/>
  <c r="I357" i="5"/>
  <c r="H357" i="5" s="1"/>
  <c r="F357" i="5" s="1"/>
  <c r="C357" i="5" s="1"/>
  <c r="I356" i="5"/>
  <c r="H356" i="5" s="1"/>
  <c r="F356" i="5" s="1"/>
  <c r="C356" i="5"/>
  <c r="I355" i="5"/>
  <c r="H355" i="5" s="1"/>
  <c r="F355" i="5" s="1"/>
  <c r="C355" i="5" s="1"/>
  <c r="I354" i="5"/>
  <c r="H354" i="5" s="1"/>
  <c r="F354" i="5" s="1"/>
  <c r="C354" i="5" s="1"/>
  <c r="I353" i="5"/>
  <c r="H353" i="5" s="1"/>
  <c r="F353" i="5" s="1"/>
  <c r="C353" i="5" s="1"/>
  <c r="I352" i="5"/>
  <c r="H352" i="5" s="1"/>
  <c r="F352" i="5" s="1"/>
  <c r="C352" i="5" s="1"/>
  <c r="I351" i="5"/>
  <c r="H351" i="5" s="1"/>
  <c r="F351" i="5" s="1"/>
  <c r="C351" i="5" s="1"/>
  <c r="I350" i="5"/>
  <c r="H350" i="5" s="1"/>
  <c r="F350" i="5" s="1"/>
  <c r="C350" i="5"/>
  <c r="I349" i="5"/>
  <c r="H349" i="5" s="1"/>
  <c r="F349" i="5" s="1"/>
  <c r="C349" i="5" s="1"/>
  <c r="I348" i="5"/>
  <c r="H348" i="5" s="1"/>
  <c r="F348" i="5" s="1"/>
  <c r="C348" i="5"/>
  <c r="I347" i="5"/>
  <c r="H347" i="5" s="1"/>
  <c r="F347" i="5" s="1"/>
  <c r="C347" i="5" s="1"/>
  <c r="I346" i="5"/>
  <c r="H346" i="5" s="1"/>
  <c r="F346" i="5" s="1"/>
  <c r="C346" i="5"/>
  <c r="I345" i="5"/>
  <c r="H345" i="5" s="1"/>
  <c r="F345" i="5" s="1"/>
  <c r="C345" i="5" s="1"/>
  <c r="I344" i="5"/>
  <c r="H344" i="5" s="1"/>
  <c r="F344" i="5" s="1"/>
  <c r="C344" i="5" s="1"/>
  <c r="I343" i="5"/>
  <c r="H343" i="5" s="1"/>
  <c r="F343" i="5" s="1"/>
  <c r="C343" i="5" s="1"/>
  <c r="I342" i="5"/>
  <c r="H342" i="5" s="1"/>
  <c r="F342" i="5" s="1"/>
  <c r="C342" i="5" s="1"/>
  <c r="I341" i="5"/>
  <c r="H341" i="5" s="1"/>
  <c r="F341" i="5" s="1"/>
  <c r="C341" i="5" s="1"/>
  <c r="I340" i="5"/>
  <c r="H340" i="5" s="1"/>
  <c r="F340" i="5" s="1"/>
  <c r="C340" i="5" s="1"/>
  <c r="I339" i="5"/>
  <c r="H339" i="5" s="1"/>
  <c r="F339" i="5" s="1"/>
  <c r="C339" i="5" s="1"/>
  <c r="I338" i="5"/>
  <c r="H338" i="5" s="1"/>
  <c r="F338" i="5"/>
  <c r="C338" i="5" s="1"/>
  <c r="I337" i="5"/>
  <c r="H337" i="5" s="1"/>
  <c r="F337" i="5" s="1"/>
  <c r="C337" i="5" s="1"/>
  <c r="I336" i="5"/>
  <c r="H336" i="5" s="1"/>
  <c r="F336" i="5" s="1"/>
  <c r="C336" i="5" s="1"/>
  <c r="I335" i="5"/>
  <c r="H335" i="5" s="1"/>
  <c r="F335" i="5" s="1"/>
  <c r="C335" i="5" s="1"/>
  <c r="I334" i="5"/>
  <c r="H334" i="5" s="1"/>
  <c r="F334" i="5" s="1"/>
  <c r="C334" i="5" s="1"/>
  <c r="I333" i="5"/>
  <c r="H333" i="5" s="1"/>
  <c r="F333" i="5" s="1"/>
  <c r="C333" i="5" s="1"/>
  <c r="I332" i="5"/>
  <c r="H332" i="5" s="1"/>
  <c r="F332" i="5" s="1"/>
  <c r="C332" i="5" s="1"/>
  <c r="I331" i="5"/>
  <c r="H331" i="5" s="1"/>
  <c r="F331" i="5" s="1"/>
  <c r="C331" i="5" s="1"/>
  <c r="I330" i="5"/>
  <c r="H330" i="5" s="1"/>
  <c r="F330" i="5"/>
  <c r="C330" i="5" s="1"/>
  <c r="I329" i="5"/>
  <c r="H329" i="5" s="1"/>
  <c r="F329" i="5" s="1"/>
  <c r="C329" i="5" s="1"/>
  <c r="I328" i="5"/>
  <c r="H328" i="5" s="1"/>
  <c r="F328" i="5"/>
  <c r="C328" i="5" s="1"/>
  <c r="I327" i="5"/>
  <c r="H327" i="5" s="1"/>
  <c r="F327" i="5" s="1"/>
  <c r="C327" i="5" s="1"/>
  <c r="I326" i="5"/>
  <c r="H326" i="5" s="1"/>
  <c r="F326" i="5"/>
  <c r="C326" i="5" s="1"/>
  <c r="I325" i="5"/>
  <c r="H325" i="5" s="1"/>
  <c r="F325" i="5" s="1"/>
  <c r="C325" i="5"/>
  <c r="I324" i="5"/>
  <c r="H324" i="5" s="1"/>
  <c r="F324" i="5"/>
  <c r="C324" i="5" s="1"/>
  <c r="I323" i="5"/>
  <c r="H323" i="5" s="1"/>
  <c r="F323" i="5" s="1"/>
  <c r="C323" i="5" s="1"/>
  <c r="I322" i="5"/>
  <c r="H322" i="5" s="1"/>
  <c r="F322" i="5" s="1"/>
  <c r="C322" i="5" s="1"/>
  <c r="I321" i="5"/>
  <c r="H321" i="5" s="1"/>
  <c r="F321" i="5" s="1"/>
  <c r="C321" i="5" s="1"/>
  <c r="I320" i="5"/>
  <c r="H320" i="5" s="1"/>
  <c r="F320" i="5" s="1"/>
  <c r="C320" i="5" s="1"/>
  <c r="I319" i="5"/>
  <c r="H319" i="5" s="1"/>
  <c r="F319" i="5" s="1"/>
  <c r="C319" i="5" s="1"/>
  <c r="I318" i="5"/>
  <c r="H318" i="5" s="1"/>
  <c r="F318" i="5"/>
  <c r="C318" i="5" s="1"/>
  <c r="I317" i="5"/>
  <c r="H317" i="5" s="1"/>
  <c r="F317" i="5" s="1"/>
  <c r="C317" i="5"/>
  <c r="I316" i="5"/>
  <c r="H316" i="5" s="1"/>
  <c r="F316" i="5"/>
  <c r="C316" i="5" s="1"/>
  <c r="I315" i="5"/>
  <c r="H315" i="5" s="1"/>
  <c r="F315" i="5" s="1"/>
  <c r="C315" i="5" s="1"/>
  <c r="I314" i="5"/>
  <c r="H314" i="5" s="1"/>
  <c r="F314" i="5"/>
  <c r="C314" i="5" s="1"/>
  <c r="I313" i="5"/>
  <c r="H313" i="5" s="1"/>
  <c r="F313" i="5" s="1"/>
  <c r="C313" i="5" s="1"/>
  <c r="I312" i="5"/>
  <c r="H312" i="5" s="1"/>
  <c r="F312" i="5" s="1"/>
  <c r="C312" i="5" s="1"/>
  <c r="I311" i="5"/>
  <c r="H311" i="5" s="1"/>
  <c r="F311" i="5" s="1"/>
  <c r="C311" i="5" s="1"/>
  <c r="I310" i="5"/>
  <c r="H310" i="5"/>
  <c r="F310" i="5" s="1"/>
  <c r="C310" i="5"/>
  <c r="I309" i="5"/>
  <c r="H309" i="5"/>
  <c r="F309" i="5" s="1"/>
  <c r="C309" i="5"/>
  <c r="I308" i="5"/>
  <c r="H308" i="5"/>
  <c r="F308" i="5" s="1"/>
  <c r="C308" i="5"/>
  <c r="I307" i="5"/>
  <c r="H307" i="5" s="1"/>
  <c r="F307" i="5" s="1"/>
  <c r="C307" i="5" s="1"/>
  <c r="I306" i="5"/>
  <c r="H306" i="5" s="1"/>
  <c r="F306" i="5" s="1"/>
  <c r="C306" i="5" s="1"/>
  <c r="I305" i="5"/>
  <c r="H305" i="5" s="1"/>
  <c r="F305" i="5" s="1"/>
  <c r="C305" i="5" s="1"/>
  <c r="I304" i="5"/>
  <c r="H304" i="5"/>
  <c r="F304" i="5" s="1"/>
  <c r="C304" i="5"/>
  <c r="I303" i="5"/>
  <c r="H303" i="5"/>
  <c r="F303" i="5" s="1"/>
  <c r="C303" i="5" s="1"/>
  <c r="I302" i="5"/>
  <c r="H302" i="5"/>
  <c r="F302" i="5" s="1"/>
  <c r="C302" i="5"/>
  <c r="I301" i="5"/>
  <c r="H301" i="5" s="1"/>
  <c r="F301" i="5" s="1"/>
  <c r="C301" i="5" s="1"/>
  <c r="I300" i="5"/>
  <c r="H300" i="5"/>
  <c r="F300" i="5" s="1"/>
  <c r="C300" i="5" s="1"/>
  <c r="I299" i="5"/>
  <c r="H299" i="5"/>
  <c r="F299" i="5" s="1"/>
  <c r="C299" i="5" s="1"/>
  <c r="I298" i="5"/>
  <c r="H298" i="5"/>
  <c r="F298" i="5" s="1"/>
  <c r="C298" i="5" s="1"/>
  <c r="I297" i="5"/>
  <c r="H297" i="5"/>
  <c r="F297" i="5" s="1"/>
  <c r="C297" i="5"/>
  <c r="I296" i="5"/>
  <c r="H296" i="5"/>
  <c r="F296" i="5" s="1"/>
  <c r="C296" i="5"/>
  <c r="I295" i="5"/>
  <c r="H295" i="5" s="1"/>
  <c r="F295" i="5" s="1"/>
  <c r="C295" i="5" s="1"/>
  <c r="I294" i="5"/>
  <c r="H294" i="5"/>
  <c r="F294" i="5" s="1"/>
  <c r="C294" i="5" s="1"/>
  <c r="I293" i="5"/>
  <c r="H293" i="5"/>
  <c r="F293" i="5" s="1"/>
  <c r="C293" i="5"/>
  <c r="I292" i="5"/>
  <c r="H292" i="5"/>
  <c r="F292" i="5" s="1"/>
  <c r="C292" i="5" s="1"/>
  <c r="I291" i="5"/>
  <c r="H291" i="5" s="1"/>
  <c r="F291" i="5" s="1"/>
  <c r="C291" i="5" s="1"/>
  <c r="I290" i="5"/>
  <c r="H290" i="5"/>
  <c r="F290" i="5" s="1"/>
  <c r="C290" i="5"/>
  <c r="I289" i="5"/>
  <c r="H289" i="5" s="1"/>
  <c r="F289" i="5" s="1"/>
  <c r="C289" i="5" s="1"/>
  <c r="I288" i="5"/>
  <c r="H288" i="5" s="1"/>
  <c r="F288" i="5" s="1"/>
  <c r="C288" i="5" s="1"/>
  <c r="I287" i="5"/>
  <c r="H287" i="5"/>
  <c r="F287" i="5" s="1"/>
  <c r="C287" i="5" s="1"/>
  <c r="I286" i="5"/>
  <c r="H286" i="5"/>
  <c r="F286" i="5" s="1"/>
  <c r="C286" i="5" s="1"/>
  <c r="I285" i="5"/>
  <c r="H285" i="5"/>
  <c r="F285" i="5" s="1"/>
  <c r="C285" i="5"/>
  <c r="I284" i="5"/>
  <c r="H284" i="5" s="1"/>
  <c r="F284" i="5" s="1"/>
  <c r="C284" i="5" s="1"/>
  <c r="I283" i="5"/>
  <c r="H283" i="5"/>
  <c r="F283" i="5" s="1"/>
  <c r="C283" i="5" s="1"/>
  <c r="I282" i="5"/>
  <c r="H282" i="5" s="1"/>
  <c r="F282" i="5" s="1"/>
  <c r="C282" i="5" s="1"/>
  <c r="I281" i="5"/>
  <c r="H281" i="5"/>
  <c r="F281" i="5" s="1"/>
  <c r="C281" i="5"/>
  <c r="I280" i="5"/>
  <c r="H280" i="5"/>
  <c r="F280" i="5" s="1"/>
  <c r="C280" i="5"/>
  <c r="I279" i="5"/>
  <c r="H279" i="5" s="1"/>
  <c r="F279" i="5" s="1"/>
  <c r="C279" i="5" s="1"/>
  <c r="I278" i="5"/>
  <c r="H278" i="5"/>
  <c r="F278" i="5" s="1"/>
  <c r="C278" i="5" s="1"/>
  <c r="I277" i="5"/>
  <c r="H277" i="5"/>
  <c r="F277" i="5" s="1"/>
  <c r="C277" i="5"/>
  <c r="I276" i="5"/>
  <c r="H276" i="5" s="1"/>
  <c r="F276" i="5" s="1"/>
  <c r="C276" i="5" s="1"/>
  <c r="I275" i="5"/>
  <c r="H275" i="5"/>
  <c r="F275" i="5" s="1"/>
  <c r="C275" i="5" s="1"/>
  <c r="I274" i="5"/>
  <c r="H274" i="5"/>
  <c r="F274" i="5" s="1"/>
  <c r="C274" i="5"/>
  <c r="I273" i="5"/>
  <c r="H273" i="5"/>
  <c r="F273" i="5" s="1"/>
  <c r="C273" i="5"/>
  <c r="I272" i="5"/>
  <c r="H272" i="5" s="1"/>
  <c r="F272" i="5" s="1"/>
  <c r="C272" i="5" s="1"/>
  <c r="I271" i="5"/>
  <c r="H271" i="5"/>
  <c r="F271" i="5" s="1"/>
  <c r="C271" i="5" s="1"/>
  <c r="I270" i="5"/>
  <c r="H270" i="5" s="1"/>
  <c r="F270" i="5" s="1"/>
  <c r="C270" i="5"/>
  <c r="I269" i="5"/>
  <c r="H269" i="5"/>
  <c r="F269" i="5" s="1"/>
  <c r="C269" i="5" s="1"/>
  <c r="I268" i="5"/>
  <c r="H268" i="5"/>
  <c r="F268" i="5" s="1"/>
  <c r="C268" i="5"/>
  <c r="I267" i="5"/>
  <c r="H267" i="5"/>
  <c r="F267" i="5" s="1"/>
  <c r="C267" i="5" s="1"/>
  <c r="I266" i="5"/>
  <c r="H266" i="5" s="1"/>
  <c r="F266" i="5" s="1"/>
  <c r="C266" i="5" s="1"/>
  <c r="I265" i="5"/>
  <c r="H265" i="5"/>
  <c r="F265" i="5" s="1"/>
  <c r="C265" i="5" s="1"/>
  <c r="I264" i="5"/>
  <c r="H264" i="5"/>
  <c r="F264" i="5" s="1"/>
  <c r="C264" i="5"/>
  <c r="I263" i="5"/>
  <c r="H263" i="5"/>
  <c r="F263" i="5" s="1"/>
  <c r="C263" i="5" s="1"/>
  <c r="I262" i="5"/>
  <c r="H262" i="5"/>
  <c r="F262" i="5" s="1"/>
  <c r="C262" i="5" s="1"/>
  <c r="I261" i="5"/>
  <c r="H261" i="5"/>
  <c r="F261" i="5" s="1"/>
  <c r="C261" i="5"/>
  <c r="I260" i="5"/>
  <c r="H260" i="5"/>
  <c r="F260" i="5" s="1"/>
  <c r="C260" i="5"/>
  <c r="I259" i="5"/>
  <c r="H259" i="5" s="1"/>
  <c r="F259" i="5" s="1"/>
  <c r="C259" i="5" s="1"/>
  <c r="I258" i="5"/>
  <c r="H258" i="5"/>
  <c r="F258" i="5" s="1"/>
  <c r="C258" i="5"/>
  <c r="I257" i="5"/>
  <c r="H257" i="5"/>
  <c r="F257" i="5" s="1"/>
  <c r="C257" i="5"/>
  <c r="I256" i="5"/>
  <c r="H256" i="5"/>
  <c r="F256" i="5" s="1"/>
  <c r="C256" i="5" s="1"/>
  <c r="I255" i="5"/>
  <c r="H255" i="5"/>
  <c r="F255" i="5" s="1"/>
  <c r="C255" i="5" s="1"/>
  <c r="I254" i="5"/>
  <c r="H254" i="5"/>
  <c r="F254" i="5" s="1"/>
  <c r="C254" i="5"/>
  <c r="I253" i="5"/>
  <c r="H253" i="5" s="1"/>
  <c r="F253" i="5" s="1"/>
  <c r="C253" i="5" s="1"/>
  <c r="I252" i="5"/>
  <c r="H252" i="5" s="1"/>
  <c r="F252" i="5" s="1"/>
  <c r="C252" i="5" s="1"/>
  <c r="I251" i="5"/>
  <c r="H251" i="5" s="1"/>
  <c r="F251" i="5" s="1"/>
  <c r="C251" i="5" s="1"/>
  <c r="I250" i="5"/>
  <c r="H250" i="5"/>
  <c r="F250" i="5" s="1"/>
  <c r="C250" i="5"/>
  <c r="I249" i="5"/>
  <c r="H249" i="5" s="1"/>
  <c r="F249" i="5" s="1"/>
  <c r="C249" i="5" s="1"/>
  <c r="I248" i="5"/>
  <c r="H248" i="5" s="1"/>
  <c r="F248" i="5" s="1"/>
  <c r="C248" i="5" s="1"/>
  <c r="I247" i="5"/>
  <c r="H247" i="5"/>
  <c r="F247" i="5" s="1"/>
  <c r="C247" i="5" s="1"/>
  <c r="I246" i="5"/>
  <c r="H246" i="5"/>
  <c r="F246" i="5" s="1"/>
  <c r="C246" i="5" s="1"/>
  <c r="I245" i="5"/>
  <c r="H245" i="5"/>
  <c r="F245" i="5"/>
  <c r="C245" i="5"/>
  <c r="I244" i="5"/>
  <c r="H244" i="5"/>
  <c r="F244" i="5"/>
  <c r="C244" i="5"/>
  <c r="I243" i="5"/>
  <c r="H243" i="5" s="1"/>
  <c r="F243" i="5" s="1"/>
  <c r="C243" i="5" s="1"/>
  <c r="I242" i="5"/>
  <c r="H242" i="5"/>
  <c r="F242" i="5"/>
  <c r="C242" i="5" s="1"/>
  <c r="I241" i="5"/>
  <c r="H241" i="5"/>
  <c r="F241" i="5" s="1"/>
  <c r="C241" i="5" s="1"/>
  <c r="I240" i="5"/>
  <c r="H240" i="5"/>
  <c r="F240" i="5" s="1"/>
  <c r="C240" i="5" s="1"/>
  <c r="I239" i="5"/>
  <c r="H239" i="5"/>
  <c r="F239" i="5"/>
  <c r="C239" i="5" s="1"/>
  <c r="I238" i="5"/>
  <c r="H238" i="5"/>
  <c r="F238" i="5"/>
  <c r="C238" i="5"/>
  <c r="I237" i="5"/>
  <c r="H237" i="5"/>
  <c r="F237" i="5"/>
  <c r="C237" i="5"/>
  <c r="I236" i="5"/>
  <c r="H236" i="5" s="1"/>
  <c r="F236" i="5" s="1"/>
  <c r="C236" i="5" s="1"/>
  <c r="I235" i="5"/>
  <c r="H235" i="5"/>
  <c r="F235" i="5"/>
  <c r="C235" i="5" s="1"/>
  <c r="I234" i="5"/>
  <c r="H234" i="5"/>
  <c r="F234" i="5"/>
  <c r="C234" i="5"/>
  <c r="I233" i="5"/>
  <c r="H233" i="5"/>
  <c r="F233" i="5"/>
  <c r="C233" i="5"/>
  <c r="I232" i="5"/>
  <c r="H232" i="5"/>
  <c r="F232" i="5"/>
  <c r="C232" i="5" s="1"/>
  <c r="I231" i="5"/>
  <c r="H231" i="5"/>
  <c r="F231" i="5"/>
  <c r="C231" i="5" s="1"/>
  <c r="I230" i="5"/>
  <c r="H230" i="5"/>
  <c r="F230" i="5"/>
  <c r="C230" i="5"/>
  <c r="I229" i="5"/>
  <c r="H229" i="5"/>
  <c r="F229" i="5"/>
  <c r="C229" i="5"/>
  <c r="I228" i="5"/>
  <c r="H228" i="5"/>
  <c r="F228" i="5"/>
  <c r="C228" i="5"/>
  <c r="I227" i="5"/>
  <c r="H227" i="5" s="1"/>
  <c r="F227" i="5" s="1"/>
  <c r="C227" i="5" s="1"/>
  <c r="I226" i="5"/>
  <c r="H226" i="5"/>
  <c r="F226" i="5"/>
  <c r="C226" i="5"/>
  <c r="I225" i="5"/>
  <c r="H225" i="5"/>
  <c r="F225" i="5"/>
  <c r="C225" i="5"/>
  <c r="I224" i="5"/>
  <c r="H224" i="5"/>
  <c r="F224" i="5"/>
  <c r="C224" i="5"/>
  <c r="I223" i="5"/>
  <c r="H223" i="5"/>
  <c r="F223" i="5" s="1"/>
  <c r="C223" i="5" s="1"/>
  <c r="I222" i="5"/>
  <c r="H222" i="5" s="1"/>
  <c r="F222" i="5" s="1"/>
  <c r="C222" i="5" s="1"/>
  <c r="I221" i="5"/>
  <c r="H221" i="5"/>
  <c r="F221" i="5"/>
  <c r="C221" i="5"/>
  <c r="I220" i="5"/>
  <c r="H220" i="5"/>
  <c r="F220" i="5"/>
  <c r="C220" i="5"/>
  <c r="I219" i="5"/>
  <c r="H219" i="5"/>
  <c r="F219" i="5"/>
  <c r="C219" i="5" s="1"/>
  <c r="I218" i="5"/>
  <c r="H218" i="5"/>
  <c r="F218" i="5" s="1"/>
  <c r="C218" i="5" s="1"/>
  <c r="I217" i="5"/>
  <c r="H217" i="5"/>
  <c r="F217" i="5"/>
  <c r="C217" i="5"/>
  <c r="I216" i="5"/>
  <c r="H216" i="5"/>
  <c r="F216" i="5"/>
  <c r="C216" i="5"/>
  <c r="I215" i="5"/>
  <c r="H215" i="5"/>
  <c r="F215" i="5"/>
  <c r="C215" i="5" s="1"/>
  <c r="I214" i="5"/>
  <c r="H214" i="5" s="1"/>
  <c r="F214" i="5" s="1"/>
  <c r="C214" i="5" s="1"/>
  <c r="I213" i="5"/>
  <c r="H213" i="5"/>
  <c r="F213" i="5" s="1"/>
  <c r="C213" i="5" s="1"/>
  <c r="I212" i="5"/>
  <c r="H212" i="5" s="1"/>
  <c r="F212" i="5" s="1"/>
  <c r="C212" i="5" s="1"/>
  <c r="I211" i="5"/>
  <c r="H211" i="5"/>
  <c r="F211" i="5"/>
  <c r="C211" i="5" s="1"/>
  <c r="I210" i="5"/>
  <c r="H210" i="5" s="1"/>
  <c r="F210" i="5" s="1"/>
  <c r="C210" i="5" s="1"/>
  <c r="I209" i="5"/>
  <c r="H209" i="5"/>
  <c r="F209" i="5"/>
  <c r="C209" i="5"/>
  <c r="I208" i="5"/>
  <c r="H208" i="5"/>
  <c r="F208" i="5"/>
  <c r="C208" i="5"/>
  <c r="I207" i="5"/>
  <c r="H207" i="5" s="1"/>
  <c r="F207" i="5" s="1"/>
  <c r="C207" i="5" s="1"/>
  <c r="I206" i="5"/>
  <c r="H206" i="5" s="1"/>
  <c r="F206" i="5" s="1"/>
  <c r="C206" i="5" s="1"/>
  <c r="I205" i="5"/>
  <c r="H205" i="5"/>
  <c r="F205" i="5"/>
  <c r="C205" i="5"/>
  <c r="I204" i="5"/>
  <c r="H204" i="5"/>
  <c r="F204" i="5"/>
  <c r="C204" i="5"/>
  <c r="I203" i="5"/>
  <c r="H203" i="5"/>
  <c r="F203" i="5"/>
  <c r="C203" i="5" s="1"/>
  <c r="I202" i="5"/>
  <c r="H202" i="5" s="1"/>
  <c r="F202" i="5" s="1"/>
  <c r="C202" i="5" s="1"/>
  <c r="I201" i="5"/>
  <c r="H201" i="5"/>
  <c r="F201" i="5"/>
  <c r="C201" i="5" s="1"/>
  <c r="I200" i="5"/>
  <c r="H200" i="5"/>
  <c r="F200" i="5"/>
  <c r="C200" i="5"/>
  <c r="I199" i="5"/>
  <c r="H199" i="5"/>
  <c r="F199" i="5"/>
  <c r="C199" i="5" s="1"/>
  <c r="I198" i="5"/>
  <c r="H198" i="5" s="1"/>
  <c r="F198" i="5" s="1"/>
  <c r="C198" i="5" s="1"/>
  <c r="I197" i="5"/>
  <c r="H197" i="5"/>
  <c r="F197" i="5"/>
  <c r="C197" i="5"/>
  <c r="I196" i="5"/>
  <c r="H196" i="5" s="1"/>
  <c r="F196" i="5" s="1"/>
  <c r="C196" i="5" s="1"/>
  <c r="I195" i="5"/>
  <c r="H195" i="5"/>
  <c r="F195" i="5" s="1"/>
  <c r="C195" i="5" s="1"/>
  <c r="I194" i="5"/>
  <c r="H194" i="5" s="1"/>
  <c r="F194" i="5" s="1"/>
  <c r="C194" i="5" s="1"/>
  <c r="I193" i="5"/>
  <c r="H193" i="5"/>
  <c r="F193" i="5"/>
  <c r="C193" i="5"/>
  <c r="I192" i="5"/>
  <c r="H192" i="5"/>
  <c r="F192" i="5"/>
  <c r="C192" i="5"/>
  <c r="I191" i="5"/>
  <c r="H191" i="5" s="1"/>
  <c r="F191" i="5" s="1"/>
  <c r="C191" i="5" s="1"/>
  <c r="I190" i="5"/>
  <c r="H190" i="5" s="1"/>
  <c r="F190" i="5" s="1"/>
  <c r="C190" i="5" s="1"/>
  <c r="I189" i="5"/>
  <c r="H189" i="5"/>
  <c r="F189" i="5"/>
  <c r="C189" i="5"/>
  <c r="I188" i="5"/>
  <c r="H188" i="5"/>
  <c r="F188" i="5"/>
  <c r="C188" i="5"/>
  <c r="I187" i="5"/>
  <c r="H187" i="5"/>
  <c r="F187" i="5"/>
  <c r="C187" i="5" s="1"/>
  <c r="I186" i="5"/>
  <c r="H186" i="5" s="1"/>
  <c r="F186" i="5" s="1"/>
  <c r="C186" i="5" s="1"/>
  <c r="I185" i="5"/>
  <c r="H185" i="5"/>
  <c r="F185" i="5"/>
  <c r="C185" i="5"/>
  <c r="I184" i="5"/>
  <c r="H184" i="5"/>
  <c r="F184" i="5"/>
  <c r="C184" i="5"/>
  <c r="I183" i="5"/>
  <c r="H183" i="5"/>
  <c r="F183" i="5"/>
  <c r="C183" i="5" s="1"/>
  <c r="I182" i="5"/>
  <c r="H182" i="5" s="1"/>
  <c r="F182" i="5" s="1"/>
  <c r="C182" i="5" s="1"/>
  <c r="I181" i="5"/>
  <c r="H181" i="5"/>
  <c r="F181" i="5"/>
  <c r="C181" i="5"/>
  <c r="I180" i="5"/>
  <c r="H180" i="5" s="1"/>
  <c r="F180" i="5" s="1"/>
  <c r="C180" i="5" s="1"/>
  <c r="I179" i="5"/>
  <c r="H179" i="5"/>
  <c r="F179" i="5"/>
  <c r="C179" i="5" s="1"/>
  <c r="I178" i="5"/>
  <c r="H178" i="5" s="1"/>
  <c r="F178" i="5" s="1"/>
  <c r="C178" i="5" s="1"/>
  <c r="I177" i="5"/>
  <c r="H177" i="5"/>
  <c r="F177" i="5"/>
  <c r="C177" i="5" s="1"/>
  <c r="I176" i="5"/>
  <c r="H176" i="5"/>
  <c r="F176" i="5"/>
  <c r="C176" i="5"/>
  <c r="I175" i="5"/>
  <c r="H175" i="5" s="1"/>
  <c r="F175" i="5" s="1"/>
  <c r="C175" i="5" s="1"/>
  <c r="I174" i="5"/>
  <c r="H174" i="5" s="1"/>
  <c r="F174" i="5" s="1"/>
  <c r="C174" i="5" s="1"/>
  <c r="I173" i="5"/>
  <c r="H173" i="5"/>
  <c r="F173" i="5"/>
  <c r="C173" i="5"/>
  <c r="I172" i="5"/>
  <c r="H172" i="5"/>
  <c r="F172" i="5"/>
  <c r="C172" i="5"/>
  <c r="I171" i="5"/>
  <c r="H171" i="5" s="1"/>
  <c r="F171" i="5" s="1"/>
  <c r="C171" i="5" s="1"/>
  <c r="I170" i="5"/>
  <c r="H170" i="5"/>
  <c r="F170" i="5"/>
  <c r="C170" i="5"/>
  <c r="I169" i="5"/>
  <c r="H169" i="5"/>
  <c r="F169" i="5"/>
  <c r="C169" i="5"/>
  <c r="I168" i="5"/>
  <c r="H168" i="5"/>
  <c r="F168" i="5"/>
  <c r="C168" i="5"/>
  <c r="I167" i="5"/>
  <c r="H167" i="5" s="1"/>
  <c r="F167" i="5" s="1"/>
  <c r="C167" i="5" s="1"/>
  <c r="I166" i="5"/>
  <c r="H166" i="5" s="1"/>
  <c r="F166" i="5" s="1"/>
  <c r="C166" i="5" s="1"/>
  <c r="I165" i="5"/>
  <c r="H165" i="5"/>
  <c r="F165" i="5" s="1"/>
  <c r="C165" i="5" s="1"/>
  <c r="I164" i="5"/>
  <c r="H164" i="5"/>
  <c r="F164" i="5"/>
  <c r="C164" i="5"/>
  <c r="I163" i="5"/>
  <c r="H163" i="5"/>
  <c r="F163" i="5"/>
  <c r="C163" i="5" s="1"/>
  <c r="I162" i="5"/>
  <c r="H162" i="5" s="1"/>
  <c r="F162" i="5" s="1"/>
  <c r="C162" i="5" s="1"/>
  <c r="I161" i="5"/>
  <c r="H161" i="5"/>
  <c r="F161" i="5"/>
  <c r="C161" i="5"/>
  <c r="I160" i="5"/>
  <c r="H160" i="5"/>
  <c r="F160" i="5" s="1"/>
  <c r="C160" i="5" s="1"/>
  <c r="I159" i="5"/>
  <c r="H159" i="5"/>
  <c r="F159" i="5"/>
  <c r="C159" i="5" s="1"/>
  <c r="I158" i="5"/>
  <c r="H158" i="5" s="1"/>
  <c r="F158" i="5" s="1"/>
  <c r="C158" i="5" s="1"/>
  <c r="I157" i="5"/>
  <c r="H157" i="5"/>
  <c r="F157" i="5"/>
  <c r="C157" i="5"/>
  <c r="I156" i="5"/>
  <c r="H156" i="5" s="1"/>
  <c r="F156" i="5" s="1"/>
  <c r="C156" i="5" s="1"/>
  <c r="I155" i="5"/>
  <c r="H155" i="5"/>
  <c r="F155" i="5" s="1"/>
  <c r="C155" i="5" s="1"/>
  <c r="I154" i="5"/>
  <c r="H154" i="5" s="1"/>
  <c r="F154" i="5" s="1"/>
  <c r="C154" i="5" s="1"/>
  <c r="I153" i="5"/>
  <c r="H153" i="5"/>
  <c r="F153" i="5"/>
  <c r="C153" i="5"/>
  <c r="I152" i="5"/>
  <c r="H152" i="5"/>
  <c r="F152" i="5"/>
  <c r="C152" i="5"/>
  <c r="I151" i="5"/>
  <c r="H151" i="5" s="1"/>
  <c r="F151" i="5" s="1"/>
  <c r="C151" i="5" s="1"/>
  <c r="I150" i="5"/>
  <c r="H150" i="5" s="1"/>
  <c r="F150" i="5" s="1"/>
  <c r="C150" i="5" s="1"/>
  <c r="I149" i="5"/>
  <c r="H149" i="5"/>
  <c r="F149" i="5" s="1"/>
  <c r="C149" i="5" s="1"/>
  <c r="I148" i="5"/>
  <c r="H148" i="5"/>
  <c r="F148" i="5"/>
  <c r="C148" i="5"/>
  <c r="I147" i="5"/>
  <c r="H147" i="5"/>
  <c r="F147" i="5"/>
  <c r="C147" i="5" s="1"/>
  <c r="I146" i="5"/>
  <c r="H146" i="5" s="1"/>
  <c r="F146" i="5" s="1"/>
  <c r="C146" i="5" s="1"/>
  <c r="I145" i="5"/>
  <c r="H145" i="5"/>
  <c r="F145" i="5"/>
  <c r="C145" i="5"/>
  <c r="I144" i="5"/>
  <c r="H144" i="5"/>
  <c r="F144" i="5" s="1"/>
  <c r="C144" i="5" s="1"/>
  <c r="I143" i="5"/>
  <c r="H143" i="5"/>
  <c r="F143" i="5"/>
  <c r="C143" i="5" s="1"/>
  <c r="I142" i="5"/>
  <c r="H142" i="5" s="1"/>
  <c r="F142" i="5" s="1"/>
  <c r="C142" i="5" s="1"/>
  <c r="I141" i="5"/>
  <c r="H141" i="5"/>
  <c r="F141" i="5"/>
  <c r="C141" i="5"/>
  <c r="I140" i="5"/>
  <c r="H140" i="5" s="1"/>
  <c r="F140" i="5" s="1"/>
  <c r="C140" i="5" s="1"/>
  <c r="I139" i="5"/>
  <c r="H139" i="5" s="1"/>
  <c r="F139" i="5" s="1"/>
  <c r="C139" i="5" s="1"/>
  <c r="I138" i="5"/>
  <c r="H138" i="5" s="1"/>
  <c r="F138" i="5" s="1"/>
  <c r="C138" i="5" s="1"/>
  <c r="I137" i="5"/>
  <c r="H137" i="5"/>
  <c r="F137" i="5"/>
  <c r="C137" i="5"/>
  <c r="I136" i="5"/>
  <c r="H136" i="5"/>
  <c r="F136" i="5"/>
  <c r="C136" i="5"/>
  <c r="I135" i="5"/>
  <c r="H135" i="5" s="1"/>
  <c r="F135" i="5" s="1"/>
  <c r="C135" i="5" s="1"/>
  <c r="I134" i="5"/>
  <c r="H134" i="5" s="1"/>
  <c r="F134" i="5" s="1"/>
  <c r="C134" i="5" s="1"/>
  <c r="I133" i="5"/>
  <c r="H133" i="5"/>
  <c r="F133" i="5" s="1"/>
  <c r="C133" i="5" s="1"/>
  <c r="I132" i="5"/>
  <c r="H132" i="5"/>
  <c r="F132" i="5" s="1"/>
  <c r="C132" i="5" s="1"/>
  <c r="I131" i="5"/>
  <c r="H131" i="5"/>
  <c r="F131" i="5"/>
  <c r="C131" i="5" s="1"/>
  <c r="I130" i="5"/>
  <c r="H130" i="5" s="1"/>
  <c r="F130" i="5" s="1"/>
  <c r="C130" i="5" s="1"/>
  <c r="I129" i="5"/>
  <c r="H129" i="5"/>
  <c r="F129" i="5"/>
  <c r="C129" i="5"/>
  <c r="I128" i="5"/>
  <c r="H128" i="5"/>
  <c r="F128" i="5" s="1"/>
  <c r="C128" i="5" s="1"/>
  <c r="I127" i="5"/>
  <c r="H127" i="5"/>
  <c r="F127" i="5"/>
  <c r="C127" i="5" s="1"/>
  <c r="I126" i="5"/>
  <c r="H126" i="5" s="1"/>
  <c r="F126" i="5" s="1"/>
  <c r="C126" i="5" s="1"/>
  <c r="I125" i="5"/>
  <c r="H125" i="5"/>
  <c r="F125" i="5"/>
  <c r="C125" i="5"/>
  <c r="I124" i="5"/>
  <c r="H124" i="5" s="1"/>
  <c r="F124" i="5" s="1"/>
  <c r="C124" i="5" s="1"/>
  <c r="I123" i="5"/>
  <c r="H123" i="5"/>
  <c r="F123" i="5" s="1"/>
  <c r="C123" i="5" s="1"/>
  <c r="I122" i="5"/>
  <c r="H122" i="5" s="1"/>
  <c r="F122" i="5" s="1"/>
  <c r="C122" i="5" s="1"/>
  <c r="I121" i="5"/>
  <c r="H121" i="5"/>
  <c r="F121" i="5"/>
  <c r="C121" i="5"/>
  <c r="I120" i="5"/>
  <c r="H120" i="5"/>
  <c r="F120" i="5"/>
  <c r="C120" i="5"/>
  <c r="I119" i="5"/>
  <c r="H119" i="5" s="1"/>
  <c r="F119" i="5" s="1"/>
  <c r="C119" i="5" s="1"/>
  <c r="I118" i="5"/>
  <c r="H118" i="5" s="1"/>
  <c r="F118" i="5" s="1"/>
  <c r="C118" i="5" s="1"/>
  <c r="I117" i="5"/>
  <c r="H117" i="5"/>
  <c r="F117" i="5" s="1"/>
  <c r="C117" i="5" s="1"/>
  <c r="I116" i="5"/>
  <c r="H116" i="5"/>
  <c r="F116" i="5"/>
  <c r="C116" i="5"/>
  <c r="I115" i="5"/>
  <c r="H115" i="5"/>
  <c r="F115" i="5"/>
  <c r="C115" i="5" s="1"/>
  <c r="I114" i="5"/>
  <c r="H114" i="5" s="1"/>
  <c r="F114" i="5" s="1"/>
  <c r="C114" i="5" s="1"/>
  <c r="I113" i="5"/>
  <c r="H113" i="5"/>
  <c r="F113" i="5"/>
  <c r="C113" i="5"/>
  <c r="I112" i="5"/>
  <c r="H112" i="5"/>
  <c r="F112" i="5" s="1"/>
  <c r="C112" i="5" s="1"/>
  <c r="I111" i="5"/>
  <c r="H111" i="5"/>
  <c r="F111" i="5"/>
  <c r="C111" i="5" s="1"/>
  <c r="I110" i="5"/>
  <c r="H110" i="5" s="1"/>
  <c r="F110" i="5" s="1"/>
  <c r="C110" i="5" s="1"/>
  <c r="I109" i="5"/>
  <c r="H109" i="5"/>
  <c r="F109" i="5"/>
  <c r="C109" i="5"/>
  <c r="I108" i="5"/>
  <c r="H108" i="5" s="1"/>
  <c r="F108" i="5" s="1"/>
  <c r="C108" i="5" s="1"/>
  <c r="I107" i="5"/>
  <c r="H107" i="5"/>
  <c r="F107" i="5" s="1"/>
  <c r="C107" i="5" s="1"/>
  <c r="I106" i="5"/>
  <c r="H106" i="5" s="1"/>
  <c r="F106" i="5" s="1"/>
  <c r="C106" i="5" s="1"/>
  <c r="I105" i="5"/>
  <c r="H105" i="5"/>
  <c r="F105" i="5" s="1"/>
  <c r="C105" i="5" s="1"/>
  <c r="I104" i="5"/>
  <c r="H104" i="5"/>
  <c r="F104" i="5"/>
  <c r="C104" i="5"/>
  <c r="I103" i="5"/>
  <c r="H103" i="5" s="1"/>
  <c r="F103" i="5" s="1"/>
  <c r="C103" i="5" s="1"/>
  <c r="I102" i="5"/>
  <c r="H102" i="5" s="1"/>
  <c r="F102" i="5" s="1"/>
  <c r="C102" i="5" s="1"/>
  <c r="I101" i="5"/>
  <c r="H101" i="5"/>
  <c r="F101" i="5" s="1"/>
  <c r="C101" i="5" s="1"/>
  <c r="I100" i="5"/>
  <c r="H100" i="5"/>
  <c r="F100" i="5"/>
  <c r="C100" i="5"/>
  <c r="I99" i="5"/>
  <c r="H99" i="5"/>
  <c r="F99" i="5" s="1"/>
  <c r="C99" i="5" s="1"/>
  <c r="I98" i="5"/>
  <c r="H98" i="5" s="1"/>
  <c r="F98" i="5" s="1"/>
  <c r="C98" i="5" s="1"/>
  <c r="I97" i="5"/>
  <c r="H97" i="5"/>
  <c r="F97" i="5"/>
  <c r="C97" i="5"/>
  <c r="I96" i="5"/>
  <c r="H96" i="5"/>
  <c r="F96" i="5" s="1"/>
  <c r="C96" i="5" s="1"/>
  <c r="I95" i="5"/>
  <c r="H95" i="5"/>
  <c r="F95" i="5"/>
  <c r="C95" i="5" s="1"/>
  <c r="I94" i="5"/>
  <c r="H94" i="5" s="1"/>
  <c r="F94" i="5" s="1"/>
  <c r="C94" i="5" s="1"/>
  <c r="I93" i="5"/>
  <c r="H93" i="5"/>
  <c r="F93" i="5"/>
  <c r="C93" i="5"/>
  <c r="I92" i="5"/>
  <c r="H92" i="5" s="1"/>
  <c r="F92" i="5" s="1"/>
  <c r="C92" i="5" s="1"/>
  <c r="I91" i="5"/>
  <c r="H91" i="5" s="1"/>
  <c r="F91" i="5" s="1"/>
  <c r="C91" i="5" s="1"/>
  <c r="I90" i="5"/>
  <c r="H90" i="5" s="1"/>
  <c r="F90" i="5" s="1"/>
  <c r="C90" i="5"/>
  <c r="I89" i="5"/>
  <c r="H89" i="5"/>
  <c r="F89" i="5"/>
  <c r="C89" i="5"/>
  <c r="I88" i="5"/>
  <c r="H88" i="5"/>
  <c r="F88" i="5"/>
  <c r="C88" i="5"/>
  <c r="I87" i="5"/>
  <c r="H87" i="5"/>
  <c r="F87" i="5"/>
  <c r="C87" i="5" s="1"/>
  <c r="I86" i="5"/>
  <c r="H86" i="5" s="1"/>
  <c r="F86" i="5" s="1"/>
  <c r="C86" i="5" s="1"/>
  <c r="I85" i="5"/>
  <c r="H85" i="5" s="1"/>
  <c r="F85" i="5" s="1"/>
  <c r="C85" i="5" s="1"/>
  <c r="I84" i="5"/>
  <c r="H84" i="5"/>
  <c r="F84" i="5"/>
  <c r="C84" i="5"/>
  <c r="I83" i="5"/>
  <c r="H83" i="5"/>
  <c r="F83" i="5"/>
  <c r="C83" i="5" s="1"/>
  <c r="I82" i="5"/>
  <c r="H82" i="5" s="1"/>
  <c r="F82" i="5" s="1"/>
  <c r="C82" i="5" s="1"/>
  <c r="I81" i="5"/>
  <c r="H81" i="5"/>
  <c r="F81" i="5"/>
  <c r="C81" i="5" s="1"/>
  <c r="I80" i="5"/>
  <c r="H80" i="5" s="1"/>
  <c r="F80" i="5" s="1"/>
  <c r="C80" i="5" s="1"/>
  <c r="I79" i="5"/>
  <c r="H79" i="5"/>
  <c r="F79" i="5"/>
  <c r="C79" i="5" s="1"/>
  <c r="I78" i="5"/>
  <c r="H78" i="5" s="1"/>
  <c r="F78" i="5" s="1"/>
  <c r="C78" i="5" s="1"/>
  <c r="I77" i="5"/>
  <c r="H77" i="5"/>
  <c r="F77" i="5"/>
  <c r="C77" i="5"/>
  <c r="I76" i="5"/>
  <c r="H76" i="5"/>
  <c r="F76" i="5"/>
  <c r="C76" i="5"/>
  <c r="I75" i="5"/>
  <c r="H75" i="5" s="1"/>
  <c r="F75" i="5" s="1"/>
  <c r="C75" i="5" s="1"/>
  <c r="I74" i="5"/>
  <c r="H74" i="5" s="1"/>
  <c r="F74" i="5" s="1"/>
  <c r="C74" i="5" s="1"/>
  <c r="I73" i="5"/>
  <c r="H73" i="5" s="1"/>
  <c r="F73" i="5" s="1"/>
  <c r="C73" i="5" s="1"/>
  <c r="I72" i="5"/>
  <c r="H72" i="5"/>
  <c r="F72" i="5"/>
  <c r="C72" i="5" s="1"/>
  <c r="I71" i="5"/>
  <c r="H71" i="5"/>
  <c r="F71" i="5"/>
  <c r="C71" i="5" s="1"/>
  <c r="I70" i="5"/>
  <c r="H70" i="5" s="1"/>
  <c r="F70" i="5" s="1"/>
  <c r="C70" i="5" s="1"/>
  <c r="I69" i="5"/>
  <c r="H69" i="5"/>
  <c r="F69" i="5"/>
  <c r="C69" i="5"/>
  <c r="I68" i="5"/>
  <c r="H68" i="5"/>
  <c r="F68" i="5" s="1"/>
  <c r="C68" i="5" s="1"/>
  <c r="I67" i="5"/>
  <c r="H67" i="5"/>
  <c r="F67" i="5" s="1"/>
  <c r="C67" i="5" s="1"/>
  <c r="I66" i="5"/>
  <c r="H66" i="5" s="1"/>
  <c r="F66" i="5" s="1"/>
  <c r="C66" i="5"/>
  <c r="I65" i="5"/>
  <c r="H65" i="5"/>
  <c r="F65" i="5" s="1"/>
  <c r="C65" i="5" s="1"/>
  <c r="I64" i="5"/>
  <c r="H64" i="5"/>
  <c r="F64" i="5"/>
  <c r="C64" i="5"/>
  <c r="I63" i="5"/>
  <c r="H63" i="5"/>
  <c r="F63" i="5" s="1"/>
  <c r="C63" i="5" s="1"/>
  <c r="I62" i="5"/>
  <c r="H62" i="5" s="1"/>
  <c r="F62" i="5" s="1"/>
  <c r="C62" i="5" s="1"/>
  <c r="I61" i="5"/>
  <c r="H61" i="5"/>
  <c r="F61" i="5"/>
  <c r="C61" i="5"/>
  <c r="I60" i="5"/>
  <c r="H60" i="5" s="1"/>
  <c r="F60" i="5" s="1"/>
  <c r="C60" i="5" s="1"/>
  <c r="I59" i="5"/>
  <c r="H59" i="5"/>
  <c r="F59" i="5"/>
  <c r="C59" i="5" s="1"/>
  <c r="I58" i="5"/>
  <c r="H58" i="5" s="1"/>
  <c r="F58" i="5" s="1"/>
  <c r="C58" i="5"/>
  <c r="I57" i="5"/>
  <c r="H57" i="5"/>
  <c r="F57" i="5"/>
  <c r="C57" i="5" s="1"/>
  <c r="I56" i="5"/>
  <c r="H56" i="5"/>
  <c r="F56" i="5" s="1"/>
  <c r="C56" i="5" s="1"/>
  <c r="I55" i="5"/>
  <c r="H55" i="5"/>
  <c r="F55" i="5"/>
  <c r="C55" i="5" s="1"/>
  <c r="I54" i="5"/>
  <c r="H54" i="5" s="1"/>
  <c r="F54" i="5" s="1"/>
  <c r="C54" i="5"/>
  <c r="I53" i="5"/>
  <c r="H53" i="5"/>
  <c r="F53" i="5"/>
  <c r="C53" i="5"/>
  <c r="I52" i="5"/>
  <c r="H52" i="5"/>
  <c r="F52" i="5" s="1"/>
  <c r="C52" i="5" s="1"/>
  <c r="I51" i="5"/>
  <c r="H51" i="5" s="1"/>
  <c r="F51" i="5" s="1"/>
  <c r="C51" i="5" s="1"/>
  <c r="I50" i="5"/>
  <c r="H50" i="5" s="1"/>
  <c r="F50" i="5" s="1"/>
  <c r="C50" i="5"/>
  <c r="I49" i="5"/>
  <c r="H49" i="5"/>
  <c r="F49" i="5"/>
  <c r="C49" i="5"/>
  <c r="I48" i="5"/>
  <c r="H48" i="5" s="1"/>
  <c r="F48" i="5" s="1"/>
  <c r="C48" i="5" s="1"/>
  <c r="I47" i="5"/>
  <c r="H47" i="5" s="1"/>
  <c r="F47" i="5" s="1"/>
  <c r="C47" i="5" s="1"/>
  <c r="I46" i="5"/>
  <c r="H46" i="5" s="1"/>
  <c r="F46" i="5" s="1"/>
  <c r="C46" i="5" s="1"/>
  <c r="I45" i="5"/>
  <c r="H45" i="5" s="1"/>
  <c r="F45" i="5" s="1"/>
  <c r="C45" i="5" s="1"/>
  <c r="I44" i="5"/>
  <c r="H44" i="5" s="1"/>
  <c r="F44" i="5" s="1"/>
  <c r="C44" i="5" s="1"/>
  <c r="I43" i="5"/>
  <c r="H43" i="5" s="1"/>
  <c r="F43" i="5" s="1"/>
  <c r="C43" i="5" s="1"/>
  <c r="I42" i="5"/>
  <c r="H42" i="5" s="1"/>
  <c r="F42" i="5" s="1"/>
  <c r="C42" i="5" s="1"/>
  <c r="I41" i="5"/>
  <c r="H41" i="5" s="1"/>
  <c r="F41" i="5" s="1"/>
  <c r="C41" i="5" s="1"/>
  <c r="I40" i="5"/>
  <c r="H40" i="5" s="1"/>
  <c r="F40" i="5" s="1"/>
  <c r="C40" i="5" s="1"/>
  <c r="I39" i="5"/>
  <c r="H39" i="5" s="1"/>
  <c r="F39" i="5" s="1"/>
  <c r="C39" i="5" s="1"/>
  <c r="I38" i="5"/>
  <c r="H38" i="5" s="1"/>
  <c r="F38" i="5" s="1"/>
  <c r="C38" i="5" s="1"/>
  <c r="I37" i="5"/>
  <c r="H37" i="5" s="1"/>
  <c r="F37" i="5" s="1"/>
  <c r="C37" i="5" s="1"/>
  <c r="I36" i="5"/>
  <c r="H36" i="5" s="1"/>
  <c r="F36" i="5" s="1"/>
  <c r="C36" i="5" s="1"/>
  <c r="I35" i="5"/>
  <c r="H35" i="5" s="1"/>
  <c r="F35" i="5" s="1"/>
  <c r="C35" i="5" s="1"/>
  <c r="I34" i="5"/>
  <c r="H34" i="5" s="1"/>
  <c r="F34" i="5" s="1"/>
  <c r="C34" i="5" s="1"/>
  <c r="I33" i="5"/>
  <c r="H33" i="5" s="1"/>
  <c r="F33" i="5" s="1"/>
  <c r="C33" i="5" s="1"/>
  <c r="I32" i="5"/>
  <c r="H32" i="5" s="1"/>
  <c r="F32" i="5" s="1"/>
  <c r="C32" i="5" s="1"/>
  <c r="I31" i="5"/>
  <c r="H31" i="5" s="1"/>
  <c r="F31" i="5" s="1"/>
  <c r="C31" i="5" s="1"/>
  <c r="I30" i="5"/>
  <c r="H30" i="5" s="1"/>
  <c r="F30" i="5" s="1"/>
  <c r="C30" i="5" s="1"/>
  <c r="I29" i="5"/>
  <c r="H29" i="5" s="1"/>
  <c r="F29" i="5" s="1"/>
  <c r="C29" i="5" s="1"/>
  <c r="I28" i="5"/>
  <c r="H28" i="5" s="1"/>
  <c r="F28" i="5" s="1"/>
  <c r="C28" i="5" s="1"/>
  <c r="I27" i="5"/>
  <c r="H27" i="5" s="1"/>
  <c r="F27" i="5" s="1"/>
  <c r="C27" i="5" s="1"/>
  <c r="I26" i="5"/>
  <c r="H26" i="5" s="1"/>
  <c r="F26" i="5" s="1"/>
  <c r="C26" i="5" s="1"/>
  <c r="I25" i="5"/>
  <c r="H25" i="5" s="1"/>
  <c r="F25" i="5" s="1"/>
  <c r="C25" i="5" s="1"/>
  <c r="I24" i="5"/>
  <c r="H24" i="5" s="1"/>
  <c r="F24" i="5" s="1"/>
  <c r="C24" i="5" s="1"/>
  <c r="I23" i="5"/>
  <c r="H23" i="5" s="1"/>
  <c r="F23" i="5" s="1"/>
  <c r="C23" i="5" s="1"/>
  <c r="I22" i="5"/>
  <c r="H22" i="5" s="1"/>
  <c r="F22" i="5" s="1"/>
  <c r="C22" i="5" s="1"/>
  <c r="I21" i="5"/>
  <c r="H21" i="5" s="1"/>
  <c r="F21" i="5" s="1"/>
  <c r="C21" i="5" s="1"/>
  <c r="I20" i="5"/>
  <c r="H20" i="5" s="1"/>
  <c r="F20" i="5" s="1"/>
  <c r="C20" i="5" s="1"/>
  <c r="I19" i="5"/>
  <c r="H19" i="5" s="1"/>
  <c r="F19" i="5" s="1"/>
  <c r="C19" i="5" s="1"/>
  <c r="I18" i="5"/>
  <c r="H18" i="5" s="1"/>
  <c r="F18" i="5" s="1"/>
  <c r="C18" i="5" s="1"/>
  <c r="I17" i="5"/>
  <c r="H17" i="5" s="1"/>
  <c r="F17" i="5" s="1"/>
  <c r="C17" i="5" s="1"/>
  <c r="I16" i="5"/>
  <c r="H16" i="5" s="1"/>
  <c r="F16" i="5" s="1"/>
  <c r="C16" i="5" s="1"/>
  <c r="I15" i="5"/>
  <c r="H15" i="5" s="1"/>
  <c r="F15" i="5" s="1"/>
  <c r="C15" i="5" s="1"/>
  <c r="I14" i="5"/>
  <c r="H14" i="5" s="1"/>
  <c r="F14" i="5" s="1"/>
  <c r="C14" i="5" s="1"/>
  <c r="I13" i="5"/>
  <c r="H13" i="5" s="1"/>
  <c r="F13" i="5" s="1"/>
  <c r="C13" i="5" s="1"/>
  <c r="I12" i="5"/>
  <c r="H12" i="5" s="1"/>
  <c r="F12" i="5" s="1"/>
  <c r="C12" i="5" s="1"/>
  <c r="I11" i="5"/>
  <c r="H11" i="5" s="1"/>
  <c r="F11" i="5" s="1"/>
  <c r="C11" i="5" s="1"/>
  <c r="I10" i="5"/>
  <c r="H10" i="5" s="1"/>
  <c r="F10" i="5" s="1"/>
  <c r="C10" i="5" s="1"/>
  <c r="I9" i="5"/>
  <c r="H9" i="5" s="1"/>
  <c r="F9" i="5" s="1"/>
  <c r="C9" i="5" s="1"/>
  <c r="I8" i="5"/>
  <c r="H8" i="5" s="1"/>
  <c r="F8" i="5" s="1"/>
  <c r="C8" i="5" s="1"/>
  <c r="I7" i="5"/>
  <c r="H7" i="5" s="1"/>
  <c r="F7" i="5" s="1"/>
  <c r="C7" i="5" s="1"/>
  <c r="I6" i="5"/>
  <c r="H6" i="5" s="1"/>
  <c r="AN78" i="17" l="1"/>
  <c r="AH93" i="17"/>
  <c r="AN93" i="17" s="1"/>
  <c r="AG106" i="17"/>
  <c r="D40" i="26" s="1"/>
  <c r="AH6" i="17"/>
  <c r="AN6" i="17" s="1"/>
  <c r="AH90" i="17"/>
  <c r="AN90" i="17" s="1"/>
  <c r="AH94" i="17"/>
  <c r="E37" i="26" s="1"/>
  <c r="D8" i="25"/>
  <c r="AG12" i="17"/>
  <c r="D8" i="26" s="1"/>
  <c r="AG99" i="17"/>
  <c r="D39" i="26" s="1"/>
  <c r="AH63" i="17"/>
  <c r="AN63" i="17" s="1"/>
  <c r="AG63" i="17"/>
  <c r="D25" i="26" s="1"/>
  <c r="E13" i="26"/>
  <c r="E25" i="25"/>
  <c r="AN106" i="17"/>
  <c r="AN12" i="17"/>
  <c r="E39" i="25"/>
  <c r="AN99" i="17"/>
  <c r="E9" i="25"/>
  <c r="AN16" i="17"/>
  <c r="H39" i="26"/>
  <c r="H40" i="26"/>
  <c r="D39" i="25"/>
  <c r="G40" i="25"/>
  <c r="E39" i="26"/>
  <c r="F9" i="26"/>
  <c r="E8" i="25"/>
  <c r="F36" i="26"/>
  <c r="AS92" i="17"/>
  <c r="G8" i="25"/>
  <c r="F8" i="26"/>
  <c r="D40" i="25"/>
  <c r="P92" i="17"/>
  <c r="AH92" i="17" s="1"/>
  <c r="O92" i="17"/>
  <c r="AR92" i="17"/>
  <c r="AF92" i="17"/>
  <c r="C36" i="26" s="1"/>
  <c r="C34" i="25"/>
  <c r="F34" i="26"/>
  <c r="D9" i="26"/>
  <c r="D9" i="25"/>
  <c r="C36" i="25"/>
  <c r="G36" i="25"/>
  <c r="AR90" i="17"/>
  <c r="E34" i="25"/>
  <c r="O90" i="17"/>
  <c r="AF90" i="17"/>
  <c r="C34" i="26" s="1"/>
  <c r="AS90" i="17"/>
  <c r="H40" i="25"/>
  <c r="E40" i="25"/>
  <c r="M512" i="3"/>
  <c r="M397" i="5"/>
  <c r="L513" i="3"/>
  <c r="L514" i="3" s="1"/>
  <c r="M399" i="5"/>
  <c r="E4" i="25"/>
  <c r="G25" i="25"/>
  <c r="F25" i="26"/>
  <c r="H36" i="25"/>
  <c r="D37" i="25"/>
  <c r="D37" i="26"/>
  <c r="H4" i="25"/>
  <c r="G399" i="5"/>
  <c r="J399" i="5"/>
  <c r="K399" i="5"/>
  <c r="E4" i="26"/>
  <c r="E37" i="25"/>
  <c r="G25" i="26"/>
  <c r="D4" i="25"/>
  <c r="G39" i="26"/>
  <c r="G8" i="26"/>
  <c r="F4" i="26"/>
  <c r="F37" i="26"/>
  <c r="G4" i="26"/>
  <c r="G4" i="25"/>
  <c r="G37" i="25"/>
  <c r="H393" i="5"/>
  <c r="F6" i="5"/>
  <c r="C398" i="5"/>
  <c r="I393" i="5"/>
  <c r="I398" i="5"/>
  <c r="F398" i="5"/>
  <c r="H398" i="5"/>
  <c r="AN94" i="17" l="1"/>
  <c r="E34" i="26"/>
  <c r="AG92" i="17"/>
  <c r="D36" i="26" s="1"/>
  <c r="AG90" i="17"/>
  <c r="D34" i="26" s="1"/>
  <c r="E25" i="26"/>
  <c r="AN92" i="17"/>
  <c r="E8" i="26"/>
  <c r="E40" i="26"/>
  <c r="E9" i="26"/>
  <c r="H34" i="25"/>
  <c r="H36" i="26"/>
  <c r="D36" i="25"/>
  <c r="F36" i="25"/>
  <c r="H34" i="26"/>
  <c r="E36" i="25"/>
  <c r="G34" i="26"/>
  <c r="G9" i="26"/>
  <c r="G34" i="25"/>
  <c r="D34" i="25"/>
  <c r="F34" i="25"/>
  <c r="H4" i="26"/>
  <c r="D4" i="26"/>
  <c r="G37" i="26"/>
  <c r="H399" i="5"/>
  <c r="F393" i="5"/>
  <c r="F399" i="5" s="1"/>
  <c r="C6" i="5"/>
  <c r="C393" i="5" s="1"/>
  <c r="C399" i="5" s="1"/>
  <c r="I399" i="5"/>
  <c r="E36" i="26" l="1"/>
  <c r="G36" i="26"/>
  <c r="G493" i="3"/>
  <c r="G492" i="3" s="1"/>
  <c r="H512" i="3"/>
  <c r="K511" i="3"/>
  <c r="K510" i="3"/>
  <c r="K509" i="3"/>
  <c r="J507" i="3"/>
  <c r="K507" i="3"/>
  <c r="K506" i="3"/>
  <c r="K505" i="3"/>
  <c r="K503" i="3"/>
  <c r="J503" i="3"/>
  <c r="J502" i="3"/>
  <c r="K502" i="3"/>
  <c r="K501" i="3"/>
  <c r="J499" i="3"/>
  <c r="K499" i="3"/>
  <c r="K498" i="3"/>
  <c r="K497" i="3"/>
  <c r="K495" i="3"/>
  <c r="J495" i="3"/>
  <c r="J494" i="3"/>
  <c r="K494" i="3"/>
  <c r="E493" i="3"/>
  <c r="E492" i="3" s="1"/>
  <c r="D493" i="3"/>
  <c r="K493" i="3" s="1"/>
  <c r="K492" i="3"/>
  <c r="K517" i="3" s="1"/>
  <c r="J492" i="3"/>
  <c r="J517" i="3" s="1"/>
  <c r="K491" i="3"/>
  <c r="J491" i="3"/>
  <c r="K490" i="3"/>
  <c r="J490" i="3"/>
  <c r="K488" i="3"/>
  <c r="K487" i="3"/>
  <c r="K486" i="3"/>
  <c r="J484" i="3"/>
  <c r="K484" i="3"/>
  <c r="K483" i="3"/>
  <c r="K482" i="3"/>
  <c r="K480" i="3"/>
  <c r="J480" i="3"/>
  <c r="J479" i="3"/>
  <c r="K479" i="3"/>
  <c r="K478" i="3"/>
  <c r="K476" i="3"/>
  <c r="J476" i="3"/>
  <c r="K475" i="3"/>
  <c r="K474" i="3"/>
  <c r="K472" i="3"/>
  <c r="K471" i="3"/>
  <c r="K470" i="3"/>
  <c r="K469" i="3"/>
  <c r="K468" i="3"/>
  <c r="J468" i="3"/>
  <c r="K467" i="3"/>
  <c r="K466" i="3"/>
  <c r="K464" i="3"/>
  <c r="J464" i="3"/>
  <c r="J459" i="3"/>
  <c r="K458" i="3"/>
  <c r="J456" i="3"/>
  <c r="K456" i="3"/>
  <c r="K455" i="3"/>
  <c r="K454" i="3"/>
  <c r="K452" i="3"/>
  <c r="J452" i="3"/>
  <c r="J451" i="3"/>
  <c r="K451" i="3"/>
  <c r="K450" i="3"/>
  <c r="K448" i="3"/>
  <c r="J448" i="3"/>
  <c r="K447" i="3"/>
  <c r="K446" i="3"/>
  <c r="K444" i="3"/>
  <c r="J444" i="3"/>
  <c r="J443" i="3"/>
  <c r="K443" i="3"/>
  <c r="K442" i="3"/>
  <c r="K440" i="3"/>
  <c r="J439" i="3"/>
  <c r="K439" i="3"/>
  <c r="K438" i="3"/>
  <c r="J437" i="3"/>
  <c r="J436" i="3"/>
  <c r="K436" i="3"/>
  <c r="J435" i="3"/>
  <c r="K434" i="3"/>
  <c r="K433" i="3"/>
  <c r="J433" i="3"/>
  <c r="K432" i="3"/>
  <c r="K431" i="3"/>
  <c r="J431" i="3"/>
  <c r="K430" i="3"/>
  <c r="J429" i="3"/>
  <c r="J428" i="3"/>
  <c r="K428" i="3"/>
  <c r="J427" i="3"/>
  <c r="K426" i="3"/>
  <c r="K425" i="3"/>
  <c r="J425" i="3"/>
  <c r="K424" i="3"/>
  <c r="K423" i="3"/>
  <c r="K422" i="3"/>
  <c r="K421" i="3"/>
  <c r="J420" i="3"/>
  <c r="J419" i="3"/>
  <c r="K419" i="3"/>
  <c r="J418" i="3"/>
  <c r="K417" i="3"/>
  <c r="K416" i="3"/>
  <c r="J416" i="3"/>
  <c r="K415" i="3"/>
  <c r="K414" i="3"/>
  <c r="K412" i="3"/>
  <c r="J412" i="3"/>
  <c r="K411" i="3"/>
  <c r="K408" i="3"/>
  <c r="K407" i="3"/>
  <c r="J404" i="3"/>
  <c r="K404" i="3"/>
  <c r="K403" i="3"/>
  <c r="K400" i="3"/>
  <c r="J400" i="3"/>
  <c r="J399" i="3"/>
  <c r="K399" i="3"/>
  <c r="K396" i="3"/>
  <c r="J396" i="3"/>
  <c r="K395" i="3"/>
  <c r="K392" i="3"/>
  <c r="J392" i="3"/>
  <c r="J391" i="3"/>
  <c r="K391" i="3"/>
  <c r="K388" i="3"/>
  <c r="J387" i="3"/>
  <c r="K387" i="3"/>
  <c r="K384" i="3"/>
  <c r="J384" i="3"/>
  <c r="K383" i="3"/>
  <c r="K380" i="3"/>
  <c r="J380" i="3"/>
  <c r="K379" i="3"/>
  <c r="K376" i="3"/>
  <c r="K375" i="3"/>
  <c r="J372" i="3"/>
  <c r="K372" i="3"/>
  <c r="K371" i="3"/>
  <c r="K370" i="3"/>
  <c r="K369" i="3"/>
  <c r="J369" i="3"/>
  <c r="K368" i="3"/>
  <c r="J367" i="3"/>
  <c r="K367" i="3"/>
  <c r="K366" i="3"/>
  <c r="J365" i="3"/>
  <c r="J364" i="3"/>
  <c r="K364" i="3"/>
  <c r="K363" i="3"/>
  <c r="K362" i="3"/>
  <c r="K361" i="3"/>
  <c r="J361" i="3"/>
  <c r="K360" i="3"/>
  <c r="J359" i="3"/>
  <c r="K359" i="3"/>
  <c r="K358" i="3"/>
  <c r="J357" i="3"/>
  <c r="J356" i="3"/>
  <c r="K356" i="3"/>
  <c r="K355" i="3"/>
  <c r="K354" i="3"/>
  <c r="K353" i="3"/>
  <c r="J353" i="3"/>
  <c r="K352" i="3"/>
  <c r="K351" i="3"/>
  <c r="K350" i="3"/>
  <c r="K349" i="3"/>
  <c r="J349" i="3"/>
  <c r="K348" i="3"/>
  <c r="J348" i="3"/>
  <c r="K347" i="3"/>
  <c r="K346" i="3"/>
  <c r="K345" i="3"/>
  <c r="K344" i="3"/>
  <c r="K343" i="3"/>
  <c r="K342" i="3"/>
  <c r="J342" i="3"/>
  <c r="J341" i="3"/>
  <c r="K341" i="3"/>
  <c r="K338" i="3"/>
  <c r="K337" i="3"/>
  <c r="K336" i="3"/>
  <c r="K335" i="3"/>
  <c r="J335" i="3"/>
  <c r="K334" i="3"/>
  <c r="J334" i="3"/>
  <c r="K333" i="3"/>
  <c r="K332" i="3"/>
  <c r="J331" i="3"/>
  <c r="K330" i="3"/>
  <c r="J330" i="3"/>
  <c r="K329" i="3"/>
  <c r="J327" i="3"/>
  <c r="K327" i="3"/>
  <c r="K326" i="3"/>
  <c r="K323" i="3"/>
  <c r="J323" i="3"/>
  <c r="J322" i="3"/>
  <c r="K322" i="3"/>
  <c r="K319" i="3"/>
  <c r="K318" i="3"/>
  <c r="K317" i="3"/>
  <c r="K316" i="3"/>
  <c r="K315" i="3"/>
  <c r="K314" i="3"/>
  <c r="J312" i="3"/>
  <c r="K311" i="3"/>
  <c r="K310" i="3"/>
  <c r="J308" i="3"/>
  <c r="J307" i="3"/>
  <c r="K307" i="3"/>
  <c r="K306" i="3"/>
  <c r="J304" i="3"/>
  <c r="K303" i="3"/>
  <c r="J303" i="3"/>
  <c r="K302" i="3"/>
  <c r="K300" i="3"/>
  <c r="J300" i="3"/>
  <c r="K299" i="3"/>
  <c r="J299" i="3"/>
  <c r="K298" i="3"/>
  <c r="K296" i="3"/>
  <c r="K295" i="3"/>
  <c r="J295" i="3"/>
  <c r="K294" i="3"/>
  <c r="J292" i="3"/>
  <c r="K292" i="3"/>
  <c r="K291" i="3"/>
  <c r="J291" i="3"/>
  <c r="K290" i="3"/>
  <c r="K288" i="3"/>
  <c r="K287" i="3"/>
  <c r="J287" i="3"/>
  <c r="K286" i="3"/>
  <c r="J284" i="3"/>
  <c r="K284" i="3"/>
  <c r="K283" i="3"/>
  <c r="J282" i="3"/>
  <c r="K282" i="3"/>
  <c r="K281" i="3"/>
  <c r="J281" i="3"/>
  <c r="K280" i="3"/>
  <c r="K278" i="3"/>
  <c r="K277" i="3"/>
  <c r="J277" i="3"/>
  <c r="K276" i="3"/>
  <c r="J274" i="3"/>
  <c r="K274" i="3"/>
  <c r="K273" i="3"/>
  <c r="J273" i="3"/>
  <c r="K272" i="3"/>
  <c r="K270" i="3"/>
  <c r="K269" i="3"/>
  <c r="J269" i="3"/>
  <c r="K268" i="3"/>
  <c r="J266" i="3"/>
  <c r="K266" i="3"/>
  <c r="K265" i="3"/>
  <c r="J265" i="3"/>
  <c r="K264" i="3"/>
  <c r="K263" i="3"/>
  <c r="K262" i="3"/>
  <c r="J261" i="3"/>
  <c r="K261" i="3"/>
  <c r="K258" i="3"/>
  <c r="J258" i="3"/>
  <c r="K257" i="3"/>
  <c r="K255" i="3"/>
  <c r="K254" i="3"/>
  <c r="J254" i="3"/>
  <c r="K253" i="3"/>
  <c r="K251" i="3"/>
  <c r="J251" i="3"/>
  <c r="J250" i="3"/>
  <c r="K250" i="3"/>
  <c r="K247" i="3"/>
  <c r="J246" i="3"/>
  <c r="K246" i="3"/>
  <c r="K244" i="3"/>
  <c r="J243" i="3"/>
  <c r="K243" i="3"/>
  <c r="K242" i="3"/>
  <c r="J240" i="3"/>
  <c r="K240" i="3"/>
  <c r="K239" i="3"/>
  <c r="K238" i="3"/>
  <c r="K236" i="3"/>
  <c r="J236" i="3"/>
  <c r="J235" i="3"/>
  <c r="K235" i="3"/>
  <c r="K234" i="3"/>
  <c r="K232" i="3"/>
  <c r="J232" i="3"/>
  <c r="K231" i="3"/>
  <c r="K228" i="3"/>
  <c r="J228" i="3"/>
  <c r="J227" i="3"/>
  <c r="K227" i="3"/>
  <c r="K224" i="3"/>
  <c r="J223" i="3"/>
  <c r="K223" i="3"/>
  <c r="K220" i="3"/>
  <c r="J220" i="3"/>
  <c r="K219" i="3"/>
  <c r="K216" i="3"/>
  <c r="K215" i="3"/>
  <c r="K213" i="3"/>
  <c r="J213" i="3"/>
  <c r="K212" i="3"/>
  <c r="K211" i="3"/>
  <c r="J209" i="3"/>
  <c r="J208" i="3"/>
  <c r="K208" i="3"/>
  <c r="K207" i="3"/>
  <c r="K205" i="3"/>
  <c r="J205" i="3"/>
  <c r="K204" i="3"/>
  <c r="K203" i="3"/>
  <c r="K201" i="3"/>
  <c r="J201" i="3"/>
  <c r="J200" i="3"/>
  <c r="K200" i="3"/>
  <c r="K199" i="3"/>
  <c r="K197" i="3"/>
  <c r="J197" i="3"/>
  <c r="K196" i="3"/>
  <c r="K195" i="3"/>
  <c r="K193" i="3"/>
  <c r="J193" i="3"/>
  <c r="J192" i="3"/>
  <c r="K192" i="3"/>
  <c r="K191" i="3"/>
  <c r="K189" i="3"/>
  <c r="J189" i="3"/>
  <c r="K188" i="3"/>
  <c r="K187" i="3"/>
  <c r="K185" i="3"/>
  <c r="J185" i="3"/>
  <c r="K184" i="3"/>
  <c r="J184" i="3"/>
  <c r="K183" i="3"/>
  <c r="J181" i="3"/>
  <c r="K180" i="3"/>
  <c r="J180" i="3"/>
  <c r="K179" i="3"/>
  <c r="J177" i="3"/>
  <c r="K176" i="3"/>
  <c r="J175" i="3"/>
  <c r="K174" i="3"/>
  <c r="J174" i="3"/>
  <c r="K173" i="3"/>
  <c r="J172" i="3"/>
  <c r="K172" i="3"/>
  <c r="J171" i="3"/>
  <c r="K170" i="3"/>
  <c r="J170" i="3"/>
  <c r="K169" i="3"/>
  <c r="K168" i="3"/>
  <c r="K167" i="3"/>
  <c r="K166" i="3"/>
  <c r="K165" i="3"/>
  <c r="J165" i="3"/>
  <c r="J164" i="3"/>
  <c r="K163" i="3"/>
  <c r="J163" i="3"/>
  <c r="K162" i="3"/>
  <c r="K161" i="3"/>
  <c r="J161" i="3"/>
  <c r="K160" i="3"/>
  <c r="K159" i="3"/>
  <c r="K158" i="3"/>
  <c r="K157" i="3"/>
  <c r="K156" i="3"/>
  <c r="K155" i="3"/>
  <c r="K154" i="3"/>
  <c r="K153" i="3"/>
  <c r="K152" i="3"/>
  <c r="K151" i="3"/>
  <c r="J151" i="3"/>
  <c r="K150" i="3"/>
  <c r="K149" i="3"/>
  <c r="K148" i="3"/>
  <c r="K147" i="3"/>
  <c r="K146" i="3"/>
  <c r="K145" i="3"/>
  <c r="K144" i="3"/>
  <c r="K143" i="3"/>
  <c r="K142" i="3"/>
  <c r="K141" i="3"/>
  <c r="J140" i="3"/>
  <c r="K139" i="3"/>
  <c r="K138" i="3"/>
  <c r="J138" i="3"/>
  <c r="K137" i="3"/>
  <c r="K136" i="3"/>
  <c r="J135" i="3"/>
  <c r="K135" i="3"/>
  <c r="J134" i="3"/>
  <c r="K134" i="3"/>
  <c r="J133" i="3"/>
  <c r="J132" i="3"/>
  <c r="K131" i="3"/>
  <c r="K130" i="3"/>
  <c r="K129" i="3"/>
  <c r="K128" i="3"/>
  <c r="J128" i="3"/>
  <c r="K127" i="3"/>
  <c r="K126" i="3"/>
  <c r="K125" i="3"/>
  <c r="K124" i="3"/>
  <c r="K123" i="3"/>
  <c r="K122" i="3"/>
  <c r="K121" i="3"/>
  <c r="K120" i="3"/>
  <c r="K119" i="3"/>
  <c r="K118" i="3"/>
  <c r="K117" i="3"/>
  <c r="J116" i="3"/>
  <c r="J115" i="3"/>
  <c r="K114" i="3"/>
  <c r="K113" i="3"/>
  <c r="J112" i="3"/>
  <c r="K111" i="3"/>
  <c r="J111" i="3"/>
  <c r="J110" i="3"/>
  <c r="K110" i="3"/>
  <c r="K109" i="3"/>
  <c r="J108" i="3"/>
  <c r="J107" i="3"/>
  <c r="J106" i="3"/>
  <c r="K106" i="3"/>
  <c r="K105" i="3"/>
  <c r="J104" i="3"/>
  <c r="J103" i="3"/>
  <c r="K102" i="3"/>
  <c r="K101" i="3"/>
  <c r="J100" i="3"/>
  <c r="J99" i="3"/>
  <c r="K98" i="3"/>
  <c r="K97" i="3"/>
  <c r="J96" i="3"/>
  <c r="K95" i="3"/>
  <c r="J95" i="3"/>
  <c r="K94" i="3"/>
  <c r="K93" i="3"/>
  <c r="K92" i="3"/>
  <c r="K91" i="3"/>
  <c r="J90" i="3"/>
  <c r="K90" i="3"/>
  <c r="K89" i="3"/>
  <c r="K88" i="3"/>
  <c r="J87" i="3"/>
  <c r="K87" i="3"/>
  <c r="K86" i="3"/>
  <c r="K85" i="3"/>
  <c r="J84" i="3"/>
  <c r="K83" i="3"/>
  <c r="J83" i="3"/>
  <c r="K82" i="3"/>
  <c r="K81" i="3"/>
  <c r="K80" i="3"/>
  <c r="J80" i="3"/>
  <c r="K79" i="3"/>
  <c r="K78" i="3"/>
  <c r="K77" i="3"/>
  <c r="K76" i="3"/>
  <c r="J75" i="3"/>
  <c r="K75" i="3"/>
  <c r="K74" i="3"/>
  <c r="K73" i="3"/>
  <c r="J72" i="3"/>
  <c r="J71" i="3"/>
  <c r="K71" i="3"/>
  <c r="K70" i="3"/>
  <c r="J69" i="3"/>
  <c r="J68" i="3"/>
  <c r="K67" i="3"/>
  <c r="K66" i="3"/>
  <c r="J65" i="3"/>
  <c r="K64" i="3"/>
  <c r="J64" i="3"/>
  <c r="K63" i="3"/>
  <c r="K62" i="3"/>
  <c r="K61" i="3"/>
  <c r="J60" i="3"/>
  <c r="K60" i="3"/>
  <c r="K59" i="3"/>
  <c r="K58" i="3"/>
  <c r="K57" i="3"/>
  <c r="J56" i="3"/>
  <c r="K56" i="3"/>
  <c r="K55" i="3"/>
  <c r="K54" i="3"/>
  <c r="K53" i="3"/>
  <c r="K52" i="3"/>
  <c r="J52" i="3"/>
  <c r="K51" i="3"/>
  <c r="K50" i="3"/>
  <c r="K49" i="3"/>
  <c r="K48" i="3"/>
  <c r="K47" i="3"/>
  <c r="K46" i="3"/>
  <c r="J45" i="3"/>
  <c r="K45" i="3"/>
  <c r="J44" i="3"/>
  <c r="K44" i="3"/>
  <c r="K43" i="3"/>
  <c r="K42" i="3"/>
  <c r="K41" i="3"/>
  <c r="K40" i="3"/>
  <c r="K39" i="3"/>
  <c r="K38" i="3"/>
  <c r="K37" i="3"/>
  <c r="K36" i="3"/>
  <c r="K35" i="3"/>
  <c r="J35" i="3"/>
  <c r="J34" i="3"/>
  <c r="K33" i="3"/>
  <c r="K32" i="3"/>
  <c r="K31" i="3"/>
  <c r="J31" i="3"/>
  <c r="K30" i="3"/>
  <c r="K29" i="3"/>
  <c r="K28" i="3"/>
  <c r="K27" i="3"/>
  <c r="K26" i="3"/>
  <c r="J26" i="3"/>
  <c r="K25" i="3"/>
  <c r="K24" i="3"/>
  <c r="K23" i="3"/>
  <c r="K22" i="3"/>
  <c r="K21" i="3"/>
  <c r="K20" i="3"/>
  <c r="K19" i="3"/>
  <c r="K18" i="3"/>
  <c r="K17" i="3"/>
  <c r="J16" i="3"/>
  <c r="K16" i="3"/>
  <c r="K15" i="3"/>
  <c r="K14" i="3"/>
  <c r="J13" i="3"/>
  <c r="K13" i="3"/>
  <c r="K12" i="3"/>
  <c r="K11" i="3"/>
  <c r="K10" i="3"/>
  <c r="K9" i="3"/>
  <c r="J9" i="3"/>
  <c r="K8" i="3"/>
  <c r="K7" i="3"/>
  <c r="K6" i="3"/>
  <c r="J6" i="3"/>
  <c r="J5" i="3"/>
  <c r="K5" i="3"/>
  <c r="K4" i="3"/>
  <c r="F493" i="3" l="1"/>
  <c r="F492" i="3" s="1"/>
  <c r="F462" i="3"/>
  <c r="J20" i="3"/>
  <c r="J39" i="3"/>
  <c r="J63" i="3"/>
  <c r="K68" i="3"/>
  <c r="K103" i="3"/>
  <c r="J162" i="3"/>
  <c r="J176" i="3"/>
  <c r="J212" i="3"/>
  <c r="J255" i="3"/>
  <c r="K304" i="3"/>
  <c r="J311" i="3"/>
  <c r="J326" i="3"/>
  <c r="J355" i="3"/>
  <c r="J363" i="3"/>
  <c r="J376" i="3"/>
  <c r="J403" i="3"/>
  <c r="J408" i="3"/>
  <c r="K418" i="3"/>
  <c r="K427" i="3"/>
  <c r="K435" i="3"/>
  <c r="J455" i="3"/>
  <c r="J483" i="3"/>
  <c r="J488" i="3"/>
  <c r="J506" i="3"/>
  <c r="J511" i="3"/>
  <c r="J10" i="3"/>
  <c r="J27" i="3"/>
  <c r="K34" i="3"/>
  <c r="J79" i="3"/>
  <c r="J98" i="3"/>
  <c r="J114" i="3"/>
  <c r="J141" i="3"/>
  <c r="K181" i="3"/>
  <c r="J188" i="3"/>
  <c r="J196" i="3"/>
  <c r="J204" i="3"/>
  <c r="J219" i="3"/>
  <c r="J224" i="3"/>
  <c r="J239" i="3"/>
  <c r="J247" i="3"/>
  <c r="J262" i="3"/>
  <c r="J270" i="3"/>
  <c r="J278" i="3"/>
  <c r="J288" i="3"/>
  <c r="J296" i="3"/>
  <c r="J317" i="3"/>
  <c r="K331" i="3"/>
  <c r="J352" i="3"/>
  <c r="J360" i="3"/>
  <c r="J368" i="3"/>
  <c r="J383" i="3"/>
  <c r="J388" i="3"/>
  <c r="J415" i="3"/>
  <c r="J424" i="3"/>
  <c r="J432" i="3"/>
  <c r="J440" i="3"/>
  <c r="J467" i="3"/>
  <c r="J62" i="3"/>
  <c r="K72" i="3"/>
  <c r="K84" i="3"/>
  <c r="J91" i="3"/>
  <c r="K107" i="3"/>
  <c r="J124" i="3"/>
  <c r="J150" i="3"/>
  <c r="J231" i="3"/>
  <c r="J395" i="3"/>
  <c r="J447" i="3"/>
  <c r="J475" i="3"/>
  <c r="J498" i="3"/>
  <c r="J19" i="3"/>
  <c r="J67" i="3"/>
  <c r="J102" i="3"/>
  <c r="K209" i="3"/>
  <c r="K308" i="3"/>
  <c r="K357" i="3"/>
  <c r="K365" i="3"/>
  <c r="J375" i="3"/>
  <c r="J407" i="3"/>
  <c r="K420" i="3"/>
  <c r="K429" i="3"/>
  <c r="K437" i="3"/>
  <c r="J487" i="3"/>
  <c r="D489" i="3"/>
  <c r="D490" i="3" s="1"/>
  <c r="J510" i="3"/>
  <c r="J66" i="3"/>
  <c r="K99" i="3"/>
  <c r="K115" i="3"/>
  <c r="K132" i="3"/>
  <c r="K177" i="3"/>
  <c r="K312" i="3"/>
  <c r="J379" i="3"/>
  <c r="J411" i="3"/>
  <c r="K194" i="3"/>
  <c r="J194" i="3"/>
  <c r="J17" i="3"/>
  <c r="J21" i="3"/>
  <c r="J28" i="3"/>
  <c r="J32" i="3"/>
  <c r="J36" i="3"/>
  <c r="J40" i="3"/>
  <c r="J49" i="3"/>
  <c r="J53" i="3"/>
  <c r="J57" i="3"/>
  <c r="K65" i="3"/>
  <c r="K69" i="3"/>
  <c r="J76" i="3"/>
  <c r="J88" i="3"/>
  <c r="J92" i="3"/>
  <c r="K96" i="3"/>
  <c r="K100" i="3"/>
  <c r="K104" i="3"/>
  <c r="K108" i="3"/>
  <c r="K112" i="3"/>
  <c r="K116" i="3"/>
  <c r="J121" i="3"/>
  <c r="J125" i="3"/>
  <c r="J129" i="3"/>
  <c r="K133" i="3"/>
  <c r="K140" i="3"/>
  <c r="K164" i="3"/>
  <c r="K171" i="3"/>
  <c r="K175" i="3"/>
  <c r="K225" i="3"/>
  <c r="J225" i="3"/>
  <c r="K248" i="3"/>
  <c r="J248" i="3"/>
  <c r="K271" i="3"/>
  <c r="J271" i="3"/>
  <c r="K279" i="3"/>
  <c r="J279" i="3"/>
  <c r="K289" i="3"/>
  <c r="J289" i="3"/>
  <c r="K297" i="3"/>
  <c r="J297" i="3"/>
  <c r="K374" i="3"/>
  <c r="J374" i="3"/>
  <c r="K389" i="3"/>
  <c r="J389" i="3"/>
  <c r="K406" i="3"/>
  <c r="J406" i="3"/>
  <c r="K441" i="3"/>
  <c r="J441" i="3"/>
  <c r="K500" i="3"/>
  <c r="J500" i="3"/>
  <c r="E489" i="3"/>
  <c r="E490" i="3" s="1"/>
  <c r="K210" i="3"/>
  <c r="J210" i="3"/>
  <c r="K222" i="3"/>
  <c r="J222" i="3"/>
  <c r="K245" i="3"/>
  <c r="J245" i="3"/>
  <c r="K260" i="3"/>
  <c r="J260" i="3"/>
  <c r="K309" i="3"/>
  <c r="J309" i="3"/>
  <c r="K324" i="3"/>
  <c r="J324" i="3"/>
  <c r="K386" i="3"/>
  <c r="J386" i="3"/>
  <c r="K401" i="3"/>
  <c r="J401" i="3"/>
  <c r="K453" i="3"/>
  <c r="J453" i="3"/>
  <c r="F489" i="3"/>
  <c r="F490" i="3" s="1"/>
  <c r="K217" i="3"/>
  <c r="J217" i="3"/>
  <c r="K237" i="3"/>
  <c r="J237" i="3"/>
  <c r="K481" i="3"/>
  <c r="J481" i="3"/>
  <c r="G512" i="3"/>
  <c r="J166" i="3"/>
  <c r="J169" i="3"/>
  <c r="J173" i="3"/>
  <c r="K229" i="3"/>
  <c r="J229" i="3"/>
  <c r="K252" i="3"/>
  <c r="J252" i="3"/>
  <c r="K301" i="3"/>
  <c r="J301" i="3"/>
  <c r="K340" i="3"/>
  <c r="J340" i="3"/>
  <c r="K378" i="3"/>
  <c r="J378" i="3"/>
  <c r="K393" i="3"/>
  <c r="J393" i="3"/>
  <c r="K410" i="3"/>
  <c r="J410" i="3"/>
  <c r="K445" i="3"/>
  <c r="J445" i="3"/>
  <c r="K465" i="3"/>
  <c r="J465" i="3"/>
  <c r="K504" i="3"/>
  <c r="J504" i="3"/>
  <c r="K202" i="3"/>
  <c r="J202" i="3"/>
  <c r="J4" i="3"/>
  <c r="J8" i="3"/>
  <c r="J12" i="3"/>
  <c r="J30" i="3"/>
  <c r="J38" i="3"/>
  <c r="J51" i="3"/>
  <c r="J55" i="3"/>
  <c r="J59" i="3"/>
  <c r="J74" i="3"/>
  <c r="J78" i="3"/>
  <c r="J82" i="3"/>
  <c r="J86" i="3"/>
  <c r="J123" i="3"/>
  <c r="J127" i="3"/>
  <c r="K178" i="3"/>
  <c r="J178" i="3"/>
  <c r="K226" i="3"/>
  <c r="J226" i="3"/>
  <c r="K249" i="3"/>
  <c r="J249" i="3"/>
  <c r="K267" i="3"/>
  <c r="J267" i="3"/>
  <c r="K275" i="3"/>
  <c r="J275" i="3"/>
  <c r="K285" i="3"/>
  <c r="J285" i="3"/>
  <c r="K293" i="3"/>
  <c r="J293" i="3"/>
  <c r="K313" i="3"/>
  <c r="J313" i="3"/>
  <c r="K328" i="3"/>
  <c r="J328" i="3"/>
  <c r="K373" i="3"/>
  <c r="J373" i="3"/>
  <c r="K390" i="3"/>
  <c r="J390" i="3"/>
  <c r="K405" i="3"/>
  <c r="J405" i="3"/>
  <c r="K457" i="3"/>
  <c r="J457" i="3"/>
  <c r="F461" i="3"/>
  <c r="F463" i="3"/>
  <c r="K473" i="3"/>
  <c r="J473" i="3"/>
  <c r="E461" i="3"/>
  <c r="E462" i="3"/>
  <c r="J70" i="3"/>
  <c r="J97" i="3"/>
  <c r="J101" i="3"/>
  <c r="J105" i="3"/>
  <c r="J109" i="3"/>
  <c r="J113" i="3"/>
  <c r="J117" i="3"/>
  <c r="J119" i="3"/>
  <c r="K214" i="3"/>
  <c r="J214" i="3"/>
  <c r="K221" i="3"/>
  <c r="J221" i="3"/>
  <c r="K259" i="3"/>
  <c r="J259" i="3"/>
  <c r="K325" i="3"/>
  <c r="J325" i="3"/>
  <c r="K385" i="3"/>
  <c r="J385" i="3"/>
  <c r="K402" i="3"/>
  <c r="J402" i="3"/>
  <c r="K485" i="3"/>
  <c r="J485" i="3"/>
  <c r="K496" i="3"/>
  <c r="J496" i="3"/>
  <c r="J7" i="3"/>
  <c r="J11" i="3"/>
  <c r="J18" i="3"/>
  <c r="J22" i="3"/>
  <c r="J25" i="3"/>
  <c r="J29" i="3"/>
  <c r="J33" i="3"/>
  <c r="J37" i="3"/>
  <c r="J50" i="3"/>
  <c r="J54" i="3"/>
  <c r="J58" i="3"/>
  <c r="J77" i="3"/>
  <c r="J81" i="3"/>
  <c r="J85" i="3"/>
  <c r="J89" i="3"/>
  <c r="J93" i="3"/>
  <c r="J122" i="3"/>
  <c r="J126" i="3"/>
  <c r="J130" i="3"/>
  <c r="J137" i="3"/>
  <c r="J155" i="3"/>
  <c r="K190" i="3"/>
  <c r="J190" i="3"/>
  <c r="K198" i="3"/>
  <c r="J198" i="3"/>
  <c r="K206" i="3"/>
  <c r="J206" i="3"/>
  <c r="K218" i="3"/>
  <c r="J218" i="3"/>
  <c r="K233" i="3"/>
  <c r="J233" i="3"/>
  <c r="K241" i="3"/>
  <c r="J241" i="3"/>
  <c r="K305" i="3"/>
  <c r="J305" i="3"/>
  <c r="K320" i="3"/>
  <c r="J320" i="3"/>
  <c r="K382" i="3"/>
  <c r="J382" i="3"/>
  <c r="K397" i="3"/>
  <c r="J397" i="3"/>
  <c r="K449" i="3"/>
  <c r="J449" i="3"/>
  <c r="K508" i="3"/>
  <c r="J508" i="3"/>
  <c r="K186" i="3"/>
  <c r="J186" i="3"/>
  <c r="K321" i="3"/>
  <c r="J321" i="3"/>
  <c r="K381" i="3"/>
  <c r="J381" i="3"/>
  <c r="K398" i="3"/>
  <c r="J398" i="3"/>
  <c r="K413" i="3"/>
  <c r="J413" i="3"/>
  <c r="K182" i="3"/>
  <c r="J182" i="3"/>
  <c r="K230" i="3"/>
  <c r="J230" i="3"/>
  <c r="K256" i="3"/>
  <c r="J256" i="3"/>
  <c r="K339" i="3"/>
  <c r="J339" i="3"/>
  <c r="K377" i="3"/>
  <c r="J377" i="3"/>
  <c r="K394" i="3"/>
  <c r="J394" i="3"/>
  <c r="K409" i="3"/>
  <c r="J409" i="3"/>
  <c r="K477" i="3"/>
  <c r="J477" i="3"/>
  <c r="J179" i="3"/>
  <c r="J183" i="3"/>
  <c r="J187" i="3"/>
  <c r="J191" i="3"/>
  <c r="J195" i="3"/>
  <c r="J199" i="3"/>
  <c r="J203" i="3"/>
  <c r="J207" i="3"/>
  <c r="J211" i="3"/>
  <c r="J215" i="3"/>
  <c r="J238" i="3"/>
  <c r="J242" i="3"/>
  <c r="J264" i="3"/>
  <c r="J268" i="3"/>
  <c r="J272" i="3"/>
  <c r="J276" i="3"/>
  <c r="J280" i="3"/>
  <c r="J286" i="3"/>
  <c r="J290" i="3"/>
  <c r="J294" i="3"/>
  <c r="J298" i="3"/>
  <c r="J302" i="3"/>
  <c r="J306" i="3"/>
  <c r="J310" i="3"/>
  <c r="J314" i="3"/>
  <c r="J316" i="3"/>
  <c r="J333" i="3"/>
  <c r="J337" i="3"/>
  <c r="J344" i="3"/>
  <c r="J347" i="3"/>
  <c r="J351" i="3"/>
  <c r="D492" i="3"/>
  <c r="J423" i="3"/>
  <c r="J442" i="3"/>
  <c r="J446" i="3"/>
  <c r="J450" i="3"/>
  <c r="J454" i="3"/>
  <c r="J458" i="3"/>
  <c r="J466" i="3"/>
  <c r="J474" i="3"/>
  <c r="J478" i="3"/>
  <c r="J482" i="3"/>
  <c r="J486" i="3"/>
  <c r="J497" i="3"/>
  <c r="J501" i="3"/>
  <c r="J505" i="3"/>
  <c r="J509" i="3"/>
  <c r="J332" i="3"/>
  <c r="J336" i="3"/>
  <c r="J350" i="3"/>
  <c r="J354" i="3"/>
  <c r="J358" i="3"/>
  <c r="J362" i="3"/>
  <c r="J366" i="3"/>
  <c r="J370" i="3"/>
  <c r="J417" i="3"/>
  <c r="J421" i="3"/>
  <c r="J430" i="3"/>
  <c r="J434" i="3"/>
  <c r="D460" i="3" l="1"/>
  <c r="K460" i="3" s="1"/>
  <c r="E463" i="3"/>
  <c r="D463" i="3"/>
  <c r="E460" i="3"/>
  <c r="D462" i="3"/>
  <c r="K462" i="3" s="1"/>
  <c r="F460" i="3"/>
  <c r="F459" i="3" s="1"/>
  <c r="F512" i="3" s="1"/>
  <c r="K489" i="3"/>
  <c r="D461" i="3"/>
  <c r="J460" i="3" l="1"/>
  <c r="E459" i="3"/>
  <c r="E512" i="3" s="1"/>
  <c r="J462" i="3"/>
  <c r="K463" i="3"/>
  <c r="J463" i="3"/>
  <c r="J461" i="3"/>
  <c r="K461" i="3"/>
  <c r="D459" i="3"/>
  <c r="J515" i="3" l="1"/>
  <c r="K459" i="3"/>
  <c r="K515" i="3" s="1"/>
  <c r="D512" i="3"/>
  <c r="K512" i="3" l="1"/>
  <c r="J512" i="3"/>
  <c r="I512" i="3" l="1"/>
  <c r="O512" i="3" s="1"/>
  <c r="D73" i="17"/>
  <c r="H30" i="25" l="1"/>
  <c r="H43" i="25" s="1"/>
  <c r="M4" i="13" s="1"/>
  <c r="I514" i="3"/>
  <c r="M513" i="3"/>
  <c r="T110" i="17"/>
  <c r="O73" i="17"/>
  <c r="P73" i="17"/>
  <c r="G30" i="25"/>
  <c r="C30" i="25"/>
  <c r="C43" i="25" s="1"/>
  <c r="D110" i="17"/>
  <c r="F30" i="25"/>
  <c r="F43" i="25" s="1"/>
  <c r="AF73" i="17"/>
  <c r="AS73" i="17"/>
  <c r="AS110" i="17" s="1"/>
  <c r="AR73" i="17"/>
  <c r="AR110" i="17" s="1"/>
  <c r="L1745" i="14" s="1"/>
  <c r="AH73" i="17" l="1"/>
  <c r="AN73" i="17" s="1"/>
  <c r="O110" i="17"/>
  <c r="C3" i="13" s="1"/>
  <c r="AG73" i="17"/>
  <c r="AG110" i="17" s="1"/>
  <c r="AL110" i="17"/>
  <c r="U110" i="17"/>
  <c r="L1746" i="14"/>
  <c r="T1853" i="35"/>
  <c r="X1852" i="35" s="1"/>
  <c r="H30" i="26"/>
  <c r="H43" i="26" s="1"/>
  <c r="AK110" i="17"/>
  <c r="T111" i="17"/>
  <c r="G3" i="13"/>
  <c r="D30" i="25"/>
  <c r="D43" i="25" s="1"/>
  <c r="E30" i="25"/>
  <c r="E43" i="25" s="1"/>
  <c r="P110" i="17"/>
  <c r="AF110" i="17"/>
  <c r="B4" i="13" s="1"/>
  <c r="B6" i="13" s="1"/>
  <c r="C30" i="26"/>
  <c r="C43" i="26" s="1"/>
  <c r="S110" i="17"/>
  <c r="S111" i="17" s="1"/>
  <c r="AJ110" i="17"/>
  <c r="G43" i="25"/>
  <c r="D111" i="17"/>
  <c r="B3" i="13"/>
  <c r="F30" i="26"/>
  <c r="F43" i="26" s="1"/>
  <c r="R110" i="17"/>
  <c r="R111" i="17" s="1"/>
  <c r="I513" i="3"/>
  <c r="O111" i="17" l="1"/>
  <c r="H3" i="13"/>
  <c r="U111" i="17"/>
  <c r="H4" i="13"/>
  <c r="H6" i="13" s="1"/>
  <c r="AL111" i="17"/>
  <c r="D30" i="26"/>
  <c r="D43" i="26" s="1"/>
  <c r="G4" i="13"/>
  <c r="G6" i="13" s="1"/>
  <c r="AK111" i="17"/>
  <c r="P111" i="17"/>
  <c r="D3" i="13"/>
  <c r="E30" i="26"/>
  <c r="E43" i="26" s="1"/>
  <c r="AH110" i="17"/>
  <c r="AN110" i="17" s="1"/>
  <c r="AF111" i="17"/>
  <c r="G30" i="26"/>
  <c r="G43" i="26" s="1"/>
  <c r="AG111" i="17"/>
  <c r="C4" i="13"/>
  <c r="F3" i="13"/>
  <c r="F4" i="13"/>
  <c r="AJ111" i="17"/>
  <c r="AI110" i="17"/>
  <c r="E4" i="13" s="1"/>
  <c r="E6" i="13" s="1"/>
  <c r="E3" i="13"/>
  <c r="AH111" i="17" l="1"/>
  <c r="D4" i="13"/>
  <c r="D6" i="13" s="1"/>
  <c r="C6" i="13"/>
  <c r="F6" i="13"/>
  <c r="AI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Administrator</author>
    <author>m088071</author>
  </authors>
  <commentList>
    <comment ref="Q4" authorId="0" shapeId="0" xr:uid="{D12AB4BC-D944-47D9-9216-CE75CD58C6BB}">
      <text>
        <r>
          <rPr>
            <sz val="9"/>
            <color indexed="81"/>
            <rFont val="ＭＳ Ｐゴシック"/>
            <family val="3"/>
            <charset val="128"/>
          </rPr>
          <t xml:space="preserve">黄色は工業統計組み換え表第１表の生産額を直接入力
</t>
        </r>
      </text>
    </comment>
    <comment ref="R4" authorId="0" shapeId="0" xr:uid="{1F87B9C3-8AB2-4C86-9EEC-F9E6E31E3CD0}">
      <text>
        <r>
          <rPr>
            <b/>
            <sz val="9"/>
            <color indexed="81"/>
            <rFont val="ＭＳ Ｐゴシック"/>
            <family val="3"/>
            <charset val="128"/>
          </rPr>
          <t>この列文言変更しない</t>
        </r>
      </text>
    </comment>
    <comment ref="V4" authorId="0" shapeId="0" xr:uid="{66155D4F-A3DC-471B-BAD7-9C45511DB52D}">
      <text>
        <r>
          <rPr>
            <b/>
            <sz val="9"/>
            <color indexed="81"/>
            <rFont val="ＭＳ Ｐゴシック"/>
            <family val="3"/>
            <charset val="128"/>
          </rPr>
          <t>適宜修正</t>
        </r>
      </text>
    </comment>
    <comment ref="K10" authorId="0" shapeId="0" xr:uid="{C8DB0C53-8B89-435C-95E5-299EB573F9DB}">
      <text>
        <r>
          <rPr>
            <sz val="9"/>
            <color indexed="81"/>
            <rFont val="ＭＳ Ｐゴシック"/>
            <family val="3"/>
            <charset val="128"/>
          </rPr>
          <t>0131-02農業サービスの推計で利用</t>
        </r>
      </text>
    </comment>
    <comment ref="K12" authorId="0" shapeId="0" xr:uid="{1E7AD672-910B-43E6-9139-20D4F15DEFE0}">
      <text>
        <r>
          <rPr>
            <b/>
            <sz val="9"/>
            <color indexed="81"/>
            <rFont val="ＭＳ Ｐゴシック"/>
            <family val="3"/>
            <charset val="128"/>
          </rPr>
          <t>0131-02農業サービスの推計で利用</t>
        </r>
      </text>
    </comment>
    <comment ref="O18" authorId="0" shapeId="0" xr:uid="{5AFC657E-4DA2-4E69-AE5B-21BF646DD3B6}">
      <text>
        <r>
          <rPr>
            <b/>
            <sz val="9"/>
            <color indexed="81"/>
            <rFont val="ＭＳ Ｐゴシック"/>
            <family val="3"/>
            <charset val="128"/>
          </rPr>
          <t>生産量がゼロなので、特に数値入力する必要なし→R2はゼロではなく１だが、コメント欄参照</t>
        </r>
      </text>
    </comment>
    <comment ref="L107" authorId="0" shapeId="0" xr:uid="{09914E87-AD8B-4E30-874D-4FEDF57A44EC}">
      <text>
        <r>
          <rPr>
            <sz val="9"/>
            <color indexed="81"/>
            <rFont val="ＭＳ Ｐゴシック"/>
            <family val="3"/>
            <charset val="128"/>
          </rPr>
          <t xml:space="preserve">兵庫のごま＋オリーブの収穫面積
</t>
        </r>
      </text>
    </comment>
    <comment ref="M107" authorId="0" shapeId="0" xr:uid="{1C87459A-B827-44F2-AA15-BCC599324386}">
      <text>
        <r>
          <rPr>
            <b/>
            <sz val="9"/>
            <color indexed="81"/>
            <rFont val="ＭＳ Ｐゴシック"/>
            <family val="3"/>
            <charset val="128"/>
          </rPr>
          <t>全国のごま＋オリーブの収穫面積</t>
        </r>
      </text>
    </comment>
    <comment ref="K109" authorId="1" shapeId="0" xr:uid="{5ADE90EB-22D7-4B6C-91EF-F4AEE864EA84}">
      <text>
        <r>
          <rPr>
            <sz val="9"/>
            <color indexed="81"/>
            <rFont val="MS P ゴシック"/>
            <family val="3"/>
            <charset val="128"/>
          </rPr>
          <t>R2国CTから牧草等の内訳がなくなったため、H27国CTの内訳区分における値の比率でR2国CTを按分した。</t>
        </r>
      </text>
    </comment>
    <comment ref="J141" authorId="1" shapeId="0" xr:uid="{D28156F3-EF27-4058-8FAC-88B7B2CF96D0}">
      <text>
        <r>
          <rPr>
            <b/>
            <sz val="9"/>
            <color indexed="81"/>
            <rFont val="MS P ゴシック"/>
            <family val="3"/>
            <charset val="128"/>
          </rPr>
          <t>R2新たに追加になった部門</t>
        </r>
      </text>
    </comment>
    <comment ref="M179" authorId="1" shapeId="0" xr:uid="{BB268912-C913-422A-A476-9A40CCB7E2BB}">
      <text>
        <r>
          <rPr>
            <sz val="9"/>
            <color indexed="81"/>
            <rFont val="MS P ゴシック"/>
            <family val="3"/>
            <charset val="128"/>
          </rPr>
          <t xml:space="preserve">R2林業産出額では「からまつ・えぞまつ・とどまつ」で3,055となっていてその内訳は不明なので、国CTの割合で3,055を按分する。
</t>
        </r>
      </text>
    </comment>
    <comment ref="J183" authorId="1" shapeId="0" xr:uid="{DCBD3082-5970-4DD8-8B9A-A88306B13AF0}">
      <text>
        <r>
          <rPr>
            <b/>
            <sz val="9"/>
            <color indexed="81"/>
            <rFont val="MS P ゴシック"/>
            <family val="3"/>
            <charset val="128"/>
          </rPr>
          <t>R2新たに追加になった部門</t>
        </r>
      </text>
    </comment>
    <comment ref="O346" authorId="0" shapeId="0" xr:uid="{DCED93BA-890E-4C01-A8DD-D7F5D4DE2EF6}">
      <text>
        <r>
          <rPr>
            <b/>
            <sz val="9"/>
            <color indexed="81"/>
            <rFont val="ＭＳ Ｐゴシック"/>
            <family val="3"/>
            <charset val="128"/>
          </rPr>
          <t>枝肉価格×補正率で部分肉価格へ換算</t>
        </r>
      </text>
    </comment>
    <comment ref="O352" authorId="0" shapeId="0" xr:uid="{57CC1D1A-94DB-4FA0-859D-3DF8D4D2D753}">
      <text>
        <r>
          <rPr>
            <b/>
            <sz val="9"/>
            <color indexed="81"/>
            <rFont val="ＭＳ Ｐゴシック"/>
            <family val="3"/>
            <charset val="128"/>
          </rPr>
          <t>枝肉価格×補正率で部分肉価格へ換算</t>
        </r>
      </text>
    </comment>
    <comment ref="O355" authorId="0" shapeId="0" xr:uid="{E094B61A-5F91-4BD6-B174-49617A2B69E6}">
      <text>
        <r>
          <rPr>
            <b/>
            <sz val="9"/>
            <color indexed="81"/>
            <rFont val="ＭＳ Ｐゴシック"/>
            <family val="3"/>
            <charset val="128"/>
          </rPr>
          <t>枝肉価格×補正率で部分肉価格へ換算</t>
        </r>
      </text>
    </comment>
    <comment ref="O359" authorId="0" shapeId="0" xr:uid="{3B2EE309-B83C-42F2-AF56-6D8EE514DC0F}">
      <text>
        <r>
          <rPr>
            <b/>
            <sz val="9"/>
            <color indexed="81"/>
            <rFont val="ＭＳ Ｐゴシック"/>
            <family val="3"/>
            <charset val="128"/>
          </rPr>
          <t>枝肉価格×補正率で部分肉価格へ換算</t>
        </r>
      </text>
    </comment>
    <comment ref="K436" authorId="0" shapeId="0" xr:uid="{564C2038-EE9F-44AE-B93D-883499B2336D}">
      <text>
        <r>
          <rPr>
            <b/>
            <sz val="9"/>
            <color indexed="81"/>
            <rFont val="ＭＳ Ｐゴシック"/>
            <family val="3"/>
            <charset val="128"/>
          </rPr>
          <t>パン類・めん類の年間販売金額の１／２</t>
        </r>
      </text>
    </comment>
    <comment ref="K443" authorId="0" shapeId="0" xr:uid="{F8CE4840-4708-4DFF-A844-59754982F53A}">
      <text>
        <r>
          <rPr>
            <b/>
            <sz val="9"/>
            <color indexed="81"/>
            <rFont val="ＭＳ Ｐゴシック"/>
            <family val="3"/>
            <charset val="128"/>
          </rPr>
          <t>パン類・めん類の年間販売額の１／２</t>
        </r>
      </text>
    </comment>
    <comment ref="O768" authorId="0" shapeId="0" xr:uid="{BAFD02B8-5A38-4D2F-9C9E-287FCB3D8D3A}">
      <text>
        <r>
          <rPr>
            <b/>
            <sz val="9"/>
            <color indexed="81"/>
            <rFont val="ＭＳ Ｐゴシック"/>
            <family val="3"/>
            <charset val="128"/>
          </rPr>
          <t>国単価</t>
        </r>
      </text>
    </comment>
    <comment ref="K948" authorId="0" shapeId="0" xr:uid="{D24F733D-B354-4DA6-85A4-30A206BC797B}">
      <text>
        <r>
          <rPr>
            <b/>
            <sz val="9"/>
            <color indexed="81"/>
            <rFont val="ＭＳ Ｐゴシック"/>
            <family val="3"/>
            <charset val="128"/>
          </rPr>
          <t>半製品・仕掛品の推計に利用</t>
        </r>
      </text>
    </comment>
    <comment ref="K953" authorId="0" shapeId="0" xr:uid="{90CE62DC-E2F4-4E27-B942-DC0BE9FDEEC0}">
      <text>
        <r>
          <rPr>
            <b/>
            <sz val="9"/>
            <color indexed="81"/>
            <rFont val="ＭＳ Ｐゴシック"/>
            <family val="3"/>
            <charset val="128"/>
          </rPr>
          <t>半製品・仕掛品の推計に利用</t>
        </r>
      </text>
    </comment>
    <comment ref="Q1005" authorId="0" shapeId="0" xr:uid="{EF655275-A0F9-4FEF-91E3-C51460E31177}">
      <text>
        <r>
          <rPr>
            <b/>
            <sz val="9"/>
            <color indexed="81"/>
            <rFont val="ＭＳ Ｐゴシック"/>
            <family val="3"/>
            <charset val="128"/>
          </rPr>
          <t>補正</t>
        </r>
      </text>
    </comment>
    <comment ref="O1022" authorId="0" shapeId="0" xr:uid="{3B5FD16C-65C1-4207-9068-A24FE49BEAAA}">
      <text>
        <r>
          <rPr>
            <b/>
            <sz val="9"/>
            <color indexed="81"/>
            <rFont val="ＭＳ Ｐゴシック"/>
            <family val="3"/>
            <charset val="128"/>
          </rPr>
          <t>国単価</t>
        </r>
      </text>
    </comment>
    <comment ref="O1037" authorId="0" shapeId="0" xr:uid="{2F786C56-C7B0-4B9C-8FB9-3E98AA9CA6FC}">
      <text>
        <r>
          <rPr>
            <b/>
            <sz val="9"/>
            <color indexed="81"/>
            <rFont val="ＭＳ Ｐゴシック"/>
            <family val="3"/>
            <charset val="128"/>
          </rPr>
          <t>硬鋼線に準じる</t>
        </r>
      </text>
    </comment>
    <comment ref="O1038" authorId="0" shapeId="0" xr:uid="{338BB2E3-6D3E-46D4-BC60-4CB8E478C221}">
      <text>
        <r>
          <rPr>
            <b/>
            <sz val="9"/>
            <color indexed="81"/>
            <rFont val="ＭＳ Ｐゴシック"/>
            <family val="3"/>
            <charset val="128"/>
          </rPr>
          <t>硬鋼線に準じる</t>
        </r>
      </text>
    </comment>
    <comment ref="O1040" authorId="0" shapeId="0" xr:uid="{498D9B64-4695-4211-8BC2-95029AB8D465}">
      <text>
        <r>
          <rPr>
            <b/>
            <sz val="9"/>
            <color indexed="81"/>
            <rFont val="ＭＳ Ｐゴシック"/>
            <family val="3"/>
            <charset val="128"/>
          </rPr>
          <t>硬鋼線に準じる</t>
        </r>
      </text>
    </comment>
    <comment ref="J1076" authorId="1" shapeId="0" xr:uid="{C8376F1D-1A30-4A7C-B48A-5AAFAA768A3B}">
      <text>
        <r>
          <rPr>
            <b/>
            <sz val="9"/>
            <color indexed="81"/>
            <rFont val="MS P ゴシック"/>
            <family val="3"/>
            <charset val="128"/>
          </rPr>
          <t>国R2年表から「鋳鉄品」と「鍛工品（鉄）」が統合されたが、国の細品目分類はH27とR2で変更なし。H27年表では鋳鉄品は経セン組替表で一括計上、鍛工品は生動組替集計数値としていたので、R2年表も同様とする。</t>
        </r>
      </text>
    </comment>
    <comment ref="N1408" authorId="0" shapeId="0" xr:uid="{565FB90A-A301-4980-A6FC-487865EC1238}">
      <text>
        <r>
          <rPr>
            <b/>
            <sz val="9"/>
            <color indexed="81"/>
            <rFont val="ＭＳ Ｐゴシック"/>
            <family val="3"/>
            <charset val="128"/>
          </rPr>
          <t>兵庫県従業員数</t>
        </r>
      </text>
    </comment>
    <comment ref="O1408" authorId="0" shapeId="0" xr:uid="{9CBA37E4-D72E-42DA-A63D-9F10F7A34985}">
      <text>
        <r>
          <rPr>
            <b/>
            <sz val="8"/>
            <color indexed="81"/>
            <rFont val="ＭＳ Ｐゴシック"/>
            <family val="3"/>
            <charset val="128"/>
          </rPr>
          <t>一人当たり売上高（百万円）
国ＣＴ÷国従業員数</t>
        </r>
      </text>
    </comment>
    <comment ref="Q1412" authorId="0" shapeId="0" xr:uid="{F6A4ECBF-E06B-4050-AC9C-2638C4D8B50F}">
      <text>
        <r>
          <rPr>
            <b/>
            <sz val="9"/>
            <color indexed="81"/>
            <rFont val="ＭＳ Ｐゴシック"/>
            <family val="3"/>
            <charset val="128"/>
          </rPr>
          <t>日銀の生産額を追加している</t>
        </r>
      </text>
    </comment>
    <comment ref="K1413" authorId="0" shapeId="0" xr:uid="{B99E04E2-EF31-4BC3-817C-42A99B2C2A2F}">
      <text>
        <r>
          <rPr>
            <b/>
            <sz val="9"/>
            <color indexed="81"/>
            <rFont val="ＭＳ Ｐゴシック"/>
            <family val="3"/>
            <charset val="128"/>
          </rPr>
          <t>国ＣＴ値の内訳が不明のため、23年表の割合で按分して推計。</t>
        </r>
      </text>
    </comment>
    <comment ref="K1414" authorId="0" shapeId="0" xr:uid="{44249268-14EB-466A-9C94-378C0D9ECBD8}">
      <text>
        <r>
          <rPr>
            <b/>
            <sz val="9"/>
            <color indexed="81"/>
            <rFont val="ＭＳ Ｐゴシック"/>
            <family val="3"/>
            <charset val="128"/>
          </rPr>
          <t>国ＣＴ値の内訳が不明のため、23年の割合で按分して推計。</t>
        </r>
      </text>
    </comment>
    <comment ref="J1427" authorId="1" shapeId="0" xr:uid="{F7AE7A16-137D-4A1D-B9A1-073CB1CFEFCD}">
      <text>
        <r>
          <rPr>
            <b/>
            <sz val="9"/>
            <color indexed="81"/>
            <rFont val="MS P ゴシック"/>
            <family val="3"/>
            <charset val="128"/>
          </rPr>
          <t>R2年表から新たに追加になった細品目</t>
        </r>
      </text>
    </comment>
    <comment ref="K1430" authorId="0" shapeId="0" xr:uid="{61C3D528-90A6-4D9E-87FA-C59B8C3B6E8F}">
      <text>
        <r>
          <rPr>
            <b/>
            <sz val="9"/>
            <color indexed="81"/>
            <rFont val="ＭＳ Ｐゴシック"/>
            <family val="3"/>
            <charset val="128"/>
          </rPr>
          <t>3591-01鉄道車両の推計に利用</t>
        </r>
      </text>
    </comment>
    <comment ref="J1438" authorId="1" shapeId="0" xr:uid="{E61E4E5C-7699-45AA-A42E-7BCC4A7BC202}">
      <text>
        <r>
          <rPr>
            <sz val="9"/>
            <color indexed="81"/>
            <rFont val="MS P ゴシック"/>
            <family val="3"/>
            <charset val="128"/>
          </rPr>
          <t>R2年表から新たに追加になった細品目（
バス、ハイヤー・タクシーでも追加）</t>
        </r>
      </text>
    </comment>
    <comment ref="K1439" authorId="0" shapeId="0" xr:uid="{A42A797B-7321-4CC8-8AC0-FA8731D74029}">
      <text>
        <r>
          <rPr>
            <b/>
            <sz val="9"/>
            <color indexed="81"/>
            <rFont val="ＭＳ Ｐゴシック"/>
            <family val="3"/>
            <charset val="128"/>
          </rPr>
          <t>3591-01鉄道車両の推計に利用</t>
        </r>
      </text>
    </comment>
    <comment ref="Q1440" authorId="0" shapeId="0" xr:uid="{50681D4B-3E47-4D19-9C0D-2CD6720711A1}">
      <text>
        <r>
          <rPr>
            <b/>
            <sz val="9"/>
            <color indexed="81"/>
            <rFont val="ＭＳ Ｐゴシック"/>
            <family val="3"/>
            <charset val="128"/>
          </rPr>
          <t>阪急電鉄の手小荷物収入12千円を加えている。
ファイル「鉄道旅客輸送（ＪＲ以外）」</t>
        </r>
      </text>
    </comment>
    <comment ref="C1455" authorId="2" shapeId="0" xr:uid="{3F163785-EAD9-4518-9581-7CF5D06B097D}">
      <text>
        <r>
          <rPr>
            <sz val="9"/>
            <color indexed="81"/>
            <rFont val="ＭＳ Ｐゴシック"/>
            <family val="3"/>
            <charset val="128"/>
          </rPr>
          <t>H20.4.14 追加</t>
        </r>
      </text>
    </comment>
    <comment ref="J1455" authorId="0" shapeId="0" xr:uid="{E895C6B3-360F-4A44-8DF2-99ABEE648B41}">
      <text>
        <r>
          <rPr>
            <sz val="9"/>
            <color indexed="81"/>
            <rFont val="ＭＳ Ｐゴシック"/>
            <family val="3"/>
            <charset val="128"/>
          </rPr>
          <t>これを入れると影響が過大になるとの経産省の考え方に沿って兵庫県は推計していない。
（７年表以降推計していない。）</t>
        </r>
      </text>
    </comment>
    <comment ref="K1501" authorId="0" shapeId="0" xr:uid="{D15FEC40-6FC5-40C1-B4E3-8E23BE79A05C}">
      <text>
        <r>
          <rPr>
            <b/>
            <sz val="9"/>
            <color indexed="81"/>
            <rFont val="ＭＳ Ｐゴシック"/>
            <family val="3"/>
            <charset val="128"/>
          </rPr>
          <t xml:space="preserve">航空附帯サービスの按分指標で使用
</t>
        </r>
      </text>
    </comment>
    <comment ref="K1503" authorId="0" shapeId="0" xr:uid="{A877B7AD-5BD7-46E3-B56F-B4FA46433726}">
      <text>
        <r>
          <rPr>
            <b/>
            <sz val="9"/>
            <color indexed="81"/>
            <rFont val="ＭＳ Ｐゴシック"/>
            <family val="3"/>
            <charset val="128"/>
          </rPr>
          <t>航空附帯サービスの按分指標で使用</t>
        </r>
      </text>
    </comment>
    <comment ref="K1507" authorId="0" shapeId="0" xr:uid="{0021FBB7-BF1C-4947-9C3D-D1355497D6B6}">
      <text>
        <r>
          <rPr>
            <b/>
            <sz val="9"/>
            <color indexed="81"/>
            <rFont val="ＭＳ Ｐゴシック"/>
            <family val="3"/>
            <charset val="128"/>
          </rPr>
          <t>航空附帯サービスの按分指標で使用</t>
        </r>
      </text>
    </comment>
    <comment ref="V1552" authorId="2" shapeId="0" xr:uid="{EFE8BD4D-53D8-41F4-A1D0-2242B23E249F}">
      <text>
        <r>
          <rPr>
            <sz val="9"/>
            <color indexed="81"/>
            <rFont val="ＭＳ Ｐゴシック"/>
            <family val="3"/>
            <charset val="128"/>
          </rPr>
          <t xml:space="preserve">民営化以前の資料は、日本郵政の財務情報から旧郵政公社のHPに入る。
</t>
        </r>
      </text>
    </comment>
    <comment ref="L1657" authorId="0" shapeId="0" xr:uid="{090614C3-634F-4C49-8C1F-7C8142E986F3}">
      <text>
        <r>
          <rPr>
            <b/>
            <sz val="9"/>
            <color indexed="81"/>
            <rFont val="ＭＳ Ｐゴシック"/>
            <family val="3"/>
            <charset val="128"/>
          </rPr>
          <t>全日制＋定時制＋通信制の合計</t>
        </r>
      </text>
    </comment>
    <comment ref="M1657" authorId="0" shapeId="0" xr:uid="{7328F4A6-D870-49A5-8774-414BD86957EC}">
      <text>
        <r>
          <rPr>
            <b/>
            <sz val="9"/>
            <color indexed="81"/>
            <rFont val="ＭＳ Ｐゴシック"/>
            <family val="3"/>
            <charset val="128"/>
          </rPr>
          <t>全日制＋定時制＋通信制の合計</t>
        </r>
      </text>
    </comment>
    <comment ref="L1670" authorId="0" shapeId="0" xr:uid="{56103C70-DD92-48E2-B821-B34AD363BA8B}">
      <text>
        <r>
          <rPr>
            <b/>
            <sz val="9"/>
            <color indexed="81"/>
            <rFont val="ＭＳ Ｐゴシック"/>
            <family val="3"/>
            <charset val="128"/>
          </rPr>
          <t>全日制＋定時制＋通信制の合計</t>
        </r>
      </text>
    </comment>
    <comment ref="M1670" authorId="0" shapeId="0" xr:uid="{F855E614-D650-48FA-8619-9FC0E5E00A81}">
      <text>
        <r>
          <rPr>
            <b/>
            <sz val="9"/>
            <color indexed="81"/>
            <rFont val="ＭＳ Ｐゴシック"/>
            <family val="3"/>
            <charset val="128"/>
          </rPr>
          <t>全日制＋定時制＋通信制の合計</t>
        </r>
      </text>
    </comment>
    <comment ref="U1808" authorId="0" shapeId="0" xr:uid="{C60AB782-38B8-4641-980A-56BE3EC321E4}">
      <text>
        <r>
          <rPr>
            <sz val="8"/>
            <color indexed="81"/>
            <rFont val="ＭＳ Ｐゴシック"/>
            <family val="3"/>
            <charset val="128"/>
          </rPr>
          <t>H21.1.26厚生労働省需要給付調整事業課　ｲｿ氏照会
H21.1.27兵庫労働局需給調整課池田氏より回答</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m088071</author>
    <author>兵庫県</author>
  </authors>
  <commentList>
    <comment ref="A1419" authorId="0" shapeId="0" xr:uid="{CD2C9E89-2F26-4C3A-807A-58D937E2E011}">
      <text>
        <r>
          <rPr>
            <sz val="9"/>
            <color indexed="81"/>
            <rFont val="ＭＳ Ｐゴシック"/>
            <family val="3"/>
            <charset val="128"/>
          </rPr>
          <t>H20.4.14 追加</t>
        </r>
      </text>
    </comment>
    <comment ref="H1419" authorId="1" shapeId="0" xr:uid="{9EAEB7D9-BD33-483D-BA7F-893DAA0C56D0}">
      <text>
        <r>
          <rPr>
            <sz val="9"/>
            <color indexed="81"/>
            <rFont val="ＭＳ Ｐゴシック"/>
            <family val="3"/>
            <charset val="128"/>
          </rPr>
          <t>これを入れると影響が過大になるとの経産省の考え方に沿って兵庫県は推計していない。
（７年表以降推計していない。）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E108" authorId="0" shapeId="0" xr:uid="{C772A369-B572-40F7-83E9-F08A8234D4B5}">
      <text>
        <r>
          <rPr>
            <b/>
            <sz val="9"/>
            <color indexed="81"/>
            <rFont val="MS P ゴシック"/>
            <family val="3"/>
            <charset val="128"/>
          </rPr>
          <t>個人業主総数0</t>
        </r>
      </text>
    </comment>
    <comment ref="AF108" authorId="0" shapeId="0" xr:uid="{2711657A-513C-45B7-AC70-A9D414F95113}">
      <text>
        <r>
          <rPr>
            <b/>
            <sz val="9"/>
            <color indexed="81"/>
            <rFont val="MS P ゴシック"/>
            <family val="3"/>
            <charset val="128"/>
          </rPr>
          <t>家族従業者総数0</t>
        </r>
      </text>
    </comment>
    <comment ref="AE109" authorId="0" shapeId="0" xr:uid="{8F17D0A8-8326-4C9E-91C4-B4D9E6243201}">
      <text>
        <r>
          <rPr>
            <b/>
            <sz val="9"/>
            <color indexed="81"/>
            <rFont val="MS P ゴシック"/>
            <family val="3"/>
            <charset val="128"/>
          </rPr>
          <t>個人業主総数0</t>
        </r>
      </text>
    </comment>
    <comment ref="AF109" authorId="0" shapeId="0" xr:uid="{1B3BA4FC-59D6-40A0-AF33-FB7F349E9BC7}">
      <text>
        <r>
          <rPr>
            <b/>
            <sz val="9"/>
            <color indexed="81"/>
            <rFont val="MS P ゴシック"/>
            <family val="3"/>
            <charset val="128"/>
          </rPr>
          <t>家族従業者総数0</t>
        </r>
      </text>
    </comment>
    <comment ref="AF131" authorId="0" shapeId="0" xr:uid="{C13362F8-F4FF-4E52-AE48-921317277BAD}">
      <text>
        <r>
          <rPr>
            <b/>
            <sz val="9"/>
            <color indexed="81"/>
            <rFont val="MS P ゴシック"/>
            <family val="3"/>
            <charset val="128"/>
          </rPr>
          <t>家族従業者総数0</t>
        </r>
      </text>
    </comment>
    <comment ref="AF132" authorId="0" shapeId="0" xr:uid="{E7E10708-EC37-4929-9E34-B72BB6D662A4}">
      <text>
        <r>
          <rPr>
            <b/>
            <sz val="9"/>
            <color indexed="81"/>
            <rFont val="MS P ゴシック"/>
            <family val="3"/>
            <charset val="128"/>
          </rPr>
          <t>家族従業者総数0</t>
        </r>
      </text>
    </comment>
    <comment ref="AF150" authorId="0" shapeId="0" xr:uid="{E43130AA-C17E-409D-82C1-00FBD4E1B32C}">
      <text>
        <r>
          <rPr>
            <b/>
            <sz val="9"/>
            <color indexed="81"/>
            <rFont val="MS P ゴシック"/>
            <family val="3"/>
            <charset val="128"/>
          </rPr>
          <t>家族従業者総数0</t>
        </r>
      </text>
    </comment>
    <comment ref="AF151" authorId="0" shapeId="0" xr:uid="{B0FE8CB3-A7DD-4D56-8893-760A899642CE}">
      <text>
        <r>
          <rPr>
            <b/>
            <sz val="9"/>
            <color indexed="81"/>
            <rFont val="MS P ゴシック"/>
            <family val="3"/>
            <charset val="128"/>
          </rPr>
          <t>家族従業者総数0</t>
        </r>
      </text>
    </comment>
    <comment ref="AF152" authorId="0" shapeId="0" xr:uid="{A597F550-F721-4696-8AD9-DE28FC8E5741}">
      <text>
        <r>
          <rPr>
            <b/>
            <sz val="9"/>
            <color indexed="81"/>
            <rFont val="MS P ゴシック"/>
            <family val="3"/>
            <charset val="128"/>
          </rPr>
          <t>家族従業者総数0</t>
        </r>
      </text>
    </comment>
    <comment ref="AF153" authorId="0" shapeId="0" xr:uid="{D07498AD-995A-4E24-ABF3-DE9DDE14A863}">
      <text>
        <r>
          <rPr>
            <b/>
            <sz val="9"/>
            <color indexed="81"/>
            <rFont val="MS P ゴシック"/>
            <family val="3"/>
            <charset val="128"/>
          </rPr>
          <t>家族従業者総数0</t>
        </r>
      </text>
    </comment>
    <comment ref="AE241" authorId="0" shapeId="0" xr:uid="{C270B537-BF42-4730-A360-11A60DF8FDD0}">
      <text>
        <r>
          <rPr>
            <b/>
            <sz val="9"/>
            <color indexed="81"/>
            <rFont val="MS P ゴシック"/>
            <family val="3"/>
            <charset val="128"/>
          </rPr>
          <t>従業者数が0</t>
        </r>
      </text>
    </comment>
    <comment ref="AF241" authorId="0" shapeId="0" xr:uid="{C54C4B2D-A9C5-49F1-9051-6048163181E4}">
      <text>
        <r>
          <rPr>
            <b/>
            <sz val="9"/>
            <color indexed="81"/>
            <rFont val="MS P ゴシック"/>
            <family val="3"/>
            <charset val="128"/>
          </rPr>
          <t>従業者数が0</t>
        </r>
      </text>
    </comment>
    <comment ref="AH241" authorId="0" shapeId="0" xr:uid="{41B89C85-EFCF-4D7D-AFB5-819A3D11D8D4}">
      <text>
        <r>
          <rPr>
            <b/>
            <sz val="9"/>
            <color indexed="81"/>
            <rFont val="MS P ゴシック"/>
            <family val="3"/>
            <charset val="128"/>
          </rPr>
          <t>従業者数が0</t>
        </r>
      </text>
    </comment>
    <comment ref="AK241" authorId="0" shapeId="0" xr:uid="{DD62A65F-00E0-4033-887A-AE8B3DAA9AA0}">
      <text>
        <r>
          <rPr>
            <b/>
            <sz val="9"/>
            <color indexed="81"/>
            <rFont val="MS P ゴシック"/>
            <family val="3"/>
            <charset val="128"/>
          </rPr>
          <t>従業者数が0</t>
        </r>
      </text>
    </comment>
    <comment ref="AL241" authorId="0" shapeId="0" xr:uid="{3B391A5F-9B71-43B2-A411-BA4B2029486D}">
      <text>
        <r>
          <rPr>
            <b/>
            <sz val="9"/>
            <color indexed="81"/>
            <rFont val="MS P ゴシック"/>
            <family val="3"/>
            <charset val="128"/>
          </rPr>
          <t>従業者数が0</t>
        </r>
      </text>
    </comment>
    <comment ref="AM241" authorId="0" shapeId="0" xr:uid="{A3D84FB2-BF9F-4180-8CA2-1904F28E3E7A}">
      <text>
        <r>
          <rPr>
            <b/>
            <sz val="9"/>
            <color indexed="81"/>
            <rFont val="MS P ゴシック"/>
            <family val="3"/>
            <charset val="128"/>
          </rPr>
          <t>従業者数が0</t>
        </r>
      </text>
    </comment>
    <comment ref="AE242" authorId="0" shapeId="0" xr:uid="{96D21A54-C154-454A-95AC-10BF8833D2CC}">
      <text>
        <r>
          <rPr>
            <b/>
            <sz val="9"/>
            <color indexed="81"/>
            <rFont val="MS P ゴシック"/>
            <family val="3"/>
            <charset val="128"/>
          </rPr>
          <t>従業者数が0</t>
        </r>
      </text>
    </comment>
    <comment ref="AF242" authorId="0" shapeId="0" xr:uid="{8A82FA62-019E-4AC7-A3EF-291B9A9482D0}">
      <text>
        <r>
          <rPr>
            <b/>
            <sz val="9"/>
            <color indexed="81"/>
            <rFont val="MS P ゴシック"/>
            <family val="3"/>
            <charset val="128"/>
          </rPr>
          <t>従業者数が0</t>
        </r>
      </text>
    </comment>
    <comment ref="AH242" authorId="0" shapeId="0" xr:uid="{9931DFAA-770E-4DCA-9B72-969CEA2E77F1}">
      <text>
        <r>
          <rPr>
            <b/>
            <sz val="9"/>
            <color indexed="81"/>
            <rFont val="MS P ゴシック"/>
            <family val="3"/>
            <charset val="128"/>
          </rPr>
          <t>従業者数が0</t>
        </r>
      </text>
    </comment>
    <comment ref="AK242" authorId="0" shapeId="0" xr:uid="{9525A22D-2264-4982-85D0-AA3E67CFC86C}">
      <text>
        <r>
          <rPr>
            <b/>
            <sz val="9"/>
            <color indexed="81"/>
            <rFont val="MS P ゴシック"/>
            <family val="3"/>
            <charset val="128"/>
          </rPr>
          <t>従業者数が0</t>
        </r>
      </text>
    </comment>
    <comment ref="AL242" authorId="0" shapeId="0" xr:uid="{A7944443-1DB2-4FA4-B744-7D86ADD89891}">
      <text>
        <r>
          <rPr>
            <b/>
            <sz val="9"/>
            <color indexed="81"/>
            <rFont val="MS P ゴシック"/>
            <family val="3"/>
            <charset val="128"/>
          </rPr>
          <t>従業者数が0</t>
        </r>
      </text>
    </comment>
    <comment ref="AM242" authorId="0" shapeId="0" xr:uid="{5866A3B9-0B69-40CD-9462-3B0E411F588A}">
      <text>
        <r>
          <rPr>
            <b/>
            <sz val="9"/>
            <color indexed="81"/>
            <rFont val="MS P ゴシック"/>
            <family val="3"/>
            <charset val="128"/>
          </rPr>
          <t>従業者数が0</t>
        </r>
      </text>
    </comment>
    <comment ref="AE243" authorId="0" shapeId="0" xr:uid="{68253A94-2927-4487-9A34-478A4D60DB78}">
      <text>
        <r>
          <rPr>
            <b/>
            <sz val="9"/>
            <color indexed="81"/>
            <rFont val="MS P ゴシック"/>
            <family val="3"/>
            <charset val="128"/>
          </rPr>
          <t>個人業主総数が0</t>
        </r>
      </text>
    </comment>
    <comment ref="AF243" authorId="0" shapeId="0" xr:uid="{81A39745-EB52-4759-A617-1E82F0BD0004}">
      <text>
        <r>
          <rPr>
            <b/>
            <sz val="9"/>
            <color indexed="81"/>
            <rFont val="MS P ゴシック"/>
            <family val="3"/>
            <charset val="128"/>
          </rPr>
          <t>家族従業者数総数が0</t>
        </r>
      </text>
    </comment>
    <comment ref="AE244" authorId="0" shapeId="0" xr:uid="{7E3DC402-7B7E-41F8-ABBF-F52ECDB0F8C7}">
      <text>
        <r>
          <rPr>
            <b/>
            <sz val="9"/>
            <color indexed="81"/>
            <rFont val="MS P ゴシック"/>
            <family val="3"/>
            <charset val="128"/>
          </rPr>
          <t>個人業主総数が0</t>
        </r>
      </text>
    </comment>
    <comment ref="AF244" authorId="0" shapeId="0" xr:uid="{BEE0DC18-CA7D-4681-BB5A-4B8A96FDC3FF}">
      <text>
        <r>
          <rPr>
            <b/>
            <sz val="9"/>
            <color indexed="81"/>
            <rFont val="MS P ゴシック"/>
            <family val="3"/>
            <charset val="128"/>
          </rPr>
          <t>家族従業者数総数が0</t>
        </r>
      </text>
    </comment>
    <comment ref="AE279" authorId="0" shapeId="0" xr:uid="{AF97D1D0-062F-417B-9159-EF4BE3F445C4}">
      <text>
        <r>
          <rPr>
            <b/>
            <sz val="9"/>
            <color indexed="81"/>
            <rFont val="MS P ゴシック"/>
            <family val="3"/>
            <charset val="128"/>
          </rPr>
          <t>個人業主総数が0</t>
        </r>
      </text>
    </comment>
    <comment ref="AF279" authorId="0" shapeId="0" xr:uid="{1452D20D-1BB3-4FE4-B6C5-D77EED30F3F8}">
      <text>
        <r>
          <rPr>
            <b/>
            <sz val="9"/>
            <color indexed="81"/>
            <rFont val="MS P ゴシック"/>
            <family val="3"/>
            <charset val="128"/>
          </rPr>
          <t>家族従業者数総数が0</t>
        </r>
      </text>
    </comment>
    <comment ref="AE280" authorId="0" shapeId="0" xr:uid="{8FB3BA50-3B3A-48DA-9927-CF517CFB70CA}">
      <text>
        <r>
          <rPr>
            <b/>
            <sz val="9"/>
            <color indexed="81"/>
            <rFont val="MS P ゴシック"/>
            <family val="3"/>
            <charset val="128"/>
          </rPr>
          <t>個人業主総数が0</t>
        </r>
      </text>
    </comment>
    <comment ref="AF280" authorId="0" shapeId="0" xr:uid="{D500A48B-BF1F-4EEA-B1CF-4631FAE5E0E4}">
      <text>
        <r>
          <rPr>
            <b/>
            <sz val="9"/>
            <color indexed="81"/>
            <rFont val="MS P ゴシック"/>
            <family val="3"/>
            <charset val="128"/>
          </rPr>
          <t>家族従業者数総数が0</t>
        </r>
      </text>
    </comment>
    <comment ref="AE281" authorId="0" shapeId="0" xr:uid="{F0688BD8-092D-4B56-9052-7E1C6C95D9E2}">
      <text>
        <r>
          <rPr>
            <b/>
            <sz val="9"/>
            <color indexed="81"/>
            <rFont val="MS P ゴシック"/>
            <family val="3"/>
            <charset val="128"/>
          </rPr>
          <t>個人業主総数が0</t>
        </r>
      </text>
    </comment>
    <comment ref="AF281" authorId="0" shapeId="0" xr:uid="{61E2CBBF-3E66-45BE-B29A-0979DE766B17}">
      <text>
        <r>
          <rPr>
            <b/>
            <sz val="9"/>
            <color indexed="81"/>
            <rFont val="MS P ゴシック"/>
            <family val="3"/>
            <charset val="128"/>
          </rPr>
          <t>家族従業者数総数が0</t>
        </r>
      </text>
    </comment>
    <comment ref="AE282" authorId="0" shapeId="0" xr:uid="{610F9AE0-C4EA-4FD6-8595-94DFE3A0FE50}">
      <text>
        <r>
          <rPr>
            <b/>
            <sz val="9"/>
            <color indexed="81"/>
            <rFont val="MS P ゴシック"/>
            <family val="3"/>
            <charset val="128"/>
          </rPr>
          <t>個人業主総数が0</t>
        </r>
      </text>
    </comment>
    <comment ref="AF282" authorId="0" shapeId="0" xr:uid="{C2F9EAFB-7D51-4AF9-9C80-054687F1AA97}">
      <text>
        <r>
          <rPr>
            <b/>
            <sz val="9"/>
            <color indexed="81"/>
            <rFont val="MS P ゴシック"/>
            <family val="3"/>
            <charset val="128"/>
          </rPr>
          <t>家族従業者数総数が0</t>
        </r>
      </text>
    </comment>
    <comment ref="AE283" authorId="0" shapeId="0" xr:uid="{9B7B52D3-C1D3-456A-9BA0-9D59062F1A5D}">
      <text>
        <r>
          <rPr>
            <b/>
            <sz val="9"/>
            <color indexed="81"/>
            <rFont val="MS P ゴシック"/>
            <family val="3"/>
            <charset val="128"/>
          </rPr>
          <t>個人業主総数が0</t>
        </r>
      </text>
    </comment>
    <comment ref="AF283" authorId="0" shapeId="0" xr:uid="{09DD16FF-4E2C-4F26-93F8-47BA5C41D86A}">
      <text>
        <r>
          <rPr>
            <b/>
            <sz val="9"/>
            <color indexed="81"/>
            <rFont val="MS P ゴシック"/>
            <family val="3"/>
            <charset val="128"/>
          </rPr>
          <t>家族従業者数総数が0</t>
        </r>
      </text>
    </comment>
    <comment ref="AE284" authorId="0" shapeId="0" xr:uid="{5567F6DC-D12A-40DE-BBA3-D1507BD77621}">
      <text>
        <r>
          <rPr>
            <b/>
            <sz val="9"/>
            <color indexed="81"/>
            <rFont val="MS P ゴシック"/>
            <family val="3"/>
            <charset val="128"/>
          </rPr>
          <t>個人業主総数が0</t>
        </r>
      </text>
    </comment>
    <comment ref="AF284" authorId="0" shapeId="0" xr:uid="{C16B85A4-FF1C-460F-B838-4E5E3414E735}">
      <text>
        <r>
          <rPr>
            <b/>
            <sz val="9"/>
            <color indexed="81"/>
            <rFont val="MS P ゴシック"/>
            <family val="3"/>
            <charset val="128"/>
          </rPr>
          <t>家族従業者数総数が0</t>
        </r>
      </text>
    </comment>
    <comment ref="AE285" authorId="0" shapeId="0" xr:uid="{84F22498-8DD7-4F9B-8005-C43636E3F1FC}">
      <text>
        <r>
          <rPr>
            <b/>
            <sz val="9"/>
            <color indexed="81"/>
            <rFont val="MS P ゴシック"/>
            <family val="3"/>
            <charset val="128"/>
          </rPr>
          <t>個人業主総数が0</t>
        </r>
      </text>
    </comment>
    <comment ref="AF285" authorId="0" shapeId="0" xr:uid="{1BAA0B9F-25E3-4718-B16C-2E911F27126B}">
      <text>
        <r>
          <rPr>
            <b/>
            <sz val="9"/>
            <color indexed="81"/>
            <rFont val="MS P ゴシック"/>
            <family val="3"/>
            <charset val="128"/>
          </rPr>
          <t>家族従業者数総数が0</t>
        </r>
      </text>
    </comment>
    <comment ref="AE286" authorId="0" shapeId="0" xr:uid="{B384C95A-AB6A-4B74-88A3-917D97F2CDC7}">
      <text>
        <r>
          <rPr>
            <b/>
            <sz val="9"/>
            <color indexed="81"/>
            <rFont val="MS P ゴシック"/>
            <family val="3"/>
            <charset val="128"/>
          </rPr>
          <t>個人業主総数が0</t>
        </r>
      </text>
    </comment>
    <comment ref="AF286" authorId="0" shapeId="0" xr:uid="{41142978-0A14-4A55-9836-8E49C584D4B1}">
      <text>
        <r>
          <rPr>
            <b/>
            <sz val="9"/>
            <color indexed="81"/>
            <rFont val="MS P ゴシック"/>
            <family val="3"/>
            <charset val="128"/>
          </rPr>
          <t>家族従業者数総数が0</t>
        </r>
      </text>
    </comment>
    <comment ref="AE298" authorId="0" shapeId="0" xr:uid="{4827C938-EA79-4284-BFD5-78062925B2E5}">
      <text>
        <r>
          <rPr>
            <b/>
            <sz val="9"/>
            <color indexed="81"/>
            <rFont val="MS P ゴシック"/>
            <family val="3"/>
            <charset val="128"/>
          </rPr>
          <t>個人業主総数が0</t>
        </r>
      </text>
    </comment>
    <comment ref="AF298" authorId="0" shapeId="0" xr:uid="{077374D3-7D85-4729-A8F6-EAEFE2F71F72}">
      <text>
        <r>
          <rPr>
            <b/>
            <sz val="9"/>
            <color indexed="81"/>
            <rFont val="MS P ゴシック"/>
            <family val="3"/>
            <charset val="128"/>
          </rPr>
          <t>家族従業者数総数が0</t>
        </r>
      </text>
    </comment>
    <comment ref="AE299" authorId="0" shapeId="0" xr:uid="{AF992030-83CA-47D9-A68F-D183B229CC17}">
      <text>
        <r>
          <rPr>
            <b/>
            <sz val="9"/>
            <color indexed="81"/>
            <rFont val="MS P ゴシック"/>
            <family val="3"/>
            <charset val="128"/>
          </rPr>
          <t>個人業主総数が0</t>
        </r>
      </text>
    </comment>
    <comment ref="AF299" authorId="0" shapeId="0" xr:uid="{C56031D2-50B4-44B3-9CE5-03630EB739C1}">
      <text>
        <r>
          <rPr>
            <b/>
            <sz val="9"/>
            <color indexed="81"/>
            <rFont val="MS P ゴシック"/>
            <family val="3"/>
            <charset val="128"/>
          </rPr>
          <t>家族従業者数総数が0</t>
        </r>
      </text>
    </comment>
    <comment ref="AE322" authorId="0" shapeId="0" xr:uid="{48C55936-0226-4C26-B7B5-9C9685D7B3F5}">
      <text>
        <r>
          <rPr>
            <b/>
            <sz val="9"/>
            <color indexed="81"/>
            <rFont val="MS P ゴシック"/>
            <family val="3"/>
            <charset val="128"/>
          </rPr>
          <t>個人業主総数が0</t>
        </r>
      </text>
    </comment>
    <comment ref="AF322" authorId="0" shapeId="0" xr:uid="{87C94C5C-BACB-487B-90F2-FDE2C1951A4B}">
      <text>
        <r>
          <rPr>
            <b/>
            <sz val="9"/>
            <color indexed="81"/>
            <rFont val="MS P ゴシック"/>
            <family val="3"/>
            <charset val="128"/>
          </rPr>
          <t>家族従業者数総数が0</t>
        </r>
      </text>
    </comment>
    <comment ref="AE323" authorId="0" shapeId="0" xr:uid="{64631D37-671C-4D3D-B0A7-72FDABD77E2F}">
      <text>
        <r>
          <rPr>
            <b/>
            <sz val="9"/>
            <color indexed="81"/>
            <rFont val="MS P ゴシック"/>
            <family val="3"/>
            <charset val="128"/>
          </rPr>
          <t>個人業主総数が0</t>
        </r>
      </text>
    </comment>
    <comment ref="AF323" authorId="0" shapeId="0" xr:uid="{A419B672-FA92-4C40-BB02-443F975F4D35}">
      <text>
        <r>
          <rPr>
            <b/>
            <sz val="9"/>
            <color indexed="81"/>
            <rFont val="MS P ゴシック"/>
            <family val="3"/>
            <charset val="128"/>
          </rPr>
          <t>家族従業者数総数が0</t>
        </r>
      </text>
    </comment>
    <comment ref="AE324" authorId="0" shapeId="0" xr:uid="{FC100626-8519-4F16-8E4A-37B3CDD5E086}">
      <text>
        <r>
          <rPr>
            <b/>
            <sz val="9"/>
            <color indexed="81"/>
            <rFont val="MS P ゴシック"/>
            <family val="3"/>
            <charset val="128"/>
          </rPr>
          <t>個人業主総数が0</t>
        </r>
      </text>
    </comment>
    <comment ref="AF324" authorId="0" shapeId="0" xr:uid="{27E0BB36-81BE-44B0-A958-80BCBD7C993F}">
      <text>
        <r>
          <rPr>
            <b/>
            <sz val="9"/>
            <color indexed="81"/>
            <rFont val="MS P ゴシック"/>
            <family val="3"/>
            <charset val="128"/>
          </rPr>
          <t>家族従業者数総数が0</t>
        </r>
      </text>
    </comment>
    <comment ref="AE330" authorId="0" shapeId="0" xr:uid="{E2A1F213-713F-404A-B8AD-E5DEDBB4F409}">
      <text>
        <r>
          <rPr>
            <b/>
            <sz val="9"/>
            <color indexed="81"/>
            <rFont val="MS P ゴシック"/>
            <family val="3"/>
            <charset val="128"/>
          </rPr>
          <t>個人業主総数が0</t>
        </r>
      </text>
    </comment>
    <comment ref="AF330" authorId="0" shapeId="0" xr:uid="{0367DE92-B5A4-4B9A-9FC7-4462D41244CB}">
      <text>
        <r>
          <rPr>
            <b/>
            <sz val="9"/>
            <color indexed="81"/>
            <rFont val="MS P ゴシック"/>
            <family val="3"/>
            <charset val="128"/>
          </rPr>
          <t>家族従業者数総数が0</t>
        </r>
      </text>
    </comment>
    <comment ref="AE331" authorId="0" shapeId="0" xr:uid="{68C1E70C-FC2C-447A-81B0-B0916209356A}">
      <text>
        <r>
          <rPr>
            <b/>
            <sz val="9"/>
            <color indexed="81"/>
            <rFont val="MS P ゴシック"/>
            <family val="3"/>
            <charset val="128"/>
          </rPr>
          <t>個人業主総数が0</t>
        </r>
      </text>
    </comment>
    <comment ref="AF331" authorId="0" shapeId="0" xr:uid="{98429B36-25F4-4836-A017-531FE3A294F0}">
      <text>
        <r>
          <rPr>
            <b/>
            <sz val="9"/>
            <color indexed="81"/>
            <rFont val="MS P ゴシック"/>
            <family val="3"/>
            <charset val="128"/>
          </rPr>
          <t>家族従業者数総数が0</t>
        </r>
      </text>
    </comment>
    <comment ref="AF340" authorId="0" shapeId="0" xr:uid="{F98F51F8-4C9A-4581-A83E-90AAB42BE2F4}">
      <text>
        <r>
          <rPr>
            <b/>
            <sz val="9"/>
            <color indexed="81"/>
            <rFont val="MS P ゴシック"/>
            <family val="3"/>
            <charset val="128"/>
          </rPr>
          <t>家族従業者数総数が0</t>
        </r>
      </text>
    </comment>
    <comment ref="AF341" authorId="0" shapeId="0" xr:uid="{2005ABEB-CE3C-4D4E-8FB4-1A82B6AF095B}">
      <text>
        <r>
          <rPr>
            <b/>
            <sz val="9"/>
            <color indexed="81"/>
            <rFont val="MS P ゴシック"/>
            <family val="3"/>
            <charset val="128"/>
          </rPr>
          <t>家族従業者数総数が0</t>
        </r>
      </text>
    </comment>
    <comment ref="AF342" authorId="0" shapeId="0" xr:uid="{C7DF1480-3111-4BFF-BB5F-69A970D895C7}">
      <text>
        <r>
          <rPr>
            <b/>
            <sz val="9"/>
            <color indexed="81"/>
            <rFont val="MS P ゴシック"/>
            <family val="3"/>
            <charset val="128"/>
          </rPr>
          <t>家族従業者数総数が0</t>
        </r>
      </text>
    </comment>
    <comment ref="AF343" authorId="0" shapeId="0" xr:uid="{05115E2B-6D30-43CB-93CD-03793AB327BF}">
      <text>
        <r>
          <rPr>
            <b/>
            <sz val="9"/>
            <color indexed="81"/>
            <rFont val="MS P ゴシック"/>
            <family val="3"/>
            <charset val="128"/>
          </rPr>
          <t>家族従業者数総数が0</t>
        </r>
      </text>
    </comment>
    <comment ref="AF344" authorId="0" shapeId="0" xr:uid="{05306996-5C63-4078-A869-96BA7E5D7C79}">
      <text>
        <r>
          <rPr>
            <b/>
            <sz val="9"/>
            <color indexed="81"/>
            <rFont val="MS P ゴシック"/>
            <family val="3"/>
            <charset val="128"/>
          </rPr>
          <t>家族従業者数総数が0</t>
        </r>
      </text>
    </comment>
    <comment ref="AF345" authorId="0" shapeId="0" xr:uid="{9427D660-D293-49BA-A60D-D44A7BD60D09}">
      <text>
        <r>
          <rPr>
            <b/>
            <sz val="9"/>
            <color indexed="81"/>
            <rFont val="MS P ゴシック"/>
            <family val="3"/>
            <charset val="128"/>
          </rPr>
          <t>家族従業者数総数が0</t>
        </r>
      </text>
    </comment>
    <comment ref="AF346" authorId="0" shapeId="0" xr:uid="{B3CE3478-531B-4153-8A4E-353DCD6A281C}">
      <text>
        <r>
          <rPr>
            <b/>
            <sz val="9"/>
            <color indexed="81"/>
            <rFont val="MS P ゴシック"/>
            <family val="3"/>
            <charset val="128"/>
          </rPr>
          <t>家族従業者数総数が0</t>
        </r>
      </text>
    </comment>
    <comment ref="AE359" authorId="0" shapeId="0" xr:uid="{BD9DD731-78ED-4496-AC68-6E8A39069EBD}">
      <text>
        <r>
          <rPr>
            <b/>
            <sz val="9"/>
            <color indexed="81"/>
            <rFont val="MS P ゴシック"/>
            <family val="3"/>
            <charset val="128"/>
          </rPr>
          <t>個人業主総数が0</t>
        </r>
      </text>
    </comment>
    <comment ref="AF359" authorId="0" shapeId="0" xr:uid="{F162F056-249F-405D-B6DA-6D6A377EFB7A}">
      <text>
        <r>
          <rPr>
            <b/>
            <sz val="9"/>
            <color indexed="81"/>
            <rFont val="MS P ゴシック"/>
            <family val="3"/>
            <charset val="128"/>
          </rPr>
          <t>家族従業者数総数が0</t>
        </r>
      </text>
    </comment>
    <comment ref="AE360" authorId="0" shapeId="0" xr:uid="{4588FADC-B624-4930-B766-E08A027A1CEE}">
      <text>
        <r>
          <rPr>
            <b/>
            <sz val="9"/>
            <color indexed="81"/>
            <rFont val="MS P ゴシック"/>
            <family val="3"/>
            <charset val="128"/>
          </rPr>
          <t>個人業主総数が0</t>
        </r>
      </text>
    </comment>
    <comment ref="AF360" authorId="0" shapeId="0" xr:uid="{7AD91C79-CE23-45B4-82FE-3B1555DF04B8}">
      <text>
        <r>
          <rPr>
            <b/>
            <sz val="9"/>
            <color indexed="81"/>
            <rFont val="MS P ゴシック"/>
            <family val="3"/>
            <charset val="128"/>
          </rPr>
          <t>家族従業者数総数が0</t>
        </r>
      </text>
    </comment>
  </commentList>
</comments>
</file>

<file path=xl/sharedStrings.xml><?xml version="1.0" encoding="utf-8"?>
<sst xmlns="http://schemas.openxmlformats.org/spreadsheetml/2006/main" count="40886" uniqueCount="12105">
  <si>
    <t>県内生産額（全国基本分類：508部門、名目県内産出額）時系列</t>
    <rPh sb="0" eb="2">
      <t>ケンナイ</t>
    </rPh>
    <rPh sb="2" eb="5">
      <t>セイサンガク</t>
    </rPh>
    <rPh sb="6" eb="8">
      <t>ゼンコク</t>
    </rPh>
    <rPh sb="8" eb="10">
      <t>キホン</t>
    </rPh>
    <rPh sb="10" eb="12">
      <t>ブンルイ</t>
    </rPh>
    <rPh sb="16" eb="18">
      <t>ブモン</t>
    </rPh>
    <rPh sb="19" eb="21">
      <t>メイモク</t>
    </rPh>
    <rPh sb="21" eb="23">
      <t>ケンナイ</t>
    </rPh>
    <rPh sb="23" eb="26">
      <t>サンシュツガク</t>
    </rPh>
    <rPh sb="27" eb="30">
      <t>ジケイレツ</t>
    </rPh>
    <phoneticPr fontId="5"/>
  </si>
  <si>
    <t>(単位：百万円）</t>
    <rPh sb="1" eb="3">
      <t>タンイ</t>
    </rPh>
    <rPh sb="4" eb="5">
      <t>ヒャク</t>
    </rPh>
    <rPh sb="5" eb="7">
      <t>マンエン</t>
    </rPh>
    <phoneticPr fontId="5"/>
  </si>
  <si>
    <t>平成7年</t>
    <rPh sb="0" eb="2">
      <t>ヘイセイ</t>
    </rPh>
    <rPh sb="3" eb="4">
      <t>ネン</t>
    </rPh>
    <phoneticPr fontId="5"/>
  </si>
  <si>
    <t>平成12年</t>
    <rPh sb="0" eb="2">
      <t>ヘイセイ</t>
    </rPh>
    <rPh sb="4" eb="5">
      <t>ネン</t>
    </rPh>
    <phoneticPr fontId="5"/>
  </si>
  <si>
    <t>平成17年</t>
    <rPh sb="0" eb="2">
      <t>ヘイセイ</t>
    </rPh>
    <rPh sb="4" eb="5">
      <t>ネン</t>
    </rPh>
    <phoneticPr fontId="5"/>
  </si>
  <si>
    <t>平成23年</t>
    <rPh sb="0" eb="2">
      <t>ヘイセイ</t>
    </rPh>
    <rPh sb="4" eb="5">
      <t>ネン</t>
    </rPh>
    <phoneticPr fontId="5"/>
  </si>
  <si>
    <t>平成27年</t>
    <rPh sb="0" eb="2">
      <t>ヘイセイ</t>
    </rPh>
    <rPh sb="4" eb="5">
      <t>ネン</t>
    </rPh>
    <phoneticPr fontId="5"/>
  </si>
  <si>
    <t>統合大分類（39部門）</t>
    <rPh sb="0" eb="2">
      <t>トウゴウ</t>
    </rPh>
    <rPh sb="2" eb="3">
      <t>ダイ</t>
    </rPh>
    <rPh sb="3" eb="5">
      <t>ブンルイ</t>
    </rPh>
    <rPh sb="8" eb="10">
      <t>ブモン</t>
    </rPh>
    <phoneticPr fontId="5"/>
  </si>
  <si>
    <t>行部門</t>
    <rPh sb="0" eb="1">
      <t>ギョウ</t>
    </rPh>
    <rPh sb="1" eb="3">
      <t>ブモン</t>
    </rPh>
    <phoneticPr fontId="5"/>
  </si>
  <si>
    <t>部門名</t>
    <rPh sb="0" eb="3">
      <t>ブモンメイ</t>
    </rPh>
    <phoneticPr fontId="5"/>
  </si>
  <si>
    <t>1995年</t>
    <rPh sb="4" eb="5">
      <t>ネン</t>
    </rPh>
    <phoneticPr fontId="5"/>
  </si>
  <si>
    <t>2000年</t>
    <rPh sb="4" eb="5">
      <t>ネン</t>
    </rPh>
    <phoneticPr fontId="5"/>
  </si>
  <si>
    <t>2005年</t>
    <rPh sb="4" eb="5">
      <t>ネン</t>
    </rPh>
    <phoneticPr fontId="5"/>
  </si>
  <si>
    <t>2011年</t>
    <rPh sb="4" eb="5">
      <t>ネン</t>
    </rPh>
    <phoneticPr fontId="5"/>
  </si>
  <si>
    <t>2015年</t>
    <rPh sb="4" eb="5">
      <t>ネン</t>
    </rPh>
    <phoneticPr fontId="5"/>
  </si>
  <si>
    <t>1995年=100</t>
    <rPh sb="4" eb="5">
      <t>ネン</t>
    </rPh>
    <phoneticPr fontId="5"/>
  </si>
  <si>
    <t>2015-1995</t>
    <phoneticPr fontId="5"/>
  </si>
  <si>
    <t>0111</t>
    <phoneticPr fontId="5"/>
  </si>
  <si>
    <t>011</t>
    <phoneticPr fontId="5"/>
  </si>
  <si>
    <t>米</t>
    <rPh sb="0" eb="1">
      <t>コメ</t>
    </rPh>
    <phoneticPr fontId="5"/>
  </si>
  <si>
    <t>農業</t>
    <rPh sb="0" eb="2">
      <t>ノウギョウ</t>
    </rPh>
    <phoneticPr fontId="5"/>
  </si>
  <si>
    <t>0111</t>
  </si>
  <si>
    <t>012</t>
  </si>
  <si>
    <t>稲わら</t>
  </si>
  <si>
    <t>021</t>
  </si>
  <si>
    <t>小麦</t>
    <phoneticPr fontId="5"/>
  </si>
  <si>
    <t>022</t>
    <phoneticPr fontId="5"/>
  </si>
  <si>
    <t>大麦</t>
    <phoneticPr fontId="5"/>
  </si>
  <si>
    <t>0112</t>
  </si>
  <si>
    <t>011</t>
  </si>
  <si>
    <t>かんしょ</t>
  </si>
  <si>
    <t>ばれいしょ</t>
  </si>
  <si>
    <t>大豆</t>
    <phoneticPr fontId="5"/>
  </si>
  <si>
    <t>029</t>
  </si>
  <si>
    <t>その他の豆類</t>
  </si>
  <si>
    <t>0113</t>
  </si>
  <si>
    <t>001</t>
  </si>
  <si>
    <t>野菜</t>
  </si>
  <si>
    <t>0114</t>
    <phoneticPr fontId="5"/>
  </si>
  <si>
    <t>果実</t>
  </si>
  <si>
    <t>0115</t>
  </si>
  <si>
    <t>砂糖原料作物</t>
  </si>
  <si>
    <t xml:space="preserve"> </t>
    <phoneticPr fontId="5"/>
  </si>
  <si>
    <t>コーヒー豆・カカオ豆（輸入）</t>
  </si>
  <si>
    <t>その他の飲料用作物</t>
  </si>
  <si>
    <t>091</t>
  </si>
  <si>
    <t>雑穀</t>
  </si>
  <si>
    <t>099</t>
    <phoneticPr fontId="5"/>
  </si>
  <si>
    <t>他に分類されない食用耕種作物</t>
    <rPh sb="0" eb="1">
      <t>タ</t>
    </rPh>
    <rPh sb="2" eb="4">
      <t>ブンルイ</t>
    </rPh>
    <rPh sb="8" eb="10">
      <t>ショクヨウ</t>
    </rPh>
    <rPh sb="10" eb="12">
      <t>コウシュ</t>
    </rPh>
    <rPh sb="12" eb="14">
      <t>サクモツ</t>
    </rPh>
    <phoneticPr fontId="5"/>
  </si>
  <si>
    <t>0116</t>
  </si>
  <si>
    <t>飼料作物</t>
  </si>
  <si>
    <t>種苗</t>
  </si>
  <si>
    <t>031</t>
  </si>
  <si>
    <t>花き・花木類</t>
  </si>
  <si>
    <t>葉たばこ</t>
  </si>
  <si>
    <t>092</t>
  </si>
  <si>
    <t>生ゴム（輸入）</t>
  </si>
  <si>
    <t>093</t>
  </si>
  <si>
    <t>綿花（輸入）</t>
  </si>
  <si>
    <t>099</t>
  </si>
  <si>
    <t>他に分類されない非食用耕種作物</t>
    <rPh sb="0" eb="1">
      <t>タ</t>
    </rPh>
    <rPh sb="2" eb="4">
      <t>ブンルイ</t>
    </rPh>
    <rPh sb="8" eb="9">
      <t>ヒ</t>
    </rPh>
    <rPh sb="9" eb="11">
      <t>ショクヨウ</t>
    </rPh>
    <rPh sb="11" eb="13">
      <t>コウシュ</t>
    </rPh>
    <rPh sb="13" eb="15">
      <t>サクモツ</t>
    </rPh>
    <phoneticPr fontId="5"/>
  </si>
  <si>
    <t>0121</t>
  </si>
  <si>
    <t>生乳　</t>
  </si>
  <si>
    <t>019</t>
  </si>
  <si>
    <t>その他の酪農生産物</t>
  </si>
  <si>
    <t>021</t>
    <phoneticPr fontId="5"/>
  </si>
  <si>
    <t>肉用牛</t>
  </si>
  <si>
    <t>031</t>
    <phoneticPr fontId="5"/>
  </si>
  <si>
    <t>豚</t>
  </si>
  <si>
    <t>041</t>
    <phoneticPr fontId="5"/>
  </si>
  <si>
    <t>鶏卵</t>
  </si>
  <si>
    <t>051</t>
    <phoneticPr fontId="5"/>
  </si>
  <si>
    <t>肉鶏</t>
  </si>
  <si>
    <t>その他の畜産</t>
  </si>
  <si>
    <t>0131</t>
  </si>
  <si>
    <t>獣医業</t>
  </si>
  <si>
    <t>農業サービス（獣医業を除く。）</t>
    <phoneticPr fontId="5"/>
  </si>
  <si>
    <t>0151</t>
    <phoneticPr fontId="5"/>
  </si>
  <si>
    <t>育林</t>
  </si>
  <si>
    <t>林業</t>
    <rPh sb="0" eb="2">
      <t>リンギョウ</t>
    </rPh>
    <phoneticPr fontId="5"/>
  </si>
  <si>
    <t>0152</t>
  </si>
  <si>
    <t>素材</t>
  </si>
  <si>
    <t>0153</t>
    <phoneticPr fontId="5"/>
  </si>
  <si>
    <t>特用林産物（狩猟業を含む。）</t>
    <phoneticPr fontId="5"/>
  </si>
  <si>
    <t>0171</t>
  </si>
  <si>
    <t>海面漁業</t>
    <rPh sb="0" eb="2">
      <t>カイメン</t>
    </rPh>
    <rPh sb="2" eb="4">
      <t>ギョギョウ</t>
    </rPh>
    <phoneticPr fontId="5"/>
  </si>
  <si>
    <t>漁業</t>
    <rPh sb="0" eb="2">
      <t>ギョギョウ</t>
    </rPh>
    <phoneticPr fontId="5"/>
  </si>
  <si>
    <t>0171</t>
    <phoneticPr fontId="5"/>
  </si>
  <si>
    <t>海面養殖業</t>
  </si>
  <si>
    <t>0172</t>
    <phoneticPr fontId="5"/>
  </si>
  <si>
    <t>内水面漁業・養殖業</t>
  </si>
  <si>
    <t>0611</t>
  </si>
  <si>
    <t>石炭</t>
    <rPh sb="0" eb="2">
      <t>セキタン</t>
    </rPh>
    <phoneticPr fontId="5"/>
  </si>
  <si>
    <t>鉱業</t>
    <rPh sb="0" eb="2">
      <t>コウギョウ</t>
    </rPh>
    <phoneticPr fontId="5"/>
  </si>
  <si>
    <t>012</t>
    <phoneticPr fontId="5"/>
  </si>
  <si>
    <t>原油</t>
  </si>
  <si>
    <t>013</t>
    <phoneticPr fontId="5"/>
  </si>
  <si>
    <t>天然ガス</t>
  </si>
  <si>
    <t>0631</t>
    <phoneticPr fontId="5"/>
  </si>
  <si>
    <t>砂利・採石</t>
    <phoneticPr fontId="5"/>
  </si>
  <si>
    <t>砕石</t>
    <rPh sb="0" eb="2">
      <t>サイセキ</t>
    </rPh>
    <phoneticPr fontId="5"/>
  </si>
  <si>
    <t>0629</t>
  </si>
  <si>
    <t>091</t>
    <phoneticPr fontId="5"/>
  </si>
  <si>
    <t>鉄鉱石</t>
  </si>
  <si>
    <t>092</t>
    <phoneticPr fontId="5"/>
  </si>
  <si>
    <t>非鉄金属鉱物</t>
  </si>
  <si>
    <t>093</t>
    <phoneticPr fontId="5"/>
  </si>
  <si>
    <t>石灰石</t>
  </si>
  <si>
    <t>094</t>
    <phoneticPr fontId="5"/>
  </si>
  <si>
    <t>窯業原料鉱物（石灰石を除く。）</t>
    <rPh sb="7" eb="10">
      <t>セッカイセキ</t>
    </rPh>
    <rPh sb="11" eb="12">
      <t>ノゾ</t>
    </rPh>
    <phoneticPr fontId="5"/>
  </si>
  <si>
    <t>他に分類されない鉱物</t>
    <rPh sb="0" eb="1">
      <t>タ</t>
    </rPh>
    <rPh sb="2" eb="4">
      <t>ブンルイ</t>
    </rPh>
    <phoneticPr fontId="5"/>
  </si>
  <si>
    <t>1111</t>
  </si>
  <si>
    <t>牛肉</t>
    <phoneticPr fontId="5"/>
  </si>
  <si>
    <t>飲食料品</t>
    <rPh sb="0" eb="2">
      <t>インショク</t>
    </rPh>
    <rPh sb="2" eb="3">
      <t>リョウ</t>
    </rPh>
    <rPh sb="3" eb="4">
      <t>ヒン</t>
    </rPh>
    <phoneticPr fontId="5"/>
  </si>
  <si>
    <t>豚肉</t>
    <phoneticPr fontId="5"/>
  </si>
  <si>
    <t>013</t>
  </si>
  <si>
    <t>鶏肉</t>
  </si>
  <si>
    <t>014</t>
  </si>
  <si>
    <t>その他の食肉</t>
    <rPh sb="4" eb="5">
      <t>ショク</t>
    </rPh>
    <phoneticPr fontId="5"/>
  </si>
  <si>
    <t>015</t>
  </si>
  <si>
    <t>と畜副産物（肉鶏処理副産物を含む。）</t>
    <phoneticPr fontId="5"/>
  </si>
  <si>
    <t>1111</t>
    <phoneticPr fontId="5"/>
  </si>
  <si>
    <t>飲用牛乳</t>
  </si>
  <si>
    <t>乳製品</t>
  </si>
  <si>
    <t>その他の畜産食料品</t>
    <rPh sb="2" eb="3">
      <t>タ</t>
    </rPh>
    <rPh sb="4" eb="6">
      <t>チクサン</t>
    </rPh>
    <rPh sb="6" eb="9">
      <t>ショクリョウヒン</t>
    </rPh>
    <phoneticPr fontId="5"/>
  </si>
  <si>
    <t>1112</t>
  </si>
  <si>
    <t>冷凍魚介類</t>
  </si>
  <si>
    <t>塩・干・くん製品</t>
  </si>
  <si>
    <t>水産びん・かん詰</t>
  </si>
  <si>
    <t>041</t>
  </si>
  <si>
    <t>ねり製品</t>
  </si>
  <si>
    <t>その他の水産食料品</t>
    <rPh sb="7" eb="8">
      <t>リョウ</t>
    </rPh>
    <phoneticPr fontId="5"/>
  </si>
  <si>
    <t>1113</t>
    <phoneticPr fontId="5"/>
  </si>
  <si>
    <t>精米</t>
  </si>
  <si>
    <t>1113</t>
  </si>
  <si>
    <t>その他の精穀</t>
  </si>
  <si>
    <t>小麦粉</t>
  </si>
  <si>
    <t>その他の製粉</t>
  </si>
  <si>
    <t>1114</t>
  </si>
  <si>
    <t>めん類</t>
  </si>
  <si>
    <t>パン類</t>
  </si>
  <si>
    <t>菓子類</t>
  </si>
  <si>
    <t>1115</t>
    <phoneticPr fontId="5"/>
  </si>
  <si>
    <t>農産保存食料品</t>
    <phoneticPr fontId="5"/>
  </si>
  <si>
    <t>1116</t>
  </si>
  <si>
    <t>精製糖</t>
  </si>
  <si>
    <t>その他の砂糖・副産物</t>
  </si>
  <si>
    <t>でん粉</t>
  </si>
  <si>
    <t>ぶどう糖・水あめ・異性化糖</t>
  </si>
  <si>
    <t>植物油脂</t>
  </si>
  <si>
    <t>042</t>
    <phoneticPr fontId="5"/>
  </si>
  <si>
    <t>動物油脂</t>
    <rPh sb="0" eb="2">
      <t>ドウブツ</t>
    </rPh>
    <rPh sb="2" eb="4">
      <t>ユシ</t>
    </rPh>
    <phoneticPr fontId="5"/>
  </si>
  <si>
    <t>043</t>
    <phoneticPr fontId="5"/>
  </si>
  <si>
    <t>加工油脂</t>
  </si>
  <si>
    <t>044</t>
    <phoneticPr fontId="5"/>
  </si>
  <si>
    <t>植物原油かす</t>
  </si>
  <si>
    <t>調味料</t>
    <rPh sb="0" eb="3">
      <t>チョウミリョウ</t>
    </rPh>
    <phoneticPr fontId="5"/>
  </si>
  <si>
    <t>1119</t>
  </si>
  <si>
    <t>冷凍調理食品</t>
  </si>
  <si>
    <t>レトルト食品</t>
  </si>
  <si>
    <t>そう菜・すし・弁当</t>
  </si>
  <si>
    <t>その他の食料品</t>
  </si>
  <si>
    <t>1121</t>
  </si>
  <si>
    <t>清酒</t>
  </si>
  <si>
    <t>ビール類</t>
    <rPh sb="3" eb="4">
      <t>ルイ</t>
    </rPh>
    <phoneticPr fontId="5"/>
  </si>
  <si>
    <t>ウイスキー類</t>
    <phoneticPr fontId="5"/>
  </si>
  <si>
    <t>その他の酒類</t>
  </si>
  <si>
    <t>1129</t>
  </si>
  <si>
    <t>茶・コーヒー</t>
  </si>
  <si>
    <t>清涼飲料</t>
  </si>
  <si>
    <t>製氷</t>
  </si>
  <si>
    <t>1131</t>
  </si>
  <si>
    <t>飼料</t>
  </si>
  <si>
    <t>有機質肥料（別掲を除く。）</t>
    <phoneticPr fontId="5"/>
  </si>
  <si>
    <t>1141</t>
  </si>
  <si>
    <t>たばこ</t>
  </si>
  <si>
    <t>1511</t>
  </si>
  <si>
    <t>紡績糸</t>
    <phoneticPr fontId="5"/>
  </si>
  <si>
    <t>繊維製品</t>
    <rPh sb="0" eb="2">
      <t>センイ</t>
    </rPh>
    <rPh sb="2" eb="4">
      <t>セイヒン</t>
    </rPh>
    <phoneticPr fontId="5"/>
  </si>
  <si>
    <t>1512</t>
  </si>
  <si>
    <t>綿・スフ織物（合繊短繊維織物を含む。）</t>
    <phoneticPr fontId="5"/>
  </si>
  <si>
    <t>絹・人絹織物（合繊長繊維織物を含む。）</t>
    <phoneticPr fontId="5"/>
  </si>
  <si>
    <t>その他の織物</t>
    <phoneticPr fontId="5"/>
  </si>
  <si>
    <t>1513</t>
  </si>
  <si>
    <t>ニット生地</t>
  </si>
  <si>
    <t>1514</t>
  </si>
  <si>
    <t>染色整理</t>
  </si>
  <si>
    <t>1519</t>
  </si>
  <si>
    <t>綱・網</t>
  </si>
  <si>
    <t>他に分類されない繊維工業製品</t>
    <rPh sb="0" eb="1">
      <t>タ</t>
    </rPh>
    <rPh sb="2" eb="4">
      <t>ブンルイ</t>
    </rPh>
    <rPh sb="8" eb="10">
      <t>センイ</t>
    </rPh>
    <rPh sb="10" eb="12">
      <t>コウギョウ</t>
    </rPh>
    <rPh sb="12" eb="14">
      <t>セイヒン</t>
    </rPh>
    <phoneticPr fontId="5"/>
  </si>
  <si>
    <t>1521</t>
  </si>
  <si>
    <t>織物製衣服</t>
  </si>
  <si>
    <t>ニット製衣服</t>
  </si>
  <si>
    <t>1522</t>
  </si>
  <si>
    <t>その他の衣服・身の回り品</t>
  </si>
  <si>
    <t>1529</t>
  </si>
  <si>
    <t>寝具</t>
  </si>
  <si>
    <t>1529</t>
    <phoneticPr fontId="5"/>
  </si>
  <si>
    <t>じゅうたん・床敷物</t>
  </si>
  <si>
    <t>繊維製衛生材料</t>
    <phoneticPr fontId="5"/>
  </si>
  <si>
    <t>他に分類されない繊維既製品</t>
    <rPh sb="0" eb="1">
      <t>タ</t>
    </rPh>
    <rPh sb="2" eb="4">
      <t>ブンルイ</t>
    </rPh>
    <rPh sb="8" eb="10">
      <t>センイ</t>
    </rPh>
    <rPh sb="10" eb="13">
      <t>キセイヒン</t>
    </rPh>
    <phoneticPr fontId="5"/>
  </si>
  <si>
    <t>1611</t>
  </si>
  <si>
    <t>製材</t>
  </si>
  <si>
    <t>パルプ・紙・木製品</t>
    <rPh sb="4" eb="5">
      <t>カミ</t>
    </rPh>
    <rPh sb="6" eb="7">
      <t>キ</t>
    </rPh>
    <rPh sb="7" eb="9">
      <t>セイヒン</t>
    </rPh>
    <phoneticPr fontId="5"/>
  </si>
  <si>
    <t>合板・集成材</t>
    <rPh sb="3" eb="6">
      <t>シュウセイザイ</t>
    </rPh>
    <phoneticPr fontId="5"/>
  </si>
  <si>
    <t>木材チップ</t>
  </si>
  <si>
    <t>1619</t>
  </si>
  <si>
    <t>建設用木製品</t>
  </si>
  <si>
    <t>他に分類されない木製品</t>
    <rPh sb="0" eb="1">
      <t>タ</t>
    </rPh>
    <rPh sb="2" eb="4">
      <t>ブンルイ</t>
    </rPh>
    <rPh sb="8" eb="11">
      <t>モクセイヒン</t>
    </rPh>
    <phoneticPr fontId="5"/>
  </si>
  <si>
    <t>1621</t>
    <phoneticPr fontId="5"/>
  </si>
  <si>
    <t>木製家具</t>
    <phoneticPr fontId="5"/>
  </si>
  <si>
    <t>金属製家具</t>
    <phoneticPr fontId="5"/>
  </si>
  <si>
    <t>木製建具</t>
  </si>
  <si>
    <t>その他の家具・装備品</t>
    <rPh sb="2" eb="3">
      <t>タ</t>
    </rPh>
    <phoneticPr fontId="5"/>
  </si>
  <si>
    <t>1631</t>
    <phoneticPr fontId="5"/>
  </si>
  <si>
    <t>パルプ</t>
  </si>
  <si>
    <t>021P</t>
    <phoneticPr fontId="5"/>
  </si>
  <si>
    <t>古紙</t>
  </si>
  <si>
    <t>1632</t>
    <phoneticPr fontId="5"/>
  </si>
  <si>
    <t>洋紙・和紙</t>
  </si>
  <si>
    <t>板紙</t>
  </si>
  <si>
    <t>1633</t>
    <phoneticPr fontId="5"/>
  </si>
  <si>
    <t>段ボール</t>
  </si>
  <si>
    <t>塗工紙・建設用加工紙</t>
  </si>
  <si>
    <t>1641</t>
    <phoneticPr fontId="5"/>
  </si>
  <si>
    <t>段ボール箱</t>
  </si>
  <si>
    <t>その他の紙製容器</t>
  </si>
  <si>
    <t>1649</t>
    <phoneticPr fontId="5"/>
  </si>
  <si>
    <t>紙製衛生材料・用品</t>
  </si>
  <si>
    <t>その他のパルプ・紙・紙加工品</t>
    <rPh sb="2" eb="3">
      <t>タ</t>
    </rPh>
    <rPh sb="8" eb="9">
      <t>カミ</t>
    </rPh>
    <rPh sb="10" eb="11">
      <t>カミ</t>
    </rPh>
    <rPh sb="11" eb="14">
      <t>カコウヒン</t>
    </rPh>
    <phoneticPr fontId="5"/>
  </si>
  <si>
    <t>1911</t>
  </si>
  <si>
    <t>印刷・製版・製本</t>
  </si>
  <si>
    <t>その他の製造工業製品</t>
    <rPh sb="2" eb="3">
      <t>タ</t>
    </rPh>
    <rPh sb="4" eb="6">
      <t>セイゾウ</t>
    </rPh>
    <rPh sb="6" eb="8">
      <t>コウギョウ</t>
    </rPh>
    <rPh sb="8" eb="10">
      <t>セイヒン</t>
    </rPh>
    <phoneticPr fontId="5"/>
  </si>
  <si>
    <t>2011</t>
  </si>
  <si>
    <t>化学肥料</t>
  </si>
  <si>
    <t>化学製品</t>
    <rPh sb="0" eb="2">
      <t>カガク</t>
    </rPh>
    <rPh sb="2" eb="4">
      <t>セイヒン</t>
    </rPh>
    <phoneticPr fontId="5"/>
  </si>
  <si>
    <t>2021</t>
  </si>
  <si>
    <t>ソーダ灰</t>
  </si>
  <si>
    <t>か性ソーダ</t>
  </si>
  <si>
    <t>液体塩素</t>
  </si>
  <si>
    <t>その他のソーダ工業製品</t>
  </si>
  <si>
    <t>2029</t>
  </si>
  <si>
    <t>酸化チタン</t>
  </si>
  <si>
    <t>カーボンブラック</t>
  </si>
  <si>
    <t>その他の無機顔料</t>
  </si>
  <si>
    <t>圧縮ガス・液化ガス</t>
  </si>
  <si>
    <t>原塩</t>
  </si>
  <si>
    <t>032</t>
  </si>
  <si>
    <t>塩</t>
  </si>
  <si>
    <t>その他の無機化学工業製品</t>
  </si>
  <si>
    <t>2031</t>
  </si>
  <si>
    <t>エチレン</t>
  </si>
  <si>
    <t>プロピレン</t>
  </si>
  <si>
    <t>その他の石油化学基礎製品</t>
  </si>
  <si>
    <t>純ベンゼン</t>
  </si>
  <si>
    <t>022</t>
  </si>
  <si>
    <t>純トルエン</t>
  </si>
  <si>
    <t>023</t>
  </si>
  <si>
    <t>キシレン</t>
  </si>
  <si>
    <t>その他の石油化学系芳香族製品</t>
  </si>
  <si>
    <t>2041</t>
    <phoneticPr fontId="5"/>
  </si>
  <si>
    <t>合成オクタノール・ブタノール</t>
    <phoneticPr fontId="5"/>
  </si>
  <si>
    <t>2041</t>
  </si>
  <si>
    <t>酢酸</t>
  </si>
  <si>
    <t>二塩化エチレン</t>
  </si>
  <si>
    <t>アクリロニトリル</t>
  </si>
  <si>
    <t>エチレングリコール</t>
  </si>
  <si>
    <t>016</t>
  </si>
  <si>
    <t>酢酸ビニルモノマー</t>
  </si>
  <si>
    <t>その他の脂肪族中間物</t>
  </si>
  <si>
    <t>合成染料・有機顔料</t>
    <rPh sb="5" eb="7">
      <t>ユウキ</t>
    </rPh>
    <rPh sb="7" eb="9">
      <t>ガンリョウ</t>
    </rPh>
    <phoneticPr fontId="5"/>
  </si>
  <si>
    <t>スチレンモノマー</t>
  </si>
  <si>
    <t>023</t>
    <phoneticPr fontId="5"/>
  </si>
  <si>
    <t>合成石炭酸</t>
  </si>
  <si>
    <t>024</t>
    <phoneticPr fontId="5"/>
  </si>
  <si>
    <t>テレフタル酸・ジメチルテレフタレート</t>
    <phoneticPr fontId="5"/>
  </si>
  <si>
    <t>025</t>
    <phoneticPr fontId="5"/>
  </si>
  <si>
    <t>カプロラクタム</t>
  </si>
  <si>
    <t>その他の環式中間物</t>
  </si>
  <si>
    <t>2042</t>
    <phoneticPr fontId="5"/>
  </si>
  <si>
    <t>合成ゴム</t>
  </si>
  <si>
    <t>2049</t>
    <phoneticPr fontId="5"/>
  </si>
  <si>
    <t>メタン誘導品</t>
  </si>
  <si>
    <t>可塑剤</t>
  </si>
  <si>
    <t>その他の有機化学工業製品</t>
  </si>
  <si>
    <t>2051</t>
    <phoneticPr fontId="5"/>
  </si>
  <si>
    <t>熱硬化性樹脂</t>
  </si>
  <si>
    <t>ポリエチレン（低密度）</t>
  </si>
  <si>
    <t>2051</t>
  </si>
  <si>
    <t>ポリエチレン（高密度）</t>
  </si>
  <si>
    <t>ポリスチレン</t>
  </si>
  <si>
    <t>024</t>
  </si>
  <si>
    <t>ポリプロピレン</t>
  </si>
  <si>
    <t>025</t>
  </si>
  <si>
    <t>塩化ビニル樹脂</t>
  </si>
  <si>
    <t>高機能性樹脂</t>
  </si>
  <si>
    <t>その他の合成樹脂</t>
  </si>
  <si>
    <t>2061</t>
    <phoneticPr fontId="5"/>
  </si>
  <si>
    <t>レーヨン・アセテート</t>
    <phoneticPr fontId="5"/>
  </si>
  <si>
    <t>合成繊維</t>
    <rPh sb="0" eb="2">
      <t>ゴウセイ</t>
    </rPh>
    <rPh sb="2" eb="4">
      <t>センイ</t>
    </rPh>
    <phoneticPr fontId="5"/>
  </si>
  <si>
    <t>2071</t>
    <phoneticPr fontId="5"/>
  </si>
  <si>
    <t>医薬品</t>
  </si>
  <si>
    <t>2081</t>
    <phoneticPr fontId="5"/>
  </si>
  <si>
    <t>油脂加工製品</t>
    <phoneticPr fontId="5"/>
  </si>
  <si>
    <t>2081</t>
  </si>
  <si>
    <t>石けん・合成洗剤</t>
  </si>
  <si>
    <t>界面活性剤（石けん・合成洗剤を除く。）</t>
    <rPh sb="6" eb="7">
      <t>セッ</t>
    </rPh>
    <rPh sb="10" eb="12">
      <t>ゴウセイ</t>
    </rPh>
    <rPh sb="12" eb="14">
      <t>センザイ</t>
    </rPh>
    <rPh sb="15" eb="16">
      <t>ノゾ</t>
    </rPh>
    <phoneticPr fontId="5"/>
  </si>
  <si>
    <t>2082</t>
    <phoneticPr fontId="5"/>
  </si>
  <si>
    <t>化粧品・歯磨</t>
  </si>
  <si>
    <t>2083</t>
    <phoneticPr fontId="5"/>
  </si>
  <si>
    <t>塗料</t>
  </si>
  <si>
    <t>印刷インキ</t>
    <phoneticPr fontId="5"/>
  </si>
  <si>
    <t>2084</t>
    <phoneticPr fontId="5"/>
  </si>
  <si>
    <t>農薬</t>
  </si>
  <si>
    <t>2089</t>
    <phoneticPr fontId="5"/>
  </si>
  <si>
    <t>ゼラチン・接着剤</t>
  </si>
  <si>
    <t>写真感光材料</t>
  </si>
  <si>
    <t>触媒</t>
  </si>
  <si>
    <t>他に分類されない化学最終製品</t>
    <rPh sb="0" eb="1">
      <t>タ</t>
    </rPh>
    <rPh sb="2" eb="4">
      <t>ブンルイ</t>
    </rPh>
    <rPh sb="8" eb="10">
      <t>カガク</t>
    </rPh>
    <rPh sb="10" eb="12">
      <t>サイシュウ</t>
    </rPh>
    <rPh sb="12" eb="14">
      <t>セイヒン</t>
    </rPh>
    <phoneticPr fontId="5"/>
  </si>
  <si>
    <t>2111</t>
  </si>
  <si>
    <t>ガソリン</t>
    <phoneticPr fontId="5"/>
  </si>
  <si>
    <t>石油・石炭製品</t>
    <rPh sb="0" eb="2">
      <t>セキユ</t>
    </rPh>
    <rPh sb="3" eb="5">
      <t>セキタン</t>
    </rPh>
    <rPh sb="5" eb="7">
      <t>セイヒン</t>
    </rPh>
    <phoneticPr fontId="5"/>
  </si>
  <si>
    <t>ジェット燃料油</t>
  </si>
  <si>
    <t>灯油</t>
  </si>
  <si>
    <t>軽油</t>
  </si>
  <si>
    <t>Ａ重油</t>
  </si>
  <si>
    <t>Ｂ重油・Ｃ重油</t>
  </si>
  <si>
    <t>017</t>
  </si>
  <si>
    <t>ナフサ</t>
  </si>
  <si>
    <t>018</t>
  </si>
  <si>
    <t>液化石油ガス</t>
  </si>
  <si>
    <t>その他の石油製品</t>
  </si>
  <si>
    <t>2121</t>
  </si>
  <si>
    <t>コークス</t>
  </si>
  <si>
    <t>その他の石炭製品</t>
  </si>
  <si>
    <t>舗装材料</t>
  </si>
  <si>
    <t>2211</t>
  </si>
  <si>
    <t>プラスチックフィルム・シート</t>
  </si>
  <si>
    <t>プラスチック・ゴム製品</t>
    <rPh sb="9" eb="11">
      <t>セイヒン</t>
    </rPh>
    <phoneticPr fontId="5"/>
  </si>
  <si>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</si>
  <si>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</si>
  <si>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</si>
  <si>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</si>
  <si>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</si>
  <si>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</si>
  <si>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</si>
  <si>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5"/>
  </si>
  <si>
    <t>タイヤ・チューブ</t>
  </si>
  <si>
    <t>2229</t>
    <phoneticPr fontId="5"/>
  </si>
  <si>
    <t>ゴム製・プラスチック製履物</t>
    <phoneticPr fontId="5"/>
  </si>
  <si>
    <t>他に分類されないゴム製品</t>
    <rPh sb="2" eb="4">
      <t>ブンルイ</t>
    </rPh>
    <phoneticPr fontId="5"/>
  </si>
  <si>
    <t>2311</t>
    <phoneticPr fontId="5"/>
  </si>
  <si>
    <t>革製履物</t>
  </si>
  <si>
    <t>2312</t>
    <phoneticPr fontId="5"/>
  </si>
  <si>
    <t>製革・毛皮</t>
  </si>
  <si>
    <t>かばん・袋物・その他の革製品</t>
  </si>
  <si>
    <t>2511</t>
  </si>
  <si>
    <t>板ガラス</t>
  </si>
  <si>
    <t>窯業・土石製品</t>
    <rPh sb="0" eb="2">
      <t>ヨウギョウ</t>
    </rPh>
    <rPh sb="3" eb="5">
      <t>ドセキ</t>
    </rPh>
    <rPh sb="5" eb="7">
      <t>セイヒン</t>
    </rPh>
    <phoneticPr fontId="5"/>
  </si>
  <si>
    <t>安全ガラス・複層ガラス</t>
  </si>
  <si>
    <t>2511</t>
    <phoneticPr fontId="5"/>
  </si>
  <si>
    <t>ガラス繊維・同製品</t>
  </si>
  <si>
    <t>ガラス製加工素材</t>
  </si>
  <si>
    <t>他に分類されないガラス製品</t>
    <rPh sb="0" eb="1">
      <t>タ</t>
    </rPh>
    <rPh sb="2" eb="4">
      <t>ブンルイ</t>
    </rPh>
    <rPh sb="11" eb="13">
      <t>セイヒン</t>
    </rPh>
    <phoneticPr fontId="5"/>
  </si>
  <si>
    <t>2521</t>
  </si>
  <si>
    <t>セメント</t>
  </si>
  <si>
    <t>2521</t>
    <phoneticPr fontId="5"/>
  </si>
  <si>
    <t>生コンクリート</t>
  </si>
  <si>
    <t>セメント製品</t>
  </si>
  <si>
    <t>2531</t>
  </si>
  <si>
    <t>建設用陶磁器</t>
  </si>
  <si>
    <t>工業用陶磁器</t>
  </si>
  <si>
    <t>日用陶磁器</t>
  </si>
  <si>
    <t>2591</t>
    <phoneticPr fontId="5"/>
  </si>
  <si>
    <t>耐火物</t>
  </si>
  <si>
    <t>その他の建設用土石製品</t>
  </si>
  <si>
    <t>2599</t>
  </si>
  <si>
    <t>炭素・黒鉛製品</t>
  </si>
  <si>
    <t>研磨材</t>
  </si>
  <si>
    <t>その他の窯業・土石製品</t>
  </si>
  <si>
    <t>2611</t>
  </si>
  <si>
    <t>銑鉄</t>
  </si>
  <si>
    <t>鉄鋼</t>
    <rPh sb="0" eb="2">
      <t>テッコウ</t>
    </rPh>
    <phoneticPr fontId="5"/>
  </si>
  <si>
    <t>フェロアロイ</t>
  </si>
  <si>
    <t>粗鋼（転炉）</t>
  </si>
  <si>
    <t>粗鋼（電気炉）</t>
  </si>
  <si>
    <t>2612</t>
  </si>
  <si>
    <t>011P</t>
  </si>
  <si>
    <t>鉄屑</t>
  </si>
  <si>
    <t>2621</t>
  </si>
  <si>
    <t>普通鋼形鋼</t>
  </si>
  <si>
    <t>普通鋼鋼板</t>
  </si>
  <si>
    <t>普通鋼鋼帯</t>
  </si>
  <si>
    <t>普通鋼小棒</t>
  </si>
  <si>
    <t>その他の普通鋼熱間圧延鋼材</t>
  </si>
  <si>
    <t>特殊鋼熱間圧延鋼材</t>
  </si>
  <si>
    <t>2622</t>
  </si>
  <si>
    <t>普通鋼鋼管</t>
  </si>
  <si>
    <t>特殊鋼鋼管</t>
  </si>
  <si>
    <t>2623</t>
  </si>
  <si>
    <t>普通鋼冷間仕上鋼材</t>
    <rPh sb="0" eb="2">
      <t>フツウ</t>
    </rPh>
    <rPh sb="2" eb="3">
      <t>コウ</t>
    </rPh>
    <rPh sb="3" eb="5">
      <t>レイカン</t>
    </rPh>
    <phoneticPr fontId="5"/>
  </si>
  <si>
    <t>2623</t>
    <phoneticPr fontId="5"/>
  </si>
  <si>
    <t>特殊鋼冷間仕上鋼材</t>
    <rPh sb="0" eb="2">
      <t>トクシュ</t>
    </rPh>
    <rPh sb="2" eb="3">
      <t>コウ</t>
    </rPh>
    <phoneticPr fontId="5"/>
  </si>
  <si>
    <t>めっき鋼材</t>
  </si>
  <si>
    <t>2631</t>
  </si>
  <si>
    <t>鍛鋼</t>
  </si>
  <si>
    <t>鋳鋼</t>
  </si>
  <si>
    <t>鋳鉄管</t>
  </si>
  <si>
    <t>鋳鉄品</t>
  </si>
  <si>
    <t>鍛工品（鉄）</t>
  </si>
  <si>
    <t>2699</t>
    <phoneticPr fontId="5"/>
  </si>
  <si>
    <t>鉄鋼シャースリット業</t>
  </si>
  <si>
    <t>その他の鉄鋼製品</t>
  </si>
  <si>
    <t>2711</t>
  </si>
  <si>
    <t>銅</t>
  </si>
  <si>
    <t>非鉄金属</t>
    <rPh sb="0" eb="2">
      <t>ヒテツ</t>
    </rPh>
    <rPh sb="2" eb="4">
      <t>キンゾク</t>
    </rPh>
    <phoneticPr fontId="5"/>
  </si>
  <si>
    <t>鉛・亜鉛（再生を含む。）</t>
    <phoneticPr fontId="5"/>
  </si>
  <si>
    <t>アルミニウム（再生を含む。）</t>
    <phoneticPr fontId="5"/>
  </si>
  <si>
    <t>その他の非鉄金属地金</t>
  </si>
  <si>
    <t>2712</t>
  </si>
  <si>
    <t>011P</t>
    <phoneticPr fontId="5"/>
  </si>
  <si>
    <t>非鉄金属屑</t>
  </si>
  <si>
    <t>2721</t>
  </si>
  <si>
    <t>電線・ケーブル</t>
  </si>
  <si>
    <t>光ファイバケーブル</t>
  </si>
  <si>
    <t>2729</t>
    <phoneticPr fontId="5"/>
  </si>
  <si>
    <t>伸銅品</t>
  </si>
  <si>
    <t>アルミ圧延製品</t>
  </si>
  <si>
    <t>非鉄金属素形材</t>
  </si>
  <si>
    <t>核燃料</t>
  </si>
  <si>
    <t>その他の非鉄金属製品</t>
  </si>
  <si>
    <t>2811</t>
  </si>
  <si>
    <t>建設用金属製品</t>
  </si>
  <si>
    <t>金属製品</t>
    <rPh sb="0" eb="2">
      <t>キンゾク</t>
    </rPh>
    <rPh sb="2" eb="4">
      <t>セイヒン</t>
    </rPh>
    <phoneticPr fontId="5"/>
  </si>
  <si>
    <t>2812</t>
  </si>
  <si>
    <t>建築用金属製品</t>
  </si>
  <si>
    <t>2891</t>
  </si>
  <si>
    <t>ガス・石油機器・暖房・調理装置</t>
    <rPh sb="11" eb="13">
      <t>チョウリ</t>
    </rPh>
    <rPh sb="13" eb="15">
      <t>ソウチ</t>
    </rPh>
    <phoneticPr fontId="5"/>
  </si>
  <si>
    <t>2899</t>
  </si>
  <si>
    <t>ボルト・ナット・リベット・スプリング</t>
    <phoneticPr fontId="5"/>
  </si>
  <si>
    <t>金属製容器・製缶板金製品</t>
    <phoneticPr fontId="5"/>
  </si>
  <si>
    <t>配管工事附属品</t>
    <rPh sb="4" eb="6">
      <t>フゾク</t>
    </rPh>
    <phoneticPr fontId="5"/>
  </si>
  <si>
    <t>粉末や金製品</t>
    <phoneticPr fontId="5"/>
  </si>
  <si>
    <t>033</t>
  </si>
  <si>
    <t>刃物・道具類</t>
    <phoneticPr fontId="5"/>
  </si>
  <si>
    <t>金属プレス製品</t>
  </si>
  <si>
    <t>金属線製品</t>
  </si>
  <si>
    <t>他に分類されない金属製品</t>
    <rPh sb="0" eb="1">
      <t>タ</t>
    </rPh>
    <rPh sb="2" eb="4">
      <t>ブンルイ</t>
    </rPh>
    <rPh sb="8" eb="10">
      <t>キンゾク</t>
    </rPh>
    <rPh sb="10" eb="12">
      <t>セイヒン</t>
    </rPh>
    <phoneticPr fontId="5"/>
  </si>
  <si>
    <t>2911</t>
    <phoneticPr fontId="5"/>
  </si>
  <si>
    <t>ボイラ</t>
  </si>
  <si>
    <t>はん用機械</t>
    <rPh sb="2" eb="3">
      <t>ヨウ</t>
    </rPh>
    <rPh sb="3" eb="5">
      <t>キカイ</t>
    </rPh>
    <phoneticPr fontId="5"/>
  </si>
  <si>
    <t>タービン</t>
  </si>
  <si>
    <t>原動機</t>
  </si>
  <si>
    <t>2912</t>
    <phoneticPr fontId="5"/>
  </si>
  <si>
    <t>ポンプ・圧縮機</t>
    <phoneticPr fontId="5"/>
  </si>
  <si>
    <t>2913</t>
    <phoneticPr fontId="5"/>
  </si>
  <si>
    <t>運搬機械</t>
  </si>
  <si>
    <t>2914</t>
    <phoneticPr fontId="5"/>
  </si>
  <si>
    <t>冷凍機・温湿調整装置</t>
  </si>
  <si>
    <t>2919</t>
    <phoneticPr fontId="5"/>
  </si>
  <si>
    <t>ベアリング</t>
  </si>
  <si>
    <t>動力伝導装置</t>
    <rPh sb="0" eb="2">
      <t>ドウリョク</t>
    </rPh>
    <rPh sb="2" eb="4">
      <t>デンドウ</t>
    </rPh>
    <rPh sb="4" eb="6">
      <t>ソウチ</t>
    </rPh>
    <phoneticPr fontId="5"/>
  </si>
  <si>
    <t>他に分類されないはん用機械</t>
    <rPh sb="0" eb="1">
      <t>タ</t>
    </rPh>
    <rPh sb="2" eb="4">
      <t>ブンルイ</t>
    </rPh>
    <rPh sb="10" eb="11">
      <t>ヨウ</t>
    </rPh>
    <rPh sb="11" eb="13">
      <t>キカイ</t>
    </rPh>
    <phoneticPr fontId="5"/>
  </si>
  <si>
    <t>3011</t>
    <phoneticPr fontId="5"/>
  </si>
  <si>
    <t>農業用機械</t>
    <rPh sb="2" eb="3">
      <t>ヨウ</t>
    </rPh>
    <phoneticPr fontId="5"/>
  </si>
  <si>
    <t>生産用機械</t>
    <rPh sb="0" eb="3">
      <t>セイサンヨウ</t>
    </rPh>
    <rPh sb="3" eb="5">
      <t>キカイ</t>
    </rPh>
    <phoneticPr fontId="5"/>
  </si>
  <si>
    <t>3012</t>
    <phoneticPr fontId="5"/>
  </si>
  <si>
    <t>建設・鉱山機械</t>
    <rPh sb="0" eb="2">
      <t>ケンセツ</t>
    </rPh>
    <rPh sb="3" eb="5">
      <t>コウザン</t>
    </rPh>
    <phoneticPr fontId="5"/>
  </si>
  <si>
    <t>3013</t>
    <phoneticPr fontId="5"/>
  </si>
  <si>
    <t>繊維機械</t>
  </si>
  <si>
    <t>3014</t>
    <phoneticPr fontId="5"/>
  </si>
  <si>
    <t>食品機械・同装置</t>
    <rPh sb="5" eb="6">
      <t>ドウ</t>
    </rPh>
    <rPh sb="6" eb="8">
      <t>ソウチ</t>
    </rPh>
    <phoneticPr fontId="5"/>
  </si>
  <si>
    <t>木材加工機械</t>
    <rPh sb="0" eb="2">
      <t>モクザイ</t>
    </rPh>
    <rPh sb="2" eb="4">
      <t>カコウ</t>
    </rPh>
    <phoneticPr fontId="5"/>
  </si>
  <si>
    <t>パルプ装置・製紙機械</t>
  </si>
  <si>
    <t>014</t>
    <phoneticPr fontId="5"/>
  </si>
  <si>
    <t>印刷・製本・紙工機械</t>
    <phoneticPr fontId="5"/>
  </si>
  <si>
    <t>015</t>
    <phoneticPr fontId="5"/>
  </si>
  <si>
    <t>包装・荷造機械</t>
    <rPh sb="0" eb="2">
      <t>ホウソウ</t>
    </rPh>
    <rPh sb="3" eb="4">
      <t>ニ</t>
    </rPh>
    <rPh sb="4" eb="5">
      <t>ヅクリ</t>
    </rPh>
    <rPh sb="5" eb="7">
      <t>キカイ</t>
    </rPh>
    <phoneticPr fontId="5"/>
  </si>
  <si>
    <t>3015</t>
    <phoneticPr fontId="5"/>
  </si>
  <si>
    <t>化学機械</t>
  </si>
  <si>
    <t>鋳造装置</t>
    <phoneticPr fontId="5"/>
  </si>
  <si>
    <t>プラスチック加工機械</t>
    <phoneticPr fontId="5"/>
  </si>
  <si>
    <t>3016</t>
    <phoneticPr fontId="5"/>
  </si>
  <si>
    <t>金属工作機械</t>
  </si>
  <si>
    <t>金属加工機械</t>
  </si>
  <si>
    <t>機械工具</t>
  </si>
  <si>
    <t>3017</t>
    <phoneticPr fontId="5"/>
  </si>
  <si>
    <t>半導体製造装置</t>
  </si>
  <si>
    <t>3019</t>
    <phoneticPr fontId="5"/>
  </si>
  <si>
    <t>金型</t>
  </si>
  <si>
    <t>真空装置・真空機器</t>
    <rPh sb="0" eb="2">
      <t>シンクウ</t>
    </rPh>
    <rPh sb="2" eb="4">
      <t>ソウチ</t>
    </rPh>
    <rPh sb="5" eb="7">
      <t>シンクウ</t>
    </rPh>
    <rPh sb="7" eb="9">
      <t>キキ</t>
    </rPh>
    <phoneticPr fontId="5"/>
  </si>
  <si>
    <t>ロボット</t>
    <phoneticPr fontId="5"/>
  </si>
  <si>
    <t>その他の生産用機械</t>
    <rPh sb="4" eb="7">
      <t>セイサンヨウ</t>
    </rPh>
    <rPh sb="7" eb="9">
      <t>キカイ</t>
    </rPh>
    <phoneticPr fontId="5"/>
  </si>
  <si>
    <t>3111</t>
  </si>
  <si>
    <t>複写機</t>
  </si>
  <si>
    <t>業務用機械</t>
    <rPh sb="0" eb="2">
      <t>ギョウム</t>
    </rPh>
    <rPh sb="2" eb="3">
      <t>ヨウ</t>
    </rPh>
    <rPh sb="3" eb="5">
      <t>キカイ</t>
    </rPh>
    <phoneticPr fontId="5"/>
  </si>
  <si>
    <t>3111</t>
    <phoneticPr fontId="5"/>
  </si>
  <si>
    <t>その他の事務用機械</t>
  </si>
  <si>
    <t>3112</t>
  </si>
  <si>
    <t>自動販売機</t>
  </si>
  <si>
    <t>娯楽用機器</t>
  </si>
  <si>
    <t>その他のサービス用機器</t>
    <phoneticPr fontId="5"/>
  </si>
  <si>
    <t>3113</t>
    <phoneticPr fontId="5"/>
  </si>
  <si>
    <t>計測機器</t>
    <rPh sb="0" eb="2">
      <t>ケイソク</t>
    </rPh>
    <rPh sb="2" eb="4">
      <t>キキ</t>
    </rPh>
    <phoneticPr fontId="5"/>
  </si>
  <si>
    <t>3114</t>
    <phoneticPr fontId="5"/>
  </si>
  <si>
    <t>医療用機械器具</t>
  </si>
  <si>
    <t>3115</t>
    <phoneticPr fontId="5"/>
  </si>
  <si>
    <t>光学機械・レンズ</t>
    <rPh sb="0" eb="2">
      <t>コウガク</t>
    </rPh>
    <rPh sb="2" eb="4">
      <t>キカイ</t>
    </rPh>
    <phoneticPr fontId="5"/>
  </si>
  <si>
    <t>3116</t>
    <phoneticPr fontId="5"/>
  </si>
  <si>
    <t>武器</t>
  </si>
  <si>
    <t>3211</t>
    <phoneticPr fontId="5"/>
  </si>
  <si>
    <t>0１1</t>
    <phoneticPr fontId="5"/>
  </si>
  <si>
    <t>半導体素子</t>
  </si>
  <si>
    <t>電子部品</t>
    <rPh sb="0" eb="2">
      <t>デンシ</t>
    </rPh>
    <rPh sb="2" eb="4">
      <t>ブヒン</t>
    </rPh>
    <phoneticPr fontId="5"/>
  </si>
  <si>
    <t>集積回路後工程</t>
    <rPh sb="0" eb="2">
      <t>シュウセキ</t>
    </rPh>
    <rPh sb="2" eb="4">
      <t>カイロ</t>
    </rPh>
    <rPh sb="4" eb="7">
      <t>アトコウテイ</t>
    </rPh>
    <phoneticPr fontId="5"/>
  </si>
  <si>
    <t>集積回路前工程</t>
    <rPh sb="0" eb="2">
      <t>シュウセキ</t>
    </rPh>
    <rPh sb="2" eb="4">
      <t>カイロ</t>
    </rPh>
    <rPh sb="4" eb="7">
      <t>マエコウテイ</t>
    </rPh>
    <phoneticPr fontId="5"/>
  </si>
  <si>
    <t>3211</t>
  </si>
  <si>
    <t>0３1</t>
    <phoneticPr fontId="5"/>
  </si>
  <si>
    <t>液晶パネル</t>
    <phoneticPr fontId="5"/>
  </si>
  <si>
    <t>0４1</t>
    <phoneticPr fontId="5"/>
  </si>
  <si>
    <t>フラットパネル・電子管</t>
    <rPh sb="8" eb="11">
      <t>デンシカン</t>
    </rPh>
    <phoneticPr fontId="5"/>
  </si>
  <si>
    <t>3299</t>
    <phoneticPr fontId="5"/>
  </si>
  <si>
    <t>記録メディア</t>
    <rPh sb="0" eb="2">
      <t>キロク</t>
    </rPh>
    <phoneticPr fontId="5"/>
  </si>
  <si>
    <t>電子回路</t>
    <rPh sb="0" eb="2">
      <t>デンシ</t>
    </rPh>
    <rPh sb="2" eb="4">
      <t>カイロ</t>
    </rPh>
    <phoneticPr fontId="5"/>
  </si>
  <si>
    <t>その他の電子部品</t>
    <rPh sb="6" eb="7">
      <t>ブ</t>
    </rPh>
    <phoneticPr fontId="5"/>
  </si>
  <si>
    <t>3311</t>
    <phoneticPr fontId="5"/>
  </si>
  <si>
    <t>発電機器</t>
  </si>
  <si>
    <t>電気機械</t>
    <rPh sb="0" eb="2">
      <t>デンキ</t>
    </rPh>
    <rPh sb="2" eb="4">
      <t>キカイ</t>
    </rPh>
    <phoneticPr fontId="5"/>
  </si>
  <si>
    <t>電動機</t>
  </si>
  <si>
    <t>3311</t>
  </si>
  <si>
    <t>変圧器・変成器</t>
  </si>
  <si>
    <t>開閉制御装置・配電盤</t>
    <phoneticPr fontId="5"/>
  </si>
  <si>
    <t>配線器具</t>
    <rPh sb="0" eb="2">
      <t>ハイセン</t>
    </rPh>
    <rPh sb="2" eb="4">
      <t>キグ</t>
    </rPh>
    <phoneticPr fontId="5"/>
  </si>
  <si>
    <t>内燃機関電装品</t>
    <rPh sb="0" eb="2">
      <t>ナイネン</t>
    </rPh>
    <rPh sb="2" eb="4">
      <t>キカン</t>
    </rPh>
    <rPh sb="4" eb="7">
      <t>デンソウヒン</t>
    </rPh>
    <phoneticPr fontId="5"/>
  </si>
  <si>
    <t>その他の産業用電気機器</t>
    <rPh sb="7" eb="9">
      <t>デンキ</t>
    </rPh>
    <rPh sb="9" eb="11">
      <t>キキ</t>
    </rPh>
    <phoneticPr fontId="5"/>
  </si>
  <si>
    <t>3321</t>
    <phoneticPr fontId="5"/>
  </si>
  <si>
    <t>民生用エアコンディショナ</t>
    <rPh sb="0" eb="2">
      <t>ミンセイ</t>
    </rPh>
    <rPh sb="2" eb="3">
      <t>ヨウ</t>
    </rPh>
    <phoneticPr fontId="5"/>
  </si>
  <si>
    <t>民生用電気機器（エアコンを除く。）</t>
    <rPh sb="0" eb="2">
      <t>ミンセイ</t>
    </rPh>
    <rPh sb="2" eb="3">
      <t>ヨウ</t>
    </rPh>
    <rPh sb="3" eb="5">
      <t>デンキ</t>
    </rPh>
    <rPh sb="5" eb="7">
      <t>キキ</t>
    </rPh>
    <phoneticPr fontId="5"/>
  </si>
  <si>
    <t>3331</t>
    <phoneticPr fontId="5"/>
  </si>
  <si>
    <t>電子応用装置</t>
  </si>
  <si>
    <t>3332</t>
    <phoneticPr fontId="5"/>
  </si>
  <si>
    <t>電気計測器</t>
  </si>
  <si>
    <t>3399</t>
    <phoneticPr fontId="5"/>
  </si>
  <si>
    <t>電球類</t>
  </si>
  <si>
    <t>電気照明器具</t>
  </si>
  <si>
    <t>電池</t>
  </si>
  <si>
    <t>その他の電気機械器具</t>
  </si>
  <si>
    <t>3411</t>
  </si>
  <si>
    <t>有線電気通信機器</t>
  </si>
  <si>
    <t>情報通信機器</t>
    <rPh sb="0" eb="2">
      <t>ジョウホウ</t>
    </rPh>
    <rPh sb="2" eb="4">
      <t>ツウシン</t>
    </rPh>
    <rPh sb="4" eb="6">
      <t>キキ</t>
    </rPh>
    <phoneticPr fontId="5"/>
  </si>
  <si>
    <t>携帯電話機</t>
    <rPh sb="0" eb="2">
      <t>ケイタイ</t>
    </rPh>
    <rPh sb="2" eb="4">
      <t>デンワ</t>
    </rPh>
    <rPh sb="4" eb="5">
      <t>キ</t>
    </rPh>
    <phoneticPr fontId="5"/>
  </si>
  <si>
    <t>無線電気通信機器（携帯電話機を除く。）</t>
    <rPh sb="9" eb="11">
      <t>ケイタイ</t>
    </rPh>
    <rPh sb="11" eb="13">
      <t>デンワ</t>
    </rPh>
    <rPh sb="13" eb="14">
      <t>キ</t>
    </rPh>
    <phoneticPr fontId="5"/>
  </si>
  <si>
    <t>ラジオ・テレビ受信機</t>
  </si>
  <si>
    <t>その他の電気通信機器</t>
  </si>
  <si>
    <t>3412</t>
  </si>
  <si>
    <t>ビデオ機器・デジタルカメラ</t>
    <phoneticPr fontId="5"/>
  </si>
  <si>
    <t>電気音響機器</t>
  </si>
  <si>
    <t>3421</t>
    <phoneticPr fontId="5"/>
  </si>
  <si>
    <t>パーソナルコンピュータ</t>
    <phoneticPr fontId="5"/>
  </si>
  <si>
    <t>電子計算機本体（パソコンを除く。）</t>
    <rPh sb="0" eb="2">
      <t>デンシ</t>
    </rPh>
    <rPh sb="2" eb="5">
      <t>ケイサンキ</t>
    </rPh>
    <rPh sb="5" eb="7">
      <t>ホンタイ</t>
    </rPh>
    <phoneticPr fontId="5"/>
  </si>
  <si>
    <t>電子計算機附属装置</t>
    <rPh sb="5" eb="7">
      <t>フゾク</t>
    </rPh>
    <phoneticPr fontId="5"/>
  </si>
  <si>
    <t>3511</t>
    <phoneticPr fontId="5"/>
  </si>
  <si>
    <t>乗用車</t>
  </si>
  <si>
    <t>輸送機械</t>
    <rPh sb="0" eb="2">
      <t>ユソウ</t>
    </rPh>
    <rPh sb="2" eb="4">
      <t>キカイ</t>
    </rPh>
    <phoneticPr fontId="5"/>
  </si>
  <si>
    <t>3521</t>
    <phoneticPr fontId="5"/>
  </si>
  <si>
    <t>トラック・バス・その他の自動車</t>
  </si>
  <si>
    <t>3522</t>
    <phoneticPr fontId="5"/>
  </si>
  <si>
    <t>二輪自動車</t>
  </si>
  <si>
    <t>3531</t>
    <phoneticPr fontId="5"/>
  </si>
  <si>
    <t>自動車用内燃機関</t>
    <phoneticPr fontId="5"/>
  </si>
  <si>
    <t>自動車部品</t>
  </si>
  <si>
    <t>3541</t>
    <phoneticPr fontId="5"/>
  </si>
  <si>
    <t>鋼船</t>
  </si>
  <si>
    <t>その他の船舶</t>
  </si>
  <si>
    <t>舶用内燃機関</t>
  </si>
  <si>
    <t>101</t>
  </si>
  <si>
    <t>船舶修理</t>
  </si>
  <si>
    <t>3591</t>
    <phoneticPr fontId="5"/>
  </si>
  <si>
    <t>鉄道車両</t>
  </si>
  <si>
    <t>鉄道車両修理</t>
  </si>
  <si>
    <t>3592</t>
    <phoneticPr fontId="5"/>
  </si>
  <si>
    <t>航空機</t>
  </si>
  <si>
    <t>航空機修理</t>
  </si>
  <si>
    <t>3599</t>
    <phoneticPr fontId="5"/>
  </si>
  <si>
    <t>自転車</t>
  </si>
  <si>
    <t>産業用運搬車両</t>
  </si>
  <si>
    <t>他に分類されない輸送機械</t>
    <rPh sb="0" eb="1">
      <t>タ</t>
    </rPh>
    <rPh sb="2" eb="4">
      <t>ブンルイ</t>
    </rPh>
    <rPh sb="8" eb="10">
      <t>ユソウ</t>
    </rPh>
    <rPh sb="10" eb="12">
      <t>キカイ</t>
    </rPh>
    <phoneticPr fontId="5"/>
  </si>
  <si>
    <t>3911</t>
  </si>
  <si>
    <t>がん具</t>
    <phoneticPr fontId="5"/>
  </si>
  <si>
    <t>運動用品</t>
  </si>
  <si>
    <t>3919</t>
  </si>
  <si>
    <t>身辺細貨品</t>
  </si>
  <si>
    <t>3919</t>
    <phoneticPr fontId="5"/>
  </si>
  <si>
    <t>時計</t>
  </si>
  <si>
    <t>楽器</t>
  </si>
  <si>
    <t>筆記具・文具</t>
  </si>
  <si>
    <t>051</t>
  </si>
  <si>
    <t>畳・わら加工品</t>
  </si>
  <si>
    <t>061</t>
    <phoneticPr fontId="5"/>
  </si>
  <si>
    <t>情報記録物</t>
  </si>
  <si>
    <t>その他の製造工業製品</t>
  </si>
  <si>
    <t>3921</t>
    <phoneticPr fontId="5"/>
  </si>
  <si>
    <t>再生資源回収・加工処理</t>
    <rPh sb="0" eb="2">
      <t>サイセイ</t>
    </rPh>
    <rPh sb="2" eb="4">
      <t>シゲン</t>
    </rPh>
    <rPh sb="4" eb="6">
      <t>カイシュウ</t>
    </rPh>
    <rPh sb="7" eb="9">
      <t>カコウ</t>
    </rPh>
    <rPh sb="9" eb="11">
      <t>ショリ</t>
    </rPh>
    <phoneticPr fontId="5"/>
  </si>
  <si>
    <t>4111</t>
  </si>
  <si>
    <t>住宅建築（木造）</t>
  </si>
  <si>
    <t>建設</t>
    <rPh sb="0" eb="2">
      <t>ケンセツ</t>
    </rPh>
    <phoneticPr fontId="5"/>
  </si>
  <si>
    <t>住宅建築（非木造）</t>
  </si>
  <si>
    <t>4112</t>
  </si>
  <si>
    <t>非住宅建築（木造）</t>
  </si>
  <si>
    <t>非住宅建築（非木造）</t>
  </si>
  <si>
    <t>4121</t>
  </si>
  <si>
    <t>建設補修</t>
  </si>
  <si>
    <t>4131</t>
  </si>
  <si>
    <t>道路関係公共事業</t>
  </si>
  <si>
    <t>河川・下水道・その他の公共事業</t>
  </si>
  <si>
    <t>農林関係公共事業</t>
  </si>
  <si>
    <t>4191</t>
    <phoneticPr fontId="5"/>
  </si>
  <si>
    <t>鉄道軌道建設</t>
  </si>
  <si>
    <t>4191</t>
  </si>
  <si>
    <t>電力施設建設</t>
  </si>
  <si>
    <t>電気通信施設建設</t>
  </si>
  <si>
    <t>その他の土木建設</t>
  </si>
  <si>
    <t>4611</t>
    <phoneticPr fontId="5"/>
  </si>
  <si>
    <t>事業用電力</t>
  </si>
  <si>
    <t>電力・ガス・熱供給</t>
    <rPh sb="0" eb="2">
      <t>デンリョク</t>
    </rPh>
    <rPh sb="6" eb="7">
      <t>ネツ</t>
    </rPh>
    <rPh sb="7" eb="9">
      <t>キョウキュウ</t>
    </rPh>
    <phoneticPr fontId="5"/>
  </si>
  <si>
    <t>自家発電</t>
  </si>
  <si>
    <t>4621</t>
    <phoneticPr fontId="5"/>
  </si>
  <si>
    <t>都市ガス</t>
  </si>
  <si>
    <t>4622</t>
    <phoneticPr fontId="5"/>
  </si>
  <si>
    <t>熱供給業</t>
  </si>
  <si>
    <t>4711</t>
    <phoneticPr fontId="5"/>
  </si>
  <si>
    <t>上水道・簡易水道</t>
  </si>
  <si>
    <t>水道</t>
    <rPh sb="0" eb="2">
      <t>スイドウ</t>
    </rPh>
    <phoneticPr fontId="5"/>
  </si>
  <si>
    <t>工業用水</t>
  </si>
  <si>
    <t>下水道★★</t>
  </si>
  <si>
    <t>4811</t>
    <phoneticPr fontId="5"/>
  </si>
  <si>
    <t>廃棄物処理（公営）★★</t>
  </si>
  <si>
    <t>廃棄物処理</t>
    <rPh sb="0" eb="3">
      <t>ハイキブツ</t>
    </rPh>
    <rPh sb="3" eb="5">
      <t>ショリ</t>
    </rPh>
    <phoneticPr fontId="5"/>
  </si>
  <si>
    <t>廃棄物処理</t>
    <phoneticPr fontId="5"/>
  </si>
  <si>
    <t>5111</t>
  </si>
  <si>
    <t>卸売</t>
  </si>
  <si>
    <t>商業</t>
    <rPh sb="0" eb="2">
      <t>ショウギョウ</t>
    </rPh>
    <phoneticPr fontId="5"/>
  </si>
  <si>
    <t>5112</t>
  </si>
  <si>
    <t>小売</t>
  </si>
  <si>
    <t>5311</t>
    <phoneticPr fontId="5"/>
  </si>
  <si>
    <t>公的金融（ＦＩＳＩＭ）</t>
    <phoneticPr fontId="5"/>
  </si>
  <si>
    <t>金融・保険</t>
    <rPh sb="0" eb="2">
      <t>キンユウ</t>
    </rPh>
    <rPh sb="3" eb="5">
      <t>ホケン</t>
    </rPh>
    <phoneticPr fontId="5"/>
  </si>
  <si>
    <t>民間金融（ＦＩＳＩＭ）</t>
    <phoneticPr fontId="5"/>
  </si>
  <si>
    <t>公的金融（手数料）</t>
  </si>
  <si>
    <t>民間金融（手数料）</t>
  </si>
  <si>
    <t>5312</t>
    <phoneticPr fontId="5"/>
  </si>
  <si>
    <t>生命保険</t>
  </si>
  <si>
    <t>損害保険</t>
  </si>
  <si>
    <t>5511</t>
    <phoneticPr fontId="5"/>
  </si>
  <si>
    <t>不動産仲介・管理業</t>
  </si>
  <si>
    <t>不動産</t>
    <rPh sb="0" eb="3">
      <t>フドウサン</t>
    </rPh>
    <phoneticPr fontId="5"/>
  </si>
  <si>
    <t>不動産賃貸業</t>
  </si>
  <si>
    <t>5521</t>
  </si>
  <si>
    <t>住宅賃貸料</t>
    <phoneticPr fontId="5"/>
  </si>
  <si>
    <t>5531</t>
  </si>
  <si>
    <t>住宅賃貸料（帰属家賃）</t>
    <rPh sb="0" eb="2">
      <t>ジュウタク</t>
    </rPh>
    <rPh sb="2" eb="5">
      <t>チンタイリョウ</t>
    </rPh>
    <rPh sb="6" eb="8">
      <t>キゾク</t>
    </rPh>
    <rPh sb="8" eb="10">
      <t>ヤチン</t>
    </rPh>
    <phoneticPr fontId="5"/>
  </si>
  <si>
    <t>5711</t>
    <phoneticPr fontId="5"/>
  </si>
  <si>
    <t>鉄道旅客輸送</t>
  </si>
  <si>
    <t>運輸・郵便</t>
    <rPh sb="0" eb="2">
      <t>ウンユ</t>
    </rPh>
    <rPh sb="3" eb="5">
      <t>ユウビン</t>
    </rPh>
    <phoneticPr fontId="5"/>
  </si>
  <si>
    <t>5712</t>
    <phoneticPr fontId="5"/>
  </si>
  <si>
    <t>鉄道貨物輸送</t>
  </si>
  <si>
    <t>5721</t>
    <phoneticPr fontId="5"/>
  </si>
  <si>
    <t>バス</t>
  </si>
  <si>
    <t>ハイヤー・タクシー</t>
  </si>
  <si>
    <t>5722</t>
    <phoneticPr fontId="5"/>
  </si>
  <si>
    <t>道路貨物輸送（自家輸送を除く。）</t>
    <rPh sb="7" eb="9">
      <t>ジカ</t>
    </rPh>
    <rPh sb="9" eb="11">
      <t>ユソウ</t>
    </rPh>
    <phoneticPr fontId="5"/>
  </si>
  <si>
    <t>5741</t>
    <phoneticPr fontId="5"/>
  </si>
  <si>
    <t>外洋輸送</t>
  </si>
  <si>
    <t>5742</t>
    <phoneticPr fontId="5"/>
  </si>
  <si>
    <t>沿海・内水面旅客輸送</t>
  </si>
  <si>
    <t>沿海・内水面貨物輸送</t>
  </si>
  <si>
    <t>5743</t>
    <phoneticPr fontId="5"/>
  </si>
  <si>
    <t>港湾運送</t>
  </si>
  <si>
    <t>5751</t>
    <phoneticPr fontId="5"/>
  </si>
  <si>
    <t>国際航空輸送</t>
  </si>
  <si>
    <t>5751</t>
  </si>
  <si>
    <t>国内航空旅客輸送</t>
  </si>
  <si>
    <t>国内航空貨物輸送</t>
  </si>
  <si>
    <t>航空機使用事業</t>
  </si>
  <si>
    <t>5761</t>
    <phoneticPr fontId="5"/>
  </si>
  <si>
    <t>貨物利用運送</t>
    <rPh sb="2" eb="4">
      <t>リヨウ</t>
    </rPh>
    <rPh sb="4" eb="6">
      <t>ウンソウ</t>
    </rPh>
    <phoneticPr fontId="5"/>
  </si>
  <si>
    <t>5771</t>
    <phoneticPr fontId="5"/>
  </si>
  <si>
    <t>倉庫</t>
  </si>
  <si>
    <t>5781</t>
    <phoneticPr fontId="5"/>
  </si>
  <si>
    <t>こん包</t>
  </si>
  <si>
    <t>5789</t>
  </si>
  <si>
    <t>道路輸送施設提供</t>
  </si>
  <si>
    <t>水運施設管理（国公営）★★</t>
    <rPh sb="7" eb="8">
      <t>クニ</t>
    </rPh>
    <rPh sb="8" eb="10">
      <t>コウエイ</t>
    </rPh>
    <phoneticPr fontId="5"/>
  </si>
  <si>
    <t>水運施設管理</t>
    <phoneticPr fontId="5"/>
  </si>
  <si>
    <t>水運附帯サービス</t>
    <rPh sb="2" eb="4">
      <t>フタイ</t>
    </rPh>
    <phoneticPr fontId="5"/>
  </si>
  <si>
    <t>航空施設管理（公営）★★</t>
    <phoneticPr fontId="5"/>
  </si>
  <si>
    <t>061</t>
  </si>
  <si>
    <t>航空施設管理</t>
    <phoneticPr fontId="5"/>
  </si>
  <si>
    <t>5789</t>
    <phoneticPr fontId="5"/>
  </si>
  <si>
    <t>0７1</t>
    <phoneticPr fontId="5"/>
  </si>
  <si>
    <t>航空附帯サービス</t>
    <rPh sb="2" eb="4">
      <t>フタイ</t>
    </rPh>
    <phoneticPr fontId="5"/>
  </si>
  <si>
    <t>旅行・その他の運輸附帯サービス</t>
    <rPh sb="9" eb="11">
      <t>フタイ</t>
    </rPh>
    <phoneticPr fontId="5"/>
  </si>
  <si>
    <t>5791</t>
    <phoneticPr fontId="5"/>
  </si>
  <si>
    <t>郵便・信書便</t>
    <rPh sb="3" eb="5">
      <t>シンショ</t>
    </rPh>
    <rPh sb="5" eb="6">
      <t>ビン</t>
    </rPh>
    <phoneticPr fontId="5"/>
  </si>
  <si>
    <t>5911</t>
    <phoneticPr fontId="5"/>
  </si>
  <si>
    <t>固定電気通信</t>
    <rPh sb="0" eb="2">
      <t>コテイ</t>
    </rPh>
    <rPh sb="2" eb="4">
      <t>デンキ</t>
    </rPh>
    <rPh sb="4" eb="6">
      <t>ツウシン</t>
    </rPh>
    <phoneticPr fontId="5"/>
  </si>
  <si>
    <t>移動電気通信</t>
    <rPh sb="0" eb="2">
      <t>イドウ</t>
    </rPh>
    <rPh sb="2" eb="4">
      <t>デンキ</t>
    </rPh>
    <rPh sb="4" eb="6">
      <t>ツウシン</t>
    </rPh>
    <phoneticPr fontId="5"/>
  </si>
  <si>
    <t>電気通信に附帯するサービス</t>
    <rPh sb="0" eb="2">
      <t>デンキ</t>
    </rPh>
    <rPh sb="2" eb="4">
      <t>ツウシン</t>
    </rPh>
    <rPh sb="5" eb="7">
      <t>フタイ</t>
    </rPh>
    <phoneticPr fontId="5"/>
  </si>
  <si>
    <t>5921</t>
    <phoneticPr fontId="5"/>
  </si>
  <si>
    <t>公共放送</t>
  </si>
  <si>
    <t>民間放送</t>
  </si>
  <si>
    <t>有線放送</t>
  </si>
  <si>
    <t>5931</t>
    <phoneticPr fontId="5"/>
  </si>
  <si>
    <t>ソフトウェア業</t>
  </si>
  <si>
    <t>情報処理・提供サービス</t>
  </si>
  <si>
    <t>5941</t>
    <phoneticPr fontId="5"/>
  </si>
  <si>
    <t>インターネット附随サービス</t>
    <rPh sb="7" eb="9">
      <t>フズイ</t>
    </rPh>
    <phoneticPr fontId="5"/>
  </si>
  <si>
    <t>5951</t>
    <phoneticPr fontId="5"/>
  </si>
  <si>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5"/>
  </si>
  <si>
    <t>新聞</t>
    <rPh sb="0" eb="2">
      <t>シンブン</t>
    </rPh>
    <phoneticPr fontId="5"/>
  </si>
  <si>
    <t>出版</t>
    <rPh sb="0" eb="2">
      <t>シュッパン</t>
    </rPh>
    <phoneticPr fontId="5"/>
  </si>
  <si>
    <t>6111</t>
  </si>
  <si>
    <t>公務（中央）★★</t>
  </si>
  <si>
    <t>公務</t>
    <rPh sb="0" eb="2">
      <t>コウム</t>
    </rPh>
    <phoneticPr fontId="5"/>
  </si>
  <si>
    <t>6112</t>
  </si>
  <si>
    <t>公務（地方）★★</t>
  </si>
  <si>
    <t>6311</t>
    <phoneticPr fontId="5"/>
  </si>
  <si>
    <t>学校教育（国公立）★★</t>
  </si>
  <si>
    <t>教育・研究</t>
    <rPh sb="0" eb="2">
      <t>キョウイク</t>
    </rPh>
    <rPh sb="3" eb="5">
      <t>ケンキュウ</t>
    </rPh>
    <phoneticPr fontId="5"/>
  </si>
  <si>
    <t>学校教育（私立）★</t>
  </si>
  <si>
    <t>6311</t>
  </si>
  <si>
    <t>学校給食（国公立）★★</t>
  </si>
  <si>
    <t>学校給食（私立）★</t>
  </si>
  <si>
    <t>6312</t>
  </si>
  <si>
    <t>社会教育（国公立）★★</t>
  </si>
  <si>
    <t>社会教育（非営利）★</t>
  </si>
  <si>
    <t>その他の教育訓練機関（国公立）★★</t>
    <phoneticPr fontId="5"/>
  </si>
  <si>
    <t>その他の教育訓練機関</t>
    <phoneticPr fontId="5"/>
  </si>
  <si>
    <t>6321</t>
  </si>
  <si>
    <t>自然科学研究機関（国公立）★★</t>
  </si>
  <si>
    <t>人文・社会科学研究機関（国公立）★★</t>
    <rPh sb="3" eb="5">
      <t>シャカイ</t>
    </rPh>
    <phoneticPr fontId="5"/>
  </si>
  <si>
    <t>自然科学研究機関（非営利）★</t>
  </si>
  <si>
    <t>人文・社会科学研究機関（非営利）★</t>
    <rPh sb="3" eb="5">
      <t>シャカイ</t>
    </rPh>
    <phoneticPr fontId="5"/>
  </si>
  <si>
    <t>自然科学研究機関</t>
    <phoneticPr fontId="5"/>
  </si>
  <si>
    <t>人文・社会科学研究機関</t>
    <rPh sb="3" eb="5">
      <t>シャカイ</t>
    </rPh>
    <phoneticPr fontId="5"/>
  </si>
  <si>
    <t>6322</t>
    <phoneticPr fontId="5"/>
  </si>
  <si>
    <t>企業内研究開発</t>
  </si>
  <si>
    <t>6411</t>
  </si>
  <si>
    <t>医療（入院診療）</t>
    <rPh sb="3" eb="5">
      <t>ニュウイン</t>
    </rPh>
    <rPh sb="5" eb="7">
      <t>シンリョウ</t>
    </rPh>
    <phoneticPr fontId="5"/>
  </si>
  <si>
    <t>医療福祉</t>
    <rPh sb="0" eb="2">
      <t>イリョウ</t>
    </rPh>
    <rPh sb="2" eb="4">
      <t>フクシ</t>
    </rPh>
    <phoneticPr fontId="5"/>
  </si>
  <si>
    <t>医療（入院外診療）</t>
    <rPh sb="3" eb="5">
      <t>ニュウイン</t>
    </rPh>
    <rPh sb="5" eb="6">
      <t>ガイ</t>
    </rPh>
    <rPh sb="6" eb="8">
      <t>シンリョウ</t>
    </rPh>
    <phoneticPr fontId="5"/>
  </si>
  <si>
    <t>医療（歯科診療）</t>
    <rPh sb="3" eb="5">
      <t>シカ</t>
    </rPh>
    <rPh sb="5" eb="7">
      <t>シンリョウ</t>
    </rPh>
    <phoneticPr fontId="5"/>
  </si>
  <si>
    <t>6411</t>
    <phoneticPr fontId="5"/>
  </si>
  <si>
    <t>医療（調剤）</t>
    <rPh sb="0" eb="2">
      <t>イリョウ</t>
    </rPh>
    <rPh sb="3" eb="5">
      <t>チョウザイ</t>
    </rPh>
    <phoneticPr fontId="5"/>
  </si>
  <si>
    <t>医療（その他の医療サービス）</t>
    <rPh sb="0" eb="2">
      <t>イリョウ</t>
    </rPh>
    <rPh sb="5" eb="6">
      <t>タ</t>
    </rPh>
    <rPh sb="7" eb="9">
      <t>イリョウ</t>
    </rPh>
    <phoneticPr fontId="5"/>
  </si>
  <si>
    <t>6421</t>
  </si>
  <si>
    <t>保健衛生（国公立）★★</t>
  </si>
  <si>
    <t>保健衛生</t>
    <phoneticPr fontId="5"/>
  </si>
  <si>
    <t>6431</t>
  </si>
  <si>
    <t>社会保険事業★★</t>
    <phoneticPr fontId="5"/>
  </si>
  <si>
    <t>社会福祉（国公立）★★</t>
  </si>
  <si>
    <t>社会福祉（非営利）★</t>
  </si>
  <si>
    <t>社会福祉</t>
    <phoneticPr fontId="5"/>
  </si>
  <si>
    <t>0５1</t>
    <phoneticPr fontId="5"/>
  </si>
  <si>
    <t>保育所</t>
    <rPh sb="0" eb="3">
      <t>ホイクショ</t>
    </rPh>
    <phoneticPr fontId="5"/>
  </si>
  <si>
    <t>※2015年新設</t>
    <rPh sb="5" eb="6">
      <t>ネン</t>
    </rPh>
    <rPh sb="6" eb="8">
      <t>シンセツ</t>
    </rPh>
    <phoneticPr fontId="5"/>
  </si>
  <si>
    <t>6441</t>
  </si>
  <si>
    <t>介護（施設サービス）</t>
    <rPh sb="0" eb="2">
      <t>カイゴ</t>
    </rPh>
    <rPh sb="3" eb="5">
      <t>シセツ</t>
    </rPh>
    <phoneticPr fontId="5"/>
  </si>
  <si>
    <t>介護（施設サービスを除く。）</t>
    <rPh sb="0" eb="2">
      <t>カイゴ</t>
    </rPh>
    <rPh sb="3" eb="5">
      <t>シセツ</t>
    </rPh>
    <rPh sb="10" eb="11">
      <t>ノゾ</t>
    </rPh>
    <phoneticPr fontId="5"/>
  </si>
  <si>
    <t>6599</t>
    <phoneticPr fontId="5"/>
  </si>
  <si>
    <t>会員制企業団体</t>
    <rPh sb="0" eb="3">
      <t>カイインセイ</t>
    </rPh>
    <phoneticPr fontId="5"/>
  </si>
  <si>
    <t>他に分類されない会員制団体</t>
    <rPh sb="0" eb="1">
      <t>ホカ</t>
    </rPh>
    <rPh sb="2" eb="4">
      <t>ブンルイ</t>
    </rPh>
    <rPh sb="8" eb="11">
      <t>カイインセイ</t>
    </rPh>
    <rPh sb="11" eb="13">
      <t>ダンタイ</t>
    </rPh>
    <phoneticPr fontId="4"/>
  </si>
  <si>
    <t>対家計民間非営利団体（別掲を除く。）★</t>
    <phoneticPr fontId="5"/>
  </si>
  <si>
    <t>6611</t>
  </si>
  <si>
    <t>産業用機械器具（建設機械器具を除く。）賃貸業</t>
    <phoneticPr fontId="5"/>
  </si>
  <si>
    <t>対事業所サービス</t>
    <rPh sb="0" eb="1">
      <t>タイ</t>
    </rPh>
    <rPh sb="1" eb="3">
      <t>ジギョウ</t>
    </rPh>
    <rPh sb="3" eb="4">
      <t>ショ</t>
    </rPh>
    <phoneticPr fontId="5"/>
  </si>
  <si>
    <t>建設機械器具賃貸業</t>
  </si>
  <si>
    <t>電子計算機・同関連機器賃貸業</t>
  </si>
  <si>
    <t>事務用機械器具（電算機等を除く。）賃貸業</t>
    <phoneticPr fontId="5"/>
  </si>
  <si>
    <t>スポーツ・娯楽用品・その他の物品賃貸業</t>
  </si>
  <si>
    <t>6612</t>
  </si>
  <si>
    <t>貸自動車業</t>
  </si>
  <si>
    <t>6621</t>
  </si>
  <si>
    <t>テレビ・ラジオ広告</t>
  </si>
  <si>
    <t>新聞・雑誌・その他の広告</t>
  </si>
  <si>
    <t>6631</t>
  </si>
  <si>
    <t>自動車整備</t>
    <rPh sb="0" eb="3">
      <t>ジドウシャ</t>
    </rPh>
    <rPh sb="3" eb="5">
      <t>セイビ</t>
    </rPh>
    <phoneticPr fontId="5"/>
  </si>
  <si>
    <t>6632</t>
  </si>
  <si>
    <t>機械修理</t>
  </si>
  <si>
    <t>6699</t>
  </si>
  <si>
    <t>法務・財務・会計サービス</t>
  </si>
  <si>
    <t>土木建築サービス</t>
  </si>
  <si>
    <t>労働者派遣サービス</t>
  </si>
  <si>
    <t>建物サービス</t>
  </si>
  <si>
    <t>警備業</t>
    <rPh sb="0" eb="3">
      <t>ケイビギョウ</t>
    </rPh>
    <phoneticPr fontId="5"/>
  </si>
  <si>
    <t>その他の対事業所サービス</t>
  </si>
  <si>
    <t>6711</t>
  </si>
  <si>
    <t>宿泊業</t>
    <rPh sb="0" eb="2">
      <t>シュクハク</t>
    </rPh>
    <rPh sb="2" eb="3">
      <t>ギョウ</t>
    </rPh>
    <phoneticPr fontId="5"/>
  </si>
  <si>
    <t>対個人サービス</t>
    <rPh sb="0" eb="1">
      <t>タイ</t>
    </rPh>
    <rPh sb="1" eb="3">
      <t>コジン</t>
    </rPh>
    <phoneticPr fontId="5"/>
  </si>
  <si>
    <t>6721</t>
  </si>
  <si>
    <t>飲食店</t>
    <rPh sb="0" eb="2">
      <t>インショク</t>
    </rPh>
    <rPh sb="2" eb="3">
      <t>ミセ</t>
    </rPh>
    <phoneticPr fontId="5"/>
  </si>
  <si>
    <t>持ち帰り・配達飲食サービス</t>
    <rPh sb="0" eb="1">
      <t>モ</t>
    </rPh>
    <rPh sb="2" eb="3">
      <t>カエ</t>
    </rPh>
    <rPh sb="5" eb="7">
      <t>ハイタツ</t>
    </rPh>
    <rPh sb="7" eb="9">
      <t>インショク</t>
    </rPh>
    <phoneticPr fontId="5"/>
  </si>
  <si>
    <t>6731</t>
  </si>
  <si>
    <t>洗濯業</t>
    <phoneticPr fontId="5"/>
  </si>
  <si>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</si>
  <si>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</si>
  <si>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</si>
  <si>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5"/>
  </si>
  <si>
    <t>6741</t>
  </si>
  <si>
    <t>映画館</t>
  </si>
  <si>
    <t>興行場（映画館を除く。）・興行団</t>
    <rPh sb="0" eb="2">
      <t>コウギョウ</t>
    </rPh>
    <rPh sb="2" eb="3">
      <t>ジョウ</t>
    </rPh>
    <rPh sb="4" eb="7">
      <t>エイガカン</t>
    </rPh>
    <rPh sb="13" eb="15">
      <t>コウギョウ</t>
    </rPh>
    <rPh sb="15" eb="16">
      <t>ダン</t>
    </rPh>
    <phoneticPr fontId="5"/>
  </si>
  <si>
    <t>競輪・競馬等の競走場・競技団</t>
  </si>
  <si>
    <t>スポーツ施設提供業・公園・遊園地</t>
  </si>
  <si>
    <t>遊戯場</t>
  </si>
  <si>
    <t>その他の娯楽</t>
  </si>
  <si>
    <t>6799</t>
  </si>
  <si>
    <t>写真業</t>
  </si>
  <si>
    <t>冠婚葬祭業</t>
  </si>
  <si>
    <t>個人教授業</t>
    <rPh sb="4" eb="5">
      <t>ギョウ</t>
    </rPh>
    <phoneticPr fontId="5"/>
  </si>
  <si>
    <t>各種修理業（別掲を除く。）</t>
    <phoneticPr fontId="5"/>
  </si>
  <si>
    <t>その他の対個人サービス</t>
  </si>
  <si>
    <t>6811</t>
    <phoneticPr fontId="5"/>
  </si>
  <si>
    <t>000P</t>
  </si>
  <si>
    <t>事務用品</t>
  </si>
  <si>
    <t>事務用品</t>
    <rPh sb="0" eb="2">
      <t>ジム</t>
    </rPh>
    <rPh sb="2" eb="4">
      <t>ヨウヒン</t>
    </rPh>
    <phoneticPr fontId="5"/>
  </si>
  <si>
    <t>6911</t>
    <phoneticPr fontId="5"/>
  </si>
  <si>
    <t>000</t>
  </si>
  <si>
    <t>分類不明</t>
    <phoneticPr fontId="5"/>
  </si>
  <si>
    <t>分類不明</t>
    <rPh sb="0" eb="2">
      <t>ブンルイ</t>
    </rPh>
    <rPh sb="2" eb="4">
      <t>フメイ</t>
    </rPh>
    <phoneticPr fontId="5"/>
  </si>
  <si>
    <t>合計</t>
    <rPh sb="0" eb="2">
      <t>ゴウケイ</t>
    </rPh>
    <phoneticPr fontId="5"/>
  </si>
  <si>
    <t>(資料）兵庫県統計課「兵庫県産業連関表」</t>
    <rPh sb="1" eb="3">
      <t>シリョウ</t>
    </rPh>
    <rPh sb="4" eb="7">
      <t>ヒョウゴケン</t>
    </rPh>
    <rPh sb="7" eb="9">
      <t>トウケイ</t>
    </rPh>
    <rPh sb="9" eb="10">
      <t>カ</t>
    </rPh>
    <rPh sb="11" eb="14">
      <t>ヒョウゴケン</t>
    </rPh>
    <rPh sb="14" eb="16">
      <t>サンギョウ</t>
    </rPh>
    <rPh sb="16" eb="18">
      <t>レンカン</t>
    </rPh>
    <rPh sb="18" eb="19">
      <t>ヒョウ</t>
    </rPh>
    <phoneticPr fontId="5"/>
  </si>
  <si>
    <t>医療</t>
    <rPh sb="0" eb="2">
      <t>イリョウ</t>
    </rPh>
    <phoneticPr fontId="5"/>
  </si>
  <si>
    <t>その他事業サービス</t>
    <rPh sb="2" eb="3">
      <t>タ</t>
    </rPh>
    <rPh sb="3" eb="5">
      <t>ジギョウ</t>
    </rPh>
    <phoneticPr fontId="5"/>
  </si>
  <si>
    <t>飲食店</t>
    <rPh sb="0" eb="3">
      <t>インショクテン</t>
    </rPh>
    <phoneticPr fontId="5"/>
  </si>
  <si>
    <t>平成27年兵庫県雇用表（作業分類表から作成）</t>
    <rPh sb="0" eb="2">
      <t>ヘイセイ</t>
    </rPh>
    <rPh sb="4" eb="5">
      <t>ネン</t>
    </rPh>
    <rPh sb="5" eb="8">
      <t>ヒョウゴケン</t>
    </rPh>
    <rPh sb="8" eb="10">
      <t>コヨウ</t>
    </rPh>
    <rPh sb="10" eb="11">
      <t>ヒョウ</t>
    </rPh>
    <rPh sb="12" eb="14">
      <t>サギョウ</t>
    </rPh>
    <rPh sb="14" eb="16">
      <t>ブンルイ</t>
    </rPh>
    <rPh sb="16" eb="17">
      <t>ヒョウ</t>
    </rPh>
    <rPh sb="19" eb="21">
      <t>サクセイ</t>
    </rPh>
    <phoneticPr fontId="1"/>
  </si>
  <si>
    <t>（単位：人）</t>
    <rPh sb="1" eb="3">
      <t>タンイ</t>
    </rPh>
    <rPh sb="4" eb="5">
      <t>ニン</t>
    </rPh>
    <phoneticPr fontId="1"/>
  </si>
  <si>
    <t>部門</t>
    <rPh sb="0" eb="2">
      <t>ブモン</t>
    </rPh>
    <phoneticPr fontId="1"/>
  </si>
  <si>
    <t>従業者総数</t>
  </si>
  <si>
    <t>個人業主</t>
  </si>
  <si>
    <t>家族従業者</t>
  </si>
  <si>
    <t>有給役員_x000D_
雇用者</t>
  </si>
  <si>
    <t>有給役員</t>
  </si>
  <si>
    <t>雇用者</t>
  </si>
  <si>
    <t>H27年</t>
    <rPh sb="3" eb="4">
      <t>ネン</t>
    </rPh>
    <phoneticPr fontId="1"/>
  </si>
  <si>
    <t>常用雇用者</t>
  </si>
  <si>
    <t>臨時雇用者</t>
  </si>
  <si>
    <t>県内生産額</t>
    <rPh sb="0" eb="2">
      <t>ケンナイ</t>
    </rPh>
    <rPh sb="2" eb="5">
      <t>セイサンガク</t>
    </rPh>
    <phoneticPr fontId="1"/>
  </si>
  <si>
    <t>正社員・
正職員</t>
    <phoneticPr fontId="1"/>
  </si>
  <si>
    <t>正社員・_x000D_
正職員以外</t>
  </si>
  <si>
    <t>（百万円）</t>
    <rPh sb="1" eb="2">
      <t>ヒャク</t>
    </rPh>
    <rPh sb="2" eb="4">
      <t>マンエン</t>
    </rPh>
    <phoneticPr fontId="11"/>
  </si>
  <si>
    <t>011101</t>
  </si>
  <si>
    <t>米</t>
    <phoneticPr fontId="1"/>
  </si>
  <si>
    <t>011102</t>
  </si>
  <si>
    <t>麦類</t>
    <phoneticPr fontId="1"/>
  </si>
  <si>
    <t>011201</t>
  </si>
  <si>
    <t>いも類</t>
    <phoneticPr fontId="1"/>
  </si>
  <si>
    <t>011202</t>
  </si>
  <si>
    <t>豆類</t>
    <phoneticPr fontId="1"/>
  </si>
  <si>
    <t>011301</t>
  </si>
  <si>
    <t>野菜（露地）</t>
    <phoneticPr fontId="1"/>
  </si>
  <si>
    <t>011302</t>
  </si>
  <si>
    <t>野菜（施設）</t>
    <phoneticPr fontId="1"/>
  </si>
  <si>
    <t>011401</t>
  </si>
  <si>
    <t>果実</t>
    <phoneticPr fontId="1"/>
  </si>
  <si>
    <t>011501</t>
  </si>
  <si>
    <t>砂糖原料作物</t>
    <phoneticPr fontId="1"/>
  </si>
  <si>
    <t>011502</t>
  </si>
  <si>
    <t>飲料用作物</t>
    <phoneticPr fontId="1"/>
  </si>
  <si>
    <t>011509</t>
  </si>
  <si>
    <t>その他の食用耕種作物</t>
    <phoneticPr fontId="1"/>
  </si>
  <si>
    <t>011601</t>
  </si>
  <si>
    <t>飼料作物</t>
    <phoneticPr fontId="1"/>
  </si>
  <si>
    <t>011602</t>
  </si>
  <si>
    <t>種苗</t>
    <phoneticPr fontId="1"/>
  </si>
  <si>
    <t>011603</t>
  </si>
  <si>
    <t>花き・花木類</t>
    <phoneticPr fontId="1"/>
  </si>
  <si>
    <t>011609</t>
  </si>
  <si>
    <t>その他の非食用耕種作物</t>
    <phoneticPr fontId="1"/>
  </si>
  <si>
    <t>012101</t>
  </si>
  <si>
    <t>酪農</t>
    <phoneticPr fontId="1"/>
  </si>
  <si>
    <t>012102</t>
  </si>
  <si>
    <t>肉用牛</t>
    <phoneticPr fontId="1"/>
  </si>
  <si>
    <t>012103</t>
  </si>
  <si>
    <t>豚</t>
    <phoneticPr fontId="1"/>
  </si>
  <si>
    <t>012104</t>
  </si>
  <si>
    <t>鶏卵</t>
    <phoneticPr fontId="1"/>
  </si>
  <si>
    <t>012105</t>
  </si>
  <si>
    <t>肉鶏</t>
    <phoneticPr fontId="1"/>
  </si>
  <si>
    <t>012109</t>
  </si>
  <si>
    <t>その他の畜産</t>
    <phoneticPr fontId="1"/>
  </si>
  <si>
    <t>013101</t>
  </si>
  <si>
    <t>獣医業</t>
    <phoneticPr fontId="1"/>
  </si>
  <si>
    <t>013102</t>
  </si>
  <si>
    <t>農業サービス（獣医業を除く。）</t>
    <phoneticPr fontId="1"/>
  </si>
  <si>
    <t>015101</t>
  </si>
  <si>
    <t>育林</t>
    <phoneticPr fontId="1"/>
  </si>
  <si>
    <t>015201</t>
  </si>
  <si>
    <t>素材</t>
    <phoneticPr fontId="1"/>
  </si>
  <si>
    <t>015301</t>
  </si>
  <si>
    <t>特用林産物（狩猟業を含む。）</t>
    <phoneticPr fontId="1"/>
  </si>
  <si>
    <t>017101</t>
  </si>
  <si>
    <t>海面漁業</t>
    <phoneticPr fontId="1"/>
  </si>
  <si>
    <t>017102</t>
  </si>
  <si>
    <t>海面養殖業</t>
    <phoneticPr fontId="1"/>
  </si>
  <si>
    <t>017201</t>
  </si>
  <si>
    <t>内水面漁業</t>
    <phoneticPr fontId="1"/>
  </si>
  <si>
    <t>017202</t>
  </si>
  <si>
    <t>内水面養殖業</t>
    <phoneticPr fontId="1"/>
  </si>
  <si>
    <t>061101</t>
  </si>
  <si>
    <t>石炭・原油・天然ガス</t>
    <phoneticPr fontId="1"/>
  </si>
  <si>
    <t>062101</t>
  </si>
  <si>
    <t>砂利・採石</t>
    <phoneticPr fontId="1"/>
  </si>
  <si>
    <t>062102</t>
  </si>
  <si>
    <t>砕石</t>
    <phoneticPr fontId="1"/>
  </si>
  <si>
    <t>062909</t>
  </si>
  <si>
    <t>その他の鉱物</t>
    <phoneticPr fontId="1"/>
  </si>
  <si>
    <t>111101</t>
  </si>
  <si>
    <t>食肉</t>
    <phoneticPr fontId="1"/>
  </si>
  <si>
    <t>酪農品</t>
    <phoneticPr fontId="1"/>
  </si>
  <si>
    <t>その他の畜産食料品</t>
    <rPh sb="2" eb="3">
      <t>タ</t>
    </rPh>
    <rPh sb="4" eb="6">
      <t>チクサン</t>
    </rPh>
    <rPh sb="6" eb="9">
      <t>ショクリョウヒン</t>
    </rPh>
    <phoneticPr fontId="1"/>
  </si>
  <si>
    <t>冷凍魚介類</t>
    <phoneticPr fontId="1"/>
  </si>
  <si>
    <t>塩・干・くん製品</t>
    <phoneticPr fontId="1"/>
  </si>
  <si>
    <t>水産びん・かん詰</t>
    <phoneticPr fontId="1"/>
  </si>
  <si>
    <t>ねり製品</t>
    <phoneticPr fontId="1"/>
  </si>
  <si>
    <t>その他の水産食料品</t>
    <rPh sb="7" eb="8">
      <t>リョウ</t>
    </rPh>
    <phoneticPr fontId="1"/>
  </si>
  <si>
    <t>精穀</t>
    <phoneticPr fontId="1"/>
  </si>
  <si>
    <t>製粉</t>
    <phoneticPr fontId="1"/>
  </si>
  <si>
    <t>めん類</t>
    <phoneticPr fontId="1"/>
  </si>
  <si>
    <t>パン類</t>
    <phoneticPr fontId="1"/>
  </si>
  <si>
    <t>菓子類</t>
    <phoneticPr fontId="1"/>
  </si>
  <si>
    <t>農産保存食料品</t>
    <phoneticPr fontId="1"/>
  </si>
  <si>
    <t>砂糖</t>
    <phoneticPr fontId="1"/>
  </si>
  <si>
    <t>でん粉</t>
    <phoneticPr fontId="1"/>
  </si>
  <si>
    <t>ぶどう糖・水あめ・異性化糖</t>
    <phoneticPr fontId="1"/>
  </si>
  <si>
    <t>動植物油脂</t>
    <phoneticPr fontId="1"/>
  </si>
  <si>
    <t>調味料</t>
    <phoneticPr fontId="1"/>
  </si>
  <si>
    <t>111901</t>
  </si>
  <si>
    <t>冷凍調理食品</t>
    <phoneticPr fontId="1"/>
  </si>
  <si>
    <t>111902</t>
  </si>
  <si>
    <t>レトルト食品</t>
    <phoneticPr fontId="1"/>
  </si>
  <si>
    <t>111903</t>
  </si>
  <si>
    <t>そう菜・すし・弁当</t>
    <phoneticPr fontId="1"/>
  </si>
  <si>
    <t>111909</t>
  </si>
  <si>
    <t>その他の食料品</t>
    <phoneticPr fontId="1"/>
  </si>
  <si>
    <t>112101</t>
  </si>
  <si>
    <t>清酒</t>
    <phoneticPr fontId="1"/>
  </si>
  <si>
    <t>112102</t>
  </si>
  <si>
    <t>ビール類</t>
    <phoneticPr fontId="1"/>
  </si>
  <si>
    <t>112103</t>
  </si>
  <si>
    <t>ウイスキー類</t>
    <phoneticPr fontId="1"/>
  </si>
  <si>
    <t>112109</t>
  </si>
  <si>
    <t>その他の酒類</t>
    <phoneticPr fontId="1"/>
  </si>
  <si>
    <t>112901</t>
  </si>
  <si>
    <t>茶・コーヒー</t>
    <phoneticPr fontId="1"/>
  </si>
  <si>
    <t>112902</t>
  </si>
  <si>
    <t>清涼飲料</t>
    <phoneticPr fontId="1"/>
  </si>
  <si>
    <t>112903</t>
  </si>
  <si>
    <t>製氷</t>
    <phoneticPr fontId="1"/>
  </si>
  <si>
    <t>113101</t>
  </si>
  <si>
    <t>飼料</t>
    <phoneticPr fontId="1"/>
  </si>
  <si>
    <t>113102</t>
  </si>
  <si>
    <t>有機質肥料（別掲を除く。）</t>
    <phoneticPr fontId="1"/>
  </si>
  <si>
    <t>114101</t>
  </si>
  <si>
    <t>たばこ</t>
    <phoneticPr fontId="1"/>
  </si>
  <si>
    <t>151101</t>
  </si>
  <si>
    <t>紡績糸</t>
    <phoneticPr fontId="1"/>
  </si>
  <si>
    <t>151201</t>
  </si>
  <si>
    <t>綿・スフ織物（合繊短繊維織物を含む。）</t>
    <phoneticPr fontId="1"/>
  </si>
  <si>
    <t>151202</t>
  </si>
  <si>
    <t>絹・人絹織物（合繊長繊維織物を含む。）</t>
    <phoneticPr fontId="1"/>
  </si>
  <si>
    <t>151209</t>
  </si>
  <si>
    <t>その他の織物</t>
    <phoneticPr fontId="1"/>
  </si>
  <si>
    <t>151301</t>
  </si>
  <si>
    <t>ニット生地</t>
    <phoneticPr fontId="1"/>
  </si>
  <si>
    <t>151401</t>
  </si>
  <si>
    <t>染色整理</t>
    <phoneticPr fontId="1"/>
  </si>
  <si>
    <t>151909</t>
  </si>
  <si>
    <t>その他の繊維工業製品</t>
    <phoneticPr fontId="1"/>
  </si>
  <si>
    <t>152101</t>
  </si>
  <si>
    <t>織物製衣服</t>
    <phoneticPr fontId="1"/>
  </si>
  <si>
    <t>152102</t>
  </si>
  <si>
    <t>ニット製衣服</t>
    <phoneticPr fontId="1"/>
  </si>
  <si>
    <t>152209</t>
  </si>
  <si>
    <t>その他の衣服・身の回り品</t>
    <phoneticPr fontId="1"/>
  </si>
  <si>
    <t>152901</t>
  </si>
  <si>
    <t>寝具</t>
    <phoneticPr fontId="1"/>
  </si>
  <si>
    <t>152902</t>
  </si>
  <si>
    <t>じゅうたん・床敷物</t>
    <phoneticPr fontId="1"/>
  </si>
  <si>
    <t>152909</t>
  </si>
  <si>
    <t>その他の繊維既製品</t>
    <phoneticPr fontId="1"/>
  </si>
  <si>
    <t>161101</t>
  </si>
  <si>
    <t>製材</t>
    <phoneticPr fontId="1"/>
  </si>
  <si>
    <t>161102</t>
  </si>
  <si>
    <t>合板・集成材</t>
    <phoneticPr fontId="1"/>
  </si>
  <si>
    <t>161103</t>
  </si>
  <si>
    <t>木材チップ</t>
    <phoneticPr fontId="1"/>
  </si>
  <si>
    <t>161909</t>
  </si>
  <si>
    <t>その他の木製品</t>
    <phoneticPr fontId="1"/>
  </si>
  <si>
    <t>162101</t>
  </si>
  <si>
    <t>木製家具</t>
    <phoneticPr fontId="1"/>
  </si>
  <si>
    <t>162102</t>
  </si>
  <si>
    <t>金属製家具</t>
    <phoneticPr fontId="1"/>
  </si>
  <si>
    <t>162103</t>
  </si>
  <si>
    <t>木製建具</t>
    <phoneticPr fontId="1"/>
  </si>
  <si>
    <t>162109</t>
  </si>
  <si>
    <t>その他の家具・装備品</t>
    <phoneticPr fontId="1"/>
  </si>
  <si>
    <t>163101</t>
  </si>
  <si>
    <t>パルプ</t>
    <phoneticPr fontId="1"/>
  </si>
  <si>
    <t>163201</t>
  </si>
  <si>
    <t>洋紙・和紙</t>
    <phoneticPr fontId="1"/>
  </si>
  <si>
    <t>163202</t>
  </si>
  <si>
    <t>板紙</t>
    <phoneticPr fontId="1"/>
  </si>
  <si>
    <t>163301</t>
  </si>
  <si>
    <t>段ボール</t>
    <phoneticPr fontId="1"/>
  </si>
  <si>
    <t>163302</t>
  </si>
  <si>
    <t>塗工紙・建設用加工紙</t>
    <phoneticPr fontId="1"/>
  </si>
  <si>
    <t>164101</t>
  </si>
  <si>
    <t>段ボール箱</t>
    <phoneticPr fontId="1"/>
  </si>
  <si>
    <t>164109</t>
  </si>
  <si>
    <t>その他の紙製容器</t>
    <phoneticPr fontId="1"/>
  </si>
  <si>
    <t>164901</t>
  </si>
  <si>
    <t>紙製衛生材料・用品</t>
    <phoneticPr fontId="1"/>
  </si>
  <si>
    <t>164909</t>
  </si>
  <si>
    <t>その他のパルプ・紙・紙加工品</t>
    <phoneticPr fontId="1"/>
  </si>
  <si>
    <t>191101</t>
  </si>
  <si>
    <t>印刷・製版・製本</t>
    <phoneticPr fontId="1"/>
  </si>
  <si>
    <t>201101</t>
  </si>
  <si>
    <t>化学肥料</t>
    <phoneticPr fontId="1"/>
  </si>
  <si>
    <t>202101</t>
  </si>
  <si>
    <t>ソーダ工業製品</t>
    <phoneticPr fontId="1"/>
  </si>
  <si>
    <t>202901</t>
  </si>
  <si>
    <t>無機顔料</t>
    <phoneticPr fontId="1"/>
  </si>
  <si>
    <t>202902</t>
  </si>
  <si>
    <t>圧縮ガス・液化ガス</t>
    <phoneticPr fontId="1"/>
  </si>
  <si>
    <t>202903</t>
  </si>
  <si>
    <t>塩</t>
    <phoneticPr fontId="1"/>
  </si>
  <si>
    <t>202909</t>
  </si>
  <si>
    <t>その他の無機化学工業製品</t>
    <phoneticPr fontId="1"/>
  </si>
  <si>
    <t>203101</t>
  </si>
  <si>
    <t>石油化学基礎製品</t>
    <phoneticPr fontId="1"/>
  </si>
  <si>
    <t>203102</t>
  </si>
  <si>
    <t>石油化学系芳香族製品</t>
    <phoneticPr fontId="1"/>
  </si>
  <si>
    <t>204101</t>
  </si>
  <si>
    <t>脂肪族中間物</t>
    <phoneticPr fontId="1"/>
  </si>
  <si>
    <t>204102</t>
  </si>
  <si>
    <t>環式中間物・合成染料・有機顔料</t>
    <phoneticPr fontId="1"/>
  </si>
  <si>
    <t>204201</t>
  </si>
  <si>
    <t>合成ゴム</t>
    <phoneticPr fontId="1"/>
  </si>
  <si>
    <t>204901</t>
  </si>
  <si>
    <t>メタン誘導品</t>
    <phoneticPr fontId="1"/>
  </si>
  <si>
    <t>204902</t>
  </si>
  <si>
    <t>可塑剤</t>
    <phoneticPr fontId="1"/>
  </si>
  <si>
    <t>204909</t>
  </si>
  <si>
    <t>その他の有機化学工業製品</t>
    <phoneticPr fontId="1"/>
  </si>
  <si>
    <t>205101</t>
  </si>
  <si>
    <t>熱硬化性樹脂</t>
    <phoneticPr fontId="1"/>
  </si>
  <si>
    <t>205102</t>
  </si>
  <si>
    <t>熱可塑性樹脂</t>
    <phoneticPr fontId="1"/>
  </si>
  <si>
    <t>205103</t>
  </si>
  <si>
    <t>高機能性樹脂</t>
    <phoneticPr fontId="1"/>
  </si>
  <si>
    <t>205109</t>
  </si>
  <si>
    <t>その他の合成樹脂</t>
    <phoneticPr fontId="1"/>
  </si>
  <si>
    <t>206101</t>
  </si>
  <si>
    <t>化学繊維</t>
    <rPh sb="0" eb="2">
      <t>カガク</t>
    </rPh>
    <rPh sb="2" eb="4">
      <t>センイ</t>
    </rPh>
    <phoneticPr fontId="1"/>
  </si>
  <si>
    <t>207101</t>
  </si>
  <si>
    <t>医薬品</t>
    <phoneticPr fontId="1"/>
  </si>
  <si>
    <t>208101</t>
  </si>
  <si>
    <t>油脂加工製品・界面活性剤</t>
    <phoneticPr fontId="1"/>
  </si>
  <si>
    <t>化粧品・歯磨</t>
    <phoneticPr fontId="1"/>
  </si>
  <si>
    <t>塗料</t>
    <phoneticPr fontId="1"/>
  </si>
  <si>
    <t>印刷インキ</t>
    <phoneticPr fontId="1"/>
  </si>
  <si>
    <t>208401</t>
  </si>
  <si>
    <t>農薬</t>
    <phoneticPr fontId="1"/>
  </si>
  <si>
    <t>208901</t>
  </si>
  <si>
    <t>ゼラチン・接着剤</t>
    <phoneticPr fontId="1"/>
  </si>
  <si>
    <t>写真感光材料</t>
    <phoneticPr fontId="1"/>
  </si>
  <si>
    <t>208909</t>
  </si>
  <si>
    <t>その他の化学最終製品</t>
    <phoneticPr fontId="1"/>
  </si>
  <si>
    <t>211101</t>
  </si>
  <si>
    <t>石油製品</t>
    <phoneticPr fontId="1"/>
  </si>
  <si>
    <t>212101</t>
  </si>
  <si>
    <t>石炭製品</t>
    <phoneticPr fontId="1"/>
  </si>
  <si>
    <t>212102</t>
  </si>
  <si>
    <t>舗装材料</t>
    <phoneticPr fontId="1"/>
  </si>
  <si>
    <t>221101</t>
  </si>
  <si>
    <t>プラスチック製品</t>
    <phoneticPr fontId="1"/>
  </si>
  <si>
    <t>222101</t>
  </si>
  <si>
    <t>タイヤ・チューブ</t>
    <phoneticPr fontId="1"/>
  </si>
  <si>
    <t>222909</t>
  </si>
  <si>
    <t>その他のゴム製品</t>
    <phoneticPr fontId="1"/>
  </si>
  <si>
    <t>231101</t>
  </si>
  <si>
    <t>革製履物</t>
    <phoneticPr fontId="1"/>
  </si>
  <si>
    <t>231201</t>
  </si>
  <si>
    <t>なめし革・革製品・毛皮（革製履物を除く。）</t>
    <rPh sb="3" eb="4">
      <t>カワ</t>
    </rPh>
    <rPh sb="5" eb="6">
      <t>カワ</t>
    </rPh>
    <rPh sb="6" eb="8">
      <t>セイヒン</t>
    </rPh>
    <rPh sb="9" eb="11">
      <t>ケガワ</t>
    </rPh>
    <rPh sb="12" eb="14">
      <t>カワセイ</t>
    </rPh>
    <rPh sb="14" eb="16">
      <t>ハキモノ</t>
    </rPh>
    <rPh sb="17" eb="18">
      <t>ノゾ</t>
    </rPh>
    <phoneticPr fontId="1"/>
  </si>
  <si>
    <t>251101</t>
  </si>
  <si>
    <t>板ガラス・安全ガラス</t>
    <phoneticPr fontId="1"/>
  </si>
  <si>
    <t>251102</t>
  </si>
  <si>
    <t>ガラス繊維・同製品</t>
    <phoneticPr fontId="1"/>
  </si>
  <si>
    <t>251109</t>
  </si>
  <si>
    <t>その他のガラス製品</t>
    <phoneticPr fontId="1"/>
  </si>
  <si>
    <t>252101</t>
  </si>
  <si>
    <t>セメント</t>
    <phoneticPr fontId="1"/>
  </si>
  <si>
    <t>252102</t>
  </si>
  <si>
    <t>生コンクリート</t>
    <phoneticPr fontId="1"/>
  </si>
  <si>
    <t>252103</t>
  </si>
  <si>
    <t>セメント製品</t>
    <phoneticPr fontId="1"/>
  </si>
  <si>
    <t>253101</t>
  </si>
  <si>
    <t>陶磁器</t>
    <phoneticPr fontId="1"/>
  </si>
  <si>
    <t>259101</t>
  </si>
  <si>
    <t>耐火物</t>
    <phoneticPr fontId="1"/>
  </si>
  <si>
    <t>259109</t>
  </si>
  <si>
    <t>その他の建設用土石製品</t>
    <phoneticPr fontId="1"/>
  </si>
  <si>
    <t>259901</t>
  </si>
  <si>
    <t>炭素・黒鉛製品</t>
    <phoneticPr fontId="1"/>
  </si>
  <si>
    <t>259902</t>
  </si>
  <si>
    <t>研磨材</t>
    <phoneticPr fontId="1"/>
  </si>
  <si>
    <t>259909</t>
  </si>
  <si>
    <t>その他の窯業・土石製品</t>
    <phoneticPr fontId="1"/>
  </si>
  <si>
    <t>261101</t>
  </si>
  <si>
    <t>銑鉄</t>
    <phoneticPr fontId="1"/>
  </si>
  <si>
    <t>261102</t>
  </si>
  <si>
    <t>フェロアロイ</t>
    <phoneticPr fontId="1"/>
  </si>
  <si>
    <t>261103</t>
  </si>
  <si>
    <t>粗鋼（転炉）</t>
    <phoneticPr fontId="1"/>
  </si>
  <si>
    <t>261104</t>
  </si>
  <si>
    <t>粗鋼（電気炉）</t>
    <phoneticPr fontId="1"/>
  </si>
  <si>
    <t>262101</t>
  </si>
  <si>
    <t>熱間圧延鋼材</t>
    <phoneticPr fontId="1"/>
  </si>
  <si>
    <t>262201</t>
  </si>
  <si>
    <t>鋼管</t>
    <phoneticPr fontId="1"/>
  </si>
  <si>
    <t>262301</t>
  </si>
  <si>
    <t>冷間仕上鋼材</t>
    <phoneticPr fontId="1"/>
  </si>
  <si>
    <t>262302</t>
  </si>
  <si>
    <t>めっき鋼材</t>
    <phoneticPr fontId="1"/>
  </si>
  <si>
    <t>263101</t>
  </si>
  <si>
    <t>鋳鍛鋼</t>
    <phoneticPr fontId="1"/>
  </si>
  <si>
    <t>263102</t>
  </si>
  <si>
    <t>鋳鉄管</t>
    <phoneticPr fontId="1"/>
  </si>
  <si>
    <t>263103</t>
  </si>
  <si>
    <t>鋳鉄品及び鍛工品（鉄）</t>
    <phoneticPr fontId="1"/>
  </si>
  <si>
    <t>269901</t>
  </si>
  <si>
    <t>鉄鋼シャースリット業</t>
    <phoneticPr fontId="1"/>
  </si>
  <si>
    <t>269909</t>
  </si>
  <si>
    <t>その他の鉄鋼製品</t>
    <phoneticPr fontId="1"/>
  </si>
  <si>
    <t>271101</t>
  </si>
  <si>
    <t>銅</t>
    <phoneticPr fontId="1"/>
  </si>
  <si>
    <t>271102</t>
  </si>
  <si>
    <t>鉛・亜鉛（再生を含む。）</t>
    <phoneticPr fontId="1"/>
  </si>
  <si>
    <t>271103</t>
  </si>
  <si>
    <t>アルミニウム（再生を含む。）</t>
    <phoneticPr fontId="1"/>
  </si>
  <si>
    <t>271109</t>
  </si>
  <si>
    <t>その他の非鉄金属地金</t>
    <phoneticPr fontId="1"/>
  </si>
  <si>
    <t>272101</t>
  </si>
  <si>
    <t>電線・ケーブル</t>
    <phoneticPr fontId="1"/>
  </si>
  <si>
    <t>272102</t>
  </si>
  <si>
    <t>光ファイバケーブル</t>
    <phoneticPr fontId="1"/>
  </si>
  <si>
    <t>272901</t>
  </si>
  <si>
    <t>伸銅品</t>
    <phoneticPr fontId="1"/>
  </si>
  <si>
    <t>272902</t>
  </si>
  <si>
    <t>アルミ圧延製品</t>
    <phoneticPr fontId="1"/>
  </si>
  <si>
    <t>272903</t>
  </si>
  <si>
    <t>非鉄金属素形材</t>
    <phoneticPr fontId="1"/>
  </si>
  <si>
    <t>272904</t>
  </si>
  <si>
    <t>核燃料</t>
    <phoneticPr fontId="1"/>
  </si>
  <si>
    <t>272909</t>
  </si>
  <si>
    <t>その他の非鉄金属製品</t>
    <phoneticPr fontId="1"/>
  </si>
  <si>
    <t>281101</t>
  </si>
  <si>
    <t>建設用金属製品</t>
    <phoneticPr fontId="1"/>
  </si>
  <si>
    <t>281201</t>
  </si>
  <si>
    <t>建築用金属製品</t>
    <phoneticPr fontId="1"/>
  </si>
  <si>
    <t>289101</t>
  </si>
  <si>
    <t>ガス・石油機器・暖房・調理装置</t>
    <rPh sb="11" eb="13">
      <t>チョウリ</t>
    </rPh>
    <rPh sb="13" eb="15">
      <t>ソウチ</t>
    </rPh>
    <phoneticPr fontId="1"/>
  </si>
  <si>
    <t>289901</t>
  </si>
  <si>
    <t>ボルト・ナット・リベット・スプリング</t>
    <phoneticPr fontId="1"/>
  </si>
  <si>
    <t>289902</t>
  </si>
  <si>
    <t>金属製容器・製缶板金製品</t>
    <phoneticPr fontId="1"/>
  </si>
  <si>
    <t>289903</t>
  </si>
  <si>
    <t>配管工事附属品・粉末や金製品・道具類</t>
    <phoneticPr fontId="1"/>
  </si>
  <si>
    <t>289909</t>
  </si>
  <si>
    <t>その他の金属製品</t>
    <phoneticPr fontId="1"/>
  </si>
  <si>
    <t>291101</t>
  </si>
  <si>
    <t>ボイラ</t>
    <phoneticPr fontId="1"/>
  </si>
  <si>
    <t>291102</t>
  </si>
  <si>
    <t>タービン</t>
    <phoneticPr fontId="1"/>
  </si>
  <si>
    <t>291103</t>
  </si>
  <si>
    <t>原動機</t>
    <phoneticPr fontId="1"/>
  </si>
  <si>
    <t>291201</t>
  </si>
  <si>
    <t>ポンプ・圧縮機</t>
    <phoneticPr fontId="1"/>
  </si>
  <si>
    <t>291301</t>
  </si>
  <si>
    <t>運搬機械</t>
    <phoneticPr fontId="1"/>
  </si>
  <si>
    <t>291401</t>
  </si>
  <si>
    <t>冷凍機・温湿調整装置</t>
    <phoneticPr fontId="1"/>
  </si>
  <si>
    <t>291901</t>
  </si>
  <si>
    <t>ベアリング</t>
    <phoneticPr fontId="1"/>
  </si>
  <si>
    <t>291909</t>
  </si>
  <si>
    <t>その他のはん用機械</t>
    <phoneticPr fontId="1"/>
  </si>
  <si>
    <t>301101</t>
  </si>
  <si>
    <t>農業用機械</t>
    <phoneticPr fontId="1"/>
  </si>
  <si>
    <t>301201</t>
  </si>
  <si>
    <t>建設・鉱山機械</t>
    <phoneticPr fontId="1"/>
  </si>
  <si>
    <t>301301</t>
  </si>
  <si>
    <t>繊維機械</t>
    <phoneticPr fontId="1"/>
  </si>
  <si>
    <t>301401</t>
  </si>
  <si>
    <t>生活関連産業用機械</t>
    <phoneticPr fontId="1"/>
  </si>
  <si>
    <t>301501</t>
  </si>
  <si>
    <t>化学機械</t>
    <phoneticPr fontId="1"/>
  </si>
  <si>
    <t>301502</t>
  </si>
  <si>
    <t>鋳造装置・プラスチック加工機械</t>
    <phoneticPr fontId="1"/>
  </si>
  <si>
    <t>301601</t>
  </si>
  <si>
    <t>金属工作機械</t>
    <phoneticPr fontId="1"/>
  </si>
  <si>
    <t>301602</t>
  </si>
  <si>
    <t>金属加工機械</t>
    <phoneticPr fontId="1"/>
  </si>
  <si>
    <t>301603</t>
  </si>
  <si>
    <t>機械工具</t>
    <phoneticPr fontId="1"/>
  </si>
  <si>
    <t>301701</t>
  </si>
  <si>
    <t>半導体製造装置</t>
    <phoneticPr fontId="1"/>
  </si>
  <si>
    <t>301901</t>
  </si>
  <si>
    <t>金型</t>
    <phoneticPr fontId="1"/>
  </si>
  <si>
    <t>301902</t>
  </si>
  <si>
    <t>真空装置・真空機器</t>
    <phoneticPr fontId="1"/>
  </si>
  <si>
    <t>301903</t>
  </si>
  <si>
    <t>ロボット</t>
    <phoneticPr fontId="1"/>
  </si>
  <si>
    <t>301909</t>
  </si>
  <si>
    <t>その他の生産用機械</t>
    <phoneticPr fontId="1"/>
  </si>
  <si>
    <t>311101</t>
  </si>
  <si>
    <t>複写機</t>
    <phoneticPr fontId="1"/>
  </si>
  <si>
    <t>311109</t>
  </si>
  <si>
    <t>その他の事務用機械</t>
    <phoneticPr fontId="1"/>
  </si>
  <si>
    <t>311201</t>
  </si>
  <si>
    <t>サービス用・娯楽用機器</t>
    <rPh sb="6" eb="9">
      <t>ゴラクヨウ</t>
    </rPh>
    <phoneticPr fontId="1"/>
  </si>
  <si>
    <t>311301</t>
  </si>
  <si>
    <t>計測機器</t>
    <phoneticPr fontId="1"/>
  </si>
  <si>
    <t>311401</t>
  </si>
  <si>
    <t>医療用機械器具</t>
    <phoneticPr fontId="1"/>
  </si>
  <si>
    <t>311501</t>
  </si>
  <si>
    <t>光学機械・レンズ</t>
    <phoneticPr fontId="1"/>
  </si>
  <si>
    <t>311601</t>
  </si>
  <si>
    <t>武器</t>
    <phoneticPr fontId="1"/>
  </si>
  <si>
    <t>半導体素子</t>
    <phoneticPr fontId="1"/>
  </si>
  <si>
    <t>集積回路</t>
    <phoneticPr fontId="1"/>
  </si>
  <si>
    <t>液晶パネル</t>
    <phoneticPr fontId="1"/>
  </si>
  <si>
    <t>フラットパネル・電子管</t>
    <phoneticPr fontId="1"/>
  </si>
  <si>
    <t>329901</t>
  </si>
  <si>
    <t>記録メディア</t>
    <rPh sb="0" eb="2">
      <t>キロク</t>
    </rPh>
    <phoneticPr fontId="1"/>
  </si>
  <si>
    <t>329902</t>
  </si>
  <si>
    <t>電子回路</t>
    <phoneticPr fontId="1"/>
  </si>
  <si>
    <t>329909</t>
  </si>
  <si>
    <t>その他の電子部品</t>
    <phoneticPr fontId="1"/>
  </si>
  <si>
    <t>331101</t>
  </si>
  <si>
    <t>回転電気機械</t>
    <phoneticPr fontId="1"/>
  </si>
  <si>
    <t>331102</t>
  </si>
  <si>
    <t>変圧器・変成器</t>
    <phoneticPr fontId="1"/>
  </si>
  <si>
    <t>331103</t>
  </si>
  <si>
    <t>開閉制御装置・配電盤</t>
    <phoneticPr fontId="1"/>
  </si>
  <si>
    <t>331104</t>
  </si>
  <si>
    <t>配線器具</t>
    <phoneticPr fontId="1"/>
  </si>
  <si>
    <t>331105</t>
  </si>
  <si>
    <t>内燃機関電装品</t>
    <phoneticPr fontId="1"/>
  </si>
  <si>
    <t>331109</t>
  </si>
  <si>
    <t>その他の産業用電気機器</t>
    <phoneticPr fontId="1"/>
  </si>
  <si>
    <t>332101</t>
  </si>
  <si>
    <t>民生用エアコンディショナ</t>
    <phoneticPr fontId="1"/>
  </si>
  <si>
    <t>332102</t>
  </si>
  <si>
    <t>民生用電気機器（エアコンを除く。）</t>
    <phoneticPr fontId="1"/>
  </si>
  <si>
    <t>333101</t>
  </si>
  <si>
    <t>電子応用装置</t>
    <phoneticPr fontId="1"/>
  </si>
  <si>
    <t>333201</t>
  </si>
  <si>
    <t>電気計測器</t>
    <phoneticPr fontId="1"/>
  </si>
  <si>
    <t>339901</t>
  </si>
  <si>
    <t>電球類</t>
    <phoneticPr fontId="1"/>
  </si>
  <si>
    <t>339902</t>
  </si>
  <si>
    <t>電気照明器具</t>
    <phoneticPr fontId="1"/>
  </si>
  <si>
    <t>339903</t>
  </si>
  <si>
    <t>電池</t>
    <phoneticPr fontId="1"/>
  </si>
  <si>
    <t>339909</t>
  </si>
  <si>
    <t>その他の電気機械器具</t>
    <phoneticPr fontId="1"/>
  </si>
  <si>
    <t>有線電気通信機器</t>
    <phoneticPr fontId="1"/>
  </si>
  <si>
    <t>携帯電話機</t>
    <phoneticPr fontId="1"/>
  </si>
  <si>
    <t>無線電気通信機器（携帯電話機を除く。）</t>
    <phoneticPr fontId="1"/>
  </si>
  <si>
    <t>ラジオ・テレビ受信機</t>
    <phoneticPr fontId="1"/>
  </si>
  <si>
    <t>その他の電気通信機器</t>
    <phoneticPr fontId="1"/>
  </si>
  <si>
    <t>ビデオ機器・デジタルカメラ</t>
    <phoneticPr fontId="1"/>
  </si>
  <si>
    <t>電気音響機器</t>
    <phoneticPr fontId="1"/>
  </si>
  <si>
    <t>342101</t>
  </si>
  <si>
    <t>パーソナルコンピュータ</t>
    <phoneticPr fontId="1"/>
  </si>
  <si>
    <t>342102</t>
  </si>
  <si>
    <t>電子計算機本体（パソコンを除く。）</t>
    <phoneticPr fontId="1"/>
  </si>
  <si>
    <t>342103</t>
  </si>
  <si>
    <t>電子計算機附属装置</t>
    <phoneticPr fontId="1"/>
  </si>
  <si>
    <t>351101</t>
  </si>
  <si>
    <t>乗用車</t>
    <phoneticPr fontId="1"/>
  </si>
  <si>
    <t>352101</t>
  </si>
  <si>
    <t>トラック・バス・その他の自動車</t>
    <phoneticPr fontId="1"/>
  </si>
  <si>
    <t>352201</t>
  </si>
  <si>
    <t>二輪自動車</t>
    <phoneticPr fontId="1"/>
  </si>
  <si>
    <t>353101</t>
  </si>
  <si>
    <t>自動車用内燃機関</t>
    <phoneticPr fontId="1"/>
  </si>
  <si>
    <t>353102</t>
  </si>
  <si>
    <t>自動車部品</t>
    <phoneticPr fontId="1"/>
  </si>
  <si>
    <t>354101</t>
  </si>
  <si>
    <t>鋼船</t>
    <phoneticPr fontId="1"/>
  </si>
  <si>
    <t>354102</t>
  </si>
  <si>
    <t>その他の船舶</t>
    <phoneticPr fontId="1"/>
  </si>
  <si>
    <t>354103</t>
  </si>
  <si>
    <t>舶用内燃機関</t>
    <phoneticPr fontId="1"/>
  </si>
  <si>
    <t>354110</t>
  </si>
  <si>
    <t>船舶修理</t>
    <phoneticPr fontId="1"/>
  </si>
  <si>
    <t>359101</t>
  </si>
  <si>
    <t>鉄道車両</t>
    <phoneticPr fontId="1"/>
  </si>
  <si>
    <t>359110</t>
  </si>
  <si>
    <t>鉄道車両修理</t>
    <phoneticPr fontId="1"/>
  </si>
  <si>
    <t>359201</t>
  </si>
  <si>
    <t>航空機</t>
    <phoneticPr fontId="1"/>
  </si>
  <si>
    <t>359210</t>
  </si>
  <si>
    <t>航空機修理</t>
    <phoneticPr fontId="1"/>
  </si>
  <si>
    <t>359901</t>
  </si>
  <si>
    <t>自転車</t>
    <phoneticPr fontId="1"/>
  </si>
  <si>
    <t>359909</t>
  </si>
  <si>
    <t>その他の輸送機械</t>
    <phoneticPr fontId="1"/>
  </si>
  <si>
    <t>391101</t>
  </si>
  <si>
    <t>がん具</t>
    <phoneticPr fontId="1"/>
  </si>
  <si>
    <t>391102</t>
  </si>
  <si>
    <t>運動用品</t>
    <phoneticPr fontId="1"/>
  </si>
  <si>
    <t>391901</t>
  </si>
  <si>
    <t>身辺細貨品</t>
    <phoneticPr fontId="1"/>
  </si>
  <si>
    <t>391902</t>
  </si>
  <si>
    <t>時計</t>
    <phoneticPr fontId="1"/>
  </si>
  <si>
    <t>391903</t>
  </si>
  <si>
    <t>楽器</t>
    <phoneticPr fontId="1"/>
  </si>
  <si>
    <t>391904</t>
  </si>
  <si>
    <t>筆記具・文具</t>
    <phoneticPr fontId="1"/>
  </si>
  <si>
    <t>391905</t>
  </si>
  <si>
    <t>畳・わら加工品</t>
    <phoneticPr fontId="1"/>
  </si>
  <si>
    <t>391906</t>
  </si>
  <si>
    <t>情報記録物</t>
    <phoneticPr fontId="1"/>
  </si>
  <si>
    <t>391909</t>
  </si>
  <si>
    <t>その他の製造工業製品</t>
    <phoneticPr fontId="1"/>
  </si>
  <si>
    <t>392101</t>
  </si>
  <si>
    <t>再生資源回収・加工処理</t>
    <phoneticPr fontId="1"/>
  </si>
  <si>
    <t>411101</t>
  </si>
  <si>
    <t>住宅建築（木造）</t>
    <phoneticPr fontId="1"/>
  </si>
  <si>
    <t>411102</t>
  </si>
  <si>
    <t>住宅建築（非木造）</t>
    <phoneticPr fontId="1"/>
  </si>
  <si>
    <t>411201</t>
  </si>
  <si>
    <t>非住宅建築（木造）</t>
    <phoneticPr fontId="1"/>
  </si>
  <si>
    <t>411202</t>
  </si>
  <si>
    <t>非住宅建築（非木造）</t>
    <phoneticPr fontId="1"/>
  </si>
  <si>
    <t>412101</t>
  </si>
  <si>
    <t>建設補修</t>
    <phoneticPr fontId="1"/>
  </si>
  <si>
    <t>413101</t>
  </si>
  <si>
    <t>道路関係公共事業</t>
    <phoneticPr fontId="1"/>
  </si>
  <si>
    <t>413102</t>
  </si>
  <si>
    <t>河川・下水道・その他の公共事業</t>
    <phoneticPr fontId="1"/>
  </si>
  <si>
    <t>413103</t>
  </si>
  <si>
    <t>農林関係公共事業</t>
    <phoneticPr fontId="1"/>
  </si>
  <si>
    <t>419101</t>
  </si>
  <si>
    <t>鉄道軌道建設</t>
    <phoneticPr fontId="1"/>
  </si>
  <si>
    <t>419102</t>
  </si>
  <si>
    <t>電力施設建設</t>
    <phoneticPr fontId="1"/>
  </si>
  <si>
    <t>419103</t>
  </si>
  <si>
    <t>電気通信施設建設</t>
    <phoneticPr fontId="1"/>
  </si>
  <si>
    <t>419109</t>
  </si>
  <si>
    <t>その他の土木建設</t>
    <phoneticPr fontId="1"/>
  </si>
  <si>
    <t>事業用火力発電</t>
    <phoneticPr fontId="1"/>
  </si>
  <si>
    <t>事業用発電（火力発電を除く。）</t>
    <rPh sb="0" eb="3">
      <t>ジギョウヨウ</t>
    </rPh>
    <rPh sb="3" eb="5">
      <t>ハツデン</t>
    </rPh>
    <rPh sb="6" eb="8">
      <t>カリョク</t>
    </rPh>
    <rPh sb="8" eb="10">
      <t>ハツデン</t>
    </rPh>
    <rPh sb="11" eb="12">
      <t>ノゾ</t>
    </rPh>
    <phoneticPr fontId="1"/>
  </si>
  <si>
    <t>自家発電</t>
    <phoneticPr fontId="1"/>
  </si>
  <si>
    <t>462101</t>
  </si>
  <si>
    <t>都市ガス</t>
    <phoneticPr fontId="1"/>
  </si>
  <si>
    <t>462201</t>
  </si>
  <si>
    <t>熱供給業</t>
    <phoneticPr fontId="1"/>
  </si>
  <si>
    <t>471101</t>
  </si>
  <si>
    <t>上水道・簡易水道</t>
    <phoneticPr fontId="1"/>
  </si>
  <si>
    <t>471102</t>
  </si>
  <si>
    <t>工業用水</t>
    <phoneticPr fontId="1"/>
  </si>
  <si>
    <t>471103</t>
  </si>
  <si>
    <t>下水道★★</t>
    <phoneticPr fontId="1"/>
  </si>
  <si>
    <t>481101</t>
  </si>
  <si>
    <t>廃棄物処理（公営）★★</t>
    <phoneticPr fontId="1"/>
  </si>
  <si>
    <t>481102</t>
  </si>
  <si>
    <t>廃棄物処理</t>
    <phoneticPr fontId="1"/>
  </si>
  <si>
    <t>511101</t>
  </si>
  <si>
    <t>卸売</t>
    <phoneticPr fontId="1"/>
  </si>
  <si>
    <t>511201</t>
  </si>
  <si>
    <t>小売</t>
    <phoneticPr fontId="1"/>
  </si>
  <si>
    <t>531101</t>
  </si>
  <si>
    <t>金融</t>
    <phoneticPr fontId="1"/>
  </si>
  <si>
    <t>531201</t>
  </si>
  <si>
    <t>生命保険</t>
    <phoneticPr fontId="1"/>
  </si>
  <si>
    <t>531202</t>
  </si>
  <si>
    <t>損害保険</t>
    <phoneticPr fontId="1"/>
  </si>
  <si>
    <t>551101</t>
  </si>
  <si>
    <t>不動産仲介・管理業</t>
    <phoneticPr fontId="1"/>
  </si>
  <si>
    <t>551102</t>
  </si>
  <si>
    <t>不動産賃貸業</t>
    <phoneticPr fontId="1"/>
  </si>
  <si>
    <t>552101</t>
  </si>
  <si>
    <t>住宅賃貸料</t>
    <phoneticPr fontId="1"/>
  </si>
  <si>
    <t>571101</t>
  </si>
  <si>
    <t>鉄道旅客輸送</t>
    <phoneticPr fontId="1"/>
  </si>
  <si>
    <t>571201</t>
  </si>
  <si>
    <t>鉄道貨物輸送</t>
    <phoneticPr fontId="1"/>
  </si>
  <si>
    <t>572101</t>
  </si>
  <si>
    <t>バス</t>
    <phoneticPr fontId="1"/>
  </si>
  <si>
    <t>572102</t>
  </si>
  <si>
    <t>ハイヤー・タクシー</t>
    <phoneticPr fontId="1"/>
  </si>
  <si>
    <t>572201</t>
  </si>
  <si>
    <t>道路貨物輸送（自家輸送を除く。）</t>
    <phoneticPr fontId="1"/>
  </si>
  <si>
    <t>574101</t>
  </si>
  <si>
    <t>外洋輸送</t>
    <phoneticPr fontId="1"/>
  </si>
  <si>
    <t>574201</t>
  </si>
  <si>
    <t>沿海・内水面輸送</t>
    <phoneticPr fontId="1"/>
  </si>
  <si>
    <t>574301</t>
  </si>
  <si>
    <t>港湾運送</t>
    <phoneticPr fontId="1"/>
  </si>
  <si>
    <t>575101</t>
  </si>
  <si>
    <t>航空輸送</t>
    <phoneticPr fontId="1"/>
  </si>
  <si>
    <t>576101</t>
  </si>
  <si>
    <t>貨物利用運送</t>
    <phoneticPr fontId="1"/>
  </si>
  <si>
    <t>577101</t>
  </si>
  <si>
    <t>倉庫</t>
    <phoneticPr fontId="1"/>
  </si>
  <si>
    <t>578101</t>
  </si>
  <si>
    <t>こん包</t>
    <phoneticPr fontId="1"/>
  </si>
  <si>
    <t>578901</t>
  </si>
  <si>
    <t>道路輸送施設提供</t>
    <phoneticPr fontId="1"/>
  </si>
  <si>
    <t>578902</t>
  </si>
  <si>
    <t>水運施設管理（国公営）★★</t>
    <rPh sb="7" eb="8">
      <t>クニ</t>
    </rPh>
    <rPh sb="8" eb="10">
      <t>コウエイ</t>
    </rPh>
    <phoneticPr fontId="1"/>
  </si>
  <si>
    <t>578903</t>
  </si>
  <si>
    <t>水運施設管理</t>
    <phoneticPr fontId="1"/>
  </si>
  <si>
    <t>578904</t>
  </si>
  <si>
    <t>水運附帯サービス</t>
    <phoneticPr fontId="1"/>
  </si>
  <si>
    <t>578905</t>
  </si>
  <si>
    <t>航空施設管理（公営）★★</t>
    <phoneticPr fontId="1"/>
  </si>
  <si>
    <t>578906</t>
  </si>
  <si>
    <t>航空施設管理</t>
    <phoneticPr fontId="1"/>
  </si>
  <si>
    <t>578907</t>
  </si>
  <si>
    <t>航空附帯サービス</t>
    <phoneticPr fontId="1"/>
  </si>
  <si>
    <t>578909</t>
  </si>
  <si>
    <t>旅行・その他の運輸附帯サービス</t>
    <phoneticPr fontId="1"/>
  </si>
  <si>
    <t>579101</t>
  </si>
  <si>
    <t>郵便・信書便</t>
    <phoneticPr fontId="1"/>
  </si>
  <si>
    <t>591101</t>
  </si>
  <si>
    <t>固定電気通信</t>
    <phoneticPr fontId="1"/>
  </si>
  <si>
    <t>591102</t>
  </si>
  <si>
    <t>移動電気通信</t>
    <phoneticPr fontId="1"/>
  </si>
  <si>
    <t>591103</t>
  </si>
  <si>
    <t>電気通信に附帯するサービス</t>
    <rPh sb="0" eb="2">
      <t>デンキ</t>
    </rPh>
    <rPh sb="5" eb="7">
      <t>フタイ</t>
    </rPh>
    <phoneticPr fontId="1"/>
  </si>
  <si>
    <t>592101</t>
  </si>
  <si>
    <t>公共放送</t>
    <phoneticPr fontId="1"/>
  </si>
  <si>
    <t>592102</t>
  </si>
  <si>
    <t>民間放送</t>
    <phoneticPr fontId="1"/>
  </si>
  <si>
    <t>592103</t>
  </si>
  <si>
    <t>有線放送</t>
    <phoneticPr fontId="1"/>
  </si>
  <si>
    <t>593101</t>
  </si>
  <si>
    <t>情報サービス</t>
    <phoneticPr fontId="1"/>
  </si>
  <si>
    <t>594101</t>
  </si>
  <si>
    <t>インターネット附随サービス</t>
    <phoneticPr fontId="1"/>
  </si>
  <si>
    <t>595101</t>
  </si>
  <si>
    <t>映像・音声・文字情報制作（新聞・出版を除く。）</t>
    <rPh sb="13" eb="15">
      <t>シンブン</t>
    </rPh>
    <rPh sb="16" eb="18">
      <t>シュッパン</t>
    </rPh>
    <rPh sb="19" eb="20">
      <t>ノゾ</t>
    </rPh>
    <phoneticPr fontId="1"/>
  </si>
  <si>
    <t>595102</t>
  </si>
  <si>
    <t>新聞</t>
    <phoneticPr fontId="1"/>
  </si>
  <si>
    <t>595103</t>
  </si>
  <si>
    <t>出版</t>
    <phoneticPr fontId="1"/>
  </si>
  <si>
    <t>611101</t>
  </si>
  <si>
    <t>公務（中央）★★</t>
    <phoneticPr fontId="1"/>
  </si>
  <si>
    <t>611201</t>
  </si>
  <si>
    <t>公務（地方）★★</t>
    <phoneticPr fontId="1"/>
  </si>
  <si>
    <t>631101</t>
  </si>
  <si>
    <t>学校教育（国公立）★★</t>
    <phoneticPr fontId="1"/>
  </si>
  <si>
    <t>631102</t>
  </si>
  <si>
    <t>学校教育（私立）★</t>
    <phoneticPr fontId="1"/>
  </si>
  <si>
    <t>631103</t>
  </si>
  <si>
    <t>学校給食（国公立）★★</t>
    <phoneticPr fontId="1"/>
  </si>
  <si>
    <t>631104</t>
  </si>
  <si>
    <t>学校給食（私立）★</t>
    <phoneticPr fontId="1"/>
  </si>
  <si>
    <t>631201</t>
  </si>
  <si>
    <t>社会教育（国公立）★★</t>
    <phoneticPr fontId="1"/>
  </si>
  <si>
    <t>631202</t>
  </si>
  <si>
    <t>社会教育（非営利）★</t>
    <phoneticPr fontId="1"/>
  </si>
  <si>
    <t>631203</t>
  </si>
  <si>
    <t>その他の教育訓練機関（国公立）★★</t>
    <phoneticPr fontId="1"/>
  </si>
  <si>
    <t>631204</t>
  </si>
  <si>
    <t>その他の教育訓練機関</t>
    <phoneticPr fontId="1"/>
  </si>
  <si>
    <t>632101</t>
  </si>
  <si>
    <t>自然科学研究機関（国公立）★★</t>
    <phoneticPr fontId="1"/>
  </si>
  <si>
    <t>632102</t>
  </si>
  <si>
    <t>人文・社会科学研究機関（国公立）★★</t>
    <rPh sb="3" eb="5">
      <t>シャカイ</t>
    </rPh>
    <phoneticPr fontId="1"/>
  </si>
  <si>
    <t>632103</t>
  </si>
  <si>
    <t>自然科学研究機関（非営利）★</t>
    <phoneticPr fontId="1"/>
  </si>
  <si>
    <t>632104</t>
  </si>
  <si>
    <t>人文・社会科学研究機関（非営利）★</t>
    <rPh sb="3" eb="5">
      <t>シャカイ</t>
    </rPh>
    <phoneticPr fontId="1"/>
  </si>
  <si>
    <t>632105</t>
  </si>
  <si>
    <t>自然科学研究機関</t>
    <phoneticPr fontId="1"/>
  </si>
  <si>
    <t>632106</t>
  </si>
  <si>
    <t>人文・社会科学研究機関</t>
    <rPh sb="3" eb="5">
      <t>シャカイ</t>
    </rPh>
    <phoneticPr fontId="1"/>
  </si>
  <si>
    <t>632201</t>
  </si>
  <si>
    <t>企業内研究開発</t>
    <phoneticPr fontId="1"/>
  </si>
  <si>
    <t>641101</t>
  </si>
  <si>
    <t>医療（入院診療）</t>
    <phoneticPr fontId="1"/>
  </si>
  <si>
    <t>641102</t>
  </si>
  <si>
    <t>医療（入院外診療）</t>
    <phoneticPr fontId="1"/>
  </si>
  <si>
    <t>641103</t>
  </si>
  <si>
    <t>医療（歯科診療）</t>
    <phoneticPr fontId="1"/>
  </si>
  <si>
    <t>641104</t>
  </si>
  <si>
    <t>医療（調剤）</t>
    <phoneticPr fontId="1"/>
  </si>
  <si>
    <t>641105</t>
  </si>
  <si>
    <t>医療（その他の医療サービス）</t>
    <phoneticPr fontId="1"/>
  </si>
  <si>
    <t>642101</t>
  </si>
  <si>
    <t>保健衛生（国公立）★★</t>
    <phoneticPr fontId="1"/>
  </si>
  <si>
    <t>642102</t>
  </si>
  <si>
    <t>保健衛生</t>
    <phoneticPr fontId="1"/>
  </si>
  <si>
    <t>643101</t>
  </si>
  <si>
    <t>社会保険事業★★</t>
    <phoneticPr fontId="1"/>
  </si>
  <si>
    <t>643102</t>
  </si>
  <si>
    <t>社会福祉（国公立）★★</t>
    <phoneticPr fontId="1"/>
  </si>
  <si>
    <t>643103</t>
  </si>
  <si>
    <t>社会福祉（非営利）★</t>
    <phoneticPr fontId="1"/>
  </si>
  <si>
    <t>643104</t>
  </si>
  <si>
    <t>社会福祉</t>
    <phoneticPr fontId="1"/>
  </si>
  <si>
    <t>643105</t>
  </si>
  <si>
    <t>保育所</t>
    <rPh sb="0" eb="3">
      <t>ホイクショ</t>
    </rPh>
    <phoneticPr fontId="1"/>
  </si>
  <si>
    <t>644101</t>
  </si>
  <si>
    <t>介護（施設サービス）</t>
    <phoneticPr fontId="1"/>
  </si>
  <si>
    <t>644102</t>
  </si>
  <si>
    <t>介護（施設サービスを除く。）</t>
    <phoneticPr fontId="1"/>
  </si>
  <si>
    <t>659901</t>
  </si>
  <si>
    <t>会員制企業団体</t>
    <rPh sb="0" eb="3">
      <t>カイインセイ</t>
    </rPh>
    <rPh sb="3" eb="5">
      <t>キギョウ</t>
    </rPh>
    <rPh sb="5" eb="7">
      <t>ダンタイ</t>
    </rPh>
    <phoneticPr fontId="1"/>
  </si>
  <si>
    <t>659902</t>
  </si>
  <si>
    <t>対家計民間非営利団体（別掲を除く。）★</t>
    <phoneticPr fontId="1"/>
  </si>
  <si>
    <t>661101</t>
  </si>
  <si>
    <t>物品賃貸業（貸自動車を除く。）</t>
    <phoneticPr fontId="1"/>
  </si>
  <si>
    <t>661201</t>
  </si>
  <si>
    <t>貸自動車業</t>
    <phoneticPr fontId="1"/>
  </si>
  <si>
    <t>662101</t>
  </si>
  <si>
    <t>広告</t>
    <phoneticPr fontId="1"/>
  </si>
  <si>
    <t>663110</t>
  </si>
  <si>
    <t>自動車整備</t>
    <phoneticPr fontId="1"/>
  </si>
  <si>
    <t>663210</t>
  </si>
  <si>
    <t>機械修理</t>
    <phoneticPr fontId="1"/>
  </si>
  <si>
    <t>669901</t>
  </si>
  <si>
    <t>法務・財務・会計サービス</t>
    <phoneticPr fontId="1"/>
  </si>
  <si>
    <t>669902</t>
  </si>
  <si>
    <t>土木建築サービス</t>
    <phoneticPr fontId="1"/>
  </si>
  <si>
    <t>669903</t>
  </si>
  <si>
    <t>労働者派遣サービス</t>
    <phoneticPr fontId="1"/>
  </si>
  <si>
    <t>669904</t>
  </si>
  <si>
    <t>建物サービス</t>
    <phoneticPr fontId="1"/>
  </si>
  <si>
    <t>669905</t>
  </si>
  <si>
    <t>警備業</t>
    <phoneticPr fontId="1"/>
  </si>
  <si>
    <t>669909</t>
  </si>
  <si>
    <t>その他の対事業所サービス</t>
    <phoneticPr fontId="1"/>
  </si>
  <si>
    <t>671101</t>
  </si>
  <si>
    <t>宿泊業</t>
    <phoneticPr fontId="1"/>
  </si>
  <si>
    <t>672101</t>
  </si>
  <si>
    <t>飲食店</t>
    <rPh sb="0" eb="3">
      <t>インショクテン</t>
    </rPh>
    <phoneticPr fontId="1"/>
  </si>
  <si>
    <t>672102</t>
  </si>
  <si>
    <t>持ち帰り・配達飲食サービス</t>
    <rPh sb="0" eb="1">
      <t>モ</t>
    </rPh>
    <rPh sb="2" eb="3">
      <t>カエ</t>
    </rPh>
    <rPh sb="5" eb="7">
      <t>ハイタツ</t>
    </rPh>
    <rPh sb="7" eb="9">
      <t>インショク</t>
    </rPh>
    <phoneticPr fontId="1"/>
  </si>
  <si>
    <t>673101</t>
  </si>
  <si>
    <t>洗濯業</t>
    <phoneticPr fontId="1"/>
  </si>
  <si>
    <t>673102</t>
  </si>
  <si>
    <t>理容業</t>
    <phoneticPr fontId="1"/>
  </si>
  <si>
    <t>673103</t>
  </si>
  <si>
    <t>美容業</t>
    <phoneticPr fontId="1"/>
  </si>
  <si>
    <t>673104</t>
  </si>
  <si>
    <t>浴場業</t>
    <phoneticPr fontId="1"/>
  </si>
  <si>
    <t>673109</t>
  </si>
  <si>
    <t>その他の洗濯・理容・美容・浴場業</t>
    <phoneticPr fontId="1"/>
  </si>
  <si>
    <t>674101</t>
  </si>
  <si>
    <t>映画館</t>
    <phoneticPr fontId="1"/>
  </si>
  <si>
    <t>674102</t>
  </si>
  <si>
    <t>興行場（映画館を除く。）・興行団</t>
    <phoneticPr fontId="1"/>
  </si>
  <si>
    <t>674103</t>
  </si>
  <si>
    <t>競輪・競馬等の競走場・競技団</t>
    <phoneticPr fontId="1"/>
  </si>
  <si>
    <t>674104</t>
  </si>
  <si>
    <t>スポーツ施設提供業・公園・遊園地</t>
    <phoneticPr fontId="1"/>
  </si>
  <si>
    <t>674105</t>
  </si>
  <si>
    <t>遊戯場</t>
    <phoneticPr fontId="1"/>
  </si>
  <si>
    <t>674109</t>
  </si>
  <si>
    <t>その他の娯楽</t>
    <phoneticPr fontId="1"/>
  </si>
  <si>
    <t>679901</t>
  </si>
  <si>
    <t>写真業</t>
    <phoneticPr fontId="1"/>
  </si>
  <si>
    <t>679902</t>
  </si>
  <si>
    <t>冠婚葬祭業</t>
    <phoneticPr fontId="1"/>
  </si>
  <si>
    <t>679903</t>
  </si>
  <si>
    <t>個人教授業</t>
    <phoneticPr fontId="1"/>
  </si>
  <si>
    <t>679904</t>
  </si>
  <si>
    <t>各種修理業（別掲を除く。）</t>
    <phoneticPr fontId="1"/>
  </si>
  <si>
    <t>679909</t>
  </si>
  <si>
    <t>その他の対個人サービス</t>
    <phoneticPr fontId="1"/>
  </si>
  <si>
    <t>691100</t>
  </si>
  <si>
    <t>分類不明</t>
    <phoneticPr fontId="1"/>
  </si>
  <si>
    <t>合計</t>
    <rPh sb="0" eb="2">
      <t>ゴウケイ</t>
    </rPh>
    <phoneticPr fontId="1"/>
  </si>
  <si>
    <t xml:space="preserve"> </t>
    <phoneticPr fontId="11"/>
  </si>
  <si>
    <t>観光関連部門計</t>
    <rPh sb="0" eb="2">
      <t>カンコウ</t>
    </rPh>
    <rPh sb="2" eb="4">
      <t>カンレン</t>
    </rPh>
    <rPh sb="4" eb="6">
      <t>ブモン</t>
    </rPh>
    <rPh sb="6" eb="7">
      <t>ケイ</t>
    </rPh>
    <phoneticPr fontId="11"/>
  </si>
  <si>
    <t>構成比（％）</t>
    <rPh sb="0" eb="3">
      <t>コウセイヒ</t>
    </rPh>
    <phoneticPr fontId="11"/>
  </si>
  <si>
    <t>(資料）兵庫県統計課「平成27年兵庫県雇用表」</t>
    <rPh sb="1" eb="3">
      <t>シリョウ</t>
    </rPh>
    <rPh sb="4" eb="7">
      <t>ヒョウゴケン</t>
    </rPh>
    <rPh sb="7" eb="9">
      <t>トウケイ</t>
    </rPh>
    <rPh sb="9" eb="10">
      <t>カ</t>
    </rPh>
    <rPh sb="11" eb="13">
      <t>ヘイセイ</t>
    </rPh>
    <rPh sb="15" eb="16">
      <t>ネン</t>
    </rPh>
    <rPh sb="16" eb="19">
      <t>ヒョウゴケン</t>
    </rPh>
    <rPh sb="19" eb="21">
      <t>コヨウ</t>
    </rPh>
    <rPh sb="21" eb="22">
      <t>ヒョウ</t>
    </rPh>
    <phoneticPr fontId="11"/>
  </si>
  <si>
    <t>　</t>
    <phoneticPr fontId="11"/>
  </si>
  <si>
    <t/>
  </si>
  <si>
    <t>林業</t>
  </si>
  <si>
    <t>漁業</t>
  </si>
  <si>
    <t>食料品</t>
  </si>
  <si>
    <t>金融・保険</t>
  </si>
  <si>
    <t>保健衛生</t>
  </si>
  <si>
    <t>宿泊業</t>
  </si>
  <si>
    <t>洗濯・理容・美容・浴場業</t>
  </si>
  <si>
    <t>平成28年経済センサス‐活動調査　確報集計(事業所に関する集計)</t>
  </si>
  <si>
    <t>第17表　産業（小分類）、従業者規模（８区分）、経営組織（７区分）、出向・派遣従業者の有無別民営事業所数、男女別従業者数及び出向・派遣従業者数―全国、都道府県（続き）</t>
  </si>
  <si>
    <t>(注1) 別経営の事業所への出向・派遣従業者がいる事業所、いない事業所。</t>
  </si>
  <si>
    <t>(注2) 別経営の事業所からの出向・派遣従業者がいる事業所、いない事業所。</t>
  </si>
  <si>
    <t>(注3) 出向・派遣別の不詳を含む。</t>
  </si>
  <si>
    <t>(注4) 男女別の不詳を含む。</t>
  </si>
  <si>
    <t>keiso7.0000</t>
  </si>
  <si>
    <t>jsyu17B.0000</t>
  </si>
  <si>
    <t>jsyu17B.0001</t>
  </si>
  <si>
    <t>jsyu17B.0002</t>
  </si>
  <si>
    <t>jsyu17B.0003</t>
  </si>
  <si>
    <t>jsyu17B.0004</t>
  </si>
  <si>
    <t>jsyu17B.0005</t>
  </si>
  <si>
    <t>jsyu17B.0006</t>
  </si>
  <si>
    <t>jsyu17B.0007</t>
  </si>
  <si>
    <t>jsyu17B.0008</t>
  </si>
  <si>
    <t>jsyu17B.0009</t>
  </si>
  <si>
    <t>jsyu17B.0010</t>
  </si>
  <si>
    <t>jsyu17B.0011</t>
  </si>
  <si>
    <t>jsyu17B.0012</t>
  </si>
  <si>
    <t>jsyu17B.0013</t>
  </si>
  <si>
    <t>jsyu17B.0014</t>
  </si>
  <si>
    <t>総数(経営組織)</t>
  </si>
  <si>
    <t>地域</t>
  </si>
  <si>
    <t>産業小分類、従業者規模</t>
  </si>
  <si>
    <t>従業者数(人) (注4)</t>
  </si>
  <si>
    <t>(従業者数)男(人)</t>
  </si>
  <si>
    <t>(従業者数)女(人)</t>
  </si>
  <si>
    <t>(従業者数)うち他への出向・派遣従業者数(人) (注4)</t>
  </si>
  <si>
    <t>(従業者数)(うち他への出向・派遣従業者数)男(人)</t>
  </si>
  <si>
    <t>(従業者数)(うち他への出向・派遣従業者数)女(人)</t>
  </si>
  <si>
    <t>他からの出向・派遣従業者数(人) (注3)(注4)</t>
  </si>
  <si>
    <t>(他からの出向・派遣従業者数)男(人) (注3)</t>
  </si>
  <si>
    <t>(他からの出向・派遣従業者数)女(人) (注3)</t>
  </si>
  <si>
    <t>(他からの出向・派遣従業者数)出向(人) (注4)</t>
  </si>
  <si>
    <t>(他からの出向・派遣従業者数)(出向)男(人)</t>
  </si>
  <si>
    <t>(他からの出向・派遣従業者数)(出向)女(人)</t>
  </si>
  <si>
    <t>(他からの出向・派遣従業者数)派遣(人) (注4)</t>
  </si>
  <si>
    <t>(他からの出向・派遣従業者数)(派遣)男(人)</t>
  </si>
  <si>
    <t>(他からの出向・派遣従業者数)(派遣)女(人)</t>
  </si>
  <si>
    <t>ti.28000</t>
  </si>
  <si>
    <t>兵庫県</t>
  </si>
  <si>
    <t>sanC1.0000</t>
  </si>
  <si>
    <t>jkibo8B.0000</t>
  </si>
  <si>
    <t>A～R 全産業（Ｓ公務を除く）</t>
  </si>
  <si>
    <t>sanC1.0001</t>
  </si>
  <si>
    <t>　A～B 農林漁業</t>
  </si>
  <si>
    <t>sanC1.0002</t>
  </si>
  <si>
    <t>　　A 農業，林業</t>
  </si>
  <si>
    <t>sanC1.0003</t>
  </si>
  <si>
    <t>　　　　01 農業</t>
  </si>
  <si>
    <t>sanC1.0004</t>
  </si>
  <si>
    <t>　　　　　010 管理，補助的経済活動を行う事業所</t>
  </si>
  <si>
    <t>sanC1.0005</t>
  </si>
  <si>
    <t>　　　　　011 耕種農業</t>
  </si>
  <si>
    <t>sanC1.0006</t>
  </si>
  <si>
    <t>　　　　　012 畜産農業</t>
  </si>
  <si>
    <t>sanC1.0007</t>
  </si>
  <si>
    <t>　　　　　013 農業サービス業（園芸サービス業を除く）</t>
  </si>
  <si>
    <t>sanC1.0008</t>
  </si>
  <si>
    <t>　　　　　014 園芸サービス業</t>
  </si>
  <si>
    <t>sanC1.0009</t>
  </si>
  <si>
    <t>　　　　02 林業</t>
  </si>
  <si>
    <t>sanC1.0010</t>
  </si>
  <si>
    <t>　　　　　020 管理，補助的経済活動を行う事業所</t>
  </si>
  <si>
    <t>sanC1.0011</t>
  </si>
  <si>
    <t>　　　　　021 育林業</t>
  </si>
  <si>
    <t>sanC1.0012</t>
  </si>
  <si>
    <t>　　　　　022 素材生産業</t>
  </si>
  <si>
    <t>sanC1.0013</t>
  </si>
  <si>
    <t>　　　　　023 特用林産物生産業（きのこ類の栽培を除く）</t>
  </si>
  <si>
    <t>sanC1.0014</t>
  </si>
  <si>
    <t>　　　　　024 林業サービス業</t>
  </si>
  <si>
    <t>sanC1.0015</t>
  </si>
  <si>
    <t>　　　　　029 その他の林業</t>
  </si>
  <si>
    <t>sanC1.0016</t>
  </si>
  <si>
    <t>　　B 漁業</t>
  </si>
  <si>
    <t>sanC1.0017</t>
  </si>
  <si>
    <t>　　　　03 漁業（水産養殖業を除く）</t>
  </si>
  <si>
    <t>sanC1.0018</t>
  </si>
  <si>
    <t>　　　　　030 管理，補助的経済活動を行う事業所</t>
  </si>
  <si>
    <t>sanC1.0019</t>
  </si>
  <si>
    <t>　　　　　031 海面漁業</t>
  </si>
  <si>
    <t>sanC1.0020</t>
  </si>
  <si>
    <t>　　　　　032 内水面漁業</t>
  </si>
  <si>
    <t>sanC1.0021</t>
  </si>
  <si>
    <t>　　　　04 水産養殖業</t>
  </si>
  <si>
    <t>sanC1.0022</t>
  </si>
  <si>
    <t>　　　　　040 管理，補助的経済活動を行う事業所</t>
  </si>
  <si>
    <t>sanC1.0023</t>
  </si>
  <si>
    <t>　　　　　041 海面養殖業</t>
  </si>
  <si>
    <t>sanC1.0024</t>
  </si>
  <si>
    <t>　　　　　042 内水面養殖業</t>
  </si>
  <si>
    <t>sanC1.0025</t>
  </si>
  <si>
    <t>　C～R 非農林漁業（Ｓ公務を除く）</t>
  </si>
  <si>
    <t>sanC1.0026</t>
  </si>
  <si>
    <t>　　C 鉱業，採石業，砂利採取業</t>
  </si>
  <si>
    <t>sanC1.0027</t>
  </si>
  <si>
    <t>　　　　05 鉱業，採石業，砂利採取業</t>
  </si>
  <si>
    <t>sanC1.0028</t>
  </si>
  <si>
    <t>　　　　　050 管理，補助的経済活動を行う事業所</t>
  </si>
  <si>
    <t>sanC1.0029</t>
  </si>
  <si>
    <t>　　　　　051 金属鉱業</t>
  </si>
  <si>
    <t>sanC1.0030</t>
  </si>
  <si>
    <t>　　　　　052 石炭・亜炭鉱業</t>
  </si>
  <si>
    <t>sanC1.0031</t>
  </si>
  <si>
    <t>　　　　　053 原油・天然ガス鉱業</t>
  </si>
  <si>
    <t>sanC1.0032</t>
  </si>
  <si>
    <t>　　　　　054 採石業，砂・砂利・玉石採取業</t>
  </si>
  <si>
    <t>sanC1.0033</t>
  </si>
  <si>
    <t>　　　　　055 窯業原料用鉱物鉱業（耐火物・陶磁器・ガラス・セメント原料用に限る）</t>
  </si>
  <si>
    <t>sanC1.0034</t>
  </si>
  <si>
    <t>　　　　　059 その他の鉱業</t>
  </si>
  <si>
    <t>sanC1.0035</t>
  </si>
  <si>
    <t>　　D 建設業</t>
  </si>
  <si>
    <t>sanC1.0036</t>
  </si>
  <si>
    <t>　　　　06 総合工事業</t>
  </si>
  <si>
    <t>sanC1.0037</t>
  </si>
  <si>
    <t>　　　　　060 管理，補助的経済活動を行う事業所</t>
  </si>
  <si>
    <t>sanC1.0038</t>
  </si>
  <si>
    <t>　　　　　061 一般土木建築工事業</t>
  </si>
  <si>
    <t>sanC1.0039</t>
  </si>
  <si>
    <t>　　　　　062 土木工事業（舗装工事業を除く）</t>
  </si>
  <si>
    <t>sanC1.0040</t>
  </si>
  <si>
    <t>　　　　　063 舗装工事業</t>
  </si>
  <si>
    <t>sanC1.0041</t>
  </si>
  <si>
    <t>　　　　　064 建築工事業（木造建築工事業を除く）</t>
  </si>
  <si>
    <t>sanC1.0042</t>
  </si>
  <si>
    <t>　　　　　065 木造建築工事業</t>
  </si>
  <si>
    <t>sanC1.0043</t>
  </si>
  <si>
    <t>　　　　　066 建築リフォーム工事業</t>
  </si>
  <si>
    <t>sanC1.0044</t>
  </si>
  <si>
    <t>　　　　07 職別工事業（設備工事業を除く）</t>
  </si>
  <si>
    <t>sanC1.0045</t>
  </si>
  <si>
    <t>　　　　　070 管理，補助的経済活動を行う事業所</t>
  </si>
  <si>
    <t>sanC1.0046</t>
  </si>
  <si>
    <t>　　　　　071 大工工事業</t>
  </si>
  <si>
    <t>sanC1.0047</t>
  </si>
  <si>
    <t>　　　　　072 とび・土工・コンクリート工事業</t>
  </si>
  <si>
    <t>sanC1.0048</t>
  </si>
  <si>
    <t>　　　　　073 鉄骨・鉄筋工事業</t>
  </si>
  <si>
    <t>sanC1.0049</t>
  </si>
  <si>
    <t>　　　　　074 石工・れんが・タイル・ブロック工事業</t>
  </si>
  <si>
    <t>sanC1.0050</t>
  </si>
  <si>
    <t>　　　　　075 左官工事業</t>
  </si>
  <si>
    <t>sanC1.0051</t>
  </si>
  <si>
    <t>　　　　　076 板金・金物工事業</t>
  </si>
  <si>
    <t>sanC1.0052</t>
  </si>
  <si>
    <t>　　　　　077 塗装工事業</t>
  </si>
  <si>
    <t>sanC1.0053</t>
  </si>
  <si>
    <t>　　　　　078 床・内装工事業</t>
  </si>
  <si>
    <t>sanC1.0054</t>
  </si>
  <si>
    <t>　　　　　079 その他の職別工事業</t>
  </si>
  <si>
    <t>sanC1.0055</t>
  </si>
  <si>
    <t>　　　　08 設備工事業</t>
  </si>
  <si>
    <t>sanC1.0056</t>
  </si>
  <si>
    <t>　　　　　080 管理，補助的経済活動を行う事業所</t>
  </si>
  <si>
    <t>sanC1.0057</t>
  </si>
  <si>
    <t>　　　　　081 電気工事業</t>
  </si>
  <si>
    <t>sanC1.0058</t>
  </si>
  <si>
    <t>　　　　　082 電気通信・信号装置工事業</t>
  </si>
  <si>
    <t>sanC1.0059</t>
  </si>
  <si>
    <t>　　　　　083 管工事業（さく井工事業を除く）</t>
  </si>
  <si>
    <t>sanC1.0060</t>
  </si>
  <si>
    <t>　　　　　084 機械器具設置工事業</t>
  </si>
  <si>
    <t>sanC1.0061</t>
  </si>
  <si>
    <t>　　　　　089 その他の設備工事業</t>
  </si>
  <si>
    <t>sanC1.0062</t>
  </si>
  <si>
    <t>　　E 製造業</t>
  </si>
  <si>
    <t>sanC1.0063</t>
  </si>
  <si>
    <t>　　　　09 食料品製造業</t>
  </si>
  <si>
    <t>sanC1.0064</t>
  </si>
  <si>
    <t>　　　　　090 管理，補助的経済活動を行う事業所</t>
  </si>
  <si>
    <t>sanC1.0065</t>
  </si>
  <si>
    <t>　　　　　091 畜産食料品製造業</t>
  </si>
  <si>
    <t>sanC1.0066</t>
  </si>
  <si>
    <t>　　　　　092 水産食料品製造業</t>
  </si>
  <si>
    <t>sanC1.0067</t>
  </si>
  <si>
    <t>　　　　　093 野菜缶詰・果実缶詰・農産保存食料品製造業</t>
  </si>
  <si>
    <t>sanC1.0068</t>
  </si>
  <si>
    <t>　　　　　094 調味料製造業</t>
  </si>
  <si>
    <t>sanC1.0069</t>
  </si>
  <si>
    <t>　　　　　095 糖類製造業</t>
  </si>
  <si>
    <t>sanC1.0070</t>
  </si>
  <si>
    <t>　　　　　096 精穀・製粉業</t>
  </si>
  <si>
    <t>sanC1.0071</t>
  </si>
  <si>
    <t>　　　　　097 パン・菓子製造業</t>
  </si>
  <si>
    <t>sanC1.0072</t>
  </si>
  <si>
    <t>　　　　　098 動植物油脂製造業</t>
  </si>
  <si>
    <t>sanC1.0073</t>
  </si>
  <si>
    <t>　　　　　099 その他の食料品製造業</t>
  </si>
  <si>
    <t>sanC1.0074</t>
  </si>
  <si>
    <t>　　　　10 飲料・たばこ・飼料製造業</t>
  </si>
  <si>
    <t>sanC1.0075</t>
  </si>
  <si>
    <t>　　　　　100 管理，補助的経済活動を行う事業所</t>
  </si>
  <si>
    <t>sanC1.0076</t>
  </si>
  <si>
    <t>　　　　　101 清涼飲料製造業</t>
  </si>
  <si>
    <t>sanC1.0077</t>
  </si>
  <si>
    <t>　　　　　102 酒類製造業</t>
  </si>
  <si>
    <t>sanC1.0078</t>
  </si>
  <si>
    <t>　　　　　103 茶・コーヒー製造業（清涼飲料を除く）</t>
  </si>
  <si>
    <t>sanC1.0079</t>
  </si>
  <si>
    <t>　　　　　104 製氷業</t>
  </si>
  <si>
    <t>sanC1.0080</t>
  </si>
  <si>
    <t>　　　　　105 たばこ製造業</t>
  </si>
  <si>
    <t>sanC1.0081</t>
  </si>
  <si>
    <t>　　　　　106 飼料・有機質肥料製造業</t>
  </si>
  <si>
    <t>sanC1.0082</t>
  </si>
  <si>
    <t>　　　　11 繊維工業</t>
  </si>
  <si>
    <t>sanC1.0083</t>
  </si>
  <si>
    <t>　　　　　110 管理，補助的経済活動を行う事業所</t>
  </si>
  <si>
    <t>sanC1.0084</t>
  </si>
  <si>
    <t>　　　　　111 製糸業，紡績業，化学繊維・ねん糸等製造業</t>
  </si>
  <si>
    <t>sanC1.0085</t>
  </si>
  <si>
    <t>　　　　　112 織物業</t>
  </si>
  <si>
    <t>sanC1.0086</t>
  </si>
  <si>
    <t>　　　　　113 ニット生地製造業</t>
  </si>
  <si>
    <t>sanC1.0087</t>
  </si>
  <si>
    <t>　　　　　114 染色整理業</t>
  </si>
  <si>
    <t>sanC1.0088</t>
  </si>
  <si>
    <t>　　　　　115 綱・網・レース・繊維粗製品製造業</t>
  </si>
  <si>
    <t>sanC1.0089</t>
  </si>
  <si>
    <t>　　　　　116 外衣・シャツ製造業（和式を除く）</t>
  </si>
  <si>
    <t>sanC1.0090</t>
  </si>
  <si>
    <t>　　　　　117 下着類製造業</t>
  </si>
  <si>
    <t>sanC1.0091</t>
  </si>
  <si>
    <t>　　　　　118 和装製品・その他の衣服・繊維製身の回り品製造業</t>
  </si>
  <si>
    <t>sanC1.0092</t>
  </si>
  <si>
    <t>　　　　　119 その他の繊維製品製造業</t>
  </si>
  <si>
    <t>sanC1.0093</t>
  </si>
  <si>
    <t>　　　　12 木材・木製品製造業（家具を除く）</t>
  </si>
  <si>
    <t>sanC1.0094</t>
  </si>
  <si>
    <t>　　　　　120 管理，補助的経済活動を行う事業所</t>
  </si>
  <si>
    <t>sanC1.0095</t>
  </si>
  <si>
    <t>　　　　　121 製材業，木製品製造業</t>
  </si>
  <si>
    <t>sanC1.0096</t>
  </si>
  <si>
    <t>　　　　　122 造作材・合板・建築用組立材料製造業</t>
  </si>
  <si>
    <t>sanC1.0097</t>
  </si>
  <si>
    <t>　　　　　123 木製容器製造業（竹，とうを含む）</t>
  </si>
  <si>
    <t>sanC1.0098</t>
  </si>
  <si>
    <t>　　　　　129 その他の木製品製造業（竹，とうを含む）</t>
  </si>
  <si>
    <t>sanC1.0099</t>
  </si>
  <si>
    <t>　　　　13 家具・装備品製造業</t>
  </si>
  <si>
    <t>sanC1.0100</t>
  </si>
  <si>
    <t>　　　　　130 管理，補助的経済活動を行う事業所</t>
  </si>
  <si>
    <t>sanC1.0101</t>
  </si>
  <si>
    <t>　　　　　131 家具製造業</t>
  </si>
  <si>
    <t>sanC1.0102</t>
  </si>
  <si>
    <t>　　　　　132 宗教用具製造業</t>
  </si>
  <si>
    <t>sanC1.0103</t>
  </si>
  <si>
    <t>　　　　　133 建具製造業</t>
  </si>
  <si>
    <t>sanC1.0104</t>
  </si>
  <si>
    <t>　　　　　139 その他の家具・装備品製造業</t>
  </si>
  <si>
    <t>sanC1.0105</t>
  </si>
  <si>
    <t>　　　　14 パルプ・紙・紙加工品製造業</t>
  </si>
  <si>
    <t>sanC1.0106</t>
  </si>
  <si>
    <t>　　　　　140 管理，補助的経済活動を行う事業所</t>
  </si>
  <si>
    <t>sanC1.0107</t>
  </si>
  <si>
    <t>　　　　　141 パルプ製造業</t>
  </si>
  <si>
    <t>sanC1.0108</t>
  </si>
  <si>
    <t>　　　　　142 紙製造業</t>
  </si>
  <si>
    <t>sanC1.0109</t>
  </si>
  <si>
    <t>　　　　　143 加工紙製造業</t>
  </si>
  <si>
    <t>sanC1.0110</t>
  </si>
  <si>
    <t>　　　　　144 紙製品製造業</t>
  </si>
  <si>
    <t>sanC1.0111</t>
  </si>
  <si>
    <t>　　　　　145 紙製容器製造業</t>
  </si>
  <si>
    <t>sanC1.0112</t>
  </si>
  <si>
    <t>　　　　　149 その他のパルプ・紙・紙加工品製造業</t>
  </si>
  <si>
    <t>sanC1.0113</t>
  </si>
  <si>
    <t>　　　　15 印刷・同関連業</t>
  </si>
  <si>
    <t>sanC1.0114</t>
  </si>
  <si>
    <t>　　　　　150 管理，補助的経済活動を行う事業所</t>
  </si>
  <si>
    <t>sanC1.0115</t>
  </si>
  <si>
    <t>　　　　　151 印刷業</t>
  </si>
  <si>
    <t>sanC1.0116</t>
  </si>
  <si>
    <t>　　　　　152 製版業</t>
  </si>
  <si>
    <t>sanC1.0117</t>
  </si>
  <si>
    <t>　　　　　153 製本業，印刷物加工業</t>
  </si>
  <si>
    <t>sanC1.0118</t>
  </si>
  <si>
    <t>　　　　　159 印刷関連サービス業</t>
  </si>
  <si>
    <t>sanC1.0119</t>
  </si>
  <si>
    <t>　　　　16 化学工業</t>
  </si>
  <si>
    <t>sanC1.0120</t>
  </si>
  <si>
    <t>　　　　　160 管理，補助的経済活動を行う事業所</t>
  </si>
  <si>
    <t>sanC1.0121</t>
  </si>
  <si>
    <t>　　　　　161 化学肥料製造業</t>
  </si>
  <si>
    <t>sanC1.0122</t>
  </si>
  <si>
    <t>　　　　　162 無機化学工業製品製造業</t>
  </si>
  <si>
    <t>sanC1.0123</t>
  </si>
  <si>
    <t>　　　　　163 有機化学工業製品製造業</t>
  </si>
  <si>
    <t>sanC1.0124</t>
  </si>
  <si>
    <t>　　　　　164 油脂加工製品・石けん・合成洗剤・界面活性剤・塗料製造業</t>
  </si>
  <si>
    <t>sanC1.0125</t>
  </si>
  <si>
    <t>　　　　　165 医薬品製造業</t>
  </si>
  <si>
    <t>sanC1.0126</t>
  </si>
  <si>
    <t>　　　　　166 化粧品・歯磨・その他の化粧用調整品製造業</t>
  </si>
  <si>
    <t>sanC1.0127</t>
  </si>
  <si>
    <t>　　　　　169 その他の化学工業</t>
  </si>
  <si>
    <t>sanC1.0128</t>
  </si>
  <si>
    <t>　　　　17 石油製品・石炭製品製造業</t>
  </si>
  <si>
    <t>sanC1.0129</t>
  </si>
  <si>
    <t>　　　　　170 管理，補助的経済活動を行う事業所</t>
  </si>
  <si>
    <t>sanC1.0130</t>
  </si>
  <si>
    <t>　　　　　171 石油精製業</t>
  </si>
  <si>
    <t>sanC1.0131</t>
  </si>
  <si>
    <t>　　　　　172 潤滑油・グリース製造業（石油精製業によらないもの）</t>
  </si>
  <si>
    <t>sanC1.0132</t>
  </si>
  <si>
    <t>　　　　　173 コークス製造業</t>
  </si>
  <si>
    <t>sanC1.0133</t>
  </si>
  <si>
    <t>　　　　　174 舗装材料製造業</t>
  </si>
  <si>
    <t>sanC1.0134</t>
  </si>
  <si>
    <t>　　　　　179 その他の石油製品・石炭製品製造業</t>
  </si>
  <si>
    <t>sanC1.0135</t>
  </si>
  <si>
    <t>　　　　18 プラスチック製品製造業（別掲を除く）</t>
  </si>
  <si>
    <t>sanC1.0136</t>
  </si>
  <si>
    <t>　　　　　180 管理，補助的経済活動を行う事業所</t>
  </si>
  <si>
    <t>sanC1.0137</t>
  </si>
  <si>
    <t>　　　　　181 プラスチック板・棒・管・継手・異形押出製品製造業</t>
  </si>
  <si>
    <t>sanC1.0138</t>
  </si>
  <si>
    <t>　　　　　182 プラスチックフィルム・シート・床材・合成皮革製造業</t>
  </si>
  <si>
    <t>sanC1.0139</t>
  </si>
  <si>
    <t>　　　　　183 工業用プラスチック製品製造業</t>
  </si>
  <si>
    <t>sanC1.0140</t>
  </si>
  <si>
    <t>　　　　　184 発泡・強化プラスチック製品製造業</t>
  </si>
  <si>
    <t>sanC1.0141</t>
  </si>
  <si>
    <t>　　　　　185 プラスチック成形材料製造業（廃プラスチックを含む）</t>
  </si>
  <si>
    <t>sanC1.0142</t>
  </si>
  <si>
    <t>　　　　　189 その他のプラスチック製品製造業</t>
  </si>
  <si>
    <t>sanC1.0143</t>
  </si>
  <si>
    <t>　　　　19 ゴム製品製造業</t>
  </si>
  <si>
    <t>sanC1.0144</t>
  </si>
  <si>
    <t>　　　　　190 管理，補助的経済活動を行う事業所</t>
  </si>
  <si>
    <t>sanC1.0145</t>
  </si>
  <si>
    <t>　　　　　191 タイヤ・チューブ製造業</t>
  </si>
  <si>
    <t>sanC1.0146</t>
  </si>
  <si>
    <t>　　　　　192 ゴム製・プラスチック製履物・同附属品製造業</t>
  </si>
  <si>
    <t>sanC1.0147</t>
  </si>
  <si>
    <t>　　　　　193 ゴムベルト・ゴムホース・工業用ゴム製品製造業</t>
  </si>
  <si>
    <t>sanC1.0148</t>
  </si>
  <si>
    <t>　　　　　199 その他のゴム製品製造業</t>
  </si>
  <si>
    <t>sanC1.0149</t>
  </si>
  <si>
    <t>　　　　20 なめし革・同製品・毛皮製造業</t>
  </si>
  <si>
    <t>sanC1.0150</t>
  </si>
  <si>
    <t>　　　　　200 管理，補助的経済活動を行う事業所</t>
  </si>
  <si>
    <t>sanC1.0151</t>
  </si>
  <si>
    <t>　　　　　201 なめし革製造業</t>
  </si>
  <si>
    <t>sanC1.0152</t>
  </si>
  <si>
    <t>　　　　　202 工業用革製品製造業（手袋を除く）</t>
  </si>
  <si>
    <t>sanC1.0153</t>
  </si>
  <si>
    <t>　　　　　203 革製履物用材料・同附属品製造業</t>
  </si>
  <si>
    <t>sanC1.0154</t>
  </si>
  <si>
    <t>　　　　　204 革製履物製造業</t>
  </si>
  <si>
    <t>sanC1.0155</t>
  </si>
  <si>
    <t>　　　　　205 革製手袋製造業</t>
  </si>
  <si>
    <t>sanC1.0156</t>
  </si>
  <si>
    <t>　　　　　206 かばん製造業</t>
  </si>
  <si>
    <t>sanC1.0157</t>
  </si>
  <si>
    <t>　　　　　207 袋物製造業</t>
  </si>
  <si>
    <t>sanC1.0158</t>
  </si>
  <si>
    <t>　　　　　208 毛皮製造業</t>
  </si>
  <si>
    <t>sanC1.0159</t>
  </si>
  <si>
    <t>　　　　　209 その他のなめし革製品製造業</t>
  </si>
  <si>
    <t>sanC1.0160</t>
  </si>
  <si>
    <t>　　　　21 窯業・土石製品製造業</t>
  </si>
  <si>
    <t>sanC1.0161</t>
  </si>
  <si>
    <t>　　　　　210 管理，補助的経済活動を行う事業所</t>
  </si>
  <si>
    <t>sanC1.0162</t>
  </si>
  <si>
    <t>　　　　　211 ガラス・同製品製造業</t>
  </si>
  <si>
    <t>sanC1.0163</t>
  </si>
  <si>
    <t>　　　　　212 セメント・同製品製造業</t>
  </si>
  <si>
    <t>sanC1.0164</t>
  </si>
  <si>
    <t>　　　　　213 建設用粘土製品製造業（陶磁器製を除く）</t>
  </si>
  <si>
    <t>sanC1.0165</t>
  </si>
  <si>
    <t>　　　　　214 陶磁器・同関連製品製造業</t>
  </si>
  <si>
    <t>sanC1.0166</t>
  </si>
  <si>
    <t>　　　　　215 耐火物製造業</t>
  </si>
  <si>
    <t>sanC1.0167</t>
  </si>
  <si>
    <t>　　　　　216 炭素・黒鉛製品製造業</t>
  </si>
  <si>
    <t>sanC1.0168</t>
  </si>
  <si>
    <t>　　　　　217 研磨材・同製品製造業</t>
  </si>
  <si>
    <t>sanC1.0169</t>
  </si>
  <si>
    <t>　　　　　218 骨材・石工品等製造業</t>
  </si>
  <si>
    <t>sanC1.0170</t>
  </si>
  <si>
    <t>　　　　　219 その他の窯業・土石製品製造業</t>
  </si>
  <si>
    <t>sanC1.0171</t>
  </si>
  <si>
    <t>　　　　22 鉄鋼業</t>
  </si>
  <si>
    <t>sanC1.0172</t>
  </si>
  <si>
    <t>　　　　　220 管理，補助的経済活動を行う事業所</t>
  </si>
  <si>
    <t>sanC1.0173</t>
  </si>
  <si>
    <t>　　　　　221 製鉄業</t>
  </si>
  <si>
    <t>sanC1.0174</t>
  </si>
  <si>
    <t>　　　　　222 製鋼・製鋼圧延業</t>
  </si>
  <si>
    <t>sanC1.0175</t>
  </si>
  <si>
    <t>　　　　　223 製鋼を行わない鋼材製造業（表面処理鋼材を除く）</t>
  </si>
  <si>
    <t>sanC1.0176</t>
  </si>
  <si>
    <t>　　　　　224 表面処理鋼材製造業</t>
  </si>
  <si>
    <t>sanC1.0177</t>
  </si>
  <si>
    <t>　　　　　225 鉄素形材製造業</t>
  </si>
  <si>
    <t>sanC1.0178</t>
  </si>
  <si>
    <t>　　　　　229 その他の鉄鋼業</t>
  </si>
  <si>
    <t>sanC1.0179</t>
  </si>
  <si>
    <t>　　　　23 非鉄金属製造業</t>
  </si>
  <si>
    <t>sanC1.0180</t>
  </si>
  <si>
    <t>　　　　　230 管理，補助的経済活動を行う事業所</t>
  </si>
  <si>
    <t>sanC1.0181</t>
  </si>
  <si>
    <t>　　　　　231 非鉄金属第１次製錬・精製業</t>
  </si>
  <si>
    <t>sanC1.0182</t>
  </si>
  <si>
    <t>　　　　　232 非鉄金属第２次製錬・精製業（非鉄金属合金製造業を含む）</t>
  </si>
  <si>
    <t>sanC1.0183</t>
  </si>
  <si>
    <t>　　　　　233 非鉄金属・同合金圧延業（抽伸，押出しを含む）</t>
  </si>
  <si>
    <t>sanC1.0184</t>
  </si>
  <si>
    <t>　　　　　234 電線・ケーブル製造業</t>
  </si>
  <si>
    <t>sanC1.0185</t>
  </si>
  <si>
    <t>　　　　　235 非鉄金属素形材製造業</t>
  </si>
  <si>
    <t>sanC1.0186</t>
  </si>
  <si>
    <t>　　　　　239 その他の非鉄金属製造業</t>
  </si>
  <si>
    <t>sanC1.0187</t>
  </si>
  <si>
    <t>　　　　24 金属製品製造業</t>
  </si>
  <si>
    <t>sanC1.0188</t>
  </si>
  <si>
    <t>　　　　　240 管理，補助的経済活動を行う事業所</t>
  </si>
  <si>
    <t>sanC1.0189</t>
  </si>
  <si>
    <t>　　　　　241 ブリキ缶・その他のめっき板等製品製造業</t>
  </si>
  <si>
    <t>sanC1.0190</t>
  </si>
  <si>
    <t>　　　　　242 洋食器・刃物・手道具・金物類製造業</t>
  </si>
  <si>
    <t>sanC1.0191</t>
  </si>
  <si>
    <t>　　　　　243 暖房・調理等装置，配管工事用附属品製造業</t>
  </si>
  <si>
    <t>sanC1.0192</t>
  </si>
  <si>
    <t>　　　　　244 建設用・建築用金属製品製造業（製缶板金業を含む）</t>
  </si>
  <si>
    <t>sanC1.0193</t>
  </si>
  <si>
    <t>　　　　　245 金属素形材製品製造業</t>
  </si>
  <si>
    <t>sanC1.0194</t>
  </si>
  <si>
    <t>　　　　　246 金属被覆・彫刻業，熱処理業（ほうろう鉄器を除く）</t>
  </si>
  <si>
    <t>sanC1.0195</t>
  </si>
  <si>
    <t>　　　　　247 金属線製品製造業（ねじ類を除く）</t>
  </si>
  <si>
    <t>sanC1.0196</t>
  </si>
  <si>
    <t>　　　　　248 ボルト・ナット・リベット・小ねじ・木ねじ等製造業</t>
  </si>
  <si>
    <t>sanC1.0197</t>
  </si>
  <si>
    <t>　　　　　249 その他の金属製品製造業</t>
  </si>
  <si>
    <t>sanC1.0198</t>
  </si>
  <si>
    <t>　　　　25 はん用機械器具製造業</t>
  </si>
  <si>
    <t>sanC1.0199</t>
  </si>
  <si>
    <t>　　　　　250 管理，補助的経済活動を行う事業所</t>
  </si>
  <si>
    <t>sanC1.0200</t>
  </si>
  <si>
    <t>　　　　　251 ボイラ・原動機製造業</t>
  </si>
  <si>
    <t>sanC1.0201</t>
  </si>
  <si>
    <t>　　　　　252 ポンプ・圧縮機器製造業</t>
  </si>
  <si>
    <t>sanC1.0202</t>
  </si>
  <si>
    <t>　　　　　253 一般産業用機械・装置製造業</t>
  </si>
  <si>
    <t>sanC1.0203</t>
  </si>
  <si>
    <t>　　　　　259 その他のはん用機械・同部分品製造業</t>
  </si>
  <si>
    <t>sanC1.0204</t>
  </si>
  <si>
    <t>　　　　26 生産用機械器具製造業</t>
  </si>
  <si>
    <t>sanC1.0205</t>
  </si>
  <si>
    <t>　　　　　260 管理，補助的経済活動を行う事業所</t>
  </si>
  <si>
    <t>sanC1.0206</t>
  </si>
  <si>
    <t>　　　　　261 農業用機械製造業（農業用器具を除く）</t>
  </si>
  <si>
    <t>sanC1.0207</t>
  </si>
  <si>
    <t>　　　　　262 建設機械・鉱山機械製造業</t>
  </si>
  <si>
    <t>sanC1.0208</t>
  </si>
  <si>
    <t>　　　　　263 繊維機械製造業</t>
  </si>
  <si>
    <t>sanC1.0209</t>
  </si>
  <si>
    <t>　　　　　264 生活関連産業用機械製造業</t>
  </si>
  <si>
    <t>sanC1.0210</t>
  </si>
  <si>
    <t>　　　　　265 基礎素材産業用機械製造業</t>
  </si>
  <si>
    <t>sanC1.0211</t>
  </si>
  <si>
    <t>　　　　　266 金属加工機械製造業</t>
  </si>
  <si>
    <t>sanC1.0212</t>
  </si>
  <si>
    <t>　　　　　267 半導体・フラットパネルディスプレイ製造装置製造業</t>
  </si>
  <si>
    <t>sanC1.0213</t>
  </si>
  <si>
    <t>　　　　　269 その他の生産用機械・同部分品製造業</t>
  </si>
  <si>
    <t>sanC1.0214</t>
  </si>
  <si>
    <t>　　　　27 業務用機械器具製造業</t>
  </si>
  <si>
    <t>sanC1.0215</t>
  </si>
  <si>
    <t>　　　　　270 管理，補助的経済活動を行う事業所</t>
  </si>
  <si>
    <t>sanC1.0216</t>
  </si>
  <si>
    <t>　　　　　271 事務用機械器具製造業</t>
  </si>
  <si>
    <t>sanC1.0217</t>
  </si>
  <si>
    <t>　　　　　272 サービス用・娯楽用機械器具製造業</t>
  </si>
  <si>
    <t>sanC1.0218</t>
  </si>
  <si>
    <t>　　　　　273 計量器・測定器・分析機器・試験機・測量機械器具・理化学機械器具製造業</t>
  </si>
  <si>
    <t>sanC1.0219</t>
  </si>
  <si>
    <t>　　　　　274 医療用機械器具・医療用品製造業</t>
  </si>
  <si>
    <t>sanC1.0220</t>
  </si>
  <si>
    <t>　　　　　275 光学機械器具・レンズ製造業</t>
  </si>
  <si>
    <t>sanC1.0221</t>
  </si>
  <si>
    <t>　　　　　276 武器製造業</t>
  </si>
  <si>
    <t>sanC1.0222</t>
  </si>
  <si>
    <t>　　　　28 電子部品・デバイス・電子回路製造業</t>
  </si>
  <si>
    <t>sanC1.0223</t>
  </si>
  <si>
    <t>　　　　　280 管理，補助的経済活動を行う事業所</t>
  </si>
  <si>
    <t>sanC1.0224</t>
  </si>
  <si>
    <t>　　　　　281 電子デバイス製造業</t>
  </si>
  <si>
    <t>sanC1.0225</t>
  </si>
  <si>
    <t>　　　　　282 電子部品製造業</t>
  </si>
  <si>
    <t>sanC1.0226</t>
  </si>
  <si>
    <t>　　　　　283 記録メディア製造業</t>
  </si>
  <si>
    <t>sanC1.0227</t>
  </si>
  <si>
    <t>　　　　　284 電子回路製造業</t>
  </si>
  <si>
    <t>sanC1.0228</t>
  </si>
  <si>
    <t>　　　　　285 ユニット部品製造業</t>
  </si>
  <si>
    <t>sanC1.0229</t>
  </si>
  <si>
    <t>　　　　　289 その他の電子部品・デバイス・電子回路製造業</t>
  </si>
  <si>
    <t>sanC1.0230</t>
  </si>
  <si>
    <t>　　　　29 電気機械器具製造業</t>
  </si>
  <si>
    <t>sanC1.0231</t>
  </si>
  <si>
    <t>　　　　　290 管理，補助的経済活動を行う事業所</t>
  </si>
  <si>
    <t>sanC1.0232</t>
  </si>
  <si>
    <t>　　　　　291 発電用・送電用・配電用電気機械器具製造業</t>
  </si>
  <si>
    <t>sanC1.0233</t>
  </si>
  <si>
    <t>　　　　　292 産業用電気機械器具製造業</t>
  </si>
  <si>
    <t>sanC1.0234</t>
  </si>
  <si>
    <t>　　　　　293 民生用電気機械器具製造業</t>
  </si>
  <si>
    <t>sanC1.0235</t>
  </si>
  <si>
    <t>　　　　　294 電球・電気照明器具製造業</t>
  </si>
  <si>
    <t>sanC1.0236</t>
  </si>
  <si>
    <t>　　　　　295 電池製造業</t>
  </si>
  <si>
    <t>sanC1.0237</t>
  </si>
  <si>
    <t>　　　　　296 電子応用装置製造業</t>
  </si>
  <si>
    <t>sanC1.0238</t>
  </si>
  <si>
    <t>　　　　　297 電気計測器製造業</t>
  </si>
  <si>
    <t>sanC1.0239</t>
  </si>
  <si>
    <t>　　　　　299 その他の電気機械器具製造業</t>
  </si>
  <si>
    <t>sanC1.0240</t>
  </si>
  <si>
    <t>　　　　30 情報通信機械器具製造業</t>
  </si>
  <si>
    <t>sanC1.0241</t>
  </si>
  <si>
    <t>　　　　　300 管理，補助的経済活動を行う事業所</t>
  </si>
  <si>
    <t>sanC1.0242</t>
  </si>
  <si>
    <t>　　　　　301 通信機械器具・同関連機械器具製造業</t>
  </si>
  <si>
    <t>sanC1.0243</t>
  </si>
  <si>
    <t>　　　　　302 映像・音響機械器具製造業</t>
  </si>
  <si>
    <t>sanC1.0244</t>
  </si>
  <si>
    <t>　　　　　303 電子計算機・同附属装置製造業</t>
  </si>
  <si>
    <t>sanC1.0245</t>
  </si>
  <si>
    <t>　　　　31 輸送用機械器具製造業</t>
  </si>
  <si>
    <t>sanC1.0246</t>
  </si>
  <si>
    <t>　　　　　310 管理，補助的経済活動を行う事業所</t>
  </si>
  <si>
    <t>sanC1.0247</t>
  </si>
  <si>
    <t>　　　　　311 自動車・同附属品製造業</t>
  </si>
  <si>
    <t>sanC1.0248</t>
  </si>
  <si>
    <t>　　　　　312 鉄道車両・同部分品製造業</t>
  </si>
  <si>
    <t>sanC1.0249</t>
  </si>
  <si>
    <t>　　　　　313 船舶製造・修理業，舶用機関製造業</t>
  </si>
  <si>
    <t>sanC1.0250</t>
  </si>
  <si>
    <t>　　　　　314 航空機・同附属品製造業</t>
  </si>
  <si>
    <t>sanC1.0251</t>
  </si>
  <si>
    <t>　　　　　315 産業用運搬車両・同部分品・附属品製造業</t>
  </si>
  <si>
    <t>sanC1.0252</t>
  </si>
  <si>
    <t>　　　　　319 その他の輸送用機械器具製造業</t>
  </si>
  <si>
    <t>sanC1.0253</t>
  </si>
  <si>
    <t>　　　　32 その他の製造業</t>
  </si>
  <si>
    <t>sanC1.0254</t>
  </si>
  <si>
    <t>　　　　　320 管理，補助的経済活動を行う事業所</t>
  </si>
  <si>
    <t>sanC1.0255</t>
  </si>
  <si>
    <t>　　　　　321 貴金属・宝石製品製造業</t>
  </si>
  <si>
    <t>sanC1.0256</t>
  </si>
  <si>
    <t>　　　　　322 装身具・装飾品・ボタン・同関連品製造業（貴金属・宝石製を除く）</t>
  </si>
  <si>
    <t>sanC1.0257</t>
  </si>
  <si>
    <t>　　　　　323 時計・同部分品製造業</t>
  </si>
  <si>
    <t>sanC1.0258</t>
  </si>
  <si>
    <t>　　　　　324 楽器製造業</t>
  </si>
  <si>
    <t>sanC1.0259</t>
  </si>
  <si>
    <t>　　　　　325 がん具・運動用具製造業</t>
  </si>
  <si>
    <t>sanC1.0260</t>
  </si>
  <si>
    <t>　　　　　　32A がん具製造業</t>
  </si>
  <si>
    <t>sanC1.0261</t>
  </si>
  <si>
    <t>　　　　　　32B 運動用具製造業</t>
  </si>
  <si>
    <t>sanC1.0262</t>
  </si>
  <si>
    <t>　　　　　326 ペン・鉛筆・絵画用品・その他の事務用品製造業</t>
  </si>
  <si>
    <t>sanC1.0263</t>
  </si>
  <si>
    <t>　　　　　327 漆器製造業</t>
  </si>
  <si>
    <t>sanC1.0264</t>
  </si>
  <si>
    <t>　　　　　328 畳等生活雑貨製品製造業</t>
  </si>
  <si>
    <t>sanC1.0265</t>
  </si>
  <si>
    <t>　　　　　329 他に分類されない製造業</t>
  </si>
  <si>
    <t>sanC1.0266</t>
  </si>
  <si>
    <t>　　　　　　32C 情報記録物製造業（新聞，書籍等の印刷物を除く）</t>
  </si>
  <si>
    <t>sanC1.0267</t>
  </si>
  <si>
    <t>　　　　　　32D 他に分類されないその他の製造業</t>
  </si>
  <si>
    <t>sanC1.0268</t>
  </si>
  <si>
    <t>　　F 電気・ガス・熱供給・水道業</t>
  </si>
  <si>
    <t>sanC1.0269</t>
  </si>
  <si>
    <t>　　　　33 電気業</t>
  </si>
  <si>
    <t>sanC1.0270</t>
  </si>
  <si>
    <t>　　　　　330 管理，補助的経済活動を行う事業所</t>
  </si>
  <si>
    <t>sanC1.0271</t>
  </si>
  <si>
    <t>　　　　　331 電気業</t>
  </si>
  <si>
    <t>sanC1.0272</t>
  </si>
  <si>
    <t>　　　　34 ガス業</t>
  </si>
  <si>
    <t>sanC1.0273</t>
  </si>
  <si>
    <t>　　　　　340 管理，補助的経済活動を行う事業所</t>
  </si>
  <si>
    <t>sanC1.0274</t>
  </si>
  <si>
    <t>　　　　　341 ガス業</t>
  </si>
  <si>
    <t>sanC1.0275</t>
  </si>
  <si>
    <t>　　　　35 熱供給業</t>
  </si>
  <si>
    <t>sanC1.0276</t>
  </si>
  <si>
    <t>　　　　　350 管理，補助的経済活動を行う事業所</t>
  </si>
  <si>
    <t>sanC1.0277</t>
  </si>
  <si>
    <t>　　　　　351 熱供給業</t>
  </si>
  <si>
    <t>sanC1.0278</t>
  </si>
  <si>
    <t>　　　　36 水道業</t>
  </si>
  <si>
    <t>sanC1.0279</t>
  </si>
  <si>
    <t>　　　　　360 管理，補助的経済活動を行う事業所</t>
  </si>
  <si>
    <t>sanC1.0280</t>
  </si>
  <si>
    <t>　　　　　361 上水道業</t>
  </si>
  <si>
    <t>sanC1.0281</t>
  </si>
  <si>
    <t>　　　　　362 工業用水道業</t>
  </si>
  <si>
    <t>sanC1.0282</t>
  </si>
  <si>
    <t>　　　　　363 下水道業</t>
  </si>
  <si>
    <t>sanC1.0283</t>
  </si>
  <si>
    <t>　　G 情報通信業</t>
  </si>
  <si>
    <t>sanC1.0284</t>
  </si>
  <si>
    <t>　　　G1 情報通信業（通信業，放送業，映像・音声・文字情報制作業）</t>
  </si>
  <si>
    <t>sanC1.0285</t>
  </si>
  <si>
    <t>　　　　37 通信業</t>
  </si>
  <si>
    <t>sanC1.0286</t>
  </si>
  <si>
    <t>　　　　　370 管理，補助的経済活動を行う事業所</t>
  </si>
  <si>
    <t>sanC1.0287</t>
  </si>
  <si>
    <t>　　　　　371 固定電気通信業</t>
  </si>
  <si>
    <t>sanC1.0288</t>
  </si>
  <si>
    <t>　　　　　372 移動電気通信業</t>
  </si>
  <si>
    <t>sanC1.0289</t>
  </si>
  <si>
    <t>　　　　　373 電気通信に附帯するサービス業</t>
  </si>
  <si>
    <t>sanC1.0290</t>
  </si>
  <si>
    <t>　　　　38 放送業</t>
  </si>
  <si>
    <t>sanC1.0291</t>
  </si>
  <si>
    <t>　　　　　380 管理，補助的経済活動を行う事業所</t>
  </si>
  <si>
    <t>sanC1.0292</t>
  </si>
  <si>
    <t>　　　　　381 公共放送業（有線放送業を除く）</t>
  </si>
  <si>
    <t>sanC1.0293</t>
  </si>
  <si>
    <t>　　　　　382 民間放送業（有線放送業を除く）</t>
  </si>
  <si>
    <t>sanC1.0294</t>
  </si>
  <si>
    <t>　　　　　383 有線放送業</t>
  </si>
  <si>
    <t>sanC1.0295</t>
  </si>
  <si>
    <t>　　　　41 映像・音声・文字情報制作業</t>
  </si>
  <si>
    <t>sanC1.0296</t>
  </si>
  <si>
    <t>　　　　　410 管理，補助的経済活動を行う事業所</t>
  </si>
  <si>
    <t>sanC1.0297</t>
  </si>
  <si>
    <t>　　　　　411 映像情報制作・配給業</t>
  </si>
  <si>
    <t>sanC1.0298</t>
  </si>
  <si>
    <t>　　　　　412 音声情報制作業</t>
  </si>
  <si>
    <t>sanC1.0299</t>
  </si>
  <si>
    <t>　　　　　413 新聞業</t>
  </si>
  <si>
    <t>sanC1.0300</t>
  </si>
  <si>
    <t>　　　　　414 出版業</t>
  </si>
  <si>
    <t>sanC1.0301</t>
  </si>
  <si>
    <t>　　　　　415 広告制作業</t>
  </si>
  <si>
    <t>sanC1.0302</t>
  </si>
  <si>
    <t>　　　　　416 映像・音声・文字情報制作に附帯するサービス業</t>
  </si>
  <si>
    <t>sanC1.0303</t>
  </si>
  <si>
    <t>　　　G2 情報通信業（情報サービス業，インターネット附随サービス業）</t>
  </si>
  <si>
    <t>sanC1.0304</t>
  </si>
  <si>
    <t>　　　　39 情報サービス業</t>
  </si>
  <si>
    <t>sanC1.0305</t>
  </si>
  <si>
    <t>　　　　　390 管理，補助的経済活動を行う事業所</t>
  </si>
  <si>
    <t>sanC1.0306</t>
  </si>
  <si>
    <t>　　　　　391 ソフトウェア業</t>
  </si>
  <si>
    <t>sanC1.0307</t>
  </si>
  <si>
    <t>　　　　　392 情報処理・提供サービス業</t>
  </si>
  <si>
    <t>sanC1.0308</t>
  </si>
  <si>
    <t>　　　　　　39A 情報処理サービス業</t>
  </si>
  <si>
    <t>sanC1.0309</t>
  </si>
  <si>
    <t>　　　　　　39B 情報提供サービス業</t>
  </si>
  <si>
    <t>sanC1.0310</t>
  </si>
  <si>
    <t>　　　　　　39C その他の情報処理・提供サービス業</t>
  </si>
  <si>
    <t>sanC1.0311</t>
  </si>
  <si>
    <t>　　　　40 インターネット附随サービス業</t>
  </si>
  <si>
    <t>sanC1.0312</t>
  </si>
  <si>
    <t>　　　　　400 管理，補助的経済活動を行う事業所</t>
  </si>
  <si>
    <t>sanC1.0313</t>
  </si>
  <si>
    <t>　　　　　401 インターネット附随サービス業</t>
  </si>
  <si>
    <t>sanC1.0314</t>
  </si>
  <si>
    <t>　　H 運輸業，郵便業</t>
  </si>
  <si>
    <t>sanC1.0315</t>
  </si>
  <si>
    <t>　　　　42 鉄道業</t>
  </si>
  <si>
    <t>sanC1.0316</t>
  </si>
  <si>
    <t>　　　　　420 管理，補助的経済活動を行う事業所</t>
  </si>
  <si>
    <t>sanC1.0317</t>
  </si>
  <si>
    <t>　　　　　421 鉄道業</t>
  </si>
  <si>
    <t>sanC1.0318</t>
  </si>
  <si>
    <t>　　　　43 道路旅客運送業</t>
  </si>
  <si>
    <t>sanC1.0319</t>
  </si>
  <si>
    <t>　　　　　430 管理，補助的経済活動を行う事業所</t>
  </si>
  <si>
    <t>sanC1.0320</t>
  </si>
  <si>
    <t>　　　　　431 一般乗合旅客自動車運送業</t>
  </si>
  <si>
    <t>sanC1.0321</t>
  </si>
  <si>
    <t>　　　　　432 一般乗用旅客自動車運送業</t>
  </si>
  <si>
    <t>sanC1.0322</t>
  </si>
  <si>
    <t>　　　　　433 一般貸切旅客自動車運送業</t>
  </si>
  <si>
    <t>sanC1.0323</t>
  </si>
  <si>
    <t>　　　　　439 その他の道路旅客運送業</t>
  </si>
  <si>
    <t>sanC1.0324</t>
  </si>
  <si>
    <t>　　　　44 道路貨物運送業</t>
  </si>
  <si>
    <t>sanC1.0325</t>
  </si>
  <si>
    <t>　　　　　440 管理，補助的経済活動を行う事業所</t>
  </si>
  <si>
    <t>sanC1.0326</t>
  </si>
  <si>
    <t>　　　　　441 一般貨物自動車運送業</t>
  </si>
  <si>
    <t>sanC1.0327</t>
  </si>
  <si>
    <t>　　　　　442 特定貨物自動車運送業</t>
  </si>
  <si>
    <t>sanC1.0328</t>
  </si>
  <si>
    <t>　　　　　443 貨物軽自動車運送業</t>
  </si>
  <si>
    <t>sanC1.0329</t>
  </si>
  <si>
    <t>　　　　　444 集配利用運送業</t>
  </si>
  <si>
    <t>sanC1.0330</t>
  </si>
  <si>
    <t>　　　　　449 その他の道路貨物運送業</t>
  </si>
  <si>
    <t>sanC1.0331</t>
  </si>
  <si>
    <t>　　　　45 水運業</t>
  </si>
  <si>
    <t>sanC1.0332</t>
  </si>
  <si>
    <t>　　　　　450 管理，補助的経済活動を行う事業所</t>
  </si>
  <si>
    <t>sanC1.0333</t>
  </si>
  <si>
    <t>　　　　　451 外航海運業</t>
  </si>
  <si>
    <t>sanC1.0334</t>
  </si>
  <si>
    <t>　　　　　452 沿海海運業</t>
  </si>
  <si>
    <t>sanC1.0335</t>
  </si>
  <si>
    <t>　　　　　453 内陸水運業</t>
  </si>
  <si>
    <t>sanC1.0336</t>
  </si>
  <si>
    <t>　　　　　454 船舶貸渡業</t>
  </si>
  <si>
    <t>sanC1.0337</t>
  </si>
  <si>
    <t>　　　　46 航空運輸業</t>
  </si>
  <si>
    <t>sanC1.0338</t>
  </si>
  <si>
    <t>　　　　　460 管理，補助的経済活動を行う事業所</t>
  </si>
  <si>
    <t>sanC1.0339</t>
  </si>
  <si>
    <t>　　　　　461 航空運送業</t>
  </si>
  <si>
    <t>sanC1.0340</t>
  </si>
  <si>
    <t>　　　　　462 航空機使用業（航空運送業を除く）</t>
  </si>
  <si>
    <t>sanC1.0341</t>
  </si>
  <si>
    <t>　　　　47 倉庫業</t>
  </si>
  <si>
    <t>sanC1.0342</t>
  </si>
  <si>
    <t>　　　　　470 管理，補助的経済活動を行う事業所</t>
  </si>
  <si>
    <t>sanC1.0343</t>
  </si>
  <si>
    <t>　　　　　471 倉庫業（冷蔵倉庫業を除く）</t>
  </si>
  <si>
    <t>sanC1.0344</t>
  </si>
  <si>
    <t>　　　　　472 冷蔵倉庫業</t>
  </si>
  <si>
    <t>sanC1.0345</t>
  </si>
  <si>
    <t>　　　　48 運輸に附帯するサービス業</t>
  </si>
  <si>
    <t>sanC1.0346</t>
  </si>
  <si>
    <t>　　　　　480 管理，補助的経済活動を行う事業所</t>
  </si>
  <si>
    <t>sanC1.0347</t>
  </si>
  <si>
    <t>　　　　　481 港湾運送業</t>
  </si>
  <si>
    <t>sanC1.0348</t>
  </si>
  <si>
    <t>　　　　　482 貨物運送取扱業（集配利用運送業を除く）</t>
  </si>
  <si>
    <t>sanC1.0349</t>
  </si>
  <si>
    <t>　　　　　483 運送代理店</t>
  </si>
  <si>
    <t>sanC1.0350</t>
  </si>
  <si>
    <t>　　　　　484 こん包業</t>
  </si>
  <si>
    <t>sanC1.0351</t>
  </si>
  <si>
    <t>　　　　　485 運輸施設提供業</t>
  </si>
  <si>
    <t>sanC1.0352</t>
  </si>
  <si>
    <t>　　　　　489 その他の運輸に附帯するサービス業</t>
  </si>
  <si>
    <t>sanC1.0353</t>
  </si>
  <si>
    <t>　　　　49 郵便業（信書便事業を含む）</t>
  </si>
  <si>
    <t>sanC1.0354</t>
  </si>
  <si>
    <t>　　　　　490 管理，補助的経済活動を行う事業所</t>
  </si>
  <si>
    <t>sanC1.0355</t>
  </si>
  <si>
    <t>　　　　　491 郵便業（信書便事業を含む）</t>
  </si>
  <si>
    <t>sanC1.0356</t>
  </si>
  <si>
    <t>　　I 卸売業，小売業</t>
  </si>
  <si>
    <t>sanC1.0357</t>
  </si>
  <si>
    <t>　　　I1 卸売業</t>
  </si>
  <si>
    <t>sanC1.0358</t>
  </si>
  <si>
    <t>　　　　50 各種商品卸売業</t>
  </si>
  <si>
    <t>sanC1.0359</t>
  </si>
  <si>
    <t>　　　　　500 管理，補助的経済活動を行う事業所</t>
  </si>
  <si>
    <t>sanC1.0360</t>
  </si>
  <si>
    <t>　　　　　501 各種商品卸売業</t>
  </si>
  <si>
    <t>sanC1.0361</t>
  </si>
  <si>
    <t>　　　　　　50A 各種商品卸売業（従業者が常時100人以上のもの）</t>
  </si>
  <si>
    <t>sanC1.0362</t>
  </si>
  <si>
    <t>　　　　　　50B その他の各種商品卸売業</t>
  </si>
  <si>
    <t>sanC1.0363</t>
  </si>
  <si>
    <t>　　　　51 繊維・衣服等卸売業</t>
  </si>
  <si>
    <t>sanC1.0364</t>
  </si>
  <si>
    <t>　　　　　510 管理，補助的経済活動を行う事業所</t>
  </si>
  <si>
    <t>sanC1.0365</t>
  </si>
  <si>
    <t>　　　　　511 繊維品卸売業（衣服，身の回り品を除く）</t>
  </si>
  <si>
    <t>sanC1.0366</t>
  </si>
  <si>
    <t>　　　　　512 衣服卸売業</t>
  </si>
  <si>
    <t>sanC1.0367</t>
  </si>
  <si>
    <t>　　　　　513 身の回り品卸売業</t>
  </si>
  <si>
    <t>sanC1.0368</t>
  </si>
  <si>
    <t>　　　　52 飲食料品卸売業</t>
  </si>
  <si>
    <t>sanC1.0369</t>
  </si>
  <si>
    <t>　　　　　520 管理，補助的経済活動を行う事業所</t>
  </si>
  <si>
    <t>sanC1.0370</t>
  </si>
  <si>
    <t>　　　　　521 農畜産物・水産物卸売業</t>
  </si>
  <si>
    <t>sanC1.0371</t>
  </si>
  <si>
    <t>　　　　　　52A 米穀類卸売業</t>
  </si>
  <si>
    <t>sanC1.0372</t>
  </si>
  <si>
    <t>　　　　　　52B 野菜・果実卸売業</t>
  </si>
  <si>
    <t>sanC1.0373</t>
  </si>
  <si>
    <t>　　　　　　52C 食肉卸売業</t>
  </si>
  <si>
    <t>sanC1.0374</t>
  </si>
  <si>
    <t>　　　　　　52D 生鮮魚介卸売業</t>
  </si>
  <si>
    <t>sanC1.0375</t>
  </si>
  <si>
    <t>　　　　　　52E その他の農畜産物・水産物卸売業</t>
  </si>
  <si>
    <t>sanC1.0376</t>
  </si>
  <si>
    <t>　　　　　522 食料・飲料卸売業</t>
  </si>
  <si>
    <t>sanC1.0377</t>
  </si>
  <si>
    <t>　　　　53 建築材料，鉱物・金属材料等卸売業</t>
  </si>
  <si>
    <t>sanC1.0378</t>
  </si>
  <si>
    <t>　　　　　530 管理，補助的経済活動を行う事業所</t>
  </si>
  <si>
    <t>sanC1.0379</t>
  </si>
  <si>
    <t>　　　　　531 建築材料卸売業</t>
  </si>
  <si>
    <t>sanC1.0380</t>
  </si>
  <si>
    <t>　　　　　532 化学製品卸売業</t>
  </si>
  <si>
    <t>sanC1.0381</t>
  </si>
  <si>
    <t>　　　　　533 石油・鉱物卸売業</t>
  </si>
  <si>
    <t>sanC1.0382</t>
  </si>
  <si>
    <t>　　　　　534 鉄鋼製品卸売業</t>
  </si>
  <si>
    <t>sanC1.0383</t>
  </si>
  <si>
    <t>　　　　　535 非鉄金属卸売業</t>
  </si>
  <si>
    <t>sanC1.0384</t>
  </si>
  <si>
    <t>　　　　　536 再生資源卸売業</t>
  </si>
  <si>
    <t>sanC1.0385</t>
  </si>
  <si>
    <t>　　　　54 機械器具卸売業</t>
  </si>
  <si>
    <t>sanC1.0386</t>
  </si>
  <si>
    <t>　　　　　540 管理，補助的経済活動を行う事業所</t>
  </si>
  <si>
    <t>sanC1.0387</t>
  </si>
  <si>
    <t>　　　　　541 産業機械器具卸売業</t>
  </si>
  <si>
    <t>sanC1.0388</t>
  </si>
  <si>
    <t>　　　　　542 自動車卸売業</t>
  </si>
  <si>
    <t>sanC1.0389</t>
  </si>
  <si>
    <t>　　　　　543 電気機械器具卸売業</t>
  </si>
  <si>
    <t>sanC1.0390</t>
  </si>
  <si>
    <t>　　　　　549 その他の機械器具卸売業</t>
  </si>
  <si>
    <t>sanC1.0391</t>
  </si>
  <si>
    <t>　　　　55 その他の卸売業</t>
  </si>
  <si>
    <t>sanC1.0392</t>
  </si>
  <si>
    <t>　　　　　550 管理，補助的経済活動を行う事業所</t>
  </si>
  <si>
    <t>sanC1.0393</t>
  </si>
  <si>
    <t>　　　　　551 家具・建具・じゅう器等卸売業</t>
  </si>
  <si>
    <t>sanC1.0394</t>
  </si>
  <si>
    <t>　　　　　552 医薬品・化粧品等卸売業</t>
  </si>
  <si>
    <t>sanC1.0395</t>
  </si>
  <si>
    <t>　　　　　553 紙・紙製品卸売業</t>
  </si>
  <si>
    <t>sanC1.0396</t>
  </si>
  <si>
    <t>　　　　　559 他に分類されない卸売業</t>
  </si>
  <si>
    <t>sanC1.0397</t>
  </si>
  <si>
    <t>　　　　　　55A 代理商，仲立業</t>
  </si>
  <si>
    <t>sanC1.0398</t>
  </si>
  <si>
    <t>　　　　　　55B 他に分類されないその他の卸売業</t>
  </si>
  <si>
    <t>sanC1.0399</t>
  </si>
  <si>
    <t>　　　I2 小売業</t>
  </si>
  <si>
    <t>sanC1.0400</t>
  </si>
  <si>
    <t>　　　　56 各種商品小売業</t>
  </si>
  <si>
    <t>sanC1.0401</t>
  </si>
  <si>
    <t>　　　　　560 管理，補助的経済活動を行う事業所</t>
  </si>
  <si>
    <t>sanC1.0402</t>
  </si>
  <si>
    <t>　　　　　561 百貨店，総合スーパー</t>
  </si>
  <si>
    <t>sanC1.0403</t>
  </si>
  <si>
    <t>　　　　　569 その他の各種商品小売業（従業者が常時50人未満のもの）</t>
  </si>
  <si>
    <t>sanC1.0404</t>
  </si>
  <si>
    <t>　　　　57 織物・衣服・身の回り品小売業</t>
  </si>
  <si>
    <t>sanC1.0405</t>
  </si>
  <si>
    <t>　　　　　570 管理，補助的経済活動を行う事業所</t>
  </si>
  <si>
    <t>sanC1.0406</t>
  </si>
  <si>
    <t>　　　　　571 呉服・服地・寝具小売業</t>
  </si>
  <si>
    <t>sanC1.0407</t>
  </si>
  <si>
    <t>　　　　　572 男子服小売業</t>
  </si>
  <si>
    <t>sanC1.0408</t>
  </si>
  <si>
    <t>　　　　　573 婦人・子供服小売業</t>
  </si>
  <si>
    <t>sanC1.0409</t>
  </si>
  <si>
    <t>　　　　　574 靴・履物小売業</t>
  </si>
  <si>
    <t>sanC1.0410</t>
  </si>
  <si>
    <t>　　　　　579 その他の織物・衣服・身の回り品小売業</t>
  </si>
  <si>
    <t>sanC1.0411</t>
  </si>
  <si>
    <t>　　　　58 飲食料品小売業</t>
  </si>
  <si>
    <t>sanC1.0412</t>
  </si>
  <si>
    <t>　　　　　580 管理，補助的経済活動を行う事業所</t>
  </si>
  <si>
    <t>sanC1.0413</t>
  </si>
  <si>
    <t>　　　　　581 各種食料品小売業</t>
  </si>
  <si>
    <t>sanC1.0414</t>
  </si>
  <si>
    <t>　　　　　582 野菜・果実小売業</t>
  </si>
  <si>
    <t>sanC1.0415</t>
  </si>
  <si>
    <t>　　　　　583 食肉小売業</t>
  </si>
  <si>
    <t>sanC1.0416</t>
  </si>
  <si>
    <t>　　　　　584 鮮魚小売業</t>
  </si>
  <si>
    <t>sanC1.0417</t>
  </si>
  <si>
    <t>　　　　　585 酒小売業</t>
  </si>
  <si>
    <t>sanC1.0418</t>
  </si>
  <si>
    <t>　　　　　586 菓子・パン小売業</t>
  </si>
  <si>
    <t>sanC1.0419</t>
  </si>
  <si>
    <t>　　　　　589 その他の飲食料品小売業</t>
  </si>
  <si>
    <t>sanC1.0420</t>
  </si>
  <si>
    <t>　　　　　　58A 料理品小売業</t>
  </si>
  <si>
    <t>sanC1.0421</t>
  </si>
  <si>
    <t>　　　　　　58B 他に分類されない飲食料品小売業</t>
  </si>
  <si>
    <t>sanC1.0422</t>
  </si>
  <si>
    <t>　　　　59 機械器具小売業</t>
  </si>
  <si>
    <t>sanC1.0423</t>
  </si>
  <si>
    <t>　　　　　590 管理，補助的経済活動を行う事業所</t>
  </si>
  <si>
    <t>sanC1.0424</t>
  </si>
  <si>
    <t>　　　　　591 自動車小売業</t>
  </si>
  <si>
    <t>sanC1.0425</t>
  </si>
  <si>
    <t>　　　　　592 自転車小売業</t>
  </si>
  <si>
    <t>sanC1.0426</t>
  </si>
  <si>
    <t>　　　　　593 機械器具小売業（自動車，自転車を除く）</t>
  </si>
  <si>
    <t>sanC1.0427</t>
  </si>
  <si>
    <t>　　　　60 その他の小売業</t>
  </si>
  <si>
    <t>sanC1.0428</t>
  </si>
  <si>
    <t>　　　　　600 管理，補助的経済活動を行う事業所</t>
  </si>
  <si>
    <t>sanC1.0429</t>
  </si>
  <si>
    <t>　　　　　601 家具・建具・畳小売業</t>
  </si>
  <si>
    <t>sanC1.0430</t>
  </si>
  <si>
    <t>　　　　　602 じゅう器小売業</t>
  </si>
  <si>
    <t>sanC1.0431</t>
  </si>
  <si>
    <t>　　　　　603 医薬品・化粧品小売業</t>
  </si>
  <si>
    <t>sanC1.0432</t>
  </si>
  <si>
    <t>　　　　　604 農耕用品小売業</t>
  </si>
  <si>
    <t>sanC1.0433</t>
  </si>
  <si>
    <t>　　　　　605 燃料小売業</t>
  </si>
  <si>
    <t>sanC1.0434</t>
  </si>
  <si>
    <t>　　　　　606 書籍・文房具小売業</t>
  </si>
  <si>
    <t>sanC1.0435</t>
  </si>
  <si>
    <t>　　　　　607 スポーツ用品・がん具・娯楽用品・楽器小売業</t>
  </si>
  <si>
    <t>sanC1.0436</t>
  </si>
  <si>
    <t>　　　　　　60A スポーツ用品小売業</t>
  </si>
  <si>
    <t>sanC1.0437</t>
  </si>
  <si>
    <t>　　　　　　60B がん具・娯楽用品小売業</t>
  </si>
  <si>
    <t>sanC1.0438</t>
  </si>
  <si>
    <t>　　　　　　60C 楽器小売業</t>
  </si>
  <si>
    <t>sanC1.0439</t>
  </si>
  <si>
    <t>　　　　　608 写真機・時計・眼鏡小売業</t>
  </si>
  <si>
    <t>sanC1.0440</t>
  </si>
  <si>
    <t>　　　　　609 他に分類されない小売業</t>
  </si>
  <si>
    <t>sanC1.0441</t>
  </si>
  <si>
    <t>　　　　　　60D 花・植木小売業</t>
  </si>
  <si>
    <t>sanC1.0442</t>
  </si>
  <si>
    <t>　　　　　　60E ペット・ペット用品小売業</t>
  </si>
  <si>
    <t>sanC1.0443</t>
  </si>
  <si>
    <t>　　　　　　60F 中古品小売業（他に分類されないもの）</t>
  </si>
  <si>
    <t>sanC1.0444</t>
  </si>
  <si>
    <t>　　　　　　60G 他に分類されないその他の小売業</t>
  </si>
  <si>
    <t>sanC1.0445</t>
  </si>
  <si>
    <t>　　　　61 無店舗小売業</t>
  </si>
  <si>
    <t>sanC1.0446</t>
  </si>
  <si>
    <t>　　　　　610 管理，補助的経済活動を行う事業所</t>
  </si>
  <si>
    <t>sanC1.0447</t>
  </si>
  <si>
    <t>　　　　　611 通信販売・訪問販売小売業</t>
  </si>
  <si>
    <t>sanC1.0448</t>
  </si>
  <si>
    <t>　　　　　612 自動販売機による小売業</t>
  </si>
  <si>
    <t>sanC1.0449</t>
  </si>
  <si>
    <t>　　　　　619 その他の無店舗小売業</t>
  </si>
  <si>
    <t>sanC1.0450</t>
  </si>
  <si>
    <t>　　J 金融業，保険業</t>
  </si>
  <si>
    <t>sanC1.0451</t>
  </si>
  <si>
    <t>　　　　62 銀行業</t>
  </si>
  <si>
    <t>sanC1.0452</t>
  </si>
  <si>
    <t>　　　　　620 管理，補助的経済活動を行う事業所</t>
  </si>
  <si>
    <t>sanC1.0453</t>
  </si>
  <si>
    <t>　　　　　621 中央銀行</t>
  </si>
  <si>
    <t>sanC1.0454</t>
  </si>
  <si>
    <t>　　　　　622 銀行（中央銀行を除く）</t>
  </si>
  <si>
    <t>sanC1.0455</t>
  </si>
  <si>
    <t>　　　　63 協同組織金融業</t>
  </si>
  <si>
    <t>sanC1.0456</t>
  </si>
  <si>
    <t>　　　　　630 管理，補助的経済活動を行う事業所</t>
  </si>
  <si>
    <t>sanC1.0457</t>
  </si>
  <si>
    <t>　　　　　631 中小企業等金融業</t>
  </si>
  <si>
    <t>sanC1.0458</t>
  </si>
  <si>
    <t>　　　　　632 農林水産金融業</t>
  </si>
  <si>
    <t>sanC1.0459</t>
  </si>
  <si>
    <t>　　　　64 貸金業，クレジットカード業等非預金信用機関</t>
  </si>
  <si>
    <t>sanC1.0460</t>
  </si>
  <si>
    <t>　　　　　640 管理，補助的経済活動を行う事業所</t>
  </si>
  <si>
    <t>sanC1.0461</t>
  </si>
  <si>
    <t>　　　　　641 貸金業</t>
  </si>
  <si>
    <t>sanC1.0462</t>
  </si>
  <si>
    <t>　　　　　642 質屋</t>
  </si>
  <si>
    <t>sanC1.0463</t>
  </si>
  <si>
    <t>　　　　　643 クレジットカード業，割賦金融業</t>
  </si>
  <si>
    <t>sanC1.0464</t>
  </si>
  <si>
    <t>　　　　　649 その他の非預金信用機関</t>
  </si>
  <si>
    <t>sanC1.0465</t>
  </si>
  <si>
    <t>　　　　65 金融商品取引業，商品先物取引業</t>
  </si>
  <si>
    <t>sanC1.0466</t>
  </si>
  <si>
    <t>　　　　　650 管理，補助的経済活動を行う事業所</t>
  </si>
  <si>
    <t>sanC1.0467</t>
  </si>
  <si>
    <t>　　　　　651 金融商品取引業</t>
  </si>
  <si>
    <t>sanC1.0468</t>
  </si>
  <si>
    <t>　　　　　652 商品先物取引業，商品投資顧問業</t>
  </si>
  <si>
    <t>sanC1.0469</t>
  </si>
  <si>
    <t>　　　　66 補助的金融業等</t>
  </si>
  <si>
    <t>sanC1.0470</t>
  </si>
  <si>
    <t>　　　　　660 管理，補助的経済活動を行う事業所</t>
  </si>
  <si>
    <t>sanC1.0471</t>
  </si>
  <si>
    <t>　　　　　661 補助的金融業，金融附帯業</t>
  </si>
  <si>
    <t>sanC1.0472</t>
  </si>
  <si>
    <t>　　　　　662 信託業</t>
  </si>
  <si>
    <t>sanC1.0473</t>
  </si>
  <si>
    <t>　　　　　663 金融代理業</t>
  </si>
  <si>
    <t>sanC1.0474</t>
  </si>
  <si>
    <t>　　　　67 保険業（保険媒介代理業，保険サービス業を含む）</t>
  </si>
  <si>
    <t>sanC1.0475</t>
  </si>
  <si>
    <t>　　　　　670 管理，補助的経済活動を行う事業所</t>
  </si>
  <si>
    <t>sanC1.0476</t>
  </si>
  <si>
    <t>　　　　　671 生命保険業</t>
  </si>
  <si>
    <t>sanC1.0477</t>
  </si>
  <si>
    <t>　　　　　672 損害保険業</t>
  </si>
  <si>
    <t>sanC1.0478</t>
  </si>
  <si>
    <t>　　　　　673 共済事業，少額短期保険業</t>
  </si>
  <si>
    <t>sanC1.0479</t>
  </si>
  <si>
    <t>　　　　　674 保険媒介代理業</t>
  </si>
  <si>
    <t>sanC1.0480</t>
  </si>
  <si>
    <t>　　　　　675 保険サービス業</t>
  </si>
  <si>
    <t>sanC1.0481</t>
  </si>
  <si>
    <t>　　K 不動産業，物品賃貸業</t>
  </si>
  <si>
    <t>sanC1.0482</t>
  </si>
  <si>
    <t>　　　K1 不動産業</t>
  </si>
  <si>
    <t>sanC1.0483</t>
  </si>
  <si>
    <t>　　　　68 不動産取引業</t>
  </si>
  <si>
    <t>sanC1.0484</t>
  </si>
  <si>
    <t>　　　　　680 管理，補助的経済活動を行う事業所</t>
  </si>
  <si>
    <t>sanC1.0485</t>
  </si>
  <si>
    <t>　　　　　681 建物売買業，土地売買業</t>
  </si>
  <si>
    <t>sanC1.0486</t>
  </si>
  <si>
    <t>　　　　　682 不動産代理業・仲介業</t>
  </si>
  <si>
    <t>sanC1.0487</t>
  </si>
  <si>
    <t>　　　　69 不動産賃貸業・管理業</t>
  </si>
  <si>
    <t>sanC1.0488</t>
  </si>
  <si>
    <t>　　　　　690 管理，補助的経済活動を行う事業所</t>
  </si>
  <si>
    <t>sanC1.0489</t>
  </si>
  <si>
    <t>　　　　　691 不動産賃貸業（貸家業，貸間業を除く）</t>
  </si>
  <si>
    <t>sanC1.0490</t>
  </si>
  <si>
    <t>　　　　　692 貸家業，貸間業</t>
  </si>
  <si>
    <t>sanC1.0491</t>
  </si>
  <si>
    <t>　　　　　693 駐車場業</t>
  </si>
  <si>
    <t>sanC1.0492</t>
  </si>
  <si>
    <t>　　　　　694 不動産管理業</t>
  </si>
  <si>
    <t>sanC1.0493</t>
  </si>
  <si>
    <t>　　　K2 物品賃貸業</t>
  </si>
  <si>
    <t>sanC1.0494</t>
  </si>
  <si>
    <t>　　　　70 物品賃貸業</t>
  </si>
  <si>
    <t>sanC1.0495</t>
  </si>
  <si>
    <t>　　　　　700 管理，補助的経済活動を行う事業所</t>
  </si>
  <si>
    <t>sanC1.0496</t>
  </si>
  <si>
    <t>　　　　　701 各種物品賃貸業</t>
  </si>
  <si>
    <t>sanC1.0497</t>
  </si>
  <si>
    <t>　　　　　702 産業用機械器具賃貸業</t>
  </si>
  <si>
    <t>sanC1.0498</t>
  </si>
  <si>
    <t>　　　　　703 事務用機械器具賃貸業</t>
  </si>
  <si>
    <t>sanC1.0499</t>
  </si>
  <si>
    <t>　　　　　704 自動車賃貸業</t>
  </si>
  <si>
    <t>sanC1.0500</t>
  </si>
  <si>
    <t>　　　　　705 スポーツ・娯楽用品賃貸業</t>
  </si>
  <si>
    <t>sanC1.0501</t>
  </si>
  <si>
    <t>　　　　　709 その他の物品賃貸業</t>
  </si>
  <si>
    <t>sanC1.0502</t>
  </si>
  <si>
    <t>　　　　　　70A 音楽・映像記録物賃貸業（別掲を除く）</t>
  </si>
  <si>
    <t>sanC1.0503</t>
  </si>
  <si>
    <t>　　　　　　70B 他に分類されない物品賃貸業</t>
  </si>
  <si>
    <t>sanC1.0504</t>
  </si>
  <si>
    <t>　　L 学術研究，専門・技術サービス業</t>
  </si>
  <si>
    <t>sanC1.0505</t>
  </si>
  <si>
    <t>　　　　71 学術・開発研究機関</t>
  </si>
  <si>
    <t>sanC1.0506</t>
  </si>
  <si>
    <t>　　　　　710 管理，補助的経済活動を行う事業所</t>
  </si>
  <si>
    <t>sanC1.0507</t>
  </si>
  <si>
    <t>　　　　　711 自然科学研究所</t>
  </si>
  <si>
    <t>sanC1.0508</t>
  </si>
  <si>
    <t>　　　　　712 人文・社会科学研究所</t>
  </si>
  <si>
    <t>sanC1.0509</t>
  </si>
  <si>
    <t>　　　　72 専門サービス業（他に分類されないもの）</t>
  </si>
  <si>
    <t>sanC1.0510</t>
  </si>
  <si>
    <t>　　　　　720 管理，補助的経済活動を行う事業所</t>
  </si>
  <si>
    <t>sanC1.0511</t>
  </si>
  <si>
    <t>　　　　　721 法律事務所，特許事務所</t>
  </si>
  <si>
    <t>sanC1.0512</t>
  </si>
  <si>
    <t>　　　　　　72A 法律事務所</t>
  </si>
  <si>
    <t>sanC1.0513</t>
  </si>
  <si>
    <t>　　　　　　72B 特許事務所</t>
  </si>
  <si>
    <t>sanC1.0514</t>
  </si>
  <si>
    <t>　　　　　722 公証人役場，司法書士事務所，土地家屋調査士事務所</t>
  </si>
  <si>
    <t>sanC1.0515</t>
  </si>
  <si>
    <t>　　　　　723 行政書士事務所</t>
  </si>
  <si>
    <t>sanC1.0516</t>
  </si>
  <si>
    <t>　　　　　724 公認会計士事務所，税理士事務所</t>
  </si>
  <si>
    <t>sanC1.0517</t>
  </si>
  <si>
    <t>　　　　　　72C 公認会計士事務所</t>
  </si>
  <si>
    <t>sanC1.0518</t>
  </si>
  <si>
    <t>　　　　　　72D 税理士事務所</t>
  </si>
  <si>
    <t>sanC1.0519</t>
  </si>
  <si>
    <t>　　　　　725 社会保険労務士事務所</t>
  </si>
  <si>
    <t>sanC1.0520</t>
  </si>
  <si>
    <t>　　　　　726 デザイン業</t>
  </si>
  <si>
    <t>sanC1.0521</t>
  </si>
  <si>
    <t>　　　　　727 著述・芸術家業</t>
  </si>
  <si>
    <t>sanC1.0522</t>
  </si>
  <si>
    <t>　　　　　728 経営コンサルタント業，純粋持株会社</t>
  </si>
  <si>
    <t>sanC1.0523</t>
  </si>
  <si>
    <t>　　　　　　72E 経営コンサルタント業</t>
  </si>
  <si>
    <t>sanC1.0524</t>
  </si>
  <si>
    <t>　　　　　　72F 純粋持株会社</t>
  </si>
  <si>
    <t>sanC1.0525</t>
  </si>
  <si>
    <t>　　　　　729 その他の専門サービス業</t>
  </si>
  <si>
    <t>sanC1.0526</t>
  </si>
  <si>
    <t>　　　　　　72G 興信所</t>
  </si>
  <si>
    <t>sanC1.0527</t>
  </si>
  <si>
    <t>　　　　　　72H 他に分類されない専門サービス業</t>
  </si>
  <si>
    <t>sanC1.0528</t>
  </si>
  <si>
    <t>　　　　73 広告業</t>
  </si>
  <si>
    <t>sanC1.0529</t>
  </si>
  <si>
    <t>　　　　　730 管理，補助的経済活動を行う事業所</t>
  </si>
  <si>
    <t>sanC1.0530</t>
  </si>
  <si>
    <t>　　　　　731 広告業</t>
  </si>
  <si>
    <t>sanC1.0531</t>
  </si>
  <si>
    <t>　　　　74 技術サービス業（他に分類されないもの）</t>
  </si>
  <si>
    <t>sanC1.0532</t>
  </si>
  <si>
    <t>　　　　　740 管理，補助的経済活動を行う事業所</t>
  </si>
  <si>
    <t>sanC1.0533</t>
  </si>
  <si>
    <t>　　　　　741 獣医業</t>
  </si>
  <si>
    <t>sanC1.0534</t>
  </si>
  <si>
    <t>　　　　　742 土木建築サービス業</t>
  </si>
  <si>
    <t>sanC1.0535</t>
  </si>
  <si>
    <t>　　　　　　74A 建築設計業</t>
  </si>
  <si>
    <t>sanC1.0536</t>
  </si>
  <si>
    <t>　　　　　　74B 測量業</t>
  </si>
  <si>
    <t>sanC1.0537</t>
  </si>
  <si>
    <t>　　　　　　74C その他の土木建築サービス業</t>
  </si>
  <si>
    <t>sanC1.0538</t>
  </si>
  <si>
    <t>　　　　　743 機械設計業</t>
  </si>
  <si>
    <t>sanC1.0539</t>
  </si>
  <si>
    <t>　　　　　744 商品・非破壊検査業</t>
  </si>
  <si>
    <t>sanC1.0540</t>
  </si>
  <si>
    <t>　　　　　745 計量証明業</t>
  </si>
  <si>
    <t>sanC1.0541</t>
  </si>
  <si>
    <t>　　　　　746 写真業</t>
  </si>
  <si>
    <t>sanC1.0542</t>
  </si>
  <si>
    <t>　　　　　749 その他の技術サービス業</t>
  </si>
  <si>
    <t>sanC1.0543</t>
  </si>
  <si>
    <t>　　M 宿泊業，飲食サービス業</t>
  </si>
  <si>
    <t>sanC1.0544</t>
  </si>
  <si>
    <t>　　　M1 宿泊業</t>
  </si>
  <si>
    <t>sanC1.0545</t>
  </si>
  <si>
    <t>　　　　75 宿泊業</t>
  </si>
  <si>
    <t>sanC1.0546</t>
  </si>
  <si>
    <t>　　　　　750 管理，補助的経済活動を行う事業所</t>
  </si>
  <si>
    <t>sanC1.0547</t>
  </si>
  <si>
    <t>　　　　　751 旅館，ホテル</t>
  </si>
  <si>
    <t>sanC1.0548</t>
  </si>
  <si>
    <t>　　　　　752 簡易宿所</t>
  </si>
  <si>
    <t>sanC1.0549</t>
  </si>
  <si>
    <t>　　　　　753 下宿業</t>
  </si>
  <si>
    <t>sanC1.0550</t>
  </si>
  <si>
    <t>　　　　　759 その他の宿泊業</t>
  </si>
  <si>
    <t>sanC1.0551</t>
  </si>
  <si>
    <t>　　　　　　75A 会社・団体の宿泊所</t>
  </si>
  <si>
    <t>sanC1.0552</t>
  </si>
  <si>
    <t>　　　　　　75B 他に分類されない宿泊業</t>
  </si>
  <si>
    <t>sanC1.0553</t>
  </si>
  <si>
    <t>　　　M2 飲食店，持ち帰り・配達飲食サービス業</t>
  </si>
  <si>
    <t>sanC1.0554</t>
  </si>
  <si>
    <t>　　　　76 飲食店</t>
  </si>
  <si>
    <t>sanC1.0555</t>
  </si>
  <si>
    <t>　　　　　760 管理，補助的経済活動を行う事業所</t>
  </si>
  <si>
    <t>sanC1.0556</t>
  </si>
  <si>
    <t>　　　　　761 食堂，レストラン（専門料理店を除く）</t>
  </si>
  <si>
    <t>sanC1.0557</t>
  </si>
  <si>
    <t>　　　　　762 専門料理店</t>
  </si>
  <si>
    <t>sanC1.0558</t>
  </si>
  <si>
    <t>　　　　　　76A 日本料理店</t>
  </si>
  <si>
    <t>sanC1.0559</t>
  </si>
  <si>
    <t>　　　　　　76B 中華料理店</t>
  </si>
  <si>
    <t>sanC1.0560</t>
  </si>
  <si>
    <t>　　　　　　76C 焼肉店</t>
  </si>
  <si>
    <t>sanC1.0561</t>
  </si>
  <si>
    <t>　　　　　　76D その他の専門料理店</t>
  </si>
  <si>
    <t>sanC1.0562</t>
  </si>
  <si>
    <t>　　　　　763 そば・うどん店</t>
  </si>
  <si>
    <t>sanC1.0563</t>
  </si>
  <si>
    <t>　　　　　764 すし店</t>
  </si>
  <si>
    <t>sanC1.0564</t>
  </si>
  <si>
    <t>　　　　　765 酒場，ビヤホール</t>
  </si>
  <si>
    <t>sanC1.0565</t>
  </si>
  <si>
    <t>　　　　　766 バー，キャバレー，ナイトクラブ</t>
  </si>
  <si>
    <t>sanC1.0566</t>
  </si>
  <si>
    <t>　　　　　767 喫茶店</t>
  </si>
  <si>
    <t>sanC1.0567</t>
  </si>
  <si>
    <t>　　　　　769 その他の飲食店</t>
  </si>
  <si>
    <t>sanC1.0568</t>
  </si>
  <si>
    <t>　　　　　　76E ハンバーガー店</t>
  </si>
  <si>
    <t>sanC1.0569</t>
  </si>
  <si>
    <t>　　　　　　76F お好み焼・焼きそば・たこ焼店</t>
  </si>
  <si>
    <t>sanC1.0570</t>
  </si>
  <si>
    <t>　　　　　　76G 他に分類されない飲食店</t>
  </si>
  <si>
    <t>sanC1.0571</t>
  </si>
  <si>
    <t>　　　　77 持ち帰り・配達飲食サービス業</t>
  </si>
  <si>
    <t>sanC1.0572</t>
  </si>
  <si>
    <t>　　　　　770 管理，補助的経済活動を行う事業所</t>
  </si>
  <si>
    <t>sanC1.0573</t>
  </si>
  <si>
    <t>　　　　　771 持ち帰り飲食サービス業</t>
  </si>
  <si>
    <t>sanC1.0574</t>
  </si>
  <si>
    <t>　　　　　772 配達飲食サービス業</t>
  </si>
  <si>
    <t>sanC1.0575</t>
  </si>
  <si>
    <t>　　N 生活関連サービス業，娯楽業</t>
  </si>
  <si>
    <t>sanC1.0576</t>
  </si>
  <si>
    <t>　　　　78 洗濯・理容・美容・浴場業</t>
  </si>
  <si>
    <t>sanC1.0577</t>
  </si>
  <si>
    <t>　　　　　780 管理，補助的経済活動を行う事業所</t>
  </si>
  <si>
    <t>sanC1.0578</t>
  </si>
  <si>
    <t>　　　　　781 洗濯業</t>
  </si>
  <si>
    <t>sanC1.0579</t>
  </si>
  <si>
    <t>　　　　　　78A 普通洗濯業</t>
  </si>
  <si>
    <t>sanC1.0580</t>
  </si>
  <si>
    <t>　　　　　　78B リネンサプライ業</t>
  </si>
  <si>
    <t>sanC1.0581</t>
  </si>
  <si>
    <t>　　　　　782 理容業</t>
  </si>
  <si>
    <t>sanC1.0582</t>
  </si>
  <si>
    <t>　　　　　783 美容業</t>
  </si>
  <si>
    <t>sanC1.0583</t>
  </si>
  <si>
    <t>　　　　　784 一般公衆浴場業</t>
  </si>
  <si>
    <t>sanC1.0584</t>
  </si>
  <si>
    <t>　　　　　785 その他の公衆浴場業</t>
  </si>
  <si>
    <t>sanC1.0585</t>
  </si>
  <si>
    <t>　　　　　789 その他の洗濯・理容・美容・浴場業</t>
  </si>
  <si>
    <t>sanC1.0586</t>
  </si>
  <si>
    <t>　　　　79 その他の生活関連サービス業</t>
  </si>
  <si>
    <t>sanC1.0587</t>
  </si>
  <si>
    <t>　　　　　790 管理，補助的経済活動を行う事業所</t>
  </si>
  <si>
    <t>sanC1.0588</t>
  </si>
  <si>
    <t>　　　　　791 旅行業</t>
  </si>
  <si>
    <t>sanC1.0589</t>
  </si>
  <si>
    <t>　　　　　793 衣服裁縫修理業</t>
  </si>
  <si>
    <t>sanC1.0590</t>
  </si>
  <si>
    <t>　　　　　794 物品預り業</t>
  </si>
  <si>
    <t>sanC1.0591</t>
  </si>
  <si>
    <t>　　　　　795 火葬・墓地管理業</t>
  </si>
  <si>
    <t>sanC1.0592</t>
  </si>
  <si>
    <t>　　　　　796 冠婚葬祭業</t>
  </si>
  <si>
    <t>sanC1.0593</t>
  </si>
  <si>
    <t>　　　　　　79A 葬儀業</t>
  </si>
  <si>
    <t>sanC1.0594</t>
  </si>
  <si>
    <t>　　　　　　79B 結婚式場業</t>
  </si>
  <si>
    <t>sanC1.0595</t>
  </si>
  <si>
    <t>　　　　　　79C 冠婚葬祭互助会</t>
  </si>
  <si>
    <t>sanC1.0596</t>
  </si>
  <si>
    <t>　　　　　799 他に分類されない生活関連サービス業</t>
  </si>
  <si>
    <t>sanC1.0597</t>
  </si>
  <si>
    <t>　　　　　　79D 写真プリント，現像・焼付業</t>
  </si>
  <si>
    <t>sanC1.0598</t>
  </si>
  <si>
    <t>　　　　　　79E 他に分類されないその他の生活関連サービス業</t>
  </si>
  <si>
    <t>sanC1.0599</t>
  </si>
  <si>
    <t>　　　　80 娯楽業</t>
  </si>
  <si>
    <t>sanC1.0600</t>
  </si>
  <si>
    <t>　　　　　800 管理，補助的経済活動を行う事業所</t>
  </si>
  <si>
    <t>sanC1.0601</t>
  </si>
  <si>
    <t>　　　　　801 映画館</t>
  </si>
  <si>
    <t>sanC1.0602</t>
  </si>
  <si>
    <t>　　　　　802 興行場（別掲を除く），興行団</t>
  </si>
  <si>
    <t>sanC1.0603</t>
  </si>
  <si>
    <t>　　　　　803 競輪・競馬等の競走場，競技団</t>
  </si>
  <si>
    <t>sanC1.0604</t>
  </si>
  <si>
    <t>　　　　　804 スポーツ施設提供業</t>
  </si>
  <si>
    <t>sanC1.0605</t>
  </si>
  <si>
    <t>　　　　　　80A スポーツ施設提供業（別掲を除く）</t>
  </si>
  <si>
    <t>sanC1.0606</t>
  </si>
  <si>
    <t>　　　　　　80B 体育館</t>
  </si>
  <si>
    <t>sanC1.0607</t>
  </si>
  <si>
    <t>　　　　　　80C ゴルフ場</t>
  </si>
  <si>
    <t>sanC1.0608</t>
  </si>
  <si>
    <t>　　　　　　80D ゴルフ練習場</t>
  </si>
  <si>
    <t>sanC1.0609</t>
  </si>
  <si>
    <t>　　　　　　80E ボウリング場</t>
  </si>
  <si>
    <t>sanC1.0610</t>
  </si>
  <si>
    <t>　　　　　　80F テニス場</t>
  </si>
  <si>
    <t>sanC1.0611</t>
  </si>
  <si>
    <t>　　　　　　80G バッティング・テニス練習場</t>
  </si>
  <si>
    <t>sanC1.0612</t>
  </si>
  <si>
    <t>　　　　　　80H フィットネスクラブ</t>
  </si>
  <si>
    <t>sanC1.0613</t>
  </si>
  <si>
    <t>　　　　　805 公園，遊園地</t>
  </si>
  <si>
    <t>sanC1.0614</t>
  </si>
  <si>
    <t>　　　　　806 遊戯場</t>
  </si>
  <si>
    <t>sanC1.0615</t>
  </si>
  <si>
    <t>　　　　　　80J マージャンクラブ</t>
  </si>
  <si>
    <t>sanC1.0616</t>
  </si>
  <si>
    <t>　　　　　　80K パチンコホール</t>
  </si>
  <si>
    <t>sanC1.0617</t>
  </si>
  <si>
    <t>　　　　　　80L ゲームセンター</t>
  </si>
  <si>
    <t>sanC1.0618</t>
  </si>
  <si>
    <t>　　　　　　80M その他の遊戯場</t>
  </si>
  <si>
    <t>sanC1.0619</t>
  </si>
  <si>
    <t>　　　　　809 その他の娯楽業</t>
  </si>
  <si>
    <t>sanC1.0620</t>
  </si>
  <si>
    <t>　　　　　　80N カラオケボックス業</t>
  </si>
  <si>
    <t>sanC1.0621</t>
  </si>
  <si>
    <t>　　　　　　80P 他に分類されない娯楽業</t>
  </si>
  <si>
    <t>sanC1.0622</t>
  </si>
  <si>
    <t>　　O 教育，学習支援業</t>
  </si>
  <si>
    <t>sanC1.0623</t>
  </si>
  <si>
    <t>　　　O1 教育，学習支援業（学校教育）</t>
  </si>
  <si>
    <t>sanC1.0624</t>
  </si>
  <si>
    <t>　　　　81 学校教育</t>
  </si>
  <si>
    <t>sanC1.0625</t>
  </si>
  <si>
    <t>　　　　　810 管理，補助的経済活動を行う事業所</t>
  </si>
  <si>
    <t>sanC1.0626</t>
  </si>
  <si>
    <t>　　　　　811 幼稚園</t>
  </si>
  <si>
    <t>sanC1.0627</t>
  </si>
  <si>
    <t>　　　　　819 幼保連携型認定こども園</t>
  </si>
  <si>
    <t>sanC1.0628</t>
  </si>
  <si>
    <t>　　　　　812 小学校</t>
  </si>
  <si>
    <t>sanC1.0629</t>
  </si>
  <si>
    <t>　　　　　813 中学校</t>
  </si>
  <si>
    <t>sanC1.0630</t>
  </si>
  <si>
    <t>　　　　　814 高等学校，中等教育学校</t>
  </si>
  <si>
    <t>sanC1.0631</t>
  </si>
  <si>
    <t>　　　　　815 特別支援学校</t>
  </si>
  <si>
    <t>sanC1.0632</t>
  </si>
  <si>
    <t>　　　　　816 高等教育機関</t>
  </si>
  <si>
    <t>sanC1.0633</t>
  </si>
  <si>
    <t>　　　　　817 専修学校，各種学校</t>
  </si>
  <si>
    <t>sanC1.0634</t>
  </si>
  <si>
    <t>　　　　　818 学校教育支援機関</t>
  </si>
  <si>
    <t>sanC1.0635</t>
  </si>
  <si>
    <t>　　　O2 教育，学習支援業（その他の教育，学習支援業）</t>
  </si>
  <si>
    <t>sanC1.0636</t>
  </si>
  <si>
    <t>　　　　82 その他の教育，学習支援業</t>
  </si>
  <si>
    <t>sanC1.0637</t>
  </si>
  <si>
    <t>　　　　　820 管理，補助的経済活動を行う事業所</t>
  </si>
  <si>
    <t>sanC1.0638</t>
  </si>
  <si>
    <t>　　　　　821 社会教育</t>
  </si>
  <si>
    <t>sanC1.0639</t>
  </si>
  <si>
    <t>　　　　　　82A 公民館</t>
  </si>
  <si>
    <t>sanC1.0640</t>
  </si>
  <si>
    <t>　　　　　　82B 図書館</t>
  </si>
  <si>
    <t>sanC1.0641</t>
  </si>
  <si>
    <t>　　　　　　82C 博物館，美術館</t>
  </si>
  <si>
    <t>sanC1.0642</t>
  </si>
  <si>
    <t>　　　　　　82D 動物園，植物園，水族館</t>
  </si>
  <si>
    <t>sanC1.0643</t>
  </si>
  <si>
    <t>　　　　　　82E その他の社会教育</t>
  </si>
  <si>
    <t>sanC1.0644</t>
  </si>
  <si>
    <t>　　　　　822 職業・教育支援施設</t>
  </si>
  <si>
    <t>sanC1.0645</t>
  </si>
  <si>
    <t>　　　　　823 学習塾</t>
  </si>
  <si>
    <t>sanC1.0646</t>
  </si>
  <si>
    <t>　　　　　824 教養・技能教授業</t>
  </si>
  <si>
    <t>sanC1.0647</t>
  </si>
  <si>
    <t>　　　　　　82F 音楽教授業</t>
  </si>
  <si>
    <t>sanC1.0648</t>
  </si>
  <si>
    <t>　　　　　　82G 書道教授業</t>
  </si>
  <si>
    <t>sanC1.0649</t>
  </si>
  <si>
    <t>　　　　　　82H 生花・茶道教授業</t>
  </si>
  <si>
    <t>sanC1.0650</t>
  </si>
  <si>
    <t>　　　　　　82J そろばん教授業</t>
  </si>
  <si>
    <t>sanC1.0651</t>
  </si>
  <si>
    <t>　　　　　　82K 外国語会話教授業</t>
  </si>
  <si>
    <t>sanC1.0652</t>
  </si>
  <si>
    <t>　　　　　　82L スポーツ・健康教授業</t>
  </si>
  <si>
    <t>sanC1.0653</t>
  </si>
  <si>
    <t>　　　　　　82M その他の教養・技能教授業</t>
  </si>
  <si>
    <t>sanC1.0654</t>
  </si>
  <si>
    <t>　　　　　829 他に分類されない教育，学習支援業</t>
  </si>
  <si>
    <t>sanC1.0655</t>
  </si>
  <si>
    <t>　　P 医療，福祉</t>
  </si>
  <si>
    <t>sanC1.0656</t>
  </si>
  <si>
    <t>　　　　83 医療業</t>
  </si>
  <si>
    <t>sanC1.0657</t>
  </si>
  <si>
    <t>　　　　　830 管理，補助的経済活動を行う事業所</t>
  </si>
  <si>
    <t>sanC1.0658</t>
  </si>
  <si>
    <t>　　　　　831 病院</t>
  </si>
  <si>
    <t>sanC1.0659</t>
  </si>
  <si>
    <t>　　　　　832 一般診療所</t>
  </si>
  <si>
    <t>sanC1.0660</t>
  </si>
  <si>
    <t>　　　　　833 歯科診療所</t>
  </si>
  <si>
    <t>sanC1.0661</t>
  </si>
  <si>
    <t>　　　　　834 助産・看護業</t>
  </si>
  <si>
    <t>sanC1.0662</t>
  </si>
  <si>
    <t>　　　　　　83A 助産所</t>
  </si>
  <si>
    <t>sanC1.0663</t>
  </si>
  <si>
    <t>　　　　　　83B 看護業</t>
  </si>
  <si>
    <t>sanC1.0664</t>
  </si>
  <si>
    <t>　　　　　835 療術業</t>
  </si>
  <si>
    <t>sanC1.0665</t>
  </si>
  <si>
    <t>　　　　　836 医療に附帯するサービス業</t>
  </si>
  <si>
    <t>sanC1.0666</t>
  </si>
  <si>
    <t>　　　　　　83C 歯科技工所</t>
  </si>
  <si>
    <t>sanC1.0667</t>
  </si>
  <si>
    <t>　　　　　　83D その他の医療に附帯するサービス業</t>
  </si>
  <si>
    <t>sanC1.0668</t>
  </si>
  <si>
    <t>　　　　84 保健衛生</t>
  </si>
  <si>
    <t>sanC1.0669</t>
  </si>
  <si>
    <t>　　　　　840 管理，補助的経済活動を行う事業所</t>
  </si>
  <si>
    <t>sanC1.0670</t>
  </si>
  <si>
    <t>　　　　　842 健康相談施設</t>
  </si>
  <si>
    <t>sanC1.0671</t>
  </si>
  <si>
    <t>　　　　　849 その他の保健衛生</t>
  </si>
  <si>
    <t>sanC1.0672</t>
  </si>
  <si>
    <t>　　　　85 社会保険・社会福祉・介護事業</t>
  </si>
  <si>
    <t>sanC1.0673</t>
  </si>
  <si>
    <t>　　　　　850 管理，補助的経済活動を行う事業所</t>
  </si>
  <si>
    <t>sanC1.0674</t>
  </si>
  <si>
    <t>　　　　　851 社会保険事業団体</t>
  </si>
  <si>
    <t>sanC1.0675</t>
  </si>
  <si>
    <t>　　　　　853 児童福祉事業</t>
  </si>
  <si>
    <t>sanC1.0676</t>
  </si>
  <si>
    <t>　　　　　　85A 保育所</t>
  </si>
  <si>
    <t>sanC1.0677</t>
  </si>
  <si>
    <t>　　　　　　85B その他の児童福祉事業</t>
  </si>
  <si>
    <t>sanC1.0678</t>
  </si>
  <si>
    <t>　　　　　854 老人福祉・介護事業</t>
  </si>
  <si>
    <t>sanC1.0679</t>
  </si>
  <si>
    <t>　　　　　　85C 特別養護老人ホーム</t>
  </si>
  <si>
    <t>sanC1.0680</t>
  </si>
  <si>
    <t>　　　　　　85D 介護老人保健施設</t>
  </si>
  <si>
    <t>sanC1.0681</t>
  </si>
  <si>
    <t>　　　　　　85E 通所・短期入所介護事業</t>
  </si>
  <si>
    <t>sanC1.0682</t>
  </si>
  <si>
    <t>　　　　　　85F 訪問介護事業</t>
  </si>
  <si>
    <t>sanC1.0683</t>
  </si>
  <si>
    <t>　　　　　　85G 認知症老人グループホーム</t>
  </si>
  <si>
    <t>sanC1.0684</t>
  </si>
  <si>
    <t>　　　　　　85H 有料老人ホーム</t>
  </si>
  <si>
    <t>sanC1.0685</t>
  </si>
  <si>
    <t>　　　　　　85J その他の老人福祉・介護事業</t>
  </si>
  <si>
    <t>sanC1.0686</t>
  </si>
  <si>
    <t>　　　　　855 障害者福祉事業</t>
  </si>
  <si>
    <t>sanC1.0687</t>
  </si>
  <si>
    <t>　　　　　859 その他の社会保険・社会福祉・介護事業</t>
  </si>
  <si>
    <t>sanC1.0688</t>
  </si>
  <si>
    <t>　　　　　　85K 更生保護事業</t>
  </si>
  <si>
    <t>sanC1.0689</t>
  </si>
  <si>
    <t>　　　　　　85L 他に分類されない社会保険・社会福祉・介護事業</t>
  </si>
  <si>
    <t>sanC1.0690</t>
  </si>
  <si>
    <t>　　Q 複合サービス事業</t>
  </si>
  <si>
    <t>sanC1.0691</t>
  </si>
  <si>
    <t>　　　Q1 複合サービス事業（郵便局）</t>
  </si>
  <si>
    <t>sanC1.0692</t>
  </si>
  <si>
    <t>　　　　86 郵便局</t>
  </si>
  <si>
    <t>sanC1.0693</t>
  </si>
  <si>
    <t>　　　　　860 管理，補助的経済活動を行う事業所</t>
  </si>
  <si>
    <t>sanC1.0694</t>
  </si>
  <si>
    <t>　　　　　861 郵便局</t>
  </si>
  <si>
    <t>sanC1.0695</t>
  </si>
  <si>
    <t>　　　　　862 郵便局受託業</t>
  </si>
  <si>
    <t>sanC1.0696</t>
  </si>
  <si>
    <t>　　　Q2 複合サービス事業（協同組合）</t>
  </si>
  <si>
    <t>sanC1.0697</t>
  </si>
  <si>
    <t>　　　　87 協同組合（他に分類されないもの）</t>
  </si>
  <si>
    <t>sanC1.0698</t>
  </si>
  <si>
    <t>　　　　　870 管理，補助的経済活動を行う事業所</t>
  </si>
  <si>
    <t>sanC1.0699</t>
  </si>
  <si>
    <t>　　　　　871 農林水産業協同組合（他に分類されないもの）</t>
  </si>
  <si>
    <t>sanC1.0700</t>
  </si>
  <si>
    <t>　　　　　872 事業協同組合（他に分類されないもの）</t>
  </si>
  <si>
    <t>sanC1.0701</t>
  </si>
  <si>
    <t>　　R サービス業（他に分類されないもの）</t>
  </si>
  <si>
    <t>sanC1.0702</t>
  </si>
  <si>
    <t>　　　R1 サービス業（政治・経済・文化団体，宗教）</t>
  </si>
  <si>
    <t>sanC1.0703</t>
  </si>
  <si>
    <t>　　　　93 政治・経済・文化団体</t>
  </si>
  <si>
    <t>sanC1.0704</t>
  </si>
  <si>
    <t>　　　　　931 経済団体</t>
  </si>
  <si>
    <t>sanC1.0705</t>
  </si>
  <si>
    <t>　　　　　932 労働団体</t>
  </si>
  <si>
    <t>sanC1.0706</t>
  </si>
  <si>
    <t>　　　　　933 学術・文化団体</t>
  </si>
  <si>
    <t>sanC1.0707</t>
  </si>
  <si>
    <t>　　　　　934 政治団体</t>
  </si>
  <si>
    <t>sanC1.0708</t>
  </si>
  <si>
    <t>　　　　　939 他に分類されない非営利的団体</t>
  </si>
  <si>
    <t>sanC1.0709</t>
  </si>
  <si>
    <t>　　　　94 宗教</t>
  </si>
  <si>
    <t>sanC1.0710</t>
  </si>
  <si>
    <t>　　　　　941 神道系宗教</t>
  </si>
  <si>
    <t>sanC1.0711</t>
  </si>
  <si>
    <t>　　　　　942 仏教系宗教</t>
  </si>
  <si>
    <t>sanC1.0712</t>
  </si>
  <si>
    <t>　　　　　943 キリスト教系宗教</t>
  </si>
  <si>
    <t>sanC1.0713</t>
  </si>
  <si>
    <t>　　　　　949 その他の宗教</t>
  </si>
  <si>
    <t>sanC1.0714</t>
  </si>
  <si>
    <t>　　　R2 サービス業（政治・経済・文化団体，宗教を除く）</t>
  </si>
  <si>
    <t>sanC1.0715</t>
  </si>
  <si>
    <t>　　　　88 廃棄物処理業</t>
  </si>
  <si>
    <t>sanC1.0716</t>
  </si>
  <si>
    <t>　　　　　880 管理，補助的経済活動を行う事業所</t>
  </si>
  <si>
    <t>sanC1.0717</t>
  </si>
  <si>
    <t>　　　　　881 一般廃棄物処理業</t>
  </si>
  <si>
    <t>sanC1.0718</t>
  </si>
  <si>
    <t>　　　　　882 産業廃棄物処理業</t>
  </si>
  <si>
    <t>sanC1.0719</t>
  </si>
  <si>
    <t>　　　　　889 その他の廃棄物処理業</t>
  </si>
  <si>
    <t>sanC1.0720</t>
  </si>
  <si>
    <t>　　　　89 自動車整備業</t>
  </si>
  <si>
    <t>sanC1.0721</t>
  </si>
  <si>
    <t>　　　　　890 管理，補助的経済活動を行う事業所</t>
  </si>
  <si>
    <t>sanC1.0722</t>
  </si>
  <si>
    <t>　　　　　891 自動車整備業</t>
  </si>
  <si>
    <t>sanC1.0723</t>
  </si>
  <si>
    <t>　　　　90 機械等修理業（別掲を除く）</t>
  </si>
  <si>
    <t>sanC1.0724</t>
  </si>
  <si>
    <t>　　　　　900 管理，補助的経済活動を行う事業所</t>
  </si>
  <si>
    <t>sanC1.0725</t>
  </si>
  <si>
    <t>　　　　　901 機械修理業（電気機械器具を除く）</t>
  </si>
  <si>
    <t>sanC1.0726</t>
  </si>
  <si>
    <t>　　　　　902 電気機械器具修理業</t>
  </si>
  <si>
    <t>sanC1.0727</t>
  </si>
  <si>
    <t>　　　　　903 表具業</t>
  </si>
  <si>
    <t>sanC1.0728</t>
  </si>
  <si>
    <t>　　　　　909 その他の修理業</t>
  </si>
  <si>
    <t>sanC1.0729</t>
  </si>
  <si>
    <t>　　　　91 職業紹介・労働者派遣業</t>
  </si>
  <si>
    <t>sanC1.0730</t>
  </si>
  <si>
    <t>　　　　　910 管理，補助的経済活動を行う事業所</t>
  </si>
  <si>
    <t>sanC1.0731</t>
  </si>
  <si>
    <t>　　　　　911 職業紹介業</t>
  </si>
  <si>
    <t>sanC1.0732</t>
  </si>
  <si>
    <t>　　　　　912 労働者派遣業</t>
  </si>
  <si>
    <t>sanC1.0733</t>
  </si>
  <si>
    <t>　　　　92 その他の事業サービス業</t>
  </si>
  <si>
    <t>sanC1.0734</t>
  </si>
  <si>
    <t>　　　　　920 管理，補助的経済活動を行う事業所</t>
  </si>
  <si>
    <t>sanC1.0735</t>
  </si>
  <si>
    <t>　　　　　921 速記・ワープロ入力・複写業</t>
  </si>
  <si>
    <t>sanC1.0736</t>
  </si>
  <si>
    <t>　　　　　922 建物サービス業</t>
  </si>
  <si>
    <t>sanC1.0737</t>
  </si>
  <si>
    <t>　　　　　923 警備業</t>
  </si>
  <si>
    <t>sanC1.0738</t>
  </si>
  <si>
    <t>　　　　　929 他に分類されない事業サービス業</t>
  </si>
  <si>
    <t>sanC1.0739</t>
  </si>
  <si>
    <t>　　　　95 その他のサービス業</t>
  </si>
  <si>
    <t>sanC1.0740</t>
  </si>
  <si>
    <t>　　　　　950 管理，補助的経済活動を行う事業所</t>
  </si>
  <si>
    <t>sanC1.0741</t>
  </si>
  <si>
    <t>　　　　　951 集会場</t>
  </si>
  <si>
    <t>sanC1.0742</t>
  </si>
  <si>
    <t>　　　　　952 と畜場</t>
  </si>
  <si>
    <t>sanC1.0743</t>
  </si>
  <si>
    <t>　　　　　959 他に分類されないサービス業</t>
  </si>
  <si>
    <t>A</t>
  </si>
  <si>
    <t>B</t>
  </si>
  <si>
    <t>C</t>
  </si>
  <si>
    <t>従業者数</t>
    <rPh sb="0" eb="3">
      <t>ジュウギョウシャ</t>
    </rPh>
    <rPh sb="3" eb="4">
      <t>スウ</t>
    </rPh>
    <phoneticPr fontId="1"/>
  </si>
  <si>
    <t>2015年</t>
    <rPh sb="4" eb="5">
      <t>ネン</t>
    </rPh>
    <phoneticPr fontId="1"/>
  </si>
  <si>
    <t>令和３年経済センサス‐活動調査　事業所に関する集計－産業横断的集計－事業所数、従業者数</t>
  </si>
  <si>
    <t>第９－２表　産業(小分類)、経営組織(5区分)別全事業所数、男女別従業者数及び常用雇用者数－全国、都道府県、市区町村：全国、三重県～沖縄県</t>
  </si>
  <si>
    <t>1) 「従業者数_男女計」など、男女計の人数には男女の別「不詳」を含む</t>
  </si>
  <si>
    <t>経営組織</t>
  </si>
  <si>
    <t>0_総数</t>
  </si>
  <si>
    <t>1_うち民営</t>
  </si>
  <si>
    <t>事業所数</t>
  </si>
  <si>
    <t>従業者数_男女計</t>
  </si>
  <si>
    <t>従業者数_男</t>
  </si>
  <si>
    <t>従業者数_女</t>
  </si>
  <si>
    <t>従業者数_うち常用雇用者_男女計</t>
  </si>
  <si>
    <t>従業者数_うち常用雇用者_男</t>
  </si>
  <si>
    <t>従業者数_うち常用雇用者_女</t>
  </si>
  <si>
    <t>事業所</t>
  </si>
  <si>
    <t>人</t>
  </si>
  <si>
    <t>地域識別コード</t>
  </si>
  <si>
    <t>地域区分</t>
  </si>
  <si>
    <t>階層</t>
  </si>
  <si>
    <t>産業大分類</t>
  </si>
  <si>
    <t>産業小分類</t>
  </si>
  <si>
    <t xml:space="preserve"> </t>
  </si>
  <si>
    <t>a</t>
  </si>
  <si>
    <t>28000_兵庫県</t>
  </si>
  <si>
    <t>1</t>
  </si>
  <si>
    <t>AS</t>
  </si>
  <si>
    <t>AS_全産業</t>
  </si>
  <si>
    <t>AR</t>
  </si>
  <si>
    <t>AR_全産業（S_公務を除く）</t>
  </si>
  <si>
    <t>AB</t>
  </si>
  <si>
    <t>AB_農林漁業</t>
  </si>
  <si>
    <t>2</t>
  </si>
  <si>
    <t>A_農業，林業</t>
  </si>
  <si>
    <t>4</t>
  </si>
  <si>
    <t>01_農業</t>
  </si>
  <si>
    <t>5</t>
  </si>
  <si>
    <t>010_管理，補助的経済活動を行う事業所（01_農業）</t>
  </si>
  <si>
    <t>011_耕種農業</t>
  </si>
  <si>
    <t>012_畜産農業</t>
  </si>
  <si>
    <t>013_農業サービス業（園芸サービス業を除く）</t>
  </si>
  <si>
    <t>014_園芸サービス業</t>
  </si>
  <si>
    <t>02_林業</t>
  </si>
  <si>
    <t>020_管理，補助的経済活動を行う事業所（02_林業）</t>
  </si>
  <si>
    <t>021_育林業</t>
  </si>
  <si>
    <t>022_素材生産業</t>
  </si>
  <si>
    <t>023_特用林産物生産業（きのこ類の栽培を除く）</t>
  </si>
  <si>
    <t>024_林業サービス業</t>
  </si>
  <si>
    <t>029_その他の林業</t>
  </si>
  <si>
    <t>B_漁業</t>
  </si>
  <si>
    <t>03_漁業（水産養殖業を除く）</t>
  </si>
  <si>
    <t>030_管理，補助的経済活動を行う事業所（03_漁業）</t>
  </si>
  <si>
    <t>031_海面漁業</t>
  </si>
  <si>
    <t>032_内水面漁業</t>
  </si>
  <si>
    <t>04_水産養殖業</t>
  </si>
  <si>
    <t>040_管理，補助的経済活動を行う事業所（04_水産養殖業）</t>
  </si>
  <si>
    <t>041_海面養殖業</t>
  </si>
  <si>
    <t>042_内水面養殖業</t>
  </si>
  <si>
    <t>CR</t>
  </si>
  <si>
    <t>CR_非農林漁業（S_公務を除く）</t>
  </si>
  <si>
    <t>C_鉱業，採石業，砂利採取業</t>
  </si>
  <si>
    <t>05_鉱業，採石業，砂利採取業</t>
  </si>
  <si>
    <t>050_管理，補助的経済活動を行う事業所（05_鉱業，採石業，砂利採取業）</t>
  </si>
  <si>
    <t>051_金属鉱業</t>
  </si>
  <si>
    <t>052_石炭・亜炭鉱業</t>
  </si>
  <si>
    <t>053_原油・天然ガス鉱業</t>
  </si>
  <si>
    <t>054_採石業，砂・砂利・玉石採取業</t>
  </si>
  <si>
    <t>055_窯業原料用鉱物鉱業（耐火物・陶磁器・ガラス・セメント原料用に限る）</t>
  </si>
  <si>
    <t>059_その他の鉱業</t>
  </si>
  <si>
    <t>D</t>
  </si>
  <si>
    <t>D_建設業</t>
  </si>
  <si>
    <t>06_総合工事業</t>
  </si>
  <si>
    <t>060_管理，補助的経済活動を行う事業所（06_総合工事業）</t>
  </si>
  <si>
    <t>061_一般土木建築工事業</t>
  </si>
  <si>
    <t>062_土木工事業（舗装工事業を除く）</t>
  </si>
  <si>
    <t>063_舗装工事業</t>
  </si>
  <si>
    <t>064_建築工事業（木造建築工事業を除く）</t>
  </si>
  <si>
    <t>065_木造建築工事業</t>
  </si>
  <si>
    <t>066_建築リフォーム工事業</t>
  </si>
  <si>
    <t>07_職別工事業（設備工事業を除く）</t>
  </si>
  <si>
    <t>070_管理，補助的経済活動を行う事業所（07_職別工事業）</t>
  </si>
  <si>
    <t>071_大工工事業</t>
  </si>
  <si>
    <t>072_とび・土工・コンクリート工事業</t>
  </si>
  <si>
    <t>073_鉄骨・鉄筋工事業</t>
  </si>
  <si>
    <t>074_石工・れんが・タイル・ブロック工事業</t>
  </si>
  <si>
    <t>075_左官工事業</t>
  </si>
  <si>
    <t>076_板金・金物工事業</t>
  </si>
  <si>
    <t>077_塗装工事業</t>
  </si>
  <si>
    <t>078_床・内装工事業</t>
  </si>
  <si>
    <t>079_その他の職別工事業</t>
  </si>
  <si>
    <t>08_設備工事業</t>
  </si>
  <si>
    <t>080_管理，補助的経済活動を行う事業所（08_設備工事業）</t>
  </si>
  <si>
    <t>081_電気工事業</t>
  </si>
  <si>
    <t>082_電気通信・信号装置工事業</t>
  </si>
  <si>
    <t>083_管工事業（さく井工事業を除く）</t>
  </si>
  <si>
    <t>084_機械器具設置工事業</t>
  </si>
  <si>
    <t>089_その他の設備工事業</t>
  </si>
  <si>
    <t>E</t>
  </si>
  <si>
    <t>E_製造業</t>
  </si>
  <si>
    <t>09_食料品製造業</t>
  </si>
  <si>
    <t>090_管理，補助的経済活動を行う事業所（09_食料品製造業）</t>
  </si>
  <si>
    <t>091_畜産食料品製造業</t>
  </si>
  <si>
    <t>092_水産食料品製造業</t>
  </si>
  <si>
    <t>093_野菜缶詰・果実缶詰・農産保存食料品製造業</t>
  </si>
  <si>
    <t>094_調味料製造業</t>
  </si>
  <si>
    <t>095_糖類製造業</t>
  </si>
  <si>
    <t>096_精穀・製粉業</t>
  </si>
  <si>
    <t>097_パン・菓子製造業</t>
  </si>
  <si>
    <t>098_動植物油脂製造業</t>
  </si>
  <si>
    <t>099_その他の食料品製造業</t>
  </si>
  <si>
    <t>10_飲料・たばこ・飼料製造業</t>
  </si>
  <si>
    <t>100_管理，補助的経済活動を行う事業所（10_飲料・たばこ・飼料製造業）</t>
  </si>
  <si>
    <t>101_清涼飲料製造業</t>
  </si>
  <si>
    <t>102_酒類製造業</t>
  </si>
  <si>
    <t>103_茶・コーヒー製造業（清涼飲料を除く）</t>
  </si>
  <si>
    <t>104_製氷業</t>
  </si>
  <si>
    <t>105_たばこ製造業</t>
  </si>
  <si>
    <t>106_飼料・有機質肥料製造業</t>
  </si>
  <si>
    <t>11_繊維工業</t>
  </si>
  <si>
    <t>110_管理，補助的経済活動を行う事業所（11_繊維工業）</t>
  </si>
  <si>
    <t>111_製糸業，紡績業，化学繊維・ねん糸等製造業</t>
  </si>
  <si>
    <t>112_織物業</t>
  </si>
  <si>
    <t>113_ニット生地製造業</t>
  </si>
  <si>
    <t>114_染色整理業</t>
  </si>
  <si>
    <t>115_綱・網・レース・繊維粗製品製造業</t>
  </si>
  <si>
    <t>116_外衣・シャツ製造業（和式を除く）</t>
  </si>
  <si>
    <t>117_下着類製造業</t>
  </si>
  <si>
    <t>118_和装製品・その他の衣服・繊維製身の回り品製造業</t>
  </si>
  <si>
    <t>119_その他の繊維製品製造業</t>
  </si>
  <si>
    <t>12_木材・木製品製造業（家具を除く）</t>
  </si>
  <si>
    <t>120_管理，補助的経済活動を行う事業所（12_木材・木製品製造業）</t>
  </si>
  <si>
    <t>121_製材業，木製品製造業</t>
  </si>
  <si>
    <t>122_造作材・合板・建築用組立材料製造業</t>
  </si>
  <si>
    <t>123_木製容器製造業（竹，とうを含む）</t>
  </si>
  <si>
    <t>129_その他の木製品製造業（竹，とうを含む）</t>
  </si>
  <si>
    <t>13_家具・装備品製造業</t>
  </si>
  <si>
    <t>130_管理，補助的経済活動を行う事業所（13_家具・装備品製造業）</t>
  </si>
  <si>
    <t>131_家具製造業</t>
  </si>
  <si>
    <t>132_宗教用具製造業</t>
  </si>
  <si>
    <t>133_建具製造業</t>
  </si>
  <si>
    <t>139_その他の家具・装備品製造業</t>
  </si>
  <si>
    <t>14_パルプ・紙・紙加工品製造業</t>
  </si>
  <si>
    <t>140_管理，補助的経済活動を行う事業所（14_パルプ・紙・紙加工品製造業）</t>
  </si>
  <si>
    <t>141_パルプ製造業</t>
  </si>
  <si>
    <t>142_紙製造業</t>
  </si>
  <si>
    <t>143_加工紙製造業</t>
  </si>
  <si>
    <t>144_紙製品製造業</t>
  </si>
  <si>
    <t>145_紙製容器製造業</t>
  </si>
  <si>
    <t>149_その他のパルプ・紙・紙加工品製造業</t>
  </si>
  <si>
    <t>15_印刷・同関連業</t>
  </si>
  <si>
    <t>150_管理，補助的経済活動を行う事業所（15_印刷・同関連業）</t>
  </si>
  <si>
    <t>151_印刷業</t>
  </si>
  <si>
    <t>152_製版業</t>
  </si>
  <si>
    <t>153_製本業，印刷物加工業</t>
  </si>
  <si>
    <t>159_印刷関連サービス業</t>
  </si>
  <si>
    <t>16_化学工業</t>
  </si>
  <si>
    <t>160_管理，補助的経済活動を行う事業所（16_化学工業）</t>
  </si>
  <si>
    <t>161_化学肥料製造業</t>
  </si>
  <si>
    <t>162_無機化学工業製品製造業</t>
  </si>
  <si>
    <t>163_有機化学工業製品製造業</t>
  </si>
  <si>
    <t>164_油脂加工製品・石けん・合成洗剤・界面活性剤・塗料製造業</t>
  </si>
  <si>
    <t>165_医薬品製造業</t>
  </si>
  <si>
    <t>166_化粧品・歯磨・その他の化粧用調整品製造業</t>
  </si>
  <si>
    <t>169_その他の化学工業</t>
  </si>
  <si>
    <t>17_石油製品・石炭製品製造業</t>
  </si>
  <si>
    <t>170_管理，補助的経済活動を行う事業所（17_石油製品・石炭製品製造業）</t>
  </si>
  <si>
    <t>171_石油精製業</t>
  </si>
  <si>
    <t>172_潤滑油・グリース製造業（石油精製業によらないもの）</t>
  </si>
  <si>
    <t>173_コークス製造業</t>
  </si>
  <si>
    <t>174_舗装材料製造業</t>
  </si>
  <si>
    <t>179_その他の石油製品・石炭製品製造業</t>
  </si>
  <si>
    <t>18_プラスチック製品製造業（別掲を除く）</t>
  </si>
  <si>
    <t>180_管理，補助的経済活動を行う事業所（18_プラスチック製品製造業）</t>
  </si>
  <si>
    <t>181_プラスチック板・棒・管・継手・異形押出製品製造業</t>
  </si>
  <si>
    <t>182_プラスチックフィルム・シート・床材・合成皮革製造業</t>
  </si>
  <si>
    <t>183_工業用プラスチック製品製造業</t>
  </si>
  <si>
    <t>184_発泡・強化プラスチック製品製造業</t>
  </si>
  <si>
    <t>185_プラスチック成形材料製造業（廃プラスチックを含む）</t>
  </si>
  <si>
    <t>189_その他のプラスチック製品製造業</t>
  </si>
  <si>
    <t>19_ゴム製品製造業</t>
  </si>
  <si>
    <t>190_管理，補助的経済活動を行う事業所（19_ゴム製品製造業）</t>
  </si>
  <si>
    <t>191_タイヤ・チューブ製造業</t>
  </si>
  <si>
    <t>192_ゴム製・プラスチック製履物・同附属品製造業</t>
  </si>
  <si>
    <t>193_ゴムベルト・ゴムホース・工業用ゴム製品製造業</t>
  </si>
  <si>
    <t>199_その他のゴム製品製造業</t>
  </si>
  <si>
    <t>20_なめし革・同製品・毛皮製造業</t>
  </si>
  <si>
    <t>200_管理，補助的経済活動を行う事業所（20_なめし革・同製品・毛皮製造業）</t>
  </si>
  <si>
    <t>201_なめし革製造業</t>
  </si>
  <si>
    <t>202_工業用革製品製造業（手袋を除く）</t>
  </si>
  <si>
    <t>203_革製履物用材料・同附属品製造業</t>
  </si>
  <si>
    <t>204_革製履物製造業</t>
  </si>
  <si>
    <t>205_革製手袋製造業</t>
  </si>
  <si>
    <t>206_かばん製造業</t>
  </si>
  <si>
    <t>207_袋物製造業</t>
  </si>
  <si>
    <t>208_毛皮製造業</t>
  </si>
  <si>
    <t>209_その他のなめし革製品製造業</t>
  </si>
  <si>
    <t>21_窯業・土石製品製造業</t>
  </si>
  <si>
    <t>210_管理，補助的経済活動を行う事業所（21_窯業・土石製品製造業）</t>
  </si>
  <si>
    <t>211_ガラス・同製品製造業</t>
  </si>
  <si>
    <t>212_セメント・同製品製造業</t>
  </si>
  <si>
    <t>213_建設用粘土製品製造業（陶磁器製を除く）</t>
  </si>
  <si>
    <t>214_陶磁器・同関連製品製造業</t>
  </si>
  <si>
    <t>215_耐火物製造業</t>
  </si>
  <si>
    <t>216_炭素・黒鉛製品製造業</t>
  </si>
  <si>
    <t>217_研磨材・同製品製造業</t>
  </si>
  <si>
    <t>218_骨材・石工品等製造業</t>
  </si>
  <si>
    <t>219_その他の窯業・土石製品製造業</t>
  </si>
  <si>
    <t>22_鉄鋼業</t>
  </si>
  <si>
    <t>220_管理，補助的経済活動を行う事業所（22_鉄鋼業）</t>
  </si>
  <si>
    <t>221_製鉄業</t>
  </si>
  <si>
    <t>222_製鋼・製鋼圧延業</t>
  </si>
  <si>
    <t>223_製鋼を行わない鋼材製造業（表面処理鋼材を除く）</t>
  </si>
  <si>
    <t>224_表面処理鋼材製造業</t>
  </si>
  <si>
    <t>225_鉄素形材製造業</t>
  </si>
  <si>
    <t>229_その他の鉄鋼業</t>
  </si>
  <si>
    <t>23_非鉄金属製造業</t>
  </si>
  <si>
    <t>230_管理，補助的経済活動を行う事業所（23_非鉄金属製造業）</t>
  </si>
  <si>
    <t>231_非鉄金属第１次製錬・精製業</t>
  </si>
  <si>
    <t>232_非鉄金属第２次製錬・精製業（非鉄金属合金製造業を含む）</t>
  </si>
  <si>
    <t>233_非鉄金属・同合金圧延業（抽伸，押出しを含む）</t>
  </si>
  <si>
    <t>234_電線・ケーブル製造業</t>
  </si>
  <si>
    <t>235_非鉄金属素形材製造業</t>
  </si>
  <si>
    <t>239_その他の非鉄金属製造業</t>
  </si>
  <si>
    <t>24_金属製品製造業</t>
  </si>
  <si>
    <t>240_管理，補助的経済活動を行う事業所（24_金属製品製造業）</t>
  </si>
  <si>
    <t>241_ブリキ缶・その他のめっき板等製品製造業</t>
  </si>
  <si>
    <t>242_洋食器・刃物・手道具・金物類製造業</t>
  </si>
  <si>
    <t>243_暖房・調理等装置，配管工事用附属品製造業</t>
  </si>
  <si>
    <t>244_建設用・建築用金属製品製造業（製缶板金業を含む）</t>
  </si>
  <si>
    <t>245_金属素形材製品製造業</t>
  </si>
  <si>
    <t>246_金属被覆・彫刻業，熱処理業（ほうろう鉄器を除く）</t>
  </si>
  <si>
    <t>247_金属線製品製造業（ねじ類を除く）</t>
  </si>
  <si>
    <t>248_ボルト・ナット・リベット・小ねじ・木ねじ等製造業</t>
  </si>
  <si>
    <t>249_その他の金属製品製造業</t>
  </si>
  <si>
    <t>25_はん用機械器具製造業</t>
  </si>
  <si>
    <t>250_管理，補助的経済活動を行う事業所（25_はん用機械器具製造業）</t>
  </si>
  <si>
    <t>251_ボイラ・原動機製造業</t>
  </si>
  <si>
    <t>252_ポンプ・圧縮機器製造業</t>
  </si>
  <si>
    <t>253_一般産業用機械・装置製造業</t>
  </si>
  <si>
    <t>259_その他のはん用機械・同部分品製造業</t>
  </si>
  <si>
    <t>26_生産用機械器具製造業</t>
  </si>
  <si>
    <t>260_管理，補助的経済活動を行う事業所（26_生産用機械器具製造業）</t>
  </si>
  <si>
    <t>261_農業用機械製造業（農業用器具を除く）</t>
  </si>
  <si>
    <t>262_建設機械・鉱山機械製造業</t>
  </si>
  <si>
    <t>263_繊維機械製造業</t>
  </si>
  <si>
    <t>264_生活関連産業用機械製造業</t>
  </si>
  <si>
    <t>265_基礎素材産業用機械製造業</t>
  </si>
  <si>
    <t>266_金属加工機械製造業</t>
  </si>
  <si>
    <t>267_半導体・フラットパネルディスプレイ製造装置製造業</t>
  </si>
  <si>
    <t>269_その他の生産用機械・同部分品製造業</t>
  </si>
  <si>
    <t>27_業務用機械器具製造業</t>
  </si>
  <si>
    <t>270_管理，補助的経済活動を行う事業所（27_業務用機械器具製造業）</t>
  </si>
  <si>
    <t>271_事務用機械器具製造業</t>
  </si>
  <si>
    <t>272_サービス用・娯楽用機械器具製造業</t>
  </si>
  <si>
    <t>273_計量器・測定器・分析機器・試験機・測量機械器具・理化学機械器具製造業</t>
  </si>
  <si>
    <t>274_医療用機械器具・医療用品製造業</t>
  </si>
  <si>
    <t>275_光学機械器具・レンズ製造業</t>
  </si>
  <si>
    <t>276_武器製造業</t>
  </si>
  <si>
    <t>28_電子部品・デバイス・電子回路製造業</t>
  </si>
  <si>
    <t>280_管理，補助的経済活動を行う事業所（28_電子部品・デバイス・電子回路製造業）</t>
  </si>
  <si>
    <t>281_電子デバイス製造業</t>
  </si>
  <si>
    <t>282_電子部品製造業</t>
  </si>
  <si>
    <t>283_記録メディア製造業</t>
  </si>
  <si>
    <t>284_電子回路製造業</t>
  </si>
  <si>
    <t>285_ユニット部品製造業</t>
  </si>
  <si>
    <t>289_その他の電子部品・デバイス・電子回路製造業</t>
  </si>
  <si>
    <t>29_電気機械器具製造業</t>
  </si>
  <si>
    <t>290_管理，補助的経済活動を行う事業所（29_電気機械器具製造業）</t>
  </si>
  <si>
    <t>291_発電用・送電用・配電用電気機械器具製造業</t>
  </si>
  <si>
    <t>292_産業用電気機械器具製造業</t>
  </si>
  <si>
    <t>293_民生用電気機械器具製造業</t>
  </si>
  <si>
    <t>294_電球・電気照明器具製造業</t>
  </si>
  <si>
    <t>295_電池製造業</t>
  </si>
  <si>
    <t>296_電子応用装置製造業</t>
  </si>
  <si>
    <t>297_電気計測器製造業</t>
  </si>
  <si>
    <t>299_その他の電気機械器具製造業</t>
  </si>
  <si>
    <t>30_情報通信機械器具製造業</t>
  </si>
  <si>
    <t>300_管理，補助的経済活動を行う事業所（30_情報通信機械器具製造業）</t>
  </si>
  <si>
    <t>301_通信機械器具・同関連機械器具製造業</t>
  </si>
  <si>
    <t>302_映像・音響機械器具製造業</t>
  </si>
  <si>
    <t>303_電子計算機・同附属装置製造業</t>
  </si>
  <si>
    <t>31_輸送用機械器具製造業</t>
  </si>
  <si>
    <t>310_管理，補助的経済活動を行う事業所（31_輸送用機械器具製造業）</t>
  </si>
  <si>
    <t>311_自動車・同附属品製造業</t>
  </si>
  <si>
    <t>312_鉄道車両・同部分品製造業</t>
  </si>
  <si>
    <t>313_船舶製造・修理業，舶用機関製造業</t>
  </si>
  <si>
    <t>314_航空機・同附属品製造業</t>
  </si>
  <si>
    <t>315_産業用運搬車両・同部分品・附属品製造業</t>
  </si>
  <si>
    <t>319_その他の輸送用機械器具製造業</t>
  </si>
  <si>
    <t>32_その他の製造業</t>
  </si>
  <si>
    <t>320_管理，補助的経済活動を行う事業所（32_その他の製造業）</t>
  </si>
  <si>
    <t>321_貴金属・宝石製品製造業</t>
  </si>
  <si>
    <t>322_装身具・装飾品・ボタン・同関連品製造業（貴金属・宝石製を除く）</t>
  </si>
  <si>
    <t>323_時計・同部分品製造業</t>
  </si>
  <si>
    <t>324_楽器製造業</t>
  </si>
  <si>
    <t>325_がん具・運動用具製造業</t>
  </si>
  <si>
    <t>6</t>
  </si>
  <si>
    <t>32A_がん具製造業</t>
  </si>
  <si>
    <t>32B_運動用具製造業</t>
  </si>
  <si>
    <t>326_ペン・鉛筆・絵画用品・その他の事務用品製造業</t>
  </si>
  <si>
    <t>327_漆器製造業</t>
  </si>
  <si>
    <t>328_畳等生活雑貨製品製造業</t>
  </si>
  <si>
    <t>329_他に分類されない製造業</t>
  </si>
  <si>
    <t>32C_情報記録物製造業（新聞，書籍等の印刷物を除く）</t>
  </si>
  <si>
    <t>32D_他に分類されないその他の製造業</t>
  </si>
  <si>
    <t>F</t>
  </si>
  <si>
    <t>F_電気・ガス・熱供給・水道業</t>
  </si>
  <si>
    <t>33_電気業</t>
  </si>
  <si>
    <t>330_管理，補助的経済活動を行う事業所（33_電気業）</t>
  </si>
  <si>
    <t>331_電気業</t>
  </si>
  <si>
    <t>34_ガス業</t>
  </si>
  <si>
    <t>340_管理，補助的経済活動を行う事業所（34_ガス業）</t>
  </si>
  <si>
    <t>341_ガス業</t>
  </si>
  <si>
    <t>35_熱供給業</t>
  </si>
  <si>
    <t>350_管理，補助的経済活動を行う事業所（35_熱供給業）</t>
  </si>
  <si>
    <t>351_熱供給業</t>
  </si>
  <si>
    <t>36_水道業</t>
  </si>
  <si>
    <t>360_管理，補助的経済活動を行う事業所（36_水道業）</t>
  </si>
  <si>
    <t>361_上水道業</t>
  </si>
  <si>
    <t>362_工業用水道業</t>
  </si>
  <si>
    <t>363_下水道業</t>
  </si>
  <si>
    <t>G</t>
  </si>
  <si>
    <t>G_情報通信業</t>
  </si>
  <si>
    <t>3</t>
  </si>
  <si>
    <t>G1</t>
  </si>
  <si>
    <t>G1_情報通信業（通信業，放送業，映像・音声・文字情報制作業）</t>
  </si>
  <si>
    <t>37_通信業</t>
  </si>
  <si>
    <t>370_管理，補助的経済活動を行う事業所（37_通信業）</t>
  </si>
  <si>
    <t>371_固定電気通信業</t>
  </si>
  <si>
    <t>372_移動電気通信業</t>
  </si>
  <si>
    <t>373_電気通信に附帯するサービス業</t>
  </si>
  <si>
    <t>38_放送業</t>
  </si>
  <si>
    <t>380_管理，補助的経済活動を行う事業所（38_放送業）</t>
  </si>
  <si>
    <t>381_公共放送業（有線放送業を除く）</t>
  </si>
  <si>
    <t>382_民間放送業（有線放送業を除く）</t>
  </si>
  <si>
    <t>383_有線放送業</t>
  </si>
  <si>
    <t>41_映像・音声・文字情報制作業</t>
  </si>
  <si>
    <t>410_管理，補助的経済活動を行う事業所（41_映像・音声・文字情報制作業）</t>
  </si>
  <si>
    <t>411_映像情報制作・配給業</t>
  </si>
  <si>
    <t>412_音声情報制作業</t>
  </si>
  <si>
    <t>413_新聞業</t>
  </si>
  <si>
    <t>414_出版業</t>
  </si>
  <si>
    <t>415_広告制作業</t>
  </si>
  <si>
    <t>416_映像・音声・文字情報制作に附帯するサービス業</t>
  </si>
  <si>
    <t>G2</t>
  </si>
  <si>
    <t>G2_情報通信業（情報サービス業，インターネット附随サービス業）</t>
  </si>
  <si>
    <t>39_情報サービス業</t>
  </si>
  <si>
    <t>390_管理，補助的経済活動を行う事業所（39_情報サービス業）</t>
  </si>
  <si>
    <t>391_ソフトウェア業</t>
  </si>
  <si>
    <t>392_情報処理・提供サービス業</t>
  </si>
  <si>
    <t>39A_情報処理サービス業</t>
  </si>
  <si>
    <t>39B_情報提供サービス業</t>
  </si>
  <si>
    <t>39C_その他の情報処理・提供サービス業</t>
  </si>
  <si>
    <t>40_インターネット附随サービス業</t>
  </si>
  <si>
    <t>400_管理，補助的経済活動を行う事業所（40_インタｰネット附随サービス業）</t>
  </si>
  <si>
    <t>401_インターネット附随サービス業</t>
  </si>
  <si>
    <t>H</t>
  </si>
  <si>
    <t>H_運輸業，郵便業</t>
  </si>
  <si>
    <t>42_鉄道業</t>
  </si>
  <si>
    <t>420_管理，補助的経済活動を行う事業所（42_鉄道業）</t>
  </si>
  <si>
    <t>421_鉄道業</t>
  </si>
  <si>
    <t>43_道路旅客運送業</t>
  </si>
  <si>
    <t>430_管理，補助的経済活動を行う事業所（43_道路旅客運送業）</t>
  </si>
  <si>
    <t>431_一般乗合旅客自動車運送業</t>
  </si>
  <si>
    <t>432_一般乗用旅客自動車運送業</t>
  </si>
  <si>
    <t>433_一般貸切旅客自動車運送業</t>
  </si>
  <si>
    <t>439_その他の道路旅客運送業</t>
  </si>
  <si>
    <t>44_道路貨物運送業</t>
  </si>
  <si>
    <t>440_管理，補助的経済活動を行う事業所（44_道路貨物運送業）</t>
  </si>
  <si>
    <t>441_一般貨物自動車運送業</t>
  </si>
  <si>
    <t>442_特定貨物自動車運送業</t>
  </si>
  <si>
    <t>443_貨物軽自動車運送業</t>
  </si>
  <si>
    <t>444_集配利用運送業</t>
  </si>
  <si>
    <t>449_その他の道路貨物運送業</t>
  </si>
  <si>
    <t>45_水運業</t>
  </si>
  <si>
    <t>450_管理，補助的経済活動を行う事業所（45_水運業）</t>
  </si>
  <si>
    <t>451_外航海運業</t>
  </si>
  <si>
    <t>452_沿海海運業</t>
  </si>
  <si>
    <t>453_内陸水運業</t>
  </si>
  <si>
    <t>454_船舶貸渡業</t>
  </si>
  <si>
    <t>46_航空運輸業</t>
  </si>
  <si>
    <t>460_管理，補助的経済活動を行う事業所（46_航空運輸業）</t>
  </si>
  <si>
    <t>461_航空運送業</t>
  </si>
  <si>
    <t>462_航空機使用業（航空運送業を除く）</t>
  </si>
  <si>
    <t>47_倉庫業</t>
  </si>
  <si>
    <t>470_管理，補助的経済活動を行う事業所（47_倉庫業）</t>
  </si>
  <si>
    <t>471_倉庫業（冷蔵倉庫業を除く）</t>
  </si>
  <si>
    <t>472_冷蔵倉庫業</t>
  </si>
  <si>
    <t>48_運輸に附帯するサービス業</t>
  </si>
  <si>
    <t>480_管理，補助的経済活動を行う事業所（48_運輸に附帯するサービス業）</t>
  </si>
  <si>
    <t>481_港湾運送業</t>
  </si>
  <si>
    <t>482_貨物運送取扱業（集配利用運送業を除く）</t>
  </si>
  <si>
    <t>483_運送代理店</t>
  </si>
  <si>
    <t>484_こん包業</t>
  </si>
  <si>
    <t>485_運輸施設提供業</t>
  </si>
  <si>
    <t>489_その他の運輸に附帯するサービス業</t>
  </si>
  <si>
    <t>49_郵便業（信書便事業を含む）</t>
  </si>
  <si>
    <t>490_管理，補助的経済活動を行う事業所（49_郵便業）</t>
  </si>
  <si>
    <t>491_郵便業（信書便事業を含む）</t>
  </si>
  <si>
    <t>I</t>
  </si>
  <si>
    <t>I_卸売業，小売業</t>
  </si>
  <si>
    <t>I1</t>
  </si>
  <si>
    <t>I1_卸売業</t>
  </si>
  <si>
    <t>50_各種商品卸売業</t>
  </si>
  <si>
    <t>500_管理，補助的経済活動を行う事業所（50_各種商品卸売業）</t>
  </si>
  <si>
    <t>501_各種商品卸売業</t>
  </si>
  <si>
    <t>50A_各種商品卸売業（従業者が常時100人以上のもの）</t>
  </si>
  <si>
    <t>50B_その他の各種商品卸売業</t>
  </si>
  <si>
    <t>51_繊維・衣服等卸売業</t>
  </si>
  <si>
    <t>510_管理，補助的経済活動を行う事業所（51_繊維・衣服等卸売業）</t>
  </si>
  <si>
    <t>511_繊維品卸売業（衣服，身の回り品を除く）</t>
  </si>
  <si>
    <t>512_衣服卸売業</t>
  </si>
  <si>
    <t>513_身の回り品卸売業</t>
  </si>
  <si>
    <t>52_飲食料品卸売業</t>
  </si>
  <si>
    <t>520_管理，補助的経済活動を行う事業所（52_飲食料品卸売業）</t>
  </si>
  <si>
    <t>521_農畜産物・水産物卸売業</t>
  </si>
  <si>
    <t>52A_米穀類卸売業</t>
  </si>
  <si>
    <t>52B_野菜・果実卸売業</t>
  </si>
  <si>
    <t>52C_食肉卸売業</t>
  </si>
  <si>
    <t>52D_生鮮魚介卸売業</t>
  </si>
  <si>
    <t>52E_その他の農畜産物・水産物卸売業</t>
  </si>
  <si>
    <t>522_食料・飲料卸売業</t>
  </si>
  <si>
    <t>53_建築材料，鉱物・金属材料等卸売業</t>
  </si>
  <si>
    <t>530_管理，補助的経済活動を行う事業所（53_建築材料，鉱物・金属材料等卸売業）</t>
  </si>
  <si>
    <t>531_建築材料卸売業</t>
  </si>
  <si>
    <t>532_化学製品卸売業</t>
  </si>
  <si>
    <t>533_石油・鉱物卸売業</t>
  </si>
  <si>
    <t>534_鉄鋼製品卸売業</t>
  </si>
  <si>
    <t>535_非鉄金属卸売業</t>
  </si>
  <si>
    <t>536_再生資源卸売業</t>
  </si>
  <si>
    <t>54_機械器具卸売業</t>
  </si>
  <si>
    <t>540_管理，補助的経済活動を行う事業所（54_機械器具卸売業）</t>
  </si>
  <si>
    <t>541_産業機械器具卸売業</t>
  </si>
  <si>
    <t>542_自動車卸売業</t>
  </si>
  <si>
    <t>543_電気機械器具卸売業</t>
  </si>
  <si>
    <t>549_その他の機械器具卸売業</t>
  </si>
  <si>
    <t>55_その他の卸売業</t>
  </si>
  <si>
    <t>550_管理，補助的経済活動を行う事業所（55_その他の卸売業）</t>
  </si>
  <si>
    <t>551_家具・建具・じゅう器等卸売業</t>
  </si>
  <si>
    <t>552_医薬品・化粧品等卸売業</t>
  </si>
  <si>
    <t>553_紙・紙製品卸売業</t>
  </si>
  <si>
    <t>559_他に分類されない卸売業</t>
  </si>
  <si>
    <t>55A_代理商，仲立業</t>
  </si>
  <si>
    <t>55B_他に分類されないその他の卸売業</t>
  </si>
  <si>
    <t>I2</t>
  </si>
  <si>
    <t>I2_小売業</t>
  </si>
  <si>
    <t>56_各種商品小売業</t>
  </si>
  <si>
    <t>560_管理，補助的経済活動を行う事業所（56_各種商品小売業）</t>
  </si>
  <si>
    <t>561_百貨店，総合スーパー</t>
  </si>
  <si>
    <t>569_その他の各種商品小売業（従業者が常時50人未満のもの）</t>
  </si>
  <si>
    <t>57_織物・衣服・身の回り品小売業</t>
  </si>
  <si>
    <t>570_管理，補助的経済活動を行う事業所（57_織物・衣服・身の回り品小売業）</t>
  </si>
  <si>
    <t>571_呉服・服地・寝具小売業</t>
  </si>
  <si>
    <t>572_男子服小売業</t>
  </si>
  <si>
    <t>573_婦人・子供服小売業</t>
  </si>
  <si>
    <t>574_靴・履物小売業</t>
  </si>
  <si>
    <t>579_その他の織物・衣服・身の回り品小売業</t>
  </si>
  <si>
    <t>58_飲食料品小売業</t>
  </si>
  <si>
    <t>580_管理，補助的経済活動を行う事業所（58_飲食料品小売業）</t>
  </si>
  <si>
    <t>581_各種食料品小売業</t>
  </si>
  <si>
    <t>582_野菜・果実小売業</t>
  </si>
  <si>
    <t>583_食肉小売業</t>
  </si>
  <si>
    <t>584_鮮魚小売業</t>
  </si>
  <si>
    <t>585_酒小売業</t>
  </si>
  <si>
    <t>586_菓子・パン小売業</t>
  </si>
  <si>
    <t>589_その他の飲食料品小売業</t>
  </si>
  <si>
    <t>58A_料理品小売業</t>
  </si>
  <si>
    <t>58B_他に分類されない飲食料品小売業</t>
  </si>
  <si>
    <t>59_機械器具小売業</t>
  </si>
  <si>
    <t>590_管理，補助的経済活動を行う事業所（59_機械器具小売業）</t>
  </si>
  <si>
    <t>591_自動車小売業</t>
  </si>
  <si>
    <t>592_自転車小売業</t>
  </si>
  <si>
    <t>593_機械器具小売業（自動車，自転車を除く）</t>
  </si>
  <si>
    <t>60_その他の小売業</t>
  </si>
  <si>
    <t>600_管理，補助的経済活動を行う事業所（60_その他の小売業）</t>
  </si>
  <si>
    <t>601_家具・建具・畳小売業</t>
  </si>
  <si>
    <t>602_じゅう器小売業</t>
  </si>
  <si>
    <t>603_医薬品・化粧品小売業</t>
  </si>
  <si>
    <t>604_農耕用品小売業</t>
  </si>
  <si>
    <t>605_燃料小売業</t>
  </si>
  <si>
    <t>606_書籍・文房具小売業</t>
  </si>
  <si>
    <t>607_スポーツ用品・がん具・娯楽用品・楽器小売業</t>
  </si>
  <si>
    <t>60A_スポーツ用品小売業</t>
  </si>
  <si>
    <t>60B_がん具・娯楽用品小売業</t>
  </si>
  <si>
    <t>60C_楽器小売業</t>
  </si>
  <si>
    <t>608_写真機・時計・眼鏡小売業</t>
  </si>
  <si>
    <t>609_他に分類されない小売業</t>
  </si>
  <si>
    <t>60D_花・植木小売業</t>
  </si>
  <si>
    <t>60E_ペット・ペット用品小売業</t>
  </si>
  <si>
    <t>60F_中古品小売業（他に分類されないもの）</t>
  </si>
  <si>
    <t>60G_他に分類されないその他の小売業</t>
  </si>
  <si>
    <t>61_無店舗小売業</t>
  </si>
  <si>
    <t>610_管理，補助的経済活動を行う事業所（61_無店舗小売業）</t>
  </si>
  <si>
    <t>611_通信販売・訪問販売小売業</t>
  </si>
  <si>
    <t>612_自動販売機による小売業</t>
  </si>
  <si>
    <t>619_その他の無店舗小売業</t>
  </si>
  <si>
    <t>J</t>
  </si>
  <si>
    <t>J_金融業，保険業</t>
  </si>
  <si>
    <t>62_銀行業</t>
  </si>
  <si>
    <t>620_管理，補助的経済活動を行う事業所（62_銀行業）</t>
  </si>
  <si>
    <t>621_中央銀行</t>
  </si>
  <si>
    <t>622_銀行（中央銀行を除く）</t>
  </si>
  <si>
    <t>63_協同組織金融業</t>
  </si>
  <si>
    <t>630_管理，補助的経済活動を行う事業所（63_協同組織金融業）</t>
  </si>
  <si>
    <t>631_中小企業等金融業</t>
  </si>
  <si>
    <t>632_農林水産金融業</t>
  </si>
  <si>
    <t>64_貸金業，クレジットカード業等非預金信用機関</t>
  </si>
  <si>
    <t>640_管理，補助的経済活動を行う事業所（64_貸金業，クレジットカード業等非預金信用機関）</t>
  </si>
  <si>
    <t>641_貸金業</t>
  </si>
  <si>
    <t>642_質屋</t>
  </si>
  <si>
    <t>643_クレジットカード業，割賦金融業</t>
  </si>
  <si>
    <t>649_その他の非預金信用機関</t>
  </si>
  <si>
    <t>65_金融商品取引業，商品先物取引業</t>
  </si>
  <si>
    <t>650_管理，補助的経済活動を行う事業所（65_金融商品取引業，商品先物取引業）</t>
  </si>
  <si>
    <t>651_金融商品取引業</t>
  </si>
  <si>
    <t>652_商品先物取引業，商品投資顧問業</t>
  </si>
  <si>
    <t>66_補助的金融業等</t>
  </si>
  <si>
    <t>660_管理，補助的経済活動を行う事業所（66_補助的金融業等）</t>
  </si>
  <si>
    <t>661_補助的金融業，金融附帯業</t>
  </si>
  <si>
    <t>662_信託業</t>
  </si>
  <si>
    <t>663_金融代理業</t>
  </si>
  <si>
    <t>67_保険業（保険媒介代理業，保険サービス業を含む）</t>
  </si>
  <si>
    <t>670_管理，補助的経済活動を行う事業所（67_保険業）</t>
  </si>
  <si>
    <t>671_生命保険業</t>
  </si>
  <si>
    <t>672_損害保険業</t>
  </si>
  <si>
    <t>673_共済事業，少額短期保険業</t>
  </si>
  <si>
    <t>674_保険媒介代理業</t>
  </si>
  <si>
    <t>675_保険サービス業</t>
  </si>
  <si>
    <t>K</t>
  </si>
  <si>
    <t>K_不動産業，物品賃貸業</t>
  </si>
  <si>
    <t>K1</t>
  </si>
  <si>
    <t>K1_不動産業</t>
  </si>
  <si>
    <t>68_不動産取引業</t>
  </si>
  <si>
    <t>680_管理，補助的経済活動を行う事業所（68_不動産取引業）</t>
  </si>
  <si>
    <t>681_建物売買業，土地売買業</t>
  </si>
  <si>
    <t>682_不動産代理業・仲介業</t>
  </si>
  <si>
    <t>69_不動産賃貸業・管理業</t>
  </si>
  <si>
    <t>690_管理，補助的経済活動を行う事業所（69_不動産賃貸業・管理業）</t>
  </si>
  <si>
    <t>691_不動産賃貸業（貸家業，貸間業を除く）</t>
  </si>
  <si>
    <t>692_貸家業，貸間業</t>
  </si>
  <si>
    <t>693_駐車場業</t>
  </si>
  <si>
    <t>694_不動産管理業</t>
  </si>
  <si>
    <t>K2</t>
  </si>
  <si>
    <t>K2_物品賃貸業</t>
  </si>
  <si>
    <t>70_物品賃貸業</t>
  </si>
  <si>
    <t>700_管理，補助的経済活動を行う事業所（70_物品賃貸業）</t>
  </si>
  <si>
    <t>701_各種物品賃貸業</t>
  </si>
  <si>
    <t>70C_総合リース業</t>
  </si>
  <si>
    <t>70D_その他の各種物品賃貸業</t>
  </si>
  <si>
    <t>702_産業用機械器具賃貸業</t>
  </si>
  <si>
    <t>703_事務用機械器具賃貸業</t>
  </si>
  <si>
    <t>704_自動車賃貸業</t>
  </si>
  <si>
    <t>705_スポーツ・娯楽用品賃貸業</t>
  </si>
  <si>
    <t>709_その他の物品賃貸業</t>
  </si>
  <si>
    <t>70A_音楽・映像記録物賃貸業（別掲を除く）</t>
  </si>
  <si>
    <t>70B_他に分類されない物品賃貸業</t>
  </si>
  <si>
    <t>L</t>
  </si>
  <si>
    <t>L_学術研究，専門・技術サービス業</t>
  </si>
  <si>
    <t>71_学術・開発研究機関</t>
  </si>
  <si>
    <t>710_管理，補助的経済活動を行う事業所（71_学術・開発研究機関）</t>
  </si>
  <si>
    <t>711_自然科学研究所</t>
  </si>
  <si>
    <t>712_人文・社会科学研究所</t>
  </si>
  <si>
    <t>72_専門サービス業（他に分類されないもの）</t>
  </si>
  <si>
    <t>720_管理，補助的経済活動を行う事業所（72_専門サービス業）</t>
  </si>
  <si>
    <t>721_法律事務所，特許事務所</t>
  </si>
  <si>
    <t>72A_法律事務所</t>
  </si>
  <si>
    <t>72B_特許事務所</t>
  </si>
  <si>
    <t>722_公証人役場，司法書士事務所，土地家屋調査士事務所</t>
  </si>
  <si>
    <t>72J_公証人役場，司法書士事務所</t>
  </si>
  <si>
    <t>72K_土地家屋調査士事務所</t>
  </si>
  <si>
    <t>723_行政書士事務所</t>
  </si>
  <si>
    <t>724_公認会計士事務所，税理士事務所</t>
  </si>
  <si>
    <t>72C_公認会計士事務所</t>
  </si>
  <si>
    <t>72D_税理士事務所</t>
  </si>
  <si>
    <t>725_社会保険労務士事務所</t>
  </si>
  <si>
    <t>726_デザイン業</t>
  </si>
  <si>
    <t>727_著述・芸術家業</t>
  </si>
  <si>
    <t>728_経営コンサルタント業，純粋持株会社</t>
  </si>
  <si>
    <t>72E_経営コンサルタント業</t>
  </si>
  <si>
    <t>72F_純粋持株会社</t>
  </si>
  <si>
    <t>729_その他の専門サービス業</t>
  </si>
  <si>
    <t>72G_興信所</t>
  </si>
  <si>
    <t>72H_他に分類されない専門サービス業</t>
  </si>
  <si>
    <t>73_広告業</t>
  </si>
  <si>
    <t>730_管理，補助的経済活動を行う事業所（73_広告業）</t>
  </si>
  <si>
    <t>731_広告業</t>
  </si>
  <si>
    <t>74_技術サービス業（他に分類されないもの）</t>
  </si>
  <si>
    <t>740_管理，補助的経済活動を行う事業所（74_技術サービス業）</t>
  </si>
  <si>
    <t>741_獣医業</t>
  </si>
  <si>
    <t>742_土木建築サービス業</t>
  </si>
  <si>
    <t>74A_建築設計業</t>
  </si>
  <si>
    <t>74B_測量業</t>
  </si>
  <si>
    <t>74C_その他の土木建築サービス業</t>
  </si>
  <si>
    <t>743_機械設計業</t>
  </si>
  <si>
    <t>744_商品・非破壊検査業</t>
  </si>
  <si>
    <t>745_計量証明業</t>
  </si>
  <si>
    <t>746_写真業</t>
  </si>
  <si>
    <t>74D_写真業（商業写真業を除く）</t>
  </si>
  <si>
    <t>74E_商業写真業</t>
  </si>
  <si>
    <t>749_その他の技術サービス業</t>
  </si>
  <si>
    <t>M</t>
  </si>
  <si>
    <t>M_宿泊業，飲食サービス業</t>
  </si>
  <si>
    <t>M1</t>
  </si>
  <si>
    <t>M1_宿泊業</t>
  </si>
  <si>
    <t>75_宿泊業</t>
  </si>
  <si>
    <t>750_管理，補助的経済活動を行う事業所（75_宿泊業）</t>
  </si>
  <si>
    <t>751_旅館，ホテル</t>
  </si>
  <si>
    <t>752_簡易宿所</t>
  </si>
  <si>
    <t>753_下宿業</t>
  </si>
  <si>
    <t>759_その他の宿泊業</t>
  </si>
  <si>
    <t>75A_会社・団体の宿泊所</t>
  </si>
  <si>
    <t>75B_他に分類されない宿泊業</t>
  </si>
  <si>
    <t>M2</t>
  </si>
  <si>
    <t>M2_飲食店，持ち帰り・配達飲食サービス業</t>
  </si>
  <si>
    <t>76_飲食店</t>
  </si>
  <si>
    <t>760_管理，補助的経済活動を行う事業所（76_飲食店）</t>
  </si>
  <si>
    <t>761_食堂，レストラン（専門料理店を除く）</t>
  </si>
  <si>
    <t>762_専門料理店</t>
  </si>
  <si>
    <t>76A_日本料理店</t>
  </si>
  <si>
    <t>76B_中華料理店</t>
  </si>
  <si>
    <t>76C_焼肉店</t>
  </si>
  <si>
    <t>76D_その他の専門料理店</t>
  </si>
  <si>
    <t>763_そば・うどん店</t>
  </si>
  <si>
    <t>764_すし店</t>
  </si>
  <si>
    <t>765_酒場，ビヤホール</t>
  </si>
  <si>
    <t>766_バー，キャバレー，ナイトクラブ</t>
  </si>
  <si>
    <t>767_喫茶店</t>
  </si>
  <si>
    <t>769_その他の飲食店</t>
  </si>
  <si>
    <t>76E_ハンバーガー店</t>
  </si>
  <si>
    <t>76F_お好み焼・焼きそば・たこ焼店</t>
  </si>
  <si>
    <t>76G_他に分類されない飲食店</t>
  </si>
  <si>
    <t>77_持ち帰り・配達飲食サービス業</t>
  </si>
  <si>
    <t>770_管理，補助的経済活動を行う事業所（77_持ち帰り・配達飲食サービス業）</t>
  </si>
  <si>
    <t>771_持ち帰り飲食サービス業</t>
  </si>
  <si>
    <t>772_配達飲食サービス業</t>
  </si>
  <si>
    <t>N</t>
  </si>
  <si>
    <t>N_生活関連サービス業，娯楽業</t>
  </si>
  <si>
    <t>78_洗濯・理容・美容・浴場業</t>
  </si>
  <si>
    <t>780_管理，補助的経済活動を行う事業所（78_洗濯・理容・美容・浴場業）</t>
  </si>
  <si>
    <t>781_洗濯業</t>
  </si>
  <si>
    <t>78A_普通洗濯業</t>
  </si>
  <si>
    <t>78B_リネンサプライ業</t>
  </si>
  <si>
    <t>782_理容業</t>
  </si>
  <si>
    <t>783_美容業</t>
  </si>
  <si>
    <t>784_一般公衆浴場業</t>
  </si>
  <si>
    <t>785_その他の公衆浴場業</t>
  </si>
  <si>
    <t>789_その他の洗濯・理容・美容・浴場業</t>
  </si>
  <si>
    <t>78C_洗張・染物業</t>
  </si>
  <si>
    <t>78D_他に分類されない洗濯・理容・美容・浴場業</t>
  </si>
  <si>
    <t>79_その他の生活関連サービス業</t>
  </si>
  <si>
    <t>790_管理，補助的経済活動を行う事業所（79_その他の生活関連サービス業）</t>
  </si>
  <si>
    <t>791_旅行業</t>
  </si>
  <si>
    <t>793_衣服裁縫修理業</t>
  </si>
  <si>
    <t>794_物品預り業</t>
  </si>
  <si>
    <t>795_火葬・墓地管理業</t>
  </si>
  <si>
    <t>796_冠婚葬祭業</t>
  </si>
  <si>
    <t>79A_葬儀業</t>
  </si>
  <si>
    <t>79B_結婚式場業</t>
  </si>
  <si>
    <t>79C_冠婚葬祭互助会</t>
  </si>
  <si>
    <t>799_他に分類されない生活関連サービス業</t>
  </si>
  <si>
    <t>79D_写真プリント，現像・焼付業</t>
  </si>
  <si>
    <t>79E_他に分類されないその他の生活関連サービス業</t>
  </si>
  <si>
    <t>80_娯楽業</t>
  </si>
  <si>
    <t>800_管理，補助的経済活動を行う事業所（80_娯楽業）</t>
  </si>
  <si>
    <t>801_映画館</t>
  </si>
  <si>
    <t>802_興行場（別掲を除く），興行団</t>
  </si>
  <si>
    <t>803_競輪・競馬等の競走場，競技団</t>
  </si>
  <si>
    <t>804_スポーツ施設提供業</t>
  </si>
  <si>
    <t>80A_スポーツ施設提供業（別掲を除く）</t>
  </si>
  <si>
    <t>80B_体育館</t>
  </si>
  <si>
    <t>80C_ゴルフ場</t>
  </si>
  <si>
    <t>80D_ゴルフ練習場</t>
  </si>
  <si>
    <t>80E_ボウリング場</t>
  </si>
  <si>
    <t>80F_テニス場</t>
  </si>
  <si>
    <t>80G_バッティング・テニス練習場</t>
  </si>
  <si>
    <t>80H_フィットネスクラブ</t>
  </si>
  <si>
    <t>805_公園，遊園地</t>
  </si>
  <si>
    <t>806_遊戯場</t>
  </si>
  <si>
    <t>80J_マージャンクラブ</t>
  </si>
  <si>
    <t>80K_パチンコホール</t>
  </si>
  <si>
    <t>80L_ゲームセンター</t>
  </si>
  <si>
    <t>80M_その他の遊戯場</t>
  </si>
  <si>
    <t>809_その他の娯楽業</t>
  </si>
  <si>
    <t>80N_カラオケボックス業</t>
  </si>
  <si>
    <t>80Q_娯楽に附帯するサービス業</t>
  </si>
  <si>
    <t>80R_他に分類されない娯楽業</t>
  </si>
  <si>
    <t>O</t>
  </si>
  <si>
    <t>O_教育，学習支援業</t>
  </si>
  <si>
    <t>O1</t>
  </si>
  <si>
    <t>O1_教育，学習支援業（学校教育）</t>
  </si>
  <si>
    <t>81_学校教育</t>
  </si>
  <si>
    <t>810_管理，補助的経済活動を行う事業所（81_学校教育）</t>
  </si>
  <si>
    <t>811_幼稚園</t>
  </si>
  <si>
    <t>819_幼保連携型認定こども園</t>
  </si>
  <si>
    <t>812_小学校</t>
  </si>
  <si>
    <t>813_中学校</t>
  </si>
  <si>
    <t>814_高等学校，中等教育学校</t>
  </si>
  <si>
    <t>815_特別支援学校</t>
  </si>
  <si>
    <t>816_高等教育機関</t>
  </si>
  <si>
    <t>817_専修学校，各種学校</t>
  </si>
  <si>
    <t>81A_専修学校</t>
  </si>
  <si>
    <t>81B_各種学校</t>
  </si>
  <si>
    <t>818_学校教育支援機関</t>
  </si>
  <si>
    <t>O2</t>
  </si>
  <si>
    <t>O2_教育，学習支援業（その他の教育，学習支援業）</t>
  </si>
  <si>
    <t>82_その他の教育，学習支援業</t>
  </si>
  <si>
    <t>820_管理，補助的経済活動を行う事業所（82_その他の教育，学習支援業）</t>
  </si>
  <si>
    <t>821_社会教育</t>
  </si>
  <si>
    <t>82A_公民館</t>
  </si>
  <si>
    <t>82B_図書館</t>
  </si>
  <si>
    <t>82C_博物館，美術館</t>
  </si>
  <si>
    <t>82D_動物園，植物園，水族館</t>
  </si>
  <si>
    <t>82N_社会通信教育</t>
  </si>
  <si>
    <t>82P_その他の社会教育</t>
  </si>
  <si>
    <t>822_職業・教育支援施設</t>
  </si>
  <si>
    <t>823_学習塾</t>
  </si>
  <si>
    <t>824_教養・技能教授業</t>
  </si>
  <si>
    <t>82F_音楽教授業</t>
  </si>
  <si>
    <t>82G_書道教授業</t>
  </si>
  <si>
    <t>82H_生花・茶道教授業</t>
  </si>
  <si>
    <t>82J_そろばん教授業</t>
  </si>
  <si>
    <t>82K_外国語会話教授業</t>
  </si>
  <si>
    <t>82L_スポーツ・健康教授業</t>
  </si>
  <si>
    <t>82M_その他の教養・技能教授業</t>
  </si>
  <si>
    <t>829_他に分類されない教育，学習支援業</t>
  </si>
  <si>
    <t>P</t>
  </si>
  <si>
    <t>P_医療，福祉</t>
  </si>
  <si>
    <t>83_医療業</t>
  </si>
  <si>
    <t>830_管理，補助的経済活動を行う事業所（83_医療業）</t>
  </si>
  <si>
    <t>831_病院</t>
  </si>
  <si>
    <t>832_一般診療所</t>
  </si>
  <si>
    <t>833_歯科診療所</t>
  </si>
  <si>
    <t>834_助産・看護業</t>
  </si>
  <si>
    <t>83A_助産所</t>
  </si>
  <si>
    <t>83B_看護業</t>
  </si>
  <si>
    <t>835_療術業</t>
  </si>
  <si>
    <t>836_医療に附帯するサービス業</t>
  </si>
  <si>
    <t>83C_歯科技工所</t>
  </si>
  <si>
    <t>83D_その他の医療に附帯するサービス業</t>
  </si>
  <si>
    <t>84_保健衛生</t>
  </si>
  <si>
    <t>840_管理，補助的経済活動を行う事業所（84_保健衛生）</t>
  </si>
  <si>
    <t>841_保健所</t>
  </si>
  <si>
    <t>842_健康相談施設</t>
  </si>
  <si>
    <t>849_その他の保健衛生</t>
  </si>
  <si>
    <t>85_社会保険・社会福祉・介護事業</t>
  </si>
  <si>
    <t>850_管理，補助的経済活動を行う事業所（85_社会保険・社会福祉・介護事業）</t>
  </si>
  <si>
    <t>851_社会保険事業団体</t>
  </si>
  <si>
    <t>852_福祉事務所</t>
  </si>
  <si>
    <t>853_児童福祉事業</t>
  </si>
  <si>
    <t>85A_保育所</t>
  </si>
  <si>
    <t>85B_その他の児童福祉事業</t>
  </si>
  <si>
    <t>854_老人福祉・介護事業</t>
  </si>
  <si>
    <t>85C_特別養護老人ホーム</t>
  </si>
  <si>
    <t>85D_介護老人保健施設</t>
  </si>
  <si>
    <t>85E_通所・短期入所介護事業</t>
  </si>
  <si>
    <t>85F_訪問介護事業</t>
  </si>
  <si>
    <t>85G_認知症老人グループホーム</t>
  </si>
  <si>
    <t>85H_有料老人ホーム</t>
  </si>
  <si>
    <t>85J_その他の老人福祉・介護事業</t>
  </si>
  <si>
    <t>855_障害者福祉事業</t>
  </si>
  <si>
    <t>859_その他の社会保険・社会福祉・介護事業</t>
  </si>
  <si>
    <t>85K_更生保護事業</t>
  </si>
  <si>
    <t>85L_他に分類されない社会保険・社会福祉・介護事業</t>
  </si>
  <si>
    <t>Q</t>
  </si>
  <si>
    <t>Q_複合サービス事業</t>
  </si>
  <si>
    <t>Q1</t>
  </si>
  <si>
    <t>Q1_複合サービス事業（郵便局）</t>
  </si>
  <si>
    <t>86_郵便局</t>
  </si>
  <si>
    <t>860_管理，補助的経済活動を行う事業所（86_郵便局）</t>
  </si>
  <si>
    <t>861_郵便局</t>
  </si>
  <si>
    <t>862_郵便局受託業</t>
  </si>
  <si>
    <t>Q2</t>
  </si>
  <si>
    <t>Q2_複合サービス事業（協同組合）</t>
  </si>
  <si>
    <t>87_協同組合（他に分類されないもの）</t>
  </si>
  <si>
    <t>870_管理，補助的経済活動を行う事業所（87_協同組合）</t>
  </si>
  <si>
    <t>871_農林水産業協同組合（他に分類されないもの）</t>
  </si>
  <si>
    <t>872_事業協同組合（他に分類されないもの）</t>
  </si>
  <si>
    <t>R</t>
  </si>
  <si>
    <t>R_サービス業（他に分類されないもの）</t>
  </si>
  <si>
    <t>R1</t>
  </si>
  <si>
    <t>R1_サービス業（政治・経済・文化団体，宗教）</t>
  </si>
  <si>
    <t>93_政治・経済・文化団体</t>
  </si>
  <si>
    <t>931_経済団体</t>
  </si>
  <si>
    <t>932_労働団体</t>
  </si>
  <si>
    <t>933_学術・文化団体</t>
  </si>
  <si>
    <t>934_政治団体</t>
  </si>
  <si>
    <t>939_他に分類されない非営利的団体</t>
  </si>
  <si>
    <t>94_宗教</t>
  </si>
  <si>
    <t>941_神道系宗教</t>
  </si>
  <si>
    <t>942_仏教系宗教</t>
  </si>
  <si>
    <t>943_キリスト教系宗教</t>
  </si>
  <si>
    <t>949_その他の宗教</t>
  </si>
  <si>
    <t>R2</t>
  </si>
  <si>
    <t>R2_サービス業（政治・経済・文化団体，宗教を除く）</t>
  </si>
  <si>
    <t>88_廃棄物処理業</t>
  </si>
  <si>
    <t>880_管理，補助的経済活動を行う事業所（88_廃棄物処理業）</t>
  </si>
  <si>
    <t>881_一般廃棄物処理業</t>
  </si>
  <si>
    <t>882_産業廃棄物処理業</t>
  </si>
  <si>
    <t>889_その他の廃棄物処理業</t>
  </si>
  <si>
    <t>89_自動車整備業</t>
  </si>
  <si>
    <t>890_管理，補助的経済活動を行う事業所（89_自動車整備業）</t>
  </si>
  <si>
    <t>891_自動車整備業</t>
  </si>
  <si>
    <t>90_機械等修理業（別掲を除く）</t>
  </si>
  <si>
    <t>900_管理，補助的経済活動を行う事業所（90_機械等修理業）</t>
  </si>
  <si>
    <t>901_機械修理業（電気機械器具を除く）</t>
  </si>
  <si>
    <t>902_電気機械器具修理業</t>
  </si>
  <si>
    <t>903_表具業</t>
  </si>
  <si>
    <t>909_その他の修理業</t>
  </si>
  <si>
    <t>91_職業紹介・労働者派遣業</t>
  </si>
  <si>
    <t>910_管理，補助的経済活動を行う事業所（91_職業紹介・労働者派遣業）</t>
  </si>
  <si>
    <t>911_職業紹介業</t>
  </si>
  <si>
    <t>912_労働者派遣業</t>
  </si>
  <si>
    <t>92_その他の事業サービス業</t>
  </si>
  <si>
    <t>920_管理，補助的経済活動を行う事業所（92_その他の事業サービス業）</t>
  </si>
  <si>
    <t>921_速記・ワープロ入力・複写業</t>
  </si>
  <si>
    <t>922_建物サービス業</t>
  </si>
  <si>
    <t>92A_ビルメンテナンス業</t>
  </si>
  <si>
    <t>92B_その他の建物サービス業</t>
  </si>
  <si>
    <t>923_警備業</t>
  </si>
  <si>
    <t>929_他に分類されない事業サービス業</t>
  </si>
  <si>
    <t>95_その他のサービス業</t>
  </si>
  <si>
    <t>950_管理，補助的経済活動を行う事業所（95_その他のサービス業）</t>
  </si>
  <si>
    <t>951_集会場</t>
  </si>
  <si>
    <t>952_と畜場</t>
  </si>
  <si>
    <t>959_他に分類されないサービス業</t>
  </si>
  <si>
    <t>S</t>
  </si>
  <si>
    <t>S_公務（他に分類されるものを除く）</t>
  </si>
  <si>
    <t>97_国家公務</t>
  </si>
  <si>
    <t>971_立法機関</t>
  </si>
  <si>
    <t>972_司法機関</t>
  </si>
  <si>
    <t>973_行政機関</t>
  </si>
  <si>
    <t>98_地方公務</t>
  </si>
  <si>
    <t>981_都道府県機関</t>
  </si>
  <si>
    <t>982_市町村機関</t>
  </si>
  <si>
    <t>「経済センサス－活動調査」</t>
    <rPh sb="1" eb="3">
      <t>ケイザイ</t>
    </rPh>
    <rPh sb="8" eb="10">
      <t>カツドウ</t>
    </rPh>
    <rPh sb="10" eb="12">
      <t>チョウサ</t>
    </rPh>
    <phoneticPr fontId="1"/>
  </si>
  <si>
    <t>2022年経済構造実態調査（産業横断調査）　二次集計（企業等に関する集計1）</t>
  </si>
  <si>
    <t>第１表　企業産業（小分類）、経営組織別企業等数、売上（収入）金額、年間商品販売額、費用総額、主な費用項目、商品売上原価及び付加価値額―全国</t>
  </si>
  <si>
    <t>1) 売上（収入）金額について、会社以外の法人は経常収益を調査している。</t>
  </si>
  <si>
    <t>2) 費用総額について、会社以外の法人は経常費用を調査している。</t>
  </si>
  <si>
    <t>事項名</t>
  </si>
  <si>
    <t>項目名</t>
  </si>
  <si>
    <t>0_総数（経営組織）</t>
  </si>
  <si>
    <t>1_会社企業</t>
  </si>
  <si>
    <t>2_会社以外の法人</t>
  </si>
  <si>
    <t>表章項目</t>
  </si>
  <si>
    <t>企業等数</t>
  </si>
  <si>
    <t>売上（収入）金額</t>
  </si>
  <si>
    <t>年間商品販売額</t>
  </si>
  <si>
    <t>年間商品販売額のうち卸売販売額</t>
  </si>
  <si>
    <t>年間商品販売額のうち小売販売額</t>
  </si>
  <si>
    <t>費用総額</t>
  </si>
  <si>
    <t>（主な費用項目）給与総額</t>
  </si>
  <si>
    <t>（主な費用項目）租税公課</t>
  </si>
  <si>
    <t>商品売上原価</t>
  </si>
  <si>
    <t>付加価値額</t>
  </si>
  <si>
    <t>表章単位</t>
  </si>
  <si>
    <t>百万円</t>
  </si>
  <si>
    <t>階層レベル</t>
  </si>
  <si>
    <t>階層</t>
    <phoneticPr fontId="13"/>
  </si>
  <si>
    <t>企業産業分類（小分類）</t>
    <phoneticPr fontId="13"/>
  </si>
  <si>
    <t>企業産業分類（小分類）</t>
  </si>
  <si>
    <t>00_全国</t>
  </si>
  <si>
    <t>A～R 全産業</t>
  </si>
  <si>
    <t>0_A～R 全産業</t>
  </si>
  <si>
    <t>A～B 農林漁業</t>
  </si>
  <si>
    <t>1_A～B 農林漁業</t>
  </si>
  <si>
    <t>A 農業，林業</t>
  </si>
  <si>
    <t>101_A 農業，林業</t>
  </si>
  <si>
    <t>01 農業</t>
  </si>
  <si>
    <t>10101_01 農業</t>
  </si>
  <si>
    <t>011 耕種農業</t>
  </si>
  <si>
    <t>101011_011 耕種農業</t>
  </si>
  <si>
    <t>012 畜産農業</t>
  </si>
  <si>
    <t>101012_012 畜産農業</t>
  </si>
  <si>
    <t>013 農業サービス業（園芸サービス業を除く）</t>
  </si>
  <si>
    <t>101013_013 農業サービス業（園芸サービス業を除く）</t>
  </si>
  <si>
    <t>014 園芸サービス業</t>
  </si>
  <si>
    <t>101014_014 園芸サービス業</t>
  </si>
  <si>
    <t>02 林業</t>
  </si>
  <si>
    <t>10102_02 林業</t>
  </si>
  <si>
    <t>021 育林業</t>
  </si>
  <si>
    <t>101021_021 育林業</t>
  </si>
  <si>
    <t>022 素材生産業</t>
  </si>
  <si>
    <t>101022_022 素材生産業</t>
  </si>
  <si>
    <t>X</t>
  </si>
  <si>
    <t>023 特用林産物生産業（きのこ類の栽培を除く）</t>
  </si>
  <si>
    <t>101023_023 特用林産物生産業（きのこ類の栽培を除く）</t>
  </si>
  <si>
    <t>024 林業サービス業</t>
  </si>
  <si>
    <t>101024_024 林業サービス業</t>
  </si>
  <si>
    <t>029 その他の林業</t>
  </si>
  <si>
    <t>101025_029 その他の林業</t>
  </si>
  <si>
    <t>B 漁業</t>
  </si>
  <si>
    <t>102_B 漁業</t>
  </si>
  <si>
    <t>03 漁業（水産養殖業を除く）</t>
  </si>
  <si>
    <t>10201_03 漁業（水産養殖業を除く）</t>
  </si>
  <si>
    <t>031 海面漁業</t>
  </si>
  <si>
    <t>102011_031 海面漁業</t>
  </si>
  <si>
    <t>032 内水面漁業</t>
  </si>
  <si>
    <t>102012_032 内水面漁業</t>
  </si>
  <si>
    <t>04 水産養殖業</t>
  </si>
  <si>
    <t>10202_04 水産養殖業</t>
  </si>
  <si>
    <t>041 海面養殖業</t>
  </si>
  <si>
    <t>102021_041 海面養殖業</t>
  </si>
  <si>
    <t>042 内水面養殖業</t>
  </si>
  <si>
    <t>102022_042 内水面養殖業</t>
  </si>
  <si>
    <t>C～R 非農林漁業</t>
  </si>
  <si>
    <t>2_C～R 非農林漁業</t>
  </si>
  <si>
    <t>C 鉱業，採石業，砂利採取業</t>
  </si>
  <si>
    <t>201_C 鉱業，採石業，砂利採取業</t>
  </si>
  <si>
    <t>05 鉱業，採石業，砂利採取業</t>
  </si>
  <si>
    <t>20101_05 鉱業，採石業，砂利採取業</t>
  </si>
  <si>
    <t>051 金属鉱業</t>
  </si>
  <si>
    <t>201011_051 金属鉱業</t>
  </si>
  <si>
    <t>052 石炭・亜炭鉱業</t>
  </si>
  <si>
    <t>201012_052 石炭・亜炭鉱業</t>
  </si>
  <si>
    <t>053 原油・天然ガス鉱業</t>
  </si>
  <si>
    <t>201013_053 原油・天然ガス鉱業</t>
  </si>
  <si>
    <t>054 採石業，砂・砂利・玉石採取業</t>
  </si>
  <si>
    <t>201014_054 採石業，砂・砂利・玉石採取業</t>
  </si>
  <si>
    <t>055 窯業原料用鉱物鉱業（耐火物・陶磁器・ガラス・セメント原料用に限る）</t>
  </si>
  <si>
    <t>201015_055 窯業原料用鉱物鉱業（耐火物・陶磁器・ガラス・セメント原料用に限る）</t>
  </si>
  <si>
    <t>059 その他の鉱業</t>
  </si>
  <si>
    <t>201016_059 その他の鉱業</t>
  </si>
  <si>
    <t>D 建設業</t>
  </si>
  <si>
    <t>202_D 建設業</t>
  </si>
  <si>
    <t>06 総合工事業</t>
  </si>
  <si>
    <t>20201_06 総合工事業</t>
  </si>
  <si>
    <t>061 一般土木建築工事業</t>
  </si>
  <si>
    <t>202011_061 一般土木建築工事業</t>
  </si>
  <si>
    <t>062 土木工事業（舗装工事業を除く）</t>
  </si>
  <si>
    <t>202012_062 土木工事業（舗装工事業を除く）</t>
  </si>
  <si>
    <t>063 舗装工事業</t>
  </si>
  <si>
    <t>202013_063 舗装工事業</t>
  </si>
  <si>
    <t>064 建築工事業（木造建築工事業を除く）</t>
  </si>
  <si>
    <t>202014_064 建築工事業（木造建築工事業を除く）</t>
  </si>
  <si>
    <t>065 木造建築工事業</t>
  </si>
  <si>
    <t>202015_065 木造建築工事業</t>
  </si>
  <si>
    <t>066 建築リフォーム工事業</t>
  </si>
  <si>
    <t>202016_066 建築リフォーム工事業</t>
  </si>
  <si>
    <t>07 職別工事業（設備工事業を除く）</t>
  </si>
  <si>
    <t>20202_07 職別工事業（設備工事業を除く）</t>
  </si>
  <si>
    <t>071 大工工事業</t>
  </si>
  <si>
    <t>202021_071 大工工事業</t>
  </si>
  <si>
    <t>072 とび・土工・コンクリート工事業</t>
  </si>
  <si>
    <t>202022_072 とび・土工・コンクリート工事業</t>
  </si>
  <si>
    <t>073 鉄骨・鉄筋工事業</t>
  </si>
  <si>
    <t>202023_073 鉄骨・鉄筋工事業</t>
  </si>
  <si>
    <t>074 石工・れんが・タイル・ブロック工事業</t>
  </si>
  <si>
    <t>202024_074 石工・れんが・タイル・ブロック工事業</t>
  </si>
  <si>
    <t>075 左官工事業</t>
  </si>
  <si>
    <t>202025_075 左官工事業</t>
  </si>
  <si>
    <t>076 板金・金物工事業</t>
  </si>
  <si>
    <t>202026_076 板金・金物工事業</t>
  </si>
  <si>
    <t>077 塗装工事業</t>
  </si>
  <si>
    <t>202027_077 塗装工事業</t>
  </si>
  <si>
    <t>078 床・内装工事業</t>
  </si>
  <si>
    <t>202028_078 床・内装工事業</t>
  </si>
  <si>
    <t>079 その他の職別工事業</t>
  </si>
  <si>
    <t>202029_079 その他の職別工事業</t>
  </si>
  <si>
    <t>08 設備工事業</t>
  </si>
  <si>
    <t>20203_08 設備工事業</t>
  </si>
  <si>
    <t>081 電気工事業</t>
  </si>
  <si>
    <t>202031_081 電気工事業</t>
  </si>
  <si>
    <t>082 電気通信・信号装置工事業</t>
  </si>
  <si>
    <t>202032_082 電気通信・信号装置工事業</t>
  </si>
  <si>
    <t>083 管工事業（さく井工事業を除く）</t>
  </si>
  <si>
    <t>202033_083 管工事業（さく井工事業を除く）</t>
  </si>
  <si>
    <t>084 機械器具設置工事業</t>
  </si>
  <si>
    <t>202034_084 機械器具設置工事業</t>
  </si>
  <si>
    <t>089 その他の設備工事業</t>
  </si>
  <si>
    <t>202035_089 その他の設備工事業</t>
  </si>
  <si>
    <t>E 製造業</t>
  </si>
  <si>
    <t>203_E 製造業</t>
  </si>
  <si>
    <t>09 食料品製造業</t>
  </si>
  <si>
    <t>20301_09 食料品製造業</t>
  </si>
  <si>
    <t>091 畜産食料品製造業</t>
  </si>
  <si>
    <t>203011_091 畜産食料品製造業</t>
  </si>
  <si>
    <t>092 水産食料品製造業</t>
  </si>
  <si>
    <t>203012_092 水産食料品製造業</t>
  </si>
  <si>
    <t>093 野菜缶詰・果実缶詰・農産保存食料品製造業</t>
  </si>
  <si>
    <t>203013_093 野菜缶詰・果実缶詰・農産保存食料品製造業</t>
  </si>
  <si>
    <t>094 調味料製造業</t>
  </si>
  <si>
    <t>203014_094 調味料製造業</t>
  </si>
  <si>
    <t>095 糖類製造業</t>
  </si>
  <si>
    <t>203015_095 糖類製造業</t>
  </si>
  <si>
    <t>096 精穀・製粉業</t>
  </si>
  <si>
    <t>203016_096 精穀・製粉業</t>
  </si>
  <si>
    <t>097 パン・菓子製造業</t>
  </si>
  <si>
    <t>203017_097 パン・菓子製造業</t>
  </si>
  <si>
    <t>098 動植物油脂製造業</t>
  </si>
  <si>
    <t>203018_098 動植物油脂製造業</t>
  </si>
  <si>
    <t>099 その他の食料品製造業</t>
  </si>
  <si>
    <t>203019_099 その他の食料品製造業</t>
  </si>
  <si>
    <t>10 飲料・たばこ・飼料製造業</t>
  </si>
  <si>
    <t>20302_10 飲料・たばこ・飼料製造業</t>
  </si>
  <si>
    <t>101 清涼飲料製造業</t>
  </si>
  <si>
    <t>203021_101 清涼飲料製造業</t>
  </si>
  <si>
    <t>102 酒類製造業</t>
  </si>
  <si>
    <t>203022_102 酒類製造業</t>
  </si>
  <si>
    <t>103 茶・コーヒー製造業（清涼飲料を除く）</t>
  </si>
  <si>
    <t>203023_103 茶・コーヒー製造業（清涼飲料を除く）</t>
  </si>
  <si>
    <t>104 製氷業</t>
  </si>
  <si>
    <t>203024_104 製氷業</t>
  </si>
  <si>
    <t>105 たばこ製造業</t>
  </si>
  <si>
    <t>203025_105 たばこ製造業</t>
  </si>
  <si>
    <t>106 飼料・有機質肥料製造業</t>
  </si>
  <si>
    <t>203026_106 飼料・有機質肥料製造業</t>
  </si>
  <si>
    <t>11 繊維工業</t>
  </si>
  <si>
    <t>20303_11 繊維工業</t>
  </si>
  <si>
    <t>111 製糸業，紡績業，化学繊維・ねん糸等製造業</t>
  </si>
  <si>
    <t>203031_111 製糸業，紡績業，化学繊維・ねん糸等製造業</t>
  </si>
  <si>
    <t>112 織物業</t>
  </si>
  <si>
    <t>203032_112 織物業</t>
  </si>
  <si>
    <t>113 ニット生地製造業</t>
  </si>
  <si>
    <t>203033_113 ニット生地製造業</t>
  </si>
  <si>
    <t>114 染色整理業</t>
  </si>
  <si>
    <t>203034_114 染色整理業</t>
  </si>
  <si>
    <t>115 綱・網・レース・繊維粗製品製造業</t>
  </si>
  <si>
    <t>203035_115 綱・網・レース・繊維粗製品製造業</t>
  </si>
  <si>
    <t>116 外衣・シャツ製造業（和式を除く）</t>
  </si>
  <si>
    <t>203036_116 外衣・シャツ製造業（和式を除く）</t>
  </si>
  <si>
    <t>117 下着類製造業</t>
  </si>
  <si>
    <t>203037_117 下着類製造業</t>
  </si>
  <si>
    <t>118 和装製品・その他の衣服・繊維製身の回り品製造業</t>
  </si>
  <si>
    <t>203038_118 和装製品・その他の衣服・繊維製身の回り品製造業</t>
  </si>
  <si>
    <t>119 その他の繊維製品製造業</t>
  </si>
  <si>
    <t>203039_119 その他の繊維製品製造業</t>
  </si>
  <si>
    <t>12 木材・木製品製造業（家具を除く）</t>
  </si>
  <si>
    <t>20304_12 木材・木製品製造業（家具を除く）</t>
  </si>
  <si>
    <t>121 製材業，木製品製造業</t>
  </si>
  <si>
    <t>203041_121 製材業，木製品製造業</t>
  </si>
  <si>
    <t>122 造作材・合板・建築用組立材料製造業</t>
  </si>
  <si>
    <t>203042_122 造作材・合板・建築用組立材料製造業</t>
  </si>
  <si>
    <t>123 木製容器製造業（竹，とうを含む）</t>
  </si>
  <si>
    <t>203043_123 木製容器製造業（竹，とうを含む）</t>
  </si>
  <si>
    <t>129 その他の木製品製造業（竹，とうを含む）</t>
  </si>
  <si>
    <t>203044_129 その他の木製品製造業（竹，とうを含む）</t>
  </si>
  <si>
    <t>13 家具・装備品製造業</t>
  </si>
  <si>
    <t>20305_13 家具・装備品製造業</t>
  </si>
  <si>
    <t>131 家具製造業</t>
  </si>
  <si>
    <t>203051_131 家具製造業</t>
  </si>
  <si>
    <t>132 宗教用具製造業</t>
  </si>
  <si>
    <t>203052_132 宗教用具製造業</t>
  </si>
  <si>
    <t>133 建具製造業</t>
  </si>
  <si>
    <t>203053_133 建具製造業</t>
  </si>
  <si>
    <t>139 その他の家具・装備品製造業</t>
  </si>
  <si>
    <t>203054_139 その他の家具・装備品製造業</t>
  </si>
  <si>
    <t>14 パルプ・紙・紙加工品製造業</t>
  </si>
  <si>
    <t>20306_14 パルプ・紙・紙加工品製造業</t>
  </si>
  <si>
    <t>141 パルプ製造業</t>
  </si>
  <si>
    <t>203061_141 パルプ製造業</t>
  </si>
  <si>
    <t>142 紙製造業</t>
  </si>
  <si>
    <t>203062_142 紙製造業</t>
  </si>
  <si>
    <t>143 加工紙製造業</t>
  </si>
  <si>
    <t>203063_143 加工紙製造業</t>
  </si>
  <si>
    <t>144 紙製品製造業</t>
  </si>
  <si>
    <t>203064_144 紙製品製造業</t>
  </si>
  <si>
    <t>145 紙製容器製造業</t>
  </si>
  <si>
    <t>203065_145 紙製容器製造業</t>
  </si>
  <si>
    <t>149 その他のパルプ・紙・紙加工品製造業</t>
  </si>
  <si>
    <t>203066_149 その他のパルプ・紙・紙加工品製造業</t>
  </si>
  <si>
    <t>15 印刷・同関連業</t>
  </si>
  <si>
    <t>20307_15 印刷・同関連業</t>
  </si>
  <si>
    <t>151 印刷業</t>
  </si>
  <si>
    <t>203071_151 印刷業</t>
  </si>
  <si>
    <t>152 製版業</t>
  </si>
  <si>
    <t>203072_152 製版業</t>
  </si>
  <si>
    <t>153 製本業，印刷物加工業</t>
  </si>
  <si>
    <t>203073_153 製本業，印刷物加工業</t>
  </si>
  <si>
    <t>159 印刷関連サービス業</t>
  </si>
  <si>
    <t>203074_159 印刷関連サービス業</t>
  </si>
  <si>
    <t>16 化学工業</t>
  </si>
  <si>
    <t>20308_16 化学工業</t>
  </si>
  <si>
    <t>161 化学肥料製造業</t>
  </si>
  <si>
    <t>203081_161 化学肥料製造業</t>
  </si>
  <si>
    <t>162 無機化学工業製品製造業</t>
  </si>
  <si>
    <t>203082_162 無機化学工業製品製造業</t>
  </si>
  <si>
    <t>163 有機化学工業製品製造業</t>
  </si>
  <si>
    <t>203083_163 有機化学工業製品製造業</t>
  </si>
  <si>
    <t>164 油脂加工製品・石けん・合成洗剤・界面活性剤・塗料製造業</t>
  </si>
  <si>
    <t>203084_164 油脂加工製品・石けん・合成洗剤・界面活性剤・塗料製造業</t>
  </si>
  <si>
    <t>165 医薬品製造業</t>
  </si>
  <si>
    <t>203085_165 医薬品製造業</t>
  </si>
  <si>
    <t>166 化粧品・歯磨・その他の化粧用調整品製造業</t>
  </si>
  <si>
    <t>203086_166 化粧品・歯磨・その他の化粧用調整品製造業</t>
  </si>
  <si>
    <t>169 その他の化学工業</t>
  </si>
  <si>
    <t>203087_169 その他の化学工業</t>
  </si>
  <si>
    <t>17 石油製品・石炭製品製造業</t>
  </si>
  <si>
    <t>20309_17 石油製品・石炭製品製造業</t>
  </si>
  <si>
    <t>171 石油精製業</t>
  </si>
  <si>
    <t>203091_171 石油精製業</t>
  </si>
  <si>
    <t>172 潤滑油・グリース製造業（石油精製業によらないもの）</t>
  </si>
  <si>
    <t>203092_172 潤滑油・グリース製造業（石油精製業によらないもの）</t>
  </si>
  <si>
    <t>173 コークス製造業</t>
  </si>
  <si>
    <t>203093_173 コークス製造業</t>
  </si>
  <si>
    <t>174 舗装材料製造業</t>
  </si>
  <si>
    <t>203094_174 舗装材料製造業</t>
  </si>
  <si>
    <t>179 その他の石油製品・石炭製品製造業</t>
  </si>
  <si>
    <t>203095_179 その他の石油製品・石炭製品製造業</t>
  </si>
  <si>
    <t>18 プラスチック製品製造業（別掲を除く）</t>
  </si>
  <si>
    <t>20310_18 プラスチック製品製造業（別掲を除く）</t>
  </si>
  <si>
    <t>181 プラスチック板・棒・管・継手・異形押出製品製造業</t>
  </si>
  <si>
    <t>203101_181 プラスチック板・棒・管・継手・異形押出製品製造業</t>
  </si>
  <si>
    <t>182 プラスチックフィルム・シート・床材・合成皮革製造業</t>
  </si>
  <si>
    <t>203102_182 プラスチックフィルム・シート・床材・合成皮革製造業</t>
  </si>
  <si>
    <t>183 工業用プラスチック製品製造業</t>
  </si>
  <si>
    <t>203103_183 工業用プラスチック製品製造業</t>
  </si>
  <si>
    <t>184 発泡・強化プラスチック製品製造業</t>
  </si>
  <si>
    <t>203104_184 発泡・強化プラスチック製品製造業</t>
  </si>
  <si>
    <t>185 プラスチック成形材料製造業（廃プラスチックを含む）</t>
  </si>
  <si>
    <t>203105_185 プラスチック成形材料製造業（廃プラスチックを含む）</t>
  </si>
  <si>
    <t>189 その他のプラスチック製品製造業</t>
  </si>
  <si>
    <t>203106_189 その他のプラスチック製品製造業</t>
  </si>
  <si>
    <t>19 ゴム製品製造業</t>
  </si>
  <si>
    <t>20311_19 ゴム製品製造業</t>
  </si>
  <si>
    <t>191 タイヤ・チューブ製造業</t>
  </si>
  <si>
    <t>203111_191 タイヤ・チューブ製造業</t>
  </si>
  <si>
    <t>192 ゴム製・プラスチック製履物・同附属品製造業</t>
  </si>
  <si>
    <t>203112_192 ゴム製・プラスチック製履物・同附属品製造業</t>
  </si>
  <si>
    <t>193 ゴムベルト・ゴムホース・工業用ゴム製品製造業</t>
  </si>
  <si>
    <t>203113_193 ゴムベルト・ゴムホース・工業用ゴム製品製造業</t>
  </si>
  <si>
    <t>199 その他のゴム製品製造業</t>
  </si>
  <si>
    <t>203114_199 その他のゴム製品製造業</t>
  </si>
  <si>
    <t>20 なめし革・同製品・毛皮製造業</t>
  </si>
  <si>
    <t>20312_20 なめし革・同製品・毛皮製造業</t>
  </si>
  <si>
    <t>201 なめし革製造業</t>
  </si>
  <si>
    <t>203121_201 なめし革製造業</t>
  </si>
  <si>
    <t>202 工業用革製品製造業（手袋を除く）</t>
  </si>
  <si>
    <t>203122_202 工業用革製品製造業（手袋を除く）</t>
  </si>
  <si>
    <t>203 革製履物用材料・同附属品製造業</t>
  </si>
  <si>
    <t>203123_203 革製履物用材料・同附属品製造業</t>
  </si>
  <si>
    <t>204 革製履物製造業</t>
  </si>
  <si>
    <t>203124_204 革製履物製造業</t>
  </si>
  <si>
    <t>205 革製手袋製造業</t>
  </si>
  <si>
    <t>203125_205 革製手袋製造業</t>
  </si>
  <si>
    <t>206 かばん製造業</t>
  </si>
  <si>
    <t>203126_206 かばん製造業</t>
  </si>
  <si>
    <t>207 袋物製造業</t>
  </si>
  <si>
    <t>203127_207 袋物製造業</t>
  </si>
  <si>
    <t>208 毛皮製造業</t>
  </si>
  <si>
    <t>203128_208 毛皮製造業</t>
  </si>
  <si>
    <t>209 その他のなめし革製品製造業</t>
  </si>
  <si>
    <t>203129_209 その他のなめし革製品製造業</t>
  </si>
  <si>
    <t>21 窯業・土石製品製造業</t>
  </si>
  <si>
    <t>20313_21 窯業・土石製品製造業</t>
  </si>
  <si>
    <t>211 ガラス・同製品製造業</t>
  </si>
  <si>
    <t>203131_211 ガラス・同製品製造業</t>
  </si>
  <si>
    <t>212 セメント・同製品製造業</t>
  </si>
  <si>
    <t>203132_212 セメント・同製品製造業</t>
  </si>
  <si>
    <t>213 建設用粘土製品製造業（陶磁器製を除く）</t>
  </si>
  <si>
    <t>203133_213 建設用粘土製品製造業（陶磁器製を除く）</t>
  </si>
  <si>
    <t>214 陶磁器・同関連製品製造業</t>
  </si>
  <si>
    <t>203134_214 陶磁器・同関連製品製造業</t>
  </si>
  <si>
    <t>215 耐火物製造業</t>
  </si>
  <si>
    <t>203135_215 耐火物製造業</t>
  </si>
  <si>
    <t>216 炭素・黒鉛製品製造業</t>
  </si>
  <si>
    <t>203136_216 炭素・黒鉛製品製造業</t>
  </si>
  <si>
    <t>217 研磨材・同製品製造業</t>
  </si>
  <si>
    <t>203137_217 研磨材・同製品製造業</t>
  </si>
  <si>
    <t>218 骨材・石工品等製造業</t>
  </si>
  <si>
    <t>203138_218 骨材・石工品等製造業</t>
  </si>
  <si>
    <t>219 その他の窯業・土石製品製造業</t>
  </si>
  <si>
    <t>203139_219 その他の窯業・土石製品製造業</t>
  </si>
  <si>
    <t>22 鉄鋼業</t>
  </si>
  <si>
    <t>20314_22 鉄鋼業</t>
  </si>
  <si>
    <t>221 製鉄業</t>
  </si>
  <si>
    <t>203141_221 製鉄業</t>
  </si>
  <si>
    <t>222 製鋼・製鋼圧延業</t>
  </si>
  <si>
    <t>203142_222 製鋼・製鋼圧延業</t>
  </si>
  <si>
    <t>223 製鋼を行わない鋼材製造業（表面処理鋼材を除く）</t>
  </si>
  <si>
    <t>203143_223 製鋼を行わない鋼材製造業（表面処理鋼材を除く）</t>
  </si>
  <si>
    <t>224 表面処理鋼材製造業</t>
  </si>
  <si>
    <t>203144_224 表面処理鋼材製造業</t>
  </si>
  <si>
    <t>225 鉄素形材製造業</t>
  </si>
  <si>
    <t>203145_225 鉄素形材製造業</t>
  </si>
  <si>
    <t>229 その他の鉄鋼業</t>
  </si>
  <si>
    <t>203146_229 その他の鉄鋼業</t>
  </si>
  <si>
    <t>23 非鉄金属製造業</t>
  </si>
  <si>
    <t>20315_23 非鉄金属製造業</t>
  </si>
  <si>
    <t>231 非鉄金属第１次製錬・精製業</t>
  </si>
  <si>
    <t>203151_231 非鉄金属第１次製錬・精製業</t>
  </si>
  <si>
    <t>232 非鉄金属第２次製錬・精製業（非鉄金属合金製造業を含む）</t>
  </si>
  <si>
    <t>203152_232 非鉄金属第２次製錬・精製業（非鉄金属合金製造業を含む）</t>
  </si>
  <si>
    <t>233 非鉄金属・同合金圧延業（抽伸，押出しを含む）</t>
  </si>
  <si>
    <t>203153_233 非鉄金属・同合金圧延業（抽伸，押出しを含む）</t>
  </si>
  <si>
    <t>234 電線・ケーブル製造業</t>
  </si>
  <si>
    <t>203154_234 電線・ケーブル製造業</t>
  </si>
  <si>
    <t>235 非鉄金属素形材製造業</t>
  </si>
  <si>
    <t>203155_235 非鉄金属素形材製造業</t>
  </si>
  <si>
    <t>239 その他の非鉄金属製造業</t>
  </si>
  <si>
    <t>203156_239 その他の非鉄金属製造業</t>
  </si>
  <si>
    <t>24 金属製品製造業</t>
  </si>
  <si>
    <t>20316_24 金属製品製造業</t>
  </si>
  <si>
    <t>241 ブリキ缶・その他のめっき板等製品製造業</t>
  </si>
  <si>
    <t>203161_241 ブリキ缶・その他のめっき板等製品製造業</t>
  </si>
  <si>
    <t>242 洋食器・刃物・手道具・金物類製造業</t>
  </si>
  <si>
    <t>203162_242 洋食器・刃物・手道具・金物類製造業</t>
  </si>
  <si>
    <t>243 暖房・調理等装置，配管工事用附属品製造業</t>
  </si>
  <si>
    <t>203163_243 暖房・調理等装置，配管工事用附属品製造業</t>
  </si>
  <si>
    <t>244 建設用・建築用金属製品製造業（製缶板金業を含む）</t>
  </si>
  <si>
    <t>203164_244 建設用・建築用金属製品製造業（製缶板金業を含む）</t>
  </si>
  <si>
    <t>245 金属素形材製品製造業</t>
  </si>
  <si>
    <t>203165_245 金属素形材製品製造業</t>
  </si>
  <si>
    <t>246 金属被覆・彫刻業，熱処理業（ほうろう鉄器を除く）</t>
  </si>
  <si>
    <t>203166_246 金属被覆・彫刻業，熱処理業（ほうろう鉄器を除く）</t>
  </si>
  <si>
    <t>247 金属線製品製造業（ねじ類を除く）</t>
  </si>
  <si>
    <t>203167_247 金属線製品製造業（ねじ類を除く）</t>
  </si>
  <si>
    <t>248 ボルト・ナット・リベット・小ねじ・木ねじ等製造業</t>
  </si>
  <si>
    <t>203168_248 ボルト・ナット・リベット・小ねじ・木ねじ等製造業</t>
  </si>
  <si>
    <t>249 その他の金属製品製造業</t>
  </si>
  <si>
    <t>203169_249 その他の金属製品製造業</t>
  </si>
  <si>
    <t>25 はん用機械器具製造業</t>
  </si>
  <si>
    <t>20317_25 はん用機械器具製造業</t>
  </si>
  <si>
    <t>251 ボイラ・原動機製造業</t>
  </si>
  <si>
    <t>203171_251 ボイラ・原動機製造業</t>
  </si>
  <si>
    <t>252 ポンプ・圧縮機器製造業</t>
  </si>
  <si>
    <t>203172_252 ポンプ・圧縮機器製造業</t>
  </si>
  <si>
    <t>253 一般産業用機械・装置製造業</t>
  </si>
  <si>
    <t>203173_253 一般産業用機械・装置製造業</t>
  </si>
  <si>
    <t>259 その他のはん用機械・同部分品製造業</t>
  </si>
  <si>
    <t>203174_259 その他のはん用機械・同部分品製造業</t>
  </si>
  <si>
    <t>26 生産用機械器具製造業</t>
  </si>
  <si>
    <t>20318_26 生産用機械器具製造業</t>
  </si>
  <si>
    <t>261 農業用機械製造業（農業用器具を除く）</t>
  </si>
  <si>
    <t>203181_261 農業用機械製造業（農業用器具を除く）</t>
  </si>
  <si>
    <t>262 建設機械・鉱山機械製造業</t>
  </si>
  <si>
    <t>203182_262 建設機械・鉱山機械製造業</t>
  </si>
  <si>
    <t>263 繊維機械製造業</t>
  </si>
  <si>
    <t>203183_263 繊維機械製造業</t>
  </si>
  <si>
    <t>264 生活関連産業用機械製造業</t>
  </si>
  <si>
    <t>203184_264 生活関連産業用機械製造業</t>
  </si>
  <si>
    <t>265 基礎素材産業用機械製造業</t>
  </si>
  <si>
    <t>203185_265 基礎素材産業用機械製造業</t>
  </si>
  <si>
    <t>266 金属加工機械製造業</t>
  </si>
  <si>
    <t>203186_266 金属加工機械製造業</t>
  </si>
  <si>
    <t>267 半導体・フラットパネルディスプレイ製造装置製造業</t>
  </si>
  <si>
    <t>203187_267 半導体・フラットパネルディスプレイ製造装置製造業</t>
  </si>
  <si>
    <t>269 その他の生産用機械・同部分品製造業</t>
  </si>
  <si>
    <t>203188_269 その他の生産用機械・同部分品製造業</t>
  </si>
  <si>
    <t>27 業務用機械器具製造業</t>
  </si>
  <si>
    <t>20319_27 業務用機械器具製造業</t>
  </si>
  <si>
    <t>271 事務用機械器具製造業</t>
  </si>
  <si>
    <t>203191_271 事務用機械器具製造業</t>
  </si>
  <si>
    <t>272 サービス用・娯楽用機械器具製造業</t>
  </si>
  <si>
    <t>203192_272 サービス用・娯楽用機械器具製造業</t>
  </si>
  <si>
    <t>273 計量器・測定器・分析機器・試験機・測量機械器具・理化学機械器具製造業</t>
  </si>
  <si>
    <t>203193_273 計量器・測定器・分析機器・試験機・測量機械器具・理化学機械器具製造業</t>
  </si>
  <si>
    <t>274 医療用機械器具・医療用品製造業</t>
  </si>
  <si>
    <t>203194_274 医療用機械器具・医療用品製造業</t>
  </si>
  <si>
    <t>275 光学機械器具・レンズ製造業</t>
  </si>
  <si>
    <t>203195_275 光学機械器具・レンズ製造業</t>
  </si>
  <si>
    <t>276 武器製造業</t>
  </si>
  <si>
    <t>203196_276 武器製造業</t>
  </si>
  <si>
    <t>28 電子部品・デバイス・電子回路製造業</t>
  </si>
  <si>
    <t>20320_28 電子部品・デバイス・電子回路製造業</t>
  </si>
  <si>
    <t>281 電子デバイス製造業</t>
  </si>
  <si>
    <t>203201_281 電子デバイス製造業</t>
  </si>
  <si>
    <t>282 電子部品製造業</t>
  </si>
  <si>
    <t>203202_282 電子部品製造業</t>
  </si>
  <si>
    <t>283 記録メディア製造業</t>
  </si>
  <si>
    <t>203203_283 記録メディア製造業</t>
  </si>
  <si>
    <t>284 電子回路製造業</t>
  </si>
  <si>
    <t>203204_284 電子回路製造業</t>
  </si>
  <si>
    <t>285 ユニット部品製造業</t>
  </si>
  <si>
    <t>203205_285 ユニット部品製造業</t>
  </si>
  <si>
    <t>289 その他の電子部品・デバイス・電子回路製造業</t>
  </si>
  <si>
    <t>203206_289 その他の電子部品・デバイス・電子回路製造業</t>
  </si>
  <si>
    <t>29 電気機械器具製造業</t>
  </si>
  <si>
    <t>20321_29 電気機械器具製造業</t>
  </si>
  <si>
    <t>291 発電用・送電用・配電用電気機械器具製造業</t>
  </si>
  <si>
    <t>203211_291 発電用・送電用・配電用電気機械器具製造業</t>
  </si>
  <si>
    <t>292 産業用電気機械器具製造業</t>
  </si>
  <si>
    <t>203212_292 産業用電気機械器具製造業</t>
  </si>
  <si>
    <t>293 民生用電気機械器具製造業</t>
  </si>
  <si>
    <t>203213_293 民生用電気機械器具製造業</t>
  </si>
  <si>
    <t>294 電球・電気照明器具製造業</t>
  </si>
  <si>
    <t>203214_294 電球・電気照明器具製造業</t>
  </si>
  <si>
    <t>295 電池製造業</t>
  </si>
  <si>
    <t>203215_295 電池製造業</t>
  </si>
  <si>
    <t>296 電子応用装置製造業</t>
  </si>
  <si>
    <t>203216_296 電子応用装置製造業</t>
  </si>
  <si>
    <t>297 電気計測器製造業</t>
  </si>
  <si>
    <t>203217_297 電気計測器製造業</t>
  </si>
  <si>
    <t>299 その他の電気機械器具製造業</t>
  </si>
  <si>
    <t>203218_299 その他の電気機械器具製造業</t>
  </si>
  <si>
    <t>30 情報通信機械器具製造業</t>
  </si>
  <si>
    <t>20322_30 情報通信機械器具製造業</t>
  </si>
  <si>
    <t>301 通信機械器具・同関連機械器具製造業</t>
  </si>
  <si>
    <t>203221_301 通信機械器具・同関連機械器具製造業</t>
  </si>
  <si>
    <t>302 映像・音響機械器具製造業</t>
  </si>
  <si>
    <t>203222_302 映像・音響機械器具製造業</t>
  </si>
  <si>
    <t>303 電子計算機・同附属装置製造業</t>
  </si>
  <si>
    <t>203223_303 電子計算機・同附属装置製造業</t>
  </si>
  <si>
    <t>31 輸送用機械器具製造業</t>
  </si>
  <si>
    <t>20323_31 輸送用機械器具製造業</t>
  </si>
  <si>
    <t>311 自動車・同附属品製造業</t>
  </si>
  <si>
    <t>203231_311 自動車・同附属品製造業</t>
  </si>
  <si>
    <t>312 鉄道車両・同部分品製造業</t>
  </si>
  <si>
    <t>203232_312 鉄道車両・同部分品製造業</t>
  </si>
  <si>
    <t>313 船舶製造・修理業，舶用機関製造業</t>
  </si>
  <si>
    <t>203233_313 船舶製造・修理業，舶用機関製造業</t>
  </si>
  <si>
    <t>314 航空機・同附属品製造業</t>
  </si>
  <si>
    <t>203234_314 航空機・同附属品製造業</t>
  </si>
  <si>
    <t>315 産業用運搬車両・同部分品・附属品製造業</t>
  </si>
  <si>
    <t>203235_315 産業用運搬車両・同部分品・附属品製造業</t>
  </si>
  <si>
    <t>319 その他の輸送用機械器具製造業</t>
  </si>
  <si>
    <t>203236_319 その他の輸送用機械器具製造業</t>
  </si>
  <si>
    <t>32 その他の製造業</t>
  </si>
  <si>
    <t>20324_32 その他の製造業</t>
  </si>
  <si>
    <t>321 貴金属・宝石製品製造業</t>
  </si>
  <si>
    <t>203241_321 貴金属・宝石製品製造業</t>
  </si>
  <si>
    <t>322 装身具・装飾品・ボタン・同関連品製造業（貴金属・宝石製を除く）</t>
  </si>
  <si>
    <t>203242_322 装身具・装飾品・ボタン・同関連品製造業（貴金属・宝石製を除く）</t>
  </si>
  <si>
    <t>323 時計・同部分品製造業</t>
  </si>
  <si>
    <t>203243_323 時計・同部分品製造業</t>
  </si>
  <si>
    <t>324 楽器製造業</t>
  </si>
  <si>
    <t>203244_324 楽器製造業</t>
  </si>
  <si>
    <t>325 がん具・運動用具製造業</t>
  </si>
  <si>
    <t>203245_325 がん具・運動用具製造業</t>
  </si>
  <si>
    <t>7</t>
  </si>
  <si>
    <t>32A がん具製造業</t>
  </si>
  <si>
    <t>2032451_32A がん具製造業</t>
  </si>
  <si>
    <t>32B 運動用具製造業</t>
  </si>
  <si>
    <t>2032452_32B 運動用具製造業</t>
  </si>
  <si>
    <t>326 ペン・鉛筆・絵画用品・その他の事務用品製造業</t>
  </si>
  <si>
    <t>203246_326 ペン・鉛筆・絵画用品・その他の事務用品製造業</t>
  </si>
  <si>
    <t>327 漆器製造業</t>
  </si>
  <si>
    <t>203247_327 漆器製造業</t>
  </si>
  <si>
    <t>328 畳等生活雑貨製品製造業</t>
  </si>
  <si>
    <t>203248_328 畳等生活雑貨製品製造業</t>
  </si>
  <si>
    <t>329 他に分類されない製造業</t>
  </si>
  <si>
    <t>203249_329 他に分類されない製造業</t>
  </si>
  <si>
    <t>32C 情報記録物製造業（新聞，書籍等の印刷物を除く）</t>
  </si>
  <si>
    <t>2032491_32C 情報記録物製造業（新聞，書籍等の印刷物を除く）</t>
  </si>
  <si>
    <t>32D 他に分類されないその他の製造業</t>
  </si>
  <si>
    <t>2032492_32D 他に分類されないその他の製造業</t>
  </si>
  <si>
    <t>F 電気・ガス・熱供給・水道業</t>
  </si>
  <si>
    <t>204_F 電気・ガス・熱供給・水道業</t>
  </si>
  <si>
    <t>33 電気業</t>
  </si>
  <si>
    <t>20401_33 電気業</t>
  </si>
  <si>
    <t>331 電気業</t>
  </si>
  <si>
    <t>204011_331 電気業</t>
  </si>
  <si>
    <t>34 ガス業</t>
  </si>
  <si>
    <t>20402_34 ガス業</t>
  </si>
  <si>
    <t>341 ガス業</t>
  </si>
  <si>
    <t>204021_341 ガス業</t>
  </si>
  <si>
    <t>35 熱供給業</t>
  </si>
  <si>
    <t>20403_35 熱供給業</t>
  </si>
  <si>
    <t>351 熱供給業</t>
  </si>
  <si>
    <t>204031_351 熱供給業</t>
  </si>
  <si>
    <t>36 水道業</t>
  </si>
  <si>
    <t>20404_36 水道業</t>
  </si>
  <si>
    <t>361 上水道業</t>
  </si>
  <si>
    <t>204041_361 上水道業</t>
  </si>
  <si>
    <t>362 工業用水道業</t>
  </si>
  <si>
    <t>204042_362 工業用水道業</t>
  </si>
  <si>
    <t>363 下水道業</t>
  </si>
  <si>
    <t>204043_363 下水道業</t>
  </si>
  <si>
    <t>G 情報通信業</t>
  </si>
  <si>
    <t>205_G 情報通信業</t>
  </si>
  <si>
    <t>G1 情報通信業（通信業，放送業，映像・音声・文字情報制作業）</t>
  </si>
  <si>
    <t>2051_G1 情報通信業（通信業，放送業，映像・音声・文字情報制作業）</t>
  </si>
  <si>
    <t>37 通信業</t>
  </si>
  <si>
    <t>20511_37 通信業</t>
  </si>
  <si>
    <t>371 固定電気通信業</t>
  </si>
  <si>
    <t>205111_371 固定電気通信業</t>
  </si>
  <si>
    <t>372 移動電気通信業</t>
  </si>
  <si>
    <t>205112_372 移動電気通信業</t>
  </si>
  <si>
    <t>373 電気通信に附帯するサービス業</t>
  </si>
  <si>
    <t>205113_373 電気通信に附帯するサービス業</t>
  </si>
  <si>
    <t>38 放送業</t>
  </si>
  <si>
    <t>20512_38 放送業</t>
  </si>
  <si>
    <t>38X 放送業（有線放送業を除く）</t>
  </si>
  <si>
    <t>205121_38X 放送業（有線放送業を除く）</t>
  </si>
  <si>
    <t>383 有線放送業</t>
  </si>
  <si>
    <t>205122_383 有線放送業</t>
  </si>
  <si>
    <t>41 映像・音声・文字情報制作業</t>
  </si>
  <si>
    <t>20513_41 映像・音声・文字情報制作業</t>
  </si>
  <si>
    <t>411 映像情報制作・配給業</t>
  </si>
  <si>
    <t>205131_411 映像情報制作・配給業</t>
  </si>
  <si>
    <t>412 音声情報制作業</t>
  </si>
  <si>
    <t>205132_412 音声情報制作業</t>
  </si>
  <si>
    <t>413 新聞業</t>
  </si>
  <si>
    <t>205133_413 新聞業</t>
  </si>
  <si>
    <t>414 出版業</t>
  </si>
  <si>
    <t>205134_414 出版業</t>
  </si>
  <si>
    <t>415 広告制作業</t>
  </si>
  <si>
    <t>205135_415 広告制作業</t>
  </si>
  <si>
    <t>416 映像・音声・文字情報制作に附帯するサービス業</t>
  </si>
  <si>
    <t>205136_416 映像・音声・文字情報制作に附帯するサービス業</t>
  </si>
  <si>
    <t>G2 情報通信業（情報サービス業，インターネット附随サービス業）</t>
  </si>
  <si>
    <t>2052_G2 情報通信業（情報サービス業，インターネット附随サービス業）</t>
  </si>
  <si>
    <t>39 情報サービス業</t>
  </si>
  <si>
    <t>20521_39 情報サービス業</t>
  </si>
  <si>
    <t>391 ソフトウェア業</t>
  </si>
  <si>
    <t>205211_391 ソフトウェア業</t>
  </si>
  <si>
    <t>392 情報処理・提供サービス業</t>
  </si>
  <si>
    <t>205212_392 情報処理・提供サービス業</t>
  </si>
  <si>
    <t>39A 情報処理サービス業</t>
  </si>
  <si>
    <t>2052121_39A 情報処理サービス業</t>
  </si>
  <si>
    <t>39B 情報提供サービス業</t>
  </si>
  <si>
    <t>2052122_39B 情報提供サービス業</t>
  </si>
  <si>
    <t>39C その他の情報処理・提供サービス業</t>
  </si>
  <si>
    <t>2052123_39C その他の情報処理・提供サービス業</t>
  </si>
  <si>
    <t>40 インターネット附随サービス業</t>
  </si>
  <si>
    <t>20522_40 インターネット附随サービス業</t>
  </si>
  <si>
    <t>401 インターネット附随サービス業</t>
  </si>
  <si>
    <t>205221_401 インターネット附随サービス業</t>
  </si>
  <si>
    <t>H 運輸業，郵便業</t>
  </si>
  <si>
    <t>206_H 運輸業，郵便業</t>
  </si>
  <si>
    <t>42 鉄道業</t>
  </si>
  <si>
    <t>20601_42 鉄道業</t>
  </si>
  <si>
    <t>421 鉄道業</t>
  </si>
  <si>
    <t>206011_421 鉄道業</t>
  </si>
  <si>
    <t>43 道路旅客運送業</t>
  </si>
  <si>
    <t>20602_43 道路旅客運送業</t>
  </si>
  <si>
    <t>431 一般乗合旅客自動車運送業</t>
  </si>
  <si>
    <t>206021_431 一般乗合旅客自動車運送業</t>
  </si>
  <si>
    <t>432 一般乗用旅客自動車運送業</t>
  </si>
  <si>
    <t>206022_432 一般乗用旅客自動車運送業</t>
  </si>
  <si>
    <t>433 一般貸切旅客自動車運送業</t>
  </si>
  <si>
    <t>206023_433 一般貸切旅客自動車運送業</t>
  </si>
  <si>
    <t>439 その他の道路旅客運送業</t>
  </si>
  <si>
    <t>206024_439 その他の道路旅客運送業</t>
  </si>
  <si>
    <t>44 道路貨物運送業</t>
  </si>
  <si>
    <t>20603_44 道路貨物運送業</t>
  </si>
  <si>
    <t>441 一般貨物自動車運送業</t>
  </si>
  <si>
    <t>206031_441 一般貨物自動車運送業</t>
  </si>
  <si>
    <t>442 特定貨物自動車運送業</t>
  </si>
  <si>
    <t>206032_442 特定貨物自動車運送業</t>
  </si>
  <si>
    <t>443 貨物軽自動車運送業</t>
  </si>
  <si>
    <t>206033_443 貨物軽自動車運送業</t>
  </si>
  <si>
    <t>444 集配利用運送業</t>
  </si>
  <si>
    <t>206034_444 集配利用運送業</t>
  </si>
  <si>
    <t>449 その他の道路貨物運送業</t>
  </si>
  <si>
    <t>206035_449 その他の道路貨物運送業</t>
  </si>
  <si>
    <t>45 水運業</t>
  </si>
  <si>
    <t>20604_45 水運業</t>
  </si>
  <si>
    <t>451 外航海運業</t>
  </si>
  <si>
    <t>206041_451 外航海運業</t>
  </si>
  <si>
    <t>452 沿海海運業</t>
  </si>
  <si>
    <t>206042_452 沿海海運業</t>
  </si>
  <si>
    <t>453 内陸水運業</t>
  </si>
  <si>
    <t>206043_453 内陸水運業</t>
  </si>
  <si>
    <t>454 船舶貸渡業</t>
  </si>
  <si>
    <t>206044_454 船舶貸渡業</t>
  </si>
  <si>
    <t>46 航空運輸業</t>
  </si>
  <si>
    <t>20605_46 航空運輸業</t>
  </si>
  <si>
    <t>461 航空運送業</t>
  </si>
  <si>
    <t>206051_461 航空運送業</t>
  </si>
  <si>
    <t>462 航空機使用業（航空運送業を除く）</t>
  </si>
  <si>
    <t>206052_462 航空機使用業（航空運送業を除く）</t>
  </si>
  <si>
    <t>47 倉庫業</t>
  </si>
  <si>
    <t>20606_47 倉庫業</t>
  </si>
  <si>
    <t>471 倉庫業（冷蔵倉庫業を除く）</t>
  </si>
  <si>
    <t>206061_471 倉庫業（冷蔵倉庫業を除く）</t>
  </si>
  <si>
    <t>472 冷蔵倉庫業</t>
  </si>
  <si>
    <t>206062_472 冷蔵倉庫業</t>
  </si>
  <si>
    <t>48 運輸に附帯するサービス業</t>
  </si>
  <si>
    <t>20607_48 運輸に附帯するサービス業</t>
  </si>
  <si>
    <t>481 港湾運送業</t>
  </si>
  <si>
    <t>206071_481 港湾運送業</t>
  </si>
  <si>
    <t>482 貨物運送取扱業（集配利用運送業を除く）</t>
  </si>
  <si>
    <t>206072_482 貨物運送取扱業（集配利用運送業を除く）</t>
  </si>
  <si>
    <t>483 運送代理店</t>
  </si>
  <si>
    <t>206073_483 運送代理店</t>
  </si>
  <si>
    <t>484 こん包業</t>
  </si>
  <si>
    <t>206074_484 こん包業</t>
  </si>
  <si>
    <t>485 運輸施設提供業</t>
  </si>
  <si>
    <t>206075_485 運輸施設提供業</t>
  </si>
  <si>
    <t>489 その他の運輸に附帯するサービス業</t>
  </si>
  <si>
    <t>206076_489 その他の運輸に附帯するサービス業</t>
  </si>
  <si>
    <t>49 郵便業（信書便事業を含む）</t>
  </si>
  <si>
    <t>20608_49 郵便業（信書便事業を含む）</t>
  </si>
  <si>
    <t>491 郵便業（信書便事業を含む）</t>
  </si>
  <si>
    <t>206081_491 郵便業（信書便事業を含む）</t>
  </si>
  <si>
    <t>I 卸売業，小売業</t>
  </si>
  <si>
    <t>207_I 卸売業，小売業</t>
  </si>
  <si>
    <t>I1 卸売業</t>
  </si>
  <si>
    <t>2071_I1 卸売業</t>
  </si>
  <si>
    <t>50 各種商品卸売業</t>
  </si>
  <si>
    <t>20711_50 各種商品卸売業</t>
  </si>
  <si>
    <t>501 各種商品卸売業</t>
  </si>
  <si>
    <t>207111_501 各種商品卸売業</t>
  </si>
  <si>
    <t>50A 各種商品卸売業（従業者が常時100人以上のもの）</t>
  </si>
  <si>
    <t>2071111_50A 各種商品卸売業（従業者が常時100人以上のもの）</t>
  </si>
  <si>
    <t>50B その他の各種商品卸売業</t>
  </si>
  <si>
    <t>2071112_50B その他の各種商品卸売業</t>
  </si>
  <si>
    <t>51 繊維・衣服等卸売業</t>
  </si>
  <si>
    <t>20712_51 繊維・衣服等卸売業</t>
  </si>
  <si>
    <t>511 繊維品卸売業（衣服，身の回り品を除く）</t>
  </si>
  <si>
    <t>207121_511 繊維品卸売業（衣服，身の回り品を除く）</t>
  </si>
  <si>
    <t>512 衣服卸売業</t>
  </si>
  <si>
    <t>207122_512 衣服卸売業</t>
  </si>
  <si>
    <t>513 身の回り品卸売業</t>
  </si>
  <si>
    <t>207123_513 身の回り品卸売業</t>
  </si>
  <si>
    <t>52 飲食料品卸売業</t>
  </si>
  <si>
    <t>20713_52 飲食料品卸売業</t>
  </si>
  <si>
    <t>521 農畜産物・水産物卸売業</t>
  </si>
  <si>
    <t>207131_521 農畜産物・水産物卸売業</t>
  </si>
  <si>
    <t>52A 米穀類卸売業</t>
  </si>
  <si>
    <t>2071311_52A 米穀類卸売業</t>
  </si>
  <si>
    <t>52B 野菜・果実卸売業</t>
  </si>
  <si>
    <t>2071312_52B 野菜・果実卸売業</t>
  </si>
  <si>
    <t>52C 食肉卸売業</t>
  </si>
  <si>
    <t>2071313_52C 食肉卸売業</t>
  </si>
  <si>
    <t>52D 生鮮魚介卸売業</t>
  </si>
  <si>
    <t>2071314_52D 生鮮魚介卸売業</t>
  </si>
  <si>
    <t>52E その他の農畜産物・水産物卸売業</t>
  </si>
  <si>
    <t>2071315_52E その他の農畜産物・水産物卸売業</t>
  </si>
  <si>
    <t>522 食料・飲料卸売業</t>
  </si>
  <si>
    <t>207132_522 食料・飲料卸売業</t>
  </si>
  <si>
    <t>53 建築材料，鉱物・金属材料等卸売業</t>
  </si>
  <si>
    <t>20714_53 建築材料，鉱物・金属材料等卸売業</t>
  </si>
  <si>
    <t>531 建築材料卸売業</t>
  </si>
  <si>
    <t>207141_531 建築材料卸売業</t>
  </si>
  <si>
    <t>532 化学製品卸売業</t>
  </si>
  <si>
    <t>207142_532 化学製品卸売業</t>
  </si>
  <si>
    <t>533 石油・鉱物卸売業</t>
  </si>
  <si>
    <t>207143_533 石油・鉱物卸売業</t>
  </si>
  <si>
    <t>534 鉄鋼製品卸売業</t>
  </si>
  <si>
    <t>207144_534 鉄鋼製品卸売業</t>
  </si>
  <si>
    <t>535 非鉄金属卸売業</t>
  </si>
  <si>
    <t>207145_535 非鉄金属卸売業</t>
  </si>
  <si>
    <t>536 再生資源卸売業</t>
  </si>
  <si>
    <t>207146_536 再生資源卸売業</t>
  </si>
  <si>
    <t>54 機械器具卸売業</t>
  </si>
  <si>
    <t>20715_54 機械器具卸売業</t>
  </si>
  <si>
    <t>541 産業機械器具卸売業</t>
  </si>
  <si>
    <t>207151_541 産業機械器具卸売業</t>
  </si>
  <si>
    <t>542 自動車卸売業</t>
  </si>
  <si>
    <t>207152_542 自動車卸売業</t>
  </si>
  <si>
    <t>543 電気機械器具卸売業</t>
  </si>
  <si>
    <t>207153_543 電気機械器具卸売業</t>
  </si>
  <si>
    <t>549 その他の機械器具卸売業</t>
  </si>
  <si>
    <t>207154_549 その他の機械器具卸売業</t>
  </si>
  <si>
    <t>55 その他の卸売業</t>
  </si>
  <si>
    <t>20716_55 その他の卸売業</t>
  </si>
  <si>
    <t>551 家具・建具・じゅう器等卸売業</t>
  </si>
  <si>
    <t>207161_551 家具・建具・じゅう器等卸売業</t>
  </si>
  <si>
    <t>552 医薬品・化粧品等卸売業</t>
  </si>
  <si>
    <t>207162_552 医薬品・化粧品等卸売業</t>
  </si>
  <si>
    <t>553 紙・紙製品卸売業</t>
  </si>
  <si>
    <t>207163_553 紙・紙製品卸売業</t>
  </si>
  <si>
    <t>559 他に分類されない卸売業</t>
  </si>
  <si>
    <t>207164_559 他に分類されない卸売業</t>
  </si>
  <si>
    <t>55A 代理商，仲立業</t>
  </si>
  <si>
    <t>2071641_55A 代理商，仲立業</t>
  </si>
  <si>
    <t>55B 他に分類されないその他の卸売業</t>
  </si>
  <si>
    <t>2071642_55B 他に分類されないその他の卸売業</t>
  </si>
  <si>
    <t>I2 小売業</t>
  </si>
  <si>
    <t>2072_I2 小売業</t>
  </si>
  <si>
    <t>56 各種商品小売業</t>
  </si>
  <si>
    <t>20721_56 各種商品小売業</t>
  </si>
  <si>
    <t>561 百貨店，総合スーパー</t>
  </si>
  <si>
    <t>207211_561 百貨店，総合スーパー</t>
  </si>
  <si>
    <t>569 その他の各種商品小売業（従業者が常時50人未満のもの）</t>
  </si>
  <si>
    <t>207212_569 その他の各種商品小売業（従業者が常時50人未満のもの）</t>
  </si>
  <si>
    <t>57 織物・衣服・身の回り品小売業</t>
  </si>
  <si>
    <t>20722_57 織物・衣服・身の回り品小売業</t>
  </si>
  <si>
    <t>571 呉服・服地・寝具小売業</t>
  </si>
  <si>
    <t>207221_571 呉服・服地・寝具小売業</t>
  </si>
  <si>
    <t>572 男子服小売業</t>
  </si>
  <si>
    <t>207222_572 男子服小売業</t>
  </si>
  <si>
    <t>573 婦人・子供服小売業</t>
  </si>
  <si>
    <t>207223_573 婦人・子供服小売業</t>
  </si>
  <si>
    <t>574 靴・履物小売業</t>
  </si>
  <si>
    <t>207224_574 靴・履物小売業</t>
  </si>
  <si>
    <t>579 その他の織物・衣服・身の回り品小売業</t>
  </si>
  <si>
    <t>207225_579 その他の織物・衣服・身の回り品小売業</t>
  </si>
  <si>
    <t>58 飲食料品小売業</t>
  </si>
  <si>
    <t>20723_58 飲食料品小売業</t>
  </si>
  <si>
    <t>581 各種食料品小売業</t>
  </si>
  <si>
    <t>207231_581 各種食料品小売業</t>
  </si>
  <si>
    <t>582 野菜・果実小売業</t>
  </si>
  <si>
    <t>207232_582 野菜・果実小売業</t>
  </si>
  <si>
    <t>583 食肉小売業</t>
  </si>
  <si>
    <t>207233_583 食肉小売業</t>
  </si>
  <si>
    <t>584 鮮魚小売業</t>
  </si>
  <si>
    <t>207234_584 鮮魚小売業</t>
  </si>
  <si>
    <t>585 酒小売業</t>
  </si>
  <si>
    <t>207235_585 酒小売業</t>
  </si>
  <si>
    <t>586 菓子・パン小売業</t>
  </si>
  <si>
    <t>207236_586 菓子・パン小売業</t>
  </si>
  <si>
    <t>589 その他の飲食料品小売業</t>
  </si>
  <si>
    <t>207237_589 その他の飲食料品小売業</t>
  </si>
  <si>
    <t>58A 料理品小売業</t>
  </si>
  <si>
    <t>2072371_58A 料理品小売業</t>
  </si>
  <si>
    <t>58B 他に分類されない飲食料品小売業</t>
  </si>
  <si>
    <t>2072372_58B 他に分類されない飲食料品小売業</t>
  </si>
  <si>
    <t>59 機械器具小売業</t>
  </si>
  <si>
    <t>20724_59 機械器具小売業</t>
  </si>
  <si>
    <t>591 自動車小売業</t>
  </si>
  <si>
    <t>207241_591 自動車小売業</t>
  </si>
  <si>
    <t>592 自転車小売業</t>
  </si>
  <si>
    <t>207242_592 自転車小売業</t>
  </si>
  <si>
    <t>593 機械器具小売業（自動車，自転車を除く）</t>
  </si>
  <si>
    <t>207243_593 機械器具小売業（自動車，自転車を除く）</t>
  </si>
  <si>
    <t>60 その他の小売業</t>
  </si>
  <si>
    <t>20725_60 その他の小売業</t>
  </si>
  <si>
    <t>601 家具・建具・畳小売業</t>
  </si>
  <si>
    <t>207251_601 家具・建具・畳小売業</t>
  </si>
  <si>
    <t>602 じゅう器小売業</t>
  </si>
  <si>
    <t>207252_602 じゅう器小売業</t>
  </si>
  <si>
    <t>603 医薬品・化粧品小売業</t>
  </si>
  <si>
    <t>207253_603 医薬品・化粧品小売業</t>
  </si>
  <si>
    <t>604 農耕用品小売業</t>
  </si>
  <si>
    <t>207254_604 農耕用品小売業</t>
  </si>
  <si>
    <t>605 燃料小売業</t>
  </si>
  <si>
    <t>207255_605 燃料小売業</t>
  </si>
  <si>
    <t>606 書籍・文房具小売業</t>
  </si>
  <si>
    <t>207256_606 書籍・文房具小売業</t>
  </si>
  <si>
    <t>607 スポーツ用品・がん具・娯楽用品・楽器小売業</t>
  </si>
  <si>
    <t>207257_607 スポーツ用品・がん具・娯楽用品・楽器小売業</t>
  </si>
  <si>
    <t>60A スポーツ用品小売業</t>
  </si>
  <si>
    <t>2072571_60A スポーツ用品小売業</t>
  </si>
  <si>
    <t>60B がん具・娯楽用品小売業</t>
  </si>
  <si>
    <t>2072572_60B がん具・娯楽用品小売業</t>
  </si>
  <si>
    <t>60C 楽器小売業</t>
  </si>
  <si>
    <t>2072573_60C 楽器小売業</t>
  </si>
  <si>
    <t>608 写真機・時計・眼鏡小売業</t>
  </si>
  <si>
    <t>207258_608 写真機・時計・眼鏡小売業</t>
  </si>
  <si>
    <t>609 他に分類されない小売業</t>
  </si>
  <si>
    <t>207259_609 他に分類されない小売業</t>
  </si>
  <si>
    <t>60D 花・植木小売業</t>
  </si>
  <si>
    <t>2072591_60D 花・植木小売業</t>
  </si>
  <si>
    <t>60E ペット・ペット用品小売業</t>
  </si>
  <si>
    <t>2072592_60E ペット・ペット用品小売業</t>
  </si>
  <si>
    <t>60F 中古品小売業（他に分類されないもの）</t>
  </si>
  <si>
    <t>2072593_60F 中古品小売業（他に分類されないもの）</t>
  </si>
  <si>
    <t>60G 他に分類されないその他の小売業</t>
  </si>
  <si>
    <t>2072594_60G 他に分類されないその他の小売業</t>
  </si>
  <si>
    <t>61 無店舗小売業</t>
  </si>
  <si>
    <t>20726_61 無店舗小売業</t>
  </si>
  <si>
    <t>611 通信販売・訪問販売小売業</t>
  </si>
  <si>
    <t>207261_611 通信販売・訪問販売小売業</t>
  </si>
  <si>
    <t>612 自動販売機による小売業</t>
  </si>
  <si>
    <t>207262_612 自動販売機による小売業</t>
  </si>
  <si>
    <t>619 その他の無店舗小売業</t>
  </si>
  <si>
    <t>207263_619 その他の無店舗小売業</t>
  </si>
  <si>
    <t>J 金融業，保険業</t>
  </si>
  <si>
    <t>208_J 金融業，保険業</t>
  </si>
  <si>
    <t>62 銀行業</t>
  </si>
  <si>
    <t>20801_62 銀行業</t>
  </si>
  <si>
    <t>62X 銀行業</t>
  </si>
  <si>
    <t>208011_62X 銀行業</t>
  </si>
  <si>
    <t>63 協同組織金融業</t>
  </si>
  <si>
    <t>20802_63 協同組織金融業</t>
  </si>
  <si>
    <t>631 中小企業等金融業</t>
  </si>
  <si>
    <t>208021_631 中小企業等金融業</t>
  </si>
  <si>
    <t>632 農林水産金融業</t>
  </si>
  <si>
    <t>208022_632 農林水産金融業</t>
  </si>
  <si>
    <t>64 貸金業，クレジットカード業等非預金信用機関</t>
  </si>
  <si>
    <t>20803_64 貸金業，クレジットカード業等非預金信用機関</t>
  </si>
  <si>
    <t>641 貸金業</t>
  </si>
  <si>
    <t>208031_641 貸金業</t>
  </si>
  <si>
    <t>642 質屋</t>
  </si>
  <si>
    <t>208032_642 質屋</t>
  </si>
  <si>
    <t>643 クレジットカード業，割賦金融業</t>
  </si>
  <si>
    <t>208033_643 クレジットカード業，割賦金融業</t>
  </si>
  <si>
    <t>649 その他の非預金信用機関</t>
  </si>
  <si>
    <t>208034_649 その他の非預金信用機関</t>
  </si>
  <si>
    <t>65 金融商品取引業，商品先物取引業</t>
  </si>
  <si>
    <t>20804_65 金融商品取引業，商品先物取引業</t>
  </si>
  <si>
    <t>651 金融商品取引業</t>
  </si>
  <si>
    <t>208041_651 金融商品取引業</t>
  </si>
  <si>
    <t>652 商品先物取引業，商品投資顧問業</t>
  </si>
  <si>
    <t>208042_652 商品先物取引業，商品投資顧問業</t>
  </si>
  <si>
    <t>66 補助的金融業等</t>
  </si>
  <si>
    <t>20805_66 補助的金融業等</t>
  </si>
  <si>
    <t>661 補助的金融業，金融附帯業</t>
  </si>
  <si>
    <t>208051_661 補助的金融業，金融附帯業</t>
  </si>
  <si>
    <t>662 信託業</t>
  </si>
  <si>
    <t>208052_662 信託業</t>
  </si>
  <si>
    <t>663 金融代理業</t>
  </si>
  <si>
    <t>208053_663 金融代理業</t>
  </si>
  <si>
    <t>67 保険業（保険媒介代理業，保険サービス業を含む）</t>
  </si>
  <si>
    <t>20806_67 保険業（保険媒介代理業，保険サービス業を含む）</t>
  </si>
  <si>
    <t>671 生命保険業</t>
  </si>
  <si>
    <t>208061_671 生命保険業</t>
  </si>
  <si>
    <t>672 損害保険業</t>
  </si>
  <si>
    <t>208062_672 損害保険業</t>
  </si>
  <si>
    <t>673 共済事業，少額短期保険業</t>
  </si>
  <si>
    <t>208063_673 共済事業，少額短期保険業</t>
  </si>
  <si>
    <t>674 保険媒介代理業</t>
  </si>
  <si>
    <t>208064_674 保険媒介代理業</t>
  </si>
  <si>
    <t>675 保険サービス業</t>
  </si>
  <si>
    <t>208065_675 保険サービス業</t>
  </si>
  <si>
    <t>K 不動産業，物品賃貸業</t>
  </si>
  <si>
    <t>209_K 不動産業，物品賃貸業</t>
  </si>
  <si>
    <t>K1 不動産業</t>
  </si>
  <si>
    <t>2091_K1 不動産業</t>
  </si>
  <si>
    <t>68 不動産取引業</t>
  </si>
  <si>
    <t>20911_68 不動産取引業</t>
  </si>
  <si>
    <t>681 建物売買業，土地売買業</t>
  </si>
  <si>
    <t>209111_681 建物売買業，土地売買業</t>
  </si>
  <si>
    <t>682 不動産代理業・仲介業</t>
  </si>
  <si>
    <t>209112_682 不動産代理業・仲介業</t>
  </si>
  <si>
    <t>69 不動産賃貸業・管理業</t>
  </si>
  <si>
    <t>20912_69 不動産賃貸業・管理業</t>
  </si>
  <si>
    <t>691 不動産賃貸業（貸家業，貸間業を除く）</t>
  </si>
  <si>
    <t>209121_691 不動産賃貸業（貸家業，貸間業を除く）</t>
  </si>
  <si>
    <t>692 貸家業，貸間業</t>
  </si>
  <si>
    <t>209122_692 貸家業，貸間業</t>
  </si>
  <si>
    <t>693 駐車場業</t>
  </si>
  <si>
    <t>209123_693 駐車場業</t>
  </si>
  <si>
    <t>694 不動産管理業</t>
  </si>
  <si>
    <t>209124_694 不動産管理業</t>
  </si>
  <si>
    <t>K2 物品賃貸業</t>
  </si>
  <si>
    <t>2092_K2 物品賃貸業</t>
  </si>
  <si>
    <t>70 物品賃貸業</t>
  </si>
  <si>
    <t>20921_70 物品賃貸業</t>
  </si>
  <si>
    <t>701 各種物品賃貸業</t>
  </si>
  <si>
    <t>209211_701 各種物品賃貸業</t>
  </si>
  <si>
    <t>70C 総合リース業</t>
  </si>
  <si>
    <t>2092111_70C 総合リース業</t>
  </si>
  <si>
    <t>70D その他の各種物品賃貸業</t>
  </si>
  <si>
    <t>2092112_70D その他の各種物品賃貸業</t>
  </si>
  <si>
    <t>702 産業用機械器具賃貸業</t>
  </si>
  <si>
    <t>209212_702 産業用機械器具賃貸業</t>
  </si>
  <si>
    <t>703 事務用機械器具賃貸業</t>
  </si>
  <si>
    <t>209213_703 事務用機械器具賃貸業</t>
  </si>
  <si>
    <t>704 自動車賃貸業</t>
  </si>
  <si>
    <t>209214_704 自動車賃貸業</t>
  </si>
  <si>
    <t>705 スポーツ・娯楽用品賃貸業</t>
  </si>
  <si>
    <t>209215_705 スポーツ・娯楽用品賃貸業</t>
  </si>
  <si>
    <t>709 その他の物品賃貸業</t>
  </si>
  <si>
    <t>209216_709 その他の物品賃貸業</t>
  </si>
  <si>
    <t>70A 音楽・映像記録物賃貸業（別掲を除く）</t>
  </si>
  <si>
    <t>2092161_70A 音楽・映像記録物賃貸業（別掲を除く）</t>
  </si>
  <si>
    <t>70B 他に分類されない物品賃貸業</t>
  </si>
  <si>
    <t>2092162_70B 他に分類されない物品賃貸業</t>
  </si>
  <si>
    <t>L 学術研究，専門・技術サービス業</t>
  </si>
  <si>
    <t>210_L 学術研究，専門・技術サービス業</t>
  </si>
  <si>
    <t>71 学術・開発研究機関</t>
  </si>
  <si>
    <t>21001_71 学術・開発研究機関</t>
  </si>
  <si>
    <t>711 自然科学研究所</t>
  </si>
  <si>
    <t>210011_711 自然科学研究所</t>
  </si>
  <si>
    <t>712 人文・社会科学研究所</t>
  </si>
  <si>
    <t>210012_712 人文・社会科学研究所</t>
  </si>
  <si>
    <t>72 専門サービス業（他に分類されないもの）</t>
  </si>
  <si>
    <t>21002_72 専門サービス業（他に分類されないもの）</t>
  </si>
  <si>
    <t>721 法律事務所，特許事務所</t>
  </si>
  <si>
    <t>210021_721 法律事務所，特許事務所</t>
  </si>
  <si>
    <t>72A 法律事務所</t>
  </si>
  <si>
    <t>2100211_72A 法律事務所</t>
  </si>
  <si>
    <t>72B 特許事務所</t>
  </si>
  <si>
    <t>2100212_72B 特許事務所</t>
  </si>
  <si>
    <t>722 公証人役場，司法書士事務所，土地家屋調査士事務所</t>
  </si>
  <si>
    <t>210022_722 公証人役場，司法書士事務所，土地家屋調査士事務所</t>
  </si>
  <si>
    <t>72J 公証人役場，司法書士事務所</t>
  </si>
  <si>
    <t>2100221_72J 公証人役場，司法書士事務所</t>
  </si>
  <si>
    <t>72K 土地家屋調査士事務所</t>
  </si>
  <si>
    <t>2100222_72K 土地家屋調査士事務所</t>
  </si>
  <si>
    <t>723 行政書士事務所</t>
  </si>
  <si>
    <t>210023_723 行政書士事務所</t>
  </si>
  <si>
    <t>724 公認会計士事務所，税理士事務所</t>
  </si>
  <si>
    <t>210024_724 公認会計士事務所，税理士事務所</t>
  </si>
  <si>
    <t>72C 公認会計士事務所</t>
  </si>
  <si>
    <t>2100241_72C 公認会計士事務所</t>
  </si>
  <si>
    <t>72D 税理士事務所</t>
  </si>
  <si>
    <t>2100242_72D 税理士事務所</t>
  </si>
  <si>
    <t>725 社会保険労務士事務所</t>
  </si>
  <si>
    <t>210025_725 社会保険労務士事務所</t>
  </si>
  <si>
    <t>726 デザイン業</t>
  </si>
  <si>
    <t>210026_726 デザイン業</t>
  </si>
  <si>
    <t>728 経営コンサルタント業，純粋持株会社</t>
  </si>
  <si>
    <t>210027_728 経営コンサルタント業，純粋持株会社</t>
  </si>
  <si>
    <t>72E 経営コンサルタント業</t>
  </si>
  <si>
    <t>2100271_72E 経営コンサルタント業</t>
  </si>
  <si>
    <t>72F 純粋持株会社</t>
  </si>
  <si>
    <t>2100272_72F 純粋持株会社</t>
  </si>
  <si>
    <t>729 その他の専門サービス業</t>
  </si>
  <si>
    <t>210028_729 その他の専門サービス業</t>
  </si>
  <si>
    <t>72G 興信所</t>
  </si>
  <si>
    <t>2100281_72G 興信所</t>
  </si>
  <si>
    <t>72H 他に分類されない専門サービス業</t>
  </si>
  <si>
    <t>2100282_72H 他に分類されない専門サービス業</t>
  </si>
  <si>
    <t>73 広告業</t>
  </si>
  <si>
    <t>21003_73 広告業</t>
  </si>
  <si>
    <t>731 広告業</t>
  </si>
  <si>
    <t>210031_731 広告業</t>
  </si>
  <si>
    <t>74 技術サービス業（他に分類されないもの）</t>
  </si>
  <si>
    <t>21004_74 技術サービス業（他に分類されないもの）</t>
  </si>
  <si>
    <t>741 獣医業</t>
  </si>
  <si>
    <t>210041_741 獣医業</t>
  </si>
  <si>
    <t>742 土木建築サービス業</t>
  </si>
  <si>
    <t>210042_742 土木建築サービス業</t>
  </si>
  <si>
    <t>74A 建築設計業</t>
  </si>
  <si>
    <t>2100421_74A 建築設計業</t>
  </si>
  <si>
    <t>74B 測量業</t>
  </si>
  <si>
    <t>2100422_74B 測量業</t>
  </si>
  <si>
    <t>74C その他の土木建築サービス業</t>
  </si>
  <si>
    <t>2100423_74C その他の土木建築サービス業</t>
  </si>
  <si>
    <t>743 機械設計業</t>
  </si>
  <si>
    <t>210043_743 機械設計業</t>
  </si>
  <si>
    <t>744 商品・非破壊検査業</t>
  </si>
  <si>
    <t>210044_744 商品・非破壊検査業</t>
  </si>
  <si>
    <t>745 計量証明業</t>
  </si>
  <si>
    <t>210045_745 計量証明業</t>
  </si>
  <si>
    <t>746 写真業</t>
  </si>
  <si>
    <t>210046_746 写真業</t>
  </si>
  <si>
    <t>74D 写真業（商業写真業を除く）</t>
  </si>
  <si>
    <t>2100461_74D 写真業（商業写真業を除く）</t>
  </si>
  <si>
    <t>74E 商業写真業</t>
  </si>
  <si>
    <t>2100462_74E 商業写真業</t>
  </si>
  <si>
    <t>749 その他の技術サービス業</t>
  </si>
  <si>
    <t>210047_749 その他の技術サービス業</t>
  </si>
  <si>
    <t>M 宿泊業，飲食サービス業</t>
  </si>
  <si>
    <t>211_M 宿泊業，飲食サービス業</t>
  </si>
  <si>
    <t>M1 宿泊業</t>
  </si>
  <si>
    <t>2111_M1 宿泊業</t>
  </si>
  <si>
    <t>75 宿泊業</t>
  </si>
  <si>
    <t>21111_75 宿泊業</t>
  </si>
  <si>
    <t>751 旅館，ホテル</t>
  </si>
  <si>
    <t>211111_751 旅館，ホテル</t>
  </si>
  <si>
    <t>752 簡易宿所</t>
  </si>
  <si>
    <t>211112_752 簡易宿所</t>
  </si>
  <si>
    <t>753 下宿業</t>
  </si>
  <si>
    <t>211113_753 下宿業</t>
  </si>
  <si>
    <t>759 その他の宿泊業</t>
  </si>
  <si>
    <t>211114_759 その他の宿泊業</t>
  </si>
  <si>
    <t>75A 会社・団体の宿泊所</t>
  </si>
  <si>
    <t>2111141_75A 会社・団体の宿泊所</t>
  </si>
  <si>
    <t>75B 他に分類されない宿泊業</t>
  </si>
  <si>
    <t>2111142_75B 他に分類されない宿泊業</t>
  </si>
  <si>
    <t>M2 飲食店，持ち帰り・配達飲食サービス業</t>
  </si>
  <si>
    <t>2112_M2 飲食店，持ち帰り・配達飲食サービス業</t>
  </si>
  <si>
    <t>76 飲食店</t>
  </si>
  <si>
    <t>21121_76 飲食店</t>
  </si>
  <si>
    <t>761 食堂，レストラン（専門料理店を除く）</t>
  </si>
  <si>
    <t>211211_761 食堂，レストラン（専門料理店を除く）</t>
  </si>
  <si>
    <t>762 専門料理店</t>
  </si>
  <si>
    <t>211212_762 専門料理店</t>
  </si>
  <si>
    <t>76A 日本料理店</t>
  </si>
  <si>
    <t>2112121_76A 日本料理店</t>
  </si>
  <si>
    <t>76B 中華料理店</t>
  </si>
  <si>
    <t>2112122_76B 中華料理店</t>
  </si>
  <si>
    <t>76C 焼肉店</t>
  </si>
  <si>
    <t>2112123_76C 焼肉店</t>
  </si>
  <si>
    <t>76D その他の専門料理店</t>
  </si>
  <si>
    <t>2112124_76D その他の専門料理店</t>
  </si>
  <si>
    <t>763 そば・うどん店</t>
  </si>
  <si>
    <t>211213_763 そば・うどん店</t>
  </si>
  <si>
    <t>764 すし店</t>
  </si>
  <si>
    <t>211214_764 すし店</t>
  </si>
  <si>
    <t>765 酒場，ビヤホール</t>
  </si>
  <si>
    <t>211215_765 酒場，ビヤホール</t>
  </si>
  <si>
    <t>766 バー，キャバレー，ナイトクラブ</t>
  </si>
  <si>
    <t>211216_766 バー，キャバレー，ナイトクラブ</t>
  </si>
  <si>
    <t>767 喫茶店</t>
  </si>
  <si>
    <t>211217_767 喫茶店</t>
  </si>
  <si>
    <t>769 その他の飲食店</t>
  </si>
  <si>
    <t>211218_769 その他の飲食店</t>
  </si>
  <si>
    <t>76E ハンバーガー店</t>
  </si>
  <si>
    <t>2112181_76E ハンバーガー店</t>
  </si>
  <si>
    <t>76F お好み焼・焼きそば・たこ焼店</t>
  </si>
  <si>
    <t>2112182_76F お好み焼・焼きそば・たこ焼店</t>
  </si>
  <si>
    <t>76G 他に分類されない飲食店</t>
  </si>
  <si>
    <t>2112183_76G 他に分類されない飲食店</t>
  </si>
  <si>
    <t>77 持ち帰り・配達飲食サービス業</t>
  </si>
  <si>
    <t>21122_77 持ち帰り・配達飲食サービス業</t>
  </si>
  <si>
    <t>771 持ち帰り飲食サービス業</t>
  </si>
  <si>
    <t>211221_771 持ち帰り飲食サービス業</t>
  </si>
  <si>
    <t>772 配達飲食サービス業</t>
  </si>
  <si>
    <t>211222_772 配達飲食サービス業</t>
  </si>
  <si>
    <t>N 生活関連サービス業，娯楽業</t>
  </si>
  <si>
    <t>212_N 生活関連サービス業，娯楽業</t>
  </si>
  <si>
    <t>78 洗濯・理容・美容・浴場業</t>
  </si>
  <si>
    <t>21201_78 洗濯・理容・美容・浴場業</t>
  </si>
  <si>
    <t>781 洗濯業</t>
  </si>
  <si>
    <t>212011_781 洗濯業</t>
  </si>
  <si>
    <t>78A 普通洗濯業</t>
  </si>
  <si>
    <t>2120111_78A 普通洗濯業</t>
  </si>
  <si>
    <t>78B リネンサプライ業</t>
  </si>
  <si>
    <t>2120112_78B リネンサプライ業</t>
  </si>
  <si>
    <t>782 理容業</t>
  </si>
  <si>
    <t>212012_782 理容業</t>
  </si>
  <si>
    <t>783 美容業</t>
  </si>
  <si>
    <t>212013_783 美容業</t>
  </si>
  <si>
    <t>784 一般公衆浴場業</t>
  </si>
  <si>
    <t>212014_784 一般公衆浴場業</t>
  </si>
  <si>
    <t>785 その他の公衆浴場業</t>
  </si>
  <si>
    <t>212015_785 その他の公衆浴場業</t>
  </si>
  <si>
    <t>789 その他の洗濯・理容・美容・浴場業</t>
  </si>
  <si>
    <t>212016_789 その他の洗濯・理容・美容・浴場業</t>
  </si>
  <si>
    <t>78C 洗張・染物業</t>
  </si>
  <si>
    <t>2120161_78C 洗張・染物業</t>
  </si>
  <si>
    <t>78D 他に分類されない洗濯・理容・美容・浴場業</t>
  </si>
  <si>
    <t>2120162_78D 他に分類されない洗濯・理容・美容・浴場業</t>
  </si>
  <si>
    <t>79 その他の生活関連サービス業</t>
  </si>
  <si>
    <t>21202_79 その他の生活関連サービス業</t>
  </si>
  <si>
    <t>791 旅行業</t>
  </si>
  <si>
    <t>212021_791 旅行業</t>
  </si>
  <si>
    <t>793 衣服裁縫修理業</t>
  </si>
  <si>
    <t>212022_793 衣服裁縫修理業</t>
  </si>
  <si>
    <t>794 物品預り業</t>
  </si>
  <si>
    <t>212023_794 物品預り業</t>
  </si>
  <si>
    <t>795 火葬・墓地管理業</t>
  </si>
  <si>
    <t>212024_795 火葬・墓地管理業</t>
  </si>
  <si>
    <t>796 冠婚葬祭業</t>
  </si>
  <si>
    <t>212025_796 冠婚葬祭業</t>
  </si>
  <si>
    <t>79A 葬儀業</t>
  </si>
  <si>
    <t>2120251_79A 葬儀業</t>
  </si>
  <si>
    <t>79B 結婚式場業</t>
  </si>
  <si>
    <t>2120252_79B 結婚式場業</t>
  </si>
  <si>
    <t>79C 冠婚葬祭互助会</t>
  </si>
  <si>
    <t>2120253_79C 冠婚葬祭互助会</t>
  </si>
  <si>
    <t>799 他に分類されない生活関連サービス業</t>
  </si>
  <si>
    <t>212026_799 他に分類されない生活関連サービス業</t>
  </si>
  <si>
    <t>79D 写真プリント，現像・焼付業</t>
  </si>
  <si>
    <t>2120261_79D 写真プリント，現像・焼付業</t>
  </si>
  <si>
    <t>79E 他に分類されないその他の生活関連サービス業</t>
  </si>
  <si>
    <t>2120262_79E 他に分類されないその他の生活関連サービス業</t>
  </si>
  <si>
    <t>80 娯楽業</t>
  </si>
  <si>
    <t>21203_80 娯楽業</t>
  </si>
  <si>
    <t>801 映画館</t>
  </si>
  <si>
    <t>212031_801 映画館</t>
  </si>
  <si>
    <t>802 興行場（別掲を除く），興行団</t>
  </si>
  <si>
    <t>212032_802 興行場（別掲を除く），興行団</t>
  </si>
  <si>
    <t>803 競輪・競馬等の競走場，競技団</t>
  </si>
  <si>
    <t>212033_803 競輪・競馬等の競走場，競技団</t>
  </si>
  <si>
    <t>804 スポーツ施設提供業</t>
  </si>
  <si>
    <t>212034_804 スポーツ施設提供業</t>
  </si>
  <si>
    <t>80A スポーツ施設提供業（別掲を除く）</t>
  </si>
  <si>
    <t>2120341_80A スポーツ施設提供業（別掲を除く）</t>
  </si>
  <si>
    <t>80B 体育館</t>
  </si>
  <si>
    <t>2120342_80B 体育館</t>
  </si>
  <si>
    <t>80C ゴルフ場</t>
  </si>
  <si>
    <t>2120343_80C ゴルフ場</t>
  </si>
  <si>
    <t>80D ゴルフ練習場</t>
  </si>
  <si>
    <t>2120344_80D ゴルフ練習場</t>
  </si>
  <si>
    <t>80E ボウリング場</t>
  </si>
  <si>
    <t>2120345_80E ボウリング場</t>
  </si>
  <si>
    <t>80F テニス場</t>
  </si>
  <si>
    <t>2120346_80F テニス場</t>
  </si>
  <si>
    <t>80G バッティング・テニス練習場</t>
  </si>
  <si>
    <t>2120347_80G バッティング・テニス練習場</t>
  </si>
  <si>
    <t>80H フィットネスクラブ</t>
  </si>
  <si>
    <t>2120348_80H フィットネスクラブ</t>
  </si>
  <si>
    <t>805 公園，遊園地</t>
  </si>
  <si>
    <t>212035_805 公園，遊園地</t>
  </si>
  <si>
    <t>806 遊戯場</t>
  </si>
  <si>
    <t>212036_806 遊戯場</t>
  </si>
  <si>
    <t>80J マージャンクラブ</t>
  </si>
  <si>
    <t>2120361_80J マージャンクラブ</t>
  </si>
  <si>
    <t>80K パチンコホール</t>
  </si>
  <si>
    <t>2120362_80K パチンコホール</t>
  </si>
  <si>
    <t>80L ゲームセンター</t>
  </si>
  <si>
    <t>2120363_80L ゲームセンター</t>
  </si>
  <si>
    <t>80M その他の遊戯場</t>
  </si>
  <si>
    <t>2120364_80M その他の遊戯場</t>
  </si>
  <si>
    <t>809 その他の娯楽業</t>
  </si>
  <si>
    <t>212037_809 その他の娯楽業</t>
  </si>
  <si>
    <t>80N カラオケボックス業</t>
  </si>
  <si>
    <t>2120371_80N カラオケボックス業</t>
  </si>
  <si>
    <t>80Q 娯楽に附帯するサービス業</t>
  </si>
  <si>
    <t>2120372_80Q 娯楽に附帯するサービス業</t>
  </si>
  <si>
    <t>80R 他に分類されない娯楽業</t>
  </si>
  <si>
    <t>2120373_80R 他に分類されない娯楽業</t>
  </si>
  <si>
    <t>O 教育，学習支援業</t>
  </si>
  <si>
    <t>213_O 教育，学習支援業</t>
  </si>
  <si>
    <t>O1 教育，学習支援業（学校教育）</t>
  </si>
  <si>
    <t>2131_O1 教育，学習支援業（学校教育）</t>
  </si>
  <si>
    <t>81 学校教育</t>
  </si>
  <si>
    <t>21311_81 学校教育</t>
  </si>
  <si>
    <t>811 幼稚園</t>
  </si>
  <si>
    <t>213111_811 幼稚園</t>
  </si>
  <si>
    <t>812 小学校</t>
  </si>
  <si>
    <t>213112_812 小学校</t>
  </si>
  <si>
    <t>813 中学校</t>
  </si>
  <si>
    <t>213113_813 中学校</t>
  </si>
  <si>
    <t>814 高等学校，中等教育学校</t>
  </si>
  <si>
    <t>213114_814 高等学校，中等教育学校</t>
  </si>
  <si>
    <t>815 特別支援学校</t>
  </si>
  <si>
    <t>213115_815 特別支援学校</t>
  </si>
  <si>
    <t>816 高等教育機関</t>
  </si>
  <si>
    <t>213116_816 高等教育機関</t>
  </si>
  <si>
    <t>817 専修学校，各種学校</t>
  </si>
  <si>
    <t>213117_817 専修学校，各種学校</t>
  </si>
  <si>
    <t>81A 専修学校</t>
  </si>
  <si>
    <t>2131171_81A 専修学校</t>
  </si>
  <si>
    <t>81B 各種学校</t>
  </si>
  <si>
    <t>2131172_81B 各種学校</t>
  </si>
  <si>
    <t>818 学校教育支援機関</t>
  </si>
  <si>
    <t>213118_818 学校教育支援機関</t>
  </si>
  <si>
    <t>819 幼保連携型認定こども園</t>
  </si>
  <si>
    <t>213119_819 幼保連携型認定こども園</t>
  </si>
  <si>
    <t>O2 教育，学習支援業（その他の教育，学習支援業）</t>
  </si>
  <si>
    <t>2132_O2 教育，学習支援業（その他の教育，学習支援業）</t>
  </si>
  <si>
    <t>82 その他の教育，学習支援業</t>
  </si>
  <si>
    <t>21321_82 その他の教育，学習支援業</t>
  </si>
  <si>
    <t>821 社会教育</t>
  </si>
  <si>
    <t>213211_821 社会教育</t>
  </si>
  <si>
    <t>82A 公民館</t>
  </si>
  <si>
    <t>2132111_82A 公民館</t>
  </si>
  <si>
    <t>82B 図書館</t>
  </si>
  <si>
    <t>2132112_82B 図書館</t>
  </si>
  <si>
    <t>82C 博物館，美術館</t>
  </si>
  <si>
    <t>2132113_82C 博物館，美術館</t>
  </si>
  <si>
    <t>82D 動物園，植物園，水族館</t>
  </si>
  <si>
    <t>2132114_82D 動物園，植物園，水族館</t>
  </si>
  <si>
    <t>82N 社会通信教育</t>
  </si>
  <si>
    <t>2132115_82N 社会通信教育</t>
  </si>
  <si>
    <t>82P その他の社会教育</t>
  </si>
  <si>
    <t>2132116_82P その他の社会教育</t>
  </si>
  <si>
    <t>822 職業・教育支援施設</t>
  </si>
  <si>
    <t>213212_822 職業・教育支援施設</t>
  </si>
  <si>
    <t>823 学習塾</t>
  </si>
  <si>
    <t>213213_823 学習塾</t>
  </si>
  <si>
    <t>824 教養・技能教授業</t>
  </si>
  <si>
    <t>213214_824 教養・技能教授業</t>
  </si>
  <si>
    <t>82F 音楽教授業</t>
  </si>
  <si>
    <t>2132141_82F 音楽教授業</t>
  </si>
  <si>
    <t>82G 書道教授業</t>
  </si>
  <si>
    <t>2132142_82G 書道教授業</t>
  </si>
  <si>
    <t>82H 生花・茶道教授業</t>
  </si>
  <si>
    <t>2132143_82H 生花・茶道教授業</t>
  </si>
  <si>
    <t>82J そろばん教授業</t>
  </si>
  <si>
    <t>2132144_82J そろばん教授業</t>
  </si>
  <si>
    <t>82K 外国語会話教授業</t>
  </si>
  <si>
    <t>2132145_82K 外国語会話教授業</t>
  </si>
  <si>
    <t>82L スポーツ・健康教授業</t>
  </si>
  <si>
    <t>2132146_82L スポーツ・健康教授業</t>
  </si>
  <si>
    <t>82M その他の教養・技能教授業</t>
  </si>
  <si>
    <t>2132147_82M その他の教養・技能教授業</t>
  </si>
  <si>
    <t>829 他に分類されない教育，学習支援業</t>
  </si>
  <si>
    <t>213215_829 他に分類されない教育，学習支援業</t>
  </si>
  <si>
    <t>P 医療，福祉</t>
  </si>
  <si>
    <t>214_P 医療，福祉</t>
  </si>
  <si>
    <t>83 医療業</t>
  </si>
  <si>
    <t>21401_83 医療業</t>
  </si>
  <si>
    <t>831 病院</t>
  </si>
  <si>
    <t>214011_831 病院</t>
  </si>
  <si>
    <t>832 一般診療所</t>
  </si>
  <si>
    <t>214012_832 一般診療所</t>
  </si>
  <si>
    <t>833 歯科診療所</t>
  </si>
  <si>
    <t>214013_833 歯科診療所</t>
  </si>
  <si>
    <t>834 助産・看護業</t>
  </si>
  <si>
    <t>214014_834 助産・看護業</t>
  </si>
  <si>
    <t>83A 助産所</t>
  </si>
  <si>
    <t>2140141_83A 助産所</t>
  </si>
  <si>
    <t>83B 看護業</t>
  </si>
  <si>
    <t>2140142_83B 看護業</t>
  </si>
  <si>
    <t>835 療術業</t>
  </si>
  <si>
    <t>214015_835 療術業</t>
  </si>
  <si>
    <t>836 医療に附帯するサービス業</t>
  </si>
  <si>
    <t>214016_836 医療に附帯するサービス業</t>
  </si>
  <si>
    <t>83C 歯科技工所</t>
  </si>
  <si>
    <t>2140161_83C 歯科技工所</t>
  </si>
  <si>
    <t>83D その他の医療に附帯するサービス業</t>
  </si>
  <si>
    <t>2140162_83D その他の医療に附帯するサービス業</t>
  </si>
  <si>
    <t>84 保健衛生</t>
  </si>
  <si>
    <t>21402_84 保健衛生</t>
  </si>
  <si>
    <t>842 健康相談施設</t>
  </si>
  <si>
    <t>214021_842 健康相談施設</t>
  </si>
  <si>
    <t>849 その他の保健衛生</t>
  </si>
  <si>
    <t>214022_849 その他の保健衛生</t>
  </si>
  <si>
    <t>85 社会保険・社会福祉・介護事業</t>
  </si>
  <si>
    <t>21403_85 社会保険・社会福祉・介護事業</t>
  </si>
  <si>
    <t>851 社会保険事業団体</t>
  </si>
  <si>
    <t>214031_851 社会保険事業団体</t>
  </si>
  <si>
    <t>853 児童福祉事業</t>
  </si>
  <si>
    <t>214032_853 児童福祉事業</t>
  </si>
  <si>
    <t>85A 保育所</t>
  </si>
  <si>
    <t>2140321_85A 保育所</t>
  </si>
  <si>
    <t>85B その他の児童福祉事業</t>
  </si>
  <si>
    <t>2140322_85B その他の児童福祉事業</t>
  </si>
  <si>
    <t>854 老人福祉・介護事業</t>
  </si>
  <si>
    <t>214033_854 老人福祉・介護事業</t>
  </si>
  <si>
    <t>85C 特別養護老人ホーム</t>
  </si>
  <si>
    <t>2140331_85C 特別養護老人ホーム</t>
  </si>
  <si>
    <t>85D 介護老人保健施設</t>
  </si>
  <si>
    <t>2140332_85D 介護老人保健施設</t>
  </si>
  <si>
    <t>85E 通所・短期入所介護事業</t>
  </si>
  <si>
    <t>2140333_85E 通所・短期入所介護事業</t>
  </si>
  <si>
    <t>85F 訪問介護事業</t>
  </si>
  <si>
    <t>2140334_85F 訪問介護事業</t>
  </si>
  <si>
    <t>85G 認知症老人グループホーム</t>
  </si>
  <si>
    <t>2140335_85G 認知症老人グループホーム</t>
  </si>
  <si>
    <t>85H 有料老人ホーム</t>
  </si>
  <si>
    <t>2140336_85H 有料老人ホーム</t>
  </si>
  <si>
    <t>85J その他の老人福祉・介護事業</t>
  </si>
  <si>
    <t>2140337_85J その他の老人福祉・介護事業</t>
  </si>
  <si>
    <t>855 障害者福祉事業</t>
  </si>
  <si>
    <t>214034_855 障害者福祉事業</t>
  </si>
  <si>
    <t>859 その他の社会保険・社会福祉・介護事業</t>
  </si>
  <si>
    <t>214035_859 その他の社会保険・社会福祉・介護事業</t>
  </si>
  <si>
    <t>85K 更生保護事業</t>
  </si>
  <si>
    <t>2140351_85K 更生保護事業</t>
  </si>
  <si>
    <t>85L 他に分類されない社会保険・社会福祉・介護事業</t>
  </si>
  <si>
    <t>2140352_85L 他に分類されない社会保険・社会福祉・介護事業</t>
  </si>
  <si>
    <t>Q 複合サービス事業</t>
  </si>
  <si>
    <t>215_Q 複合サービス事業</t>
  </si>
  <si>
    <t>Q1 複合サービス事業（郵便局）</t>
  </si>
  <si>
    <t>2151_Q1 複合サービス事業（郵便局）</t>
  </si>
  <si>
    <t>86 郵便局</t>
  </si>
  <si>
    <t>21511_86 郵便局</t>
  </si>
  <si>
    <t>86X 郵便局・郵便局受託業</t>
  </si>
  <si>
    <t>215111_86X 郵便局・郵便局受託業</t>
  </si>
  <si>
    <t>Q2 複合サービス事業（協同組合）</t>
  </si>
  <si>
    <t>2152_Q2 複合サービス事業（協同組合）</t>
  </si>
  <si>
    <t>87 協同組合（他に分類されないもの）</t>
  </si>
  <si>
    <t>21521_87 協同組合（他に分類されないもの）</t>
  </si>
  <si>
    <t>871 農林水産業協同組合（他に分類されないもの）</t>
  </si>
  <si>
    <t>215211_871 農林水産業協同組合（他に分類されないもの）</t>
  </si>
  <si>
    <t>872 事業協同組合（他に分類されないもの）</t>
  </si>
  <si>
    <t>215212_872 事業協同組合（他に分類されないもの）</t>
  </si>
  <si>
    <t>R サービス業（他に分類されないもの）</t>
  </si>
  <si>
    <t>216_R サービス業（他に分類されないもの）</t>
  </si>
  <si>
    <t>R2 サービス業（政治・経済・文化団体，宗教を除く）</t>
  </si>
  <si>
    <t>2161_R2 サービス業（政治・経済・文化団体，宗教を除く）</t>
  </si>
  <si>
    <t>88 廃棄物処理業</t>
  </si>
  <si>
    <t>21611_88 廃棄物処理業</t>
  </si>
  <si>
    <t>881 一般廃棄物処理業</t>
  </si>
  <si>
    <t>216111_881 一般廃棄物処理業</t>
  </si>
  <si>
    <t>882 産業廃棄物処理業</t>
  </si>
  <si>
    <t>216112_882 産業廃棄物処理業</t>
  </si>
  <si>
    <t>889 その他の廃棄物処理業</t>
  </si>
  <si>
    <t>216113_889 その他の廃棄物処理業</t>
  </si>
  <si>
    <t>89 自動車整備業</t>
  </si>
  <si>
    <t>21612_89 自動車整備業</t>
  </si>
  <si>
    <t>891 自動車整備業</t>
  </si>
  <si>
    <t>216121_891 自動車整備業</t>
  </si>
  <si>
    <t>90 機械等修理業（別掲を除く）</t>
  </si>
  <si>
    <t>21613_90 機械等修理業（別掲を除く）</t>
  </si>
  <si>
    <t>901 機械修理業（電気機械器具を除く）</t>
  </si>
  <si>
    <t>216131_901 機械修理業（電気機械器具を除く）</t>
  </si>
  <si>
    <t>902 電気機械器具修理業</t>
  </si>
  <si>
    <t>216132_902 電気機械器具修理業</t>
  </si>
  <si>
    <t>903 表具業</t>
  </si>
  <si>
    <t>216133_903 表具業</t>
  </si>
  <si>
    <t>909 その他の修理業</t>
  </si>
  <si>
    <t>216134_909 その他の修理業</t>
  </si>
  <si>
    <t>91 職業紹介・労働者派遣業</t>
  </si>
  <si>
    <t>21614_91 職業紹介・労働者派遣業</t>
  </si>
  <si>
    <t>911 職業紹介業</t>
  </si>
  <si>
    <t>216141_911 職業紹介業</t>
  </si>
  <si>
    <t>912 労働者派遣業</t>
  </si>
  <si>
    <t>216142_912 労働者派遣業</t>
  </si>
  <si>
    <t>92 その他の事業サービス業</t>
  </si>
  <si>
    <t>21615_92 その他の事業サービス業</t>
  </si>
  <si>
    <t>921 速記・ワープロ入力・複写業</t>
  </si>
  <si>
    <t>216151_921 速記・ワープロ入力・複写業</t>
  </si>
  <si>
    <t>922 建物サービス業</t>
  </si>
  <si>
    <t>216152_922 建物サービス業</t>
  </si>
  <si>
    <t>92A ビルメンテナンス業</t>
  </si>
  <si>
    <t>2161521_92A ビルメンテナンス業</t>
  </si>
  <si>
    <t>92B その他の建物サービス業</t>
  </si>
  <si>
    <t>2161522_92B その他の建物サービス業</t>
  </si>
  <si>
    <t>923 警備業</t>
  </si>
  <si>
    <t>216153_923 警備業</t>
  </si>
  <si>
    <t>929 他に分類されない事業サービス業</t>
  </si>
  <si>
    <t>216154_929 他に分類されない事業サービス業</t>
  </si>
  <si>
    <t>95 その他のサービス業</t>
  </si>
  <si>
    <t>21616_95 その他のサービス業</t>
  </si>
  <si>
    <t>951 集会場</t>
  </si>
  <si>
    <t>216161_951 集会場</t>
  </si>
  <si>
    <t>952 と畜場</t>
  </si>
  <si>
    <t>216162_952 と畜場</t>
  </si>
  <si>
    <t>959 他に分類されないサービス業</t>
  </si>
  <si>
    <t>216163_959 他に分類されないサービス業</t>
  </si>
  <si>
    <t>0</t>
  </si>
  <si>
    <t>スポーツ関連産業1</t>
    <rPh sb="4" eb="6">
      <t>カンレン</t>
    </rPh>
    <rPh sb="6" eb="8">
      <t>サンギョウ</t>
    </rPh>
    <phoneticPr fontId="1"/>
  </si>
  <si>
    <t>第９－２表　産業(小分類)、経営組織(5区分)別全事業所数、男女別従業者数及び常用雇用者数－全国、都道府県、市区町村：全国</t>
  </si>
  <si>
    <t>地域識別コード</t>
    <phoneticPr fontId="13"/>
  </si>
  <si>
    <t>産業大分類</t>
    <phoneticPr fontId="13"/>
  </si>
  <si>
    <t>00000_全国</t>
  </si>
  <si>
    <t>-</t>
  </si>
  <si>
    <t>全国</t>
    <rPh sb="0" eb="2">
      <t>ゼンコク</t>
    </rPh>
    <phoneticPr fontId="1"/>
  </si>
  <si>
    <t>割合（％）</t>
    <rPh sb="0" eb="2">
      <t>ワリアイ</t>
    </rPh>
    <phoneticPr fontId="1"/>
  </si>
  <si>
    <t>スポーツ関連産業</t>
    <rPh sb="4" eb="6">
      <t>カンレン</t>
    </rPh>
    <rPh sb="6" eb="8">
      <t>サンギョウ</t>
    </rPh>
    <phoneticPr fontId="1"/>
  </si>
  <si>
    <t>　</t>
    <phoneticPr fontId="1"/>
  </si>
  <si>
    <t>兵庫県比</t>
    <rPh sb="0" eb="3">
      <t>ヒョウゴケン</t>
    </rPh>
    <rPh sb="3" eb="4">
      <t>ヒ</t>
    </rPh>
    <phoneticPr fontId="1"/>
  </si>
  <si>
    <t>兵庫県</t>
    <rPh sb="0" eb="3">
      <t>ヒョウゴケン</t>
    </rPh>
    <phoneticPr fontId="1"/>
  </si>
  <si>
    <t>備考</t>
    <rPh sb="0" eb="2">
      <t>ビコウ</t>
    </rPh>
    <phoneticPr fontId="1"/>
  </si>
  <si>
    <t xml:space="preserve"> </t>
    <phoneticPr fontId="1"/>
  </si>
  <si>
    <t>平成27年兵庫県産業連関表部門分類</t>
    <rPh sb="0" eb="2">
      <t>ヘイセイ</t>
    </rPh>
    <rPh sb="4" eb="5">
      <t>ネン</t>
    </rPh>
    <rPh sb="5" eb="8">
      <t>ヒョウゴケン</t>
    </rPh>
    <rPh sb="8" eb="10">
      <t>サンギョウ</t>
    </rPh>
    <rPh sb="10" eb="13">
      <t>レンカンヒョウ</t>
    </rPh>
    <rPh sb="13" eb="15">
      <t>ブモン</t>
    </rPh>
    <rPh sb="15" eb="17">
      <t>ブンルイ</t>
    </rPh>
    <phoneticPr fontId="15"/>
  </si>
  <si>
    <t>統　合　部　門　分　類</t>
    <phoneticPr fontId="14"/>
  </si>
  <si>
    <t>基本分類（508行×389列）</t>
    <rPh sb="0" eb="2">
      <t>キホン</t>
    </rPh>
    <rPh sb="2" eb="4">
      <t>ブンルイ</t>
    </rPh>
    <rPh sb="8" eb="9">
      <t>ギョウ</t>
    </rPh>
    <rPh sb="13" eb="14">
      <t>レツ</t>
    </rPh>
    <phoneticPr fontId="15"/>
  </si>
  <si>
    <t>ｺｰﾄﾞ</t>
  </si>
  <si>
    <t>部　　門　　名</t>
  </si>
  <si>
    <t>H27国CT</t>
    <rPh sb="3" eb="4">
      <t>クニ</t>
    </rPh>
    <phoneticPr fontId="5"/>
  </si>
  <si>
    <t>兵庫県（ＣＴ）</t>
  </si>
  <si>
    <t>列</t>
  </si>
  <si>
    <t>行</t>
  </si>
  <si>
    <t>細品目</t>
  </si>
  <si>
    <t>0111-01</t>
  </si>
  <si>
    <t>米</t>
  </si>
  <si>
    <t>0111-011</t>
  </si>
  <si>
    <t>　玄米（種子を含む食用）</t>
    <rPh sb="4" eb="6">
      <t>シュシ</t>
    </rPh>
    <rPh sb="7" eb="8">
      <t>フク</t>
    </rPh>
    <rPh sb="9" eb="11">
      <t>ショクヨウ</t>
    </rPh>
    <phoneticPr fontId="14"/>
  </si>
  <si>
    <t>002</t>
    <phoneticPr fontId="14"/>
  </si>
  <si>
    <t>　玄米（種子を除く非食用）</t>
    <rPh sb="1" eb="3">
      <t>ゲンマイ</t>
    </rPh>
    <rPh sb="4" eb="6">
      <t>シュシ</t>
    </rPh>
    <rPh sb="7" eb="8">
      <t>ノゾ</t>
    </rPh>
    <rPh sb="9" eb="10">
      <t>ヒ</t>
    </rPh>
    <rPh sb="10" eb="12">
      <t>ショクヨウ</t>
    </rPh>
    <phoneticPr fontId="14"/>
  </si>
  <si>
    <t>003</t>
    <phoneticPr fontId="14"/>
  </si>
  <si>
    <t>　くず米</t>
  </si>
  <si>
    <t>0111-012</t>
  </si>
  <si>
    <t>0111-02</t>
    <phoneticPr fontId="15"/>
  </si>
  <si>
    <t>麦類</t>
  </si>
  <si>
    <t>0111-021</t>
  </si>
  <si>
    <t>0111-022</t>
    <phoneticPr fontId="5"/>
  </si>
  <si>
    <t>　六条大麦</t>
    <phoneticPr fontId="14"/>
  </si>
  <si>
    <t>002</t>
  </si>
  <si>
    <t>　二条大麦（ビール麦）</t>
    <rPh sb="9" eb="10">
      <t>ムギ</t>
    </rPh>
    <phoneticPr fontId="14"/>
  </si>
  <si>
    <t>003</t>
  </si>
  <si>
    <t>　裸麦</t>
    <phoneticPr fontId="14"/>
  </si>
  <si>
    <t>0112-01</t>
    <phoneticPr fontId="15"/>
  </si>
  <si>
    <t>いも類</t>
  </si>
  <si>
    <t>0112-011</t>
  </si>
  <si>
    <t>0112-012</t>
  </si>
  <si>
    <t>0112-02</t>
    <phoneticPr fontId="15"/>
  </si>
  <si>
    <t>豆類</t>
  </si>
  <si>
    <t>0112-021</t>
  </si>
  <si>
    <t>0112-029</t>
  </si>
  <si>
    <t>001</t>
    <phoneticPr fontId="14"/>
  </si>
  <si>
    <t>　いんげん豆</t>
    <phoneticPr fontId="14"/>
  </si>
  <si>
    <t>　小豆</t>
  </si>
  <si>
    <t>　らっかせい</t>
  </si>
  <si>
    <t>099</t>
    <phoneticPr fontId="14"/>
  </si>
  <si>
    <t>　その他の豆類</t>
  </si>
  <si>
    <t>0113-001</t>
    <phoneticPr fontId="14"/>
  </si>
  <si>
    <t>0113-01</t>
    <phoneticPr fontId="14"/>
  </si>
  <si>
    <t>野菜（露地）</t>
  </si>
  <si>
    <t>　カボチャ（露地）</t>
  </si>
  <si>
    <t>102</t>
  </si>
  <si>
    <t>　ピーマン（露地）</t>
  </si>
  <si>
    <t>103</t>
  </si>
  <si>
    <t>　キュウリ（露地）</t>
  </si>
  <si>
    <t>104</t>
  </si>
  <si>
    <t>　メロン（露地）</t>
    <phoneticPr fontId="14"/>
  </si>
  <si>
    <t>105</t>
  </si>
  <si>
    <t>　スイカ（露地）</t>
  </si>
  <si>
    <t>106</t>
  </si>
  <si>
    <t>　なす（露地）</t>
  </si>
  <si>
    <t>107</t>
  </si>
  <si>
    <t>　トマト（露地）</t>
  </si>
  <si>
    <t>108</t>
  </si>
  <si>
    <t>　いちご（露地）</t>
    <phoneticPr fontId="14"/>
  </si>
  <si>
    <t>109</t>
  </si>
  <si>
    <t>　サヤエンドウ（露地）</t>
    <rPh sb="8" eb="10">
      <t>ロジ</t>
    </rPh>
    <phoneticPr fontId="14"/>
  </si>
  <si>
    <t>110</t>
  </si>
  <si>
    <t>　スイートコーン</t>
    <phoneticPr fontId="14"/>
  </si>
  <si>
    <t>111</t>
  </si>
  <si>
    <t>　エダマメ</t>
    <phoneticPr fontId="14"/>
  </si>
  <si>
    <t>112</t>
  </si>
  <si>
    <t>　サヤインゲン（露地）</t>
    <rPh sb="8" eb="10">
      <t>ロジ</t>
    </rPh>
    <phoneticPr fontId="14"/>
  </si>
  <si>
    <t>199</t>
  </si>
  <si>
    <t>　その他の果菜類（露地）</t>
    <rPh sb="9" eb="11">
      <t>ロジ</t>
    </rPh>
    <phoneticPr fontId="14"/>
  </si>
  <si>
    <t>201</t>
  </si>
  <si>
    <t>　キャベツ</t>
  </si>
  <si>
    <t>202</t>
  </si>
  <si>
    <t>　はくさい</t>
  </si>
  <si>
    <t>203</t>
    <phoneticPr fontId="14"/>
  </si>
  <si>
    <t>　ほうれんそう（露地）</t>
    <rPh sb="8" eb="10">
      <t>ロジ</t>
    </rPh>
    <phoneticPr fontId="14"/>
  </si>
  <si>
    <t>204</t>
    <phoneticPr fontId="14"/>
  </si>
  <si>
    <t>　ねぎ（露地）</t>
    <rPh sb="4" eb="6">
      <t>ロジ</t>
    </rPh>
    <phoneticPr fontId="14"/>
  </si>
  <si>
    <t>205</t>
    <phoneticPr fontId="14"/>
  </si>
  <si>
    <t>　たまねぎ</t>
    <phoneticPr fontId="14"/>
  </si>
  <si>
    <t>206</t>
    <phoneticPr fontId="14"/>
  </si>
  <si>
    <t>　にら(露地）</t>
    <phoneticPr fontId="14"/>
  </si>
  <si>
    <t>207</t>
    <phoneticPr fontId="14"/>
  </si>
  <si>
    <t>　みつば(露地）</t>
    <phoneticPr fontId="14"/>
  </si>
  <si>
    <t>208</t>
    <phoneticPr fontId="14"/>
  </si>
  <si>
    <t>　春菊(露地）</t>
    <phoneticPr fontId="14"/>
  </si>
  <si>
    <t>209</t>
    <phoneticPr fontId="14"/>
  </si>
  <si>
    <t>　にんにく</t>
  </si>
  <si>
    <t>210</t>
    <phoneticPr fontId="14"/>
  </si>
  <si>
    <t>　レタス（露地）</t>
  </si>
  <si>
    <t>211</t>
    <phoneticPr fontId="14"/>
  </si>
  <si>
    <t>　セルリー(露地）</t>
    <phoneticPr fontId="14"/>
  </si>
  <si>
    <t>212</t>
    <phoneticPr fontId="14"/>
  </si>
  <si>
    <t>　カリフラワー</t>
  </si>
  <si>
    <t>213</t>
    <phoneticPr fontId="14"/>
  </si>
  <si>
    <t>　ブロッコリー</t>
  </si>
  <si>
    <t>214</t>
  </si>
  <si>
    <t>　こまつな（露地）</t>
    <rPh sb="6" eb="8">
      <t>ロジ</t>
    </rPh>
    <phoneticPr fontId="14"/>
  </si>
  <si>
    <t>215</t>
  </si>
  <si>
    <t>　アスパラガス（露地）</t>
    <rPh sb="8" eb="10">
      <t>ロジ</t>
    </rPh>
    <phoneticPr fontId="14"/>
  </si>
  <si>
    <t>216</t>
  </si>
  <si>
    <t>　ふき（露地）</t>
    <rPh sb="4" eb="6">
      <t>ロジ</t>
    </rPh>
    <phoneticPr fontId="14"/>
  </si>
  <si>
    <t>217</t>
    <phoneticPr fontId="14"/>
  </si>
  <si>
    <t>　たけのこ</t>
  </si>
  <si>
    <t>218</t>
  </si>
  <si>
    <t>　ちんげんさい（露地）</t>
    <rPh sb="8" eb="10">
      <t>ロジ</t>
    </rPh>
    <phoneticPr fontId="14"/>
  </si>
  <si>
    <t>299</t>
  </si>
  <si>
    <t>　その他の葉茎菜類（露地）</t>
    <rPh sb="10" eb="12">
      <t>ロジ</t>
    </rPh>
    <phoneticPr fontId="14"/>
  </si>
  <si>
    <t>301</t>
  </si>
  <si>
    <t>　大根</t>
  </si>
  <si>
    <t>302</t>
  </si>
  <si>
    <t>　かぶ</t>
  </si>
  <si>
    <t>303</t>
  </si>
  <si>
    <t>　人参</t>
  </si>
  <si>
    <t>304</t>
  </si>
  <si>
    <t>　ゴボウ</t>
  </si>
  <si>
    <t>305</t>
  </si>
  <si>
    <t>　さといも</t>
  </si>
  <si>
    <t>306</t>
  </si>
  <si>
    <t>　やまのいも</t>
  </si>
  <si>
    <t>307</t>
  </si>
  <si>
    <t>　レンコン</t>
  </si>
  <si>
    <t>308</t>
  </si>
  <si>
    <t>　ショウガ</t>
  </si>
  <si>
    <t>399</t>
  </si>
  <si>
    <t>　その他の根菜類</t>
    <phoneticPr fontId="14"/>
  </si>
  <si>
    <r>
      <t>0113-02</t>
    </r>
    <r>
      <rPr>
        <b/>
        <sz val="10"/>
        <rFont val="Arial"/>
        <family val="2"/>
      </rPr>
      <t/>
    </r>
  </si>
  <si>
    <t>野菜（施設）</t>
  </si>
  <si>
    <t>　かぼちゃ（施設）</t>
    <phoneticPr fontId="14"/>
  </si>
  <si>
    <t>　ピーマン（施設）</t>
    <phoneticPr fontId="14"/>
  </si>
  <si>
    <t>　きゅうり（施設）</t>
    <phoneticPr fontId="14"/>
  </si>
  <si>
    <t>　メロン（施設）</t>
    <phoneticPr fontId="14"/>
  </si>
  <si>
    <t>　すいか（施設）</t>
    <phoneticPr fontId="14"/>
  </si>
  <si>
    <t>　なす（施設）</t>
    <phoneticPr fontId="14"/>
  </si>
  <si>
    <t>　トマト（施設）</t>
    <phoneticPr fontId="14"/>
  </si>
  <si>
    <t>　いちご（施設）</t>
    <phoneticPr fontId="14"/>
  </si>
  <si>
    <t>109</t>
    <phoneticPr fontId="14"/>
  </si>
  <si>
    <t>　さやえんどう（施設）</t>
    <rPh sb="8" eb="10">
      <t>シセツ</t>
    </rPh>
    <phoneticPr fontId="14"/>
  </si>
  <si>
    <t>110</t>
    <phoneticPr fontId="14"/>
  </si>
  <si>
    <t>　さやいんげん（施設）</t>
    <rPh sb="8" eb="10">
      <t>シセツ</t>
    </rPh>
    <phoneticPr fontId="14"/>
  </si>
  <si>
    <t>199</t>
    <phoneticPr fontId="14"/>
  </si>
  <si>
    <t>　その他果菜類（施設）</t>
    <rPh sb="3" eb="4">
      <t>タ</t>
    </rPh>
    <rPh sb="4" eb="6">
      <t>カナ</t>
    </rPh>
    <rPh sb="6" eb="7">
      <t>タグイ</t>
    </rPh>
    <rPh sb="8" eb="10">
      <t>シセツ</t>
    </rPh>
    <phoneticPr fontId="14"/>
  </si>
  <si>
    <t>201</t>
    <phoneticPr fontId="14"/>
  </si>
  <si>
    <t>　ほうれんそう（施設）</t>
    <rPh sb="8" eb="10">
      <t>シセツ</t>
    </rPh>
    <phoneticPr fontId="14"/>
  </si>
  <si>
    <t>202</t>
    <phoneticPr fontId="14"/>
  </si>
  <si>
    <t>　ねぎ（施設）</t>
    <rPh sb="4" eb="6">
      <t>シセツ</t>
    </rPh>
    <phoneticPr fontId="14"/>
  </si>
  <si>
    <t>　にら（施設）</t>
    <rPh sb="4" eb="6">
      <t>シセツ</t>
    </rPh>
    <phoneticPr fontId="14"/>
  </si>
  <si>
    <t>　みつば（施設）</t>
    <rPh sb="5" eb="7">
      <t>シセツ</t>
    </rPh>
    <phoneticPr fontId="14"/>
  </si>
  <si>
    <t>　しゅんぎく（施設）</t>
    <rPh sb="7" eb="9">
      <t>シセツ</t>
    </rPh>
    <phoneticPr fontId="14"/>
  </si>
  <si>
    <t>　レタス（施設）</t>
    <phoneticPr fontId="14"/>
  </si>
  <si>
    <t>207</t>
  </si>
  <si>
    <t>　セルリー（施設）</t>
    <rPh sb="6" eb="8">
      <t>シセツ</t>
    </rPh>
    <phoneticPr fontId="14"/>
  </si>
  <si>
    <t>208</t>
  </si>
  <si>
    <t>　こまつな（施設）</t>
    <rPh sb="6" eb="8">
      <t>シセツ</t>
    </rPh>
    <phoneticPr fontId="14"/>
  </si>
  <si>
    <t>209</t>
  </si>
  <si>
    <t>　アスパラガス（施設）</t>
    <rPh sb="8" eb="10">
      <t>シセツ</t>
    </rPh>
    <phoneticPr fontId="14"/>
  </si>
  <si>
    <t>210</t>
  </si>
  <si>
    <t>　ふき（施設）</t>
    <rPh sb="4" eb="6">
      <t>シセツ</t>
    </rPh>
    <phoneticPr fontId="14"/>
  </si>
  <si>
    <t>211</t>
  </si>
  <si>
    <t>　ちんげんさい（施設）</t>
    <rPh sb="8" eb="10">
      <t>シセツ</t>
    </rPh>
    <phoneticPr fontId="14"/>
  </si>
  <si>
    <t>　もやし</t>
    <phoneticPr fontId="14"/>
  </si>
  <si>
    <t>299</t>
    <phoneticPr fontId="14"/>
  </si>
  <si>
    <t>　その他の葉茎菜類（施設）</t>
    <rPh sb="3" eb="4">
      <t>タ</t>
    </rPh>
    <rPh sb="5" eb="6">
      <t>ハ</t>
    </rPh>
    <rPh sb="6" eb="7">
      <t>クキ</t>
    </rPh>
    <rPh sb="7" eb="8">
      <t>ナ</t>
    </rPh>
    <rPh sb="8" eb="9">
      <t>タグイ</t>
    </rPh>
    <rPh sb="10" eb="12">
      <t>シセツ</t>
    </rPh>
    <phoneticPr fontId="14"/>
  </si>
  <si>
    <t>301</t>
    <phoneticPr fontId="14"/>
  </si>
  <si>
    <t>　根菜類（施設）</t>
    <rPh sb="1" eb="4">
      <t>コンサイルイ</t>
    </rPh>
    <rPh sb="5" eb="7">
      <t>シセツ</t>
    </rPh>
    <phoneticPr fontId="14"/>
  </si>
  <si>
    <t>0114-01</t>
    <phoneticPr fontId="15"/>
  </si>
  <si>
    <t>0114-011</t>
  </si>
  <si>
    <t>果実</t>
    <rPh sb="0" eb="2">
      <t>カジツ</t>
    </rPh>
    <phoneticPr fontId="5"/>
  </si>
  <si>
    <t>　みかん</t>
  </si>
  <si>
    <t>　その他のかんきつ</t>
  </si>
  <si>
    <t>　かんきつ類の植物成長</t>
    <rPh sb="9" eb="10">
      <t>セイ</t>
    </rPh>
    <phoneticPr fontId="14"/>
  </si>
  <si>
    <t>301</t>
    <phoneticPr fontId="5"/>
  </si>
  <si>
    <t>　りんご</t>
  </si>
  <si>
    <t>401</t>
    <phoneticPr fontId="5"/>
  </si>
  <si>
    <t>　りんごの植物成長</t>
    <rPh sb="7" eb="8">
      <t>セイ</t>
    </rPh>
    <phoneticPr fontId="14"/>
  </si>
  <si>
    <t>501</t>
    <phoneticPr fontId="5"/>
  </si>
  <si>
    <t>　ぶどう</t>
  </si>
  <si>
    <t>502</t>
    <phoneticPr fontId="5"/>
  </si>
  <si>
    <t>　日本なし</t>
  </si>
  <si>
    <t>503</t>
    <phoneticPr fontId="5"/>
  </si>
  <si>
    <t>　西洋なし</t>
  </si>
  <si>
    <t>504</t>
    <phoneticPr fontId="5"/>
  </si>
  <si>
    <t>　もも</t>
  </si>
  <si>
    <t>505</t>
    <phoneticPr fontId="5"/>
  </si>
  <si>
    <t>　すもも</t>
  </si>
  <si>
    <t>506</t>
    <phoneticPr fontId="5"/>
  </si>
  <si>
    <t>　おうとう</t>
  </si>
  <si>
    <t>507</t>
    <phoneticPr fontId="5"/>
  </si>
  <si>
    <t>　うめ</t>
  </si>
  <si>
    <t>508</t>
    <phoneticPr fontId="5"/>
  </si>
  <si>
    <t>　びわ</t>
  </si>
  <si>
    <t>509</t>
    <phoneticPr fontId="5"/>
  </si>
  <si>
    <t>　かき</t>
  </si>
  <si>
    <t>510</t>
    <phoneticPr fontId="5"/>
  </si>
  <si>
    <t>　くり</t>
  </si>
  <si>
    <t>511</t>
    <phoneticPr fontId="5"/>
  </si>
  <si>
    <t>　キウイフルーツ</t>
  </si>
  <si>
    <t>512</t>
    <phoneticPr fontId="5"/>
  </si>
  <si>
    <t>　パインアップル</t>
  </si>
  <si>
    <t>599</t>
    <phoneticPr fontId="5"/>
  </si>
  <si>
    <t>　その他の果実</t>
    <phoneticPr fontId="14"/>
  </si>
  <si>
    <t>601</t>
    <phoneticPr fontId="5"/>
  </si>
  <si>
    <t>　その他の果実の植物成長</t>
    <rPh sb="10" eb="11">
      <t>セイ</t>
    </rPh>
    <phoneticPr fontId="14"/>
  </si>
  <si>
    <t>0115-01</t>
    <phoneticPr fontId="15"/>
  </si>
  <si>
    <t>0115-011</t>
    <phoneticPr fontId="14"/>
  </si>
  <si>
    <t>　さとうきび</t>
  </si>
  <si>
    <t>　てんさい</t>
  </si>
  <si>
    <r>
      <t>0115-02</t>
    </r>
    <r>
      <rPr>
        <b/>
        <sz val="10"/>
        <rFont val="Arial"/>
        <family val="2"/>
      </rPr>
      <t/>
    </r>
  </si>
  <si>
    <t>飲料用作物</t>
  </si>
  <si>
    <t>0115-021</t>
  </si>
  <si>
    <t>0115-029</t>
  </si>
  <si>
    <t>　茶</t>
  </si>
  <si>
    <t>　ホップ</t>
  </si>
  <si>
    <t>　茶の植物成長</t>
    <rPh sb="5" eb="6">
      <t>セイ</t>
    </rPh>
    <phoneticPr fontId="14"/>
  </si>
  <si>
    <t>0115-09</t>
    <phoneticPr fontId="15"/>
  </si>
  <si>
    <t>その他の食用耕種作物</t>
  </si>
  <si>
    <t>0115-091</t>
  </si>
  <si>
    <t>　そば</t>
    <phoneticPr fontId="14"/>
  </si>
  <si>
    <t>　その他の雑穀</t>
    <rPh sb="3" eb="4">
      <t>タ</t>
    </rPh>
    <rPh sb="5" eb="7">
      <t>ザッコク</t>
    </rPh>
    <phoneticPr fontId="14"/>
  </si>
  <si>
    <t>0115-099</t>
    <phoneticPr fontId="14"/>
  </si>
  <si>
    <t>他に分類されない食用耕種作物</t>
    <rPh sb="0" eb="1">
      <t>ホカ</t>
    </rPh>
    <rPh sb="2" eb="4">
      <t>ブンルイ</t>
    </rPh>
    <rPh sb="10" eb="11">
      <t>コウ</t>
    </rPh>
    <rPh sb="11" eb="12">
      <t>シュ</t>
    </rPh>
    <phoneticPr fontId="14"/>
  </si>
  <si>
    <t>101</t>
    <phoneticPr fontId="5"/>
  </si>
  <si>
    <t>　なたね</t>
    <phoneticPr fontId="14"/>
  </si>
  <si>
    <t>　その他の油糧作物</t>
    <rPh sb="3" eb="4">
      <t>タ</t>
    </rPh>
    <rPh sb="5" eb="7">
      <t>ユリョウ</t>
    </rPh>
    <rPh sb="7" eb="9">
      <t>サクモツ</t>
    </rPh>
    <phoneticPr fontId="14"/>
  </si>
  <si>
    <t>899</t>
    <phoneticPr fontId="5"/>
  </si>
  <si>
    <t>　他に分類されない食用耕種作物</t>
    <rPh sb="3" eb="4">
      <t>ブン</t>
    </rPh>
    <rPh sb="4" eb="5">
      <t>ルイ</t>
    </rPh>
    <phoneticPr fontId="14"/>
  </si>
  <si>
    <t>0116-01</t>
    <phoneticPr fontId="15"/>
  </si>
  <si>
    <t>0116-011</t>
  </si>
  <si>
    <t>飼料作物</t>
    <phoneticPr fontId="14"/>
  </si>
  <si>
    <t>　牧草</t>
    <rPh sb="1" eb="3">
      <t>ボクソウ</t>
    </rPh>
    <phoneticPr fontId="14"/>
  </si>
  <si>
    <t>　青刈りトウモロコシ</t>
  </si>
  <si>
    <t>　ソルゴー</t>
  </si>
  <si>
    <t>　その他の飼料作物</t>
    <rPh sb="3" eb="4">
      <t>タ</t>
    </rPh>
    <rPh sb="5" eb="7">
      <t>シリョウ</t>
    </rPh>
    <rPh sb="7" eb="9">
      <t>サクモツ</t>
    </rPh>
    <phoneticPr fontId="14"/>
  </si>
  <si>
    <r>
      <t>0116-02</t>
    </r>
    <r>
      <rPr>
        <b/>
        <sz val="10"/>
        <rFont val="Arial"/>
        <family val="2"/>
      </rPr>
      <t/>
    </r>
  </si>
  <si>
    <t>0116-021</t>
  </si>
  <si>
    <t>　種子・苗</t>
    <rPh sb="4" eb="5">
      <t>ナエ</t>
    </rPh>
    <phoneticPr fontId="14"/>
  </si>
  <si>
    <t>　球根類</t>
  </si>
  <si>
    <t>　苗木類（花木）</t>
    <rPh sb="5" eb="7">
      <t>ハナキ</t>
    </rPh>
    <phoneticPr fontId="14"/>
  </si>
  <si>
    <r>
      <t>0116-03</t>
    </r>
    <r>
      <rPr>
        <b/>
        <sz val="10"/>
        <rFont val="Arial"/>
        <family val="2"/>
      </rPr>
      <t/>
    </r>
  </si>
  <si>
    <t>0116-031</t>
  </si>
  <si>
    <t>　切り花類　</t>
  </si>
  <si>
    <t>　鉢もの類</t>
    <phoneticPr fontId="14"/>
  </si>
  <si>
    <t>　花木（成木）</t>
  </si>
  <si>
    <t>004</t>
    <phoneticPr fontId="14"/>
  </si>
  <si>
    <t>　花き苗類</t>
    <phoneticPr fontId="14"/>
  </si>
  <si>
    <t>　その他の花き・花木類</t>
    <rPh sb="3" eb="4">
      <t>タ</t>
    </rPh>
    <rPh sb="5" eb="6">
      <t>カ</t>
    </rPh>
    <rPh sb="8" eb="11">
      <t>ハナキルイ</t>
    </rPh>
    <phoneticPr fontId="14"/>
  </si>
  <si>
    <t>0116-09</t>
    <phoneticPr fontId="15"/>
  </si>
  <si>
    <t>その他の非食用耕種作物</t>
  </si>
  <si>
    <t>0116-091</t>
  </si>
  <si>
    <t>0116-092</t>
  </si>
  <si>
    <t>0116-093</t>
  </si>
  <si>
    <t>0116-099</t>
  </si>
  <si>
    <t>他に分類されない非食用耕種作物</t>
    <rPh sb="2" eb="4">
      <t>ブンルイ</t>
    </rPh>
    <phoneticPr fontId="14"/>
  </si>
  <si>
    <t>　い</t>
    <phoneticPr fontId="14"/>
  </si>
  <si>
    <t>　他に分類されない非食用耕種作物</t>
    <rPh sb="3" eb="4">
      <t>ブン</t>
    </rPh>
    <rPh sb="4" eb="5">
      <t>ルイ</t>
    </rPh>
    <phoneticPr fontId="14"/>
  </si>
  <si>
    <t>0121-01</t>
    <phoneticPr fontId="15"/>
  </si>
  <si>
    <t>酪農</t>
  </si>
  <si>
    <t>0121-011</t>
  </si>
  <si>
    <t>生乳</t>
  </si>
  <si>
    <t>0121-019</t>
  </si>
  <si>
    <t>　乳子牛（と畜向け）</t>
    <phoneticPr fontId="14"/>
  </si>
  <si>
    <t>　乳子牛（肉用肥育向け）</t>
    <phoneticPr fontId="14"/>
  </si>
  <si>
    <t>　乳廃牛</t>
    <phoneticPr fontId="14"/>
  </si>
  <si>
    <t>901</t>
    <phoneticPr fontId="14"/>
  </si>
  <si>
    <t>　乳子牛（搾乳向け）の成長増加（成牛換算）</t>
    <rPh sb="16" eb="17">
      <t>ナ</t>
    </rPh>
    <rPh sb="17" eb="18">
      <t>ウシ</t>
    </rPh>
    <rPh sb="18" eb="20">
      <t>カンサン</t>
    </rPh>
    <phoneticPr fontId="14"/>
  </si>
  <si>
    <t>902</t>
    <phoneticPr fontId="14"/>
  </si>
  <si>
    <t>　きゅう肥</t>
    <phoneticPr fontId="14"/>
  </si>
  <si>
    <t>0121-02</t>
    <phoneticPr fontId="14"/>
  </si>
  <si>
    <t>0121-021</t>
    <phoneticPr fontId="14"/>
  </si>
  <si>
    <t>　と畜向け肉用牛（成牛換算飼養頭数の増減を含む）</t>
    <rPh sb="21" eb="22">
      <t>フク</t>
    </rPh>
    <phoneticPr fontId="14"/>
  </si>
  <si>
    <t>　肥育向け子畜</t>
    <phoneticPr fontId="14"/>
  </si>
  <si>
    <t>0121-03</t>
    <phoneticPr fontId="14"/>
  </si>
  <si>
    <t>0121-031</t>
    <phoneticPr fontId="14"/>
  </si>
  <si>
    <t>　豚（成豚換算飼養頭数の増減を含む）</t>
    <rPh sb="15" eb="16">
      <t>フク</t>
    </rPh>
    <phoneticPr fontId="14"/>
  </si>
  <si>
    <t>0121-04</t>
    <phoneticPr fontId="15"/>
  </si>
  <si>
    <t>0121-041</t>
    <phoneticPr fontId="14"/>
  </si>
  <si>
    <t>鶏卵</t>
    <phoneticPr fontId="14"/>
  </si>
  <si>
    <t>　鶏卵</t>
    <phoneticPr fontId="14"/>
  </si>
  <si>
    <t>　廃鶏（成鶏換算飼養羽数の増減を含む）</t>
    <rPh sb="1" eb="2">
      <t>ハイ</t>
    </rPh>
    <rPh sb="16" eb="17">
      <t>フク</t>
    </rPh>
    <phoneticPr fontId="14"/>
  </si>
  <si>
    <t>　不正常卵</t>
    <phoneticPr fontId="14"/>
  </si>
  <si>
    <t>004</t>
  </si>
  <si>
    <t>　鶏ふん</t>
    <phoneticPr fontId="14"/>
  </si>
  <si>
    <t>0121-05</t>
    <phoneticPr fontId="14"/>
  </si>
  <si>
    <t>0121-051</t>
    <phoneticPr fontId="14"/>
  </si>
  <si>
    <t>　肉鶏</t>
    <rPh sb="1" eb="2">
      <t>ニク</t>
    </rPh>
    <rPh sb="2" eb="3">
      <t>トリ</t>
    </rPh>
    <phoneticPr fontId="14"/>
  </si>
  <si>
    <t>0121-09</t>
    <phoneticPr fontId="15"/>
  </si>
  <si>
    <t>0121-099</t>
  </si>
  <si>
    <t>その他の畜産</t>
    <rPh sb="2" eb="3">
      <t>ホカ</t>
    </rPh>
    <phoneticPr fontId="14"/>
  </si>
  <si>
    <t>　羊毛</t>
    <phoneticPr fontId="5"/>
  </si>
  <si>
    <t>201</t>
    <phoneticPr fontId="5"/>
  </si>
  <si>
    <t>　馬</t>
    <phoneticPr fontId="14"/>
  </si>
  <si>
    <t>　軽種馬</t>
    <phoneticPr fontId="14"/>
  </si>
  <si>
    <t>401</t>
    <phoneticPr fontId="14"/>
  </si>
  <si>
    <t>　繭</t>
    <phoneticPr fontId="14"/>
  </si>
  <si>
    <t>801</t>
    <phoneticPr fontId="14"/>
  </si>
  <si>
    <t>　やぎ</t>
    <phoneticPr fontId="14"/>
  </si>
  <si>
    <t>802</t>
    <phoneticPr fontId="14"/>
  </si>
  <si>
    <t>　めん羊</t>
    <phoneticPr fontId="14"/>
  </si>
  <si>
    <t>803</t>
    <phoneticPr fontId="14"/>
  </si>
  <si>
    <t>　はちみつ</t>
    <phoneticPr fontId="14"/>
  </si>
  <si>
    <t>804</t>
    <phoneticPr fontId="14"/>
  </si>
  <si>
    <t>　うずらの卵</t>
    <phoneticPr fontId="14"/>
  </si>
  <si>
    <t>805</t>
    <phoneticPr fontId="14"/>
  </si>
  <si>
    <t>　きゅう肥</t>
    <rPh sb="4" eb="5">
      <t>コエ</t>
    </rPh>
    <phoneticPr fontId="14"/>
  </si>
  <si>
    <t>899</t>
    <phoneticPr fontId="14"/>
  </si>
  <si>
    <t>　他に分類されない畜産</t>
    <rPh sb="1" eb="2">
      <t>ホカ</t>
    </rPh>
    <rPh sb="3" eb="5">
      <t>ブンルイ</t>
    </rPh>
    <rPh sb="9" eb="11">
      <t>チクサン</t>
    </rPh>
    <phoneticPr fontId="14"/>
  </si>
  <si>
    <t>0131-01</t>
    <phoneticPr fontId="15"/>
  </si>
  <si>
    <t>0131-011</t>
  </si>
  <si>
    <r>
      <t>0131-02</t>
    </r>
    <r>
      <rPr>
        <b/>
        <sz val="10"/>
        <rFont val="Arial"/>
        <family val="2"/>
      </rPr>
      <t/>
    </r>
  </si>
  <si>
    <t>0131-021</t>
  </si>
  <si>
    <t>農業サービス（獣医業を除く。）</t>
    <rPh sb="11" eb="12">
      <t>ノゾ</t>
    </rPh>
    <phoneticPr fontId="14"/>
  </si>
  <si>
    <t>　共同乾燥施設</t>
    <rPh sb="1" eb="3">
      <t>キョウドウ</t>
    </rPh>
    <rPh sb="3" eb="5">
      <t>カンソウ</t>
    </rPh>
    <rPh sb="5" eb="7">
      <t>シセツ</t>
    </rPh>
    <phoneticPr fontId="14"/>
  </si>
  <si>
    <t>　土地改良区</t>
    <phoneticPr fontId="14"/>
  </si>
  <si>
    <t>　航空防除</t>
    <phoneticPr fontId="14"/>
  </si>
  <si>
    <t>　青果物共同選果場</t>
    <phoneticPr fontId="14"/>
  </si>
  <si>
    <t>005</t>
    <phoneticPr fontId="14"/>
  </si>
  <si>
    <t>　稲作共同育苗事業</t>
    <phoneticPr fontId="14"/>
  </si>
  <si>
    <t>006</t>
    <phoneticPr fontId="14"/>
  </si>
  <si>
    <t>　種付業</t>
    <phoneticPr fontId="14"/>
  </si>
  <si>
    <t>007</t>
    <phoneticPr fontId="14"/>
  </si>
  <si>
    <t>　ふ卵業</t>
    <phoneticPr fontId="14"/>
  </si>
  <si>
    <t>　その他の農業サービス</t>
    <rPh sb="3" eb="4">
      <t>タ</t>
    </rPh>
    <rPh sb="5" eb="7">
      <t>ノウギョウ</t>
    </rPh>
    <phoneticPr fontId="14"/>
  </si>
  <si>
    <t>0151-01</t>
    <phoneticPr fontId="15"/>
  </si>
  <si>
    <t>0151-011</t>
    <phoneticPr fontId="14"/>
  </si>
  <si>
    <t>101</t>
    <phoneticPr fontId="14"/>
  </si>
  <si>
    <t>　山行き苗木</t>
    <rPh sb="1" eb="2">
      <t>ヤマ</t>
    </rPh>
    <rPh sb="2" eb="3">
      <t>イ</t>
    </rPh>
    <rPh sb="4" eb="6">
      <t>ナエギ</t>
    </rPh>
    <phoneticPr fontId="14"/>
  </si>
  <si>
    <t>　素材仕向分（立木ベース）</t>
    <rPh sb="1" eb="3">
      <t>ソザイ</t>
    </rPh>
    <rPh sb="3" eb="5">
      <t>シム</t>
    </rPh>
    <rPh sb="5" eb="6">
      <t>ブン</t>
    </rPh>
    <rPh sb="7" eb="8">
      <t>タ</t>
    </rPh>
    <rPh sb="8" eb="9">
      <t>キ</t>
    </rPh>
    <phoneticPr fontId="14"/>
  </si>
  <si>
    <t>　育林の成長増加</t>
    <rPh sb="1" eb="2">
      <t>イク</t>
    </rPh>
    <rPh sb="2" eb="3">
      <t>リン</t>
    </rPh>
    <rPh sb="4" eb="6">
      <t>セイチョウ</t>
    </rPh>
    <rPh sb="6" eb="8">
      <t>ゾウカ</t>
    </rPh>
    <phoneticPr fontId="14"/>
  </si>
  <si>
    <t>0152-01</t>
    <phoneticPr fontId="15"/>
  </si>
  <si>
    <t>0152-011</t>
    <phoneticPr fontId="14"/>
  </si>
  <si>
    <t>素材</t>
    <phoneticPr fontId="5"/>
  </si>
  <si>
    <t>　すぎ</t>
    <phoneticPr fontId="14"/>
  </si>
  <si>
    <t>　ひのき</t>
    <phoneticPr fontId="14"/>
  </si>
  <si>
    <t>　あか・くろまつ</t>
    <phoneticPr fontId="14"/>
  </si>
  <si>
    <t>　からまつ・えぞまつ・とどまつ</t>
    <phoneticPr fontId="14"/>
  </si>
  <si>
    <t>　その他の針葉樹</t>
    <phoneticPr fontId="14"/>
  </si>
  <si>
    <t>　広葉樹</t>
    <phoneticPr fontId="14"/>
  </si>
  <si>
    <t xml:space="preserve">201 </t>
    <phoneticPr fontId="14"/>
  </si>
  <si>
    <t>　しいたけ用ほだ木の原木</t>
    <phoneticPr fontId="14"/>
  </si>
  <si>
    <t>　薪炭材等の原木</t>
    <rPh sb="1" eb="2">
      <t>マキ</t>
    </rPh>
    <rPh sb="2" eb="3">
      <t>タン</t>
    </rPh>
    <rPh sb="3" eb="4">
      <t>ザイ</t>
    </rPh>
    <rPh sb="4" eb="5">
      <t>トウ</t>
    </rPh>
    <rPh sb="6" eb="8">
      <t>ゲンボク</t>
    </rPh>
    <phoneticPr fontId="14"/>
  </si>
  <si>
    <t>0153-01</t>
    <phoneticPr fontId="15"/>
  </si>
  <si>
    <t>0153-011</t>
    <phoneticPr fontId="14"/>
  </si>
  <si>
    <t>特用林産物（含む狩猟業）</t>
    <phoneticPr fontId="14"/>
  </si>
  <si>
    <t>　まつたけ</t>
    <phoneticPr fontId="14"/>
  </si>
  <si>
    <t>102</t>
    <phoneticPr fontId="14"/>
  </si>
  <si>
    <t>　しいたけ(生）</t>
    <phoneticPr fontId="14"/>
  </si>
  <si>
    <t>103</t>
    <phoneticPr fontId="14"/>
  </si>
  <si>
    <t>　しいたけ(乾）</t>
    <phoneticPr fontId="14"/>
  </si>
  <si>
    <t>104</t>
    <phoneticPr fontId="14"/>
  </si>
  <si>
    <t>　なめこ</t>
    <phoneticPr fontId="14"/>
  </si>
  <si>
    <t>105</t>
    <phoneticPr fontId="14"/>
  </si>
  <si>
    <t>　えのきたけ</t>
    <phoneticPr fontId="14"/>
  </si>
  <si>
    <t>106</t>
    <phoneticPr fontId="14"/>
  </si>
  <si>
    <t>　ひらたけ</t>
    <phoneticPr fontId="14"/>
  </si>
  <si>
    <t>107</t>
    <phoneticPr fontId="14"/>
  </si>
  <si>
    <t>　ぶなしめじ</t>
    <phoneticPr fontId="14"/>
  </si>
  <si>
    <t>　まいたけ</t>
    <phoneticPr fontId="14"/>
  </si>
  <si>
    <t>　エリンギ</t>
    <phoneticPr fontId="14"/>
  </si>
  <si>
    <t>　その他のきのこ類</t>
    <phoneticPr fontId="14"/>
  </si>
  <si>
    <t>　その他の食用特用林産物</t>
    <rPh sb="3" eb="4">
      <t>タ</t>
    </rPh>
    <rPh sb="5" eb="7">
      <t>ショクヨウ</t>
    </rPh>
    <rPh sb="7" eb="9">
      <t>トクヨウ</t>
    </rPh>
    <rPh sb="9" eb="11">
      <t>リンサン</t>
    </rPh>
    <rPh sb="11" eb="12">
      <t>ブツ</t>
    </rPh>
    <phoneticPr fontId="14"/>
  </si>
  <si>
    <t>　竹材</t>
    <phoneticPr fontId="14"/>
  </si>
  <si>
    <t>　薪　　</t>
    <phoneticPr fontId="14"/>
  </si>
  <si>
    <t>　木炭</t>
    <phoneticPr fontId="14"/>
  </si>
  <si>
    <t>399</t>
    <phoneticPr fontId="14"/>
  </si>
  <si>
    <t>　その他の非食用特用林産物</t>
    <rPh sb="3" eb="4">
      <t>タ</t>
    </rPh>
    <rPh sb="5" eb="6">
      <t>ヒ</t>
    </rPh>
    <rPh sb="6" eb="8">
      <t>ショクヨウ</t>
    </rPh>
    <rPh sb="8" eb="10">
      <t>トクヨウ</t>
    </rPh>
    <rPh sb="10" eb="12">
      <t>リンサン</t>
    </rPh>
    <rPh sb="12" eb="13">
      <t>ブツ</t>
    </rPh>
    <phoneticPr fontId="14"/>
  </si>
  <si>
    <t>0171-01</t>
    <phoneticPr fontId="14"/>
  </si>
  <si>
    <t>0171-011</t>
    <phoneticPr fontId="14"/>
  </si>
  <si>
    <t>海面漁業</t>
    <phoneticPr fontId="5"/>
  </si>
  <si>
    <t>　　まぐろ類</t>
    <rPh sb="5" eb="6">
      <t>ルイ</t>
    </rPh>
    <phoneticPr fontId="14"/>
  </si>
  <si>
    <t>　　かじき類</t>
    <rPh sb="5" eb="6">
      <t>ルイ</t>
    </rPh>
    <phoneticPr fontId="14"/>
  </si>
  <si>
    <t>　　かつお類</t>
    <rPh sb="5" eb="6">
      <t>ルイ</t>
    </rPh>
    <phoneticPr fontId="14"/>
  </si>
  <si>
    <t>　　さめ類</t>
    <rPh sb="4" eb="5">
      <t>ルイ</t>
    </rPh>
    <phoneticPr fontId="14"/>
  </si>
  <si>
    <t>　　さけ・ます類</t>
    <rPh sb="7" eb="8">
      <t>ルイ</t>
    </rPh>
    <phoneticPr fontId="14"/>
  </si>
  <si>
    <t>　　このしろ</t>
    <phoneticPr fontId="14"/>
  </si>
  <si>
    <t>　　にしん</t>
    <phoneticPr fontId="14"/>
  </si>
  <si>
    <t>　　いわし類</t>
    <rPh sb="5" eb="6">
      <t>ルイ</t>
    </rPh>
    <phoneticPr fontId="14"/>
  </si>
  <si>
    <t>　　あじ類</t>
    <rPh sb="4" eb="5">
      <t>ルイ</t>
    </rPh>
    <phoneticPr fontId="14"/>
  </si>
  <si>
    <t>　　さば類</t>
    <rPh sb="4" eb="5">
      <t>ルイ</t>
    </rPh>
    <phoneticPr fontId="14"/>
  </si>
  <si>
    <t>　　さんま</t>
    <phoneticPr fontId="14"/>
  </si>
  <si>
    <t>　　ぶり類</t>
    <rPh sb="4" eb="5">
      <t>ルイ</t>
    </rPh>
    <phoneticPr fontId="14"/>
  </si>
  <si>
    <t>113</t>
  </si>
  <si>
    <t>　　ひらめ・かれい類</t>
    <rPh sb="9" eb="10">
      <t>ルイ</t>
    </rPh>
    <phoneticPr fontId="14"/>
  </si>
  <si>
    <t>114</t>
  </si>
  <si>
    <t>　　たら類</t>
    <rPh sb="4" eb="5">
      <t>ルイ</t>
    </rPh>
    <phoneticPr fontId="14"/>
  </si>
  <si>
    <t>115</t>
  </si>
  <si>
    <t>　　ほっけ</t>
    <phoneticPr fontId="14"/>
  </si>
  <si>
    <t>116</t>
  </si>
  <si>
    <t>　　きちじ</t>
    <phoneticPr fontId="14"/>
  </si>
  <si>
    <t>117</t>
  </si>
  <si>
    <t>　　はたはた</t>
    <phoneticPr fontId="14"/>
  </si>
  <si>
    <t>118</t>
  </si>
  <si>
    <t>　　にぎす類</t>
    <rPh sb="5" eb="6">
      <t>ルイ</t>
    </rPh>
    <phoneticPr fontId="14"/>
  </si>
  <si>
    <t>119</t>
  </si>
  <si>
    <t>　　あなご類</t>
    <rPh sb="5" eb="6">
      <t>ルイ</t>
    </rPh>
    <phoneticPr fontId="14"/>
  </si>
  <si>
    <t>120</t>
  </si>
  <si>
    <t>　　たちうお</t>
    <phoneticPr fontId="14"/>
  </si>
  <si>
    <t>121</t>
  </si>
  <si>
    <t>　　たい類</t>
    <rPh sb="4" eb="5">
      <t>ルイ</t>
    </rPh>
    <phoneticPr fontId="14"/>
  </si>
  <si>
    <t>122</t>
  </si>
  <si>
    <t>　　いさき</t>
    <phoneticPr fontId="14"/>
  </si>
  <si>
    <t>123</t>
  </si>
  <si>
    <t>　　さわら類</t>
    <rPh sb="5" eb="6">
      <t>ルイ</t>
    </rPh>
    <phoneticPr fontId="14"/>
  </si>
  <si>
    <t>124</t>
  </si>
  <si>
    <t>　　すずき類</t>
    <rPh sb="5" eb="6">
      <t>ルイ</t>
    </rPh>
    <phoneticPr fontId="14"/>
  </si>
  <si>
    <t>125</t>
  </si>
  <si>
    <t>　　いかなご</t>
    <phoneticPr fontId="14"/>
  </si>
  <si>
    <t>126</t>
  </si>
  <si>
    <t>　　あまだい類</t>
    <rPh sb="6" eb="7">
      <t>ルイ</t>
    </rPh>
    <phoneticPr fontId="14"/>
  </si>
  <si>
    <t>127</t>
  </si>
  <si>
    <t>　　ふぐ類</t>
    <rPh sb="4" eb="5">
      <t>ルイ</t>
    </rPh>
    <phoneticPr fontId="14"/>
  </si>
  <si>
    <t>　　その他の魚類</t>
    <rPh sb="4" eb="5">
      <t>タ</t>
    </rPh>
    <rPh sb="6" eb="8">
      <t>ギョルイ</t>
    </rPh>
    <phoneticPr fontId="14"/>
  </si>
  <si>
    <t>　　いせえび</t>
    <phoneticPr fontId="14"/>
  </si>
  <si>
    <t>　　くるまえび</t>
    <phoneticPr fontId="14"/>
  </si>
  <si>
    <t>　　その他のえび類</t>
    <rPh sb="4" eb="5">
      <t>タ</t>
    </rPh>
    <rPh sb="8" eb="9">
      <t>ルイ</t>
    </rPh>
    <phoneticPr fontId="14"/>
  </si>
  <si>
    <t>　　ずわいがに</t>
    <phoneticPr fontId="14"/>
  </si>
  <si>
    <t>　　べにずわいがに</t>
    <phoneticPr fontId="14"/>
  </si>
  <si>
    <t>　　がざみ類</t>
    <rPh sb="5" eb="6">
      <t>ルイ</t>
    </rPh>
    <phoneticPr fontId="14"/>
  </si>
  <si>
    <t>　　その他のかに類</t>
    <rPh sb="4" eb="5">
      <t>タ</t>
    </rPh>
    <rPh sb="8" eb="9">
      <t>ルイ</t>
    </rPh>
    <phoneticPr fontId="14"/>
  </si>
  <si>
    <t>　　あわび類</t>
    <rPh sb="5" eb="6">
      <t>ルイ</t>
    </rPh>
    <phoneticPr fontId="14"/>
  </si>
  <si>
    <t>402</t>
  </si>
  <si>
    <t>　　さざえ</t>
    <phoneticPr fontId="14"/>
  </si>
  <si>
    <t>403</t>
  </si>
  <si>
    <t>　　あさり類</t>
    <rPh sb="5" eb="6">
      <t>ルイ</t>
    </rPh>
    <phoneticPr fontId="14"/>
  </si>
  <si>
    <t>404</t>
  </si>
  <si>
    <t>　　ほたてがい</t>
    <phoneticPr fontId="14"/>
  </si>
  <si>
    <t>499</t>
    <phoneticPr fontId="14"/>
  </si>
  <si>
    <t>　　その他の貝類</t>
    <rPh sb="4" eb="5">
      <t>タ</t>
    </rPh>
    <rPh sb="6" eb="7">
      <t>カイ</t>
    </rPh>
    <rPh sb="7" eb="8">
      <t>ルイ</t>
    </rPh>
    <phoneticPr fontId="14"/>
  </si>
  <si>
    <t>501</t>
    <phoneticPr fontId="14"/>
  </si>
  <si>
    <t>　　するめいか</t>
    <phoneticPr fontId="14"/>
  </si>
  <si>
    <t>502</t>
    <phoneticPr fontId="14"/>
  </si>
  <si>
    <t>　　あかいか</t>
    <phoneticPr fontId="14"/>
  </si>
  <si>
    <t>599</t>
    <phoneticPr fontId="14"/>
  </si>
  <si>
    <t>　　その他のいか類</t>
    <rPh sb="4" eb="5">
      <t>タ</t>
    </rPh>
    <rPh sb="8" eb="9">
      <t>ルイ</t>
    </rPh>
    <phoneticPr fontId="14"/>
  </si>
  <si>
    <t>601</t>
    <phoneticPr fontId="14"/>
  </si>
  <si>
    <t>　　おきあみ類</t>
    <rPh sb="6" eb="7">
      <t>ルイ</t>
    </rPh>
    <phoneticPr fontId="14"/>
  </si>
  <si>
    <t>602</t>
  </si>
  <si>
    <t>　　たこ類</t>
    <rPh sb="4" eb="5">
      <t>ルイ</t>
    </rPh>
    <phoneticPr fontId="14"/>
  </si>
  <si>
    <t>603</t>
  </si>
  <si>
    <t>　　うに類</t>
    <rPh sb="4" eb="5">
      <t>ルイ</t>
    </rPh>
    <phoneticPr fontId="14"/>
  </si>
  <si>
    <t>604</t>
  </si>
  <si>
    <t>　　海産ほ乳類</t>
    <rPh sb="2" eb="4">
      <t>カイサン</t>
    </rPh>
    <rPh sb="5" eb="6">
      <t>ニュウ</t>
    </rPh>
    <rPh sb="6" eb="7">
      <t>ルイ</t>
    </rPh>
    <phoneticPr fontId="14"/>
  </si>
  <si>
    <t>699</t>
    <phoneticPr fontId="14"/>
  </si>
  <si>
    <t>　　その他の水産動物類</t>
    <rPh sb="4" eb="5">
      <t>タ</t>
    </rPh>
    <rPh sb="6" eb="8">
      <t>スイサン</t>
    </rPh>
    <rPh sb="8" eb="10">
      <t>ドウブツ</t>
    </rPh>
    <rPh sb="10" eb="11">
      <t>ルイ</t>
    </rPh>
    <phoneticPr fontId="14"/>
  </si>
  <si>
    <t>701</t>
    <phoneticPr fontId="14"/>
  </si>
  <si>
    <t>　　こんぶ類</t>
    <rPh sb="5" eb="6">
      <t>ルイ</t>
    </rPh>
    <phoneticPr fontId="14"/>
  </si>
  <si>
    <t>799</t>
    <phoneticPr fontId="14"/>
  </si>
  <si>
    <t>　　その他の海藻類</t>
    <rPh sb="4" eb="5">
      <t>タ</t>
    </rPh>
    <rPh sb="6" eb="8">
      <t>カイソウ</t>
    </rPh>
    <rPh sb="8" eb="9">
      <t>ルイ</t>
    </rPh>
    <phoneticPr fontId="14"/>
  </si>
  <si>
    <t>　　捕鯨業（くじら類）</t>
    <rPh sb="2" eb="4">
      <t>ホゲイ</t>
    </rPh>
    <rPh sb="4" eb="5">
      <t>ギョウ</t>
    </rPh>
    <rPh sb="9" eb="10">
      <t>ルイ</t>
    </rPh>
    <phoneticPr fontId="14"/>
  </si>
  <si>
    <t>0171-02</t>
    <phoneticPr fontId="15"/>
  </si>
  <si>
    <t>0171-021</t>
    <phoneticPr fontId="14"/>
  </si>
  <si>
    <t>　ぎんざけ</t>
    <phoneticPr fontId="14"/>
  </si>
  <si>
    <t>　ぶり類</t>
    <rPh sb="3" eb="4">
      <t>ルイ</t>
    </rPh>
    <phoneticPr fontId="14"/>
  </si>
  <si>
    <t>　まあじ</t>
    <phoneticPr fontId="14"/>
  </si>
  <si>
    <t>　しまあじ</t>
    <phoneticPr fontId="14"/>
  </si>
  <si>
    <t>　まだい</t>
    <phoneticPr fontId="14"/>
  </si>
  <si>
    <t>　ひらめ</t>
    <phoneticPr fontId="14"/>
  </si>
  <si>
    <t>　ふぐ類</t>
    <rPh sb="3" eb="4">
      <t>ルイ</t>
    </rPh>
    <phoneticPr fontId="14"/>
  </si>
  <si>
    <t>108</t>
    <phoneticPr fontId="5"/>
  </si>
  <si>
    <t>　くろまぐろ</t>
    <phoneticPr fontId="5"/>
  </si>
  <si>
    <t>　その他魚類</t>
    <rPh sb="3" eb="4">
      <t>タ</t>
    </rPh>
    <rPh sb="4" eb="6">
      <t>ギョルイ</t>
    </rPh>
    <phoneticPr fontId="14"/>
  </si>
  <si>
    <t>　ほたてがい</t>
    <phoneticPr fontId="14"/>
  </si>
  <si>
    <t>　かき類（殻付き）</t>
    <rPh sb="3" eb="4">
      <t>ルイ</t>
    </rPh>
    <rPh sb="5" eb="6">
      <t>カラ</t>
    </rPh>
    <rPh sb="6" eb="7">
      <t>ツ</t>
    </rPh>
    <phoneticPr fontId="14"/>
  </si>
  <si>
    <t>　その他の貝類</t>
    <rPh sb="3" eb="4">
      <t>タ</t>
    </rPh>
    <rPh sb="5" eb="7">
      <t>カイルイ</t>
    </rPh>
    <phoneticPr fontId="14"/>
  </si>
  <si>
    <t>　くるまえび</t>
    <phoneticPr fontId="14"/>
  </si>
  <si>
    <t>302</t>
    <phoneticPr fontId="14"/>
  </si>
  <si>
    <t>　ほや類</t>
    <rPh sb="3" eb="4">
      <t>ルイ</t>
    </rPh>
    <phoneticPr fontId="14"/>
  </si>
  <si>
    <t>　その他の水産動物類</t>
    <rPh sb="3" eb="4">
      <t>タ</t>
    </rPh>
    <rPh sb="5" eb="7">
      <t>スイサン</t>
    </rPh>
    <rPh sb="7" eb="9">
      <t>ドウブツ</t>
    </rPh>
    <rPh sb="9" eb="10">
      <t>ルイ</t>
    </rPh>
    <phoneticPr fontId="14"/>
  </si>
  <si>
    <t>　真珠</t>
    <rPh sb="1" eb="3">
      <t>シンジュ</t>
    </rPh>
    <phoneticPr fontId="14"/>
  </si>
  <si>
    <t>　こんぶ類</t>
    <rPh sb="4" eb="5">
      <t>ルイ</t>
    </rPh>
    <phoneticPr fontId="14"/>
  </si>
  <si>
    <t>502</t>
  </si>
  <si>
    <t>　わかめ類</t>
    <rPh sb="4" eb="5">
      <t>ルイ</t>
    </rPh>
    <phoneticPr fontId="14"/>
  </si>
  <si>
    <t>503</t>
  </si>
  <si>
    <t>　のり類</t>
    <rPh sb="3" eb="4">
      <t>ルイ</t>
    </rPh>
    <phoneticPr fontId="14"/>
  </si>
  <si>
    <t>504</t>
  </si>
  <si>
    <t>　もずく類</t>
    <rPh sb="4" eb="5">
      <t>ルイ</t>
    </rPh>
    <phoneticPr fontId="14"/>
  </si>
  <si>
    <t>　その他の海藻類</t>
    <rPh sb="3" eb="4">
      <t>タ</t>
    </rPh>
    <rPh sb="5" eb="7">
      <t>カイソウ</t>
    </rPh>
    <rPh sb="7" eb="8">
      <t>ルイ</t>
    </rPh>
    <phoneticPr fontId="14"/>
  </si>
  <si>
    <t>　ぶり類（種苗）</t>
    <rPh sb="3" eb="4">
      <t>ルイ</t>
    </rPh>
    <rPh sb="5" eb="7">
      <t>シュビョウ</t>
    </rPh>
    <phoneticPr fontId="14"/>
  </si>
  <si>
    <t>　まだい（種苗）</t>
    <phoneticPr fontId="14"/>
  </si>
  <si>
    <t>　ひらめ（種苗）</t>
    <phoneticPr fontId="14"/>
  </si>
  <si>
    <t>　真珠母貝（種苗）</t>
    <rPh sb="1" eb="3">
      <t>シンジュ</t>
    </rPh>
    <rPh sb="3" eb="4">
      <t>ハハ</t>
    </rPh>
    <rPh sb="4" eb="5">
      <t>カイ</t>
    </rPh>
    <phoneticPr fontId="14"/>
  </si>
  <si>
    <t>605</t>
  </si>
  <si>
    <t>　ほたてがい（種苗）</t>
    <phoneticPr fontId="14"/>
  </si>
  <si>
    <t>606</t>
  </si>
  <si>
    <t>　かき類（種苗）</t>
    <rPh sb="3" eb="4">
      <t>ルイ</t>
    </rPh>
    <phoneticPr fontId="14"/>
  </si>
  <si>
    <t>607</t>
  </si>
  <si>
    <t>　くるまえび（種苗）</t>
    <phoneticPr fontId="14"/>
  </si>
  <si>
    <t>608</t>
  </si>
  <si>
    <t>　わかめ類（種苗）</t>
    <rPh sb="4" eb="5">
      <t>ルイ</t>
    </rPh>
    <phoneticPr fontId="14"/>
  </si>
  <si>
    <t>609</t>
  </si>
  <si>
    <t>　のり類（種苗）</t>
    <rPh sb="3" eb="4">
      <t>ルイ</t>
    </rPh>
    <phoneticPr fontId="14"/>
  </si>
  <si>
    <t>　養殖魚種の成長増加</t>
    <rPh sb="1" eb="4">
      <t>ヨウショクギョ</t>
    </rPh>
    <rPh sb="4" eb="5">
      <t>シュ</t>
    </rPh>
    <rPh sb="6" eb="8">
      <t>セイチョウ</t>
    </rPh>
    <rPh sb="8" eb="10">
      <t>ゾウカ</t>
    </rPh>
    <phoneticPr fontId="14"/>
  </si>
  <si>
    <t>0172-001</t>
    <phoneticPr fontId="14"/>
  </si>
  <si>
    <t>0172010</t>
    <phoneticPr fontId="14"/>
  </si>
  <si>
    <t>内水面漁業・養殖業</t>
    <rPh sb="0" eb="3">
      <t>ナイスイメン</t>
    </rPh>
    <rPh sb="3" eb="5">
      <t>ギョギョウ</t>
    </rPh>
    <rPh sb="6" eb="9">
      <t>ヨウショクギョウ</t>
    </rPh>
    <phoneticPr fontId="14"/>
  </si>
  <si>
    <t>0172-01</t>
    <phoneticPr fontId="14"/>
  </si>
  <si>
    <t>内水面漁業</t>
    <phoneticPr fontId="14"/>
  </si>
  <si>
    <t>　さく河性さけ・ます類</t>
    <rPh sb="3" eb="4">
      <t>カワ</t>
    </rPh>
    <rPh sb="4" eb="5">
      <t>セイ</t>
    </rPh>
    <phoneticPr fontId="14"/>
  </si>
  <si>
    <t>　陸封性さけ・ます類</t>
    <rPh sb="1" eb="2">
      <t>リク</t>
    </rPh>
    <rPh sb="2" eb="3">
      <t>フウ</t>
    </rPh>
    <rPh sb="3" eb="4">
      <t>セイ</t>
    </rPh>
    <rPh sb="9" eb="10">
      <t>ルイ</t>
    </rPh>
    <phoneticPr fontId="14"/>
  </si>
  <si>
    <t>　わかさぎ</t>
    <phoneticPr fontId="14"/>
  </si>
  <si>
    <t>　あゆ</t>
    <phoneticPr fontId="14"/>
  </si>
  <si>
    <t>　しらうお</t>
    <phoneticPr fontId="14"/>
  </si>
  <si>
    <t>　こい</t>
    <phoneticPr fontId="14"/>
  </si>
  <si>
    <t>　ふな</t>
    <phoneticPr fontId="14"/>
  </si>
  <si>
    <t>　うぐい・おいかわ</t>
    <phoneticPr fontId="14"/>
  </si>
  <si>
    <t>　うなぎ</t>
    <phoneticPr fontId="14"/>
  </si>
  <si>
    <t>　はぜ類</t>
    <rPh sb="3" eb="4">
      <t>ルイ</t>
    </rPh>
    <phoneticPr fontId="14"/>
  </si>
  <si>
    <t>　しじみ</t>
    <phoneticPr fontId="14"/>
  </si>
  <si>
    <t>　その他貝類</t>
    <rPh sb="3" eb="4">
      <t>タ</t>
    </rPh>
    <rPh sb="4" eb="6">
      <t>カイルイ</t>
    </rPh>
    <phoneticPr fontId="14"/>
  </si>
  <si>
    <t>　えび類</t>
    <rPh sb="3" eb="4">
      <t>ルイ</t>
    </rPh>
    <phoneticPr fontId="14"/>
  </si>
  <si>
    <t>　他に分類されない水産動植物類</t>
    <rPh sb="1" eb="2">
      <t>タ</t>
    </rPh>
    <rPh sb="3" eb="5">
      <t>ブンルイ</t>
    </rPh>
    <rPh sb="9" eb="11">
      <t>スイサン</t>
    </rPh>
    <rPh sb="11" eb="14">
      <t>ドウショクブツ</t>
    </rPh>
    <rPh sb="14" eb="15">
      <t>タグイ</t>
    </rPh>
    <phoneticPr fontId="14"/>
  </si>
  <si>
    <t>0172-02</t>
    <phoneticPr fontId="14"/>
  </si>
  <si>
    <t>0172020</t>
    <phoneticPr fontId="14"/>
  </si>
  <si>
    <t>内水面養殖業</t>
    <rPh sb="0" eb="3">
      <t>ナイスイメン</t>
    </rPh>
    <rPh sb="3" eb="6">
      <t>ヨウショクギョウ</t>
    </rPh>
    <phoneticPr fontId="14"/>
  </si>
  <si>
    <t>　ます類</t>
    <rPh sb="3" eb="4">
      <t>ルイ</t>
    </rPh>
    <phoneticPr fontId="14"/>
  </si>
  <si>
    <t>　その他の食用魚種</t>
    <rPh sb="3" eb="4">
      <t>タ</t>
    </rPh>
    <rPh sb="5" eb="7">
      <t>ショクヨウ</t>
    </rPh>
    <rPh sb="7" eb="9">
      <t>ギョシュ</t>
    </rPh>
    <phoneticPr fontId="14"/>
  </si>
  <si>
    <t>　淡水真珠</t>
    <rPh sb="1" eb="3">
      <t>タンスイ</t>
    </rPh>
    <rPh sb="3" eb="5">
      <t>シンジュ</t>
    </rPh>
    <phoneticPr fontId="14"/>
  </si>
  <si>
    <t>　観賞用魚</t>
    <rPh sb="1" eb="4">
      <t>カンショウヨウ</t>
    </rPh>
    <rPh sb="4" eb="5">
      <t>ギョ</t>
    </rPh>
    <phoneticPr fontId="14"/>
  </si>
  <si>
    <t>0611-01</t>
    <phoneticPr fontId="15"/>
  </si>
  <si>
    <t>石炭・原油・天然ガス</t>
    <rPh sb="3" eb="5">
      <t>ゲンユ</t>
    </rPh>
    <rPh sb="6" eb="8">
      <t>テンネン</t>
    </rPh>
    <phoneticPr fontId="14"/>
  </si>
  <si>
    <t>0611-011</t>
    <phoneticPr fontId="14"/>
  </si>
  <si>
    <t>石炭</t>
    <phoneticPr fontId="14"/>
  </si>
  <si>
    <t>0611-012</t>
    <phoneticPr fontId="14"/>
  </si>
  <si>
    <t>0611-013</t>
    <phoneticPr fontId="14"/>
  </si>
  <si>
    <t>0621-01</t>
    <phoneticPr fontId="15"/>
  </si>
  <si>
    <t>0621-011</t>
    <phoneticPr fontId="14"/>
  </si>
  <si>
    <t>砂利・採石</t>
  </si>
  <si>
    <r>
      <t>0621-02</t>
    </r>
    <r>
      <rPr>
        <b/>
        <sz val="10"/>
        <rFont val="Arial"/>
        <family val="2"/>
      </rPr>
      <t/>
    </r>
    <phoneticPr fontId="14"/>
  </si>
  <si>
    <t>0621-021</t>
    <phoneticPr fontId="14"/>
  </si>
  <si>
    <t>砕石</t>
  </si>
  <si>
    <t>　砕石</t>
    <rPh sb="1" eb="3">
      <t>サイセキ</t>
    </rPh>
    <phoneticPr fontId="14"/>
  </si>
  <si>
    <t>　切石、間知石、割石、割ぐり石</t>
    <rPh sb="1" eb="3">
      <t>キリイシ</t>
    </rPh>
    <rPh sb="4" eb="5">
      <t>マ</t>
    </rPh>
    <rPh sb="5" eb="6">
      <t>チ</t>
    </rPh>
    <rPh sb="6" eb="7">
      <t>イシ</t>
    </rPh>
    <rPh sb="8" eb="9">
      <t>ワリ</t>
    </rPh>
    <rPh sb="9" eb="10">
      <t>イシ</t>
    </rPh>
    <rPh sb="11" eb="12">
      <t>ワ</t>
    </rPh>
    <rPh sb="14" eb="15">
      <t>イシ</t>
    </rPh>
    <phoneticPr fontId="14"/>
  </si>
  <si>
    <t>202</t>
    <phoneticPr fontId="5"/>
  </si>
  <si>
    <t>　その他</t>
    <rPh sb="3" eb="4">
      <t>タ</t>
    </rPh>
    <phoneticPr fontId="14"/>
  </si>
  <si>
    <t>0629-09</t>
    <phoneticPr fontId="15"/>
  </si>
  <si>
    <t>その他の鉱物</t>
    <rPh sb="2" eb="3">
      <t>タ</t>
    </rPh>
    <phoneticPr fontId="14"/>
  </si>
  <si>
    <t>0629-091</t>
    <phoneticPr fontId="5"/>
  </si>
  <si>
    <t>0629-092</t>
    <phoneticPr fontId="5"/>
  </si>
  <si>
    <t>0629-093</t>
    <phoneticPr fontId="14"/>
  </si>
  <si>
    <t>0629-094</t>
    <phoneticPr fontId="14"/>
  </si>
  <si>
    <t>窯業原料鉱物(石灰石除く）</t>
    <rPh sb="7" eb="10">
      <t>セッカイセキ</t>
    </rPh>
    <rPh sb="10" eb="11">
      <t>ノゾ</t>
    </rPh>
    <phoneticPr fontId="14"/>
  </si>
  <si>
    <t>0629-099</t>
    <phoneticPr fontId="14"/>
  </si>
  <si>
    <t>他に分類されない鉱物</t>
    <rPh sb="0" eb="1">
      <t>ホカ</t>
    </rPh>
    <rPh sb="2" eb="4">
      <t>ブンルイ</t>
    </rPh>
    <rPh sb="8" eb="10">
      <t>コウブツ</t>
    </rPh>
    <phoneticPr fontId="14"/>
  </si>
  <si>
    <t>1111-01</t>
    <phoneticPr fontId="15"/>
  </si>
  <si>
    <t>食肉</t>
    <rPh sb="0" eb="2">
      <t>ショクニク</t>
    </rPh>
    <phoneticPr fontId="14"/>
  </si>
  <si>
    <t>1111-011</t>
  </si>
  <si>
    <t>牛肉</t>
    <phoneticPr fontId="14"/>
  </si>
  <si>
    <t>　和牛めす</t>
    <phoneticPr fontId="14"/>
  </si>
  <si>
    <t>　和牛去勢</t>
    <rPh sb="1" eb="3">
      <t>ワギュウ</t>
    </rPh>
    <phoneticPr fontId="14"/>
  </si>
  <si>
    <t>　和牛おす</t>
    <rPh sb="1" eb="3">
      <t>ワギュウ</t>
    </rPh>
    <phoneticPr fontId="14"/>
  </si>
  <si>
    <t>　乳牛めす</t>
    <rPh sb="2" eb="3">
      <t>ウシ</t>
    </rPh>
    <phoneticPr fontId="14"/>
  </si>
  <si>
    <t>　乳牛去勢</t>
    <rPh sb="1" eb="3">
      <t>ニュウギュウ</t>
    </rPh>
    <rPh sb="3" eb="5">
      <t>キョセイ</t>
    </rPh>
    <phoneticPr fontId="14"/>
  </si>
  <si>
    <t>　乳牛おす</t>
    <rPh sb="2" eb="3">
      <t>ウシ</t>
    </rPh>
    <phoneticPr fontId="14"/>
  </si>
  <si>
    <t>　交雑牛めす</t>
    <rPh sb="1" eb="3">
      <t>コウザツ</t>
    </rPh>
    <rPh sb="3" eb="4">
      <t>ギュウ</t>
    </rPh>
    <phoneticPr fontId="14"/>
  </si>
  <si>
    <t>　交雑牛去勢</t>
    <rPh sb="1" eb="3">
      <t>コウザツ</t>
    </rPh>
    <rPh sb="3" eb="4">
      <t>ギュウ</t>
    </rPh>
    <rPh sb="4" eb="6">
      <t>キョセイ</t>
    </rPh>
    <phoneticPr fontId="14"/>
  </si>
  <si>
    <t>303</t>
    <phoneticPr fontId="14"/>
  </si>
  <si>
    <t>　交雑牛おす</t>
    <rPh sb="1" eb="3">
      <t>コウザツ</t>
    </rPh>
    <rPh sb="3" eb="4">
      <t>ギュウ</t>
    </rPh>
    <phoneticPr fontId="14"/>
  </si>
  <si>
    <t>　その他の牛めす</t>
    <rPh sb="3" eb="4">
      <t>タ</t>
    </rPh>
    <rPh sb="5" eb="6">
      <t>ウシ</t>
    </rPh>
    <phoneticPr fontId="14"/>
  </si>
  <si>
    <t>　その他の牛去勢</t>
    <rPh sb="3" eb="4">
      <t>タ</t>
    </rPh>
    <rPh sb="5" eb="6">
      <t>ウシ</t>
    </rPh>
    <rPh sb="6" eb="8">
      <t>キョセイ</t>
    </rPh>
    <phoneticPr fontId="14"/>
  </si>
  <si>
    <t>　その他の牛おす</t>
    <rPh sb="3" eb="4">
      <t>タ</t>
    </rPh>
    <rPh sb="5" eb="6">
      <t>ウシ</t>
    </rPh>
    <phoneticPr fontId="14"/>
  </si>
  <si>
    <t>　子牛</t>
    <rPh sb="1" eb="3">
      <t>コウシ</t>
    </rPh>
    <phoneticPr fontId="14"/>
  </si>
  <si>
    <t>1111-012</t>
  </si>
  <si>
    <t>豚肉</t>
    <phoneticPr fontId="14"/>
  </si>
  <si>
    <t>1111-013</t>
  </si>
  <si>
    <t>　肉用若鶏（ブロイラー）</t>
    <rPh sb="1" eb="3">
      <t>ニクヨウ</t>
    </rPh>
    <rPh sb="3" eb="5">
      <t>ワカドリ</t>
    </rPh>
    <phoneticPr fontId="14"/>
  </si>
  <si>
    <t>　廃鶏</t>
    <rPh sb="1" eb="2">
      <t>ハイ</t>
    </rPh>
    <rPh sb="2" eb="3">
      <t>ニワトリ</t>
    </rPh>
    <phoneticPr fontId="14"/>
  </si>
  <si>
    <t>　その他の肉用鶏</t>
    <rPh sb="3" eb="4">
      <t>タ</t>
    </rPh>
    <rPh sb="5" eb="7">
      <t>ニクヨウ</t>
    </rPh>
    <rPh sb="7" eb="8">
      <t>ニワトリ</t>
    </rPh>
    <phoneticPr fontId="14"/>
  </si>
  <si>
    <t>1111-014</t>
  </si>
  <si>
    <t>その他の食肉</t>
    <rPh sb="4" eb="5">
      <t>ショク</t>
    </rPh>
    <phoneticPr fontId="14"/>
  </si>
  <si>
    <t>　馬肉</t>
    <phoneticPr fontId="14"/>
  </si>
  <si>
    <t>　その他の食肉</t>
    <rPh sb="3" eb="4">
      <t>タ</t>
    </rPh>
    <rPh sb="5" eb="7">
      <t>ショクニク</t>
    </rPh>
    <phoneticPr fontId="14"/>
  </si>
  <si>
    <t>1111-015</t>
  </si>
  <si>
    <t>と蓄副産物（含肉鶏処理副産物）</t>
  </si>
  <si>
    <t>　牛皮</t>
    <phoneticPr fontId="14"/>
  </si>
  <si>
    <t>　小牛皮</t>
    <rPh sb="1" eb="2">
      <t>ショウ</t>
    </rPh>
    <phoneticPr fontId="14"/>
  </si>
  <si>
    <t>　豚皮</t>
    <phoneticPr fontId="14"/>
  </si>
  <si>
    <t>　馬皮</t>
    <phoneticPr fontId="14"/>
  </si>
  <si>
    <t>801</t>
  </si>
  <si>
    <t>　内臓</t>
    <phoneticPr fontId="14"/>
  </si>
  <si>
    <t>802</t>
  </si>
  <si>
    <t>　肉鶏処理副産物</t>
    <phoneticPr fontId="14"/>
  </si>
  <si>
    <t>899</t>
  </si>
  <si>
    <t>　その他</t>
    <phoneticPr fontId="14"/>
  </si>
  <si>
    <t>1111-02</t>
    <phoneticPr fontId="5"/>
  </si>
  <si>
    <t>酪農品</t>
  </si>
  <si>
    <t>1111-021</t>
    <phoneticPr fontId="5"/>
  </si>
  <si>
    <t>　牛乳</t>
    <phoneticPr fontId="14"/>
  </si>
  <si>
    <t>　加工乳</t>
    <phoneticPr fontId="14"/>
  </si>
  <si>
    <t>1111-022</t>
    <phoneticPr fontId="5"/>
  </si>
  <si>
    <t>　乳飲料</t>
    <rPh sb="2" eb="4">
      <t>インリョウ</t>
    </rPh>
    <phoneticPr fontId="14"/>
  </si>
  <si>
    <t>　乳酸菌飲料</t>
    <rPh sb="1" eb="4">
      <t>ニュウサンキン</t>
    </rPh>
    <rPh sb="4" eb="6">
      <t>インリョウ</t>
    </rPh>
    <phoneticPr fontId="14"/>
  </si>
  <si>
    <t>　発酵乳</t>
    <rPh sb="1" eb="4">
      <t>ハッコウニュウ</t>
    </rPh>
    <phoneticPr fontId="14"/>
  </si>
  <si>
    <t>　全粉乳</t>
    <rPh sb="1" eb="2">
      <t>ゼン</t>
    </rPh>
    <phoneticPr fontId="14"/>
  </si>
  <si>
    <t>　調製粉乳</t>
    <rPh sb="1" eb="3">
      <t>チョウセイ</t>
    </rPh>
    <rPh sb="3" eb="5">
      <t>フンニュウ</t>
    </rPh>
    <phoneticPr fontId="14"/>
  </si>
  <si>
    <t>203</t>
  </si>
  <si>
    <t>　脱脂粉乳</t>
    <rPh sb="1" eb="3">
      <t>ダッシ</t>
    </rPh>
    <rPh sb="3" eb="5">
      <t>フンニュウ</t>
    </rPh>
    <phoneticPr fontId="14"/>
  </si>
  <si>
    <t>204</t>
  </si>
  <si>
    <t>　加糖れん乳・無糖れん乳等</t>
    <rPh sb="1" eb="3">
      <t>カトウ</t>
    </rPh>
    <rPh sb="5" eb="6">
      <t>ニュウ</t>
    </rPh>
    <rPh sb="7" eb="9">
      <t>ムトウ</t>
    </rPh>
    <rPh sb="11" eb="12">
      <t>ニュウ</t>
    </rPh>
    <rPh sb="12" eb="13">
      <t>トウ</t>
    </rPh>
    <phoneticPr fontId="14"/>
  </si>
  <si>
    <t>　バター</t>
    <phoneticPr fontId="14"/>
  </si>
  <si>
    <t>　チーズ</t>
    <phoneticPr fontId="14"/>
  </si>
  <si>
    <t>　クリーム</t>
    <phoneticPr fontId="14"/>
  </si>
  <si>
    <t>　アイスクリーム</t>
    <phoneticPr fontId="14"/>
  </si>
  <si>
    <t>　アイスミルク</t>
    <phoneticPr fontId="14"/>
  </si>
  <si>
    <t>　ラクトアイス</t>
    <phoneticPr fontId="14"/>
  </si>
  <si>
    <t>　農業経営体生産分</t>
    <rPh sb="1" eb="3">
      <t>ノウギョウ</t>
    </rPh>
    <rPh sb="3" eb="5">
      <t>ケイエイ</t>
    </rPh>
    <rPh sb="5" eb="6">
      <t>タイ</t>
    </rPh>
    <rPh sb="6" eb="9">
      <t>セイサンブン</t>
    </rPh>
    <phoneticPr fontId="14"/>
  </si>
  <si>
    <t>901</t>
  </si>
  <si>
    <t>　半製品及び仕掛品</t>
    <rPh sb="4" eb="5">
      <t>オヨ</t>
    </rPh>
    <rPh sb="6" eb="8">
      <t>シカケ</t>
    </rPh>
    <rPh sb="8" eb="9">
      <t>ヒン</t>
    </rPh>
    <phoneticPr fontId="14"/>
  </si>
  <si>
    <t>1111-09</t>
    <phoneticPr fontId="15"/>
  </si>
  <si>
    <t>1111-099</t>
    <phoneticPr fontId="5"/>
  </si>
  <si>
    <t>　肉加工品</t>
    <rPh sb="1" eb="2">
      <t>ニク</t>
    </rPh>
    <rPh sb="2" eb="5">
      <t>カコウヒン</t>
    </rPh>
    <phoneticPr fontId="14"/>
  </si>
  <si>
    <t>　農業経営体生産分</t>
    <rPh sb="1" eb="3">
      <t>ノウギョウ</t>
    </rPh>
    <rPh sb="3" eb="5">
      <t>ケイエイ</t>
    </rPh>
    <rPh sb="5" eb="6">
      <t>タイ</t>
    </rPh>
    <rPh sb="6" eb="8">
      <t>セイサン</t>
    </rPh>
    <rPh sb="8" eb="9">
      <t>ブン</t>
    </rPh>
    <phoneticPr fontId="14"/>
  </si>
  <si>
    <t>　食肉びん・かん詰</t>
    <rPh sb="1" eb="3">
      <t>ショクニク</t>
    </rPh>
    <rPh sb="8" eb="9">
      <t>ヅメ</t>
    </rPh>
    <phoneticPr fontId="14"/>
  </si>
  <si>
    <t>　畜産食品（別掲を除く。）</t>
    <rPh sb="1" eb="3">
      <t>チクサン</t>
    </rPh>
    <rPh sb="3" eb="5">
      <t>ショクヒン</t>
    </rPh>
    <rPh sb="6" eb="8">
      <t>ベッケイ</t>
    </rPh>
    <rPh sb="9" eb="10">
      <t>ノゾ</t>
    </rPh>
    <phoneticPr fontId="5"/>
  </si>
  <si>
    <t>　半製品及び仕掛品</t>
    <rPh sb="4" eb="5">
      <t>オヨ</t>
    </rPh>
    <phoneticPr fontId="14"/>
  </si>
  <si>
    <t>1112-01</t>
    <phoneticPr fontId="15"/>
  </si>
  <si>
    <t>1112-011</t>
    <phoneticPr fontId="5"/>
  </si>
  <si>
    <t>　生鮮冷凍魚介類</t>
    <rPh sb="5" eb="8">
      <t>ギョカイルイ</t>
    </rPh>
    <phoneticPr fontId="14"/>
  </si>
  <si>
    <t>　包装冷凍魚介類</t>
    <phoneticPr fontId="14"/>
  </si>
  <si>
    <t>　副産物</t>
    <phoneticPr fontId="14"/>
  </si>
  <si>
    <r>
      <t>1112-02</t>
    </r>
    <r>
      <rPr>
        <b/>
        <sz val="10"/>
        <rFont val="Arial"/>
        <family val="2"/>
      </rPr>
      <t/>
    </r>
    <phoneticPr fontId="5"/>
  </si>
  <si>
    <t>1112-021</t>
    <phoneticPr fontId="5"/>
  </si>
  <si>
    <t>　塩干・塩蔵品</t>
    <rPh sb="2" eb="3">
      <t>ホ</t>
    </rPh>
    <rPh sb="4" eb="5">
      <t>シオ</t>
    </rPh>
    <rPh sb="5" eb="6">
      <t>ゾウ</t>
    </rPh>
    <rPh sb="6" eb="7">
      <t>ヒン</t>
    </rPh>
    <phoneticPr fontId="14"/>
  </si>
  <si>
    <t>　素干・煮干</t>
    <rPh sb="4" eb="6">
      <t>ニボシ</t>
    </rPh>
    <phoneticPr fontId="14"/>
  </si>
  <si>
    <t>　くん製品</t>
    <phoneticPr fontId="14"/>
  </si>
  <si>
    <r>
      <t>1112-03</t>
    </r>
    <r>
      <rPr>
        <b/>
        <sz val="10"/>
        <rFont val="Arial"/>
        <family val="2"/>
      </rPr>
      <t/>
    </r>
    <phoneticPr fontId="5"/>
  </si>
  <si>
    <t>1112-031</t>
    <phoneticPr fontId="5"/>
  </si>
  <si>
    <t>　水産びん・かん詰</t>
    <rPh sb="1" eb="3">
      <t>スイサン</t>
    </rPh>
    <rPh sb="8" eb="9">
      <t>ヅ</t>
    </rPh>
    <phoneticPr fontId="14"/>
  </si>
  <si>
    <t>　半製品及び仕掛品</t>
    <rPh sb="1" eb="4">
      <t>ハンセイヒン</t>
    </rPh>
    <rPh sb="4" eb="5">
      <t>オヨ</t>
    </rPh>
    <rPh sb="6" eb="8">
      <t>シカケ</t>
    </rPh>
    <rPh sb="8" eb="9">
      <t>ヒン</t>
    </rPh>
    <phoneticPr fontId="14"/>
  </si>
  <si>
    <r>
      <t>1112-04</t>
    </r>
    <r>
      <rPr>
        <b/>
        <sz val="10"/>
        <rFont val="Arial"/>
        <family val="2"/>
      </rPr>
      <t/>
    </r>
    <phoneticPr fontId="5"/>
  </si>
  <si>
    <t>1112-041</t>
    <phoneticPr fontId="5"/>
  </si>
  <si>
    <t>　ねり製品</t>
    <rPh sb="3" eb="5">
      <t>セイヒン</t>
    </rPh>
    <phoneticPr fontId="14"/>
  </si>
  <si>
    <t>1112-09</t>
    <phoneticPr fontId="15"/>
  </si>
  <si>
    <t>1112-099</t>
    <phoneticPr fontId="5"/>
  </si>
  <si>
    <t>　海藻加工品</t>
    <rPh sb="1" eb="3">
      <t>カイソウ</t>
    </rPh>
    <rPh sb="3" eb="6">
      <t>カコウヒン</t>
    </rPh>
    <phoneticPr fontId="14"/>
  </si>
  <si>
    <t>　その他の水産食品</t>
    <rPh sb="3" eb="4">
      <t>タ</t>
    </rPh>
    <rPh sb="5" eb="7">
      <t>スイサン</t>
    </rPh>
    <rPh sb="7" eb="9">
      <t>ショクヒン</t>
    </rPh>
    <phoneticPr fontId="14"/>
  </si>
  <si>
    <t>　副産物</t>
    <rPh sb="1" eb="4">
      <t>フクサンブツ</t>
    </rPh>
    <phoneticPr fontId="14"/>
  </si>
  <si>
    <t>1113-01</t>
    <phoneticPr fontId="15"/>
  </si>
  <si>
    <t>精穀</t>
  </si>
  <si>
    <t>1113-011</t>
    <phoneticPr fontId="5"/>
  </si>
  <si>
    <t>1113-019</t>
    <phoneticPr fontId="5"/>
  </si>
  <si>
    <t>　精麦</t>
    <phoneticPr fontId="14"/>
  </si>
  <si>
    <t>　精米・精麦かす</t>
    <rPh sb="1" eb="3">
      <t>セイマイ</t>
    </rPh>
    <rPh sb="4" eb="5">
      <t>セイ</t>
    </rPh>
    <rPh sb="5" eb="6">
      <t>ムギ</t>
    </rPh>
    <phoneticPr fontId="14"/>
  </si>
  <si>
    <t>1113-02</t>
    <phoneticPr fontId="15"/>
  </si>
  <si>
    <t>製粉</t>
  </si>
  <si>
    <t>1113-021</t>
    <phoneticPr fontId="5"/>
  </si>
  <si>
    <t>1113-029</t>
    <phoneticPr fontId="5"/>
  </si>
  <si>
    <t>1114-01</t>
    <phoneticPr fontId="15"/>
  </si>
  <si>
    <t>1114-011</t>
    <phoneticPr fontId="5"/>
  </si>
  <si>
    <t>　めん類</t>
    <phoneticPr fontId="14"/>
  </si>
  <si>
    <r>
      <t>1114-02</t>
    </r>
    <r>
      <rPr>
        <b/>
        <sz val="10"/>
        <rFont val="Arial"/>
        <family val="2"/>
      </rPr>
      <t/>
    </r>
    <phoneticPr fontId="5"/>
  </si>
  <si>
    <t>1114-021</t>
    <phoneticPr fontId="5"/>
  </si>
  <si>
    <t>　食パン～その他のパン</t>
    <rPh sb="7" eb="8">
      <t>タ</t>
    </rPh>
    <phoneticPr fontId="14"/>
  </si>
  <si>
    <t xml:space="preserve">  製造小売分</t>
    <rPh sb="2" eb="4">
      <t>セイゾウ</t>
    </rPh>
    <rPh sb="4" eb="6">
      <t>コウリ</t>
    </rPh>
    <rPh sb="6" eb="7">
      <t>ブン</t>
    </rPh>
    <phoneticPr fontId="14"/>
  </si>
  <si>
    <r>
      <t>1114-03</t>
    </r>
    <r>
      <rPr>
        <b/>
        <sz val="10"/>
        <rFont val="Arial"/>
        <family val="2"/>
      </rPr>
      <t/>
    </r>
    <phoneticPr fontId="5"/>
  </si>
  <si>
    <t>1114-031</t>
    <phoneticPr fontId="5"/>
  </si>
  <si>
    <t>　飴菓子～氷菓</t>
    <rPh sb="5" eb="7">
      <t>ヒョウカ</t>
    </rPh>
    <phoneticPr fontId="14"/>
  </si>
  <si>
    <t>　製造小売分</t>
    <rPh sb="1" eb="3">
      <t>セイゾウ</t>
    </rPh>
    <rPh sb="3" eb="5">
      <t>コウリ</t>
    </rPh>
    <rPh sb="5" eb="6">
      <t>ブン</t>
    </rPh>
    <phoneticPr fontId="14"/>
  </si>
  <si>
    <t>1115-01</t>
    <phoneticPr fontId="5"/>
  </si>
  <si>
    <t>1115-011</t>
    <phoneticPr fontId="5"/>
  </si>
  <si>
    <t>　野菜・果実漬物</t>
    <rPh sb="4" eb="6">
      <t>カジツ</t>
    </rPh>
    <phoneticPr fontId="14"/>
  </si>
  <si>
    <t>　冷凍野菜・果実</t>
    <rPh sb="6" eb="8">
      <t>カジツ</t>
    </rPh>
    <phoneticPr fontId="14"/>
  </si>
  <si>
    <t>　果実びん・かん詰</t>
    <rPh sb="1" eb="3">
      <t>カジツ</t>
    </rPh>
    <rPh sb="8" eb="9">
      <t>ツ</t>
    </rPh>
    <phoneticPr fontId="14"/>
  </si>
  <si>
    <t>　野菜びん・かん詰</t>
    <rPh sb="1" eb="3">
      <t>ヤサイ</t>
    </rPh>
    <rPh sb="8" eb="9">
      <t>ツ</t>
    </rPh>
    <phoneticPr fontId="14"/>
  </si>
  <si>
    <t>　ジャムびん・かん詰</t>
    <rPh sb="9" eb="10">
      <t>ツ</t>
    </rPh>
    <phoneticPr fontId="14"/>
  </si>
  <si>
    <t>　原料濃縮果汁</t>
    <rPh sb="1" eb="3">
      <t>ゲンリョウ</t>
    </rPh>
    <rPh sb="3" eb="5">
      <t>ノウシュク</t>
    </rPh>
    <rPh sb="5" eb="7">
      <t>カジュウ</t>
    </rPh>
    <phoneticPr fontId="14"/>
  </si>
  <si>
    <t>　その他の農産保存食料品</t>
    <rPh sb="3" eb="4">
      <t>タ</t>
    </rPh>
    <rPh sb="5" eb="7">
      <t>ノウサン</t>
    </rPh>
    <rPh sb="7" eb="9">
      <t>ホゾン</t>
    </rPh>
    <rPh sb="9" eb="12">
      <t>ショクリョウヒン</t>
    </rPh>
    <phoneticPr fontId="14"/>
  </si>
  <si>
    <t>1116-01</t>
    <phoneticPr fontId="15"/>
  </si>
  <si>
    <t>砂糖</t>
  </si>
  <si>
    <t>1116-011</t>
    <phoneticPr fontId="5"/>
  </si>
  <si>
    <t>1116-019</t>
    <phoneticPr fontId="5"/>
  </si>
  <si>
    <t>　含みつ糖</t>
    <phoneticPr fontId="14"/>
  </si>
  <si>
    <t>　糖みつ</t>
    <phoneticPr fontId="14"/>
  </si>
  <si>
    <t>　ビートパルプ</t>
    <phoneticPr fontId="14"/>
  </si>
  <si>
    <t>1116-02</t>
    <phoneticPr fontId="15"/>
  </si>
  <si>
    <t>1116-021</t>
    <phoneticPr fontId="5"/>
  </si>
  <si>
    <t>　でん粉</t>
    <phoneticPr fontId="14"/>
  </si>
  <si>
    <t>　でん粉かす</t>
    <phoneticPr fontId="14"/>
  </si>
  <si>
    <r>
      <t>1116-03</t>
    </r>
    <r>
      <rPr>
        <b/>
        <sz val="10"/>
        <rFont val="Arial"/>
        <family val="2"/>
      </rPr>
      <t/>
    </r>
    <phoneticPr fontId="5"/>
  </si>
  <si>
    <t>1116-031</t>
    <phoneticPr fontId="5"/>
  </si>
  <si>
    <t>　ぶどう糖</t>
    <phoneticPr fontId="14"/>
  </si>
  <si>
    <t>　水あめ</t>
    <phoneticPr fontId="14"/>
  </si>
  <si>
    <t>　異性化糖</t>
    <phoneticPr fontId="14"/>
  </si>
  <si>
    <r>
      <t>1116-04</t>
    </r>
    <r>
      <rPr>
        <b/>
        <sz val="10"/>
        <rFont val="Arial"/>
        <family val="2"/>
      </rPr>
      <t/>
    </r>
    <phoneticPr fontId="5"/>
  </si>
  <si>
    <t>動植物油脂</t>
    <rPh sb="0" eb="1">
      <t>ドウ</t>
    </rPh>
    <phoneticPr fontId="14"/>
  </si>
  <si>
    <t>1116-041</t>
    <phoneticPr fontId="5"/>
  </si>
  <si>
    <t>1116-042</t>
    <phoneticPr fontId="5"/>
  </si>
  <si>
    <t>動物油脂</t>
    <rPh sb="0" eb="2">
      <t>ドウブツ</t>
    </rPh>
    <rPh sb="2" eb="4">
      <t>ユシ</t>
    </rPh>
    <phoneticPr fontId="14"/>
  </si>
  <si>
    <t>　牛脂</t>
    <phoneticPr fontId="14"/>
  </si>
  <si>
    <t>102</t>
    <phoneticPr fontId="5"/>
  </si>
  <si>
    <t>　豚脂</t>
    <phoneticPr fontId="14"/>
  </si>
  <si>
    <t>103</t>
    <phoneticPr fontId="5"/>
  </si>
  <si>
    <t>　魚油</t>
    <phoneticPr fontId="14"/>
  </si>
  <si>
    <t>　その他の動物油</t>
    <phoneticPr fontId="14"/>
  </si>
  <si>
    <t>1116-043</t>
    <phoneticPr fontId="14"/>
  </si>
  <si>
    <t>1116-044</t>
    <phoneticPr fontId="14"/>
  </si>
  <si>
    <t>1116-05</t>
    <phoneticPr fontId="14"/>
  </si>
  <si>
    <t>1116-051</t>
    <phoneticPr fontId="14"/>
  </si>
  <si>
    <t>調味料</t>
  </si>
  <si>
    <t>　調味料（味そ～他に分類されない調味料）</t>
    <rPh sb="1" eb="4">
      <t>チョウミリョウ</t>
    </rPh>
    <rPh sb="5" eb="6">
      <t>アジ</t>
    </rPh>
    <rPh sb="8" eb="9">
      <t>ホカ</t>
    </rPh>
    <rPh sb="10" eb="12">
      <t>ブンルイ</t>
    </rPh>
    <rPh sb="16" eb="19">
      <t>チョウミリョウ</t>
    </rPh>
    <phoneticPr fontId="14"/>
  </si>
  <si>
    <t xml:space="preserve">  農業経営体生産分</t>
    <rPh sb="2" eb="4">
      <t>ノウギョウ</t>
    </rPh>
    <rPh sb="4" eb="6">
      <t>ケイエイ</t>
    </rPh>
    <rPh sb="6" eb="7">
      <t>タイ</t>
    </rPh>
    <rPh sb="7" eb="9">
      <t>セイサン</t>
    </rPh>
    <rPh sb="9" eb="10">
      <t>ブン</t>
    </rPh>
    <phoneticPr fontId="14"/>
  </si>
  <si>
    <t>901</t>
    <phoneticPr fontId="5"/>
  </si>
  <si>
    <t>　半製品及び仕掛品</t>
    <rPh sb="1" eb="4">
      <t>ハンセイヒン</t>
    </rPh>
    <rPh sb="4" eb="5">
      <t>オヨ</t>
    </rPh>
    <rPh sb="6" eb="9">
      <t>シカケヒン</t>
    </rPh>
    <phoneticPr fontId="5"/>
  </si>
  <si>
    <t>1119-01</t>
    <phoneticPr fontId="15"/>
  </si>
  <si>
    <t>1119-011</t>
  </si>
  <si>
    <t>　冷凍調理食品</t>
    <rPh sb="1" eb="3">
      <t>レイトウ</t>
    </rPh>
    <rPh sb="3" eb="5">
      <t>チョウリ</t>
    </rPh>
    <rPh sb="5" eb="7">
      <t>ショクヒン</t>
    </rPh>
    <phoneticPr fontId="14"/>
  </si>
  <si>
    <t>　半製品及び仕掛品</t>
    <rPh sb="1" eb="4">
      <t>ハンセイヒン</t>
    </rPh>
    <rPh sb="4" eb="5">
      <t>オヨ</t>
    </rPh>
    <rPh sb="6" eb="8">
      <t>シカ</t>
    </rPh>
    <rPh sb="8" eb="9">
      <t>ヒン</t>
    </rPh>
    <phoneticPr fontId="14"/>
  </si>
  <si>
    <r>
      <t>1119-02</t>
    </r>
    <r>
      <rPr>
        <b/>
        <sz val="10"/>
        <rFont val="Arial"/>
        <family val="2"/>
      </rPr>
      <t/>
    </r>
  </si>
  <si>
    <t>1119-021</t>
  </si>
  <si>
    <t>　レトルト食品</t>
    <rPh sb="5" eb="7">
      <t>ショクヒン</t>
    </rPh>
    <phoneticPr fontId="14"/>
  </si>
  <si>
    <r>
      <t>1119-03</t>
    </r>
    <r>
      <rPr>
        <b/>
        <sz val="10"/>
        <rFont val="Arial"/>
        <family val="2"/>
      </rPr>
      <t/>
    </r>
  </si>
  <si>
    <t>1119-031</t>
  </si>
  <si>
    <t>　そう菜</t>
    <phoneticPr fontId="14"/>
  </si>
  <si>
    <t>　すし・弁当</t>
    <phoneticPr fontId="14"/>
  </si>
  <si>
    <t>　製造小売分</t>
    <phoneticPr fontId="14"/>
  </si>
  <si>
    <t>1119-09</t>
    <phoneticPr fontId="15"/>
  </si>
  <si>
    <t>1119-099</t>
  </si>
  <si>
    <t>　細品目合計　101～901</t>
    <rPh sb="1" eb="2">
      <t>ホソ</t>
    </rPh>
    <rPh sb="2" eb="4">
      <t>ヒンモク</t>
    </rPh>
    <rPh sb="4" eb="6">
      <t>ゴウケイ</t>
    </rPh>
    <phoneticPr fontId="14"/>
  </si>
  <si>
    <t>1121-01</t>
    <phoneticPr fontId="15"/>
  </si>
  <si>
    <t>1121-011</t>
  </si>
  <si>
    <r>
      <t>1121-02</t>
    </r>
    <r>
      <rPr>
        <b/>
        <sz val="10"/>
        <rFont val="Arial"/>
        <family val="2"/>
      </rPr>
      <t/>
    </r>
  </si>
  <si>
    <t>1121-021</t>
  </si>
  <si>
    <t>ビール類</t>
    <rPh sb="3" eb="4">
      <t>ルイ</t>
    </rPh>
    <phoneticPr fontId="14"/>
  </si>
  <si>
    <r>
      <t>1121-03</t>
    </r>
    <r>
      <rPr>
        <b/>
        <sz val="10"/>
        <rFont val="Arial"/>
        <family val="2"/>
      </rPr>
      <t/>
    </r>
  </si>
  <si>
    <t>1121-031</t>
  </si>
  <si>
    <t>ウィスキー類</t>
  </si>
  <si>
    <t>1121-09</t>
    <phoneticPr fontId="15"/>
  </si>
  <si>
    <t>1121-099</t>
  </si>
  <si>
    <t>1129-01</t>
    <phoneticPr fontId="15"/>
  </si>
  <si>
    <t>1129-011</t>
  </si>
  <si>
    <t>　（緑茶～コーヒー）</t>
    <phoneticPr fontId="14"/>
  </si>
  <si>
    <r>
      <t>1129-02</t>
    </r>
    <r>
      <rPr>
        <b/>
        <sz val="10"/>
        <rFont val="Arial"/>
        <family val="2"/>
      </rPr>
      <t/>
    </r>
  </si>
  <si>
    <t>1129-021</t>
  </si>
  <si>
    <t>　炭酸飲料</t>
    <phoneticPr fontId="14"/>
  </si>
  <si>
    <t>　果実飲料</t>
    <rPh sb="1" eb="3">
      <t>カジツ</t>
    </rPh>
    <rPh sb="3" eb="5">
      <t>インリョウ</t>
    </rPh>
    <phoneticPr fontId="14"/>
  </si>
  <si>
    <t>　トマトジュース</t>
    <phoneticPr fontId="5"/>
  </si>
  <si>
    <t>302</t>
    <phoneticPr fontId="5"/>
  </si>
  <si>
    <t>　その他の野菜飲料</t>
    <rPh sb="3" eb="4">
      <t>タ</t>
    </rPh>
    <rPh sb="5" eb="7">
      <t>ヤサイ</t>
    </rPh>
    <rPh sb="7" eb="9">
      <t>インリョウ</t>
    </rPh>
    <phoneticPr fontId="5"/>
  </si>
  <si>
    <t>　茶系飲料</t>
    <rPh sb="1" eb="2">
      <t>チャ</t>
    </rPh>
    <rPh sb="2" eb="3">
      <t>ケイ</t>
    </rPh>
    <rPh sb="3" eb="5">
      <t>インリョウ</t>
    </rPh>
    <phoneticPr fontId="14"/>
  </si>
  <si>
    <t>　コーヒー飲料</t>
    <rPh sb="5" eb="7">
      <t>インリョウ</t>
    </rPh>
    <phoneticPr fontId="14"/>
  </si>
  <si>
    <t>　豆乳類</t>
    <rPh sb="1" eb="3">
      <t>トウニュウ</t>
    </rPh>
    <rPh sb="3" eb="4">
      <t>ルイ</t>
    </rPh>
    <phoneticPr fontId="14"/>
  </si>
  <si>
    <t>602</t>
    <phoneticPr fontId="14"/>
  </si>
  <si>
    <t>　ミネラルウォーター</t>
    <phoneticPr fontId="14"/>
  </si>
  <si>
    <t>603</t>
    <phoneticPr fontId="14"/>
  </si>
  <si>
    <t>　スポーツ・機能性飲料</t>
    <rPh sb="6" eb="9">
      <t>キノウセイ</t>
    </rPh>
    <rPh sb="9" eb="11">
      <t>インリョウ</t>
    </rPh>
    <phoneticPr fontId="14"/>
  </si>
  <si>
    <t>604</t>
    <phoneticPr fontId="14"/>
  </si>
  <si>
    <t>　乳性飲料</t>
    <rPh sb="1" eb="3">
      <t>ニュウセイ</t>
    </rPh>
    <rPh sb="3" eb="5">
      <t>インリョウ</t>
    </rPh>
    <phoneticPr fontId="14"/>
  </si>
  <si>
    <t>　他に分類されない清涼飲料</t>
    <rPh sb="1" eb="2">
      <t>タ</t>
    </rPh>
    <rPh sb="3" eb="5">
      <t>ブンルイ</t>
    </rPh>
    <rPh sb="9" eb="11">
      <t>セイリョウ</t>
    </rPh>
    <rPh sb="11" eb="13">
      <t>インリョウ</t>
    </rPh>
    <phoneticPr fontId="14"/>
  </si>
  <si>
    <t>701</t>
    <phoneticPr fontId="5"/>
  </si>
  <si>
    <t>　農業経営体生産分</t>
    <rPh sb="1" eb="3">
      <t>ノウギョウ</t>
    </rPh>
    <rPh sb="3" eb="6">
      <t>ケイエイタイ</t>
    </rPh>
    <rPh sb="6" eb="9">
      <t>セイサンブン</t>
    </rPh>
    <phoneticPr fontId="5"/>
  </si>
  <si>
    <r>
      <t>1129-03</t>
    </r>
    <r>
      <rPr>
        <b/>
        <sz val="10"/>
        <rFont val="Arial"/>
        <family val="2"/>
      </rPr>
      <t/>
    </r>
  </si>
  <si>
    <t>1129-031</t>
  </si>
  <si>
    <t>000</t>
    <phoneticPr fontId="14"/>
  </si>
  <si>
    <t>1131-01</t>
    <phoneticPr fontId="15"/>
  </si>
  <si>
    <t>1131-011</t>
  </si>
  <si>
    <r>
      <t>1131-02</t>
    </r>
    <r>
      <rPr>
        <b/>
        <sz val="10"/>
        <rFont val="Arial"/>
        <family val="2"/>
      </rPr>
      <t/>
    </r>
  </si>
  <si>
    <t>1131-021</t>
  </si>
  <si>
    <t>有機質肥料（除別掲）</t>
  </si>
  <si>
    <t>　有機質肥料</t>
    <phoneticPr fontId="5"/>
  </si>
  <si>
    <t>1141-01</t>
    <phoneticPr fontId="15"/>
  </si>
  <si>
    <t>1141-011</t>
  </si>
  <si>
    <t>　たばこ</t>
    <phoneticPr fontId="14"/>
  </si>
  <si>
    <t>　仕掛品・半製品</t>
    <rPh sb="1" eb="3">
      <t>シカケ</t>
    </rPh>
    <rPh sb="3" eb="4">
      <t>ヒン</t>
    </rPh>
    <rPh sb="5" eb="8">
      <t>ハンセイヒン</t>
    </rPh>
    <phoneticPr fontId="14"/>
  </si>
  <si>
    <t>1511-01</t>
    <phoneticPr fontId="15"/>
  </si>
  <si>
    <t>1511-011</t>
  </si>
  <si>
    <t>紡績糸</t>
  </si>
  <si>
    <t>1512-01</t>
    <phoneticPr fontId="15"/>
  </si>
  <si>
    <t>1512-011</t>
  </si>
  <si>
    <t>綿・スフ織物（含合繊短繊維織物）</t>
  </si>
  <si>
    <r>
      <t>1512-02</t>
    </r>
    <r>
      <rPr>
        <b/>
        <sz val="10"/>
        <rFont val="Arial"/>
        <family val="2"/>
      </rPr>
      <t/>
    </r>
  </si>
  <si>
    <t>1512-021</t>
  </si>
  <si>
    <t>絹・人絹織物（含合繊長繊維織物）</t>
  </si>
  <si>
    <t>1512-09</t>
    <phoneticPr fontId="14"/>
  </si>
  <si>
    <t>1512-099</t>
    <phoneticPr fontId="14"/>
  </si>
  <si>
    <t>その他の織物</t>
    <phoneticPr fontId="14"/>
  </si>
  <si>
    <t>1513-01</t>
    <phoneticPr fontId="15"/>
  </si>
  <si>
    <t>1513-011</t>
  </si>
  <si>
    <t>1514-01</t>
    <phoneticPr fontId="15"/>
  </si>
  <si>
    <t>1514-011</t>
  </si>
  <si>
    <t>　綿・スフ・麻織物精錬・漂白・染色</t>
    <rPh sb="1" eb="2">
      <t>メン</t>
    </rPh>
    <rPh sb="6" eb="7">
      <t>アサ</t>
    </rPh>
    <rPh sb="7" eb="9">
      <t>オリモノ</t>
    </rPh>
    <rPh sb="9" eb="11">
      <t>セイレン</t>
    </rPh>
    <rPh sb="12" eb="14">
      <t>ヒョウハク</t>
    </rPh>
    <rPh sb="15" eb="17">
      <t>センショク</t>
    </rPh>
    <phoneticPr fontId="14"/>
  </si>
  <si>
    <t>　合成繊維紡績糸織物精練・漂白・染色、麻風合成繊維織物機械整理仕上～毛織物機械染色・整理</t>
    <rPh sb="1" eb="3">
      <t>ゴウセイ</t>
    </rPh>
    <rPh sb="3" eb="5">
      <t>センイ</t>
    </rPh>
    <rPh sb="5" eb="7">
      <t>ボウセキ</t>
    </rPh>
    <rPh sb="7" eb="8">
      <t>イト</t>
    </rPh>
    <rPh sb="8" eb="10">
      <t>オリモノ</t>
    </rPh>
    <rPh sb="10" eb="12">
      <t>セイレン</t>
    </rPh>
    <rPh sb="13" eb="15">
      <t>ヒョウハク</t>
    </rPh>
    <rPh sb="16" eb="18">
      <t>センショク</t>
    </rPh>
    <rPh sb="19" eb="20">
      <t>アサ</t>
    </rPh>
    <rPh sb="20" eb="21">
      <t>フウ</t>
    </rPh>
    <rPh sb="21" eb="23">
      <t>ゴウセイ</t>
    </rPh>
    <rPh sb="23" eb="25">
      <t>センイ</t>
    </rPh>
    <rPh sb="25" eb="27">
      <t>オリモノ</t>
    </rPh>
    <rPh sb="27" eb="29">
      <t>キカイ</t>
    </rPh>
    <rPh sb="29" eb="31">
      <t>セイリ</t>
    </rPh>
    <rPh sb="31" eb="33">
      <t>シアゲ</t>
    </rPh>
    <rPh sb="34" eb="37">
      <t>ケオリモノ</t>
    </rPh>
    <rPh sb="37" eb="39">
      <t>キカイ</t>
    </rPh>
    <rPh sb="39" eb="41">
      <t>センショク</t>
    </rPh>
    <rPh sb="42" eb="44">
      <t>セイリ</t>
    </rPh>
    <phoneticPr fontId="14"/>
  </si>
  <si>
    <t>　織物機械整理</t>
    <rPh sb="1" eb="3">
      <t>オリモノ</t>
    </rPh>
    <rPh sb="3" eb="5">
      <t>キカイ</t>
    </rPh>
    <rPh sb="5" eb="7">
      <t>セイリ</t>
    </rPh>
    <phoneticPr fontId="14"/>
  </si>
  <si>
    <t>　綿織物手加工染色・整理</t>
    <rPh sb="1" eb="4">
      <t>メンオリモノ</t>
    </rPh>
    <rPh sb="4" eb="5">
      <t>テ</t>
    </rPh>
    <rPh sb="5" eb="7">
      <t>カコウ</t>
    </rPh>
    <rPh sb="7" eb="9">
      <t>センショク</t>
    </rPh>
    <rPh sb="10" eb="12">
      <t>セイリ</t>
    </rPh>
    <phoneticPr fontId="14"/>
  </si>
  <si>
    <t>　絹織物手加工染色・整理</t>
    <rPh sb="1" eb="4">
      <t>キヌオリモノ</t>
    </rPh>
    <rPh sb="4" eb="5">
      <t>テ</t>
    </rPh>
    <rPh sb="5" eb="7">
      <t>カコウ</t>
    </rPh>
    <rPh sb="7" eb="9">
      <t>センショク</t>
    </rPh>
    <rPh sb="10" eb="12">
      <t>セイリ</t>
    </rPh>
    <phoneticPr fontId="14"/>
  </si>
  <si>
    <t>　その他の織物手加工染色・整理</t>
    <rPh sb="3" eb="4">
      <t>タ</t>
    </rPh>
    <rPh sb="5" eb="7">
      <t>オリモノ</t>
    </rPh>
    <rPh sb="7" eb="8">
      <t>テ</t>
    </rPh>
    <rPh sb="8" eb="10">
      <t>カコウ</t>
    </rPh>
    <rPh sb="10" eb="12">
      <t>センショク</t>
    </rPh>
    <rPh sb="13" eb="15">
      <t>セイリ</t>
    </rPh>
    <phoneticPr fontId="14"/>
  </si>
  <si>
    <t>　綿状繊維染色・整理、綿糸染</t>
    <rPh sb="1" eb="2">
      <t>メン</t>
    </rPh>
    <rPh sb="2" eb="3">
      <t>ジョウ</t>
    </rPh>
    <rPh sb="3" eb="5">
      <t>センイ</t>
    </rPh>
    <rPh sb="5" eb="7">
      <t>センショク</t>
    </rPh>
    <rPh sb="8" eb="10">
      <t>セイリ</t>
    </rPh>
    <rPh sb="11" eb="13">
      <t>メンシ</t>
    </rPh>
    <rPh sb="13" eb="14">
      <t>ソ</t>
    </rPh>
    <phoneticPr fontId="14"/>
  </si>
  <si>
    <t>　合成繊維糸染・その他の糸染</t>
    <phoneticPr fontId="14"/>
  </si>
  <si>
    <t>　ニット・レース染色・整理</t>
    <phoneticPr fontId="14"/>
  </si>
  <si>
    <t>　繊維雑品染色・整理（起毛を含む）</t>
    <phoneticPr fontId="14"/>
  </si>
  <si>
    <t>　（賃加工）</t>
    <phoneticPr fontId="14"/>
  </si>
  <si>
    <t>1519-09</t>
    <phoneticPr fontId="15"/>
  </si>
  <si>
    <t>その他の繊維工業製品</t>
    <rPh sb="2" eb="3">
      <t>タ</t>
    </rPh>
    <rPh sb="4" eb="6">
      <t>センイ</t>
    </rPh>
    <rPh sb="6" eb="8">
      <t>コウギョウ</t>
    </rPh>
    <rPh sb="8" eb="10">
      <t>セイヒン</t>
    </rPh>
    <phoneticPr fontId="14"/>
  </si>
  <si>
    <t>1519-091</t>
    <phoneticPr fontId="14"/>
  </si>
  <si>
    <t>綱・網</t>
    <phoneticPr fontId="14"/>
  </si>
  <si>
    <t>1519-099</t>
    <phoneticPr fontId="14"/>
  </si>
  <si>
    <t>他に分類されない繊維工業製品</t>
    <rPh sb="0" eb="1">
      <t>タ</t>
    </rPh>
    <rPh sb="2" eb="4">
      <t>ブンルイ</t>
    </rPh>
    <rPh sb="8" eb="10">
      <t>センイ</t>
    </rPh>
    <rPh sb="10" eb="12">
      <t>コウギョウ</t>
    </rPh>
    <rPh sb="12" eb="14">
      <t>セイヒン</t>
    </rPh>
    <phoneticPr fontId="14"/>
  </si>
  <si>
    <t>1521-01</t>
    <phoneticPr fontId="15"/>
  </si>
  <si>
    <t>1521-011</t>
  </si>
  <si>
    <r>
      <t>1521-02</t>
    </r>
    <r>
      <rPr>
        <b/>
        <sz val="10"/>
        <rFont val="Arial"/>
        <family val="2"/>
      </rPr>
      <t/>
    </r>
  </si>
  <si>
    <t>1521-021</t>
  </si>
  <si>
    <t>1522-09</t>
    <phoneticPr fontId="15"/>
  </si>
  <si>
    <t>1522-099</t>
  </si>
  <si>
    <t>1529-01</t>
    <phoneticPr fontId="15"/>
  </si>
  <si>
    <t>1529-011</t>
  </si>
  <si>
    <t>1529-02</t>
  </si>
  <si>
    <t>1529-021</t>
    <phoneticPr fontId="14"/>
  </si>
  <si>
    <t>じゅうたん・床敷物</t>
    <rPh sb="6" eb="7">
      <t>ユカ</t>
    </rPh>
    <rPh sb="7" eb="9">
      <t>シキモノ</t>
    </rPh>
    <phoneticPr fontId="14"/>
  </si>
  <si>
    <t>1529-09</t>
    <phoneticPr fontId="15"/>
  </si>
  <si>
    <t>その他の繊維既製品</t>
  </si>
  <si>
    <t>1529-091</t>
    <phoneticPr fontId="14"/>
  </si>
  <si>
    <t>繊維製衛生材料</t>
    <rPh sb="0" eb="2">
      <t>センイ</t>
    </rPh>
    <rPh sb="2" eb="3">
      <t>セイ</t>
    </rPh>
    <rPh sb="3" eb="5">
      <t>エイセイ</t>
    </rPh>
    <rPh sb="5" eb="7">
      <t>ザイリョウ</t>
    </rPh>
    <phoneticPr fontId="14"/>
  </si>
  <si>
    <t>1529-099</t>
    <phoneticPr fontId="14"/>
  </si>
  <si>
    <t>他に分類されない繊維既製品</t>
    <rPh sb="0" eb="1">
      <t>タ</t>
    </rPh>
    <rPh sb="2" eb="4">
      <t>ブンルイ</t>
    </rPh>
    <rPh sb="8" eb="10">
      <t>センイ</t>
    </rPh>
    <rPh sb="10" eb="13">
      <t>キセイヒン</t>
    </rPh>
    <phoneticPr fontId="14"/>
  </si>
  <si>
    <t>1611-01</t>
    <phoneticPr fontId="15"/>
  </si>
  <si>
    <t>1611-011</t>
  </si>
  <si>
    <r>
      <t>1611-02</t>
    </r>
    <r>
      <rPr>
        <b/>
        <sz val="10"/>
        <rFont val="Arial"/>
        <family val="2"/>
      </rPr>
      <t/>
    </r>
  </si>
  <si>
    <t>1611-021</t>
  </si>
  <si>
    <t>合板・集成材</t>
    <rPh sb="3" eb="4">
      <t>シュウ</t>
    </rPh>
    <rPh sb="4" eb="5">
      <t>セイ</t>
    </rPh>
    <rPh sb="5" eb="6">
      <t>ザイ</t>
    </rPh>
    <phoneticPr fontId="14"/>
  </si>
  <si>
    <r>
      <t>1611-03</t>
    </r>
    <r>
      <rPr>
        <b/>
        <sz val="10"/>
        <rFont val="Arial"/>
        <family val="2"/>
      </rPr>
      <t/>
    </r>
  </si>
  <si>
    <t>1611-031</t>
  </si>
  <si>
    <t>1619-09</t>
    <phoneticPr fontId="15"/>
  </si>
  <si>
    <t>その他の木製品</t>
  </si>
  <si>
    <t>1619-091</t>
  </si>
  <si>
    <t>建設用木製品</t>
    <phoneticPr fontId="14"/>
  </si>
  <si>
    <t>1619-099</t>
  </si>
  <si>
    <t>他に分類されない木製品</t>
    <rPh sb="0" eb="1">
      <t>タ</t>
    </rPh>
    <rPh sb="2" eb="4">
      <t>ブンルイ</t>
    </rPh>
    <phoneticPr fontId="14"/>
  </si>
  <si>
    <t>1621-01</t>
    <phoneticPr fontId="15"/>
  </si>
  <si>
    <t>1621-011</t>
    <phoneticPr fontId="14"/>
  </si>
  <si>
    <t>木製家具</t>
    <phoneticPr fontId="14"/>
  </si>
  <si>
    <t>1621-02</t>
    <phoneticPr fontId="14"/>
  </si>
  <si>
    <t>1621-021</t>
    <phoneticPr fontId="14"/>
  </si>
  <si>
    <t>金属製家具</t>
    <phoneticPr fontId="14"/>
  </si>
  <si>
    <t>　机・テーブル・いす</t>
    <phoneticPr fontId="14"/>
  </si>
  <si>
    <t>　ベッド</t>
    <phoneticPr fontId="14"/>
  </si>
  <si>
    <t>　電動ベッド</t>
    <phoneticPr fontId="14"/>
  </si>
  <si>
    <t>104</t>
    <phoneticPr fontId="5"/>
  </si>
  <si>
    <t>　流し台・ガス台・調理台</t>
    <phoneticPr fontId="14"/>
  </si>
  <si>
    <t>105</t>
    <phoneticPr fontId="5"/>
  </si>
  <si>
    <t>　システムキッチン</t>
    <phoneticPr fontId="14"/>
  </si>
  <si>
    <t>106</t>
    <phoneticPr fontId="5"/>
  </si>
  <si>
    <t>　棚・戸棚</t>
    <phoneticPr fontId="14"/>
  </si>
  <si>
    <t>107</t>
    <phoneticPr fontId="5"/>
  </si>
  <si>
    <t>　間仕切り</t>
    <phoneticPr fontId="14"/>
  </si>
  <si>
    <t>　その他の金属製家具</t>
    <phoneticPr fontId="14"/>
  </si>
  <si>
    <t>　半製品及び仕掛品</t>
    <phoneticPr fontId="14"/>
  </si>
  <si>
    <t>1621-03</t>
    <phoneticPr fontId="14"/>
  </si>
  <si>
    <t>1621-031</t>
    <phoneticPr fontId="14"/>
  </si>
  <si>
    <t>1621-09</t>
    <phoneticPr fontId="14"/>
  </si>
  <si>
    <t>1621-099</t>
    <phoneticPr fontId="14"/>
  </si>
  <si>
    <t>その他の家具・装備品</t>
    <rPh sb="2" eb="3">
      <t>タ</t>
    </rPh>
    <rPh sb="4" eb="6">
      <t>カグ</t>
    </rPh>
    <rPh sb="7" eb="10">
      <t>ソウビヒン</t>
    </rPh>
    <phoneticPr fontId="14"/>
  </si>
  <si>
    <t>1631-01</t>
    <phoneticPr fontId="15"/>
  </si>
  <si>
    <t>1631-011</t>
    <phoneticPr fontId="14"/>
  </si>
  <si>
    <t>　クラフトパルプ（さらし、針葉樹）</t>
    <phoneticPr fontId="14"/>
  </si>
  <si>
    <t>　クラフトパルプ（さらし、広葉樹）</t>
    <phoneticPr fontId="14"/>
  </si>
  <si>
    <t>　クラフトパルプ（未ざらし）</t>
    <phoneticPr fontId="14"/>
  </si>
  <si>
    <t>　サーモメカニカルパルプ</t>
    <phoneticPr fontId="14"/>
  </si>
  <si>
    <t>　リファイナーグラウンドパルプ</t>
    <phoneticPr fontId="14"/>
  </si>
  <si>
    <t>　砕木パルプ</t>
    <phoneticPr fontId="14"/>
  </si>
  <si>
    <t>　その他製紙パルプ</t>
    <phoneticPr fontId="14"/>
  </si>
  <si>
    <t>　溶解パルプ</t>
    <phoneticPr fontId="14"/>
  </si>
  <si>
    <t>1631-021p</t>
    <phoneticPr fontId="14"/>
  </si>
  <si>
    <t>1632-01</t>
    <phoneticPr fontId="15"/>
  </si>
  <si>
    <t>1632-011</t>
    <phoneticPr fontId="14"/>
  </si>
  <si>
    <r>
      <t>1632-02</t>
    </r>
    <r>
      <rPr>
        <b/>
        <sz val="10"/>
        <rFont val="Arial"/>
        <family val="2"/>
      </rPr>
      <t/>
    </r>
    <phoneticPr fontId="14"/>
  </si>
  <si>
    <t>1632-021</t>
    <phoneticPr fontId="14"/>
  </si>
  <si>
    <t>　外装用ライナー（クラフト）</t>
    <rPh sb="1" eb="4">
      <t>ガイソウヨウ</t>
    </rPh>
    <phoneticPr fontId="14"/>
  </si>
  <si>
    <t>　外装用ライナー（ジュート）</t>
    <rPh sb="1" eb="4">
      <t>ガイソウヨウ</t>
    </rPh>
    <phoneticPr fontId="14"/>
  </si>
  <si>
    <t>　内装用ライナー</t>
    <rPh sb="1" eb="4">
      <t>ナイソウヨウ</t>
    </rPh>
    <phoneticPr fontId="14"/>
  </si>
  <si>
    <t>　中しん原紙</t>
    <rPh sb="1" eb="2">
      <t>ナカ</t>
    </rPh>
    <rPh sb="4" eb="6">
      <t>ゲンシ</t>
    </rPh>
    <phoneticPr fontId="14"/>
  </si>
  <si>
    <t>　マニラボール</t>
    <phoneticPr fontId="14"/>
  </si>
  <si>
    <t>　白ボール</t>
    <rPh sb="1" eb="2">
      <t>シロ</t>
    </rPh>
    <phoneticPr fontId="14"/>
  </si>
  <si>
    <t>　黄・チップ・色板紙</t>
    <rPh sb="1" eb="2">
      <t>キ</t>
    </rPh>
    <rPh sb="7" eb="8">
      <t>イロ</t>
    </rPh>
    <rPh sb="8" eb="10">
      <t>イタガミ</t>
    </rPh>
    <phoneticPr fontId="14"/>
  </si>
  <si>
    <t>　建材原紙</t>
    <rPh sb="1" eb="3">
      <t>ケンザイ</t>
    </rPh>
    <rPh sb="3" eb="5">
      <t>ゲンシ</t>
    </rPh>
    <phoneticPr fontId="14"/>
  </si>
  <si>
    <t>　紙管原紙</t>
    <rPh sb="1" eb="2">
      <t>カミ</t>
    </rPh>
    <rPh sb="2" eb="3">
      <t>クダ</t>
    </rPh>
    <rPh sb="3" eb="5">
      <t>ゲンシ</t>
    </rPh>
    <phoneticPr fontId="14"/>
  </si>
  <si>
    <t>　その他板紙</t>
    <rPh sb="3" eb="4">
      <t>タ</t>
    </rPh>
    <rPh sb="4" eb="6">
      <t>イタガミ</t>
    </rPh>
    <phoneticPr fontId="14"/>
  </si>
  <si>
    <t>1633-01</t>
    <phoneticPr fontId="15"/>
  </si>
  <si>
    <t>1633-011</t>
    <phoneticPr fontId="5"/>
  </si>
  <si>
    <t>　両面</t>
    <phoneticPr fontId="14"/>
  </si>
  <si>
    <t>　複両面（複々両面を含む）</t>
    <phoneticPr fontId="14"/>
  </si>
  <si>
    <t>　片面</t>
    <phoneticPr fontId="14"/>
  </si>
  <si>
    <r>
      <t>1633-02</t>
    </r>
    <r>
      <rPr>
        <b/>
        <sz val="10"/>
        <rFont val="Arial"/>
        <family val="2"/>
      </rPr>
      <t/>
    </r>
    <phoneticPr fontId="14"/>
  </si>
  <si>
    <t>1633-021</t>
    <phoneticPr fontId="14"/>
  </si>
  <si>
    <t>1641-01</t>
    <phoneticPr fontId="15"/>
  </si>
  <si>
    <t>1641-011</t>
    <phoneticPr fontId="14"/>
  </si>
  <si>
    <t>1641-09</t>
    <phoneticPr fontId="15"/>
  </si>
  <si>
    <t>1641-099</t>
    <phoneticPr fontId="14"/>
  </si>
  <si>
    <t>1649-01</t>
    <phoneticPr fontId="15"/>
  </si>
  <si>
    <t>1649-011</t>
    <phoneticPr fontId="14"/>
  </si>
  <si>
    <t>1649-09</t>
    <phoneticPr fontId="15"/>
  </si>
  <si>
    <t>1649-099</t>
    <phoneticPr fontId="14"/>
  </si>
  <si>
    <t>その他のパルプ・紙・紙加工紙</t>
  </si>
  <si>
    <t>1911-01</t>
    <phoneticPr fontId="15"/>
  </si>
  <si>
    <t>1911-011</t>
  </si>
  <si>
    <t>印刷・製版・製本</t>
    <phoneticPr fontId="14"/>
  </si>
  <si>
    <t>　オフセット印刷物</t>
    <rPh sb="6" eb="9">
      <t>インサツブツ</t>
    </rPh>
    <phoneticPr fontId="14"/>
  </si>
  <si>
    <t>　凸版印刷</t>
    <rPh sb="1" eb="3">
      <t>トッパン</t>
    </rPh>
    <rPh sb="3" eb="5">
      <t>インサツ</t>
    </rPh>
    <phoneticPr fontId="14"/>
  </si>
  <si>
    <t>　おう版印刷物</t>
    <rPh sb="3" eb="4">
      <t>ハン</t>
    </rPh>
    <rPh sb="4" eb="7">
      <t>インサツブツ</t>
    </rPh>
    <phoneticPr fontId="14"/>
  </si>
  <si>
    <t>　紙以外のものに対する印刷物</t>
    <rPh sb="1" eb="2">
      <t>カミ</t>
    </rPh>
    <rPh sb="2" eb="4">
      <t>イガイノ</t>
    </rPh>
    <rPh sb="5" eb="9">
      <t>ニタイ</t>
    </rPh>
    <rPh sb="11" eb="14">
      <t>インサツブツ</t>
    </rPh>
    <phoneticPr fontId="14"/>
  </si>
  <si>
    <t>　写真製版（写真植子を含む）</t>
    <rPh sb="1" eb="3">
      <t>シャシン</t>
    </rPh>
    <rPh sb="3" eb="5">
      <t>セイハン</t>
    </rPh>
    <rPh sb="6" eb="8">
      <t>シャシン</t>
    </rPh>
    <rPh sb="8" eb="9">
      <t>ウ</t>
    </rPh>
    <rPh sb="9" eb="10">
      <t>コ</t>
    </rPh>
    <rPh sb="11" eb="12">
      <t>フク</t>
    </rPh>
    <phoneticPr fontId="14"/>
  </si>
  <si>
    <t>402</t>
    <phoneticPr fontId="5"/>
  </si>
  <si>
    <t>　フォトマスク</t>
    <phoneticPr fontId="14"/>
  </si>
  <si>
    <t>403</t>
    <phoneticPr fontId="5"/>
  </si>
  <si>
    <t>　活字</t>
    <rPh sb="1" eb="3">
      <t>カツジ</t>
    </rPh>
    <phoneticPr fontId="14"/>
  </si>
  <si>
    <t>404</t>
    <phoneticPr fontId="5"/>
  </si>
  <si>
    <t>　鉛版</t>
    <rPh sb="1" eb="2">
      <t>ナマリ</t>
    </rPh>
    <rPh sb="2" eb="3">
      <t>ハン</t>
    </rPh>
    <phoneticPr fontId="14"/>
  </si>
  <si>
    <t>405</t>
    <phoneticPr fontId="5"/>
  </si>
  <si>
    <t>　銅おう版、木版彫刻製版</t>
    <rPh sb="1" eb="2">
      <t>ドウ</t>
    </rPh>
    <rPh sb="4" eb="5">
      <t>ハン</t>
    </rPh>
    <rPh sb="6" eb="8">
      <t>モクハン</t>
    </rPh>
    <rPh sb="8" eb="10">
      <t>チョウコク</t>
    </rPh>
    <rPh sb="10" eb="12">
      <t>セイハン</t>
    </rPh>
    <phoneticPr fontId="14"/>
  </si>
  <si>
    <t>　製本</t>
    <rPh sb="1" eb="3">
      <t>セイホン</t>
    </rPh>
    <phoneticPr fontId="14"/>
  </si>
  <si>
    <t>　印刷物加工</t>
    <rPh sb="1" eb="4">
      <t>インサツブツ</t>
    </rPh>
    <rPh sb="4" eb="6">
      <t>カコウ</t>
    </rPh>
    <phoneticPr fontId="14"/>
  </si>
  <si>
    <t>　印刷関連サービス</t>
    <rPh sb="1" eb="3">
      <t>インサツ</t>
    </rPh>
    <rPh sb="3" eb="5">
      <t>カンレン</t>
    </rPh>
    <phoneticPr fontId="14"/>
  </si>
  <si>
    <t>801</t>
    <phoneticPr fontId="5"/>
  </si>
  <si>
    <t>　国立印刷局広告料収入</t>
    <rPh sb="1" eb="3">
      <t>コクリツ</t>
    </rPh>
    <rPh sb="3" eb="6">
      <t>インサツキョク</t>
    </rPh>
    <rPh sb="6" eb="9">
      <t>コウコクリョウ</t>
    </rPh>
    <rPh sb="9" eb="11">
      <t>シュウニュウ</t>
    </rPh>
    <phoneticPr fontId="14"/>
  </si>
  <si>
    <t>2011-01</t>
  </si>
  <si>
    <t>2011-011</t>
  </si>
  <si>
    <t>2021-01</t>
  </si>
  <si>
    <t>ソーダ工業製品</t>
  </si>
  <si>
    <t>2021-011</t>
  </si>
  <si>
    <t>2021-012</t>
  </si>
  <si>
    <t>　か性ソーダ（液体97％換算）</t>
    <rPh sb="2" eb="3">
      <t>セイ</t>
    </rPh>
    <rPh sb="7" eb="9">
      <t>エキタイ</t>
    </rPh>
    <rPh sb="12" eb="14">
      <t>カンサン</t>
    </rPh>
    <phoneticPr fontId="14"/>
  </si>
  <si>
    <t>2021-013</t>
  </si>
  <si>
    <t>　液体塩素</t>
    <rPh sb="1" eb="3">
      <t>エキタイ</t>
    </rPh>
    <rPh sb="3" eb="5">
      <t>エンソ</t>
    </rPh>
    <phoneticPr fontId="14"/>
  </si>
  <si>
    <t>2021-019</t>
  </si>
  <si>
    <t>2029-01</t>
  </si>
  <si>
    <t>無機顔料</t>
  </si>
  <si>
    <t>酸化チタン</t>
    <rPh sb="0" eb="2">
      <t>サンカ</t>
    </rPh>
    <phoneticPr fontId="14"/>
  </si>
  <si>
    <t>2029-011</t>
  </si>
  <si>
    <t>　酸化チタン（アナタース型）</t>
    <rPh sb="12" eb="13">
      <t>ガタ</t>
    </rPh>
    <phoneticPr fontId="14"/>
  </si>
  <si>
    <t>　酸化チタン（ルチル型）</t>
    <rPh sb="1" eb="3">
      <t>サンカ</t>
    </rPh>
    <rPh sb="10" eb="11">
      <t>カタ</t>
    </rPh>
    <phoneticPr fontId="14"/>
  </si>
  <si>
    <t>2029-012</t>
  </si>
  <si>
    <t>　カーボンブラック</t>
    <phoneticPr fontId="14"/>
  </si>
  <si>
    <t>2029-019</t>
  </si>
  <si>
    <t>2029-02</t>
  </si>
  <si>
    <t>2029-021</t>
  </si>
  <si>
    <t>圧縮ガス・液体ガス</t>
  </si>
  <si>
    <t>2029-03</t>
  </si>
  <si>
    <t>2029-031</t>
  </si>
  <si>
    <t>原塩</t>
    <phoneticPr fontId="14"/>
  </si>
  <si>
    <t>2029-032</t>
  </si>
  <si>
    <t>　塩</t>
    <phoneticPr fontId="14"/>
  </si>
  <si>
    <t>2029-09</t>
  </si>
  <si>
    <t>2029-099</t>
  </si>
  <si>
    <t>　ふっ化水素酸（50％換算）</t>
    <phoneticPr fontId="14"/>
  </si>
  <si>
    <t>　りん酸</t>
    <phoneticPr fontId="14"/>
  </si>
  <si>
    <t>　りん酸ナトリウム</t>
    <phoneticPr fontId="14"/>
  </si>
  <si>
    <t>　水酸化カリウム</t>
    <phoneticPr fontId="14"/>
  </si>
  <si>
    <t>　その他のカリウム塩類</t>
    <rPh sb="3" eb="4">
      <t>タ</t>
    </rPh>
    <rPh sb="9" eb="10">
      <t>シオ</t>
    </rPh>
    <rPh sb="10" eb="11">
      <t>ルイ</t>
    </rPh>
    <phoneticPr fontId="5"/>
  </si>
  <si>
    <t>　バリウム塩類</t>
    <phoneticPr fontId="14"/>
  </si>
  <si>
    <t>　粒状</t>
    <phoneticPr fontId="14"/>
  </si>
  <si>
    <t>　粉状</t>
    <phoneticPr fontId="14"/>
  </si>
  <si>
    <t>　硫酸（100％換算）</t>
    <phoneticPr fontId="14"/>
  </si>
  <si>
    <t>　硝酸（98％換算）</t>
    <phoneticPr fontId="14"/>
  </si>
  <si>
    <t>　カルシウムカーバイド</t>
    <phoneticPr fontId="14"/>
  </si>
  <si>
    <t>　塩化第二鉄</t>
    <phoneticPr fontId="14"/>
  </si>
  <si>
    <t>　硫酸アルミニウム（14％固形換算値）</t>
    <phoneticPr fontId="14"/>
  </si>
  <si>
    <t>　ポリ塩化アルミニウム（アルミナ10％換算）</t>
    <phoneticPr fontId="14"/>
  </si>
  <si>
    <t>　よう素</t>
    <phoneticPr fontId="14"/>
  </si>
  <si>
    <t>　けい酸ナトリウム</t>
    <phoneticPr fontId="14"/>
  </si>
  <si>
    <t>　過酸化水素（100％重量換算）</t>
    <phoneticPr fontId="14"/>
  </si>
  <si>
    <t>　硝酸銀</t>
    <phoneticPr fontId="14"/>
  </si>
  <si>
    <t>　炭酸カルシウム</t>
    <phoneticPr fontId="14"/>
  </si>
  <si>
    <t>　その他の無機化学工業製品（除別掲）</t>
    <phoneticPr fontId="14"/>
  </si>
  <si>
    <t>2031-01</t>
  </si>
  <si>
    <t>石油化学基礎製品</t>
  </si>
  <si>
    <t>2031-011</t>
  </si>
  <si>
    <t>2031-012</t>
  </si>
  <si>
    <t>2031-019</t>
  </si>
  <si>
    <t>2031-02</t>
  </si>
  <si>
    <t>石油化学芳香族製品</t>
  </si>
  <si>
    <t>2031-021</t>
  </si>
  <si>
    <t>　純ベンゼン（非石油系を含む）</t>
    <rPh sb="1" eb="2">
      <t>ジュン</t>
    </rPh>
    <rPh sb="7" eb="8">
      <t>ヒ</t>
    </rPh>
    <rPh sb="8" eb="11">
      <t>セキユケイ</t>
    </rPh>
    <rPh sb="12" eb="13">
      <t>フク</t>
    </rPh>
    <phoneticPr fontId="14"/>
  </si>
  <si>
    <t>2031-022</t>
  </si>
  <si>
    <t>　純トルエン（非石油系を含む）</t>
    <rPh sb="1" eb="2">
      <t>ジュン</t>
    </rPh>
    <rPh sb="7" eb="8">
      <t>ヒ</t>
    </rPh>
    <rPh sb="8" eb="11">
      <t>セキユケイ</t>
    </rPh>
    <rPh sb="12" eb="13">
      <t>フク</t>
    </rPh>
    <phoneticPr fontId="14"/>
  </si>
  <si>
    <t>2031-023</t>
  </si>
  <si>
    <t>2031-029</t>
  </si>
  <si>
    <t>2041-01</t>
    <phoneticPr fontId="14"/>
  </si>
  <si>
    <t>脂肪族中間物</t>
  </si>
  <si>
    <t>2041-011</t>
    <phoneticPr fontId="14"/>
  </si>
  <si>
    <t>2041-012</t>
    <phoneticPr fontId="14"/>
  </si>
  <si>
    <t>　酢酸（99％換算）</t>
    <rPh sb="1" eb="3">
      <t>サクサン</t>
    </rPh>
    <rPh sb="7" eb="9">
      <t>カンサン</t>
    </rPh>
    <phoneticPr fontId="14"/>
  </si>
  <si>
    <t>2041-013</t>
    <phoneticPr fontId="14"/>
  </si>
  <si>
    <t>　二塩化エチレン</t>
    <rPh sb="1" eb="2">
      <t>ニ</t>
    </rPh>
    <rPh sb="2" eb="4">
      <t>エンカ</t>
    </rPh>
    <phoneticPr fontId="14"/>
  </si>
  <si>
    <t>2041-014</t>
    <phoneticPr fontId="14"/>
  </si>
  <si>
    <t>2041-015</t>
    <phoneticPr fontId="14"/>
  </si>
  <si>
    <t>2041-016</t>
    <phoneticPr fontId="14"/>
  </si>
  <si>
    <t>2041-019</t>
    <phoneticPr fontId="14"/>
  </si>
  <si>
    <t>2041-02</t>
    <phoneticPr fontId="14"/>
  </si>
  <si>
    <t>環式中間物・合成染料・有機顔料</t>
    <rPh sb="6" eb="8">
      <t>ゴウセイ</t>
    </rPh>
    <rPh sb="8" eb="10">
      <t>センリョウ</t>
    </rPh>
    <rPh sb="11" eb="13">
      <t>ユウキ</t>
    </rPh>
    <rPh sb="13" eb="15">
      <t>ガンリョウ</t>
    </rPh>
    <phoneticPr fontId="5"/>
  </si>
  <si>
    <t>2041-021</t>
    <phoneticPr fontId="14"/>
  </si>
  <si>
    <t>合成染料・有機顔料</t>
    <rPh sb="5" eb="7">
      <t>ユウキ</t>
    </rPh>
    <rPh sb="7" eb="9">
      <t>ガンリョウ</t>
    </rPh>
    <phoneticPr fontId="14"/>
  </si>
  <si>
    <t>　合成染料</t>
    <rPh sb="1" eb="3">
      <t>ゴウセイ</t>
    </rPh>
    <rPh sb="3" eb="5">
      <t>センリョウ</t>
    </rPh>
    <phoneticPr fontId="14"/>
  </si>
  <si>
    <t>　ピグメントレジンカラー</t>
    <phoneticPr fontId="14"/>
  </si>
  <si>
    <t>　アゾ顔料</t>
    <rPh sb="3" eb="5">
      <t>ガンリョウ</t>
    </rPh>
    <phoneticPr fontId="14"/>
  </si>
  <si>
    <t>2041-022</t>
    <phoneticPr fontId="14"/>
  </si>
  <si>
    <t>2041-023</t>
    <phoneticPr fontId="14"/>
  </si>
  <si>
    <t>2041-024</t>
    <phoneticPr fontId="14"/>
  </si>
  <si>
    <t>2041-025</t>
    <phoneticPr fontId="14"/>
  </si>
  <si>
    <t>2041-029</t>
    <phoneticPr fontId="14"/>
  </si>
  <si>
    <t>2042-01</t>
    <phoneticPr fontId="14"/>
  </si>
  <si>
    <t>2042-011</t>
    <phoneticPr fontId="14"/>
  </si>
  <si>
    <t>2049-01</t>
    <phoneticPr fontId="14"/>
  </si>
  <si>
    <t>2049-011</t>
    <phoneticPr fontId="14"/>
  </si>
  <si>
    <t>2049-02</t>
    <phoneticPr fontId="14"/>
  </si>
  <si>
    <t>2049-021</t>
    <phoneticPr fontId="14"/>
  </si>
  <si>
    <t>2049-09</t>
    <phoneticPr fontId="14"/>
  </si>
  <si>
    <t>2049-099</t>
    <phoneticPr fontId="14"/>
  </si>
  <si>
    <t>2051-01</t>
    <phoneticPr fontId="14"/>
  </si>
  <si>
    <t>2051-011</t>
    <phoneticPr fontId="14"/>
  </si>
  <si>
    <t>　成形材料</t>
    <phoneticPr fontId="14"/>
  </si>
  <si>
    <t>　積層品</t>
    <phoneticPr fontId="14"/>
  </si>
  <si>
    <t>　木材加工接着剤用</t>
    <phoneticPr fontId="14"/>
  </si>
  <si>
    <t>　ユリア樹脂</t>
    <phoneticPr fontId="14"/>
  </si>
  <si>
    <t>　化粧板用</t>
    <phoneticPr fontId="14"/>
  </si>
  <si>
    <t>　塗料用</t>
    <phoneticPr fontId="14"/>
  </si>
  <si>
    <t>　接着剤用</t>
    <phoneticPr fontId="14"/>
  </si>
  <si>
    <t>　ＦＲＰ用</t>
    <phoneticPr fontId="14"/>
  </si>
  <si>
    <t>　アルキド樹脂</t>
    <phoneticPr fontId="14"/>
  </si>
  <si>
    <t>　エポキシ樹脂</t>
    <phoneticPr fontId="14"/>
  </si>
  <si>
    <t>　けい素樹脂（シロキサン）</t>
    <phoneticPr fontId="14"/>
  </si>
  <si>
    <t>2051-02</t>
    <phoneticPr fontId="14"/>
  </si>
  <si>
    <t>熱可塑性樹脂</t>
  </si>
  <si>
    <t>2051-021</t>
    <phoneticPr fontId="14"/>
  </si>
  <si>
    <t>ポリエチレン（低密度）</t>
    <phoneticPr fontId="14"/>
  </si>
  <si>
    <t>2051-022</t>
    <phoneticPr fontId="14"/>
  </si>
  <si>
    <t>ポリエチレン（高密度）</t>
    <phoneticPr fontId="14"/>
  </si>
  <si>
    <t>2051-023</t>
    <phoneticPr fontId="14"/>
  </si>
  <si>
    <t>ポリスチレン</t>
    <phoneticPr fontId="14"/>
  </si>
  <si>
    <t>　成形材料（ＧＰ，ＨＩ）</t>
    <phoneticPr fontId="14"/>
  </si>
  <si>
    <t>　発泡用（ＦＳ）</t>
    <phoneticPr fontId="14"/>
  </si>
  <si>
    <t>　ＡＳ樹脂</t>
    <phoneticPr fontId="14"/>
  </si>
  <si>
    <t>　ＡＢＳ樹脂</t>
    <phoneticPr fontId="14"/>
  </si>
  <si>
    <t>2051-024</t>
    <phoneticPr fontId="14"/>
  </si>
  <si>
    <t>ポリプロピレン</t>
    <phoneticPr fontId="14"/>
  </si>
  <si>
    <t>2051-025</t>
    <phoneticPr fontId="14"/>
  </si>
  <si>
    <t>塩化ビニル樹脂</t>
    <phoneticPr fontId="14"/>
  </si>
  <si>
    <t>　ポリマー</t>
    <phoneticPr fontId="14"/>
  </si>
  <si>
    <t>　コポリマー</t>
    <phoneticPr fontId="14"/>
  </si>
  <si>
    <t>　ペースト</t>
    <phoneticPr fontId="14"/>
  </si>
  <si>
    <t>　半製品及び仕掛品</t>
    <rPh sb="1" eb="4">
      <t>ハンセイヒン</t>
    </rPh>
    <rPh sb="4" eb="5">
      <t>オヨ</t>
    </rPh>
    <rPh sb="6" eb="8">
      <t>シカカリ</t>
    </rPh>
    <rPh sb="8" eb="9">
      <t>ヒン</t>
    </rPh>
    <phoneticPr fontId="14"/>
  </si>
  <si>
    <t>2051-03</t>
    <phoneticPr fontId="14"/>
  </si>
  <si>
    <t>2051-031</t>
    <phoneticPr fontId="14"/>
  </si>
  <si>
    <t>　高機能性樹脂</t>
    <rPh sb="1" eb="5">
      <t>コウキノウセイ</t>
    </rPh>
    <rPh sb="5" eb="7">
      <t>ジュシ</t>
    </rPh>
    <phoneticPr fontId="14"/>
  </si>
  <si>
    <t>2051-09</t>
    <phoneticPr fontId="14"/>
  </si>
  <si>
    <t>2051-099</t>
    <phoneticPr fontId="14"/>
  </si>
  <si>
    <t>　ポリブテン</t>
    <phoneticPr fontId="14"/>
  </si>
  <si>
    <t>　石油樹脂</t>
    <phoneticPr fontId="14"/>
  </si>
  <si>
    <t>　ポリビニルアルコール</t>
    <phoneticPr fontId="14"/>
  </si>
  <si>
    <t>　ふっ素樹脂</t>
    <phoneticPr fontId="14"/>
  </si>
  <si>
    <t>　ポリエチレンテレフタレート（繊維用）</t>
    <phoneticPr fontId="14"/>
  </si>
  <si>
    <t>　その他の樹脂</t>
    <phoneticPr fontId="14"/>
  </si>
  <si>
    <t>2061-01</t>
    <phoneticPr fontId="14"/>
  </si>
  <si>
    <t>化学繊維</t>
    <rPh sb="0" eb="2">
      <t>カガク</t>
    </rPh>
    <rPh sb="2" eb="4">
      <t>センイ</t>
    </rPh>
    <phoneticPr fontId="5"/>
  </si>
  <si>
    <t>2061-011</t>
    <phoneticPr fontId="14"/>
  </si>
  <si>
    <t>レーヨン・アセテート</t>
  </si>
  <si>
    <t>2061-012</t>
    <phoneticPr fontId="14"/>
  </si>
  <si>
    <t>合成繊維</t>
  </si>
  <si>
    <t>　ナイロン長繊維糸・短繊維</t>
    <rPh sb="5" eb="6">
      <t>ナガ</t>
    </rPh>
    <rPh sb="6" eb="8">
      <t>センイ</t>
    </rPh>
    <rPh sb="8" eb="9">
      <t>イト</t>
    </rPh>
    <rPh sb="10" eb="13">
      <t>タンセンイ</t>
    </rPh>
    <phoneticPr fontId="14"/>
  </si>
  <si>
    <t>　ポリエステル長繊維糸</t>
    <rPh sb="7" eb="8">
      <t>ナガ</t>
    </rPh>
    <rPh sb="8" eb="10">
      <t>センイ</t>
    </rPh>
    <rPh sb="10" eb="11">
      <t>イト</t>
    </rPh>
    <phoneticPr fontId="14"/>
  </si>
  <si>
    <t>　ポリエステル短繊維</t>
    <rPh sb="7" eb="10">
      <t>タンセンイ</t>
    </rPh>
    <phoneticPr fontId="14"/>
  </si>
  <si>
    <t>　アクリル長繊維糸・短繊維</t>
    <rPh sb="5" eb="6">
      <t>ナガ</t>
    </rPh>
    <rPh sb="6" eb="8">
      <t>センイ</t>
    </rPh>
    <rPh sb="8" eb="9">
      <t>イト</t>
    </rPh>
    <rPh sb="10" eb="13">
      <t>タンセンイ</t>
    </rPh>
    <phoneticPr fontId="14"/>
  </si>
  <si>
    <t>　ビニロン長繊維糸・短繊維</t>
    <rPh sb="5" eb="6">
      <t>ナガ</t>
    </rPh>
    <rPh sb="6" eb="8">
      <t>センイ</t>
    </rPh>
    <rPh sb="8" eb="9">
      <t>イト</t>
    </rPh>
    <rPh sb="10" eb="13">
      <t>タンセンイ</t>
    </rPh>
    <phoneticPr fontId="14"/>
  </si>
  <si>
    <t>　ポリプロピレン長繊維・短繊維</t>
    <rPh sb="8" eb="9">
      <t>ナガ</t>
    </rPh>
    <rPh sb="9" eb="11">
      <t>センイ</t>
    </rPh>
    <rPh sb="12" eb="15">
      <t>タンセンイ</t>
    </rPh>
    <phoneticPr fontId="14"/>
  </si>
  <si>
    <t>　その他の化学繊維</t>
    <rPh sb="3" eb="4">
      <t>タ</t>
    </rPh>
    <rPh sb="5" eb="7">
      <t>カガク</t>
    </rPh>
    <rPh sb="7" eb="9">
      <t>センイ</t>
    </rPh>
    <phoneticPr fontId="14"/>
  </si>
  <si>
    <t>2071-01</t>
    <phoneticPr fontId="14"/>
  </si>
  <si>
    <t>2071-011</t>
    <phoneticPr fontId="14"/>
  </si>
  <si>
    <t>　　医薬品製品</t>
    <phoneticPr fontId="5"/>
  </si>
  <si>
    <t>　　医薬部外品</t>
  </si>
  <si>
    <t>　　動物用医薬品・医薬部外品</t>
  </si>
  <si>
    <t>　　半製品及び仕掛品</t>
  </si>
  <si>
    <t>2081-01</t>
    <phoneticPr fontId="14"/>
  </si>
  <si>
    <t>油脂加工製品・界面活性剤</t>
    <rPh sb="0" eb="2">
      <t>ユシ</t>
    </rPh>
    <rPh sb="2" eb="4">
      <t>カコウ</t>
    </rPh>
    <rPh sb="4" eb="6">
      <t>セイヒン</t>
    </rPh>
    <phoneticPr fontId="14"/>
  </si>
  <si>
    <t>2081-011</t>
    <phoneticPr fontId="14"/>
  </si>
  <si>
    <t>油脂加工製品</t>
    <rPh sb="0" eb="2">
      <t>ユシ</t>
    </rPh>
    <rPh sb="2" eb="4">
      <t>カコウ</t>
    </rPh>
    <rPh sb="4" eb="6">
      <t>セイヒン</t>
    </rPh>
    <phoneticPr fontId="14"/>
  </si>
  <si>
    <t>2081-012</t>
  </si>
  <si>
    <t>2081-013</t>
  </si>
  <si>
    <t>　硫酸エステル型</t>
    <phoneticPr fontId="14"/>
  </si>
  <si>
    <t>　アルキルスルホネート</t>
    <phoneticPr fontId="14"/>
  </si>
  <si>
    <t>　その他のスルホン酸型</t>
    <phoneticPr fontId="14"/>
  </si>
  <si>
    <t>　その他の陰イオン活性剤</t>
    <phoneticPr fontId="14"/>
  </si>
  <si>
    <t>　陽イオン活性剤</t>
    <rPh sb="1" eb="2">
      <t>ヨウ</t>
    </rPh>
    <rPh sb="5" eb="8">
      <t>カッセイザイ</t>
    </rPh>
    <phoneticPr fontId="14"/>
  </si>
  <si>
    <t>　ＰＯＥアルキルエーテル</t>
    <phoneticPr fontId="14"/>
  </si>
  <si>
    <t>　ＰＯＥアルキルアリルエーテル</t>
    <phoneticPr fontId="14"/>
  </si>
  <si>
    <t>　その他のエーテル</t>
    <phoneticPr fontId="14"/>
  </si>
  <si>
    <t>　エステル・エーテル型</t>
    <phoneticPr fontId="14"/>
  </si>
  <si>
    <t>　多価アルコールエステル</t>
    <phoneticPr fontId="14"/>
  </si>
  <si>
    <t>　その他の非イオン活性剤</t>
    <phoneticPr fontId="14"/>
  </si>
  <si>
    <t>　両性イオン活性剤</t>
    <phoneticPr fontId="14"/>
  </si>
  <si>
    <t>　調合界面活性剤</t>
    <phoneticPr fontId="14"/>
  </si>
  <si>
    <t>　柔軟仕上げ剤</t>
    <phoneticPr fontId="14"/>
  </si>
  <si>
    <t>2082-01</t>
    <phoneticPr fontId="15"/>
  </si>
  <si>
    <t>2082-011</t>
    <phoneticPr fontId="14"/>
  </si>
  <si>
    <t>2083-01</t>
    <phoneticPr fontId="14"/>
  </si>
  <si>
    <t>2083-011</t>
    <phoneticPr fontId="14"/>
  </si>
  <si>
    <t>2083-02</t>
    <phoneticPr fontId="14"/>
  </si>
  <si>
    <t>2083-021</t>
    <phoneticPr fontId="14"/>
  </si>
  <si>
    <t>印刷インキ</t>
  </si>
  <si>
    <t>　平板インキ</t>
    <rPh sb="1" eb="3">
      <t>ヘイバン</t>
    </rPh>
    <phoneticPr fontId="14"/>
  </si>
  <si>
    <t>　樹脂凸版インキ</t>
    <rPh sb="1" eb="3">
      <t>ジュシ</t>
    </rPh>
    <rPh sb="3" eb="5">
      <t>トッパン</t>
    </rPh>
    <phoneticPr fontId="14"/>
  </si>
  <si>
    <t>　金属印刷インキ</t>
    <rPh sb="1" eb="3">
      <t>キンゾク</t>
    </rPh>
    <rPh sb="3" eb="5">
      <t>インサツ</t>
    </rPh>
    <phoneticPr fontId="14"/>
  </si>
  <si>
    <t>　グラビアインキ</t>
    <phoneticPr fontId="14"/>
  </si>
  <si>
    <t>　その他のインキ</t>
    <rPh sb="3" eb="4">
      <t>タ</t>
    </rPh>
    <phoneticPr fontId="14"/>
  </si>
  <si>
    <t>　新聞インキ</t>
    <rPh sb="1" eb="3">
      <t>シンブン</t>
    </rPh>
    <phoneticPr fontId="14"/>
  </si>
  <si>
    <t>　補助剤</t>
    <rPh sb="1" eb="3">
      <t>ホジョ</t>
    </rPh>
    <rPh sb="3" eb="4">
      <t>ザイ</t>
    </rPh>
    <phoneticPr fontId="14"/>
  </si>
  <si>
    <t>　印刷インキ用ワニス</t>
    <rPh sb="1" eb="3">
      <t>インサツ</t>
    </rPh>
    <rPh sb="6" eb="7">
      <t>ヨウ</t>
    </rPh>
    <phoneticPr fontId="14"/>
  </si>
  <si>
    <t>2084-01</t>
    <phoneticPr fontId="14"/>
  </si>
  <si>
    <t>2084-011</t>
    <phoneticPr fontId="14"/>
  </si>
  <si>
    <t>　殺虫剤</t>
    <phoneticPr fontId="14"/>
  </si>
  <si>
    <t>　殺菌剤</t>
    <phoneticPr fontId="14"/>
  </si>
  <si>
    <t>　殺虫・殺菌剤</t>
    <phoneticPr fontId="14"/>
  </si>
  <si>
    <t>　除草剤</t>
    <phoneticPr fontId="14"/>
  </si>
  <si>
    <t>　殺そ剤</t>
    <phoneticPr fontId="14"/>
  </si>
  <si>
    <t>　植物成長調整剤</t>
    <phoneticPr fontId="14"/>
  </si>
  <si>
    <t>　補助剤</t>
    <phoneticPr fontId="14"/>
  </si>
  <si>
    <t>2089-01</t>
    <phoneticPr fontId="14"/>
  </si>
  <si>
    <t>2089-011</t>
    <phoneticPr fontId="14"/>
  </si>
  <si>
    <t>2089-02</t>
    <phoneticPr fontId="14"/>
  </si>
  <si>
    <t>2089-021</t>
    <phoneticPr fontId="14"/>
  </si>
  <si>
    <t>2089-09</t>
    <phoneticPr fontId="14"/>
  </si>
  <si>
    <t>その他の化学最終製品</t>
  </si>
  <si>
    <t>2089-091</t>
    <phoneticPr fontId="14"/>
  </si>
  <si>
    <t>　石油精製用（水素化処理）</t>
    <phoneticPr fontId="14"/>
  </si>
  <si>
    <t>　石油化学品製造用</t>
    <phoneticPr fontId="14"/>
  </si>
  <si>
    <t>　高分子重合用</t>
    <phoneticPr fontId="14"/>
  </si>
  <si>
    <t>　油脂加工・医薬・食品製造用</t>
    <phoneticPr fontId="14"/>
  </si>
  <si>
    <t>　その他の工業用（無機・雰囲気ガス等）</t>
    <phoneticPr fontId="14"/>
  </si>
  <si>
    <t>　石油精製用（その他）</t>
    <phoneticPr fontId="14"/>
  </si>
  <si>
    <t>　自動車排気ガス浄化用</t>
    <phoneticPr fontId="14"/>
  </si>
  <si>
    <t>　その他の環境保全用</t>
    <phoneticPr fontId="14"/>
  </si>
  <si>
    <t>2089-099</t>
    <phoneticPr fontId="14"/>
  </si>
  <si>
    <t>他に分類されない化学最終製品</t>
    <rPh sb="0" eb="1">
      <t>タ</t>
    </rPh>
    <rPh sb="2" eb="4">
      <t>ブンルイ</t>
    </rPh>
    <rPh sb="8" eb="10">
      <t>カガク</t>
    </rPh>
    <rPh sb="10" eb="12">
      <t>サイシュウ</t>
    </rPh>
    <rPh sb="12" eb="14">
      <t>セイヒン</t>
    </rPh>
    <phoneticPr fontId="14"/>
  </si>
  <si>
    <t>2111-01</t>
  </si>
  <si>
    <t>石油製品</t>
  </si>
  <si>
    <t>2111-011</t>
  </si>
  <si>
    <t>ガソリン</t>
  </si>
  <si>
    <t>2111-012</t>
  </si>
  <si>
    <t>2111-013</t>
  </si>
  <si>
    <t>2111-014</t>
  </si>
  <si>
    <t>2111-015</t>
  </si>
  <si>
    <t>Ａ重油</t>
    <phoneticPr fontId="5"/>
  </si>
  <si>
    <t>2111-016</t>
  </si>
  <si>
    <t>2111-017</t>
  </si>
  <si>
    <t>2111-018</t>
  </si>
  <si>
    <t>2111-019</t>
  </si>
  <si>
    <t>2121-01</t>
  </si>
  <si>
    <t>石炭製品</t>
  </si>
  <si>
    <t>2121-011</t>
  </si>
  <si>
    <t>2121-019</t>
  </si>
  <si>
    <t>2121-02</t>
  </si>
  <si>
    <t>2121-021</t>
  </si>
  <si>
    <t>2211-01</t>
  </si>
  <si>
    <t>プラスチック製品</t>
  </si>
  <si>
    <t>2211-011</t>
  </si>
  <si>
    <t>2211-012</t>
  </si>
  <si>
    <t>2211-013</t>
  </si>
  <si>
    <t>2211-014</t>
  </si>
  <si>
    <t>2211-015</t>
  </si>
  <si>
    <t>2211-016</t>
  </si>
  <si>
    <t>2211-017</t>
  </si>
  <si>
    <t>2211-019</t>
  </si>
  <si>
    <t>2221-01</t>
    <phoneticPr fontId="14"/>
  </si>
  <si>
    <t>2221-011</t>
    <phoneticPr fontId="14"/>
  </si>
  <si>
    <t>2229-09</t>
    <phoneticPr fontId="14"/>
  </si>
  <si>
    <t>その他のゴム製品</t>
    <rPh sb="2" eb="3">
      <t>タ</t>
    </rPh>
    <rPh sb="6" eb="8">
      <t>セイヒン</t>
    </rPh>
    <phoneticPr fontId="14"/>
  </si>
  <si>
    <t>2229-091</t>
    <phoneticPr fontId="14"/>
  </si>
  <si>
    <t>ゴム製・プラスチック製履物</t>
    <rPh sb="10" eb="11">
      <t>セイ</t>
    </rPh>
    <phoneticPr fontId="14"/>
  </si>
  <si>
    <t>2229-099</t>
    <phoneticPr fontId="14"/>
  </si>
  <si>
    <t>2311-01</t>
    <phoneticPr fontId="14"/>
  </si>
  <si>
    <t>2311-011</t>
    <phoneticPr fontId="14"/>
  </si>
  <si>
    <t>2312-01</t>
    <phoneticPr fontId="14"/>
  </si>
  <si>
    <t>なめし革・革製品・毛皮（革製履物を除く。）</t>
    <rPh sb="3" eb="4">
      <t>カワ</t>
    </rPh>
    <rPh sb="5" eb="6">
      <t>カワ</t>
    </rPh>
    <rPh sb="6" eb="8">
      <t>セイヒン</t>
    </rPh>
    <rPh sb="9" eb="11">
      <t>ケガワ</t>
    </rPh>
    <rPh sb="12" eb="14">
      <t>カワセイ</t>
    </rPh>
    <rPh sb="14" eb="15">
      <t>ハ</t>
    </rPh>
    <rPh sb="15" eb="16">
      <t>モノ</t>
    </rPh>
    <rPh sb="17" eb="18">
      <t>ノゾ</t>
    </rPh>
    <phoneticPr fontId="14"/>
  </si>
  <si>
    <t>2312-011</t>
    <phoneticPr fontId="14"/>
  </si>
  <si>
    <t>製革・毛皮</t>
    <rPh sb="1" eb="2">
      <t>カワ</t>
    </rPh>
    <phoneticPr fontId="14"/>
  </si>
  <si>
    <t>2312-012</t>
    <phoneticPr fontId="14"/>
  </si>
  <si>
    <t>2511-01</t>
  </si>
  <si>
    <t>板ガラス・安全ガラス</t>
  </si>
  <si>
    <t>2511-011</t>
  </si>
  <si>
    <t>2511-012</t>
  </si>
  <si>
    <t>2511-02</t>
    <phoneticPr fontId="14"/>
  </si>
  <si>
    <t>2511-021</t>
    <phoneticPr fontId="14"/>
  </si>
  <si>
    <t>2511-09</t>
    <phoneticPr fontId="14"/>
  </si>
  <si>
    <t>その他のガラス製品</t>
  </si>
  <si>
    <t>2511-091</t>
    <phoneticPr fontId="14"/>
  </si>
  <si>
    <t>2511-099</t>
    <phoneticPr fontId="14"/>
  </si>
  <si>
    <t>他に分類されないガラス製品</t>
    <rPh sb="2" eb="4">
      <t>ブンルイ</t>
    </rPh>
    <phoneticPr fontId="14"/>
  </si>
  <si>
    <t>2521-01</t>
  </si>
  <si>
    <t>2521-011</t>
  </si>
  <si>
    <t>　ポルトランドセメント（普通）</t>
    <phoneticPr fontId="14"/>
  </si>
  <si>
    <t>　ポルトランドセメント（早強・中庸熱）</t>
    <phoneticPr fontId="14"/>
  </si>
  <si>
    <t>　高炉セメント</t>
    <phoneticPr fontId="14"/>
  </si>
  <si>
    <t>　その他のセメント</t>
    <phoneticPr fontId="14"/>
  </si>
  <si>
    <t>　セメントクリンカ（輸出分）</t>
    <phoneticPr fontId="14"/>
  </si>
  <si>
    <t>2521-02</t>
    <phoneticPr fontId="14"/>
  </si>
  <si>
    <t>2521-021</t>
    <phoneticPr fontId="14"/>
  </si>
  <si>
    <t>2521-03</t>
    <phoneticPr fontId="14"/>
  </si>
  <si>
    <t>2521-031</t>
    <phoneticPr fontId="14"/>
  </si>
  <si>
    <t>2531-01</t>
  </si>
  <si>
    <t>陶磁器</t>
  </si>
  <si>
    <t>2531-011</t>
  </si>
  <si>
    <t>2531-012</t>
  </si>
  <si>
    <t>2531-013</t>
  </si>
  <si>
    <t>2591-01</t>
    <phoneticPr fontId="14"/>
  </si>
  <si>
    <t>2591-011</t>
    <phoneticPr fontId="14"/>
  </si>
  <si>
    <t>2591-09</t>
    <phoneticPr fontId="14"/>
  </si>
  <si>
    <t>2591-099</t>
    <phoneticPr fontId="14"/>
  </si>
  <si>
    <t>2599-01</t>
    <phoneticPr fontId="14"/>
  </si>
  <si>
    <t>2599-011</t>
    <phoneticPr fontId="14"/>
  </si>
  <si>
    <t>2599-02</t>
    <phoneticPr fontId="14"/>
  </si>
  <si>
    <t>2599-021</t>
    <phoneticPr fontId="14"/>
  </si>
  <si>
    <t>研磨剤</t>
  </si>
  <si>
    <t>2599-09</t>
  </si>
  <si>
    <t>2599-099</t>
  </si>
  <si>
    <t>2611-01</t>
  </si>
  <si>
    <t>2611-011</t>
  </si>
  <si>
    <t>2611-02</t>
  </si>
  <si>
    <t>2611-021</t>
  </si>
  <si>
    <t>　フェロマンガン（高炭素）</t>
    <phoneticPr fontId="14"/>
  </si>
  <si>
    <t>　フェロマンガン（低炭素）</t>
    <phoneticPr fontId="14"/>
  </si>
  <si>
    <t>　フェロニッケル</t>
    <phoneticPr fontId="14"/>
  </si>
  <si>
    <t>　その他のフェロアロイ</t>
    <phoneticPr fontId="14"/>
  </si>
  <si>
    <t>　シリコマンガン</t>
    <phoneticPr fontId="14"/>
  </si>
  <si>
    <t>　フェロアロイ類似製品</t>
    <phoneticPr fontId="14"/>
  </si>
  <si>
    <t>2611-03</t>
  </si>
  <si>
    <t>2611-031</t>
  </si>
  <si>
    <t>　鋼塊普通鋼</t>
    <rPh sb="1" eb="2">
      <t>ハガネ</t>
    </rPh>
    <rPh sb="2" eb="3">
      <t>カタマリ</t>
    </rPh>
    <rPh sb="3" eb="5">
      <t>フツウ</t>
    </rPh>
    <rPh sb="5" eb="6">
      <t>ハガネ</t>
    </rPh>
    <phoneticPr fontId="14"/>
  </si>
  <si>
    <t>　インゴット</t>
    <phoneticPr fontId="14"/>
  </si>
  <si>
    <t>　連続鋳造</t>
    <phoneticPr fontId="14"/>
  </si>
  <si>
    <t>2611-04</t>
  </si>
  <si>
    <t>2611-041</t>
  </si>
  <si>
    <t>　鋼塊普通塊</t>
    <rPh sb="1" eb="2">
      <t>ハガネ</t>
    </rPh>
    <rPh sb="2" eb="3">
      <t>カタマリ</t>
    </rPh>
    <rPh sb="3" eb="5">
      <t>フツウ</t>
    </rPh>
    <rPh sb="5" eb="6">
      <t>カタマリ</t>
    </rPh>
    <phoneticPr fontId="14"/>
  </si>
  <si>
    <t>　鋳鋼鋳込普通鋼</t>
    <phoneticPr fontId="14"/>
  </si>
  <si>
    <t>　鋳鋼鋳込特殊鋼</t>
    <phoneticPr fontId="14"/>
  </si>
  <si>
    <t>2612-011p</t>
  </si>
  <si>
    <t>2621-01</t>
  </si>
  <si>
    <t>熱間圧延鋼材</t>
  </si>
  <si>
    <t>2621-011</t>
  </si>
  <si>
    <t>　鋼矢板</t>
    <phoneticPr fontId="14"/>
  </si>
  <si>
    <t>　Ｈ形鋼</t>
    <phoneticPr fontId="14"/>
  </si>
  <si>
    <t>　大形形鋼</t>
    <phoneticPr fontId="14"/>
  </si>
  <si>
    <t>　中小形形鋼</t>
    <phoneticPr fontId="14"/>
  </si>
  <si>
    <t>2621-012</t>
  </si>
  <si>
    <t>　厚板</t>
    <phoneticPr fontId="14"/>
  </si>
  <si>
    <t>　中・薄板</t>
    <phoneticPr fontId="14"/>
  </si>
  <si>
    <t>2621-013</t>
  </si>
  <si>
    <t>普通鋼鋼帯</t>
    <phoneticPr fontId="5"/>
  </si>
  <si>
    <t>　幅６００ｍｍ以上（冷延電気鋼帯用）</t>
    <phoneticPr fontId="14"/>
  </si>
  <si>
    <t>　幅６００ｍｍ以上（その他用）</t>
    <phoneticPr fontId="14"/>
  </si>
  <si>
    <t>　幅６００ｍｍ未満</t>
    <phoneticPr fontId="14"/>
  </si>
  <si>
    <t>2621-014</t>
  </si>
  <si>
    <t>　小形鉄筋用棒鋼</t>
    <phoneticPr fontId="14"/>
  </si>
  <si>
    <t>　その他の小形棒鋼</t>
    <phoneticPr fontId="14"/>
  </si>
  <si>
    <t>2621-015</t>
  </si>
  <si>
    <t>　軌条（付属品を含む）・外輪</t>
    <rPh sb="12" eb="14">
      <t>ガイリン</t>
    </rPh>
    <phoneticPr fontId="14"/>
  </si>
  <si>
    <t>　大形棒鋼</t>
    <phoneticPr fontId="14"/>
  </si>
  <si>
    <t>　中形棒鋼</t>
    <phoneticPr fontId="14"/>
  </si>
  <si>
    <t>　管材</t>
    <phoneticPr fontId="14"/>
  </si>
  <si>
    <t>　鉄筋用</t>
    <phoneticPr fontId="14"/>
  </si>
  <si>
    <t>　その他用</t>
    <phoneticPr fontId="14"/>
  </si>
  <si>
    <t>　普通線材</t>
    <phoneticPr fontId="14"/>
  </si>
  <si>
    <t>　特殊線材（低炭素）</t>
    <phoneticPr fontId="14"/>
  </si>
  <si>
    <t>　特殊線材（高炭素）</t>
    <phoneticPr fontId="14"/>
  </si>
  <si>
    <t>　普通鋼半製品（輸出分）</t>
    <phoneticPr fontId="14"/>
  </si>
  <si>
    <t>　普通鋼熱間圧延製品</t>
    <rPh sb="4" eb="5">
      <t>ネツ</t>
    </rPh>
    <rPh sb="5" eb="6">
      <t>アイダ</t>
    </rPh>
    <rPh sb="6" eb="8">
      <t>アツエン</t>
    </rPh>
    <rPh sb="8" eb="10">
      <t>セイヒン</t>
    </rPh>
    <phoneticPr fontId="14"/>
  </si>
  <si>
    <t>　普通鋼半製品</t>
    <rPh sb="1" eb="3">
      <t>フツウ</t>
    </rPh>
    <rPh sb="3" eb="4">
      <t>ハガネ</t>
    </rPh>
    <phoneticPr fontId="14"/>
  </si>
  <si>
    <t>2621-016</t>
  </si>
  <si>
    <t>炭素工具鋼</t>
  </si>
  <si>
    <t>合金工具鋼</t>
  </si>
  <si>
    <t>高速度工具鋼</t>
  </si>
  <si>
    <t>その他の工具鋼</t>
  </si>
  <si>
    <t>機械構造用炭素鋼</t>
  </si>
  <si>
    <t>構造用合金鋼</t>
  </si>
  <si>
    <t>ばね鋼</t>
  </si>
  <si>
    <t>軸受鋼</t>
  </si>
  <si>
    <t>ステンレス鋼（クロム系）</t>
  </si>
  <si>
    <t>ステンレス鋼（ニッケル系）</t>
  </si>
  <si>
    <t>快削鋼</t>
  </si>
  <si>
    <t>ピアノ線材</t>
  </si>
  <si>
    <t>高抗張力鋼</t>
  </si>
  <si>
    <t>その他の鋼材</t>
  </si>
  <si>
    <t>特殊鋼半製品（輸出分）</t>
  </si>
  <si>
    <t>特殊鋼熱間圧延製品</t>
  </si>
  <si>
    <t>特殊鋼半製品</t>
    <rPh sb="0" eb="3">
      <t>トクシュコウ</t>
    </rPh>
    <rPh sb="3" eb="6">
      <t>ハンセイヒン</t>
    </rPh>
    <phoneticPr fontId="14"/>
  </si>
  <si>
    <t>2621-02</t>
    <phoneticPr fontId="14"/>
  </si>
  <si>
    <t>2621-021</t>
    <phoneticPr fontId="14"/>
  </si>
  <si>
    <t>熱間圧延鋼半製品</t>
    <rPh sb="0" eb="2">
      <t>ネツカン</t>
    </rPh>
    <rPh sb="2" eb="3">
      <t>アツ</t>
    </rPh>
    <rPh sb="3" eb="4">
      <t>ノ</t>
    </rPh>
    <rPh sb="4" eb="5">
      <t>コウ</t>
    </rPh>
    <rPh sb="5" eb="8">
      <t>ハンセイヒン</t>
    </rPh>
    <phoneticPr fontId="14"/>
  </si>
  <si>
    <t>　普通鋼半製品</t>
    <rPh sb="1" eb="3">
      <t>フツウ</t>
    </rPh>
    <rPh sb="3" eb="4">
      <t>コウ</t>
    </rPh>
    <rPh sb="4" eb="7">
      <t>ハンセイヒン</t>
    </rPh>
    <phoneticPr fontId="14"/>
  </si>
  <si>
    <t>　特殊鋼半製品</t>
    <rPh sb="1" eb="4">
      <t>トクシュコウ</t>
    </rPh>
    <rPh sb="4" eb="7">
      <t>ハンセイヒン</t>
    </rPh>
    <phoneticPr fontId="14"/>
  </si>
  <si>
    <t>2622-01</t>
  </si>
  <si>
    <t>鋼管</t>
  </si>
  <si>
    <t>2622-011</t>
  </si>
  <si>
    <t>　継目無鋼管</t>
    <phoneticPr fontId="14"/>
  </si>
  <si>
    <t>　鍛接鋼管</t>
    <phoneticPr fontId="14"/>
  </si>
  <si>
    <t>　電縫鋼管</t>
    <phoneticPr fontId="14"/>
  </si>
  <si>
    <t>　電弧溶接鋼管</t>
    <phoneticPr fontId="14"/>
  </si>
  <si>
    <t>　冷けん鋼管（再生引抜鋼管を含む）</t>
    <phoneticPr fontId="14"/>
  </si>
  <si>
    <t>　めっき鋼管</t>
    <phoneticPr fontId="14"/>
  </si>
  <si>
    <t>2622-012</t>
  </si>
  <si>
    <t>　冷けん鋼管</t>
    <phoneticPr fontId="14"/>
  </si>
  <si>
    <t>2623-01</t>
  </si>
  <si>
    <t>冷間仕上鋼材</t>
  </si>
  <si>
    <t>2623-011</t>
  </si>
  <si>
    <t>普通鋼冷間仕上鋼材</t>
  </si>
  <si>
    <t>　磨帯鋼</t>
    <phoneticPr fontId="14"/>
  </si>
  <si>
    <t>　冷延広幅帯鋼</t>
    <phoneticPr fontId="14"/>
  </si>
  <si>
    <t>　冷延鋼板</t>
    <phoneticPr fontId="14"/>
  </si>
  <si>
    <t>　冷延電気鋼帯</t>
    <phoneticPr fontId="14"/>
  </si>
  <si>
    <t>　磨棒鋼</t>
    <phoneticPr fontId="14"/>
  </si>
  <si>
    <t>　鉄線</t>
    <phoneticPr fontId="14"/>
  </si>
  <si>
    <t>　冷間圧造用炭素鋼線</t>
    <phoneticPr fontId="14"/>
  </si>
  <si>
    <t>　硬鋼線</t>
    <phoneticPr fontId="14"/>
  </si>
  <si>
    <t>　溶接棒心線</t>
    <phoneticPr fontId="14"/>
  </si>
  <si>
    <t>　簡易鋼矢板</t>
    <phoneticPr fontId="14"/>
  </si>
  <si>
    <t>　軽量形鋼</t>
    <phoneticPr fontId="14"/>
  </si>
  <si>
    <t>2623-012</t>
  </si>
  <si>
    <t>特殊鋼冷間仕上鋼材</t>
  </si>
  <si>
    <t>　ＰＣ鋼線</t>
    <phoneticPr fontId="14"/>
  </si>
  <si>
    <t>　ピアノ線</t>
    <phoneticPr fontId="14"/>
  </si>
  <si>
    <t>　ステンレス鋼線</t>
    <phoneticPr fontId="14"/>
  </si>
  <si>
    <t>　その他の特殊鋼線</t>
    <phoneticPr fontId="14"/>
  </si>
  <si>
    <t>2623-02</t>
  </si>
  <si>
    <t>2623-021</t>
  </si>
  <si>
    <t>　ブリキ</t>
    <phoneticPr fontId="14"/>
  </si>
  <si>
    <t>　ティンフリースチール</t>
    <phoneticPr fontId="14"/>
  </si>
  <si>
    <t>　亜鉛めっき鋼板（溶融めっき）</t>
    <phoneticPr fontId="14"/>
  </si>
  <si>
    <t>　亜鉛めっき鋼板（電気めっき）</t>
    <phoneticPr fontId="14"/>
  </si>
  <si>
    <t>　その他の金属めっき鋼板</t>
    <phoneticPr fontId="14"/>
  </si>
  <si>
    <t>　針金</t>
    <phoneticPr fontId="14"/>
  </si>
  <si>
    <t>　亜鉛めっき硬鋼線</t>
    <phoneticPr fontId="14"/>
  </si>
  <si>
    <t>2631-01</t>
  </si>
  <si>
    <t>鋳鍛鋼</t>
  </si>
  <si>
    <t>2631-011</t>
  </si>
  <si>
    <t>鍛鋼</t>
    <phoneticPr fontId="5"/>
  </si>
  <si>
    <t>　普通鋼</t>
    <rPh sb="1" eb="3">
      <t>フツウ</t>
    </rPh>
    <rPh sb="3" eb="4">
      <t>コウ</t>
    </rPh>
    <phoneticPr fontId="14"/>
  </si>
  <si>
    <t>　特殊鋼</t>
    <rPh sb="1" eb="4">
      <t>トクシュコウ</t>
    </rPh>
    <phoneticPr fontId="14"/>
  </si>
  <si>
    <t>2631-012</t>
  </si>
  <si>
    <t>2631-02</t>
  </si>
  <si>
    <t>2631-021</t>
  </si>
  <si>
    <t>　　　　　</t>
    <phoneticPr fontId="14"/>
  </si>
  <si>
    <t>　鋳鉄管</t>
    <phoneticPr fontId="14"/>
  </si>
  <si>
    <t>2631-03</t>
  </si>
  <si>
    <t>鋳鉄品・鍛鋼品（鉄）</t>
    <phoneticPr fontId="5"/>
  </si>
  <si>
    <t>2631-031</t>
  </si>
  <si>
    <t>2631-032</t>
  </si>
  <si>
    <t>　産業機械・土木建設機械用</t>
    <phoneticPr fontId="14"/>
  </si>
  <si>
    <t>　自動車用</t>
    <phoneticPr fontId="14"/>
  </si>
  <si>
    <t>　輸送機械用</t>
    <phoneticPr fontId="14"/>
  </si>
  <si>
    <t>2699-01</t>
    <phoneticPr fontId="14"/>
  </si>
  <si>
    <t>2699-011</t>
    <phoneticPr fontId="14"/>
  </si>
  <si>
    <t>2699-09</t>
    <phoneticPr fontId="14"/>
  </si>
  <si>
    <t>2699-099</t>
    <phoneticPr fontId="14"/>
  </si>
  <si>
    <t>2711-01</t>
  </si>
  <si>
    <t>2711-011</t>
  </si>
  <si>
    <t>2711-02</t>
  </si>
  <si>
    <t>2711-021</t>
  </si>
  <si>
    <t>鉛・亜鉛・（含再生）</t>
  </si>
  <si>
    <t>2711-03</t>
  </si>
  <si>
    <t>2711-031</t>
  </si>
  <si>
    <t>アルミニウム（含再生）</t>
  </si>
  <si>
    <t>2711-09</t>
  </si>
  <si>
    <t>2711-099</t>
  </si>
  <si>
    <t>2712-011p</t>
  </si>
  <si>
    <t>2721-01</t>
  </si>
  <si>
    <t>2721-011</t>
  </si>
  <si>
    <t>電線･ケーブル</t>
    <phoneticPr fontId="5"/>
  </si>
  <si>
    <t>　銅裸線（ユーザー向け）</t>
    <rPh sb="9" eb="10">
      <t>ム</t>
    </rPh>
    <phoneticPr fontId="14"/>
  </si>
  <si>
    <t>　巻線</t>
    <phoneticPr fontId="14"/>
  </si>
  <si>
    <t>　機器用電線</t>
    <phoneticPr fontId="14"/>
  </si>
  <si>
    <t>　輸送機器用電線</t>
    <phoneticPr fontId="14"/>
  </si>
  <si>
    <t>　その他の絶縁電線</t>
    <phoneticPr fontId="14"/>
  </si>
  <si>
    <t>　アルミニウム線</t>
    <phoneticPr fontId="14"/>
  </si>
  <si>
    <t>　電力ケーブル</t>
    <phoneticPr fontId="14"/>
  </si>
  <si>
    <t>　通信ケーブル</t>
    <phoneticPr fontId="14"/>
  </si>
  <si>
    <t>　半製品・仕掛品関係項目</t>
    <rPh sb="1" eb="4">
      <t>ハンセイヒン</t>
    </rPh>
    <rPh sb="5" eb="7">
      <t>シカケ</t>
    </rPh>
    <rPh sb="7" eb="8">
      <t>ヒン</t>
    </rPh>
    <rPh sb="8" eb="10">
      <t>カンケイ</t>
    </rPh>
    <rPh sb="10" eb="12">
      <t>コウモク</t>
    </rPh>
    <phoneticPr fontId="14"/>
  </si>
  <si>
    <t>2721-02</t>
  </si>
  <si>
    <t>2721-021</t>
  </si>
  <si>
    <t>　光ファイバーケーブル（通信用ケーブル）</t>
    <rPh sb="1" eb="2">
      <t>ヒカリ</t>
    </rPh>
    <rPh sb="12" eb="14">
      <t>ツウシン</t>
    </rPh>
    <rPh sb="14" eb="15">
      <t>ヨウ</t>
    </rPh>
    <phoneticPr fontId="14"/>
  </si>
  <si>
    <t>　光ファイバ心線（ユーザー向け）</t>
    <rPh sb="1" eb="2">
      <t>ヒカリ</t>
    </rPh>
    <rPh sb="6" eb="7">
      <t>シン</t>
    </rPh>
    <rPh sb="7" eb="8">
      <t>セン</t>
    </rPh>
    <rPh sb="13" eb="14">
      <t>ム</t>
    </rPh>
    <phoneticPr fontId="14"/>
  </si>
  <si>
    <t>2729-01</t>
    <phoneticPr fontId="14"/>
  </si>
  <si>
    <t>2729-011</t>
    <phoneticPr fontId="14"/>
  </si>
  <si>
    <t>2729-02</t>
    <phoneticPr fontId="14"/>
  </si>
  <si>
    <t>2729-021</t>
    <phoneticPr fontId="14"/>
  </si>
  <si>
    <t>　板</t>
    <phoneticPr fontId="14"/>
  </si>
  <si>
    <t>　円板　</t>
    <phoneticPr fontId="14"/>
  </si>
  <si>
    <t>　条</t>
    <phoneticPr fontId="14"/>
  </si>
  <si>
    <t>　管</t>
    <phoneticPr fontId="14"/>
  </si>
  <si>
    <t>　棒・線</t>
    <phoneticPr fontId="14"/>
  </si>
  <si>
    <t>　形材</t>
    <phoneticPr fontId="14"/>
  </si>
  <si>
    <t>　はく</t>
    <phoneticPr fontId="14"/>
  </si>
  <si>
    <t>2729-03</t>
    <phoneticPr fontId="14"/>
  </si>
  <si>
    <t>2722-031</t>
  </si>
  <si>
    <t>2729-04</t>
    <phoneticPr fontId="14"/>
  </si>
  <si>
    <t>2729-041</t>
    <phoneticPr fontId="14"/>
  </si>
  <si>
    <t>2729-09</t>
    <phoneticPr fontId="14"/>
  </si>
  <si>
    <t>2729-099</t>
    <phoneticPr fontId="14"/>
  </si>
  <si>
    <t>2811-01</t>
  </si>
  <si>
    <t>2811-011</t>
  </si>
  <si>
    <t>2812-01</t>
  </si>
  <si>
    <t>2812-011</t>
  </si>
  <si>
    <t>2891-01</t>
  </si>
  <si>
    <t>2891-011</t>
  </si>
  <si>
    <t>ガス・石油機器・暖房・調理装置</t>
    <rPh sb="11" eb="13">
      <t>チョウリ</t>
    </rPh>
    <rPh sb="13" eb="15">
      <t>ソウチ</t>
    </rPh>
    <phoneticPr fontId="14"/>
  </si>
  <si>
    <t>　ガスこんろ</t>
    <phoneticPr fontId="14"/>
  </si>
  <si>
    <t>　ガス風呂がま（バーナー付の一体のものを含む）</t>
    <phoneticPr fontId="14"/>
  </si>
  <si>
    <t>　ガス湯沸器</t>
    <phoneticPr fontId="14"/>
  </si>
  <si>
    <t>　ガス炊飯器</t>
    <phoneticPr fontId="14"/>
  </si>
  <si>
    <t>　その他のガス機器（温風暖房機を除く）</t>
    <phoneticPr fontId="14"/>
  </si>
  <si>
    <t>　石油ストーブ</t>
    <phoneticPr fontId="14"/>
  </si>
  <si>
    <t>　その他の石油機器（温風暖房機を除く）</t>
    <phoneticPr fontId="14"/>
  </si>
  <si>
    <t>　ガス温風暖房機（暖房方式が強制対流のもの）</t>
    <phoneticPr fontId="14"/>
  </si>
  <si>
    <t>　石油温風暖房機（強制給排気・排気式）</t>
    <phoneticPr fontId="14"/>
  </si>
  <si>
    <t>　温水ボイラ</t>
    <phoneticPr fontId="14"/>
  </si>
  <si>
    <t>　放熱器，ユニットヒータ</t>
    <phoneticPr fontId="14"/>
  </si>
  <si>
    <t>　暖房用・調理用器具</t>
    <phoneticPr fontId="14"/>
  </si>
  <si>
    <t>　太陽熱利用機器</t>
    <phoneticPr fontId="14"/>
  </si>
  <si>
    <t>　ガス機器・石油機器の部分品・附属品</t>
    <phoneticPr fontId="14"/>
  </si>
  <si>
    <t>　その他の暖房・調理装置部分品</t>
    <phoneticPr fontId="14"/>
  </si>
  <si>
    <t>2899-01</t>
  </si>
  <si>
    <t>2899-011</t>
  </si>
  <si>
    <t>ボルト・ナット・リベット・スプリング</t>
    <phoneticPr fontId="14"/>
  </si>
  <si>
    <t>2899-02</t>
  </si>
  <si>
    <t>2899-021</t>
  </si>
  <si>
    <t>金属製容器・製缶板金製品</t>
    <phoneticPr fontId="14"/>
  </si>
  <si>
    <t>2899-03</t>
  </si>
  <si>
    <t>配管工事附属品・粉末や金製品・道具類</t>
    <rPh sb="4" eb="5">
      <t>フ</t>
    </rPh>
    <phoneticPr fontId="14"/>
  </si>
  <si>
    <t>2899-031</t>
  </si>
  <si>
    <t>配管工事附属品</t>
    <rPh sb="4" eb="5">
      <t>フ</t>
    </rPh>
    <phoneticPr fontId="5"/>
  </si>
  <si>
    <t>2899-032</t>
  </si>
  <si>
    <t>粉末や金製品</t>
    <phoneticPr fontId="14"/>
  </si>
  <si>
    <t>2899-033</t>
  </si>
  <si>
    <t>刃物及び道具類</t>
  </si>
  <si>
    <t>2899-09</t>
  </si>
  <si>
    <t>その他の金属製品</t>
  </si>
  <si>
    <t>2899-091</t>
  </si>
  <si>
    <t>2899-092</t>
  </si>
  <si>
    <t>2899-099</t>
  </si>
  <si>
    <t>他に分類されない金属製品</t>
    <rPh sb="0" eb="1">
      <t>タ</t>
    </rPh>
    <rPh sb="2" eb="4">
      <t>ブンルイ</t>
    </rPh>
    <phoneticPr fontId="14"/>
  </si>
  <si>
    <t>2911-01</t>
    <phoneticPr fontId="15"/>
  </si>
  <si>
    <t>2911-011</t>
    <phoneticPr fontId="14"/>
  </si>
  <si>
    <r>
      <t>2911-02</t>
    </r>
    <r>
      <rPr>
        <b/>
        <sz val="10"/>
        <rFont val="Arial"/>
        <family val="2"/>
      </rPr>
      <t/>
    </r>
    <phoneticPr fontId="14"/>
  </si>
  <si>
    <t>2911-021</t>
    <phoneticPr fontId="14"/>
  </si>
  <si>
    <r>
      <t>2911-03</t>
    </r>
    <r>
      <rPr>
        <b/>
        <sz val="10"/>
        <rFont val="Arial"/>
        <family val="2"/>
      </rPr>
      <t/>
    </r>
    <phoneticPr fontId="14"/>
  </si>
  <si>
    <t>2911-031</t>
    <phoneticPr fontId="14"/>
  </si>
  <si>
    <t>2912-01</t>
    <phoneticPr fontId="15"/>
  </si>
  <si>
    <t>2912-011</t>
    <phoneticPr fontId="14"/>
  </si>
  <si>
    <t>ポンプ及び圧縮機</t>
  </si>
  <si>
    <t>2913-01</t>
    <phoneticPr fontId="15"/>
  </si>
  <si>
    <t>2913-011</t>
    <phoneticPr fontId="14"/>
  </si>
  <si>
    <t>2914-01</t>
    <phoneticPr fontId="15"/>
  </si>
  <si>
    <t>2914-011</t>
    <phoneticPr fontId="14"/>
  </si>
  <si>
    <t>2919-01</t>
    <phoneticPr fontId="14"/>
  </si>
  <si>
    <t>2919-011</t>
    <phoneticPr fontId="14"/>
  </si>
  <si>
    <t>2919-09</t>
    <phoneticPr fontId="15"/>
  </si>
  <si>
    <t>その他のはん用機械</t>
    <rPh sb="2" eb="3">
      <t>タ</t>
    </rPh>
    <rPh sb="6" eb="7">
      <t>ヨウ</t>
    </rPh>
    <rPh sb="7" eb="9">
      <t>キカイ</t>
    </rPh>
    <phoneticPr fontId="14"/>
  </si>
  <si>
    <t>2919-091</t>
    <phoneticPr fontId="14"/>
  </si>
  <si>
    <t>動力伝動装置</t>
    <rPh sb="0" eb="2">
      <t>ドウリョク</t>
    </rPh>
    <rPh sb="2" eb="4">
      <t>デンドウ</t>
    </rPh>
    <rPh sb="4" eb="6">
      <t>ソウチ</t>
    </rPh>
    <phoneticPr fontId="14"/>
  </si>
  <si>
    <t>2919-099</t>
    <phoneticPr fontId="14"/>
  </si>
  <si>
    <t>他に分類されないはん用機械</t>
    <rPh sb="0" eb="1">
      <t>タ</t>
    </rPh>
    <rPh sb="2" eb="4">
      <t>ブンルイ</t>
    </rPh>
    <rPh sb="10" eb="11">
      <t>ヨウ</t>
    </rPh>
    <rPh sb="11" eb="13">
      <t>キカイ</t>
    </rPh>
    <phoneticPr fontId="14"/>
  </si>
  <si>
    <t>3011-01</t>
    <phoneticPr fontId="15"/>
  </si>
  <si>
    <t>3011-011</t>
    <phoneticPr fontId="14"/>
  </si>
  <si>
    <t>農業用機械</t>
    <rPh sb="2" eb="3">
      <t>ヨウ</t>
    </rPh>
    <phoneticPr fontId="14"/>
  </si>
  <si>
    <t>3012-01</t>
    <phoneticPr fontId="15"/>
  </si>
  <si>
    <t>3012-011</t>
    <phoneticPr fontId="14"/>
  </si>
  <si>
    <t>建設・鉱山機械</t>
    <rPh sb="5" eb="7">
      <t>キカイ</t>
    </rPh>
    <phoneticPr fontId="14"/>
  </si>
  <si>
    <t>3013-01</t>
    <phoneticPr fontId="14"/>
  </si>
  <si>
    <t>3013-011</t>
    <phoneticPr fontId="14"/>
  </si>
  <si>
    <t>3014-01</t>
    <phoneticPr fontId="15"/>
  </si>
  <si>
    <t>生活関連産業用機械</t>
    <rPh sb="0" eb="2">
      <t>セイカツ</t>
    </rPh>
    <rPh sb="2" eb="4">
      <t>カンレン</t>
    </rPh>
    <rPh sb="4" eb="6">
      <t>サンギョウ</t>
    </rPh>
    <phoneticPr fontId="14"/>
  </si>
  <si>
    <t>3014-011</t>
    <phoneticPr fontId="14"/>
  </si>
  <si>
    <t>食品機械・同装置</t>
    <rPh sb="1" eb="2">
      <t>ヒン</t>
    </rPh>
    <rPh sb="2" eb="4">
      <t>キカイ</t>
    </rPh>
    <rPh sb="5" eb="6">
      <t>ドウ</t>
    </rPh>
    <rPh sb="6" eb="8">
      <t>ソウチ</t>
    </rPh>
    <phoneticPr fontId="14"/>
  </si>
  <si>
    <t>3014-012</t>
    <phoneticPr fontId="14"/>
  </si>
  <si>
    <t>木材加工機械</t>
    <rPh sb="0" eb="2">
      <t>モクザイ</t>
    </rPh>
    <rPh sb="2" eb="4">
      <t>カコウ</t>
    </rPh>
    <phoneticPr fontId="14"/>
  </si>
  <si>
    <t>3014-013</t>
  </si>
  <si>
    <t>パルプ装置・製紙機械</t>
    <rPh sb="7" eb="8">
      <t>カミ</t>
    </rPh>
    <phoneticPr fontId="14"/>
  </si>
  <si>
    <t>3014-014</t>
  </si>
  <si>
    <t>印刷・製本・紙工機械</t>
    <phoneticPr fontId="14"/>
  </si>
  <si>
    <t>3014-015</t>
  </si>
  <si>
    <t>包装・荷造機械</t>
    <rPh sb="0" eb="2">
      <t>ホウソウ</t>
    </rPh>
    <rPh sb="3" eb="5">
      <t>ニヅク</t>
    </rPh>
    <rPh sb="5" eb="7">
      <t>キカイ</t>
    </rPh>
    <phoneticPr fontId="14"/>
  </si>
  <si>
    <t>3015-01</t>
    <phoneticPr fontId="15"/>
  </si>
  <si>
    <t>3015-011</t>
    <phoneticPr fontId="14"/>
  </si>
  <si>
    <t>3015-02</t>
    <phoneticPr fontId="14"/>
  </si>
  <si>
    <t>3015-021</t>
    <phoneticPr fontId="5"/>
  </si>
  <si>
    <t>鋳造装置・プラスチック加工機械</t>
    <rPh sb="11" eb="13">
      <t>カコウ</t>
    </rPh>
    <rPh sb="13" eb="15">
      <t>キカイ</t>
    </rPh>
    <phoneticPr fontId="14"/>
  </si>
  <si>
    <t>3015-021</t>
    <phoneticPr fontId="14"/>
  </si>
  <si>
    <t>鋳造装置</t>
    <phoneticPr fontId="14"/>
  </si>
  <si>
    <t>3015-022</t>
    <phoneticPr fontId="14"/>
  </si>
  <si>
    <t>プラスチック加工機械</t>
    <rPh sb="8" eb="10">
      <t>キカイ</t>
    </rPh>
    <phoneticPr fontId="14"/>
  </si>
  <si>
    <t>3016-01</t>
    <phoneticPr fontId="15"/>
  </si>
  <si>
    <t>3016-011</t>
    <phoneticPr fontId="14"/>
  </si>
  <si>
    <r>
      <t>3016-02</t>
    </r>
    <r>
      <rPr>
        <b/>
        <sz val="10"/>
        <rFont val="Arial"/>
        <family val="2"/>
      </rPr>
      <t/>
    </r>
    <phoneticPr fontId="14"/>
  </si>
  <si>
    <t>3016-021</t>
    <phoneticPr fontId="14"/>
  </si>
  <si>
    <t>3016-03</t>
    <phoneticPr fontId="14"/>
  </si>
  <si>
    <t>3016-031</t>
    <phoneticPr fontId="14"/>
  </si>
  <si>
    <t>3017-01</t>
    <phoneticPr fontId="14"/>
  </si>
  <si>
    <t>3017-011</t>
    <phoneticPr fontId="14"/>
  </si>
  <si>
    <t>3019-01</t>
    <phoneticPr fontId="15"/>
  </si>
  <si>
    <t>3019-011</t>
    <phoneticPr fontId="14"/>
  </si>
  <si>
    <t>3019-02</t>
    <phoneticPr fontId="14"/>
  </si>
  <si>
    <t>3019-021</t>
    <phoneticPr fontId="14"/>
  </si>
  <si>
    <t>真空装置・真空機器</t>
    <rPh sb="0" eb="2">
      <t>シンクウ</t>
    </rPh>
    <rPh sb="2" eb="4">
      <t>ソウチ</t>
    </rPh>
    <rPh sb="5" eb="7">
      <t>シンクウ</t>
    </rPh>
    <rPh sb="7" eb="9">
      <t>キキ</t>
    </rPh>
    <phoneticPr fontId="14"/>
  </si>
  <si>
    <t>3019-03</t>
    <phoneticPr fontId="15"/>
  </si>
  <si>
    <t>3019-031</t>
    <phoneticPr fontId="14"/>
  </si>
  <si>
    <t>ロボット</t>
    <phoneticPr fontId="14"/>
  </si>
  <si>
    <t>3019-09</t>
    <phoneticPr fontId="15"/>
  </si>
  <si>
    <t>3019-099</t>
    <phoneticPr fontId="14"/>
  </si>
  <si>
    <t>その他の生産用機械</t>
    <rPh sb="4" eb="7">
      <t>セイサンヨウ</t>
    </rPh>
    <rPh sb="7" eb="9">
      <t>キカイ</t>
    </rPh>
    <phoneticPr fontId="14"/>
  </si>
  <si>
    <t>3111-01</t>
    <phoneticPr fontId="15"/>
  </si>
  <si>
    <t>3111-011</t>
  </si>
  <si>
    <t>3111-09</t>
    <phoneticPr fontId="15"/>
  </si>
  <si>
    <t>3111-099</t>
  </si>
  <si>
    <t>3112-01</t>
    <phoneticPr fontId="15"/>
  </si>
  <si>
    <t>サービス用・娯楽用機器</t>
    <rPh sb="6" eb="9">
      <t>ゴラクヨウ</t>
    </rPh>
    <phoneticPr fontId="5"/>
  </si>
  <si>
    <t>3112-011</t>
  </si>
  <si>
    <t>3112-012</t>
  </si>
  <si>
    <t>3112-019</t>
  </si>
  <si>
    <t>その他のサービス用機器</t>
  </si>
  <si>
    <t>3113-01</t>
    <phoneticPr fontId="14"/>
  </si>
  <si>
    <t>3113-011</t>
    <phoneticPr fontId="14"/>
  </si>
  <si>
    <t>計測機器</t>
    <rPh sb="0" eb="2">
      <t>ケイソク</t>
    </rPh>
    <rPh sb="2" eb="4">
      <t>キキ</t>
    </rPh>
    <phoneticPr fontId="14"/>
  </si>
  <si>
    <t>3114-01</t>
    <phoneticPr fontId="14"/>
  </si>
  <si>
    <t>3114-011</t>
    <phoneticPr fontId="14"/>
  </si>
  <si>
    <t>医療用機械器具</t>
    <phoneticPr fontId="14"/>
  </si>
  <si>
    <t>3115-01</t>
    <phoneticPr fontId="14"/>
  </si>
  <si>
    <t>3115-011</t>
    <phoneticPr fontId="14"/>
  </si>
  <si>
    <t>光学機械・レンズ</t>
    <rPh sb="0" eb="2">
      <t>コウガク</t>
    </rPh>
    <rPh sb="2" eb="4">
      <t>キカイ</t>
    </rPh>
    <phoneticPr fontId="14"/>
  </si>
  <si>
    <t>3116-01</t>
    <phoneticPr fontId="14"/>
  </si>
  <si>
    <t>3116-011</t>
    <phoneticPr fontId="14"/>
  </si>
  <si>
    <t>武器</t>
    <rPh sb="0" eb="2">
      <t>ブキ</t>
    </rPh>
    <phoneticPr fontId="14"/>
  </si>
  <si>
    <t>3211-01</t>
    <phoneticPr fontId="14"/>
  </si>
  <si>
    <t>3211-011</t>
    <phoneticPr fontId="14"/>
  </si>
  <si>
    <t>　発光ダイオード</t>
    <phoneticPr fontId="14"/>
  </si>
  <si>
    <t>　レーザダイオード</t>
    <phoneticPr fontId="14"/>
  </si>
  <si>
    <t>　カプラ・インタラプタ</t>
    <phoneticPr fontId="14"/>
  </si>
  <si>
    <t>　太陽電池セル</t>
    <phoneticPr fontId="14"/>
  </si>
  <si>
    <t>　その他の光電変換素子</t>
    <phoneticPr fontId="14"/>
  </si>
  <si>
    <t>　シリコンダイオード</t>
    <phoneticPr fontId="14"/>
  </si>
  <si>
    <t>　整流素子（１００ミリアンペア以上）</t>
    <phoneticPr fontId="14"/>
  </si>
  <si>
    <t>　シリコントランジスタ（１ｗ未満）</t>
    <phoneticPr fontId="14"/>
  </si>
  <si>
    <t>　シリコントランジスタ（１ｗ以上）</t>
    <phoneticPr fontId="14"/>
  </si>
  <si>
    <t>　電界効果型トランジスタ</t>
    <phoneticPr fontId="14"/>
  </si>
  <si>
    <t>　ＩＧＢＴ</t>
    <phoneticPr fontId="14"/>
  </si>
  <si>
    <t>　サーミスタ</t>
    <phoneticPr fontId="14"/>
  </si>
  <si>
    <t>　バリスタ</t>
    <phoneticPr fontId="14"/>
  </si>
  <si>
    <t>　サイリスタ</t>
    <phoneticPr fontId="14"/>
  </si>
  <si>
    <t>　その他の半導体素子</t>
    <rPh sb="3" eb="4">
      <t>タ</t>
    </rPh>
    <rPh sb="5" eb="8">
      <t>ハンドウタイ</t>
    </rPh>
    <rPh sb="8" eb="10">
      <t>ソシ</t>
    </rPh>
    <phoneticPr fontId="14"/>
  </si>
  <si>
    <t>3211-02</t>
    <phoneticPr fontId="14"/>
  </si>
  <si>
    <t>集積回路</t>
  </si>
  <si>
    <t>3211-021</t>
    <phoneticPr fontId="14"/>
  </si>
  <si>
    <t>集積回路後工程</t>
    <rPh sb="0" eb="2">
      <t>シュウセキ</t>
    </rPh>
    <rPh sb="2" eb="4">
      <t>カイロ</t>
    </rPh>
    <rPh sb="4" eb="7">
      <t>アトコウテイ</t>
    </rPh>
    <phoneticPr fontId="14"/>
  </si>
  <si>
    <t>　標準線形回路</t>
    <phoneticPr fontId="14"/>
  </si>
  <si>
    <t>　非標準（産業用機器向）</t>
    <phoneticPr fontId="14"/>
  </si>
  <si>
    <t>　非標準（民生用機器向）</t>
    <phoneticPr fontId="14"/>
  </si>
  <si>
    <t>　バイポーラ型</t>
    <phoneticPr fontId="14"/>
  </si>
  <si>
    <t>　ＭＰＵ</t>
    <phoneticPr fontId="14"/>
  </si>
  <si>
    <t>　ＭＣＵ</t>
    <phoneticPr fontId="14"/>
  </si>
  <si>
    <t>　標準ロジック</t>
    <phoneticPr fontId="14"/>
  </si>
  <si>
    <t>　セミカスタム</t>
    <phoneticPr fontId="14"/>
  </si>
  <si>
    <t>　ディスプレイドライバ</t>
    <phoneticPr fontId="14"/>
  </si>
  <si>
    <t>　その他ロジック</t>
    <phoneticPr fontId="14"/>
  </si>
  <si>
    <t>　ＤＲＡＭ</t>
    <phoneticPr fontId="14"/>
  </si>
  <si>
    <t>　ＳＲＡＭ</t>
    <phoneticPr fontId="14"/>
  </si>
  <si>
    <t>　フラッシュメモリ</t>
    <phoneticPr fontId="14"/>
  </si>
  <si>
    <t>　その他メモリ</t>
    <phoneticPr fontId="14"/>
  </si>
  <si>
    <t>　ＣＣＤ</t>
    <phoneticPr fontId="14"/>
  </si>
  <si>
    <t>　その他モス型</t>
    <phoneticPr fontId="14"/>
  </si>
  <si>
    <t>　混成集積回路</t>
    <phoneticPr fontId="14"/>
  </si>
  <si>
    <t>　実装していない集積回路（輸出分）</t>
    <phoneticPr fontId="14"/>
  </si>
  <si>
    <t>3211-022</t>
    <phoneticPr fontId="14"/>
  </si>
  <si>
    <t>集積回路前工程</t>
    <rPh sb="0" eb="2">
      <t>シュウセキ</t>
    </rPh>
    <rPh sb="2" eb="4">
      <t>カイロ</t>
    </rPh>
    <rPh sb="4" eb="7">
      <t>マエコウテイ</t>
    </rPh>
    <phoneticPr fontId="14"/>
  </si>
  <si>
    <t>3211-03</t>
    <phoneticPr fontId="5"/>
  </si>
  <si>
    <t>3211-031</t>
    <phoneticPr fontId="14"/>
  </si>
  <si>
    <t>液晶パネル</t>
    <rPh sb="0" eb="2">
      <t>エキショウ</t>
    </rPh>
    <phoneticPr fontId="14"/>
  </si>
  <si>
    <t>　４．５型未満</t>
    <phoneticPr fontId="14"/>
  </si>
  <si>
    <t>　４．５型以上７．７型未満</t>
    <phoneticPr fontId="14"/>
  </si>
  <si>
    <t>　７．７型以上</t>
    <phoneticPr fontId="14"/>
  </si>
  <si>
    <t>　液晶モジュール</t>
    <phoneticPr fontId="14"/>
  </si>
  <si>
    <t>　液晶パネル</t>
    <phoneticPr fontId="14"/>
  </si>
  <si>
    <t>3211-04</t>
    <phoneticPr fontId="14"/>
  </si>
  <si>
    <t>3211-041</t>
    <phoneticPr fontId="14"/>
  </si>
  <si>
    <t>フラットパネル・電子管</t>
    <phoneticPr fontId="5"/>
  </si>
  <si>
    <t>　マイクロ波管</t>
    <rPh sb="5" eb="6">
      <t>ナミ</t>
    </rPh>
    <rPh sb="6" eb="7">
      <t>カン</t>
    </rPh>
    <phoneticPr fontId="14"/>
  </si>
  <si>
    <t>　Ｘ線管</t>
    <rPh sb="2" eb="3">
      <t>セン</t>
    </rPh>
    <rPh sb="3" eb="4">
      <t>カン</t>
    </rPh>
    <phoneticPr fontId="14"/>
  </si>
  <si>
    <t>　表示管</t>
    <rPh sb="1" eb="3">
      <t>ヒョウジ</t>
    </rPh>
    <rPh sb="3" eb="4">
      <t>カン</t>
    </rPh>
    <phoneticPr fontId="14"/>
  </si>
  <si>
    <t>　その他の電子管</t>
    <rPh sb="3" eb="4">
      <t>タ</t>
    </rPh>
    <rPh sb="5" eb="8">
      <t>デンシカン</t>
    </rPh>
    <phoneticPr fontId="14"/>
  </si>
  <si>
    <t>　その他のフラットパネル</t>
    <rPh sb="3" eb="4">
      <t>タ</t>
    </rPh>
    <phoneticPr fontId="5"/>
  </si>
  <si>
    <t>3299-01</t>
    <phoneticPr fontId="14"/>
  </si>
  <si>
    <t>3299-011</t>
    <phoneticPr fontId="14"/>
  </si>
  <si>
    <t>3299-02</t>
  </si>
  <si>
    <t>3299-021</t>
    <phoneticPr fontId="14"/>
  </si>
  <si>
    <t>電子回路</t>
    <rPh sb="0" eb="2">
      <t>デンシ</t>
    </rPh>
    <rPh sb="2" eb="4">
      <t>カイロ</t>
    </rPh>
    <phoneticPr fontId="14"/>
  </si>
  <si>
    <t>3299-09</t>
    <phoneticPr fontId="14"/>
  </si>
  <si>
    <t>3299-099</t>
    <phoneticPr fontId="14"/>
  </si>
  <si>
    <t>その他の電子部品</t>
  </si>
  <si>
    <t>3311-01</t>
    <phoneticPr fontId="14"/>
  </si>
  <si>
    <t>回転電気機械</t>
  </si>
  <si>
    <t>3311-011</t>
    <phoneticPr fontId="14"/>
  </si>
  <si>
    <t>3311-012</t>
    <phoneticPr fontId="14"/>
  </si>
  <si>
    <t>直流機（一般用・車両用）</t>
  </si>
  <si>
    <t>単相誘導電動機（非標準は70Ｗ以上）</t>
  </si>
  <si>
    <t>標準三相誘導電動機</t>
  </si>
  <si>
    <t>非標準三相誘導電動機（70Ｗ以上11kW以下）</t>
  </si>
  <si>
    <t>非標準三相誘導電動機（11kWをこえ37kW以下）</t>
  </si>
  <si>
    <t>非標準三相誘導電動機（37kWをこえ75kW以下）</t>
  </si>
  <si>
    <t>非標準三相誘導電動機（75kWをこえ1000kW以下）</t>
  </si>
  <si>
    <t>非標準三相誘導電動機（1000kWをこえるもの）</t>
  </si>
  <si>
    <t>ＰＭモータ（70Ｗ以上）自動車用</t>
  </si>
  <si>
    <t>ＰＭモータ（70Ｗ以上）その他</t>
  </si>
  <si>
    <t>その他の交流電動機（70Ｗ以上）</t>
  </si>
  <si>
    <t>サーボモータ</t>
  </si>
  <si>
    <t>小形電動機（70W未満）小形直流電動機</t>
  </si>
  <si>
    <t>小形電動機（70W未満）小形交流電動機</t>
  </si>
  <si>
    <t>小形電動機（70W未満）ステッピングモータ</t>
  </si>
  <si>
    <t>小形電動機（70W未満）その他の小形電動機</t>
  </si>
  <si>
    <t>電動機の部分品・取付具・附属品</t>
  </si>
  <si>
    <t>半製品及び仕掛品</t>
  </si>
  <si>
    <t>3311-02</t>
    <phoneticPr fontId="14"/>
  </si>
  <si>
    <t>3311-021</t>
    <phoneticPr fontId="14"/>
  </si>
  <si>
    <t>3311-03</t>
    <phoneticPr fontId="14"/>
  </si>
  <si>
    <t>3311-031</t>
    <phoneticPr fontId="14"/>
  </si>
  <si>
    <t>3311-04</t>
    <phoneticPr fontId="14"/>
  </si>
  <si>
    <t>3311-041</t>
    <phoneticPr fontId="14"/>
  </si>
  <si>
    <t>配線器具</t>
  </si>
  <si>
    <t>3311-05</t>
    <phoneticPr fontId="14"/>
  </si>
  <si>
    <t>3311-051</t>
    <phoneticPr fontId="14"/>
  </si>
  <si>
    <t>内燃機関電装品</t>
  </si>
  <si>
    <t>3311-09</t>
    <phoneticPr fontId="14"/>
  </si>
  <si>
    <t>3311-099</t>
    <phoneticPr fontId="14"/>
  </si>
  <si>
    <t>その他の産業用電気機器</t>
    <rPh sb="7" eb="9">
      <t>デンキ</t>
    </rPh>
    <phoneticPr fontId="14"/>
  </si>
  <si>
    <t>3321-01</t>
    <phoneticPr fontId="14"/>
  </si>
  <si>
    <t>3321-011</t>
    <phoneticPr fontId="14"/>
  </si>
  <si>
    <t>民生用エアコンディショナ</t>
  </si>
  <si>
    <t>3321-02</t>
    <phoneticPr fontId="14"/>
  </si>
  <si>
    <t>3321-021</t>
    <phoneticPr fontId="14"/>
  </si>
  <si>
    <t>民生用電気機器（除エアコン）</t>
  </si>
  <si>
    <t>3331-01</t>
    <phoneticPr fontId="14"/>
  </si>
  <si>
    <t>3331-011</t>
    <phoneticPr fontId="14"/>
  </si>
  <si>
    <t>3332-01</t>
    <phoneticPr fontId="14"/>
  </si>
  <si>
    <t>3332-011</t>
    <phoneticPr fontId="14"/>
  </si>
  <si>
    <t>3399-01</t>
    <phoneticPr fontId="14"/>
  </si>
  <si>
    <t>3399-011</t>
    <phoneticPr fontId="14"/>
  </si>
  <si>
    <t>3399-02</t>
    <phoneticPr fontId="14"/>
  </si>
  <si>
    <t>3399-021</t>
    <phoneticPr fontId="14"/>
  </si>
  <si>
    <t>3399-03</t>
    <phoneticPr fontId="14"/>
  </si>
  <si>
    <t>3399-031</t>
    <phoneticPr fontId="14"/>
  </si>
  <si>
    <t>3399-09</t>
    <phoneticPr fontId="14"/>
  </si>
  <si>
    <t>3399-099</t>
    <phoneticPr fontId="14"/>
  </si>
  <si>
    <t>3411-01</t>
    <phoneticPr fontId="14"/>
  </si>
  <si>
    <t>3411-011</t>
    <phoneticPr fontId="14"/>
  </si>
  <si>
    <t>　デジタル伝送装置</t>
    <phoneticPr fontId="5"/>
  </si>
  <si>
    <t>　搬送装置（デジタル伝送装置を除く）</t>
    <phoneticPr fontId="5"/>
  </si>
  <si>
    <t>　その他の部門</t>
    <rPh sb="3" eb="4">
      <t>タ</t>
    </rPh>
    <rPh sb="5" eb="7">
      <t>ブモン</t>
    </rPh>
    <phoneticPr fontId="5"/>
  </si>
  <si>
    <t>3411-02</t>
    <phoneticPr fontId="14"/>
  </si>
  <si>
    <t>3411-021</t>
    <phoneticPr fontId="14"/>
  </si>
  <si>
    <t>携帯電話機</t>
  </si>
  <si>
    <t>3411-03</t>
    <phoneticPr fontId="14"/>
  </si>
  <si>
    <t>3411-031</t>
    <phoneticPr fontId="14"/>
  </si>
  <si>
    <t>無線電気通信機器（除携帯電話機）</t>
  </si>
  <si>
    <t>3411-04</t>
    <phoneticPr fontId="14"/>
  </si>
  <si>
    <t>3411-041</t>
    <phoneticPr fontId="14"/>
  </si>
  <si>
    <t>ラジオ・ビデオ受信機</t>
  </si>
  <si>
    <t>3411-09</t>
    <phoneticPr fontId="14"/>
  </si>
  <si>
    <t>3411-099</t>
    <phoneticPr fontId="14"/>
  </si>
  <si>
    <t>3412-01</t>
    <phoneticPr fontId="14"/>
  </si>
  <si>
    <t>3412-011</t>
    <phoneticPr fontId="14"/>
  </si>
  <si>
    <t>ビデオ機器・デジタルカメラ</t>
    <phoneticPr fontId="14"/>
  </si>
  <si>
    <t>3412-02</t>
    <phoneticPr fontId="14"/>
  </si>
  <si>
    <t>3412-021</t>
    <phoneticPr fontId="14"/>
  </si>
  <si>
    <t>3421-01</t>
    <phoneticPr fontId="14"/>
  </si>
  <si>
    <t>3421-011</t>
    <phoneticPr fontId="14"/>
  </si>
  <si>
    <t>パーソナルコンピュータ</t>
  </si>
  <si>
    <t>3421-02</t>
    <phoneticPr fontId="14"/>
  </si>
  <si>
    <t>3421-021</t>
    <phoneticPr fontId="14"/>
  </si>
  <si>
    <t>電子計算機本体（除パソコン）</t>
    <phoneticPr fontId="14"/>
  </si>
  <si>
    <t>3421-03</t>
    <phoneticPr fontId="14"/>
  </si>
  <si>
    <t>3421-031</t>
    <phoneticPr fontId="14"/>
  </si>
  <si>
    <t>電子計算機付属装置</t>
  </si>
  <si>
    <t>3511-01</t>
    <phoneticPr fontId="14"/>
  </si>
  <si>
    <t>3511-011</t>
  </si>
  <si>
    <t>3521-01</t>
    <phoneticPr fontId="15"/>
  </si>
  <si>
    <t>3521-011</t>
  </si>
  <si>
    <t>3522-01</t>
    <phoneticPr fontId="15"/>
  </si>
  <si>
    <t>3522-011</t>
    <phoneticPr fontId="14"/>
  </si>
  <si>
    <t>3531-01</t>
    <phoneticPr fontId="14"/>
  </si>
  <si>
    <t>3531-011</t>
    <phoneticPr fontId="14"/>
  </si>
  <si>
    <t>自動車用内燃機関</t>
    <phoneticPr fontId="14"/>
  </si>
  <si>
    <t>3531-02</t>
    <phoneticPr fontId="14"/>
  </si>
  <si>
    <t>3531-021</t>
    <phoneticPr fontId="14"/>
  </si>
  <si>
    <t>3541-01</t>
    <phoneticPr fontId="15"/>
  </si>
  <si>
    <t>3541-011</t>
    <phoneticPr fontId="14"/>
  </si>
  <si>
    <r>
      <t>3541-02</t>
    </r>
    <r>
      <rPr>
        <b/>
        <sz val="10"/>
        <rFont val="Arial"/>
        <family val="2"/>
      </rPr>
      <t/>
    </r>
    <phoneticPr fontId="14"/>
  </si>
  <si>
    <t>3541-021</t>
    <phoneticPr fontId="14"/>
  </si>
  <si>
    <t>3541-03</t>
    <phoneticPr fontId="14"/>
  </si>
  <si>
    <t>3541-031</t>
    <phoneticPr fontId="14"/>
  </si>
  <si>
    <t>3541-10</t>
    <phoneticPr fontId="15"/>
  </si>
  <si>
    <t>3541-101</t>
    <phoneticPr fontId="14"/>
  </si>
  <si>
    <t>3591-01</t>
    <phoneticPr fontId="15"/>
  </si>
  <si>
    <t>3591-011</t>
    <phoneticPr fontId="14"/>
  </si>
  <si>
    <t>　機関車</t>
    <phoneticPr fontId="14"/>
  </si>
  <si>
    <t>　旅客車</t>
    <rPh sb="1" eb="3">
      <t>リョキャク</t>
    </rPh>
    <rPh sb="3" eb="4">
      <t>シャ</t>
    </rPh>
    <phoneticPr fontId="14"/>
  </si>
  <si>
    <t>　貨物車</t>
    <rPh sb="1" eb="4">
      <t>カモツシャ</t>
    </rPh>
    <phoneticPr fontId="14"/>
  </si>
  <si>
    <t>　特殊車</t>
    <rPh sb="1" eb="4">
      <t>トクシュシャ</t>
    </rPh>
    <phoneticPr fontId="14"/>
  </si>
  <si>
    <t>　鉄道業自家改造</t>
    <phoneticPr fontId="14"/>
  </si>
  <si>
    <t>　部品</t>
    <phoneticPr fontId="14"/>
  </si>
  <si>
    <t>401</t>
  </si>
  <si>
    <t>　仕掛品及び在庫純増</t>
    <phoneticPr fontId="14"/>
  </si>
  <si>
    <t>501</t>
  </si>
  <si>
    <t>　交付材料分</t>
    <phoneticPr fontId="14"/>
  </si>
  <si>
    <t>3591-10</t>
    <phoneticPr fontId="15"/>
  </si>
  <si>
    <t>3591-101</t>
    <phoneticPr fontId="14"/>
  </si>
  <si>
    <t>　鉄道車両製造業修理</t>
    <rPh sb="1" eb="3">
      <t>テツドウ</t>
    </rPh>
    <rPh sb="3" eb="5">
      <t>シャリョウ</t>
    </rPh>
    <rPh sb="5" eb="8">
      <t>セイゾウギョウ</t>
    </rPh>
    <rPh sb="8" eb="10">
      <t>シュウリ</t>
    </rPh>
    <phoneticPr fontId="14"/>
  </si>
  <si>
    <t>　鉄道業自家修理</t>
    <rPh sb="1" eb="4">
      <t>テツドウギョウ</t>
    </rPh>
    <rPh sb="4" eb="6">
      <t>ジカ</t>
    </rPh>
    <rPh sb="6" eb="8">
      <t>シュウリ</t>
    </rPh>
    <phoneticPr fontId="14"/>
  </si>
  <si>
    <t>3592-01</t>
    <phoneticPr fontId="15"/>
  </si>
  <si>
    <t>3592-011</t>
    <phoneticPr fontId="14"/>
  </si>
  <si>
    <t>3592-10</t>
    <phoneticPr fontId="15"/>
  </si>
  <si>
    <t>3592-101</t>
    <phoneticPr fontId="14"/>
  </si>
  <si>
    <t>3599-01</t>
    <phoneticPr fontId="15"/>
  </si>
  <si>
    <t>3599-011</t>
    <phoneticPr fontId="14"/>
  </si>
  <si>
    <t>3599-09</t>
    <phoneticPr fontId="15"/>
  </si>
  <si>
    <t>その他の輸送機械</t>
  </si>
  <si>
    <t>3599-091</t>
    <phoneticPr fontId="14"/>
  </si>
  <si>
    <t>産業用運搬車両</t>
    <phoneticPr fontId="14"/>
  </si>
  <si>
    <t>3599-099</t>
    <phoneticPr fontId="14"/>
  </si>
  <si>
    <t>他に分類されない輸送機械</t>
    <rPh sb="2" eb="4">
      <t>ブンルイ</t>
    </rPh>
    <phoneticPr fontId="14"/>
  </si>
  <si>
    <t>3911-01</t>
    <phoneticPr fontId="15"/>
  </si>
  <si>
    <t>3911-011</t>
  </si>
  <si>
    <t>がん具</t>
    <phoneticPr fontId="14"/>
  </si>
  <si>
    <r>
      <t>3911-02</t>
    </r>
    <r>
      <rPr>
        <b/>
        <sz val="10"/>
        <rFont val="Arial"/>
        <family val="2"/>
      </rPr>
      <t/>
    </r>
  </si>
  <si>
    <t>3911-021</t>
  </si>
  <si>
    <t>運動用具</t>
  </si>
  <si>
    <t>3919-01</t>
    <phoneticPr fontId="14"/>
  </si>
  <si>
    <t>3919-011</t>
    <phoneticPr fontId="14"/>
  </si>
  <si>
    <t>3919-02</t>
    <phoneticPr fontId="15"/>
  </si>
  <si>
    <t>3919-021</t>
    <phoneticPr fontId="14"/>
  </si>
  <si>
    <t>3919-03</t>
    <phoneticPr fontId="15"/>
  </si>
  <si>
    <t>3919-031</t>
    <phoneticPr fontId="14"/>
  </si>
  <si>
    <t>3919-04</t>
    <phoneticPr fontId="14"/>
  </si>
  <si>
    <t>3919-041</t>
    <phoneticPr fontId="14"/>
  </si>
  <si>
    <r>
      <t>3919-05</t>
    </r>
    <r>
      <rPr>
        <b/>
        <sz val="10"/>
        <rFont val="Arial"/>
        <family val="2"/>
      </rPr>
      <t/>
    </r>
  </si>
  <si>
    <t>3919-051</t>
  </si>
  <si>
    <t>3919-06</t>
    <phoneticPr fontId="14"/>
  </si>
  <si>
    <t>3919-061</t>
    <phoneticPr fontId="14"/>
  </si>
  <si>
    <t>　音響用情報記録物</t>
    <rPh sb="1" eb="4">
      <t>オンキョウヨウ</t>
    </rPh>
    <rPh sb="4" eb="6">
      <t>ジョウホウ</t>
    </rPh>
    <rPh sb="6" eb="8">
      <t>キロク</t>
    </rPh>
    <rPh sb="8" eb="9">
      <t>ブツ</t>
    </rPh>
    <phoneticPr fontId="14"/>
  </si>
  <si>
    <t>　映像用情報記録物</t>
    <rPh sb="1" eb="4">
      <t>エイゾウヨウ</t>
    </rPh>
    <rPh sb="4" eb="6">
      <t>ジョウホウ</t>
    </rPh>
    <rPh sb="6" eb="8">
      <t>キロク</t>
    </rPh>
    <rPh sb="8" eb="9">
      <t>ブツ</t>
    </rPh>
    <phoneticPr fontId="14"/>
  </si>
  <si>
    <t>　ゲーム用の記録物</t>
    <rPh sb="4" eb="5">
      <t>ヨウ</t>
    </rPh>
    <rPh sb="6" eb="8">
      <t>キロク</t>
    </rPh>
    <rPh sb="8" eb="9">
      <t>ブツ</t>
    </rPh>
    <phoneticPr fontId="14"/>
  </si>
  <si>
    <t>　その他の情報記録物</t>
    <rPh sb="3" eb="4">
      <t>タ</t>
    </rPh>
    <rPh sb="5" eb="7">
      <t>ジョウホウ</t>
    </rPh>
    <rPh sb="7" eb="9">
      <t>キロク</t>
    </rPh>
    <rPh sb="9" eb="10">
      <t>ブツ</t>
    </rPh>
    <phoneticPr fontId="14"/>
  </si>
  <si>
    <t>　情報記録物（その他の受託加工品）</t>
    <rPh sb="1" eb="3">
      <t>ジョウホウ</t>
    </rPh>
    <rPh sb="3" eb="5">
      <t>キロク</t>
    </rPh>
    <rPh sb="5" eb="6">
      <t>ブツ</t>
    </rPh>
    <rPh sb="9" eb="10">
      <t>タ</t>
    </rPh>
    <rPh sb="11" eb="13">
      <t>ジュタク</t>
    </rPh>
    <rPh sb="13" eb="16">
      <t>カコウヒン</t>
    </rPh>
    <phoneticPr fontId="14"/>
  </si>
  <si>
    <t>3919-09</t>
    <phoneticPr fontId="15"/>
  </si>
  <si>
    <t>3919-099</t>
  </si>
  <si>
    <t>3921-01</t>
    <phoneticPr fontId="15"/>
  </si>
  <si>
    <t>3921-011</t>
  </si>
  <si>
    <t>再生資源回収・加工処理</t>
  </si>
  <si>
    <t>4111-01</t>
    <phoneticPr fontId="15"/>
  </si>
  <si>
    <t>4111-011</t>
  </si>
  <si>
    <t>　専用住宅</t>
    <rPh sb="1" eb="3">
      <t>センヨウ</t>
    </rPh>
    <rPh sb="3" eb="5">
      <t>ジュウタク</t>
    </rPh>
    <phoneticPr fontId="14"/>
  </si>
  <si>
    <t>　産業併用住宅</t>
    <rPh sb="1" eb="3">
      <t>サンギョウ</t>
    </rPh>
    <rPh sb="3" eb="5">
      <t>ヘイヨウ</t>
    </rPh>
    <rPh sb="5" eb="7">
      <t>ジュウタク</t>
    </rPh>
    <phoneticPr fontId="14"/>
  </si>
  <si>
    <r>
      <t>4111-02</t>
    </r>
    <r>
      <rPr>
        <b/>
        <sz val="10"/>
        <rFont val="Arial"/>
        <family val="2"/>
      </rPr>
      <t/>
    </r>
  </si>
  <si>
    <t>4111-021</t>
  </si>
  <si>
    <t>　鉄骨鉄筋コンクリート造</t>
    <rPh sb="1" eb="3">
      <t>テッコツ</t>
    </rPh>
    <rPh sb="3" eb="5">
      <t>テッキン</t>
    </rPh>
    <rPh sb="11" eb="12">
      <t>ゾウ</t>
    </rPh>
    <phoneticPr fontId="14"/>
  </si>
  <si>
    <t>　鉄筋コンクリート造</t>
    <rPh sb="1" eb="3">
      <t>テッキン</t>
    </rPh>
    <rPh sb="9" eb="10">
      <t>ゾウ</t>
    </rPh>
    <phoneticPr fontId="14"/>
  </si>
  <si>
    <t>　鉄骨造</t>
    <rPh sb="1" eb="3">
      <t>テッコツ</t>
    </rPh>
    <rPh sb="3" eb="4">
      <t>ゾウ</t>
    </rPh>
    <phoneticPr fontId="14"/>
  </si>
  <si>
    <t>4112-01</t>
    <phoneticPr fontId="15"/>
  </si>
  <si>
    <t>4112-011</t>
  </si>
  <si>
    <t>　工場・倉庫</t>
    <rPh sb="1" eb="3">
      <t>コウジョウ</t>
    </rPh>
    <rPh sb="4" eb="6">
      <t>ソウコ</t>
    </rPh>
    <phoneticPr fontId="14"/>
  </si>
  <si>
    <t>　事務所・その他</t>
    <rPh sb="1" eb="3">
      <t>ジム</t>
    </rPh>
    <rPh sb="3" eb="4">
      <t>ショ</t>
    </rPh>
    <rPh sb="7" eb="8">
      <t>タ</t>
    </rPh>
    <phoneticPr fontId="14"/>
  </si>
  <si>
    <r>
      <t>4112-02</t>
    </r>
    <r>
      <rPr>
        <b/>
        <sz val="10"/>
        <rFont val="Arial"/>
        <family val="2"/>
      </rPr>
      <t/>
    </r>
    <phoneticPr fontId="14"/>
  </si>
  <si>
    <t>4112-021</t>
  </si>
  <si>
    <t>　工場・倉庫（鉄骨鉄筋）</t>
    <rPh sb="1" eb="3">
      <t>コウジョウ</t>
    </rPh>
    <rPh sb="4" eb="6">
      <t>ソウコ</t>
    </rPh>
    <rPh sb="7" eb="9">
      <t>テッコツ</t>
    </rPh>
    <rPh sb="9" eb="11">
      <t>テッキン</t>
    </rPh>
    <phoneticPr fontId="14"/>
  </si>
  <si>
    <t>　事務所・その他（鉄骨鉄筋）</t>
    <rPh sb="1" eb="3">
      <t>ジム</t>
    </rPh>
    <rPh sb="3" eb="4">
      <t>ショ</t>
    </rPh>
    <rPh sb="7" eb="8">
      <t>タ</t>
    </rPh>
    <rPh sb="9" eb="11">
      <t>テッコツ</t>
    </rPh>
    <rPh sb="11" eb="13">
      <t>テッキン</t>
    </rPh>
    <phoneticPr fontId="14"/>
  </si>
  <si>
    <t>　工場・倉庫（鉄筋）</t>
    <rPh sb="1" eb="3">
      <t>コウジョウ</t>
    </rPh>
    <rPh sb="4" eb="6">
      <t>ソウコ</t>
    </rPh>
    <rPh sb="7" eb="9">
      <t>テッキン</t>
    </rPh>
    <phoneticPr fontId="14"/>
  </si>
  <si>
    <t>　学校（鉄筋）</t>
    <rPh sb="1" eb="3">
      <t>ガッコウ</t>
    </rPh>
    <rPh sb="4" eb="6">
      <t>テッキン</t>
    </rPh>
    <phoneticPr fontId="14"/>
  </si>
  <si>
    <t>　事務所・その他（鉄筋）</t>
    <rPh sb="1" eb="3">
      <t>ジム</t>
    </rPh>
    <rPh sb="3" eb="4">
      <t>ショ</t>
    </rPh>
    <rPh sb="7" eb="8">
      <t>タ</t>
    </rPh>
    <rPh sb="9" eb="11">
      <t>テッキン</t>
    </rPh>
    <phoneticPr fontId="14"/>
  </si>
  <si>
    <t>　工場・倉庫（鉄骨）</t>
    <rPh sb="1" eb="3">
      <t>コウジョウ</t>
    </rPh>
    <rPh sb="4" eb="6">
      <t>ソウコ</t>
    </rPh>
    <rPh sb="7" eb="9">
      <t>テッコツ</t>
    </rPh>
    <phoneticPr fontId="14"/>
  </si>
  <si>
    <t>　事務所・学校・病院・店舗・その他（鉄骨）</t>
    <rPh sb="1" eb="3">
      <t>ジム</t>
    </rPh>
    <rPh sb="3" eb="4">
      <t>ショ</t>
    </rPh>
    <rPh sb="5" eb="7">
      <t>ガッコウ</t>
    </rPh>
    <rPh sb="8" eb="10">
      <t>ビョウイン</t>
    </rPh>
    <rPh sb="11" eb="13">
      <t>テンポ</t>
    </rPh>
    <rPh sb="16" eb="17">
      <t>タ</t>
    </rPh>
    <rPh sb="18" eb="20">
      <t>テッコツ</t>
    </rPh>
    <phoneticPr fontId="14"/>
  </si>
  <si>
    <t>　コンクリートブロック造・その他</t>
    <rPh sb="11" eb="12">
      <t>ゾウ</t>
    </rPh>
    <rPh sb="15" eb="16">
      <t>タ</t>
    </rPh>
    <phoneticPr fontId="14"/>
  </si>
  <si>
    <t>4121-01</t>
    <phoneticPr fontId="15"/>
  </si>
  <si>
    <t>4121-011</t>
  </si>
  <si>
    <t>　建築</t>
    <phoneticPr fontId="14"/>
  </si>
  <si>
    <t>　土木</t>
    <phoneticPr fontId="14"/>
  </si>
  <si>
    <t>4131-01</t>
    <phoneticPr fontId="15"/>
  </si>
  <si>
    <t>4131-011</t>
  </si>
  <si>
    <t>　一般道路</t>
    <phoneticPr fontId="14"/>
  </si>
  <si>
    <t>　一般街路</t>
    <phoneticPr fontId="14"/>
  </si>
  <si>
    <t>　有料道路</t>
    <phoneticPr fontId="14"/>
  </si>
  <si>
    <t>　区画整理</t>
    <phoneticPr fontId="14"/>
  </si>
  <si>
    <r>
      <t>4131-02</t>
    </r>
    <r>
      <rPr>
        <b/>
        <sz val="10"/>
        <rFont val="Arial"/>
        <family val="2"/>
      </rPr>
      <t/>
    </r>
  </si>
  <si>
    <t>4131-021</t>
  </si>
  <si>
    <t>　河川改修</t>
    <phoneticPr fontId="14"/>
  </si>
  <si>
    <t>　河川総合開発</t>
    <phoneticPr fontId="14"/>
  </si>
  <si>
    <t>　砂防</t>
    <phoneticPr fontId="14"/>
  </si>
  <si>
    <t>　海岸</t>
    <phoneticPr fontId="14"/>
  </si>
  <si>
    <t>　下水道</t>
    <phoneticPr fontId="14"/>
  </si>
  <si>
    <t>　廃棄物処理施設</t>
    <phoneticPr fontId="14"/>
  </si>
  <si>
    <t>　公園</t>
    <phoneticPr fontId="14"/>
  </si>
  <si>
    <t>　港湾</t>
    <phoneticPr fontId="14"/>
  </si>
  <si>
    <t>601</t>
  </si>
  <si>
    <t>　漁港</t>
    <phoneticPr fontId="14"/>
  </si>
  <si>
    <t>701</t>
  </si>
  <si>
    <t>　空港</t>
    <phoneticPr fontId="14"/>
  </si>
  <si>
    <t>　災害復旧</t>
    <phoneticPr fontId="14"/>
  </si>
  <si>
    <t>　沿岸漁場整備等</t>
    <phoneticPr fontId="14"/>
  </si>
  <si>
    <r>
      <t>4131-03</t>
    </r>
    <r>
      <rPr>
        <b/>
        <sz val="10"/>
        <rFont val="Arial"/>
        <family val="2"/>
      </rPr>
      <t/>
    </r>
  </si>
  <si>
    <t>4131-031</t>
  </si>
  <si>
    <t>　農業土木</t>
    <phoneticPr fontId="14"/>
  </si>
  <si>
    <t>　林道</t>
    <phoneticPr fontId="14"/>
  </si>
  <si>
    <t>　治山</t>
    <phoneticPr fontId="14"/>
  </si>
  <si>
    <t>4191-01</t>
    <phoneticPr fontId="15"/>
  </si>
  <si>
    <t>4191-011</t>
    <phoneticPr fontId="14"/>
  </si>
  <si>
    <t>　JR・私鉄</t>
    <phoneticPr fontId="14"/>
  </si>
  <si>
    <t>　公営鉄道</t>
    <phoneticPr fontId="14"/>
  </si>
  <si>
    <r>
      <t>4191-02</t>
    </r>
    <r>
      <rPr>
        <b/>
        <sz val="10"/>
        <rFont val="Arial"/>
        <family val="2"/>
      </rPr>
      <t/>
    </r>
    <phoneticPr fontId="14"/>
  </si>
  <si>
    <t>4191-021</t>
    <phoneticPr fontId="5"/>
  </si>
  <si>
    <r>
      <t>4191-03</t>
    </r>
    <r>
      <rPr>
        <b/>
        <sz val="10"/>
        <rFont val="Arial"/>
        <family val="2"/>
      </rPr>
      <t/>
    </r>
    <phoneticPr fontId="14"/>
  </si>
  <si>
    <t>4191-031</t>
    <phoneticPr fontId="14"/>
  </si>
  <si>
    <t>4191-09</t>
    <phoneticPr fontId="15"/>
  </si>
  <si>
    <t>4191-099</t>
    <phoneticPr fontId="14"/>
  </si>
  <si>
    <t>　上工業用水道</t>
    <phoneticPr fontId="14"/>
  </si>
  <si>
    <t>　土地造成</t>
    <phoneticPr fontId="14"/>
  </si>
  <si>
    <t>　民間構築物（私鉄，電力，ガス除く）</t>
    <phoneticPr fontId="14"/>
  </si>
  <si>
    <t>　ガス</t>
    <phoneticPr fontId="14"/>
  </si>
  <si>
    <t>4611-001</t>
    <phoneticPr fontId="14"/>
  </si>
  <si>
    <t>4611-01</t>
    <phoneticPr fontId="14"/>
  </si>
  <si>
    <t>事業用火力発電</t>
  </si>
  <si>
    <t>4611-02</t>
    <phoneticPr fontId="14"/>
  </si>
  <si>
    <t>事業用発電（火力発電を除く。）</t>
    <rPh sb="6" eb="8">
      <t>カリョク</t>
    </rPh>
    <rPh sb="8" eb="10">
      <t>ハツデン</t>
    </rPh>
    <rPh sb="11" eb="12">
      <t>ノゾ</t>
    </rPh>
    <phoneticPr fontId="5"/>
  </si>
  <si>
    <t>4611-03</t>
    <phoneticPr fontId="14"/>
  </si>
  <si>
    <t>4611-031</t>
    <phoneticPr fontId="14"/>
  </si>
  <si>
    <t>4621-01</t>
    <phoneticPr fontId="15"/>
  </si>
  <si>
    <t>4621-011</t>
    <phoneticPr fontId="14"/>
  </si>
  <si>
    <t>　販売用</t>
    <phoneticPr fontId="14"/>
  </si>
  <si>
    <t>　加熱用</t>
    <phoneticPr fontId="14"/>
  </si>
  <si>
    <t>　自家消費用</t>
    <phoneticPr fontId="14"/>
  </si>
  <si>
    <t>　簡易ガス事業</t>
    <phoneticPr fontId="14"/>
  </si>
  <si>
    <t>　ガス導管事業及び大口ガス事業</t>
    <rPh sb="3" eb="5">
      <t>ドウカン</t>
    </rPh>
    <rPh sb="5" eb="7">
      <t>ジギョウ</t>
    </rPh>
    <rPh sb="7" eb="8">
      <t>オヨ</t>
    </rPh>
    <phoneticPr fontId="14"/>
  </si>
  <si>
    <t>4622-01</t>
    <phoneticPr fontId="15"/>
  </si>
  <si>
    <t>4622-011</t>
    <phoneticPr fontId="14"/>
  </si>
  <si>
    <t>　　　住宅用</t>
  </si>
  <si>
    <t>　　　業務用及びその他</t>
  </si>
  <si>
    <t>4711-01</t>
    <phoneticPr fontId="15"/>
  </si>
  <si>
    <t>4711-011</t>
    <phoneticPr fontId="14"/>
  </si>
  <si>
    <t>　法適用水道事業</t>
    <phoneticPr fontId="14"/>
  </si>
  <si>
    <t>　　　給水収益</t>
  </si>
  <si>
    <t>　　　その他の営業収益</t>
  </si>
  <si>
    <t>　法非適用簡易水道事業</t>
    <phoneticPr fontId="14"/>
  </si>
  <si>
    <r>
      <t>4711-02</t>
    </r>
    <r>
      <rPr>
        <b/>
        <sz val="10"/>
        <rFont val="Arial"/>
        <family val="2"/>
      </rPr>
      <t/>
    </r>
    <phoneticPr fontId="14"/>
  </si>
  <si>
    <t>4711-021</t>
    <phoneticPr fontId="14"/>
  </si>
  <si>
    <r>
      <t>4711-03</t>
    </r>
    <r>
      <rPr>
        <b/>
        <sz val="10"/>
        <rFont val="Arial"/>
        <family val="2"/>
      </rPr>
      <t/>
    </r>
    <phoneticPr fontId="14"/>
  </si>
  <si>
    <t>4711-031</t>
    <phoneticPr fontId="14"/>
  </si>
  <si>
    <t>4811-01</t>
    <phoneticPr fontId="15"/>
  </si>
  <si>
    <t>4811-011</t>
    <phoneticPr fontId="14"/>
  </si>
  <si>
    <r>
      <t>4811-02</t>
    </r>
    <r>
      <rPr>
        <b/>
        <sz val="10"/>
        <rFont val="Arial"/>
        <family val="2"/>
      </rPr>
      <t/>
    </r>
    <phoneticPr fontId="14"/>
  </si>
  <si>
    <t>4811-021</t>
    <phoneticPr fontId="14"/>
  </si>
  <si>
    <t>5111-01</t>
    <phoneticPr fontId="15"/>
  </si>
  <si>
    <t>5111-011</t>
    <phoneticPr fontId="14"/>
  </si>
  <si>
    <t>卸売業</t>
    <rPh sb="2" eb="3">
      <t>ギョウ</t>
    </rPh>
    <phoneticPr fontId="14"/>
  </si>
  <si>
    <t>5112-01</t>
    <phoneticPr fontId="15"/>
  </si>
  <si>
    <t>5112-011</t>
    <phoneticPr fontId="14"/>
  </si>
  <si>
    <t>小売業</t>
    <rPh sb="2" eb="3">
      <t>ギョウ</t>
    </rPh>
    <phoneticPr fontId="14"/>
  </si>
  <si>
    <t>5311-01</t>
    <phoneticPr fontId="15"/>
  </si>
  <si>
    <t>金融</t>
  </si>
  <si>
    <t>5311-011</t>
    <phoneticPr fontId="14"/>
  </si>
  <si>
    <t>公的金融（FISIM）</t>
    <phoneticPr fontId="14"/>
  </si>
  <si>
    <t>　借り手側FISIM</t>
    <rPh sb="1" eb="2">
      <t>カ</t>
    </rPh>
    <rPh sb="3" eb="4">
      <t>テ</t>
    </rPh>
    <rPh sb="4" eb="5">
      <t>ガワ</t>
    </rPh>
    <phoneticPr fontId="14"/>
  </si>
  <si>
    <t>　貸し手側FISIM</t>
    <rPh sb="1" eb="2">
      <t>カ</t>
    </rPh>
    <rPh sb="3" eb="4">
      <t>テ</t>
    </rPh>
    <rPh sb="4" eb="5">
      <t>ガワ</t>
    </rPh>
    <phoneticPr fontId="14"/>
  </si>
  <si>
    <t>5311-012</t>
    <phoneticPr fontId="14"/>
  </si>
  <si>
    <t>民間金融（FISIM）</t>
    <phoneticPr fontId="14"/>
  </si>
  <si>
    <t>5311-013</t>
    <phoneticPr fontId="14"/>
  </si>
  <si>
    <t>5311-014</t>
    <phoneticPr fontId="14"/>
  </si>
  <si>
    <t>5312-01</t>
    <phoneticPr fontId="15"/>
  </si>
  <si>
    <t>5312-011</t>
    <phoneticPr fontId="14"/>
  </si>
  <si>
    <r>
      <t>5312-02</t>
    </r>
    <r>
      <rPr>
        <b/>
        <sz val="10"/>
        <rFont val="Arial"/>
        <family val="2"/>
      </rPr>
      <t/>
    </r>
    <phoneticPr fontId="14"/>
  </si>
  <si>
    <t>5312-021</t>
    <phoneticPr fontId="14"/>
  </si>
  <si>
    <t>5511-01</t>
    <phoneticPr fontId="15"/>
  </si>
  <si>
    <t>5511-011</t>
    <phoneticPr fontId="14"/>
  </si>
  <si>
    <t>　不動産仲介業等</t>
    <phoneticPr fontId="14"/>
  </si>
  <si>
    <t>　不動産管理業</t>
    <phoneticPr fontId="14"/>
  </si>
  <si>
    <r>
      <t>5511-02</t>
    </r>
    <r>
      <rPr>
        <b/>
        <sz val="10"/>
        <rFont val="Arial"/>
        <family val="2"/>
      </rPr>
      <t/>
    </r>
    <phoneticPr fontId="14"/>
  </si>
  <si>
    <t>5511-021</t>
    <phoneticPr fontId="14"/>
  </si>
  <si>
    <t>5521-01</t>
    <phoneticPr fontId="15"/>
  </si>
  <si>
    <t>5521-011</t>
    <phoneticPr fontId="14"/>
  </si>
  <si>
    <t>住宅賃貸料</t>
  </si>
  <si>
    <t>5531-01</t>
    <phoneticPr fontId="14"/>
  </si>
  <si>
    <t>5531-011</t>
    <phoneticPr fontId="14"/>
  </si>
  <si>
    <t>住宅賃貸料(帰属家賃)</t>
  </si>
  <si>
    <t>5711-01</t>
    <phoneticPr fontId="15"/>
  </si>
  <si>
    <t>5711-011</t>
    <phoneticPr fontId="14"/>
  </si>
  <si>
    <t>　定期外（ＪＲ）</t>
    <phoneticPr fontId="14"/>
  </si>
  <si>
    <t>　定期（ＪＲ）</t>
    <phoneticPr fontId="14"/>
  </si>
  <si>
    <t>　旅客雑収（ＪＲ）</t>
    <phoneticPr fontId="14"/>
  </si>
  <si>
    <t>　定期外（除ＪＲ）</t>
    <rPh sb="5" eb="6">
      <t>ジョ</t>
    </rPh>
    <phoneticPr fontId="14"/>
  </si>
  <si>
    <t>　定期（除ＪＲ）</t>
    <rPh sb="4" eb="5">
      <t>ジョ</t>
    </rPh>
    <phoneticPr fontId="14"/>
  </si>
  <si>
    <t>　旅客雑収（除ＪＲ）</t>
    <rPh sb="6" eb="7">
      <t>ジョ</t>
    </rPh>
    <phoneticPr fontId="14"/>
  </si>
  <si>
    <t>　索道</t>
    <phoneticPr fontId="14"/>
  </si>
  <si>
    <t>5712-01</t>
    <phoneticPr fontId="15"/>
  </si>
  <si>
    <t>5712-011</t>
    <phoneticPr fontId="14"/>
  </si>
  <si>
    <t>　手小荷物</t>
    <phoneticPr fontId="14"/>
  </si>
  <si>
    <t>002</t>
    <phoneticPr fontId="5"/>
  </si>
  <si>
    <t>　コンテナ</t>
    <phoneticPr fontId="14"/>
  </si>
  <si>
    <t>003</t>
    <phoneticPr fontId="5"/>
  </si>
  <si>
    <t>　車扱</t>
    <phoneticPr fontId="14"/>
  </si>
  <si>
    <t>004</t>
    <phoneticPr fontId="5"/>
  </si>
  <si>
    <t>　貨物雑収</t>
    <phoneticPr fontId="14"/>
  </si>
  <si>
    <t>5721-01</t>
    <phoneticPr fontId="15"/>
  </si>
  <si>
    <t>5721-011</t>
    <phoneticPr fontId="14"/>
  </si>
  <si>
    <t>　乗合バス</t>
    <phoneticPr fontId="14"/>
  </si>
  <si>
    <t>　貸切バス</t>
    <phoneticPr fontId="14"/>
  </si>
  <si>
    <t>　特定旅客</t>
    <phoneticPr fontId="14"/>
  </si>
  <si>
    <r>
      <t>5721-02</t>
    </r>
    <r>
      <rPr>
        <b/>
        <sz val="10"/>
        <rFont val="Arial"/>
        <family val="2"/>
      </rPr>
      <t/>
    </r>
    <phoneticPr fontId="14"/>
  </si>
  <si>
    <t>5721-021</t>
    <phoneticPr fontId="14"/>
  </si>
  <si>
    <t>5722-01</t>
    <phoneticPr fontId="15"/>
  </si>
  <si>
    <t>5722-011</t>
    <phoneticPr fontId="14"/>
  </si>
  <si>
    <t>道路貨物輸送（自家輸送を除く。）</t>
    <rPh sb="7" eb="9">
      <t>ジカ</t>
    </rPh>
    <rPh sb="9" eb="11">
      <t>ユソウ</t>
    </rPh>
    <rPh sb="12" eb="13">
      <t>ノゾ</t>
    </rPh>
    <phoneticPr fontId="5"/>
  </si>
  <si>
    <t>　貨物自動車運送</t>
    <rPh sb="1" eb="3">
      <t>カモツ</t>
    </rPh>
    <rPh sb="3" eb="6">
      <t>ジドウシャ</t>
    </rPh>
    <rPh sb="6" eb="8">
      <t>ウンソウ</t>
    </rPh>
    <phoneticPr fontId="14"/>
  </si>
  <si>
    <t>　貨物軽自動車等運送</t>
    <rPh sb="1" eb="3">
      <t>カモツ</t>
    </rPh>
    <rPh sb="3" eb="8">
      <t>ケイジドウシャトウ</t>
    </rPh>
    <rPh sb="8" eb="10">
      <t>ウンソウ</t>
    </rPh>
    <phoneticPr fontId="14"/>
  </si>
  <si>
    <t>5731-01P</t>
    <phoneticPr fontId="14"/>
  </si>
  <si>
    <t>自家輸送（旅客自動車）</t>
    <rPh sb="0" eb="2">
      <t>ジカ</t>
    </rPh>
    <rPh sb="2" eb="4">
      <t>ユソウ</t>
    </rPh>
    <rPh sb="5" eb="7">
      <t>リョカク</t>
    </rPh>
    <rPh sb="7" eb="10">
      <t>ジドウシャ</t>
    </rPh>
    <phoneticPr fontId="14"/>
  </si>
  <si>
    <t xml:space="preserve"> バス</t>
    <phoneticPr fontId="14"/>
  </si>
  <si>
    <t xml:space="preserve"> 普通・小型乗用車</t>
    <rPh sb="1" eb="3">
      <t>フツウ</t>
    </rPh>
    <rPh sb="4" eb="6">
      <t>コガタ</t>
    </rPh>
    <rPh sb="6" eb="9">
      <t>ジョウヨウシャ</t>
    </rPh>
    <phoneticPr fontId="14"/>
  </si>
  <si>
    <t xml:space="preserve"> 軽乗用車</t>
    <rPh sb="1" eb="2">
      <t>ケイ</t>
    </rPh>
    <rPh sb="2" eb="5">
      <t>ジョウヨウシャ</t>
    </rPh>
    <phoneticPr fontId="14"/>
  </si>
  <si>
    <t xml:space="preserve"> 普通貨物車</t>
    <rPh sb="1" eb="3">
      <t>フツウ</t>
    </rPh>
    <rPh sb="3" eb="6">
      <t>カモツシャ</t>
    </rPh>
    <phoneticPr fontId="14"/>
  </si>
  <si>
    <t>005</t>
  </si>
  <si>
    <t xml:space="preserve"> 小型貨物車</t>
    <rPh sb="1" eb="3">
      <t>コガタ</t>
    </rPh>
    <rPh sb="3" eb="6">
      <t>カモツシャ</t>
    </rPh>
    <phoneticPr fontId="14"/>
  </si>
  <si>
    <t>006</t>
  </si>
  <si>
    <t xml:space="preserve"> 普通特種車</t>
    <rPh sb="1" eb="3">
      <t>フツウ</t>
    </rPh>
    <rPh sb="3" eb="5">
      <t>トクダネ</t>
    </rPh>
    <rPh sb="5" eb="6">
      <t>シャ</t>
    </rPh>
    <phoneticPr fontId="14"/>
  </si>
  <si>
    <t>007</t>
  </si>
  <si>
    <t xml:space="preserve"> 小型特種車</t>
    <rPh sb="1" eb="3">
      <t>コガタ</t>
    </rPh>
    <rPh sb="3" eb="5">
      <t>トクダネ</t>
    </rPh>
    <rPh sb="5" eb="6">
      <t>シャ</t>
    </rPh>
    <phoneticPr fontId="14"/>
  </si>
  <si>
    <t>008</t>
  </si>
  <si>
    <t xml:space="preserve"> 軽貨物車</t>
    <rPh sb="1" eb="2">
      <t>ケイ</t>
    </rPh>
    <rPh sb="2" eb="4">
      <t>カモツ</t>
    </rPh>
    <rPh sb="4" eb="5">
      <t>シャ</t>
    </rPh>
    <phoneticPr fontId="14"/>
  </si>
  <si>
    <t>5732-01P</t>
    <phoneticPr fontId="14"/>
  </si>
  <si>
    <t>5732-011</t>
    <phoneticPr fontId="14"/>
  </si>
  <si>
    <t>自家輸送（貨物自動車）</t>
    <rPh sb="0" eb="2">
      <t>ジカ</t>
    </rPh>
    <rPh sb="2" eb="4">
      <t>ユソウ</t>
    </rPh>
    <rPh sb="5" eb="7">
      <t>カモツ</t>
    </rPh>
    <rPh sb="7" eb="10">
      <t>ジドウシャ</t>
    </rPh>
    <phoneticPr fontId="14"/>
  </si>
  <si>
    <t>5741-01</t>
    <phoneticPr fontId="15"/>
  </si>
  <si>
    <t>5741-011</t>
    <phoneticPr fontId="14"/>
  </si>
  <si>
    <t>　輸出貨物輸送</t>
    <phoneticPr fontId="14"/>
  </si>
  <si>
    <t>　輸入貨物輸送</t>
    <phoneticPr fontId="14"/>
  </si>
  <si>
    <t>　三国間貨物輸送</t>
    <phoneticPr fontId="14"/>
  </si>
  <si>
    <t>　出国旅客輸送</t>
    <phoneticPr fontId="14"/>
  </si>
  <si>
    <t>　入国旅客輸送</t>
    <phoneticPr fontId="14"/>
  </si>
  <si>
    <t>　三国間旅客輸送</t>
    <phoneticPr fontId="14"/>
  </si>
  <si>
    <t>　用船料（外国からの受取）</t>
    <phoneticPr fontId="14"/>
  </si>
  <si>
    <t>5742-01</t>
    <phoneticPr fontId="15"/>
  </si>
  <si>
    <t>沿海・内水面輸送</t>
  </si>
  <si>
    <t>5742-011</t>
    <phoneticPr fontId="14"/>
  </si>
  <si>
    <t>5742-012</t>
    <phoneticPr fontId="14"/>
  </si>
  <si>
    <t>　大型鋼船</t>
    <rPh sb="1" eb="3">
      <t>オオガタ</t>
    </rPh>
    <rPh sb="3" eb="5">
      <t>コウセン</t>
    </rPh>
    <phoneticPr fontId="14"/>
  </si>
  <si>
    <t>　小型鋼船</t>
    <rPh sb="1" eb="3">
      <t>コガタ</t>
    </rPh>
    <rPh sb="3" eb="5">
      <t>コウセン</t>
    </rPh>
    <phoneticPr fontId="14"/>
  </si>
  <si>
    <t>　木船</t>
    <rPh sb="1" eb="3">
      <t>キブネ</t>
    </rPh>
    <phoneticPr fontId="14"/>
  </si>
  <si>
    <t>　プッシャーパージ</t>
    <phoneticPr fontId="14"/>
  </si>
  <si>
    <t>　自動車航送</t>
    <rPh sb="1" eb="4">
      <t>ジドウシャ</t>
    </rPh>
    <rPh sb="4" eb="6">
      <t>コウソウ</t>
    </rPh>
    <phoneticPr fontId="14"/>
  </si>
  <si>
    <t>　手小荷物</t>
    <rPh sb="1" eb="2">
      <t>テ</t>
    </rPh>
    <rPh sb="2" eb="5">
      <t>コニモツ</t>
    </rPh>
    <phoneticPr fontId="14"/>
  </si>
  <si>
    <t>　貨物</t>
    <rPh sb="1" eb="3">
      <t>カモツ</t>
    </rPh>
    <phoneticPr fontId="14"/>
  </si>
  <si>
    <t>　郵便物</t>
    <rPh sb="1" eb="4">
      <t>ユウビンブツ</t>
    </rPh>
    <phoneticPr fontId="14"/>
  </si>
  <si>
    <t>5743-01</t>
    <phoneticPr fontId="15"/>
  </si>
  <si>
    <t>5743-011</t>
    <phoneticPr fontId="14"/>
  </si>
  <si>
    <t>　輸出貨物（船内荷役）</t>
    <rPh sb="6" eb="8">
      <t>センナイ</t>
    </rPh>
    <rPh sb="8" eb="10">
      <t>ニエキ</t>
    </rPh>
    <phoneticPr fontId="14"/>
  </si>
  <si>
    <t>　輸入貨物（船内荷役）</t>
    <phoneticPr fontId="14"/>
  </si>
  <si>
    <t>　移出貨物（船内荷役）</t>
    <phoneticPr fontId="14"/>
  </si>
  <si>
    <t>　移入貨物（船内荷役）</t>
    <phoneticPr fontId="14"/>
  </si>
  <si>
    <t>　輸出貨物（沿岸荷役）</t>
    <rPh sb="6" eb="8">
      <t>エンガン</t>
    </rPh>
    <rPh sb="8" eb="10">
      <t>ニエキ</t>
    </rPh>
    <phoneticPr fontId="14"/>
  </si>
  <si>
    <t>　輸入貨物（沿岸荷役）</t>
    <phoneticPr fontId="14"/>
  </si>
  <si>
    <t>　移出貨物（沿岸荷役）</t>
    <phoneticPr fontId="14"/>
  </si>
  <si>
    <t>　移入貨物（沿岸荷役）</t>
    <phoneticPr fontId="14"/>
  </si>
  <si>
    <t>　はしけ運送</t>
    <phoneticPr fontId="14"/>
  </si>
  <si>
    <t>　いかだ運送</t>
    <phoneticPr fontId="14"/>
  </si>
  <si>
    <t>5751-01</t>
    <phoneticPr fontId="15"/>
  </si>
  <si>
    <t>航空輸送</t>
    <rPh sb="0" eb="2">
      <t>コウクウ</t>
    </rPh>
    <rPh sb="2" eb="4">
      <t>ユソウ</t>
    </rPh>
    <phoneticPr fontId="14"/>
  </si>
  <si>
    <t>5751-011</t>
    <phoneticPr fontId="14"/>
  </si>
  <si>
    <t>5751-012</t>
    <phoneticPr fontId="14"/>
  </si>
  <si>
    <t>5751-013</t>
    <phoneticPr fontId="14"/>
  </si>
  <si>
    <t>　一般貨物</t>
    <phoneticPr fontId="14"/>
  </si>
  <si>
    <t>　郵便物</t>
    <phoneticPr fontId="14"/>
  </si>
  <si>
    <t>　手荷物</t>
    <phoneticPr fontId="14"/>
  </si>
  <si>
    <t>5751-014</t>
    <phoneticPr fontId="14"/>
  </si>
  <si>
    <t>5761-01</t>
    <phoneticPr fontId="15"/>
  </si>
  <si>
    <t>5761-011</t>
  </si>
  <si>
    <t>貨物利用運送</t>
    <rPh sb="2" eb="4">
      <t>リヨウ</t>
    </rPh>
    <rPh sb="4" eb="6">
      <t>ウンソウ</t>
    </rPh>
    <phoneticPr fontId="14"/>
  </si>
  <si>
    <t>　利用運送</t>
    <rPh sb="1" eb="3">
      <t>リヨウ</t>
    </rPh>
    <rPh sb="3" eb="5">
      <t>ウンソウ</t>
    </rPh>
    <phoneticPr fontId="14"/>
  </si>
  <si>
    <t>　運送取次</t>
    <rPh sb="1" eb="3">
      <t>ウンソウ</t>
    </rPh>
    <rPh sb="3" eb="5">
      <t>トリツ</t>
    </rPh>
    <phoneticPr fontId="14"/>
  </si>
  <si>
    <t>5771-01</t>
    <phoneticPr fontId="15"/>
  </si>
  <si>
    <t>5771-011</t>
    <phoneticPr fontId="14"/>
  </si>
  <si>
    <t>　普通倉庫</t>
    <rPh sb="1" eb="3">
      <t>フツウ</t>
    </rPh>
    <rPh sb="3" eb="5">
      <t>ソウコ</t>
    </rPh>
    <phoneticPr fontId="14"/>
  </si>
  <si>
    <t>　冷蔵倉庫</t>
    <rPh sb="1" eb="3">
      <t>レイゾウ</t>
    </rPh>
    <rPh sb="3" eb="5">
      <t>ソウコ</t>
    </rPh>
    <phoneticPr fontId="14"/>
  </si>
  <si>
    <t>　水面倉庫</t>
    <rPh sb="1" eb="3">
      <t>スイメン</t>
    </rPh>
    <rPh sb="3" eb="5">
      <t>ソウコ</t>
    </rPh>
    <phoneticPr fontId="14"/>
  </si>
  <si>
    <t>　農業倉庫</t>
    <rPh sb="1" eb="3">
      <t>ノウギョウ</t>
    </rPh>
    <rPh sb="3" eb="5">
      <t>ソウコ</t>
    </rPh>
    <phoneticPr fontId="14"/>
  </si>
  <si>
    <t>　漁業倉庫</t>
    <rPh sb="1" eb="3">
      <t>ギョギョウ</t>
    </rPh>
    <rPh sb="3" eb="5">
      <t>ソウコ</t>
    </rPh>
    <phoneticPr fontId="14"/>
  </si>
  <si>
    <t>5781-01</t>
    <phoneticPr fontId="15"/>
  </si>
  <si>
    <t>5781-011</t>
    <phoneticPr fontId="14"/>
  </si>
  <si>
    <t>5789-01</t>
    <phoneticPr fontId="15"/>
  </si>
  <si>
    <t>5789-011</t>
    <phoneticPr fontId="14"/>
  </si>
  <si>
    <t>　高速自動車国道</t>
    <phoneticPr fontId="14"/>
  </si>
  <si>
    <t>　一般有料道路</t>
    <phoneticPr fontId="14"/>
  </si>
  <si>
    <t>　都市内有料道路</t>
    <phoneticPr fontId="14"/>
  </si>
  <si>
    <t>　地方公共団体有料道路</t>
    <phoneticPr fontId="14"/>
  </si>
  <si>
    <t>　一般自動車道</t>
    <phoneticPr fontId="14"/>
  </si>
  <si>
    <t>　駐車場</t>
    <phoneticPr fontId="14"/>
  </si>
  <si>
    <t>　自動車ターミナル</t>
    <phoneticPr fontId="14"/>
  </si>
  <si>
    <r>
      <t>5789-02</t>
    </r>
    <r>
      <rPr>
        <b/>
        <sz val="10"/>
        <rFont val="Arial"/>
        <family val="2"/>
      </rPr>
      <t/>
    </r>
    <phoneticPr fontId="14"/>
  </si>
  <si>
    <t>5789-021</t>
    <phoneticPr fontId="14"/>
  </si>
  <si>
    <t>　とん税</t>
    <phoneticPr fontId="14"/>
  </si>
  <si>
    <t>　特別とん税</t>
    <phoneticPr fontId="14"/>
  </si>
  <si>
    <t>　港湾管理</t>
    <phoneticPr fontId="14"/>
  </si>
  <si>
    <t>　漁港管理</t>
    <phoneticPr fontId="14"/>
  </si>
  <si>
    <t>　水路・灯台業務</t>
    <phoneticPr fontId="14"/>
  </si>
  <si>
    <t>5789-03</t>
    <phoneticPr fontId="14"/>
  </si>
  <si>
    <t>5789-031</t>
    <phoneticPr fontId="14"/>
  </si>
  <si>
    <t>001</t>
    <phoneticPr fontId="5"/>
  </si>
  <si>
    <t>　地方公営企業（港湾事業）</t>
    <rPh sb="1" eb="3">
      <t>チホウ</t>
    </rPh>
    <rPh sb="3" eb="5">
      <t>コウエイ</t>
    </rPh>
    <rPh sb="5" eb="7">
      <t>キギョウ</t>
    </rPh>
    <rPh sb="8" eb="10">
      <t>コウワン</t>
    </rPh>
    <rPh sb="10" eb="12">
      <t>ジギョウ</t>
    </rPh>
    <phoneticPr fontId="5"/>
  </si>
  <si>
    <t>　港湾運送会社等</t>
    <rPh sb="1" eb="3">
      <t>コウワン</t>
    </rPh>
    <rPh sb="3" eb="5">
      <t>ウンソウ</t>
    </rPh>
    <rPh sb="5" eb="7">
      <t>カイシャ</t>
    </rPh>
    <rPh sb="7" eb="8">
      <t>トウ</t>
    </rPh>
    <phoneticPr fontId="5"/>
  </si>
  <si>
    <t>5789-04</t>
    <phoneticPr fontId="14"/>
  </si>
  <si>
    <t>5789-041</t>
    <phoneticPr fontId="14"/>
  </si>
  <si>
    <t>水運附帯サービス</t>
    <rPh sb="2" eb="4">
      <t>フタイ</t>
    </rPh>
    <phoneticPr fontId="14"/>
  </si>
  <si>
    <t>　水先業</t>
    <phoneticPr fontId="14"/>
  </si>
  <si>
    <t>　検数業</t>
    <phoneticPr fontId="14"/>
  </si>
  <si>
    <t>　検量業</t>
    <phoneticPr fontId="14"/>
  </si>
  <si>
    <t>　鑑定業</t>
    <phoneticPr fontId="14"/>
  </si>
  <si>
    <t>　サルベージ業</t>
    <phoneticPr fontId="14"/>
  </si>
  <si>
    <t>5789-05</t>
    <phoneticPr fontId="14"/>
  </si>
  <si>
    <t>5789-051</t>
    <phoneticPr fontId="14"/>
  </si>
  <si>
    <t>5789-06</t>
    <phoneticPr fontId="14"/>
  </si>
  <si>
    <t>5789-061</t>
    <phoneticPr fontId="14"/>
  </si>
  <si>
    <t>　空港管理（国）・航空交通管制</t>
    <rPh sb="1" eb="3">
      <t>クウコウ</t>
    </rPh>
    <rPh sb="3" eb="5">
      <t>カンリ</t>
    </rPh>
    <rPh sb="6" eb="7">
      <t>クニ</t>
    </rPh>
    <rPh sb="9" eb="11">
      <t>コウクウ</t>
    </rPh>
    <rPh sb="11" eb="13">
      <t>コウツウ</t>
    </rPh>
    <rPh sb="13" eb="15">
      <t>カンセイ</t>
    </rPh>
    <phoneticPr fontId="14"/>
  </si>
  <si>
    <t>　空港管理（国を除く。）</t>
    <rPh sb="1" eb="3">
      <t>クウコウ</t>
    </rPh>
    <rPh sb="3" eb="5">
      <t>カンリ</t>
    </rPh>
    <rPh sb="6" eb="7">
      <t>クニ</t>
    </rPh>
    <rPh sb="8" eb="9">
      <t>ノゾ</t>
    </rPh>
    <phoneticPr fontId="14"/>
  </si>
  <si>
    <t>5789-07</t>
    <phoneticPr fontId="14"/>
  </si>
  <si>
    <t>5789-071</t>
    <phoneticPr fontId="14"/>
  </si>
  <si>
    <t>航空附帯サービス</t>
    <rPh sb="2" eb="4">
      <t>フタイ</t>
    </rPh>
    <phoneticPr fontId="14"/>
  </si>
  <si>
    <t>5789-09</t>
    <phoneticPr fontId="15"/>
  </si>
  <si>
    <t>5789-099</t>
    <phoneticPr fontId="14"/>
  </si>
  <si>
    <t>旅行・その他の運輸付帯サービス</t>
  </si>
  <si>
    <t>　旅行業</t>
    <rPh sb="1" eb="4">
      <t>リョコウギョウ</t>
    </rPh>
    <phoneticPr fontId="14"/>
  </si>
  <si>
    <t>　観光協会</t>
    <rPh sb="1" eb="3">
      <t>カンコウ</t>
    </rPh>
    <rPh sb="3" eb="5">
      <t>キョウカイ</t>
    </rPh>
    <phoneticPr fontId="14"/>
  </si>
  <si>
    <t>　運送代理店</t>
    <rPh sb="1" eb="2">
      <t>ウン</t>
    </rPh>
    <rPh sb="2" eb="3">
      <t>ソウ</t>
    </rPh>
    <rPh sb="3" eb="6">
      <t>ダイリテン</t>
    </rPh>
    <phoneticPr fontId="14"/>
  </si>
  <si>
    <t>　海運仲立業</t>
    <rPh sb="1" eb="3">
      <t>カイウン</t>
    </rPh>
    <rPh sb="3" eb="4">
      <t>ナカ</t>
    </rPh>
    <rPh sb="4" eb="5">
      <t>リツ</t>
    </rPh>
    <rPh sb="5" eb="6">
      <t>ギョウ</t>
    </rPh>
    <phoneticPr fontId="14"/>
  </si>
  <si>
    <t>5791-01</t>
    <phoneticPr fontId="15"/>
  </si>
  <si>
    <t>5791-011</t>
    <phoneticPr fontId="14"/>
  </si>
  <si>
    <t>郵便・信書便</t>
    <rPh sb="3" eb="5">
      <t>シンショ</t>
    </rPh>
    <rPh sb="5" eb="6">
      <t>ビン</t>
    </rPh>
    <phoneticPr fontId="14"/>
  </si>
  <si>
    <t>5911-01</t>
    <phoneticPr fontId="15"/>
  </si>
  <si>
    <t>5911-011</t>
    <phoneticPr fontId="14"/>
  </si>
  <si>
    <t>固定電気通信</t>
  </si>
  <si>
    <r>
      <t>5911-02</t>
    </r>
    <r>
      <rPr>
        <b/>
        <sz val="10"/>
        <rFont val="Arial"/>
        <family val="2"/>
      </rPr>
      <t/>
    </r>
    <phoneticPr fontId="14"/>
  </si>
  <si>
    <t>5911-021</t>
    <phoneticPr fontId="14"/>
  </si>
  <si>
    <t>移動電気通信</t>
  </si>
  <si>
    <t>5919-03</t>
    <phoneticPr fontId="15"/>
  </si>
  <si>
    <t>5919-031</t>
    <phoneticPr fontId="14"/>
  </si>
  <si>
    <t>5921-01</t>
    <phoneticPr fontId="15"/>
  </si>
  <si>
    <t>5921-011</t>
    <phoneticPr fontId="14"/>
  </si>
  <si>
    <r>
      <t>5921-02</t>
    </r>
    <r>
      <rPr>
        <b/>
        <sz val="10"/>
        <rFont val="Arial"/>
        <family val="2"/>
      </rPr>
      <t/>
    </r>
    <phoneticPr fontId="14"/>
  </si>
  <si>
    <t>5921-021</t>
    <phoneticPr fontId="14"/>
  </si>
  <si>
    <r>
      <t>5921-03</t>
    </r>
    <r>
      <rPr>
        <b/>
        <sz val="10"/>
        <rFont val="Arial"/>
        <family val="2"/>
      </rPr>
      <t/>
    </r>
    <phoneticPr fontId="14"/>
  </si>
  <si>
    <t>5921-031</t>
    <phoneticPr fontId="14"/>
  </si>
  <si>
    <t>5931-01</t>
    <phoneticPr fontId="15"/>
  </si>
  <si>
    <t>情報サービス</t>
  </si>
  <si>
    <t>5931-011</t>
    <phoneticPr fontId="14"/>
  </si>
  <si>
    <t>　受注開発ソフトウェア</t>
    <rPh sb="1" eb="3">
      <t>ジュチュウ</t>
    </rPh>
    <phoneticPr fontId="14"/>
  </si>
  <si>
    <t>　業務用パッケージソフトウェア</t>
    <rPh sb="1" eb="4">
      <t>ギョウムヨウ</t>
    </rPh>
    <phoneticPr fontId="14"/>
  </si>
  <si>
    <t>　ゲームソフトソフトウェア</t>
    <phoneticPr fontId="14"/>
  </si>
  <si>
    <t>　基本ソフトウェア</t>
    <rPh sb="1" eb="3">
      <t>キホン</t>
    </rPh>
    <phoneticPr fontId="14"/>
  </si>
  <si>
    <t>　組込みソフトウェア</t>
    <rPh sb="1" eb="2">
      <t>ク</t>
    </rPh>
    <rPh sb="2" eb="3">
      <t>コ</t>
    </rPh>
    <phoneticPr fontId="14"/>
  </si>
  <si>
    <t>5931-012</t>
    <phoneticPr fontId="14"/>
  </si>
  <si>
    <t xml:space="preserve"> 受託計算サービス</t>
    <rPh sb="1" eb="3">
      <t>ジュタク</t>
    </rPh>
    <rPh sb="3" eb="5">
      <t>ケイサン</t>
    </rPh>
    <phoneticPr fontId="5"/>
  </si>
  <si>
    <t xml:space="preserve"> システム等管理運営受託</t>
    <rPh sb="5" eb="6">
      <t>トウ</t>
    </rPh>
    <rPh sb="6" eb="8">
      <t>カンリ</t>
    </rPh>
    <rPh sb="8" eb="10">
      <t>ウンエイ</t>
    </rPh>
    <rPh sb="10" eb="12">
      <t>ジュタク</t>
    </rPh>
    <phoneticPr fontId="5"/>
  </si>
  <si>
    <t xml:space="preserve"> その他の情報処理サービス</t>
    <rPh sb="3" eb="4">
      <t>タ</t>
    </rPh>
    <rPh sb="5" eb="7">
      <t>ジョウホウ</t>
    </rPh>
    <rPh sb="7" eb="9">
      <t>ショリ</t>
    </rPh>
    <phoneticPr fontId="5"/>
  </si>
  <si>
    <t xml:space="preserve"> データベースサービス（ネットによるもの）</t>
    <phoneticPr fontId="5"/>
  </si>
  <si>
    <t xml:space="preserve"> データベースサービス（その他）</t>
    <rPh sb="14" eb="15">
      <t>タ</t>
    </rPh>
    <phoneticPr fontId="5"/>
  </si>
  <si>
    <t xml:space="preserve"> 各種調査事業</t>
    <rPh sb="1" eb="3">
      <t>カクシュ</t>
    </rPh>
    <rPh sb="3" eb="5">
      <t>チョウサ</t>
    </rPh>
    <rPh sb="5" eb="7">
      <t>ジギョウ</t>
    </rPh>
    <phoneticPr fontId="5"/>
  </si>
  <si>
    <t xml:space="preserve"> その他の情報処理・情報提供サービス事業</t>
    <rPh sb="3" eb="4">
      <t>タ</t>
    </rPh>
    <rPh sb="5" eb="7">
      <t>ジョウホウ</t>
    </rPh>
    <rPh sb="7" eb="9">
      <t>ショリ</t>
    </rPh>
    <rPh sb="10" eb="12">
      <t>ジョウホウ</t>
    </rPh>
    <rPh sb="12" eb="14">
      <t>テイキョウ</t>
    </rPh>
    <rPh sb="18" eb="20">
      <t>ジギョウ</t>
    </rPh>
    <phoneticPr fontId="5"/>
  </si>
  <si>
    <t>5941-01</t>
    <phoneticPr fontId="14"/>
  </si>
  <si>
    <t>5941-011</t>
    <phoneticPr fontId="14"/>
  </si>
  <si>
    <t>インターネット付随サービス</t>
    <rPh sb="7" eb="9">
      <t>フズイ</t>
    </rPh>
    <phoneticPr fontId="14"/>
  </si>
  <si>
    <t>5951-01</t>
    <phoneticPr fontId="14"/>
  </si>
  <si>
    <t>5951-011</t>
    <phoneticPr fontId="14"/>
  </si>
  <si>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14"/>
  </si>
  <si>
    <t>　映像・ビデオ制作（除アニメ）</t>
    <rPh sb="1" eb="3">
      <t>エイゾウ</t>
    </rPh>
    <rPh sb="7" eb="9">
      <t>セイサク</t>
    </rPh>
    <rPh sb="10" eb="11">
      <t>ノゾ</t>
    </rPh>
    <phoneticPr fontId="14"/>
  </si>
  <si>
    <t>　テレビ番組制作（除アニメ）</t>
    <rPh sb="4" eb="6">
      <t>バングミ</t>
    </rPh>
    <rPh sb="6" eb="8">
      <t>セイサク</t>
    </rPh>
    <rPh sb="9" eb="10">
      <t>ノゾ</t>
    </rPh>
    <phoneticPr fontId="14"/>
  </si>
  <si>
    <t>　アニメーション制作</t>
    <rPh sb="8" eb="10">
      <t>セイサク</t>
    </rPh>
    <phoneticPr fontId="14"/>
  </si>
  <si>
    <t>　映画・ビデオ・テレビ番組配給業</t>
    <rPh sb="1" eb="3">
      <t>エイガ</t>
    </rPh>
    <rPh sb="11" eb="13">
      <t>バングミ</t>
    </rPh>
    <rPh sb="13" eb="15">
      <t>ハイキュウ</t>
    </rPh>
    <rPh sb="15" eb="16">
      <t>ギョウ</t>
    </rPh>
    <phoneticPr fontId="14"/>
  </si>
  <si>
    <t>　レコード制作</t>
    <rPh sb="5" eb="7">
      <t>セイサク</t>
    </rPh>
    <phoneticPr fontId="14"/>
  </si>
  <si>
    <t>　ラジオ番組制作</t>
    <rPh sb="4" eb="6">
      <t>バングミ</t>
    </rPh>
    <rPh sb="6" eb="8">
      <t>セイサク</t>
    </rPh>
    <phoneticPr fontId="14"/>
  </si>
  <si>
    <t>　広告制作</t>
    <rPh sb="1" eb="3">
      <t>コウコク</t>
    </rPh>
    <rPh sb="3" eb="5">
      <t>セイサク</t>
    </rPh>
    <phoneticPr fontId="14"/>
  </si>
  <si>
    <t>　ニュース供給業</t>
    <rPh sb="5" eb="7">
      <t>キョウキュウ</t>
    </rPh>
    <rPh sb="7" eb="8">
      <t>ギョウ</t>
    </rPh>
    <phoneticPr fontId="14"/>
  </si>
  <si>
    <t>　その他映像・音声・文字情報制作事業</t>
    <rPh sb="3" eb="4">
      <t>タ</t>
    </rPh>
    <rPh sb="4" eb="6">
      <t>エイゾウ</t>
    </rPh>
    <rPh sb="7" eb="9">
      <t>オンセイ</t>
    </rPh>
    <rPh sb="10" eb="12">
      <t>モジ</t>
    </rPh>
    <rPh sb="12" eb="14">
      <t>ジョウホウ</t>
    </rPh>
    <rPh sb="14" eb="16">
      <t>セイサク</t>
    </rPh>
    <rPh sb="16" eb="18">
      <t>ジギョウ</t>
    </rPh>
    <phoneticPr fontId="14"/>
  </si>
  <si>
    <t>5951-02</t>
    <phoneticPr fontId="14"/>
  </si>
  <si>
    <t>5951-021</t>
    <phoneticPr fontId="14"/>
  </si>
  <si>
    <t>新聞</t>
    <rPh sb="0" eb="2">
      <t>シンブン</t>
    </rPh>
    <phoneticPr fontId="14"/>
  </si>
  <si>
    <t>　新聞販売</t>
    <rPh sb="1" eb="3">
      <t>シンブン</t>
    </rPh>
    <rPh sb="3" eb="5">
      <t>ハンバイ</t>
    </rPh>
    <phoneticPr fontId="14"/>
  </si>
  <si>
    <t>　その他の新聞業</t>
    <rPh sb="3" eb="4">
      <t>タ</t>
    </rPh>
    <rPh sb="5" eb="7">
      <t>シンブン</t>
    </rPh>
    <rPh sb="7" eb="8">
      <t>ギョウ</t>
    </rPh>
    <phoneticPr fontId="14"/>
  </si>
  <si>
    <t>　新聞広告</t>
    <rPh sb="1" eb="3">
      <t>シンブン</t>
    </rPh>
    <rPh sb="3" eb="5">
      <t>コウコク</t>
    </rPh>
    <phoneticPr fontId="14"/>
  </si>
  <si>
    <t>5951-03</t>
    <phoneticPr fontId="14"/>
  </si>
  <si>
    <t>5951-031</t>
    <phoneticPr fontId="14"/>
  </si>
  <si>
    <t>出版</t>
    <rPh sb="0" eb="2">
      <t>シュッパン</t>
    </rPh>
    <phoneticPr fontId="14"/>
  </si>
  <si>
    <t>　出版（書籍・雑誌）販売</t>
    <rPh sb="1" eb="3">
      <t>シュッパン</t>
    </rPh>
    <rPh sb="4" eb="6">
      <t>ショセキ</t>
    </rPh>
    <rPh sb="7" eb="9">
      <t>ザッシ</t>
    </rPh>
    <rPh sb="10" eb="12">
      <t>ハンバイ</t>
    </rPh>
    <phoneticPr fontId="14"/>
  </si>
  <si>
    <t>　その他の出版業</t>
    <rPh sb="3" eb="4">
      <t>タ</t>
    </rPh>
    <rPh sb="5" eb="8">
      <t>シュッパンギョウ</t>
    </rPh>
    <phoneticPr fontId="14"/>
  </si>
  <si>
    <t>　出版広告料</t>
    <rPh sb="1" eb="3">
      <t>シュッパン</t>
    </rPh>
    <rPh sb="3" eb="5">
      <t>コウコク</t>
    </rPh>
    <phoneticPr fontId="14"/>
  </si>
  <si>
    <t>6111-01</t>
    <phoneticPr fontId="15"/>
  </si>
  <si>
    <t>6111-011</t>
    <phoneticPr fontId="14"/>
  </si>
  <si>
    <t>6112-01</t>
    <phoneticPr fontId="15"/>
  </si>
  <si>
    <t>6112-011</t>
    <phoneticPr fontId="14"/>
  </si>
  <si>
    <t>6311-01</t>
    <phoneticPr fontId="15"/>
  </si>
  <si>
    <t>6311-011</t>
    <phoneticPr fontId="14"/>
  </si>
  <si>
    <t>　幼稚園</t>
    <rPh sb="1" eb="4">
      <t>ヨウチエン</t>
    </rPh>
    <phoneticPr fontId="14"/>
  </si>
  <si>
    <t>　小学校</t>
  </si>
  <si>
    <t>　中学校</t>
  </si>
  <si>
    <t>　高等学校</t>
  </si>
  <si>
    <t>402</t>
    <phoneticPr fontId="14"/>
  </si>
  <si>
    <t>　中等教育学校</t>
    <rPh sb="1" eb="3">
      <t>チュウトウ</t>
    </rPh>
    <rPh sb="3" eb="5">
      <t>キョウイク</t>
    </rPh>
    <rPh sb="5" eb="7">
      <t>ガッコウ</t>
    </rPh>
    <phoneticPr fontId="14"/>
  </si>
  <si>
    <t>　特別支援学校</t>
    <rPh sb="1" eb="3">
      <t>トクベツ</t>
    </rPh>
    <rPh sb="3" eb="5">
      <t>シエン</t>
    </rPh>
    <rPh sb="5" eb="7">
      <t>ガッコウ</t>
    </rPh>
    <phoneticPr fontId="14"/>
  </si>
  <si>
    <t>　大学</t>
    <rPh sb="1" eb="3">
      <t>ダイガク</t>
    </rPh>
    <phoneticPr fontId="14"/>
  </si>
  <si>
    <t>　短期大学</t>
    <rPh sb="1" eb="3">
      <t>タンキ</t>
    </rPh>
    <rPh sb="3" eb="5">
      <t>ダイガク</t>
    </rPh>
    <phoneticPr fontId="14"/>
  </si>
  <si>
    <t>　高等専門学校</t>
    <rPh sb="1" eb="3">
      <t>コウトウ</t>
    </rPh>
    <rPh sb="3" eb="5">
      <t>センモン</t>
    </rPh>
    <rPh sb="5" eb="7">
      <t>ガッコウ</t>
    </rPh>
    <phoneticPr fontId="14"/>
  </si>
  <si>
    <t>　専修学校</t>
  </si>
  <si>
    <t>702</t>
    <phoneticPr fontId="5"/>
  </si>
  <si>
    <t>　各種学校</t>
  </si>
  <si>
    <t>　幼保連携型認定こども園</t>
    <rPh sb="1" eb="2">
      <t>ヨウ</t>
    </rPh>
    <rPh sb="2" eb="3">
      <t>タモツ</t>
    </rPh>
    <rPh sb="3" eb="5">
      <t>レンケイ</t>
    </rPh>
    <rPh sb="5" eb="6">
      <t>カタ</t>
    </rPh>
    <rPh sb="6" eb="8">
      <t>ニンテイ</t>
    </rPh>
    <rPh sb="11" eb="12">
      <t>エン</t>
    </rPh>
    <phoneticPr fontId="14"/>
  </si>
  <si>
    <r>
      <t>6311-02</t>
    </r>
    <r>
      <rPr>
        <b/>
        <sz val="10"/>
        <rFont val="Arial"/>
        <family val="2"/>
      </rPr>
      <t/>
    </r>
    <phoneticPr fontId="14"/>
  </si>
  <si>
    <t>6311-021</t>
    <phoneticPr fontId="14"/>
  </si>
  <si>
    <t>6311-03</t>
    <phoneticPr fontId="5"/>
  </si>
  <si>
    <t>6311-031</t>
    <phoneticPr fontId="5"/>
  </si>
  <si>
    <t>6311-04</t>
    <phoneticPr fontId="5"/>
  </si>
  <si>
    <t>6311-041</t>
    <phoneticPr fontId="5"/>
  </si>
  <si>
    <t>6312-01</t>
    <phoneticPr fontId="15"/>
  </si>
  <si>
    <t>6312-011</t>
    <phoneticPr fontId="14"/>
  </si>
  <si>
    <t>　公民館（国公立）</t>
    <phoneticPr fontId="14"/>
  </si>
  <si>
    <t>　図書館（国公立）</t>
    <phoneticPr fontId="14"/>
  </si>
  <si>
    <t>　博物館（国公立）</t>
    <phoneticPr fontId="14"/>
  </si>
  <si>
    <t>　その他の社会教育（国公立）</t>
    <phoneticPr fontId="14"/>
  </si>
  <si>
    <r>
      <t>6312-02</t>
    </r>
    <r>
      <rPr>
        <b/>
        <sz val="10"/>
        <rFont val="Arial"/>
        <family val="2"/>
      </rPr>
      <t/>
    </r>
    <phoneticPr fontId="14"/>
  </si>
  <si>
    <t>6312-021</t>
    <phoneticPr fontId="14"/>
  </si>
  <si>
    <r>
      <t>6312-03</t>
    </r>
    <r>
      <rPr>
        <b/>
        <sz val="10"/>
        <rFont val="Arial"/>
        <family val="2"/>
      </rPr>
      <t/>
    </r>
    <phoneticPr fontId="14"/>
  </si>
  <si>
    <t>6312-031</t>
    <phoneticPr fontId="14"/>
  </si>
  <si>
    <t>その他の教育訓練機関（国公立）★★</t>
  </si>
  <si>
    <r>
      <t>6312-04</t>
    </r>
    <r>
      <rPr>
        <b/>
        <sz val="10"/>
        <rFont val="Arial"/>
        <family val="2"/>
      </rPr>
      <t/>
    </r>
    <phoneticPr fontId="14"/>
  </si>
  <si>
    <t>6312-041</t>
    <phoneticPr fontId="14"/>
  </si>
  <si>
    <t>6321-01</t>
    <phoneticPr fontId="15"/>
  </si>
  <si>
    <t>6321-011</t>
    <phoneticPr fontId="14"/>
  </si>
  <si>
    <r>
      <t>6321-02</t>
    </r>
    <r>
      <rPr>
        <b/>
        <sz val="10"/>
        <rFont val="Arial"/>
        <family val="2"/>
      </rPr>
      <t/>
    </r>
    <phoneticPr fontId="14"/>
  </si>
  <si>
    <t>6321-021</t>
    <phoneticPr fontId="14"/>
  </si>
  <si>
    <r>
      <t>6321-03</t>
    </r>
    <r>
      <rPr>
        <b/>
        <sz val="10"/>
        <rFont val="Arial"/>
        <family val="2"/>
      </rPr>
      <t/>
    </r>
    <phoneticPr fontId="14"/>
  </si>
  <si>
    <t>6321-031</t>
    <phoneticPr fontId="14"/>
  </si>
  <si>
    <r>
      <t>6321-04</t>
    </r>
    <r>
      <rPr>
        <b/>
        <sz val="10"/>
        <rFont val="Arial"/>
        <family val="2"/>
      </rPr>
      <t/>
    </r>
    <phoneticPr fontId="14"/>
  </si>
  <si>
    <t>6321-041</t>
    <phoneticPr fontId="14"/>
  </si>
  <si>
    <r>
      <t>6321-05</t>
    </r>
    <r>
      <rPr>
        <b/>
        <sz val="10"/>
        <rFont val="Arial"/>
        <family val="2"/>
      </rPr>
      <t/>
    </r>
    <phoneticPr fontId="14"/>
  </si>
  <si>
    <t>6321-051</t>
    <phoneticPr fontId="14"/>
  </si>
  <si>
    <r>
      <t>6321-06</t>
    </r>
    <r>
      <rPr>
        <b/>
        <sz val="10"/>
        <rFont val="Arial"/>
        <family val="2"/>
      </rPr>
      <t/>
    </r>
    <phoneticPr fontId="14"/>
  </si>
  <si>
    <t>6321-061</t>
    <phoneticPr fontId="14"/>
  </si>
  <si>
    <t>6322-01</t>
    <phoneticPr fontId="15"/>
  </si>
  <si>
    <t>6322-011</t>
    <phoneticPr fontId="14"/>
  </si>
  <si>
    <t>6411-01</t>
    <phoneticPr fontId="15"/>
  </si>
  <si>
    <t>6411-011</t>
    <phoneticPr fontId="14"/>
  </si>
  <si>
    <t>医療（入院診療）</t>
    <rPh sb="3" eb="5">
      <t>ニュウイン</t>
    </rPh>
    <rPh sb="5" eb="7">
      <t>シンリョウ</t>
    </rPh>
    <phoneticPr fontId="14"/>
  </si>
  <si>
    <r>
      <t>6411-02</t>
    </r>
    <r>
      <rPr>
        <b/>
        <sz val="10"/>
        <rFont val="Arial"/>
        <family val="2"/>
      </rPr>
      <t/>
    </r>
    <phoneticPr fontId="14"/>
  </si>
  <si>
    <t>6411-021</t>
    <phoneticPr fontId="14"/>
  </si>
  <si>
    <t>医療（入院外診療）</t>
    <rPh sb="3" eb="5">
      <t>ニュウイン</t>
    </rPh>
    <rPh sb="5" eb="6">
      <t>ガイ</t>
    </rPh>
    <rPh sb="6" eb="8">
      <t>シンリョウ</t>
    </rPh>
    <phoneticPr fontId="14"/>
  </si>
  <si>
    <r>
      <t>6411-03</t>
    </r>
    <r>
      <rPr>
        <b/>
        <sz val="10"/>
        <rFont val="Arial"/>
        <family val="2"/>
      </rPr>
      <t/>
    </r>
    <phoneticPr fontId="14"/>
  </si>
  <si>
    <t>6411-031</t>
    <phoneticPr fontId="14"/>
  </si>
  <si>
    <t>医療（歯科診療）</t>
    <rPh sb="3" eb="5">
      <t>シカ</t>
    </rPh>
    <rPh sb="5" eb="7">
      <t>シンリョウ</t>
    </rPh>
    <phoneticPr fontId="14"/>
  </si>
  <si>
    <t>6411-04</t>
    <phoneticPr fontId="15"/>
  </si>
  <si>
    <t>6411-041</t>
    <phoneticPr fontId="14"/>
  </si>
  <si>
    <t>医療（調剤）</t>
    <rPh sb="0" eb="2">
      <t>イリョウ</t>
    </rPh>
    <rPh sb="3" eb="5">
      <t>チョウザイ</t>
    </rPh>
    <phoneticPr fontId="14"/>
  </si>
  <si>
    <t>6411-05</t>
  </si>
  <si>
    <t>6411-051</t>
    <phoneticPr fontId="14"/>
  </si>
  <si>
    <t>医療（その他の医療サービス）</t>
    <rPh sb="0" eb="2">
      <t>イリョウ</t>
    </rPh>
    <rPh sb="5" eb="6">
      <t>タ</t>
    </rPh>
    <rPh sb="7" eb="9">
      <t>イリョウ</t>
    </rPh>
    <phoneticPr fontId="14"/>
  </si>
  <si>
    <r>
      <t>6421-01</t>
    </r>
    <r>
      <rPr>
        <b/>
        <sz val="10"/>
        <rFont val="Arial"/>
        <family val="2"/>
      </rPr>
      <t/>
    </r>
    <phoneticPr fontId="14"/>
  </si>
  <si>
    <t>6421-011</t>
    <phoneticPr fontId="14"/>
  </si>
  <si>
    <t>保健衛生（国公立）★★</t>
    <rPh sb="5" eb="8">
      <t>コッコウリツ</t>
    </rPh>
    <phoneticPr fontId="14"/>
  </si>
  <si>
    <r>
      <t>6421-02</t>
    </r>
    <r>
      <rPr>
        <b/>
        <sz val="10"/>
        <rFont val="Arial"/>
        <family val="2"/>
      </rPr>
      <t/>
    </r>
    <phoneticPr fontId="14"/>
  </si>
  <si>
    <t>6421-021</t>
    <phoneticPr fontId="14"/>
  </si>
  <si>
    <t>6431-01</t>
    <phoneticPr fontId="15"/>
  </si>
  <si>
    <t>6431-011</t>
    <phoneticPr fontId="14"/>
  </si>
  <si>
    <t>社会保険事業★★</t>
    <phoneticPr fontId="14"/>
  </si>
  <si>
    <t>　社会保険事業（国公立）</t>
    <rPh sb="1" eb="3">
      <t>シャカイ</t>
    </rPh>
    <rPh sb="3" eb="5">
      <t>ホケン</t>
    </rPh>
    <rPh sb="5" eb="7">
      <t>ジギョウ</t>
    </rPh>
    <rPh sb="8" eb="11">
      <t>コッコウリツ</t>
    </rPh>
    <phoneticPr fontId="14"/>
  </si>
  <si>
    <t>　社会保険事業（国公立以外）</t>
    <rPh sb="1" eb="3">
      <t>シャカイ</t>
    </rPh>
    <rPh sb="3" eb="5">
      <t>ホケン</t>
    </rPh>
    <rPh sb="5" eb="7">
      <t>ジギョウ</t>
    </rPh>
    <rPh sb="8" eb="11">
      <t>コッコウリツ</t>
    </rPh>
    <rPh sb="11" eb="13">
      <t>イガイ</t>
    </rPh>
    <phoneticPr fontId="14"/>
  </si>
  <si>
    <t>6431-02</t>
    <phoneticPr fontId="14"/>
  </si>
  <si>
    <t>6431-021</t>
    <phoneticPr fontId="14"/>
  </si>
  <si>
    <t>6431-03</t>
    <phoneticPr fontId="14"/>
  </si>
  <si>
    <t>6431-031</t>
    <phoneticPr fontId="14"/>
  </si>
  <si>
    <t>6431-04</t>
    <phoneticPr fontId="14"/>
  </si>
  <si>
    <t>6431-041</t>
    <phoneticPr fontId="14"/>
  </si>
  <si>
    <t>社会福祉</t>
    <phoneticPr fontId="14"/>
  </si>
  <si>
    <t>6431-05</t>
    <phoneticPr fontId="14"/>
  </si>
  <si>
    <t>6431-051</t>
    <phoneticPr fontId="14"/>
  </si>
  <si>
    <t>保育所</t>
    <rPh sb="0" eb="3">
      <t>ホイクショ</t>
    </rPh>
    <phoneticPr fontId="14"/>
  </si>
  <si>
    <t>6441-01</t>
    <phoneticPr fontId="15"/>
  </si>
  <si>
    <t>6441-011</t>
    <phoneticPr fontId="14"/>
  </si>
  <si>
    <t>介護（施設サービス）</t>
    <rPh sb="3" eb="5">
      <t>シセツ</t>
    </rPh>
    <phoneticPr fontId="14"/>
  </si>
  <si>
    <r>
      <t>6441-02</t>
    </r>
    <r>
      <rPr>
        <b/>
        <sz val="10"/>
        <rFont val="Arial"/>
        <family val="2"/>
      </rPr>
      <t/>
    </r>
    <phoneticPr fontId="14"/>
  </si>
  <si>
    <t>6441-021</t>
    <phoneticPr fontId="14"/>
  </si>
  <si>
    <t>介護（施設サービスを除く）</t>
    <rPh sb="10" eb="11">
      <t>ノゾ</t>
    </rPh>
    <phoneticPr fontId="14"/>
  </si>
  <si>
    <t>6599-01</t>
    <phoneticPr fontId="15"/>
  </si>
  <si>
    <t>6599-011</t>
    <phoneticPr fontId="14"/>
  </si>
  <si>
    <r>
      <t>6599-02</t>
    </r>
    <r>
      <rPr>
        <b/>
        <sz val="10"/>
        <rFont val="Arial"/>
        <family val="2"/>
      </rPr>
      <t/>
    </r>
    <phoneticPr fontId="14"/>
  </si>
  <si>
    <t>6599-021</t>
    <phoneticPr fontId="14"/>
  </si>
  <si>
    <t>対家計民間非営利団体（除別掲）★</t>
  </si>
  <si>
    <t>6611-01</t>
    <phoneticPr fontId="14"/>
  </si>
  <si>
    <t>物品賃貸業（貸し自動車を除く）</t>
    <rPh sb="0" eb="2">
      <t>ブッピン</t>
    </rPh>
    <rPh sb="2" eb="5">
      <t>チンタイギョウ</t>
    </rPh>
    <rPh sb="6" eb="7">
      <t>カ</t>
    </rPh>
    <rPh sb="8" eb="11">
      <t>ジドウシャ</t>
    </rPh>
    <rPh sb="12" eb="13">
      <t>ノゾ</t>
    </rPh>
    <phoneticPr fontId="14"/>
  </si>
  <si>
    <t>6611-011</t>
    <phoneticPr fontId="14"/>
  </si>
  <si>
    <t>産業用機械器具（除建設機械器具）賃貸業</t>
    <rPh sb="0" eb="3">
      <t>サンギョウヨウ</t>
    </rPh>
    <rPh sb="3" eb="5">
      <t>キカイ</t>
    </rPh>
    <rPh sb="5" eb="7">
      <t>キグ</t>
    </rPh>
    <rPh sb="8" eb="9">
      <t>ノゾ</t>
    </rPh>
    <rPh sb="9" eb="11">
      <t>ケンセツ</t>
    </rPh>
    <rPh sb="11" eb="13">
      <t>キカイ</t>
    </rPh>
    <rPh sb="13" eb="15">
      <t>キグ</t>
    </rPh>
    <rPh sb="16" eb="19">
      <t>チンタイギョウ</t>
    </rPh>
    <phoneticPr fontId="14"/>
  </si>
  <si>
    <t>　リース</t>
    <phoneticPr fontId="14"/>
  </si>
  <si>
    <t>　レンタル</t>
    <phoneticPr fontId="14"/>
  </si>
  <si>
    <t>6611-012</t>
    <phoneticPr fontId="14"/>
  </si>
  <si>
    <t>建設機械器具賃貸業</t>
    <rPh sb="0" eb="2">
      <t>ケンセツ</t>
    </rPh>
    <rPh sb="2" eb="4">
      <t>キカイ</t>
    </rPh>
    <rPh sb="4" eb="6">
      <t>キグ</t>
    </rPh>
    <rPh sb="6" eb="9">
      <t>チンタイギョウ</t>
    </rPh>
    <phoneticPr fontId="14"/>
  </si>
  <si>
    <t>6611-013</t>
    <phoneticPr fontId="14"/>
  </si>
  <si>
    <t>電子計算機・同関連機器賃貸業</t>
    <rPh sb="0" eb="2">
      <t>デンシ</t>
    </rPh>
    <rPh sb="2" eb="5">
      <t>ケイサンキ</t>
    </rPh>
    <rPh sb="6" eb="7">
      <t>ドウ</t>
    </rPh>
    <rPh sb="7" eb="9">
      <t>カンレン</t>
    </rPh>
    <rPh sb="9" eb="11">
      <t>キキ</t>
    </rPh>
    <rPh sb="11" eb="14">
      <t>チンタイギョウ</t>
    </rPh>
    <phoneticPr fontId="14"/>
  </si>
  <si>
    <t>6611-014</t>
    <phoneticPr fontId="14"/>
  </si>
  <si>
    <t>事務用機械器具（電算機等を除く）賃貸業</t>
    <rPh sb="0" eb="3">
      <t>ジムヨウ</t>
    </rPh>
    <rPh sb="3" eb="5">
      <t>キカイ</t>
    </rPh>
    <rPh sb="5" eb="7">
      <t>キグ</t>
    </rPh>
    <rPh sb="8" eb="12">
      <t>デンサンキトウ</t>
    </rPh>
    <rPh sb="13" eb="14">
      <t>ノゾ</t>
    </rPh>
    <rPh sb="16" eb="19">
      <t>チンタイギョウ</t>
    </rPh>
    <phoneticPr fontId="14"/>
  </si>
  <si>
    <t>6611-015</t>
    <phoneticPr fontId="14"/>
  </si>
  <si>
    <t>スポーツ・娯楽用品・その他の物品賃貸表</t>
    <rPh sb="5" eb="7">
      <t>ゴラク</t>
    </rPh>
    <rPh sb="7" eb="9">
      <t>ヨウヒン</t>
    </rPh>
    <rPh sb="12" eb="13">
      <t>タ</t>
    </rPh>
    <rPh sb="14" eb="16">
      <t>ブッピン</t>
    </rPh>
    <rPh sb="16" eb="18">
      <t>チンタイ</t>
    </rPh>
    <rPh sb="18" eb="19">
      <t>ヒョウ</t>
    </rPh>
    <phoneticPr fontId="14"/>
  </si>
  <si>
    <t>　スポーツ・娯楽用品賃貸業</t>
    <rPh sb="6" eb="8">
      <t>ゴラク</t>
    </rPh>
    <rPh sb="8" eb="10">
      <t>ヨウヒン</t>
    </rPh>
    <rPh sb="10" eb="13">
      <t>チンタイギョウ</t>
    </rPh>
    <phoneticPr fontId="14"/>
  </si>
  <si>
    <t>　音楽・映像記録物賃貸業</t>
    <rPh sb="1" eb="3">
      <t>オンガク</t>
    </rPh>
    <rPh sb="4" eb="6">
      <t>エイゾウ</t>
    </rPh>
    <rPh sb="6" eb="8">
      <t>キロク</t>
    </rPh>
    <rPh sb="8" eb="9">
      <t>ブツ</t>
    </rPh>
    <rPh sb="9" eb="12">
      <t>チンタイギョウ</t>
    </rPh>
    <phoneticPr fontId="14"/>
  </si>
  <si>
    <t>　その他の物品賃貸業</t>
    <rPh sb="3" eb="4">
      <t>タ</t>
    </rPh>
    <rPh sb="5" eb="7">
      <t>ブッピン</t>
    </rPh>
    <rPh sb="7" eb="10">
      <t>チンタイギョウ</t>
    </rPh>
    <phoneticPr fontId="14"/>
  </si>
  <si>
    <t>6612-01</t>
    <phoneticPr fontId="15"/>
  </si>
  <si>
    <t>6612-011</t>
    <phoneticPr fontId="14"/>
  </si>
  <si>
    <t>　リース</t>
  </si>
  <si>
    <t>　レンタル</t>
  </si>
  <si>
    <t>6621-01</t>
    <phoneticPr fontId="15"/>
  </si>
  <si>
    <t>広告</t>
  </si>
  <si>
    <t>6621-011</t>
    <phoneticPr fontId="14"/>
  </si>
  <si>
    <t>　テレビ広告</t>
    <rPh sb="4" eb="6">
      <t>コウコク</t>
    </rPh>
    <phoneticPr fontId="14"/>
  </si>
  <si>
    <t>　ラジオ広告</t>
    <rPh sb="4" eb="6">
      <t>コウコク</t>
    </rPh>
    <phoneticPr fontId="14"/>
  </si>
  <si>
    <t>6621-012</t>
    <phoneticPr fontId="14"/>
  </si>
  <si>
    <t>　新聞広告</t>
  </si>
  <si>
    <t>　雑誌広告</t>
  </si>
  <si>
    <t>　交通広告</t>
    <rPh sb="1" eb="3">
      <t>コウツウ</t>
    </rPh>
    <phoneticPr fontId="14"/>
  </si>
  <si>
    <t>　屋外広告</t>
    <rPh sb="1" eb="3">
      <t>オクガイ</t>
    </rPh>
    <rPh sb="3" eb="5">
      <t>コウコク</t>
    </rPh>
    <phoneticPr fontId="14"/>
  </si>
  <si>
    <t>　インターネット広告</t>
    <rPh sb="8" eb="10">
      <t>コウコク</t>
    </rPh>
    <phoneticPr fontId="14"/>
  </si>
  <si>
    <t>　折込み・ダイレクトメール</t>
    <rPh sb="1" eb="3">
      <t>オリコミ</t>
    </rPh>
    <phoneticPr fontId="14"/>
  </si>
  <si>
    <t>　SP・PR・催事企画</t>
    <rPh sb="7" eb="9">
      <t>サイジ</t>
    </rPh>
    <rPh sb="9" eb="11">
      <t>キカク</t>
    </rPh>
    <phoneticPr fontId="14"/>
  </si>
  <si>
    <t>　その他広告</t>
    <phoneticPr fontId="14"/>
  </si>
  <si>
    <t>6631-10</t>
    <phoneticPr fontId="15"/>
  </si>
  <si>
    <t>6631-101</t>
    <phoneticPr fontId="14"/>
  </si>
  <si>
    <t>自動車整備</t>
    <rPh sb="3" eb="5">
      <t>セイビ</t>
    </rPh>
    <phoneticPr fontId="14"/>
  </si>
  <si>
    <t>　専業工場、兼業工場、自家工場</t>
    <rPh sb="1" eb="3">
      <t>センギョウ</t>
    </rPh>
    <rPh sb="3" eb="5">
      <t>コウジョウ</t>
    </rPh>
    <rPh sb="6" eb="8">
      <t>ケンギョウ</t>
    </rPh>
    <rPh sb="8" eb="10">
      <t>コウジョウ</t>
    </rPh>
    <rPh sb="11" eb="13">
      <t>ジカ</t>
    </rPh>
    <rPh sb="13" eb="15">
      <t>コウジョウ</t>
    </rPh>
    <phoneticPr fontId="14"/>
  </si>
  <si>
    <t>　ディーラー工場</t>
    <rPh sb="6" eb="8">
      <t>コウジョウ</t>
    </rPh>
    <phoneticPr fontId="14"/>
  </si>
  <si>
    <t>　ガソリンスタンド等</t>
    <rPh sb="9" eb="10">
      <t>トウ</t>
    </rPh>
    <phoneticPr fontId="14"/>
  </si>
  <si>
    <t>6632-10</t>
    <phoneticPr fontId="15"/>
  </si>
  <si>
    <t>6632-101</t>
    <phoneticPr fontId="14"/>
  </si>
  <si>
    <t>　製造業</t>
    <rPh sb="1" eb="4">
      <t>セイゾウギョウ</t>
    </rPh>
    <phoneticPr fontId="14"/>
  </si>
  <si>
    <t>　機械器具卸売業</t>
    <rPh sb="1" eb="3">
      <t>キカイ</t>
    </rPh>
    <rPh sb="3" eb="5">
      <t>キグ</t>
    </rPh>
    <rPh sb="5" eb="8">
      <t>オロシウリギョウ</t>
    </rPh>
    <phoneticPr fontId="14"/>
  </si>
  <si>
    <t>　家庭用機械器具小売業</t>
    <rPh sb="1" eb="4">
      <t>カテイヨウ</t>
    </rPh>
    <rPh sb="4" eb="6">
      <t>キカイ</t>
    </rPh>
    <rPh sb="6" eb="8">
      <t>キグ</t>
    </rPh>
    <rPh sb="8" eb="11">
      <t>コウリギョウ</t>
    </rPh>
    <phoneticPr fontId="14"/>
  </si>
  <si>
    <t>　農耕用品小売業</t>
    <rPh sb="1" eb="3">
      <t>ノウコウ</t>
    </rPh>
    <rPh sb="3" eb="5">
      <t>ヨウヒン</t>
    </rPh>
    <rPh sb="5" eb="8">
      <t>コウリギョウ</t>
    </rPh>
    <phoneticPr fontId="14"/>
  </si>
  <si>
    <t>　サービス業</t>
    <rPh sb="5" eb="6">
      <t>ギョウ</t>
    </rPh>
    <phoneticPr fontId="14"/>
  </si>
  <si>
    <t>6699-01</t>
    <phoneticPr fontId="14"/>
  </si>
  <si>
    <t>6699-011</t>
    <phoneticPr fontId="14"/>
  </si>
  <si>
    <t>　法律事務所、特許事務所</t>
  </si>
  <si>
    <t>　公証人役場、司法書士事務所</t>
  </si>
  <si>
    <t>　公認会計士・税理士事務所</t>
  </si>
  <si>
    <t>6699-02</t>
    <phoneticPr fontId="14"/>
  </si>
  <si>
    <t>6699-021</t>
    <phoneticPr fontId="14"/>
  </si>
  <si>
    <t>6699-03</t>
    <phoneticPr fontId="14"/>
  </si>
  <si>
    <t>6699-031</t>
    <phoneticPr fontId="14"/>
  </si>
  <si>
    <t>6699-04</t>
    <phoneticPr fontId="15"/>
  </si>
  <si>
    <t>6699-041</t>
    <phoneticPr fontId="14"/>
  </si>
  <si>
    <t>　ビルメンテンス</t>
    <phoneticPr fontId="14"/>
  </si>
  <si>
    <t>　その他の建物サービス</t>
    <rPh sb="3" eb="4">
      <t>タ</t>
    </rPh>
    <rPh sb="5" eb="7">
      <t>タテモノ</t>
    </rPh>
    <phoneticPr fontId="14"/>
  </si>
  <si>
    <t>6699-05</t>
    <phoneticPr fontId="14"/>
  </si>
  <si>
    <t>6699-051</t>
    <phoneticPr fontId="14"/>
  </si>
  <si>
    <t>警備業</t>
    <rPh sb="0" eb="2">
      <t>ケイビ</t>
    </rPh>
    <rPh sb="2" eb="3">
      <t>ギョウ</t>
    </rPh>
    <phoneticPr fontId="14"/>
  </si>
  <si>
    <t>6699-09</t>
    <phoneticPr fontId="15"/>
  </si>
  <si>
    <t>6699-099</t>
    <phoneticPr fontId="14"/>
  </si>
  <si>
    <t>　デザイン業</t>
    <rPh sb="5" eb="6">
      <t>キギョウ</t>
    </rPh>
    <phoneticPr fontId="14"/>
  </si>
  <si>
    <t>　経営コンサルタント業</t>
    <rPh sb="1" eb="3">
      <t>ケイエイ</t>
    </rPh>
    <rPh sb="10" eb="11">
      <t>ギョウ</t>
    </rPh>
    <phoneticPr fontId="5"/>
  </si>
  <si>
    <t>　興信所</t>
    <rPh sb="1" eb="4">
      <t>コウシンジョ</t>
    </rPh>
    <phoneticPr fontId="14"/>
  </si>
  <si>
    <t>　鉱物探査</t>
  </si>
  <si>
    <t>　その他の専門サービス業</t>
  </si>
  <si>
    <t>　機械設計業</t>
    <rPh sb="1" eb="3">
      <t>キカイ</t>
    </rPh>
    <rPh sb="3" eb="5">
      <t>セッケイ</t>
    </rPh>
    <rPh sb="5" eb="6">
      <t>ギョウ</t>
    </rPh>
    <phoneticPr fontId="5"/>
  </si>
  <si>
    <t>　商品・非破壊検査業</t>
    <rPh sb="1" eb="3">
      <t>ショウヒン</t>
    </rPh>
    <rPh sb="4" eb="7">
      <t>ヒハカイ</t>
    </rPh>
    <rPh sb="7" eb="9">
      <t>ケンサ</t>
    </rPh>
    <rPh sb="9" eb="10">
      <t>ギョウ</t>
    </rPh>
    <phoneticPr fontId="14"/>
  </si>
  <si>
    <t>203</t>
    <phoneticPr fontId="5"/>
  </si>
  <si>
    <t>　計量証明業</t>
  </si>
  <si>
    <t>204</t>
    <phoneticPr fontId="5"/>
  </si>
  <si>
    <t>　プラントエンジニアリング業</t>
    <rPh sb="13" eb="14">
      <t>ギョウ</t>
    </rPh>
    <phoneticPr fontId="14"/>
  </si>
  <si>
    <t>205</t>
    <phoneticPr fontId="5"/>
  </si>
  <si>
    <t>　その他の技術サービス業</t>
    <rPh sb="3" eb="4">
      <t>タ</t>
    </rPh>
    <rPh sb="5" eb="7">
      <t>ギジュツ</t>
    </rPh>
    <rPh sb="11" eb="12">
      <t>ギョウ</t>
    </rPh>
    <phoneticPr fontId="5"/>
  </si>
  <si>
    <t>　職業紹介業</t>
    <phoneticPr fontId="5"/>
  </si>
  <si>
    <t>　速記・ワープロ入力・複写業</t>
    <rPh sb="8" eb="10">
      <t>ニュウリョク</t>
    </rPh>
    <phoneticPr fontId="14"/>
  </si>
  <si>
    <t>　他に分類されない事業所サービス業</t>
    <rPh sb="9" eb="12">
      <t>ジギョウショ</t>
    </rPh>
    <phoneticPr fontId="14"/>
  </si>
  <si>
    <t>6711-01</t>
    <phoneticPr fontId="15"/>
  </si>
  <si>
    <t>6711-011</t>
    <phoneticPr fontId="14"/>
  </si>
  <si>
    <t>宿泊業</t>
    <rPh sb="2" eb="3">
      <t>ギョウ</t>
    </rPh>
    <phoneticPr fontId="14"/>
  </si>
  <si>
    <t>6721-01</t>
    <phoneticPr fontId="14"/>
  </si>
  <si>
    <t>6721-011</t>
    <phoneticPr fontId="14"/>
  </si>
  <si>
    <t>飲食店</t>
    <rPh sb="0" eb="2">
      <t>インショク</t>
    </rPh>
    <rPh sb="2" eb="3">
      <t>ミセ</t>
    </rPh>
    <phoneticPr fontId="14"/>
  </si>
  <si>
    <t>6721-02</t>
    <phoneticPr fontId="14"/>
  </si>
  <si>
    <t>6721-021</t>
    <phoneticPr fontId="14"/>
  </si>
  <si>
    <t>持ち帰り・配達飲食サービス</t>
    <rPh sb="0" eb="1">
      <t>モ</t>
    </rPh>
    <rPh sb="2" eb="3">
      <t>カエ</t>
    </rPh>
    <rPh sb="5" eb="7">
      <t>ハイタツ</t>
    </rPh>
    <rPh sb="7" eb="9">
      <t>インショク</t>
    </rPh>
    <phoneticPr fontId="14"/>
  </si>
  <si>
    <t>6731-01</t>
    <phoneticPr fontId="15"/>
  </si>
  <si>
    <t>6731-011</t>
    <phoneticPr fontId="14"/>
  </si>
  <si>
    <t>洗濯業</t>
    <rPh sb="2" eb="3">
      <t>ギョウ</t>
    </rPh>
    <phoneticPr fontId="14"/>
  </si>
  <si>
    <t>　普通洗濯業</t>
  </si>
  <si>
    <t>　リネンサプライ業</t>
  </si>
  <si>
    <t>　洗濯物取次業</t>
    <rPh sb="1" eb="4">
      <t>センタクモノ</t>
    </rPh>
    <rPh sb="4" eb="6">
      <t>トリツ</t>
    </rPh>
    <rPh sb="6" eb="7">
      <t>ギョウ</t>
    </rPh>
    <phoneticPr fontId="14"/>
  </si>
  <si>
    <r>
      <t>6731-02</t>
    </r>
    <r>
      <rPr>
        <b/>
        <sz val="10"/>
        <rFont val="Arial"/>
        <family val="2"/>
      </rPr>
      <t/>
    </r>
    <phoneticPr fontId="14"/>
  </si>
  <si>
    <t>6731-021</t>
    <phoneticPr fontId="14"/>
  </si>
  <si>
    <r>
      <t>6731-03</t>
    </r>
    <r>
      <rPr>
        <b/>
        <sz val="10"/>
        <rFont val="Arial"/>
        <family val="2"/>
      </rPr>
      <t/>
    </r>
    <phoneticPr fontId="14"/>
  </si>
  <si>
    <t>6731-031</t>
    <phoneticPr fontId="14"/>
  </si>
  <si>
    <r>
      <t>6731-04</t>
    </r>
    <r>
      <rPr>
        <b/>
        <sz val="10"/>
        <rFont val="Arial"/>
        <family val="2"/>
      </rPr>
      <t/>
    </r>
    <phoneticPr fontId="14"/>
  </si>
  <si>
    <t>6731-041</t>
    <phoneticPr fontId="14"/>
  </si>
  <si>
    <t>6731-09</t>
    <phoneticPr fontId="14"/>
  </si>
  <si>
    <t>6731-099</t>
    <phoneticPr fontId="14"/>
  </si>
  <si>
    <t>その他の洗濯・美容・浴場業</t>
    <rPh sb="2" eb="3">
      <t>タ</t>
    </rPh>
    <rPh sb="4" eb="6">
      <t>センタク</t>
    </rPh>
    <rPh sb="7" eb="9">
      <t>ビヨウ</t>
    </rPh>
    <rPh sb="10" eb="11">
      <t>ヨク</t>
    </rPh>
    <rPh sb="11" eb="12">
      <t>バ</t>
    </rPh>
    <rPh sb="12" eb="13">
      <t>ギョウ</t>
    </rPh>
    <phoneticPr fontId="14"/>
  </si>
  <si>
    <t>　洗張・染物業</t>
    <rPh sb="1" eb="2">
      <t>アライ</t>
    </rPh>
    <rPh sb="2" eb="3">
      <t>チョウ</t>
    </rPh>
    <rPh sb="4" eb="6">
      <t>ソメモノ</t>
    </rPh>
    <rPh sb="6" eb="7">
      <t>ギョウ</t>
    </rPh>
    <phoneticPr fontId="14"/>
  </si>
  <si>
    <t>　エステティック業</t>
    <rPh sb="8" eb="9">
      <t>ギョウ</t>
    </rPh>
    <phoneticPr fontId="14"/>
  </si>
  <si>
    <t>　その他の洗濯・理容・美容・浴場</t>
    <rPh sb="3" eb="4">
      <t>タ</t>
    </rPh>
    <rPh sb="5" eb="7">
      <t>センタク</t>
    </rPh>
    <rPh sb="8" eb="10">
      <t>リヨウ</t>
    </rPh>
    <rPh sb="11" eb="13">
      <t>ビヨウ</t>
    </rPh>
    <rPh sb="14" eb="16">
      <t>ヨクジョウ</t>
    </rPh>
    <phoneticPr fontId="14"/>
  </si>
  <si>
    <t>6741-01</t>
    <phoneticPr fontId="14"/>
  </si>
  <si>
    <t>6741-011</t>
    <phoneticPr fontId="14"/>
  </si>
  <si>
    <t>6741-02</t>
    <phoneticPr fontId="14"/>
  </si>
  <si>
    <t>6741-021</t>
    <phoneticPr fontId="14"/>
  </si>
  <si>
    <t>興行場(除映画館）・興業団　</t>
    <rPh sb="5" eb="8">
      <t>エイガカン</t>
    </rPh>
    <phoneticPr fontId="14"/>
  </si>
  <si>
    <t>6741-03</t>
    <phoneticPr fontId="14"/>
  </si>
  <si>
    <t>6741-031</t>
    <phoneticPr fontId="14"/>
  </si>
  <si>
    <t>競輪・競馬等の競走場・競技団　</t>
  </si>
  <si>
    <t>6741-04</t>
    <phoneticPr fontId="14"/>
  </si>
  <si>
    <t>6741-041</t>
    <phoneticPr fontId="14"/>
  </si>
  <si>
    <t>　体育館</t>
    <rPh sb="1" eb="4">
      <t>タイイクカン</t>
    </rPh>
    <phoneticPr fontId="14"/>
  </si>
  <si>
    <t>　ゴルフ場</t>
    <phoneticPr fontId="14"/>
  </si>
  <si>
    <t>　ゴルフ・バッティング・テニス練習場</t>
    <rPh sb="15" eb="18">
      <t>レンシュウジョウ</t>
    </rPh>
    <phoneticPr fontId="14"/>
  </si>
  <si>
    <t>　ボウリング場</t>
    <phoneticPr fontId="14"/>
  </si>
  <si>
    <t>　テニス場</t>
    <rPh sb="4" eb="5">
      <t>ジョウ</t>
    </rPh>
    <phoneticPr fontId="14"/>
  </si>
  <si>
    <t>　フィットネスクラブ</t>
    <phoneticPr fontId="14"/>
  </si>
  <si>
    <t>　スポーツ施設提供業（除別掲）</t>
  </si>
  <si>
    <t>　公園・遊園地</t>
  </si>
  <si>
    <t>6741-05</t>
    <phoneticPr fontId="14"/>
  </si>
  <si>
    <t>6741-051</t>
    <phoneticPr fontId="14"/>
  </si>
  <si>
    <t>遊戯場　</t>
  </si>
  <si>
    <t>6741-09</t>
    <phoneticPr fontId="15"/>
  </si>
  <si>
    <t>6741-099</t>
    <phoneticPr fontId="14"/>
  </si>
  <si>
    <t>　カラオケボックス業</t>
    <rPh sb="9" eb="10">
      <t>ギョウ</t>
    </rPh>
    <phoneticPr fontId="14"/>
  </si>
  <si>
    <t>　著述家・芸術家業</t>
  </si>
  <si>
    <t>　その他の娯楽業</t>
  </si>
  <si>
    <t>6799-01</t>
    <phoneticPr fontId="14"/>
  </si>
  <si>
    <t>6799-011</t>
    <phoneticPr fontId="14"/>
  </si>
  <si>
    <t>6799-02</t>
    <phoneticPr fontId="14"/>
  </si>
  <si>
    <t>6799-021</t>
    <phoneticPr fontId="14"/>
  </si>
  <si>
    <t>　火葬業</t>
    <rPh sb="1" eb="3">
      <t>カソウ</t>
    </rPh>
    <rPh sb="3" eb="4">
      <t>ギョウ</t>
    </rPh>
    <phoneticPr fontId="14"/>
  </si>
  <si>
    <t>　墓地管理業</t>
    <phoneticPr fontId="14"/>
  </si>
  <si>
    <t>　葬儀事業</t>
    <rPh sb="1" eb="3">
      <t>ソウギ</t>
    </rPh>
    <rPh sb="3" eb="5">
      <t>ジギョウ</t>
    </rPh>
    <phoneticPr fontId="14"/>
  </si>
  <si>
    <t>　結婚式場事業</t>
    <rPh sb="1" eb="3">
      <t>ケッコン</t>
    </rPh>
    <rPh sb="3" eb="5">
      <t>シキジョウ</t>
    </rPh>
    <rPh sb="5" eb="7">
      <t>ジギョウ</t>
    </rPh>
    <phoneticPr fontId="14"/>
  </si>
  <si>
    <t>　冠婚葬祭互助会事業</t>
    <rPh sb="1" eb="3">
      <t>カンコン</t>
    </rPh>
    <rPh sb="3" eb="5">
      <t>ソウサイ</t>
    </rPh>
    <rPh sb="5" eb="8">
      <t>ゴジョカイ</t>
    </rPh>
    <rPh sb="8" eb="10">
      <t>ジギョウ</t>
    </rPh>
    <phoneticPr fontId="14"/>
  </si>
  <si>
    <t>6799-03</t>
    <phoneticPr fontId="14"/>
  </si>
  <si>
    <t>6799-031</t>
    <phoneticPr fontId="14"/>
  </si>
  <si>
    <t>個人教授業</t>
    <rPh sb="4" eb="5">
      <t>ギョウ</t>
    </rPh>
    <phoneticPr fontId="14"/>
  </si>
  <si>
    <t>　学習塾（除各種学校）</t>
    <phoneticPr fontId="14"/>
  </si>
  <si>
    <t>　音楽教授業</t>
    <rPh sb="1" eb="3">
      <t>オンガク</t>
    </rPh>
    <rPh sb="3" eb="5">
      <t>キョウジュ</t>
    </rPh>
    <rPh sb="5" eb="6">
      <t>ギョウ</t>
    </rPh>
    <phoneticPr fontId="14"/>
  </si>
  <si>
    <t>　書道教授業</t>
    <phoneticPr fontId="14"/>
  </si>
  <si>
    <t>　生花・茶道教授業</t>
    <phoneticPr fontId="14"/>
  </si>
  <si>
    <t>　そろばん教授業</t>
    <rPh sb="7" eb="8">
      <t>ギョウ</t>
    </rPh>
    <phoneticPr fontId="14"/>
  </si>
  <si>
    <t>　外国語会話教授業</t>
    <phoneticPr fontId="14"/>
  </si>
  <si>
    <t>　スポーツ・健康教授業</t>
    <rPh sb="10" eb="11">
      <t>ギョウ</t>
    </rPh>
    <phoneticPr fontId="14"/>
  </si>
  <si>
    <t>　その他の教養・技能教授業</t>
    <rPh sb="5" eb="7">
      <t>キョウヨウ</t>
    </rPh>
    <rPh sb="8" eb="10">
      <t>ギノウ</t>
    </rPh>
    <rPh sb="10" eb="12">
      <t>キョウジュ</t>
    </rPh>
    <rPh sb="12" eb="13">
      <t>ギョウ</t>
    </rPh>
    <phoneticPr fontId="14"/>
  </si>
  <si>
    <t>6799-04</t>
    <phoneticPr fontId="14"/>
  </si>
  <si>
    <t>6799-041</t>
    <phoneticPr fontId="14"/>
  </si>
  <si>
    <t>各種修理業（除別掲）</t>
  </si>
  <si>
    <t>　表具業</t>
  </si>
  <si>
    <t>　他に分類されない修理業</t>
    <phoneticPr fontId="14"/>
  </si>
  <si>
    <r>
      <t>6799-09</t>
    </r>
    <r>
      <rPr>
        <b/>
        <sz val="10"/>
        <rFont val="Arial"/>
        <family val="2"/>
      </rPr>
      <t/>
    </r>
    <phoneticPr fontId="14"/>
  </si>
  <si>
    <t>6799-099</t>
    <phoneticPr fontId="14"/>
  </si>
  <si>
    <t>　衣服裁縫修理業</t>
  </si>
  <si>
    <t>　物品預り業</t>
    <phoneticPr fontId="14"/>
  </si>
  <si>
    <t>　写真現像・焼付業</t>
    <rPh sb="1" eb="3">
      <t>シャシン</t>
    </rPh>
    <rPh sb="3" eb="5">
      <t>ゲンゾウ</t>
    </rPh>
    <rPh sb="6" eb="7">
      <t>ヤ</t>
    </rPh>
    <rPh sb="7" eb="8">
      <t>ツ</t>
    </rPh>
    <rPh sb="8" eb="9">
      <t>ギョウ</t>
    </rPh>
    <phoneticPr fontId="14"/>
  </si>
  <si>
    <t>　園芸サービス業</t>
    <rPh sb="1" eb="3">
      <t>エンゲイ</t>
    </rPh>
    <rPh sb="7" eb="8">
      <t>ギョウ</t>
    </rPh>
    <phoneticPr fontId="14"/>
  </si>
  <si>
    <t>　他に分類されない生産関連サービス業</t>
  </si>
  <si>
    <t>6811-00p</t>
    <phoneticPr fontId="15"/>
  </si>
  <si>
    <t>6811-000p</t>
    <phoneticPr fontId="14"/>
  </si>
  <si>
    <t>6911-00</t>
    <phoneticPr fontId="15"/>
  </si>
  <si>
    <t>6911-000</t>
    <phoneticPr fontId="14"/>
  </si>
  <si>
    <t>分類不明</t>
  </si>
  <si>
    <t>9099-00</t>
    <phoneticPr fontId="15"/>
  </si>
  <si>
    <t>9099-000</t>
  </si>
  <si>
    <t>合計</t>
  </si>
  <si>
    <t>(注)1　部門名称の★印は、生産活動主体を次のように示す。　★★：非市場生産者（一般政府）、★：非市場生産者（対家計民間非営利団体）、無印：市場生産者</t>
    <rPh sb="11" eb="12">
      <t>シルシ</t>
    </rPh>
    <rPh sb="33" eb="34">
      <t>ヒ</t>
    </rPh>
    <rPh sb="34" eb="36">
      <t>シジョウ</t>
    </rPh>
    <rPh sb="36" eb="39">
      <t>セイサンシャ</t>
    </rPh>
    <rPh sb="40" eb="42">
      <t>イッパン</t>
    </rPh>
    <rPh sb="48" eb="49">
      <t>ヒ</t>
    </rPh>
    <rPh sb="49" eb="51">
      <t>シジョウ</t>
    </rPh>
    <rPh sb="51" eb="54">
      <t>セイサンシャ</t>
    </rPh>
    <rPh sb="55" eb="56">
      <t>タイ</t>
    </rPh>
    <rPh sb="63" eb="65">
      <t>ダンタイ</t>
    </rPh>
    <rPh sb="70" eb="72">
      <t>シジョウ</t>
    </rPh>
    <rPh sb="72" eb="75">
      <t>セイサンシャ</t>
    </rPh>
    <phoneticPr fontId="5"/>
  </si>
  <si>
    <t>(注)2　部門コードにおける｢Ｐ｣は仮説部門を示す。</t>
  </si>
  <si>
    <t>0111011</t>
  </si>
  <si>
    <t>0111011001</t>
  </si>
  <si>
    <t>0111011002</t>
  </si>
  <si>
    <t>0111011003</t>
  </si>
  <si>
    <t>0111012</t>
  </si>
  <si>
    <t>0111012001</t>
  </si>
  <si>
    <t>0111021</t>
  </si>
  <si>
    <t>0111021001</t>
  </si>
  <si>
    <t>0111022</t>
  </si>
  <si>
    <t>0111022001</t>
  </si>
  <si>
    <t>0111022002</t>
  </si>
  <si>
    <t>0111022003</t>
  </si>
  <si>
    <t>0112011</t>
  </si>
  <si>
    <t>0112011001</t>
  </si>
  <si>
    <t>0112012</t>
  </si>
  <si>
    <t>0112012001</t>
  </si>
  <si>
    <t>0112021</t>
  </si>
  <si>
    <t>0112021001</t>
  </si>
  <si>
    <t>0112029</t>
  </si>
  <si>
    <t>0112029001</t>
  </si>
  <si>
    <t>0112029002</t>
  </si>
  <si>
    <t>0112029003</t>
  </si>
  <si>
    <t>0112029099</t>
  </si>
  <si>
    <t>113010101</t>
  </si>
  <si>
    <t>113010102</t>
  </si>
  <si>
    <t>113010103</t>
  </si>
  <si>
    <t>113010104</t>
  </si>
  <si>
    <t>113010105</t>
  </si>
  <si>
    <t>113010106</t>
  </si>
  <si>
    <t>113010107</t>
  </si>
  <si>
    <t>113010108</t>
  </si>
  <si>
    <t>113010109</t>
  </si>
  <si>
    <t>113010110</t>
  </si>
  <si>
    <t>113010111</t>
  </si>
  <si>
    <t>113010112</t>
  </si>
  <si>
    <t>113010199</t>
  </si>
  <si>
    <t>113010201</t>
  </si>
  <si>
    <t>113010202</t>
  </si>
  <si>
    <t>113010203</t>
  </si>
  <si>
    <t>113010204</t>
  </si>
  <si>
    <t>113010205</t>
  </si>
  <si>
    <t>113010206</t>
  </si>
  <si>
    <t>113010207</t>
  </si>
  <si>
    <t>113010208</t>
  </si>
  <si>
    <t>113010209</t>
  </si>
  <si>
    <t>113010210</t>
  </si>
  <si>
    <t>113010211</t>
  </si>
  <si>
    <t>113010212</t>
  </si>
  <si>
    <t>113010213</t>
  </si>
  <si>
    <t>113010214</t>
  </si>
  <si>
    <t>113010215</t>
  </si>
  <si>
    <t>113010216</t>
  </si>
  <si>
    <t>113010217</t>
  </si>
  <si>
    <t>113010218</t>
  </si>
  <si>
    <t>113010299</t>
  </si>
  <si>
    <t>113010301</t>
  </si>
  <si>
    <t>113010302</t>
  </si>
  <si>
    <t>113010303</t>
  </si>
  <si>
    <t>113010304</t>
  </si>
  <si>
    <t>113010305</t>
  </si>
  <si>
    <t>113010306</t>
  </si>
  <si>
    <t>113010307</t>
  </si>
  <si>
    <t>113010308</t>
  </si>
  <si>
    <t>113010399</t>
  </si>
  <si>
    <t>113020101</t>
  </si>
  <si>
    <t>113020102</t>
  </si>
  <si>
    <t>113020103</t>
  </si>
  <si>
    <t>113020104</t>
  </si>
  <si>
    <t>113020105</t>
  </si>
  <si>
    <t>113020106</t>
  </si>
  <si>
    <t>113020107</t>
  </si>
  <si>
    <t>113020108</t>
  </si>
  <si>
    <t>113020109</t>
  </si>
  <si>
    <t>113020110</t>
  </si>
  <si>
    <t>113020199</t>
  </si>
  <si>
    <t>113020201</t>
  </si>
  <si>
    <t>113020202</t>
  </si>
  <si>
    <t>113020203</t>
  </si>
  <si>
    <t>113020204</t>
  </si>
  <si>
    <t>113020205</t>
  </si>
  <si>
    <t>113020206</t>
  </si>
  <si>
    <t>113020207</t>
  </si>
  <si>
    <t>113020208</t>
  </si>
  <si>
    <t>113020209</t>
  </si>
  <si>
    <t>113020210</t>
  </si>
  <si>
    <t>113020211</t>
  </si>
  <si>
    <t>113020212</t>
  </si>
  <si>
    <t>113020299</t>
  </si>
  <si>
    <t>113020301</t>
  </si>
  <si>
    <t>0114011</t>
  </si>
  <si>
    <t>0114011101</t>
  </si>
  <si>
    <t>0114011199</t>
  </si>
  <si>
    <t>0114011201</t>
  </si>
  <si>
    <t>0114011301</t>
  </si>
  <si>
    <t>0114011401</t>
  </si>
  <si>
    <t>0114011501</t>
  </si>
  <si>
    <t>0114011502</t>
  </si>
  <si>
    <t>0114011503</t>
  </si>
  <si>
    <t>0114011504</t>
  </si>
  <si>
    <t>0114011505</t>
  </si>
  <si>
    <t>0114011506</t>
  </si>
  <si>
    <t>0114011507</t>
  </si>
  <si>
    <t>0114011508</t>
  </si>
  <si>
    <t>0114011509</t>
  </si>
  <si>
    <t>0114011510</t>
  </si>
  <si>
    <t>0114011511</t>
  </si>
  <si>
    <t>0114011512</t>
  </si>
  <si>
    <t>0114011599</t>
  </si>
  <si>
    <t>0114011601</t>
  </si>
  <si>
    <t>0115011</t>
  </si>
  <si>
    <t>0115011001</t>
  </si>
  <si>
    <t>0115011002</t>
  </si>
  <si>
    <t>0115021</t>
  </si>
  <si>
    <t>0115021001</t>
  </si>
  <si>
    <t>0115029</t>
  </si>
  <si>
    <t>0115029001</t>
  </si>
  <si>
    <t>0115029002</t>
  </si>
  <si>
    <t>0115029003</t>
  </si>
  <si>
    <t>0115091</t>
  </si>
  <si>
    <t>0115091001</t>
  </si>
  <si>
    <t>0115091099</t>
  </si>
  <si>
    <t>0115099</t>
  </si>
  <si>
    <t>0115099101</t>
  </si>
  <si>
    <t>0115099199</t>
  </si>
  <si>
    <t>0115099899</t>
  </si>
  <si>
    <t>0116011</t>
  </si>
  <si>
    <t>0116011001</t>
  </si>
  <si>
    <t>0116011002</t>
  </si>
  <si>
    <t>0116011003</t>
  </si>
  <si>
    <t>0116011099</t>
  </si>
  <si>
    <t>0116021</t>
  </si>
  <si>
    <t>0116021001</t>
  </si>
  <si>
    <t>0116021002</t>
  </si>
  <si>
    <t>0116021003</t>
  </si>
  <si>
    <t>0116031</t>
  </si>
  <si>
    <t>0116031001</t>
  </si>
  <si>
    <t>0116031002</t>
  </si>
  <si>
    <t>0116031003</t>
  </si>
  <si>
    <t>0116031004</t>
  </si>
  <si>
    <t>0116031099</t>
  </si>
  <si>
    <t>0116091</t>
  </si>
  <si>
    <t>0116091001</t>
  </si>
  <si>
    <t>0116092</t>
  </si>
  <si>
    <t>0116092001</t>
  </si>
  <si>
    <t>0116093</t>
  </si>
  <si>
    <t>0116093001</t>
  </si>
  <si>
    <t>0116099</t>
  </si>
  <si>
    <t>0116099001</t>
  </si>
  <si>
    <t>0116099099</t>
  </si>
  <si>
    <t>0121011</t>
  </si>
  <si>
    <t>0121011001</t>
  </si>
  <si>
    <t>0121019</t>
  </si>
  <si>
    <t>0121019101</t>
  </si>
  <si>
    <t>0121019102</t>
  </si>
  <si>
    <t>0121019201</t>
  </si>
  <si>
    <t>0121019901</t>
  </si>
  <si>
    <t>0121019902</t>
  </si>
  <si>
    <t>0121021</t>
  </si>
  <si>
    <t>0121021001</t>
  </si>
  <si>
    <t>0121021002</t>
  </si>
  <si>
    <t>0121021003</t>
  </si>
  <si>
    <t>0121031</t>
  </si>
  <si>
    <t>0121031001</t>
  </si>
  <si>
    <t>0121031002</t>
  </si>
  <si>
    <t>0121041</t>
  </si>
  <si>
    <t>0121041001</t>
  </si>
  <si>
    <t>0121041002</t>
  </si>
  <si>
    <t>0121041003</t>
  </si>
  <si>
    <t>0121041004</t>
  </si>
  <si>
    <t>0121051</t>
  </si>
  <si>
    <t>0121051001</t>
  </si>
  <si>
    <t>0121051002</t>
  </si>
  <si>
    <t>0121099</t>
  </si>
  <si>
    <t>0121099101</t>
  </si>
  <si>
    <t>0121099201</t>
  </si>
  <si>
    <t>0121099301</t>
  </si>
  <si>
    <t>0121099401</t>
  </si>
  <si>
    <t>0121099801</t>
  </si>
  <si>
    <t>0121099802</t>
  </si>
  <si>
    <t>0121099803</t>
  </si>
  <si>
    <t>0121099804</t>
  </si>
  <si>
    <t>0121099805</t>
  </si>
  <si>
    <t>0121099899</t>
  </si>
  <si>
    <t>0131011</t>
  </si>
  <si>
    <t>0131011001</t>
  </si>
  <si>
    <t>0131021</t>
  </si>
  <si>
    <t>0131021001</t>
  </si>
  <si>
    <t>0131021002</t>
  </si>
  <si>
    <t>0131021003</t>
  </si>
  <si>
    <t>0131021004</t>
  </si>
  <si>
    <t>0131021005</t>
  </si>
  <si>
    <t>0131021006</t>
  </si>
  <si>
    <t>0131021007</t>
  </si>
  <si>
    <t>0131021099</t>
  </si>
  <si>
    <t>0151011</t>
  </si>
  <si>
    <t>0151011101</t>
  </si>
  <si>
    <t>0151011201</t>
  </si>
  <si>
    <t>0151011901</t>
  </si>
  <si>
    <t>0152011</t>
  </si>
  <si>
    <t>0152011101</t>
  </si>
  <si>
    <t>0152011102</t>
  </si>
  <si>
    <t>0152011103</t>
  </si>
  <si>
    <t>0152011104</t>
  </si>
  <si>
    <t>0152011105</t>
  </si>
  <si>
    <t>0152011106</t>
  </si>
  <si>
    <t xml:space="preserve">0152011201 </t>
  </si>
  <si>
    <t>0152011202</t>
  </si>
  <si>
    <t>0153011</t>
  </si>
  <si>
    <t>0153011101</t>
  </si>
  <si>
    <t>0153011102</t>
  </si>
  <si>
    <t>0153011103</t>
  </si>
  <si>
    <t>0153011104</t>
  </si>
  <si>
    <t>0153011105</t>
  </si>
  <si>
    <t>0153011106</t>
  </si>
  <si>
    <t>0153011107</t>
  </si>
  <si>
    <t>0153011108</t>
  </si>
  <si>
    <t>0153011109</t>
  </si>
  <si>
    <t>0153011199</t>
  </si>
  <si>
    <t>0153011201</t>
  </si>
  <si>
    <t>0153011301</t>
  </si>
  <si>
    <t>0153011302</t>
  </si>
  <si>
    <t>0153011303</t>
  </si>
  <si>
    <t>0153011399</t>
  </si>
  <si>
    <t>0171011</t>
  </si>
  <si>
    <t>0171011101</t>
  </si>
  <si>
    <t>0171011102</t>
  </si>
  <si>
    <t>0171011103</t>
  </si>
  <si>
    <t>0171011104</t>
  </si>
  <si>
    <t>0171011105</t>
  </si>
  <si>
    <t>0171011106</t>
  </si>
  <si>
    <t>0171011107</t>
  </si>
  <si>
    <t>0171011108</t>
  </si>
  <si>
    <t>0171011109</t>
  </si>
  <si>
    <t>0171011110</t>
  </si>
  <si>
    <t>0171011111</t>
  </si>
  <si>
    <t>0171011112</t>
  </si>
  <si>
    <t>0171011113</t>
  </si>
  <si>
    <t>0171011114</t>
  </si>
  <si>
    <t>0171011115</t>
  </si>
  <si>
    <t>0171011116</t>
  </si>
  <si>
    <t>0171011117</t>
  </si>
  <si>
    <t>0171011118</t>
  </si>
  <si>
    <t>0171011119</t>
  </si>
  <si>
    <t>0171011120</t>
  </si>
  <si>
    <t>0171011121</t>
  </si>
  <si>
    <t>0171011122</t>
  </si>
  <si>
    <t>0171011123</t>
  </si>
  <si>
    <t>0171011124</t>
  </si>
  <si>
    <t>0171011125</t>
  </si>
  <si>
    <t>0171011126</t>
  </si>
  <si>
    <t>0171011127</t>
  </si>
  <si>
    <t>0171011199</t>
  </si>
  <si>
    <t>0171011201</t>
  </si>
  <si>
    <t>0171011202</t>
  </si>
  <si>
    <t>0171011299</t>
  </si>
  <si>
    <t>0171011301</t>
  </si>
  <si>
    <t>0171011302</t>
  </si>
  <si>
    <t>0171011303</t>
  </si>
  <si>
    <t>0171011399</t>
  </si>
  <si>
    <t>0171011401</t>
  </si>
  <si>
    <t>0171011402</t>
  </si>
  <si>
    <t>0171011403</t>
  </si>
  <si>
    <t>0171011404</t>
  </si>
  <si>
    <t>0171011499</t>
  </si>
  <si>
    <t>0171011501</t>
  </si>
  <si>
    <t>0171011502</t>
  </si>
  <si>
    <t>0171011599</t>
  </si>
  <si>
    <t>0171011601</t>
  </si>
  <si>
    <t>0171011602</t>
  </si>
  <si>
    <t>0171011603</t>
  </si>
  <si>
    <t>0171011604</t>
  </si>
  <si>
    <t>0171011699</t>
  </si>
  <si>
    <t>0171011701</t>
  </si>
  <si>
    <t>0171011799</t>
  </si>
  <si>
    <t>0171011801</t>
  </si>
  <si>
    <t>0171021</t>
  </si>
  <si>
    <t>0171021101</t>
  </si>
  <si>
    <t>0171021102</t>
  </si>
  <si>
    <t>0171021103</t>
  </si>
  <si>
    <t>0171021104</t>
  </si>
  <si>
    <t>0171021105</t>
  </si>
  <si>
    <t>0171021106</t>
  </si>
  <si>
    <t>0171021107</t>
  </si>
  <si>
    <t>0171021108</t>
  </si>
  <si>
    <t>0171021199</t>
  </si>
  <si>
    <t>0171021201</t>
  </si>
  <si>
    <t>0171021202</t>
  </si>
  <si>
    <t>0171021299</t>
  </si>
  <si>
    <t>0171021301</t>
  </si>
  <si>
    <t>0171021302</t>
  </si>
  <si>
    <t>0171021399</t>
  </si>
  <si>
    <t>0171021401</t>
  </si>
  <si>
    <t>0171021501</t>
  </si>
  <si>
    <t>0171021502</t>
  </si>
  <si>
    <t>0171021503</t>
  </si>
  <si>
    <t>0171021504</t>
  </si>
  <si>
    <t>0171021599</t>
  </si>
  <si>
    <t>0171021601</t>
  </si>
  <si>
    <t>0171021602</t>
  </si>
  <si>
    <t>0171021603</t>
  </si>
  <si>
    <t>0171021604</t>
  </si>
  <si>
    <t>0171021605</t>
  </si>
  <si>
    <t>0171021606</t>
  </si>
  <si>
    <t>0171021607</t>
  </si>
  <si>
    <t>0171021608</t>
  </si>
  <si>
    <t>0171021609</t>
  </si>
  <si>
    <t>0171021701</t>
  </si>
  <si>
    <t>0172010</t>
  </si>
  <si>
    <t>0172010101</t>
  </si>
  <si>
    <t>0172010102</t>
  </si>
  <si>
    <t>0172010103</t>
  </si>
  <si>
    <t>0172010104</t>
  </si>
  <si>
    <t>0172010105</t>
  </si>
  <si>
    <t>0172010106</t>
  </si>
  <si>
    <t>0172010107</t>
  </si>
  <si>
    <t>0172010108</t>
  </si>
  <si>
    <t>0172010109</t>
  </si>
  <si>
    <t>0172010110</t>
  </si>
  <si>
    <t>0172010199</t>
  </si>
  <si>
    <t>0172010201</t>
  </si>
  <si>
    <t>0172010299</t>
  </si>
  <si>
    <t>0172010301</t>
  </si>
  <si>
    <t>0172010399</t>
  </si>
  <si>
    <t>0172020</t>
  </si>
  <si>
    <t>0172020101</t>
  </si>
  <si>
    <t>0172020102</t>
  </si>
  <si>
    <t>0172020103</t>
  </si>
  <si>
    <t>0172020104</t>
  </si>
  <si>
    <t>0172020199</t>
  </si>
  <si>
    <t>0172020201</t>
  </si>
  <si>
    <t>0172020301</t>
  </si>
  <si>
    <t>0611011</t>
  </si>
  <si>
    <t>0611012</t>
  </si>
  <si>
    <t>0611013</t>
  </si>
  <si>
    <t>0621011</t>
  </si>
  <si>
    <t>0621021</t>
  </si>
  <si>
    <t>0621021101</t>
  </si>
  <si>
    <t>0621021201</t>
  </si>
  <si>
    <t>0621021202</t>
  </si>
  <si>
    <t>0629091</t>
  </si>
  <si>
    <t>0629092</t>
  </si>
  <si>
    <t>0629093</t>
  </si>
  <si>
    <t>0629094</t>
  </si>
  <si>
    <t>0629099</t>
  </si>
  <si>
    <t>1111011</t>
  </si>
  <si>
    <t>1111011101</t>
  </si>
  <si>
    <t>1111011102</t>
  </si>
  <si>
    <t>1111011103</t>
  </si>
  <si>
    <t>1111011201</t>
  </si>
  <si>
    <t>1111011202</t>
  </si>
  <si>
    <t>1111011203</t>
  </si>
  <si>
    <t>1111011301</t>
  </si>
  <si>
    <t>1111011302</t>
  </si>
  <si>
    <t>1111011303</t>
  </si>
  <si>
    <t>1111011401</t>
  </si>
  <si>
    <t>1111011402</t>
  </si>
  <si>
    <t>1111011403</t>
  </si>
  <si>
    <t>1111011501</t>
  </si>
  <si>
    <t>1111012</t>
  </si>
  <si>
    <t>1111012001</t>
  </si>
  <si>
    <t>1111013</t>
  </si>
  <si>
    <t>1111013001</t>
  </si>
  <si>
    <t>1111013002</t>
  </si>
  <si>
    <t>1111013003</t>
  </si>
  <si>
    <t>1111014</t>
  </si>
  <si>
    <t>1111014001</t>
  </si>
  <si>
    <t>1111014099</t>
  </si>
  <si>
    <t>1111015</t>
  </si>
  <si>
    <t>1111015101</t>
  </si>
  <si>
    <t>1111015102</t>
  </si>
  <si>
    <t>1111015103</t>
  </si>
  <si>
    <t>1111015104</t>
  </si>
  <si>
    <t>1111015801</t>
  </si>
  <si>
    <t>1111015802</t>
  </si>
  <si>
    <t>1111015899</t>
  </si>
  <si>
    <t>111102</t>
  </si>
  <si>
    <t>1111021</t>
  </si>
  <si>
    <t>1111021001</t>
  </si>
  <si>
    <t>1111021002</t>
  </si>
  <si>
    <t>1111022</t>
  </si>
  <si>
    <t>1111022101</t>
  </si>
  <si>
    <t>1111022102</t>
  </si>
  <si>
    <t>1111022103</t>
  </si>
  <si>
    <t>1111022201</t>
  </si>
  <si>
    <t>1111022202</t>
  </si>
  <si>
    <t>1111022203</t>
  </si>
  <si>
    <t>1111022204</t>
  </si>
  <si>
    <t>1111022301</t>
  </si>
  <si>
    <t>1111022302</t>
  </si>
  <si>
    <t>1111022303</t>
  </si>
  <si>
    <t>1111022401</t>
  </si>
  <si>
    <t>1111022402</t>
  </si>
  <si>
    <t>1111022403</t>
  </si>
  <si>
    <t>1111022501</t>
  </si>
  <si>
    <t>1111022901</t>
  </si>
  <si>
    <t>111109</t>
  </si>
  <si>
    <t>1111099</t>
  </si>
  <si>
    <t>1111099101</t>
  </si>
  <si>
    <t>1111099102</t>
  </si>
  <si>
    <t>1111099201</t>
  </si>
  <si>
    <t>1111099301</t>
  </si>
  <si>
    <t>1111099901</t>
  </si>
  <si>
    <t>111201</t>
  </si>
  <si>
    <t>1112011</t>
  </si>
  <si>
    <t>1112011101</t>
  </si>
  <si>
    <t>1112011201</t>
  </si>
  <si>
    <t>1112011301</t>
  </si>
  <si>
    <t>111202</t>
  </si>
  <si>
    <t>1112021</t>
  </si>
  <si>
    <t>1112021101</t>
  </si>
  <si>
    <t>1112021102</t>
  </si>
  <si>
    <t>1112021103</t>
  </si>
  <si>
    <t>1112021201</t>
  </si>
  <si>
    <t>1112021901</t>
  </si>
  <si>
    <t>111203</t>
  </si>
  <si>
    <t>1112031</t>
  </si>
  <si>
    <t>1112031101</t>
  </si>
  <si>
    <t>1112031201</t>
  </si>
  <si>
    <t>1112031901</t>
  </si>
  <si>
    <t>111204</t>
  </si>
  <si>
    <t>1112041</t>
  </si>
  <si>
    <t>1112041101</t>
  </si>
  <si>
    <t>1112041201</t>
  </si>
  <si>
    <t>1112041901</t>
  </si>
  <si>
    <t>111209</t>
  </si>
  <si>
    <t>1112099</t>
  </si>
  <si>
    <t>1112099101</t>
  </si>
  <si>
    <t>1112099201</t>
  </si>
  <si>
    <t>1112099301</t>
  </si>
  <si>
    <t>1112099901</t>
  </si>
  <si>
    <t>111301</t>
  </si>
  <si>
    <t>1113011</t>
  </si>
  <si>
    <t>1113011001</t>
  </si>
  <si>
    <t>1113019</t>
  </si>
  <si>
    <t>1113019001</t>
  </si>
  <si>
    <t>1113019002</t>
  </si>
  <si>
    <t>111302</t>
  </si>
  <si>
    <t>1113021</t>
  </si>
  <si>
    <t>1113021001</t>
  </si>
  <si>
    <t>1113029</t>
  </si>
  <si>
    <t>1113029001</t>
  </si>
  <si>
    <t>111401</t>
  </si>
  <si>
    <t>1114011</t>
  </si>
  <si>
    <t>1114011101</t>
  </si>
  <si>
    <t>1114011102</t>
  </si>
  <si>
    <t>1114011901</t>
  </si>
  <si>
    <t>111402</t>
  </si>
  <si>
    <t>1114021</t>
  </si>
  <si>
    <t>1114021101</t>
  </si>
  <si>
    <t>1114021104</t>
  </si>
  <si>
    <t>1114021105</t>
  </si>
  <si>
    <t>1114021901</t>
  </si>
  <si>
    <t>111403</t>
  </si>
  <si>
    <t>1114031</t>
  </si>
  <si>
    <t>1114031101</t>
  </si>
  <si>
    <t>1114031601</t>
  </si>
  <si>
    <t>1114031701</t>
  </si>
  <si>
    <t>1114031901</t>
  </si>
  <si>
    <t>111501</t>
  </si>
  <si>
    <t>1115011</t>
  </si>
  <si>
    <t>1115011101</t>
  </si>
  <si>
    <t>1115011102</t>
  </si>
  <si>
    <t>1115011301</t>
  </si>
  <si>
    <t>1115011401</t>
  </si>
  <si>
    <t>1115011501</t>
  </si>
  <si>
    <t>1115011601</t>
  </si>
  <si>
    <t>1115011701</t>
  </si>
  <si>
    <t>1115011801</t>
  </si>
  <si>
    <t>1115011901</t>
  </si>
  <si>
    <t>111601</t>
  </si>
  <si>
    <t>1116011</t>
  </si>
  <si>
    <t>1116019</t>
  </si>
  <si>
    <t>1116019101</t>
  </si>
  <si>
    <t>1116019201</t>
  </si>
  <si>
    <t>1116019202</t>
  </si>
  <si>
    <t>111602</t>
  </si>
  <si>
    <t>1116021</t>
  </si>
  <si>
    <t>1116021101</t>
  </si>
  <si>
    <t>1116021201</t>
  </si>
  <si>
    <t>1116021901</t>
  </si>
  <si>
    <t>111603</t>
  </si>
  <si>
    <t>1116031</t>
  </si>
  <si>
    <t>1116031101</t>
  </si>
  <si>
    <t>1116031201</t>
  </si>
  <si>
    <t>1116031301</t>
  </si>
  <si>
    <t>1116031901</t>
  </si>
  <si>
    <t>111604</t>
  </si>
  <si>
    <t>1116041</t>
  </si>
  <si>
    <t>1116042</t>
  </si>
  <si>
    <t>1116042101</t>
  </si>
  <si>
    <t>1116042102</t>
  </si>
  <si>
    <t>1116042103</t>
  </si>
  <si>
    <t>1116042199</t>
  </si>
  <si>
    <t>1116042901</t>
  </si>
  <si>
    <t>1116043</t>
  </si>
  <si>
    <t>1116044</t>
  </si>
  <si>
    <t>111605</t>
  </si>
  <si>
    <t>1116051</t>
  </si>
  <si>
    <t>1116051601</t>
  </si>
  <si>
    <t>1116051901</t>
  </si>
  <si>
    <t>1119011</t>
  </si>
  <si>
    <t>1119011101</t>
  </si>
  <si>
    <t>1119011901</t>
  </si>
  <si>
    <t>1119021</t>
  </si>
  <si>
    <t>1119021101</t>
  </si>
  <si>
    <t>1119021901</t>
  </si>
  <si>
    <t>1119031</t>
  </si>
  <si>
    <t>1119031101</t>
  </si>
  <si>
    <t>1119031102</t>
  </si>
  <si>
    <t>1119031103</t>
  </si>
  <si>
    <t>1119031104</t>
  </si>
  <si>
    <t>1119031901</t>
  </si>
  <si>
    <t>1119099</t>
  </si>
  <si>
    <t>1119099101</t>
  </si>
  <si>
    <t>1119099401</t>
  </si>
  <si>
    <t>1119099901</t>
  </si>
  <si>
    <t>1121011</t>
  </si>
  <si>
    <t>1121021</t>
  </si>
  <si>
    <t>1121031</t>
  </si>
  <si>
    <t>1121099</t>
  </si>
  <si>
    <t>1129011</t>
  </si>
  <si>
    <t>1129011101</t>
  </si>
  <si>
    <t>1129011301</t>
  </si>
  <si>
    <t>1129011901</t>
  </si>
  <si>
    <t>1129021</t>
  </si>
  <si>
    <t>1129021101</t>
  </si>
  <si>
    <t>1129021201</t>
  </si>
  <si>
    <t>1129021301</t>
  </si>
  <si>
    <t>1129021302</t>
  </si>
  <si>
    <t>1129021401</t>
  </si>
  <si>
    <t>1129021501</t>
  </si>
  <si>
    <t>1129021601</t>
  </si>
  <si>
    <t>1129021602</t>
  </si>
  <si>
    <t>1129021603</t>
  </si>
  <si>
    <t>1129021604</t>
  </si>
  <si>
    <t>1129021699</t>
  </si>
  <si>
    <t>1129021701</t>
  </si>
  <si>
    <t>1129021901</t>
  </si>
  <si>
    <t>1129031</t>
  </si>
  <si>
    <t>1129031000</t>
  </si>
  <si>
    <t>1131011</t>
  </si>
  <si>
    <t>1131021</t>
  </si>
  <si>
    <t>1131021101</t>
  </si>
  <si>
    <t>1131021901</t>
  </si>
  <si>
    <t>1141011</t>
  </si>
  <si>
    <t>1141011101</t>
  </si>
  <si>
    <t>1141011901</t>
  </si>
  <si>
    <t>1511011</t>
  </si>
  <si>
    <t>1512011</t>
  </si>
  <si>
    <t>1512021</t>
  </si>
  <si>
    <t>1512099</t>
  </si>
  <si>
    <t>1513011</t>
  </si>
  <si>
    <t>1514011</t>
  </si>
  <si>
    <t>1519091</t>
  </si>
  <si>
    <t>1519099</t>
  </si>
  <si>
    <t>1521011</t>
  </si>
  <si>
    <t>1521021</t>
  </si>
  <si>
    <t>1522099</t>
  </si>
  <si>
    <t>1529011</t>
  </si>
  <si>
    <t>1529021</t>
  </si>
  <si>
    <t>1529091</t>
  </si>
  <si>
    <t>1529099</t>
  </si>
  <si>
    <t>1611011</t>
  </si>
  <si>
    <t>1611021</t>
  </si>
  <si>
    <t>1611031</t>
  </si>
  <si>
    <t>1619091</t>
  </si>
  <si>
    <t>1619099</t>
  </si>
  <si>
    <t>1621011</t>
  </si>
  <si>
    <t>1621021</t>
  </si>
  <si>
    <t>1621021101</t>
  </si>
  <si>
    <t>1621021102</t>
  </si>
  <si>
    <t>1621021103</t>
  </si>
  <si>
    <t>1621021104</t>
  </si>
  <si>
    <t>1621021105</t>
  </si>
  <si>
    <t>1621021106</t>
  </si>
  <si>
    <t>1621021107</t>
  </si>
  <si>
    <t>1621021108</t>
  </si>
  <si>
    <t>1621021901</t>
  </si>
  <si>
    <t>1621031</t>
  </si>
  <si>
    <t>1621099</t>
  </si>
  <si>
    <t>1631011</t>
  </si>
  <si>
    <t>1631011101</t>
  </si>
  <si>
    <t>1631011102</t>
  </si>
  <si>
    <t>1631011103</t>
  </si>
  <si>
    <t>1631011104</t>
  </si>
  <si>
    <t>1631011105</t>
  </si>
  <si>
    <t>1631011106</t>
  </si>
  <si>
    <t>1631011107</t>
  </si>
  <si>
    <t>1631011108</t>
  </si>
  <si>
    <t>1631011901</t>
  </si>
  <si>
    <t>1631021</t>
  </si>
  <si>
    <t>1632011</t>
  </si>
  <si>
    <t>1632021</t>
  </si>
  <si>
    <t>1632021101</t>
  </si>
  <si>
    <t>1632021102</t>
  </si>
  <si>
    <t>1632021103</t>
  </si>
  <si>
    <t>1632021104</t>
  </si>
  <si>
    <t>1632021201</t>
  </si>
  <si>
    <t>1632021202</t>
  </si>
  <si>
    <t>1632021301</t>
  </si>
  <si>
    <t>1632021302</t>
  </si>
  <si>
    <t>1632021303</t>
  </si>
  <si>
    <t>1632021304</t>
  </si>
  <si>
    <t>1632021901</t>
  </si>
  <si>
    <t>1633011</t>
  </si>
  <si>
    <t>1633011101</t>
  </si>
  <si>
    <t>1633011102</t>
  </si>
  <si>
    <t>1633011103</t>
  </si>
  <si>
    <t>1633011901</t>
  </si>
  <si>
    <t>1633021</t>
  </si>
  <si>
    <t>1641011</t>
  </si>
  <si>
    <t>1641099</t>
  </si>
  <si>
    <t>1649011</t>
  </si>
  <si>
    <t>1649099</t>
  </si>
  <si>
    <t>1911011</t>
  </si>
  <si>
    <t>1911011101</t>
  </si>
  <si>
    <t>1911011201</t>
  </si>
  <si>
    <t>1911011202</t>
  </si>
  <si>
    <t>1911011301</t>
  </si>
  <si>
    <t>1911011401</t>
  </si>
  <si>
    <t>1911011402</t>
  </si>
  <si>
    <t>1911011403</t>
  </si>
  <si>
    <t>1911011404</t>
  </si>
  <si>
    <t>1911011405</t>
  </si>
  <si>
    <t>1911011501</t>
  </si>
  <si>
    <t>1911011601</t>
  </si>
  <si>
    <t>1911011701</t>
  </si>
  <si>
    <t>1911011801</t>
  </si>
  <si>
    <t>1911011901</t>
  </si>
  <si>
    <t>2011011</t>
  </si>
  <si>
    <t>2021011</t>
  </si>
  <si>
    <t>2021012</t>
  </si>
  <si>
    <t>2021013</t>
  </si>
  <si>
    <t>2021019</t>
  </si>
  <si>
    <t>2029011</t>
  </si>
  <si>
    <t>2029012</t>
  </si>
  <si>
    <t>2029019</t>
  </si>
  <si>
    <t>2029021</t>
  </si>
  <si>
    <t>2029031</t>
  </si>
  <si>
    <t>2029031001</t>
  </si>
  <si>
    <t>2029032</t>
  </si>
  <si>
    <t>2029032101</t>
  </si>
  <si>
    <t>2029032901</t>
  </si>
  <si>
    <t>2029099</t>
  </si>
  <si>
    <t>2031011</t>
  </si>
  <si>
    <t>2031012</t>
  </si>
  <si>
    <t>2031019</t>
  </si>
  <si>
    <t>2031021</t>
  </si>
  <si>
    <t>2031022</t>
  </si>
  <si>
    <t>2031023</t>
  </si>
  <si>
    <t>2031029</t>
  </si>
  <si>
    <t>2041011</t>
  </si>
  <si>
    <t>2041012</t>
  </si>
  <si>
    <t>2041013</t>
  </si>
  <si>
    <t>2041014</t>
  </si>
  <si>
    <t>2041015</t>
  </si>
  <si>
    <t>2041016</t>
  </si>
  <si>
    <t>2041019</t>
  </si>
  <si>
    <t>2041021</t>
  </si>
  <si>
    <t>2041022</t>
  </si>
  <si>
    <t>2041023</t>
  </si>
  <si>
    <t>2041024</t>
  </si>
  <si>
    <t>2041025</t>
  </si>
  <si>
    <t>2041029</t>
  </si>
  <si>
    <t>2042011</t>
  </si>
  <si>
    <t>2049011</t>
  </si>
  <si>
    <t>2049021</t>
  </si>
  <si>
    <t>2049099</t>
  </si>
  <si>
    <t>2051011</t>
  </si>
  <si>
    <t>2051021</t>
  </si>
  <si>
    <t>2051022</t>
  </si>
  <si>
    <t>2051023</t>
  </si>
  <si>
    <t>2051024</t>
  </si>
  <si>
    <t>2051025</t>
  </si>
  <si>
    <t>2051031</t>
  </si>
  <si>
    <t>2051099</t>
  </si>
  <si>
    <t>2061011</t>
  </si>
  <si>
    <t>2061012</t>
  </si>
  <si>
    <t>2071011</t>
  </si>
  <si>
    <t>2071011101</t>
  </si>
  <si>
    <t>2071011201</t>
  </si>
  <si>
    <t>2071011301</t>
  </si>
  <si>
    <t>2071011901</t>
  </si>
  <si>
    <t>2081011</t>
  </si>
  <si>
    <t>2081012</t>
  </si>
  <si>
    <t>2081013</t>
  </si>
  <si>
    <t>208201</t>
  </si>
  <si>
    <t>2082011</t>
  </si>
  <si>
    <t>208301</t>
  </si>
  <si>
    <t>2083011</t>
  </si>
  <si>
    <t>208302</t>
  </si>
  <si>
    <t>2083021</t>
  </si>
  <si>
    <t>2084011</t>
  </si>
  <si>
    <t>2084011101</t>
  </si>
  <si>
    <t>2084011102</t>
  </si>
  <si>
    <t>2084011103</t>
  </si>
  <si>
    <t>2084011104</t>
  </si>
  <si>
    <t>2084011105</t>
  </si>
  <si>
    <t>2084011106</t>
  </si>
  <si>
    <t>2084011107</t>
  </si>
  <si>
    <t>2084011199</t>
  </si>
  <si>
    <t>2084011901</t>
  </si>
  <si>
    <t>2089011</t>
  </si>
  <si>
    <t>208902</t>
  </si>
  <si>
    <t>2089021</t>
  </si>
  <si>
    <t>2089091</t>
  </si>
  <si>
    <t>2089099</t>
  </si>
  <si>
    <t>2111011</t>
  </si>
  <si>
    <t>2111012</t>
  </si>
  <si>
    <t>2111013</t>
  </si>
  <si>
    <t>2111014</t>
  </si>
  <si>
    <t>2111015</t>
  </si>
  <si>
    <t>2111016</t>
  </si>
  <si>
    <t>2111017</t>
  </si>
  <si>
    <t>2111018</t>
  </si>
  <si>
    <t>2111019</t>
  </si>
  <si>
    <t>2121011</t>
  </si>
  <si>
    <t>2121019</t>
  </si>
  <si>
    <t>2121021</t>
  </si>
  <si>
    <t>2211011</t>
  </si>
  <si>
    <t>2211012</t>
  </si>
  <si>
    <t>2211013</t>
  </si>
  <si>
    <t>2211014</t>
  </si>
  <si>
    <t>2211015</t>
  </si>
  <si>
    <t>2211016</t>
  </si>
  <si>
    <t>2211017</t>
  </si>
  <si>
    <t>2211019</t>
  </si>
  <si>
    <t>2221011</t>
  </si>
  <si>
    <t>2229091</t>
  </si>
  <si>
    <t>2229099</t>
  </si>
  <si>
    <t>2311011</t>
  </si>
  <si>
    <t>2312011</t>
  </si>
  <si>
    <t>2312012</t>
  </si>
  <si>
    <t>2511011</t>
  </si>
  <si>
    <t>2511012</t>
  </si>
  <si>
    <t>2511021</t>
  </si>
  <si>
    <t>2511091</t>
  </si>
  <si>
    <t>2511099</t>
  </si>
  <si>
    <t>2521011</t>
  </si>
  <si>
    <t>2521021</t>
  </si>
  <si>
    <t>2521031</t>
  </si>
  <si>
    <t>2531011</t>
  </si>
  <si>
    <t>2531012</t>
  </si>
  <si>
    <t>2531013</t>
  </si>
  <si>
    <t>2591011</t>
  </si>
  <si>
    <t>2591099</t>
  </si>
  <si>
    <t>2599011</t>
  </si>
  <si>
    <t>2599021</t>
  </si>
  <si>
    <t>2599099</t>
  </si>
  <si>
    <t>2611011</t>
  </si>
  <si>
    <t>2611021</t>
  </si>
  <si>
    <t>2611031</t>
  </si>
  <si>
    <t>2611041</t>
  </si>
  <si>
    <t>2612011</t>
  </si>
  <si>
    <t>2621011</t>
  </si>
  <si>
    <t>2621012</t>
  </si>
  <si>
    <t>2621013</t>
  </si>
  <si>
    <t>2621014</t>
  </si>
  <si>
    <t>2621015</t>
  </si>
  <si>
    <t>2621016</t>
  </si>
  <si>
    <t>262102</t>
  </si>
  <si>
    <t>2621021</t>
  </si>
  <si>
    <t>2622011</t>
  </si>
  <si>
    <t>2622012</t>
  </si>
  <si>
    <t>2623011</t>
  </si>
  <si>
    <t>2623012</t>
  </si>
  <si>
    <t>2623021</t>
  </si>
  <si>
    <t>2631011</t>
  </si>
  <si>
    <t>2631012</t>
  </si>
  <si>
    <t>2631021</t>
  </si>
  <si>
    <t>2631031</t>
  </si>
  <si>
    <t>2631032</t>
  </si>
  <si>
    <t>2699011</t>
  </si>
  <si>
    <t>2699099</t>
  </si>
  <si>
    <t>2711011</t>
  </si>
  <si>
    <t>2711021</t>
  </si>
  <si>
    <t>2711031</t>
  </si>
  <si>
    <t>2711099</t>
  </si>
  <si>
    <t>2712011</t>
  </si>
  <si>
    <t>2721011</t>
  </si>
  <si>
    <t>2721021</t>
  </si>
  <si>
    <t>2729011</t>
  </si>
  <si>
    <t>2729021</t>
  </si>
  <si>
    <t>2722031</t>
  </si>
  <si>
    <t>2729041</t>
  </si>
  <si>
    <t>2729099</t>
  </si>
  <si>
    <t>2811011</t>
  </si>
  <si>
    <t>2812011</t>
  </si>
  <si>
    <t>2891011</t>
  </si>
  <si>
    <t>2899011</t>
  </si>
  <si>
    <t>2899021</t>
  </si>
  <si>
    <t>2899031</t>
  </si>
  <si>
    <t>2899032</t>
  </si>
  <si>
    <t>2899033</t>
  </si>
  <si>
    <t>2899091</t>
  </si>
  <si>
    <t>2899092</t>
  </si>
  <si>
    <t>2899099</t>
  </si>
  <si>
    <t>2911011</t>
  </si>
  <si>
    <t>2911021</t>
  </si>
  <si>
    <t>2911031</t>
  </si>
  <si>
    <t>2912011</t>
  </si>
  <si>
    <t>2913011</t>
  </si>
  <si>
    <t>2914011</t>
  </si>
  <si>
    <t>2919011</t>
  </si>
  <si>
    <t>2919091</t>
  </si>
  <si>
    <t>2919099</t>
  </si>
  <si>
    <t>3011011</t>
  </si>
  <si>
    <t>3012011</t>
  </si>
  <si>
    <t>3013011</t>
  </si>
  <si>
    <t>3014011</t>
  </si>
  <si>
    <t>3014012</t>
  </si>
  <si>
    <t>3014013</t>
  </si>
  <si>
    <t>3014014</t>
  </si>
  <si>
    <t>3014015</t>
  </si>
  <si>
    <t>3015011</t>
  </si>
  <si>
    <t>3015021</t>
  </si>
  <si>
    <t>3015022</t>
  </si>
  <si>
    <t>3016011</t>
  </si>
  <si>
    <t>3016021</t>
  </si>
  <si>
    <t>3016031</t>
  </si>
  <si>
    <t>3017011</t>
  </si>
  <si>
    <t>3019011</t>
  </si>
  <si>
    <t>3019021</t>
  </si>
  <si>
    <t>3019031</t>
  </si>
  <si>
    <t>3019099</t>
  </si>
  <si>
    <t>3111011</t>
  </si>
  <si>
    <t>3111099</t>
  </si>
  <si>
    <t>3112011</t>
  </si>
  <si>
    <t>3112012</t>
  </si>
  <si>
    <t>3112019</t>
  </si>
  <si>
    <t>3113011</t>
  </si>
  <si>
    <t>3114011</t>
  </si>
  <si>
    <t>3115011</t>
  </si>
  <si>
    <t>3116011</t>
  </si>
  <si>
    <t>321101</t>
  </si>
  <si>
    <t>3211011</t>
  </si>
  <si>
    <t>321102</t>
  </si>
  <si>
    <t>3211021</t>
  </si>
  <si>
    <t>3211022</t>
  </si>
  <si>
    <t>321103</t>
  </si>
  <si>
    <t>3211031</t>
  </si>
  <si>
    <t>321104</t>
  </si>
  <si>
    <t>3211041</t>
  </si>
  <si>
    <t>3299011</t>
  </si>
  <si>
    <t>3299021</t>
  </si>
  <si>
    <t>3299099</t>
  </si>
  <si>
    <t>3311011</t>
  </si>
  <si>
    <t>3311012</t>
  </si>
  <si>
    <t>3311021</t>
  </si>
  <si>
    <t>3311031</t>
  </si>
  <si>
    <t>3311041</t>
  </si>
  <si>
    <t>3311051</t>
  </si>
  <si>
    <t>3311099</t>
  </si>
  <si>
    <t>3321011</t>
  </si>
  <si>
    <t>3321021</t>
  </si>
  <si>
    <t>3331011</t>
  </si>
  <si>
    <t>3332011</t>
  </si>
  <si>
    <t>3399011</t>
  </si>
  <si>
    <t>3399021</t>
  </si>
  <si>
    <t>3399031</t>
  </si>
  <si>
    <t>3399099</t>
  </si>
  <si>
    <t>341101</t>
  </si>
  <si>
    <t>3411011</t>
  </si>
  <si>
    <t>341102</t>
  </si>
  <si>
    <t>3411021</t>
  </si>
  <si>
    <t>341103</t>
  </si>
  <si>
    <t>3411031</t>
  </si>
  <si>
    <t>341104</t>
  </si>
  <si>
    <t>3411041</t>
  </si>
  <si>
    <t>341109</t>
  </si>
  <si>
    <t>3411099</t>
  </si>
  <si>
    <t>341201</t>
  </si>
  <si>
    <t>3412011</t>
  </si>
  <si>
    <t>341202</t>
  </si>
  <si>
    <t>3412021</t>
  </si>
  <si>
    <t>3421011</t>
  </si>
  <si>
    <t>3421021</t>
  </si>
  <si>
    <t>3421031</t>
  </si>
  <si>
    <t>3511011</t>
  </si>
  <si>
    <t>3521011</t>
  </si>
  <si>
    <t>3522011</t>
  </si>
  <si>
    <t>3531011</t>
  </si>
  <si>
    <t>3531021</t>
  </si>
  <si>
    <t>3541011</t>
  </si>
  <si>
    <t>3541021</t>
  </si>
  <si>
    <t>3541031</t>
  </si>
  <si>
    <t>3541101</t>
  </si>
  <si>
    <t>3541101000</t>
  </si>
  <si>
    <t>3591011</t>
  </si>
  <si>
    <t>3591011101</t>
  </si>
  <si>
    <t>3591011102</t>
  </si>
  <si>
    <t>3591011103</t>
  </si>
  <si>
    <t>3591011104</t>
  </si>
  <si>
    <t>3591011201</t>
  </si>
  <si>
    <t>3591011301</t>
  </si>
  <si>
    <t>3591011401</t>
  </si>
  <si>
    <t>3591011501</t>
  </si>
  <si>
    <t>3591101</t>
  </si>
  <si>
    <t>3591101000</t>
  </si>
  <si>
    <t>3592011</t>
  </si>
  <si>
    <t>3592101</t>
  </si>
  <si>
    <t>3599011</t>
  </si>
  <si>
    <t>3599091</t>
  </si>
  <si>
    <t>3599099</t>
  </si>
  <si>
    <t>3911011</t>
  </si>
  <si>
    <t>3911021</t>
  </si>
  <si>
    <t>3919011</t>
  </si>
  <si>
    <t>3919021</t>
  </si>
  <si>
    <t>3919031</t>
  </si>
  <si>
    <t>3919041</t>
  </si>
  <si>
    <t>3919051</t>
  </si>
  <si>
    <t>3919061</t>
  </si>
  <si>
    <t>3919099</t>
  </si>
  <si>
    <t>3921011</t>
  </si>
  <si>
    <t>4111011</t>
  </si>
  <si>
    <t>4111011000</t>
  </si>
  <si>
    <t>4111021</t>
  </si>
  <si>
    <t>4111021000</t>
  </si>
  <si>
    <t>4112011</t>
  </si>
  <si>
    <t>4112011000</t>
  </si>
  <si>
    <t>4112021</t>
  </si>
  <si>
    <t>4112021000</t>
  </si>
  <si>
    <t>4121011</t>
  </si>
  <si>
    <t>4121011001</t>
  </si>
  <si>
    <t>4121011002</t>
  </si>
  <si>
    <t>4131011</t>
  </si>
  <si>
    <t>4131011001</t>
  </si>
  <si>
    <t>4131011002</t>
  </si>
  <si>
    <t>4131011003</t>
  </si>
  <si>
    <t>4131011004</t>
  </si>
  <si>
    <t>4131021</t>
  </si>
  <si>
    <t>4131021001</t>
  </si>
  <si>
    <t>4131021002</t>
  </si>
  <si>
    <t>4131021003</t>
  </si>
  <si>
    <t>4131021101</t>
  </si>
  <si>
    <t>4131021201</t>
  </si>
  <si>
    <t>4131021301</t>
  </si>
  <si>
    <t>4131021401</t>
  </si>
  <si>
    <t>4131021501</t>
  </si>
  <si>
    <t>4131021601</t>
  </si>
  <si>
    <t>4131021701</t>
  </si>
  <si>
    <t>4131021801</t>
  </si>
  <si>
    <t>4131021901</t>
  </si>
  <si>
    <t>4131031</t>
  </si>
  <si>
    <t>4131031001</t>
  </si>
  <si>
    <t>4131031002</t>
  </si>
  <si>
    <t>4131031003</t>
  </si>
  <si>
    <t>4131031004</t>
  </si>
  <si>
    <t>4191011</t>
  </si>
  <si>
    <t>4191011001</t>
  </si>
  <si>
    <t>4191011002</t>
  </si>
  <si>
    <t>4191011099</t>
  </si>
  <si>
    <t>4191021</t>
  </si>
  <si>
    <t>4191021001</t>
  </si>
  <si>
    <t>4191031</t>
  </si>
  <si>
    <t>4191031001</t>
  </si>
  <si>
    <t>4191099</t>
  </si>
  <si>
    <t>4191099001</t>
  </si>
  <si>
    <t>4191099002</t>
  </si>
  <si>
    <t>4191099003</t>
  </si>
  <si>
    <t>4191099004</t>
  </si>
  <si>
    <t>4191099099</t>
  </si>
  <si>
    <t>4611001</t>
  </si>
  <si>
    <t>461101</t>
  </si>
  <si>
    <t>4611001101</t>
  </si>
  <si>
    <t>461102</t>
  </si>
  <si>
    <t>461103</t>
  </si>
  <si>
    <t>4611031</t>
  </si>
  <si>
    <t>4611031101</t>
  </si>
  <si>
    <t>4621011</t>
  </si>
  <si>
    <t>4621011101</t>
  </si>
  <si>
    <t>4621011102</t>
  </si>
  <si>
    <t>4621011103</t>
  </si>
  <si>
    <t>4621011201</t>
  </si>
  <si>
    <t>4621011301</t>
  </si>
  <si>
    <t>4622011</t>
  </si>
  <si>
    <t>4622011101</t>
  </si>
  <si>
    <t>4622011102</t>
  </si>
  <si>
    <t>4711011</t>
  </si>
  <si>
    <t>4711011101</t>
  </si>
  <si>
    <t>4711011199</t>
  </si>
  <si>
    <t>4711011201</t>
  </si>
  <si>
    <t>4711011299</t>
  </si>
  <si>
    <t>4711021</t>
  </si>
  <si>
    <t>4711021101</t>
  </si>
  <si>
    <t>4711031</t>
  </si>
  <si>
    <t>4711031001</t>
  </si>
  <si>
    <t>4811011</t>
  </si>
  <si>
    <t>4811011001</t>
  </si>
  <si>
    <t>4811021</t>
  </si>
  <si>
    <t>4811021001</t>
  </si>
  <si>
    <t>5111011</t>
  </si>
  <si>
    <t>5111011001</t>
  </si>
  <si>
    <t>5112011</t>
  </si>
  <si>
    <t>5112011001</t>
  </si>
  <si>
    <t>5311011</t>
  </si>
  <si>
    <t>5311011001</t>
  </si>
  <si>
    <t>5311012</t>
  </si>
  <si>
    <t>5311012001</t>
  </si>
  <si>
    <t>5311013</t>
  </si>
  <si>
    <t>5311013001</t>
  </si>
  <si>
    <t>5311014</t>
  </si>
  <si>
    <t>5311014001</t>
  </si>
  <si>
    <t>5312011</t>
  </si>
  <si>
    <t>5312011001</t>
  </si>
  <si>
    <t>5312021</t>
  </si>
  <si>
    <t>5312021001</t>
  </si>
  <si>
    <t>5511011</t>
  </si>
  <si>
    <t>5511011001</t>
  </si>
  <si>
    <t>5511011002</t>
  </si>
  <si>
    <t>5511021</t>
  </si>
  <si>
    <t>5511021001</t>
  </si>
  <si>
    <t>5521011</t>
  </si>
  <si>
    <t>5521011001</t>
  </si>
  <si>
    <t>553101</t>
  </si>
  <si>
    <t>5531011</t>
  </si>
  <si>
    <t>5531011001</t>
  </si>
  <si>
    <t>5711011</t>
  </si>
  <si>
    <t>5711011101</t>
  </si>
  <si>
    <t>5711011102</t>
  </si>
  <si>
    <t>5711011103</t>
  </si>
  <si>
    <t>5711011201</t>
  </si>
  <si>
    <t>5711011202</t>
  </si>
  <si>
    <t>5711011203</t>
  </si>
  <si>
    <t>5711011301</t>
  </si>
  <si>
    <t>5712011</t>
  </si>
  <si>
    <t>5712011001</t>
  </si>
  <si>
    <t>5712011002</t>
  </si>
  <si>
    <t>5712011003</t>
  </si>
  <si>
    <t>5712011004</t>
  </si>
  <si>
    <t>5721011</t>
  </si>
  <si>
    <t>5721011001</t>
  </si>
  <si>
    <t>5721011002</t>
  </si>
  <si>
    <t>5721011003</t>
  </si>
  <si>
    <t>5721021</t>
  </si>
  <si>
    <t>5721021001</t>
  </si>
  <si>
    <t>5722011</t>
  </si>
  <si>
    <t>5722011001</t>
  </si>
  <si>
    <t>5722011002</t>
  </si>
  <si>
    <t>5741011</t>
  </si>
  <si>
    <t>5741011101</t>
  </si>
  <si>
    <t>5741011102</t>
  </si>
  <si>
    <t>5741011103</t>
  </si>
  <si>
    <t>5741011201</t>
  </si>
  <si>
    <t>5741011202</t>
  </si>
  <si>
    <t>5741011203</t>
  </si>
  <si>
    <t>5741011301</t>
  </si>
  <si>
    <t>5742011</t>
  </si>
  <si>
    <t>5742011001</t>
  </si>
  <si>
    <t>5742012</t>
  </si>
  <si>
    <t>5742012000</t>
  </si>
  <si>
    <t>5743011</t>
  </si>
  <si>
    <t>5743011101</t>
  </si>
  <si>
    <t>5743011102</t>
  </si>
  <si>
    <t>5743011103</t>
  </si>
  <si>
    <t>5743011104</t>
  </si>
  <si>
    <t>5743011201</t>
  </si>
  <si>
    <t>5743011202</t>
  </si>
  <si>
    <t>5743011203</t>
  </si>
  <si>
    <t>5743011204</t>
  </si>
  <si>
    <t>5743011301</t>
  </si>
  <si>
    <t>5743011401</t>
  </si>
  <si>
    <t>5751011</t>
  </si>
  <si>
    <t>5751011000</t>
  </si>
  <si>
    <t>5751012</t>
  </si>
  <si>
    <t>5751012101</t>
  </si>
  <si>
    <t>5751013</t>
  </si>
  <si>
    <t>5751013001</t>
  </si>
  <si>
    <t>5751013002</t>
  </si>
  <si>
    <t>5751013003</t>
  </si>
  <si>
    <t>5751014</t>
  </si>
  <si>
    <t>5751014001</t>
  </si>
  <si>
    <t>5761011</t>
  </si>
  <si>
    <t>5761011001</t>
  </si>
  <si>
    <t>5761011002</t>
  </si>
  <si>
    <t>5771011</t>
  </si>
  <si>
    <t>5771011001</t>
  </si>
  <si>
    <t>5771011002</t>
  </si>
  <si>
    <t>5771011003</t>
  </si>
  <si>
    <t>5771011004</t>
  </si>
  <si>
    <t>5771011005</t>
  </si>
  <si>
    <t>5781011</t>
  </si>
  <si>
    <t>5781011001</t>
  </si>
  <si>
    <t>5789011</t>
  </si>
  <si>
    <t>5789011101</t>
  </si>
  <si>
    <t>5789011102</t>
  </si>
  <si>
    <t>5789011103</t>
  </si>
  <si>
    <t>5789011104</t>
  </si>
  <si>
    <t>5789011105</t>
  </si>
  <si>
    <t>5789011201</t>
  </si>
  <si>
    <t>5789011301</t>
  </si>
  <si>
    <t>5789021</t>
  </si>
  <si>
    <t>5789021101</t>
  </si>
  <si>
    <t>5789021102</t>
  </si>
  <si>
    <t>5789021201</t>
  </si>
  <si>
    <t>5789021202</t>
  </si>
  <si>
    <t>5789021203</t>
  </si>
  <si>
    <t>5789031</t>
  </si>
  <si>
    <t>5789031001</t>
  </si>
  <si>
    <t>5789031002</t>
  </si>
  <si>
    <t>5789041</t>
  </si>
  <si>
    <t>5789041001</t>
  </si>
  <si>
    <t>5789041002</t>
  </si>
  <si>
    <t>5789041003</t>
  </si>
  <si>
    <t>5789041004</t>
  </si>
  <si>
    <t>5789041005</t>
  </si>
  <si>
    <t>5789051</t>
  </si>
  <si>
    <t>5789051001</t>
  </si>
  <si>
    <t>5789061</t>
  </si>
  <si>
    <t>5789051002</t>
  </si>
  <si>
    <t>5789071</t>
  </si>
  <si>
    <t>5789071001</t>
  </si>
  <si>
    <t>5789099</t>
  </si>
  <si>
    <t>5789099001</t>
  </si>
  <si>
    <t>5789099002</t>
  </si>
  <si>
    <t>5789099003</t>
  </si>
  <si>
    <t>5789099004</t>
  </si>
  <si>
    <t>5791011</t>
  </si>
  <si>
    <t>5791011001</t>
  </si>
  <si>
    <t>5911011</t>
  </si>
  <si>
    <t>5911011001</t>
  </si>
  <si>
    <t>5911021</t>
  </si>
  <si>
    <t>5911021001</t>
  </si>
  <si>
    <t>591903</t>
  </si>
  <si>
    <t>5919031</t>
  </si>
  <si>
    <t>5919031001</t>
  </si>
  <si>
    <t>5921011</t>
  </si>
  <si>
    <t>5921011001</t>
  </si>
  <si>
    <t>5921021</t>
  </si>
  <si>
    <t>5921021001</t>
  </si>
  <si>
    <t>5921031</t>
  </si>
  <si>
    <t>5921031001</t>
  </si>
  <si>
    <t>5931011</t>
  </si>
  <si>
    <t>5931011001</t>
  </si>
  <si>
    <t>5931011002</t>
  </si>
  <si>
    <t>5931011003</t>
  </si>
  <si>
    <t>5931011004</t>
  </si>
  <si>
    <t>5931011005</t>
  </si>
  <si>
    <t>5931012</t>
  </si>
  <si>
    <t>5931011101</t>
  </si>
  <si>
    <t>5931011102</t>
  </si>
  <si>
    <t>5931011103</t>
  </si>
  <si>
    <t>5931012201</t>
  </si>
  <si>
    <t>5931012202</t>
  </si>
  <si>
    <t>5931012301</t>
  </si>
  <si>
    <t>5931012302</t>
  </si>
  <si>
    <t>5941011</t>
  </si>
  <si>
    <t>5941011001</t>
  </si>
  <si>
    <t>6111011</t>
  </si>
  <si>
    <t>6111011001</t>
  </si>
  <si>
    <t>6112011</t>
  </si>
  <si>
    <t>6112011001</t>
  </si>
  <si>
    <t>6311011</t>
  </si>
  <si>
    <t>6311011101</t>
  </si>
  <si>
    <t>6311011201</t>
  </si>
  <si>
    <t>6311011301</t>
  </si>
  <si>
    <t>6311011401</t>
  </si>
  <si>
    <t>6311011402</t>
  </si>
  <si>
    <t>6311011501</t>
  </si>
  <si>
    <t>6311011601</t>
  </si>
  <si>
    <t>6311011602</t>
  </si>
  <si>
    <t>6311011603</t>
  </si>
  <si>
    <t>6311011701</t>
  </si>
  <si>
    <t>6311011702</t>
  </si>
  <si>
    <t>6311011901</t>
  </si>
  <si>
    <t>6311021</t>
  </si>
  <si>
    <t>6311021101</t>
  </si>
  <si>
    <t>6311021201</t>
  </si>
  <si>
    <t>6311021301</t>
  </si>
  <si>
    <t>6311021401</t>
  </si>
  <si>
    <t>6311021402</t>
  </si>
  <si>
    <t>6311021501</t>
  </si>
  <si>
    <t>6311021601</t>
  </si>
  <si>
    <t>6311021602</t>
  </si>
  <si>
    <t>6311021603</t>
  </si>
  <si>
    <t>6311021701</t>
  </si>
  <si>
    <t>6311021702</t>
  </si>
  <si>
    <t>6311021901</t>
  </si>
  <si>
    <t>6311031</t>
  </si>
  <si>
    <t>6311031001</t>
  </si>
  <si>
    <t>6311041</t>
  </si>
  <si>
    <t>6311041001</t>
  </si>
  <si>
    <t>6312011</t>
  </si>
  <si>
    <t>6312011001</t>
  </si>
  <si>
    <t>6312011002</t>
  </si>
  <si>
    <t>6312011003</t>
  </si>
  <si>
    <t>6312011099</t>
  </si>
  <si>
    <t>6312021</t>
  </si>
  <si>
    <t>6312031</t>
  </si>
  <si>
    <t>6312031001</t>
  </si>
  <si>
    <t>6312041</t>
  </si>
  <si>
    <t>6312041001</t>
  </si>
  <si>
    <t>6321011</t>
  </si>
  <si>
    <t>6321011000</t>
  </si>
  <si>
    <t>6321021</t>
  </si>
  <si>
    <t>6321021000</t>
  </si>
  <si>
    <t>6321031</t>
  </si>
  <si>
    <t>6321031001</t>
  </si>
  <si>
    <t>6321041</t>
  </si>
  <si>
    <t>6321041001</t>
  </si>
  <si>
    <t>6321051</t>
  </si>
  <si>
    <t>6321051001</t>
  </si>
  <si>
    <t>6321061</t>
  </si>
  <si>
    <t>6321061001</t>
  </si>
  <si>
    <t>6322011</t>
  </si>
  <si>
    <t>6322011001</t>
  </si>
  <si>
    <t>6411011</t>
  </si>
  <si>
    <t>6411011001</t>
  </si>
  <si>
    <t>6411021</t>
  </si>
  <si>
    <t>6411021001</t>
  </si>
  <si>
    <t>6411031</t>
  </si>
  <si>
    <t>6411031001</t>
  </si>
  <si>
    <t>6411041</t>
  </si>
  <si>
    <t>6411041001</t>
  </si>
  <si>
    <t>6411051</t>
  </si>
  <si>
    <t>6411051002</t>
  </si>
  <si>
    <t>6421011</t>
  </si>
  <si>
    <t>6421011000</t>
  </si>
  <si>
    <t>6421021</t>
  </si>
  <si>
    <t>6421021001</t>
  </si>
  <si>
    <t>6431011</t>
  </si>
  <si>
    <t>6431011001</t>
  </si>
  <si>
    <t>6431011002</t>
  </si>
  <si>
    <t>6431021</t>
  </si>
  <si>
    <t>6431021001</t>
  </si>
  <si>
    <t>6431031</t>
  </si>
  <si>
    <t>6431031001</t>
  </si>
  <si>
    <t>6431041</t>
  </si>
  <si>
    <t>6431041001</t>
  </si>
  <si>
    <t>6431051</t>
  </si>
  <si>
    <t>6431051001</t>
  </si>
  <si>
    <t>6441011</t>
  </si>
  <si>
    <t>6441011001</t>
  </si>
  <si>
    <t>6441021</t>
  </si>
  <si>
    <t>6441021001</t>
  </si>
  <si>
    <t>6599011</t>
  </si>
  <si>
    <t>6599011001</t>
  </si>
  <si>
    <t>6599021</t>
  </si>
  <si>
    <t>6599021001</t>
  </si>
  <si>
    <t>6611011</t>
  </si>
  <si>
    <t>6611011001</t>
  </si>
  <si>
    <t>6611011002</t>
  </si>
  <si>
    <t>6611012</t>
  </si>
  <si>
    <t>6611012001</t>
  </si>
  <si>
    <t>6611012002</t>
  </si>
  <si>
    <t>6611013</t>
  </si>
  <si>
    <t>6611013001</t>
  </si>
  <si>
    <t>6611013002</t>
  </si>
  <si>
    <t>6611014</t>
  </si>
  <si>
    <t>6611014001</t>
  </si>
  <si>
    <t>6611014002</t>
  </si>
  <si>
    <t>6611015</t>
  </si>
  <si>
    <t>6611015001</t>
  </si>
  <si>
    <t>6611015002</t>
  </si>
  <si>
    <t>6611015003</t>
  </si>
  <si>
    <t>6612011</t>
  </si>
  <si>
    <t>6612011001</t>
  </si>
  <si>
    <t>6612011002</t>
  </si>
  <si>
    <t>6621011</t>
  </si>
  <si>
    <t>6621011001</t>
  </si>
  <si>
    <t>6621011002</t>
  </si>
  <si>
    <t>6621012</t>
  </si>
  <si>
    <t>6621012001</t>
  </si>
  <si>
    <t>6621012002</t>
  </si>
  <si>
    <t>6621012003</t>
  </si>
  <si>
    <t>6621012004</t>
  </si>
  <si>
    <t>6621012005</t>
  </si>
  <si>
    <t>6621012006</t>
  </si>
  <si>
    <t>6621012007</t>
  </si>
  <si>
    <t>6621012008</t>
  </si>
  <si>
    <t>6631101</t>
  </si>
  <si>
    <t>6632101</t>
  </si>
  <si>
    <t>6699011</t>
  </si>
  <si>
    <t>6699011001</t>
  </si>
  <si>
    <t>6699011002</t>
  </si>
  <si>
    <t>6699011003</t>
  </si>
  <si>
    <t>6699021</t>
  </si>
  <si>
    <t>6699021001</t>
  </si>
  <si>
    <t>6699031</t>
  </si>
  <si>
    <t>6699031001</t>
  </si>
  <si>
    <t>6699041</t>
  </si>
  <si>
    <t>6699041001</t>
  </si>
  <si>
    <t>6699041099</t>
  </si>
  <si>
    <t>6699051</t>
  </si>
  <si>
    <t>6699051001</t>
  </si>
  <si>
    <t>6699099</t>
  </si>
  <si>
    <t>6699099101</t>
  </si>
  <si>
    <t>6699099102</t>
  </si>
  <si>
    <t>6699099103</t>
  </si>
  <si>
    <t>6699099104</t>
  </si>
  <si>
    <t>6699099105</t>
  </si>
  <si>
    <t>6699099201</t>
  </si>
  <si>
    <t>6699099202</t>
  </si>
  <si>
    <t>6699099203</t>
  </si>
  <si>
    <t>6699099204</t>
  </si>
  <si>
    <t>6699099205</t>
  </si>
  <si>
    <t>6699099301</t>
  </si>
  <si>
    <t>6699099401</t>
  </si>
  <si>
    <t>6699099402</t>
  </si>
  <si>
    <t>6711011</t>
  </si>
  <si>
    <t>6711011001</t>
  </si>
  <si>
    <t>6721011</t>
  </si>
  <si>
    <t>6721011001</t>
  </si>
  <si>
    <t>6721021</t>
  </si>
  <si>
    <t>6721021001</t>
  </si>
  <si>
    <t>6731011</t>
  </si>
  <si>
    <t>6731011001</t>
  </si>
  <si>
    <t>6731011002</t>
  </si>
  <si>
    <t>6731011003</t>
  </si>
  <si>
    <t>6731021</t>
  </si>
  <si>
    <t>6731021001</t>
  </si>
  <si>
    <t>6731031</t>
  </si>
  <si>
    <t>6731031001</t>
  </si>
  <si>
    <t>6731041</t>
  </si>
  <si>
    <t>6731041001</t>
  </si>
  <si>
    <t>6731099</t>
  </si>
  <si>
    <t>6731099001</t>
  </si>
  <si>
    <t>6731099002</t>
  </si>
  <si>
    <t>6731099099</t>
  </si>
  <si>
    <t>6741011</t>
  </si>
  <si>
    <t>6741021</t>
  </si>
  <si>
    <t>6741031</t>
  </si>
  <si>
    <t>6741031001</t>
  </si>
  <si>
    <t>6741041</t>
  </si>
  <si>
    <t>6741041101</t>
  </si>
  <si>
    <t>6741041102</t>
  </si>
  <si>
    <t>6741041103</t>
  </si>
  <si>
    <t>6741041104</t>
  </si>
  <si>
    <t>6741041105</t>
  </si>
  <si>
    <t>6741041106</t>
  </si>
  <si>
    <t>6741041199</t>
  </si>
  <si>
    <t>6741041201</t>
  </si>
  <si>
    <t>6741051</t>
  </si>
  <si>
    <t>6741051001</t>
  </si>
  <si>
    <t>6741099</t>
  </si>
  <si>
    <t>6741099001</t>
  </si>
  <si>
    <t>6741099002</t>
  </si>
  <si>
    <t>6741099099</t>
  </si>
  <si>
    <t>6799011</t>
  </si>
  <si>
    <t>6799011001</t>
  </si>
  <si>
    <t>6799021</t>
  </si>
  <si>
    <t>6799021101</t>
  </si>
  <si>
    <t>6799021201</t>
  </si>
  <si>
    <t>6799021301</t>
  </si>
  <si>
    <t>6799021302</t>
  </si>
  <si>
    <t>6799021303</t>
  </si>
  <si>
    <t>6799031</t>
  </si>
  <si>
    <t>6799031001</t>
  </si>
  <si>
    <t>6799031002</t>
  </si>
  <si>
    <t>6799031003</t>
  </si>
  <si>
    <t>6799031004</t>
  </si>
  <si>
    <t>6799031005</t>
  </si>
  <si>
    <t>6799031006</t>
  </si>
  <si>
    <t>6799031007</t>
  </si>
  <si>
    <t>6799031099</t>
  </si>
  <si>
    <t>6799041</t>
  </si>
  <si>
    <t>6799041001</t>
  </si>
  <si>
    <t>6799041099</t>
  </si>
  <si>
    <t>6799099</t>
  </si>
  <si>
    <t>6799099001</t>
  </si>
  <si>
    <t>6799099002</t>
  </si>
  <si>
    <t>6799099003</t>
  </si>
  <si>
    <t>6799099004</t>
  </si>
  <si>
    <t>6799099099</t>
  </si>
  <si>
    <t>681100</t>
  </si>
  <si>
    <t>6811000</t>
  </si>
  <si>
    <t>6811000001</t>
  </si>
  <si>
    <t>6911000</t>
  </si>
  <si>
    <t>6911000001</t>
  </si>
  <si>
    <t>909900</t>
  </si>
  <si>
    <t>9099000</t>
  </si>
  <si>
    <t>県内生産額</t>
    <rPh sb="0" eb="2">
      <t>ケンナイ</t>
    </rPh>
    <rPh sb="2" eb="5">
      <t>セイサンガク</t>
    </rPh>
    <phoneticPr fontId="1"/>
  </si>
  <si>
    <t>（単位：百万円）</t>
    <rPh sb="1" eb="3">
      <t>タンイ</t>
    </rPh>
    <rPh sb="4" eb="5">
      <t>ヒャク</t>
    </rPh>
    <rPh sb="5" eb="7">
      <t>マンエン</t>
    </rPh>
    <phoneticPr fontId="1"/>
  </si>
  <si>
    <t>（％）</t>
    <phoneticPr fontId="1"/>
  </si>
  <si>
    <t>スポーツ産業</t>
    <rPh sb="4" eb="6">
      <t>サンギョウ</t>
    </rPh>
    <phoneticPr fontId="1"/>
  </si>
  <si>
    <t>備考</t>
    <rPh sb="0" eb="2">
      <t>ビコウ</t>
    </rPh>
    <phoneticPr fontId="1"/>
  </si>
  <si>
    <t>統合中分類（106部門）</t>
  </si>
  <si>
    <t>耕種農業</t>
  </si>
  <si>
    <t>畜産</t>
  </si>
  <si>
    <t>農業サービス</t>
  </si>
  <si>
    <t>石炭・原油・天然ガス</t>
  </si>
  <si>
    <t>その他の鉱業</t>
  </si>
  <si>
    <t>飲料</t>
  </si>
  <si>
    <t>飼料・有機質肥料（別掲を除く。）</t>
  </si>
  <si>
    <t>繊維工業製品</t>
  </si>
  <si>
    <t>衣服・その他の繊維既製品</t>
  </si>
  <si>
    <t>木材・木製品</t>
  </si>
  <si>
    <t>家具・装備品</t>
  </si>
  <si>
    <t>パルプ・紙・板紙・加工紙</t>
  </si>
  <si>
    <t>紙加工品</t>
  </si>
  <si>
    <t>無機化学工業製品</t>
  </si>
  <si>
    <t>石油化学系基礎製品</t>
  </si>
  <si>
    <t>有機化学工業製品（石油化学系基礎製品・合成樹脂を除く。）</t>
  </si>
  <si>
    <t>合成樹脂</t>
  </si>
  <si>
    <t>化学繊維</t>
  </si>
  <si>
    <t>化学最終製品（医薬品を除く。）</t>
  </si>
  <si>
    <t>ゴム製品</t>
  </si>
  <si>
    <t>なめし革・革製品・毛皮</t>
  </si>
  <si>
    <t>ガラス・ガラス製品</t>
  </si>
  <si>
    <t>セメント・セメント製品</t>
  </si>
  <si>
    <t>銑鉄・粗鋼</t>
  </si>
  <si>
    <t>鋼材</t>
  </si>
  <si>
    <t>鋳鍛造品（鉄）</t>
  </si>
  <si>
    <t>非鉄金属製錬・精製</t>
  </si>
  <si>
    <t>非鉄金属加工製品</t>
  </si>
  <si>
    <t>建設用・建築用金属製品</t>
  </si>
  <si>
    <t>はん用機械</t>
  </si>
  <si>
    <t>生産用機械</t>
  </si>
  <si>
    <t>業務用機械</t>
  </si>
  <si>
    <t>電子デバイス</t>
  </si>
  <si>
    <t>産業用電気機器</t>
  </si>
  <si>
    <t>民生用電気機器</t>
  </si>
  <si>
    <t>電子応用装置・電気計測器</t>
  </si>
  <si>
    <t>その他の電気機械</t>
  </si>
  <si>
    <t>通信・映像・音響機器</t>
  </si>
  <si>
    <t>電子計算機・同附属装置</t>
  </si>
  <si>
    <t>その他の自動車</t>
  </si>
  <si>
    <t>自動車部品・同附属品</t>
  </si>
  <si>
    <t>船舶・同修理</t>
  </si>
  <si>
    <t>その他の輸送機械・同修理</t>
  </si>
  <si>
    <t>建築</t>
  </si>
  <si>
    <t>公共事業</t>
  </si>
  <si>
    <t>電力</t>
  </si>
  <si>
    <t>ガス・熱供給</t>
  </si>
  <si>
    <t>水道</t>
  </si>
  <si>
    <t>廃棄物処理</t>
  </si>
  <si>
    <t>商業</t>
  </si>
  <si>
    <t>不動産仲介及び賃貸</t>
  </si>
  <si>
    <t>住宅賃貸料（帰属家賃）</t>
  </si>
  <si>
    <t>鉄道輸送</t>
  </si>
  <si>
    <t>道路輸送（自家輸送を除く。）</t>
  </si>
  <si>
    <t>水運</t>
  </si>
  <si>
    <t>航空輸送</t>
  </si>
  <si>
    <t>貨物利用運送</t>
  </si>
  <si>
    <t>運輸附帯サービス</t>
  </si>
  <si>
    <t>郵便・信書便</t>
  </si>
  <si>
    <t>通信</t>
  </si>
  <si>
    <t>放送</t>
  </si>
  <si>
    <t>インターネット附随サービス</t>
  </si>
  <si>
    <t>映像・音声・文字情報制作</t>
  </si>
  <si>
    <t>公務</t>
  </si>
  <si>
    <t>教育</t>
  </si>
  <si>
    <t>研究</t>
  </si>
  <si>
    <t>医療</t>
  </si>
  <si>
    <t>社会保険・社会福祉</t>
  </si>
  <si>
    <t>介護</t>
  </si>
  <si>
    <t>他に分類されない会員制団体</t>
  </si>
  <si>
    <t>物品賃貸サービス</t>
  </si>
  <si>
    <t>自動車整備・機械修理</t>
  </si>
  <si>
    <t>飲食サービス</t>
  </si>
  <si>
    <t>娯楽サービス</t>
  </si>
  <si>
    <t>県内生産額</t>
  </si>
  <si>
    <t>062</t>
  </si>
  <si>
    <t>151</t>
  </si>
  <si>
    <t>152</t>
  </si>
  <si>
    <t>161</t>
  </si>
  <si>
    <t>162</t>
  </si>
  <si>
    <t>163</t>
  </si>
  <si>
    <t>164</t>
  </si>
  <si>
    <t>191</t>
  </si>
  <si>
    <t>205</t>
  </si>
  <si>
    <t>206</t>
  </si>
  <si>
    <t>212</t>
  </si>
  <si>
    <t>221</t>
  </si>
  <si>
    <t>222</t>
  </si>
  <si>
    <t>231</t>
  </si>
  <si>
    <t>251</t>
  </si>
  <si>
    <t>252</t>
  </si>
  <si>
    <t>253</t>
  </si>
  <si>
    <t>259</t>
  </si>
  <si>
    <t>261</t>
  </si>
  <si>
    <t>262</t>
  </si>
  <si>
    <t>263</t>
  </si>
  <si>
    <t>269</t>
  </si>
  <si>
    <t>271</t>
  </si>
  <si>
    <t>272</t>
  </si>
  <si>
    <t>281</t>
  </si>
  <si>
    <t>289</t>
  </si>
  <si>
    <t>291</t>
  </si>
  <si>
    <t>311</t>
  </si>
  <si>
    <t>321</t>
  </si>
  <si>
    <t>329</t>
  </si>
  <si>
    <t>331</t>
  </si>
  <si>
    <t>332</t>
  </si>
  <si>
    <t>333</t>
  </si>
  <si>
    <t>339</t>
  </si>
  <si>
    <t>341</t>
  </si>
  <si>
    <t>342</t>
  </si>
  <si>
    <t>351</t>
  </si>
  <si>
    <t>352</t>
  </si>
  <si>
    <t>353</t>
  </si>
  <si>
    <t>354</t>
  </si>
  <si>
    <t>359</t>
  </si>
  <si>
    <t>391</t>
  </si>
  <si>
    <t>392</t>
  </si>
  <si>
    <t>411</t>
  </si>
  <si>
    <t>412</t>
  </si>
  <si>
    <t>413</t>
  </si>
  <si>
    <t>419</t>
  </si>
  <si>
    <t>461</t>
  </si>
  <si>
    <t>462</t>
  </si>
  <si>
    <t>471</t>
  </si>
  <si>
    <t>481</t>
  </si>
  <si>
    <t>511</t>
  </si>
  <si>
    <t>531</t>
  </si>
  <si>
    <t>551</t>
  </si>
  <si>
    <t>552</t>
  </si>
  <si>
    <t>553</t>
  </si>
  <si>
    <t>571</t>
  </si>
  <si>
    <t>572</t>
  </si>
  <si>
    <t>574</t>
  </si>
  <si>
    <t>575</t>
  </si>
  <si>
    <t>576</t>
  </si>
  <si>
    <t>577</t>
  </si>
  <si>
    <t>578</t>
  </si>
  <si>
    <t>579</t>
  </si>
  <si>
    <t>591</t>
  </si>
  <si>
    <t>592</t>
  </si>
  <si>
    <t>593</t>
  </si>
  <si>
    <t>594</t>
  </si>
  <si>
    <t>595</t>
  </si>
  <si>
    <t>611</t>
  </si>
  <si>
    <t>631</t>
  </si>
  <si>
    <t>632</t>
  </si>
  <si>
    <t>641</t>
  </si>
  <si>
    <t>642</t>
  </si>
  <si>
    <t>643</t>
  </si>
  <si>
    <t>644</t>
  </si>
  <si>
    <t>659</t>
  </si>
  <si>
    <t>661</t>
  </si>
  <si>
    <t>662</t>
  </si>
  <si>
    <t>663</t>
  </si>
  <si>
    <t>669</t>
  </si>
  <si>
    <t>671</t>
  </si>
  <si>
    <t>672</t>
  </si>
  <si>
    <t>673</t>
  </si>
  <si>
    <t>674</t>
  </si>
  <si>
    <t>679</t>
  </si>
  <si>
    <t>681</t>
  </si>
  <si>
    <t>691</t>
  </si>
  <si>
    <t>700</t>
  </si>
  <si>
    <t>内生部門計</t>
  </si>
  <si>
    <t>商業マージン</t>
  </si>
  <si>
    <t>※ 総務省「平成27年産業連関表」</t>
    <phoneticPr fontId="5"/>
  </si>
  <si>
    <t>※商業と運輸関係の部門のマージン額は、他部門からのマージン額が加算された金額</t>
    <rPh sb="1" eb="3">
      <t>ショウギョウ</t>
    </rPh>
    <rPh sb="4" eb="6">
      <t>ウンユ</t>
    </rPh>
    <rPh sb="6" eb="8">
      <t>カンケイ</t>
    </rPh>
    <rPh sb="9" eb="11">
      <t>ブモン</t>
    </rPh>
    <rPh sb="16" eb="17">
      <t>ガク</t>
    </rPh>
    <rPh sb="19" eb="22">
      <t>タブモン</t>
    </rPh>
    <rPh sb="29" eb="30">
      <t>ガク</t>
    </rPh>
    <rPh sb="31" eb="33">
      <t>カサン</t>
    </rPh>
    <rPh sb="36" eb="38">
      <t>キンガク</t>
    </rPh>
    <phoneticPr fontId="5"/>
  </si>
  <si>
    <t>部門名</t>
  </si>
  <si>
    <t>購入者価格（百万円）</t>
  </si>
  <si>
    <t>運輸マージン</t>
  </si>
  <si>
    <t>商業マージン率</t>
  </si>
  <si>
    <t>運輸マージン率</t>
  </si>
  <si>
    <t>Ａ</t>
  </si>
  <si>
    <t>Ｂ</t>
  </si>
  <si>
    <t>Ｃ</t>
  </si>
  <si>
    <t>Ｄ＝Ｂ／Ａ</t>
    <phoneticPr fontId="5"/>
  </si>
  <si>
    <t>Ｅ＝Ｃ／Ａ</t>
    <phoneticPr fontId="5"/>
  </si>
  <si>
    <t>106部門マージン率表</t>
    <phoneticPr fontId="5"/>
  </si>
  <si>
    <t>商業マージン率</t>
    <rPh sb="0" eb="2">
      <t>ショウギョウ</t>
    </rPh>
    <rPh sb="6" eb="7">
      <t>リツ</t>
    </rPh>
    <phoneticPr fontId="1"/>
  </si>
  <si>
    <t>運輸マージン率</t>
    <rPh sb="0" eb="2">
      <t>ウンユ</t>
    </rPh>
    <rPh sb="6" eb="7">
      <t>リツ</t>
    </rPh>
    <phoneticPr fontId="1"/>
  </si>
  <si>
    <t>生産額</t>
    <rPh sb="0" eb="3">
      <t>セイサンガク</t>
    </rPh>
    <phoneticPr fontId="1"/>
  </si>
  <si>
    <t>付加価値率</t>
    <rPh sb="0" eb="5">
      <t>フカカチリツ</t>
    </rPh>
    <phoneticPr fontId="1"/>
  </si>
  <si>
    <t>スポーツGDP</t>
    <phoneticPr fontId="1"/>
  </si>
  <si>
    <t>(単位：百万円）</t>
    <rPh sb="1" eb="3">
      <t>タンイ</t>
    </rPh>
    <rPh sb="4" eb="7">
      <t>ヒャクマンエン</t>
    </rPh>
    <phoneticPr fontId="1"/>
  </si>
  <si>
    <t>2015試算値</t>
    <rPh sb="4" eb="7">
      <t>シサンチ</t>
    </rPh>
    <phoneticPr fontId="1"/>
  </si>
  <si>
    <t>シェア（％）</t>
    <phoneticPr fontId="1"/>
  </si>
  <si>
    <t>商業マージン</t>
    <rPh sb="0" eb="2">
      <t>ショウギョウ</t>
    </rPh>
    <phoneticPr fontId="1"/>
  </si>
  <si>
    <t>運輸マージン</t>
    <rPh sb="0" eb="2">
      <t>ウンユ</t>
    </rPh>
    <phoneticPr fontId="1"/>
  </si>
  <si>
    <t>2015年兵庫県内スポーツGDP試算値</t>
    <rPh sb="4" eb="5">
      <t>ネン</t>
    </rPh>
    <rPh sb="8" eb="9">
      <t>ナイ</t>
    </rPh>
    <rPh sb="16" eb="19">
      <t>シサンチ</t>
    </rPh>
    <phoneticPr fontId="1"/>
  </si>
  <si>
    <t>平成27年兵庫県産業連関表</t>
    <phoneticPr fontId="5"/>
  </si>
  <si>
    <t>投入係数表</t>
    <rPh sb="0" eb="2">
      <t>トウニュウ</t>
    </rPh>
    <rPh sb="2" eb="4">
      <t>ケイスウ</t>
    </rPh>
    <rPh sb="4" eb="5">
      <t>ヒョウ</t>
    </rPh>
    <phoneticPr fontId="5"/>
  </si>
  <si>
    <t>　</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</si>
  <si>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</si>
  <si>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</si>
  <si>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</si>
  <si>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</si>
  <si>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</si>
  <si>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</si>
  <si>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</si>
  <si>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</si>
  <si>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</si>
  <si>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</si>
  <si>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</si>
  <si>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</si>
  <si>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</si>
  <si>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</si>
  <si>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</si>
  <si>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</si>
  <si>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</si>
  <si>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</si>
  <si>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</si>
  <si>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</si>
  <si>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</si>
  <si>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</si>
  <si>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</si>
  <si>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</si>
  <si>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</si>
  <si>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</si>
  <si>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</si>
  <si>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</si>
  <si>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</si>
  <si>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</si>
  <si>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</si>
  <si>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</si>
  <si>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</si>
  <si>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</si>
  <si>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</si>
  <si>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</si>
  <si>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</si>
  <si>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</si>
  <si>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</si>
  <si>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</si>
  <si>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</si>
  <si>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</si>
  <si>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</si>
  <si>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</si>
  <si>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</si>
  <si>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</si>
  <si>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</si>
  <si>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</si>
  <si>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</si>
  <si>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</si>
  <si>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</si>
  <si>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</si>
  <si>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</si>
  <si>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</si>
  <si>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</si>
  <si>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</si>
  <si>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</si>
  <si>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</si>
  <si>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</si>
  <si>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</si>
  <si>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</si>
  <si>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</si>
  <si>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</si>
  <si>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</si>
  <si>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</si>
  <si>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</si>
  <si>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</si>
  <si>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</si>
  <si>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</si>
  <si>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</si>
  <si>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</si>
  <si>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</si>
  <si>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</si>
  <si>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</si>
  <si>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</si>
  <si>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</si>
  <si>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</si>
  <si>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</si>
  <si>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</si>
  <si>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</si>
  <si>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</si>
  <si>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</si>
  <si>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</si>
  <si>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</si>
  <si>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</si>
  <si>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</si>
  <si>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</si>
  <si>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</si>
  <si>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</si>
  <si>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</si>
  <si>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</si>
  <si>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</si>
  <si>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</si>
  <si>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</si>
  <si>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</si>
  <si>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</si>
  <si>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</si>
  <si>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</si>
  <si>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</si>
  <si>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</si>
  <si>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</si>
  <si>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</si>
  <si>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</si>
  <si>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</si>
  <si>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</si>
  <si>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</si>
  <si>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</si>
  <si>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</si>
  <si>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</si>
  <si>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</si>
  <si>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</si>
  <si>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</si>
  <si>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</si>
  <si>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</si>
  <si>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</si>
  <si>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</si>
  <si>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153</t>
  </si>
  <si>
    <t>154</t>
  </si>
  <si>
    <t>155</t>
  </si>
  <si>
    <t>156</t>
  </si>
  <si>
    <t>157</t>
  </si>
  <si>
    <t>158</t>
  </si>
  <si>
    <t>159</t>
  </si>
  <si>
    <t>160</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</si>
  <si>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</si>
  <si>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</si>
  <si>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</si>
  <si>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</si>
  <si>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</si>
  <si>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</si>
  <si>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</si>
  <si>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</si>
  <si>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</si>
  <si>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</si>
  <si>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</si>
  <si>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</si>
  <si>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</si>
  <si>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</si>
  <si>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</si>
  <si>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</si>
  <si>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</si>
  <si>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</si>
  <si>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</si>
  <si>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</si>
  <si>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</si>
  <si>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</si>
  <si>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</si>
  <si>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</si>
  <si>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</si>
  <si>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</si>
  <si>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</si>
  <si>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</si>
  <si>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</si>
  <si>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</si>
  <si>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</si>
  <si>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</si>
  <si>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0114</t>
  </si>
  <si>
    <t>0151</t>
  </si>
  <si>
    <t>0153</t>
  </si>
  <si>
    <t>0172</t>
  </si>
  <si>
    <t>0621</t>
  </si>
  <si>
    <t>1115</t>
  </si>
  <si>
    <t>1621</t>
  </si>
  <si>
    <t>1631</t>
  </si>
  <si>
    <t>1632</t>
  </si>
  <si>
    <t>1633</t>
  </si>
  <si>
    <t>1641</t>
  </si>
  <si>
    <t>1649</t>
  </si>
  <si>
    <t>2042</t>
  </si>
  <si>
    <t>2049</t>
  </si>
  <si>
    <t>2061</t>
  </si>
  <si>
    <t>2071</t>
  </si>
  <si>
    <t>2082</t>
  </si>
  <si>
    <t>2083</t>
  </si>
  <si>
    <t>2084</t>
  </si>
  <si>
    <t>2089</t>
  </si>
  <si>
    <t>2221</t>
  </si>
  <si>
    <t>2229</t>
  </si>
  <si>
    <t>2311</t>
  </si>
  <si>
    <t>2312</t>
  </si>
  <si>
    <t>2591</t>
  </si>
  <si>
    <t>2699</t>
  </si>
  <si>
    <t>2729</t>
  </si>
  <si>
    <t>2911</t>
  </si>
  <si>
    <t>2912</t>
  </si>
  <si>
    <t>2913</t>
  </si>
  <si>
    <t>2914</t>
  </si>
  <si>
    <t>2919</t>
  </si>
  <si>
    <t>3011</t>
  </si>
  <si>
    <t>3012</t>
  </si>
  <si>
    <t>3013</t>
  </si>
  <si>
    <t>3014</t>
  </si>
  <si>
    <t>3015</t>
  </si>
  <si>
    <t>3016</t>
  </si>
  <si>
    <t>3017</t>
  </si>
  <si>
    <t>3019</t>
  </si>
  <si>
    <t>3113</t>
  </si>
  <si>
    <t>3114</t>
  </si>
  <si>
    <t>3115</t>
  </si>
  <si>
    <t>3116</t>
  </si>
  <si>
    <t>3299</t>
  </si>
  <si>
    <t>3321</t>
  </si>
  <si>
    <t>3331</t>
  </si>
  <si>
    <t>3332</t>
  </si>
  <si>
    <t>3399</t>
  </si>
  <si>
    <t>3421</t>
  </si>
  <si>
    <t>3511</t>
  </si>
  <si>
    <t>3521</t>
  </si>
  <si>
    <t>3522</t>
  </si>
  <si>
    <t>3531</t>
  </si>
  <si>
    <t>3541</t>
  </si>
  <si>
    <t>3591</t>
  </si>
  <si>
    <t>3592</t>
  </si>
  <si>
    <t>3599</t>
  </si>
  <si>
    <t>3921</t>
  </si>
  <si>
    <t>4611</t>
  </si>
  <si>
    <t>4621</t>
  </si>
  <si>
    <t>4622</t>
  </si>
  <si>
    <t>4711</t>
  </si>
  <si>
    <t>4811</t>
  </si>
  <si>
    <t>5311</t>
  </si>
  <si>
    <t>5312</t>
  </si>
  <si>
    <t>5511</t>
  </si>
  <si>
    <t>5711</t>
  </si>
  <si>
    <t>5712</t>
  </si>
  <si>
    <t>5721</t>
  </si>
  <si>
    <t>5722</t>
  </si>
  <si>
    <t>5741</t>
  </si>
  <si>
    <t>5742</t>
  </si>
  <si>
    <t>5743</t>
  </si>
  <si>
    <t>5761</t>
  </si>
  <si>
    <t>5771</t>
  </si>
  <si>
    <t>5781</t>
  </si>
  <si>
    <t>5791</t>
  </si>
  <si>
    <t>5911</t>
  </si>
  <si>
    <t>5921</t>
  </si>
  <si>
    <t>5931</t>
  </si>
  <si>
    <t>5941</t>
  </si>
  <si>
    <t>5951</t>
  </si>
  <si>
    <t>6322</t>
  </si>
  <si>
    <t>6599</t>
  </si>
  <si>
    <t>6811</t>
  </si>
  <si>
    <t>6911</t>
  </si>
  <si>
    <t>7000</t>
  </si>
  <si>
    <t>7111</t>
  </si>
  <si>
    <t>9700</t>
  </si>
  <si>
    <t>基本分類（185部門）</t>
    <phoneticPr fontId="5"/>
  </si>
  <si>
    <t>穀類</t>
  </si>
  <si>
    <t>いも・豆類</t>
  </si>
  <si>
    <t>その他の食用作物</t>
  </si>
  <si>
    <t>非食用作物</t>
  </si>
  <si>
    <t>特用林産物</t>
  </si>
  <si>
    <t>海面漁業</t>
  </si>
  <si>
    <t>内水面漁業</t>
  </si>
  <si>
    <t>砂利・砕石</t>
  </si>
  <si>
    <t>その他の鉱物</t>
  </si>
  <si>
    <t>畜産食料品</t>
  </si>
  <si>
    <t>水産食料品</t>
  </si>
  <si>
    <t>精穀・製粉</t>
  </si>
  <si>
    <t>めん・パン・菓子類</t>
  </si>
  <si>
    <t>農産保存食料品</t>
  </si>
  <si>
    <t>砂糖・油脂・調味料類</t>
  </si>
  <si>
    <t>酒類</t>
  </si>
  <si>
    <t>その他の飲料</t>
  </si>
  <si>
    <t>織物</t>
  </si>
  <si>
    <t>その他の繊維工業製品</t>
  </si>
  <si>
    <t>織物製・ニット製衣服</t>
  </si>
  <si>
    <t>木材</t>
  </si>
  <si>
    <t>紙・板紙</t>
  </si>
  <si>
    <t>加工紙</t>
  </si>
  <si>
    <t>紙製容器</t>
  </si>
  <si>
    <t>その他の紙加工品</t>
  </si>
  <si>
    <t>脂肪族中間物・環式中間物・合成染料・有機顔料</t>
  </si>
  <si>
    <t>油脂加工製品・界面活性剤</t>
  </si>
  <si>
    <t>塗料・印刷インキ</t>
  </si>
  <si>
    <t>その他のゴム製品</t>
  </si>
  <si>
    <t>なめし革・革製品・毛皮（革製履物を除く。）</t>
  </si>
  <si>
    <t>建設用土石製品</t>
  </si>
  <si>
    <t>冷延・めっき鋼材</t>
  </si>
  <si>
    <t>ガス・石油機器・暖房・調理装置</t>
  </si>
  <si>
    <t>ボイラ・原動機</t>
  </si>
  <si>
    <t>ポンプ・圧縮機</t>
  </si>
  <si>
    <t>その他のはん用機械</t>
  </si>
  <si>
    <t>農業用機械</t>
  </si>
  <si>
    <t>建設・鉱山機械</t>
  </si>
  <si>
    <t>生活関連産業用機械</t>
  </si>
  <si>
    <t>基礎素材産業用機械</t>
  </si>
  <si>
    <t>その他の生産用機械</t>
  </si>
  <si>
    <t>事務用機械</t>
  </si>
  <si>
    <t>サービス用・娯楽用機器</t>
  </si>
  <si>
    <t>計測機器</t>
  </si>
  <si>
    <t>光学機械・レンズ</t>
  </si>
  <si>
    <t>通信機器</t>
  </si>
  <si>
    <t>映像・音響機器</t>
  </si>
  <si>
    <t>鉄道車両・同修理</t>
  </si>
  <si>
    <t>航空機・同修理</t>
  </si>
  <si>
    <t>がん具・運動用品</t>
  </si>
  <si>
    <t>住宅建築</t>
  </si>
  <si>
    <t>非住宅建築</t>
  </si>
  <si>
    <t>保険</t>
  </si>
  <si>
    <t>道路旅客輸送</t>
  </si>
  <si>
    <t>道路貨物輸送（自家輸送を除く。）</t>
  </si>
  <si>
    <t>その他の運輸附帯サービス</t>
  </si>
  <si>
    <t>公務（中央）</t>
  </si>
  <si>
    <t>公務（地方）</t>
  </si>
  <si>
    <t>学校教育</t>
  </si>
  <si>
    <t>社会教育・その他の教育</t>
  </si>
  <si>
    <t>学術研究機関</t>
  </si>
  <si>
    <t>物品賃貸業（貸自動車業を除く。）</t>
  </si>
  <si>
    <t>自動車整備</t>
  </si>
  <si>
    <t>家計外消費支出（行）</t>
  </si>
  <si>
    <t>9111</t>
  </si>
  <si>
    <t>賃金・俸給</t>
  </si>
  <si>
    <t>9112</t>
  </si>
  <si>
    <t>社会保険料（雇用主負担）</t>
  </si>
  <si>
    <t>9113</t>
  </si>
  <si>
    <t>その他の給与及び手当</t>
  </si>
  <si>
    <t>9211</t>
  </si>
  <si>
    <t>営業余剰</t>
  </si>
  <si>
    <t>9311</t>
  </si>
  <si>
    <t>資本減耗引当</t>
  </si>
  <si>
    <t>9321</t>
  </si>
  <si>
    <t>資本減耗引当（社会資本等減耗分）</t>
  </si>
  <si>
    <t>9411</t>
  </si>
  <si>
    <t>間接税（関税・輸入品商品税を除く。）</t>
  </si>
  <si>
    <t>9511</t>
  </si>
  <si>
    <t>（控除）経常補助金</t>
  </si>
  <si>
    <t>9600</t>
  </si>
  <si>
    <t>粗付加価値部門計</t>
  </si>
  <si>
    <t>(出所）兵庫県統計課「平成27年兵庫県産業連関表」</t>
    <rPh sb="1" eb="3">
      <t>シュッショ</t>
    </rPh>
    <rPh sb="4" eb="6">
      <t>ヒョウゴ</t>
    </rPh>
    <rPh sb="6" eb="7">
      <t>ケン</t>
    </rPh>
    <rPh sb="7" eb="9">
      <t>トウケイ</t>
    </rPh>
    <rPh sb="9" eb="10">
      <t>カ</t>
    </rPh>
    <rPh sb="11" eb="13">
      <t>ヘイセイ</t>
    </rPh>
    <rPh sb="15" eb="16">
      <t>ネン</t>
    </rPh>
    <rPh sb="16" eb="19">
      <t>ヒョウゴケン</t>
    </rPh>
    <rPh sb="19" eb="21">
      <t>サンギョウ</t>
    </rPh>
    <rPh sb="21" eb="23">
      <t>レンカン</t>
    </rPh>
    <rPh sb="23" eb="24">
      <t>ヒョウ</t>
    </rPh>
    <phoneticPr fontId="20"/>
  </si>
  <si>
    <t xml:space="preserve"> </t>
    <phoneticPr fontId="1"/>
  </si>
  <si>
    <t>最終需要額</t>
    <rPh sb="0" eb="2">
      <t>サイシュウ</t>
    </rPh>
    <rPh sb="2" eb="5">
      <t>ジュヨウガク</t>
    </rPh>
    <phoneticPr fontId="1"/>
  </si>
  <si>
    <t>2022年経済構造実態調査（産業横断調査）　四次集計（事業所に関する集計）</t>
  </si>
  <si>
    <t>第１表　産業（大分類）別事業所数及び売上（収入）金額（個人経営を含む）―全国、都道府県</t>
  </si>
  <si>
    <t>1) 「売上（収入）金額」について、会社以外の法人は経常収益を調査している。</t>
  </si>
  <si>
    <t>2) 事業所単位で売上（収入）金額の把握を行っていない産業大分類については、売上（収入）金額を「...」で表章している。（「D 建設業」、「F 電気・ガス・熱供給・水道業」、「H 運輸業，郵便業」、「J 金融業，保険業」）</t>
  </si>
  <si>
    <t>3) 事業所単位で売上（収入）金額の把握を行っていない産業中分類については、産業大分類の売上（収入）金額に含まれない。（「G 情報通信業」のうち「37 通信業」、「38 放送業」、「41 映像・音声・文字情報制作業」。「O 教育，学習支援業」のうち「81 学校教育」。「Q 複合サービス事業」のうち「86 郵便局」。「R サービス業（他に分類されないもの）」のうち「93 政治・経済・文化団体」、「94 宗教」）</t>
  </si>
  <si>
    <t>産業分類（大分類）</t>
  </si>
  <si>
    <t>00_A～R 全産業</t>
  </si>
  <si>
    <t>01_A 農業，林業</t>
  </si>
  <si>
    <t>02_B 漁業</t>
  </si>
  <si>
    <t>03_C 鉱業，採石業，砂利採取業</t>
  </si>
  <si>
    <t>04_D 建設業</t>
  </si>
  <si>
    <t>05_E 製造業</t>
  </si>
  <si>
    <t>06_F 電気・ガス・熱供給・水道業</t>
  </si>
  <si>
    <t>07_G 情報通信業</t>
  </si>
  <si>
    <t>08_H 運輸業，郵便業</t>
  </si>
  <si>
    <t>09_I 卸売業，小売業</t>
  </si>
  <si>
    <t>10_J 金融業，保険業</t>
  </si>
  <si>
    <t>11_K 不動産業，物品賃貸業</t>
  </si>
  <si>
    <t>12_L 学術研究，専門・技術サービス業</t>
  </si>
  <si>
    <t>13_M 宿泊業，飲食サービス業</t>
  </si>
  <si>
    <t>14_N 生活関連サービス業，娯楽業</t>
  </si>
  <si>
    <t>15_O 教育，学習支援業</t>
  </si>
  <si>
    <t>16_P 医療，福祉</t>
  </si>
  <si>
    <t>17_Q 複合サービス事業</t>
  </si>
  <si>
    <t>18_R サービス業（他に分類されないもの）</t>
  </si>
  <si>
    <t>...</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</si>
  <si>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</si>
  <si>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</si>
  <si>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</si>
  <si>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</si>
  <si>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</si>
  <si>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</si>
  <si>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</si>
  <si>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</si>
  <si>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</si>
  <si>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</si>
  <si>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</si>
  <si>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</si>
  <si>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</si>
  <si>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</si>
  <si>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</si>
  <si>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</si>
  <si>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</si>
  <si>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</si>
  <si>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</si>
  <si>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</si>
  <si>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</si>
  <si>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</si>
  <si>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</si>
  <si>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</si>
  <si>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</si>
  <si>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</si>
  <si>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</si>
  <si>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</si>
  <si>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</si>
  <si>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</si>
  <si>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</si>
  <si>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</si>
  <si>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</si>
  <si>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</si>
  <si>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</si>
  <si>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</si>
  <si>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</si>
  <si>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</si>
  <si>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</si>
  <si>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</si>
  <si>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</si>
  <si>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</si>
  <si>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</si>
  <si>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</si>
  <si>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</si>
  <si>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</si>
  <si>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</si>
  <si>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兵庫県比率</t>
    <rPh sb="0" eb="3">
      <t>ヒョウゴケン</t>
    </rPh>
    <rPh sb="3" eb="5">
      <t>ヒリツ</t>
    </rPh>
    <phoneticPr fontId="1"/>
  </si>
  <si>
    <t xml:space="preserve"> </t>
    <phoneticPr fontId="1"/>
  </si>
  <si>
    <t>経済活動別県内産出額時系列表</t>
    <rPh sb="0" eb="2">
      <t>ケイザイ</t>
    </rPh>
    <rPh sb="2" eb="4">
      <t>カツドウ</t>
    </rPh>
    <rPh sb="4" eb="5">
      <t>ベツ</t>
    </rPh>
    <rPh sb="5" eb="7">
      <t>ケンナイ</t>
    </rPh>
    <rPh sb="7" eb="9">
      <t>サンシュツ</t>
    </rPh>
    <rPh sb="9" eb="10">
      <t>ガク</t>
    </rPh>
    <rPh sb="10" eb="13">
      <t>ジケイレツ</t>
    </rPh>
    <rPh sb="13" eb="14">
      <t>ヒョウ</t>
    </rPh>
    <phoneticPr fontId="5"/>
  </si>
  <si>
    <t>（支出系列：移出入推計に使用）</t>
    <rPh sb="1" eb="3">
      <t>シシュツ</t>
    </rPh>
    <rPh sb="3" eb="5">
      <t>ケイレツ</t>
    </rPh>
    <rPh sb="6" eb="8">
      <t>イシュツ</t>
    </rPh>
    <rPh sb="8" eb="9">
      <t>ニュウ</t>
    </rPh>
    <rPh sb="9" eb="11">
      <t>スイケイ</t>
    </rPh>
    <rPh sb="12" eb="14">
      <t>シヨウ</t>
    </rPh>
    <phoneticPr fontId="5"/>
  </si>
  <si>
    <t>（単位：百万円）</t>
    <rPh sb="1" eb="3">
      <t>タンイ</t>
    </rPh>
    <rPh sb="4" eb="5">
      <t>ヒャク</t>
    </rPh>
    <rPh sb="5" eb="7">
      <t>マンエン</t>
    </rPh>
    <phoneticPr fontId="5"/>
  </si>
  <si>
    <t>平成18年度</t>
  </si>
  <si>
    <t>平成19年度</t>
  </si>
  <si>
    <t>平成20年度</t>
  </si>
  <si>
    <t>平成21年度</t>
  </si>
  <si>
    <t>平成22年度</t>
  </si>
  <si>
    <t>平成23年度</t>
  </si>
  <si>
    <t>平成24年度</t>
  </si>
  <si>
    <t>平成25年度</t>
  </si>
  <si>
    <t>平成26年度</t>
  </si>
  <si>
    <t>平成27年度</t>
  </si>
  <si>
    <t>平成28年度</t>
  </si>
  <si>
    <t>平成29年度</t>
  </si>
  <si>
    <t>平成30年度</t>
  </si>
  <si>
    <t>令和元年度</t>
    <rPh sb="0" eb="2">
      <t>レイワ</t>
    </rPh>
    <phoneticPr fontId="22"/>
  </si>
  <si>
    <t>令和２年度</t>
    <rPh sb="0" eb="2">
      <t>レイワ</t>
    </rPh>
    <rPh sb="3" eb="5">
      <t>ネンド</t>
    </rPh>
    <phoneticPr fontId="22"/>
  </si>
  <si>
    <t>令和３年度</t>
    <rPh sb="0" eb="2">
      <t>レイワ</t>
    </rPh>
    <rPh sb="3" eb="5">
      <t>ネンド</t>
    </rPh>
    <phoneticPr fontId="22"/>
  </si>
  <si>
    <t>水産業</t>
    <rPh sb="0" eb="3">
      <t>スイサンギョウ</t>
    </rPh>
    <phoneticPr fontId="5"/>
  </si>
  <si>
    <t>製造業</t>
    <rPh sb="0" eb="3">
      <t>セイゾウギョウ</t>
    </rPh>
    <phoneticPr fontId="5"/>
  </si>
  <si>
    <t>① 食料品</t>
    <phoneticPr fontId="5"/>
  </si>
  <si>
    <t>② 繊維製品</t>
    <rPh sb="4" eb="6">
      <t>セイヒン</t>
    </rPh>
    <phoneticPr fontId="5"/>
  </si>
  <si>
    <t>③ パルプ･紙・紙加工品</t>
    <rPh sb="8" eb="9">
      <t>カミ</t>
    </rPh>
    <rPh sb="9" eb="12">
      <t>カコウヒン</t>
    </rPh>
    <phoneticPr fontId="5"/>
  </si>
  <si>
    <t>④ 化学</t>
    <phoneticPr fontId="5"/>
  </si>
  <si>
    <t>⑤ 石油･石炭製品</t>
    <phoneticPr fontId="5"/>
  </si>
  <si>
    <t>⑥ 窯業･土石製品</t>
    <phoneticPr fontId="5"/>
  </si>
  <si>
    <t>⑦ 一次金属</t>
    <rPh sb="2" eb="4">
      <t>イチジ</t>
    </rPh>
    <rPh sb="4" eb="6">
      <t>キンゾク</t>
    </rPh>
    <phoneticPr fontId="5"/>
  </si>
  <si>
    <t>⑧ 金属製品</t>
    <phoneticPr fontId="5"/>
  </si>
  <si>
    <t>⑨ はん用・生産用・業務用機械</t>
    <rPh sb="4" eb="5">
      <t>ヨウ</t>
    </rPh>
    <rPh sb="6" eb="9">
      <t>セイサンヨウ</t>
    </rPh>
    <rPh sb="10" eb="13">
      <t>ギョウムヨウ</t>
    </rPh>
    <phoneticPr fontId="5"/>
  </si>
  <si>
    <t>⑩ 電子部品・デバイス</t>
    <rPh sb="2" eb="4">
      <t>デンシ</t>
    </rPh>
    <rPh sb="4" eb="6">
      <t>ブヒン</t>
    </rPh>
    <phoneticPr fontId="5"/>
  </si>
  <si>
    <t>⑪ 電気機械</t>
    <phoneticPr fontId="5"/>
  </si>
  <si>
    <t>⑫ 情報・通信機器</t>
    <rPh sb="2" eb="4">
      <t>ジョウホウ</t>
    </rPh>
    <rPh sb="5" eb="7">
      <t>ツウシン</t>
    </rPh>
    <rPh sb="7" eb="9">
      <t>キキ</t>
    </rPh>
    <phoneticPr fontId="5"/>
  </si>
  <si>
    <t>⑬ 輸送用機械</t>
    <rPh sb="4" eb="5">
      <t>ヨウ</t>
    </rPh>
    <phoneticPr fontId="5"/>
  </si>
  <si>
    <t>⑭　印刷業</t>
    <rPh sb="2" eb="5">
      <t>インサツギョウ</t>
    </rPh>
    <phoneticPr fontId="5"/>
  </si>
  <si>
    <t>⑮ その他の製造業</t>
    <phoneticPr fontId="5"/>
  </si>
  <si>
    <t>電気・ガス・水道・廃棄物処理業</t>
    <rPh sb="9" eb="12">
      <t>ハイキブツ</t>
    </rPh>
    <rPh sb="12" eb="14">
      <t>ショリ</t>
    </rPh>
    <phoneticPr fontId="5"/>
  </si>
  <si>
    <t>①電気業</t>
    <phoneticPr fontId="5"/>
  </si>
  <si>
    <t>②ガス・水道・廃棄物処理業</t>
    <rPh sb="4" eb="6">
      <t>スイドウ</t>
    </rPh>
    <rPh sb="7" eb="10">
      <t>ハイキブツ</t>
    </rPh>
    <rPh sb="10" eb="12">
      <t>ショリ</t>
    </rPh>
    <phoneticPr fontId="5"/>
  </si>
  <si>
    <t>建設業</t>
    <rPh sb="0" eb="3">
      <t>ケンセツギョウ</t>
    </rPh>
    <phoneticPr fontId="5"/>
  </si>
  <si>
    <t>卸売・小売業</t>
    <rPh sb="0" eb="2">
      <t>オロシウ</t>
    </rPh>
    <rPh sb="3" eb="6">
      <t>コウリギョウ</t>
    </rPh>
    <phoneticPr fontId="5"/>
  </si>
  <si>
    <t>①卸売業</t>
    <phoneticPr fontId="5"/>
  </si>
  <si>
    <t>②小売業</t>
    <phoneticPr fontId="5"/>
  </si>
  <si>
    <t>運輸・郵便業</t>
    <rPh sb="3" eb="5">
      <t>ユウビン</t>
    </rPh>
    <phoneticPr fontId="5"/>
  </si>
  <si>
    <t>宿泊・飲食サービス業</t>
    <rPh sb="0" eb="2">
      <t>シュクハク</t>
    </rPh>
    <rPh sb="3" eb="5">
      <t>インショク</t>
    </rPh>
    <rPh sb="9" eb="10">
      <t>ギョウ</t>
    </rPh>
    <phoneticPr fontId="5"/>
  </si>
  <si>
    <t>情報通信業</t>
    <rPh sb="0" eb="2">
      <t>ジョウホウ</t>
    </rPh>
    <phoneticPr fontId="5"/>
  </si>
  <si>
    <t>①通信・放送業</t>
    <rPh sb="1" eb="3">
      <t>ツウシン</t>
    </rPh>
    <rPh sb="4" eb="7">
      <t>ホウソウギョウ</t>
    </rPh>
    <phoneticPr fontId="5"/>
  </si>
  <si>
    <t>②情報ｻｰﾋﾞｽ・映像音声文字情報制作業</t>
    <rPh sb="1" eb="3">
      <t>ジョウホウ</t>
    </rPh>
    <rPh sb="9" eb="11">
      <t>エイゾウ</t>
    </rPh>
    <rPh sb="11" eb="13">
      <t>オンセイ</t>
    </rPh>
    <rPh sb="13" eb="15">
      <t>モジ</t>
    </rPh>
    <rPh sb="15" eb="17">
      <t>ジョウホウ</t>
    </rPh>
    <rPh sb="18" eb="19">
      <t>ギョウ</t>
    </rPh>
    <phoneticPr fontId="5"/>
  </si>
  <si>
    <t>金融・保険業</t>
    <phoneticPr fontId="5"/>
  </si>
  <si>
    <t>不動産業</t>
    <phoneticPr fontId="5"/>
  </si>
  <si>
    <t>①住宅賃貸業</t>
    <rPh sb="1" eb="3">
      <t>ジュウタク</t>
    </rPh>
    <rPh sb="3" eb="6">
      <t>チンタイギョウ</t>
    </rPh>
    <phoneticPr fontId="5"/>
  </si>
  <si>
    <t>②その他の不動産業</t>
    <rPh sb="3" eb="4">
      <t>タ</t>
    </rPh>
    <rPh sb="5" eb="9">
      <t>フドウサンギョウ</t>
    </rPh>
    <phoneticPr fontId="5"/>
  </si>
  <si>
    <t>専門・科学技術、業務支援サービス業</t>
    <rPh sb="0" eb="2">
      <t>センモン</t>
    </rPh>
    <rPh sb="3" eb="5">
      <t>カガク</t>
    </rPh>
    <rPh sb="5" eb="7">
      <t>ギジュツ</t>
    </rPh>
    <rPh sb="8" eb="10">
      <t>ギョウム</t>
    </rPh>
    <rPh sb="10" eb="12">
      <t>シエン</t>
    </rPh>
    <rPh sb="16" eb="17">
      <t>ギョウ</t>
    </rPh>
    <phoneticPr fontId="5"/>
  </si>
  <si>
    <t>教育</t>
    <rPh sb="0" eb="2">
      <t>キョウイク</t>
    </rPh>
    <phoneticPr fontId="5"/>
  </si>
  <si>
    <t>保健衛生・社会事業</t>
    <rPh sb="0" eb="2">
      <t>ホケン</t>
    </rPh>
    <rPh sb="2" eb="4">
      <t>エイセイ</t>
    </rPh>
    <rPh sb="5" eb="7">
      <t>シャカイ</t>
    </rPh>
    <rPh sb="7" eb="9">
      <t>ジギョウ</t>
    </rPh>
    <phoneticPr fontId="5"/>
  </si>
  <si>
    <t>その他のサービス</t>
    <rPh sb="2" eb="3">
      <t>タ</t>
    </rPh>
    <phoneticPr fontId="5"/>
  </si>
  <si>
    <t>小計</t>
    <rPh sb="0" eb="2">
      <t>ショウケイ</t>
    </rPh>
    <phoneticPr fontId="5"/>
  </si>
  <si>
    <t>輸入品に課される税・関税</t>
    <rPh sb="0" eb="2">
      <t>ユニュウ</t>
    </rPh>
    <rPh sb="2" eb="3">
      <t>シナ</t>
    </rPh>
    <rPh sb="4" eb="5">
      <t>カ</t>
    </rPh>
    <rPh sb="8" eb="9">
      <t>ゼイ</t>
    </rPh>
    <rPh sb="10" eb="12">
      <t>カンゼイ</t>
    </rPh>
    <phoneticPr fontId="5"/>
  </si>
  <si>
    <t>　　 （控除）総資本形成に係る消費税</t>
    <rPh sb="4" eb="6">
      <t>コウジョ</t>
    </rPh>
    <rPh sb="7" eb="8">
      <t>ソウ</t>
    </rPh>
    <rPh sb="8" eb="10">
      <t>シホン</t>
    </rPh>
    <rPh sb="10" eb="12">
      <t>ケイセイ</t>
    </rPh>
    <rPh sb="13" eb="14">
      <t>カカ</t>
    </rPh>
    <rPh sb="15" eb="18">
      <t>ショウヒゼイ</t>
    </rPh>
    <phoneticPr fontId="5"/>
  </si>
  <si>
    <t>県内総生産</t>
    <rPh sb="0" eb="2">
      <t>ケンナイ</t>
    </rPh>
    <rPh sb="2" eb="5">
      <t>ソウセイサン</t>
    </rPh>
    <phoneticPr fontId="5"/>
  </si>
  <si>
    <t>（再掲）</t>
    <rPh sb="1" eb="3">
      <t>サイケイ</t>
    </rPh>
    <phoneticPr fontId="5"/>
  </si>
  <si>
    <t>市場生産者</t>
    <rPh sb="0" eb="2">
      <t>シジョウ</t>
    </rPh>
    <rPh sb="2" eb="5">
      <t>セイサンシャ</t>
    </rPh>
    <phoneticPr fontId="5"/>
  </si>
  <si>
    <t>一般政府</t>
    <rPh sb="0" eb="2">
      <t>イッパン</t>
    </rPh>
    <rPh sb="2" eb="4">
      <t>セイフ</t>
    </rPh>
    <phoneticPr fontId="5"/>
  </si>
  <si>
    <t>対家計民間非営利団体</t>
    <rPh sb="0" eb="1">
      <t>タイ</t>
    </rPh>
    <rPh sb="1" eb="3">
      <t>カケイ</t>
    </rPh>
    <rPh sb="3" eb="5">
      <t>ミンカン</t>
    </rPh>
    <rPh sb="5" eb="8">
      <t>ヒエイリ</t>
    </rPh>
    <rPh sb="8" eb="10">
      <t>ダンタイ</t>
    </rPh>
    <phoneticPr fontId="5"/>
  </si>
  <si>
    <t>2015年度</t>
    <rPh sb="4" eb="6">
      <t>ネンド</t>
    </rPh>
    <phoneticPr fontId="1"/>
  </si>
  <si>
    <t>県内産出額</t>
    <rPh sb="0" eb="1">
      <t>ケン</t>
    </rPh>
    <rPh sb="1" eb="2">
      <t>ナイ</t>
    </rPh>
    <rPh sb="2" eb="4">
      <t>サンシュツ</t>
    </rPh>
    <rPh sb="4" eb="5">
      <t>ガク</t>
    </rPh>
    <phoneticPr fontId="1"/>
  </si>
  <si>
    <t>県内産出額</t>
    <rPh sb="0" eb="2">
      <t>ケンナイ</t>
    </rPh>
    <rPh sb="2" eb="4">
      <t>サンシュツ</t>
    </rPh>
    <rPh sb="4" eb="5">
      <t>ガク</t>
    </rPh>
    <phoneticPr fontId="1"/>
  </si>
  <si>
    <t>部門名</t>
    <rPh sb="0" eb="3">
      <t>ブモンメイ</t>
    </rPh>
    <phoneticPr fontId="1"/>
  </si>
  <si>
    <t>2015県GDP</t>
    <rPh sb="4" eb="5">
      <t>ケン</t>
    </rPh>
    <phoneticPr fontId="1"/>
  </si>
  <si>
    <t>農業サービス</t>
    <rPh sb="0" eb="2">
      <t>ノウギョウ</t>
    </rPh>
    <phoneticPr fontId="1"/>
  </si>
  <si>
    <t>2021生産額</t>
    <rPh sb="4" eb="7">
      <t>セイサンガク</t>
    </rPh>
    <phoneticPr fontId="1"/>
  </si>
  <si>
    <t>食料品</t>
    <rPh sb="0" eb="3">
      <t>ショクリョウヒン</t>
    </rPh>
    <phoneticPr fontId="1"/>
  </si>
  <si>
    <t>繊維製品</t>
    <rPh sb="0" eb="2">
      <t>センイ</t>
    </rPh>
    <rPh sb="2" eb="4">
      <t>セイヒン</t>
    </rPh>
    <phoneticPr fontId="1"/>
  </si>
  <si>
    <t>化学工業</t>
    <rPh sb="0" eb="2">
      <t>カガク</t>
    </rPh>
    <rPh sb="2" eb="4">
      <t>コウギョウ</t>
    </rPh>
    <phoneticPr fontId="1"/>
  </si>
  <si>
    <t>その他の製造工業</t>
    <rPh sb="2" eb="3">
      <t>タ</t>
    </rPh>
    <rPh sb="4" eb="6">
      <t>セイゾウ</t>
    </rPh>
    <rPh sb="6" eb="8">
      <t>コウギョウ</t>
    </rPh>
    <phoneticPr fontId="1"/>
  </si>
  <si>
    <t>はん用生産用業務用機械</t>
    <rPh sb="2" eb="3">
      <t>ヨウ</t>
    </rPh>
    <rPh sb="3" eb="6">
      <t>セイサンヨウ</t>
    </rPh>
    <rPh sb="6" eb="9">
      <t>ギョウムヨウ</t>
    </rPh>
    <phoneticPr fontId="2"/>
  </si>
  <si>
    <t>輸送用機械</t>
    <rPh sb="0" eb="3">
      <t>ユソウヨウ</t>
    </rPh>
    <rPh sb="3" eb="5">
      <t>キカイ</t>
    </rPh>
    <phoneticPr fontId="1"/>
  </si>
  <si>
    <t>商業</t>
    <rPh sb="0" eb="2">
      <t>ショウギョウ</t>
    </rPh>
    <phoneticPr fontId="1"/>
  </si>
  <si>
    <t>金融保険</t>
    <rPh sb="0" eb="2">
      <t>キンユウ</t>
    </rPh>
    <rPh sb="2" eb="4">
      <t>ホケン</t>
    </rPh>
    <phoneticPr fontId="1"/>
  </si>
  <si>
    <t>その他の不動産業</t>
    <rPh sb="2" eb="3">
      <t>タ</t>
    </rPh>
    <rPh sb="4" eb="8">
      <t>フドウサンギョウ</t>
    </rPh>
    <phoneticPr fontId="1"/>
  </si>
  <si>
    <t>公務</t>
    <rPh sb="0" eb="2">
      <t>コウム</t>
    </rPh>
    <phoneticPr fontId="1"/>
  </si>
  <si>
    <t>2021試算値</t>
    <rPh sb="4" eb="7">
      <t>シサンチ</t>
    </rPh>
    <phoneticPr fontId="1"/>
  </si>
  <si>
    <t>建設業</t>
    <rPh sb="0" eb="3">
      <t>ケンセツギョウ</t>
    </rPh>
    <phoneticPr fontId="1"/>
  </si>
  <si>
    <t>鉄道輸送</t>
    <rPh sb="0" eb="2">
      <t>テツドウ</t>
    </rPh>
    <rPh sb="2" eb="4">
      <t>ユソウ</t>
    </rPh>
    <phoneticPr fontId="1"/>
  </si>
  <si>
    <t>道路輸送</t>
    <rPh sb="0" eb="2">
      <t>ドウロ</t>
    </rPh>
    <rPh sb="2" eb="4">
      <t>ユソウ</t>
    </rPh>
    <phoneticPr fontId="1"/>
  </si>
  <si>
    <t>旅行・その他の運輸附帯ｻｰﾋﾞｽ</t>
  </si>
  <si>
    <t>放送業</t>
    <rPh sb="0" eb="3">
      <t>ホウソウギョウ</t>
    </rPh>
    <phoneticPr fontId="1"/>
  </si>
  <si>
    <t>情報サービス業</t>
    <rPh sb="0" eb="2">
      <t>ジョウホウ</t>
    </rPh>
    <rPh sb="6" eb="7">
      <t>ギョウ</t>
    </rPh>
    <phoneticPr fontId="1"/>
  </si>
  <si>
    <t>インターネット付随サービス業</t>
    <rPh sb="7" eb="9">
      <t>フズイ</t>
    </rPh>
    <rPh sb="13" eb="14">
      <t>ギョウ</t>
    </rPh>
    <phoneticPr fontId="1"/>
  </si>
  <si>
    <t>映像・音声・文字情報製作業</t>
  </si>
  <si>
    <t>教育</t>
    <rPh sb="0" eb="2">
      <t>キョウイク</t>
    </rPh>
    <phoneticPr fontId="1"/>
  </si>
  <si>
    <t>研究開発サービス、学術研究</t>
    <rPh sb="0" eb="2">
      <t>ケンキュウ</t>
    </rPh>
    <rPh sb="2" eb="4">
      <t>カイハツ</t>
    </rPh>
    <rPh sb="9" eb="11">
      <t>ガクジュツ</t>
    </rPh>
    <rPh sb="11" eb="13">
      <t>ケンキュウ</t>
    </rPh>
    <phoneticPr fontId="1"/>
  </si>
  <si>
    <t>広告業</t>
    <rPh sb="0" eb="3">
      <t>コウコクギョウ</t>
    </rPh>
    <phoneticPr fontId="1"/>
  </si>
  <si>
    <t>物品賃貸サービス業</t>
    <rPh sb="0" eb="2">
      <t>ブッピン</t>
    </rPh>
    <rPh sb="2" eb="4">
      <t>チンタイ</t>
    </rPh>
    <rPh sb="8" eb="9">
      <t>ギョウ</t>
    </rPh>
    <phoneticPr fontId="1"/>
  </si>
  <si>
    <t>その他の対事業所サービス業</t>
    <rPh sb="2" eb="3">
      <t>タ</t>
    </rPh>
    <rPh sb="4" eb="5">
      <t>タイ</t>
    </rPh>
    <rPh sb="5" eb="8">
      <t>ジギョウショ</t>
    </rPh>
    <rPh sb="12" eb="13">
      <t>ギョウ</t>
    </rPh>
    <phoneticPr fontId="1"/>
  </si>
  <si>
    <t>医療業</t>
    <rPh sb="0" eb="3">
      <t>イリョウギョウ</t>
    </rPh>
    <phoneticPr fontId="1"/>
  </si>
  <si>
    <t>娯楽業</t>
    <rPh sb="0" eb="3">
      <t>ゴラクギョウ</t>
    </rPh>
    <phoneticPr fontId="1"/>
  </si>
  <si>
    <t>その他の対個人サービス業</t>
    <rPh sb="2" eb="3">
      <t>タ</t>
    </rPh>
    <rPh sb="4" eb="5">
      <t>タイ</t>
    </rPh>
    <rPh sb="5" eb="7">
      <t>コジン</t>
    </rPh>
    <rPh sb="11" eb="12">
      <t>ギョウ</t>
    </rPh>
    <phoneticPr fontId="1"/>
  </si>
  <si>
    <t xml:space="preserve"> </t>
    <phoneticPr fontId="1"/>
  </si>
  <si>
    <t>2015年</t>
    <rPh sb="4" eb="5">
      <t>ネン</t>
    </rPh>
    <phoneticPr fontId="1"/>
  </si>
  <si>
    <t>2021年</t>
    <rPh sb="4" eb="5">
      <t>ネン</t>
    </rPh>
    <phoneticPr fontId="1"/>
  </si>
  <si>
    <t>備考</t>
    <rPh sb="0" eb="2">
      <t>ビコウ</t>
    </rPh>
    <phoneticPr fontId="1"/>
  </si>
  <si>
    <t>(単位：百万円）</t>
    <rPh sb="1" eb="3">
      <t>タンイ</t>
    </rPh>
    <rPh sb="4" eb="5">
      <t>ヒャク</t>
    </rPh>
    <rPh sb="5" eb="7">
      <t>マンエン</t>
    </rPh>
    <phoneticPr fontId="1"/>
  </si>
  <si>
    <t>県内総生産</t>
    <rPh sb="0" eb="2">
      <t>ケンナイ</t>
    </rPh>
    <rPh sb="2" eb="5">
      <t>ソウセイサン</t>
    </rPh>
    <phoneticPr fontId="1"/>
  </si>
  <si>
    <t>項目</t>
    <rPh sb="0" eb="2">
      <t>コウモク</t>
    </rPh>
    <phoneticPr fontId="1"/>
  </si>
  <si>
    <t>暦年速報</t>
    <rPh sb="0" eb="2">
      <t>レキネン</t>
    </rPh>
    <rPh sb="2" eb="4">
      <t>ソクホウ</t>
    </rPh>
    <phoneticPr fontId="1"/>
  </si>
  <si>
    <t>付加価値額</t>
    <rPh sb="0" eb="2">
      <t>フカ</t>
    </rPh>
    <rPh sb="2" eb="5">
      <t>カチガク</t>
    </rPh>
    <phoneticPr fontId="1"/>
  </si>
  <si>
    <t>(出所）兵庫県立大学地域経済指標研究会試算(2024.1)</t>
    <rPh sb="1" eb="3">
      <t>シュッショ</t>
    </rPh>
    <rPh sb="4" eb="6">
      <t>ヒョウゴ</t>
    </rPh>
    <rPh sb="6" eb="8">
      <t>ケンリツ</t>
    </rPh>
    <rPh sb="8" eb="10">
      <t>ダイガク</t>
    </rPh>
    <rPh sb="10" eb="12">
      <t>チイキ</t>
    </rPh>
    <rPh sb="12" eb="14">
      <t>ケイザイ</t>
    </rPh>
    <rPh sb="14" eb="16">
      <t>シヒョウ</t>
    </rPh>
    <rPh sb="16" eb="19">
      <t>ケンキュウカイ</t>
    </rPh>
    <rPh sb="19" eb="21">
      <t>シサン</t>
    </rPh>
    <phoneticPr fontId="1"/>
  </si>
  <si>
    <t>2022生産額</t>
    <rPh sb="4" eb="7">
      <t>セイサンガク</t>
    </rPh>
    <phoneticPr fontId="1"/>
  </si>
  <si>
    <t>大分類</t>
    <rPh sb="0" eb="1">
      <t>ダイ</t>
    </rPh>
    <rPh sb="1" eb="3">
      <t>ブンルイ</t>
    </rPh>
    <phoneticPr fontId="1"/>
  </si>
  <si>
    <t>産業別産出額試算値（暦年）</t>
    <rPh sb="8" eb="9">
      <t>アタイ</t>
    </rPh>
    <rPh sb="10" eb="12">
      <t>レキネン</t>
    </rPh>
    <phoneticPr fontId="5"/>
  </si>
  <si>
    <t>鉱業</t>
  </si>
  <si>
    <t>食料品</t>
    <phoneticPr fontId="5"/>
  </si>
  <si>
    <t>繊維製品</t>
    <rPh sb="2" eb="4">
      <t>セイヒン</t>
    </rPh>
    <phoneticPr fontId="5"/>
  </si>
  <si>
    <t>パルプ･紙・紙加工品</t>
    <rPh sb="6" eb="7">
      <t>カミ</t>
    </rPh>
    <rPh sb="7" eb="10">
      <t>カコウヒン</t>
    </rPh>
    <phoneticPr fontId="5"/>
  </si>
  <si>
    <t>化学</t>
    <phoneticPr fontId="5"/>
  </si>
  <si>
    <t>石油･石炭製品</t>
    <phoneticPr fontId="5"/>
  </si>
  <si>
    <t>窯業･土石製品</t>
    <phoneticPr fontId="5"/>
  </si>
  <si>
    <t>一次金属</t>
    <rPh sb="0" eb="2">
      <t>イチジ</t>
    </rPh>
    <rPh sb="2" eb="4">
      <t>キンゾク</t>
    </rPh>
    <phoneticPr fontId="5"/>
  </si>
  <si>
    <t>金属製品</t>
    <phoneticPr fontId="5"/>
  </si>
  <si>
    <t>はん用・生産用・業務用機械</t>
    <rPh sb="2" eb="3">
      <t>ヨウ</t>
    </rPh>
    <rPh sb="4" eb="7">
      <t>セイサンヨウ</t>
    </rPh>
    <rPh sb="8" eb="11">
      <t>ギョウムヨウ</t>
    </rPh>
    <rPh sb="11" eb="13">
      <t>キカイ</t>
    </rPh>
    <phoneticPr fontId="5"/>
  </si>
  <si>
    <t>電子部品・
デバイス</t>
    <rPh sb="0" eb="2">
      <t>デンシ</t>
    </rPh>
    <rPh sb="2" eb="4">
      <t>ブヒン</t>
    </rPh>
    <phoneticPr fontId="5"/>
  </si>
  <si>
    <t>電気機械</t>
    <phoneticPr fontId="5"/>
  </si>
  <si>
    <t>情報・通信機器</t>
    <rPh sb="0" eb="2">
      <t>ジョウホウ</t>
    </rPh>
    <rPh sb="3" eb="5">
      <t>ツウシン</t>
    </rPh>
    <rPh sb="5" eb="7">
      <t>キキ</t>
    </rPh>
    <phoneticPr fontId="5"/>
  </si>
  <si>
    <t>輸送用機械</t>
    <rPh sb="2" eb="3">
      <t>ヨウ</t>
    </rPh>
    <phoneticPr fontId="5"/>
  </si>
  <si>
    <t>印刷業</t>
    <rPh sb="0" eb="3">
      <t>インサツギョウ</t>
    </rPh>
    <phoneticPr fontId="5"/>
  </si>
  <si>
    <t>その他の
製造業</t>
    <phoneticPr fontId="5"/>
  </si>
  <si>
    <t>電気業</t>
    <phoneticPr fontId="5"/>
  </si>
  <si>
    <t>ガス・水道・廃棄物処理業</t>
    <rPh sb="3" eb="5">
      <t>スイドウ</t>
    </rPh>
    <rPh sb="6" eb="9">
      <t>ハイキブツ</t>
    </rPh>
    <rPh sb="9" eb="11">
      <t>ショリ</t>
    </rPh>
    <rPh sb="11" eb="12">
      <t>ギョウ</t>
    </rPh>
    <phoneticPr fontId="5"/>
  </si>
  <si>
    <t>卸売・小売業</t>
    <phoneticPr fontId="5"/>
  </si>
  <si>
    <t>運輸・郵便業</t>
    <rPh sb="0" eb="2">
      <t>ウンユ</t>
    </rPh>
    <rPh sb="3" eb="5">
      <t>ユウビン</t>
    </rPh>
    <rPh sb="5" eb="6">
      <t>ギョウ</t>
    </rPh>
    <phoneticPr fontId="5"/>
  </si>
  <si>
    <t>情報通信業</t>
    <rPh sb="0" eb="2">
      <t>ジョウホウ</t>
    </rPh>
    <rPh sb="2" eb="5">
      <t>ツウシンギョウ</t>
    </rPh>
    <phoneticPr fontId="5"/>
  </si>
  <si>
    <t>金融・保険業</t>
    <rPh sb="0" eb="2">
      <t>キンユウ</t>
    </rPh>
    <rPh sb="3" eb="5">
      <t>ホケン</t>
    </rPh>
    <rPh sb="5" eb="6">
      <t>ギョウ</t>
    </rPh>
    <phoneticPr fontId="5"/>
  </si>
  <si>
    <t>不動産業</t>
    <rPh sb="3" eb="4">
      <t>ギョウ</t>
    </rPh>
    <phoneticPr fontId="5"/>
  </si>
  <si>
    <t>公務</t>
    <phoneticPr fontId="5"/>
  </si>
  <si>
    <t>保健衛生・
社会事業</t>
    <rPh sb="0" eb="2">
      <t>ホケン</t>
    </rPh>
    <rPh sb="2" eb="4">
      <t>エイセイ</t>
    </rPh>
    <rPh sb="6" eb="8">
      <t>シャカイ</t>
    </rPh>
    <rPh sb="8" eb="10">
      <t>ジギョウ</t>
    </rPh>
    <phoneticPr fontId="5"/>
  </si>
  <si>
    <t>その他
サービス</t>
    <rPh sb="2" eb="3">
      <t>タ</t>
    </rPh>
    <phoneticPr fontId="5"/>
  </si>
  <si>
    <t>小計</t>
    <rPh sb="0" eb="1">
      <t>ショウ</t>
    </rPh>
    <rPh sb="1" eb="2">
      <t>ケイ</t>
    </rPh>
    <phoneticPr fontId="5"/>
  </si>
  <si>
    <t>輸入品に課される税・関税等</t>
    <rPh sb="0" eb="2">
      <t>ユニュウ</t>
    </rPh>
    <rPh sb="2" eb="3">
      <t>ヒン</t>
    </rPh>
    <rPh sb="4" eb="5">
      <t>カ</t>
    </rPh>
    <rPh sb="8" eb="9">
      <t>ゼイ</t>
    </rPh>
    <rPh sb="10" eb="12">
      <t>カンゼイ</t>
    </rPh>
    <rPh sb="12" eb="13">
      <t>トウ</t>
    </rPh>
    <phoneticPr fontId="5"/>
  </si>
  <si>
    <t>県内産出額</t>
    <rPh sb="0" eb="2">
      <t>ケンナイ</t>
    </rPh>
    <rPh sb="2" eb="4">
      <t>サンシュツ</t>
    </rPh>
    <rPh sb="4" eb="5">
      <t>ガク</t>
    </rPh>
    <phoneticPr fontId="5"/>
  </si>
  <si>
    <t>対前年比（％）</t>
    <rPh sb="0" eb="1">
      <t>タイ</t>
    </rPh>
    <rPh sb="1" eb="2">
      <t>マエ</t>
    </rPh>
    <rPh sb="2" eb="3">
      <t>ネン</t>
    </rPh>
    <rPh sb="3" eb="4">
      <t>ヒ</t>
    </rPh>
    <phoneticPr fontId="5"/>
  </si>
  <si>
    <r>
      <t>平成19年</t>
    </r>
    <r>
      <rPr>
        <sz val="11"/>
        <color theme="1"/>
        <rFont val="游ゴシック"/>
        <family val="2"/>
        <charset val="128"/>
        <scheme val="minor"/>
      </rPr>
      <t/>
    </r>
    <rPh sb="0" eb="2">
      <t>ヘイセイ</t>
    </rPh>
    <rPh sb="4" eb="5">
      <t>ネン</t>
    </rPh>
    <phoneticPr fontId="5"/>
  </si>
  <si>
    <r>
      <t>平成20年</t>
    </r>
    <r>
      <rPr>
        <sz val="11"/>
        <color theme="1"/>
        <rFont val="游ゴシック"/>
        <family val="2"/>
        <charset val="128"/>
        <scheme val="minor"/>
      </rPr>
      <t/>
    </r>
    <rPh sb="0" eb="2">
      <t>ヘイセイ</t>
    </rPh>
    <rPh sb="4" eb="5">
      <t>ネン</t>
    </rPh>
    <phoneticPr fontId="5"/>
  </si>
  <si>
    <r>
      <t>平成21年</t>
    </r>
    <r>
      <rPr>
        <sz val="11"/>
        <color theme="1"/>
        <rFont val="游ゴシック"/>
        <family val="2"/>
        <charset val="128"/>
        <scheme val="minor"/>
      </rPr>
      <t/>
    </r>
    <rPh sb="0" eb="2">
      <t>ヘイセイ</t>
    </rPh>
    <rPh sb="4" eb="5">
      <t>ネン</t>
    </rPh>
    <phoneticPr fontId="5"/>
  </si>
  <si>
    <t>平成23年</t>
    <phoneticPr fontId="5"/>
  </si>
  <si>
    <t>平成24年</t>
  </si>
  <si>
    <t>平成25年</t>
    <phoneticPr fontId="5"/>
  </si>
  <si>
    <t>平成26年</t>
  </si>
  <si>
    <t>平成27年</t>
    <phoneticPr fontId="5"/>
  </si>
  <si>
    <t>平成28年</t>
    <phoneticPr fontId="5"/>
  </si>
  <si>
    <t>平成29年</t>
    <phoneticPr fontId="5"/>
  </si>
  <si>
    <t>平成30年</t>
    <phoneticPr fontId="5"/>
  </si>
  <si>
    <t>平成31年</t>
    <phoneticPr fontId="5"/>
  </si>
  <si>
    <t>令和2年</t>
    <rPh sb="0" eb="2">
      <t>レイワ</t>
    </rPh>
    <rPh sb="3" eb="4">
      <t>ネン</t>
    </rPh>
    <phoneticPr fontId="5"/>
  </si>
  <si>
    <t>令和3年</t>
    <rPh sb="0" eb="2">
      <t>レイワ</t>
    </rPh>
    <rPh sb="3" eb="4">
      <t>ネン</t>
    </rPh>
    <phoneticPr fontId="5"/>
  </si>
  <si>
    <t>令和4年</t>
    <rPh sb="0" eb="2">
      <t>レイワ</t>
    </rPh>
    <rPh sb="3" eb="4">
      <t>ネン</t>
    </rPh>
    <phoneticPr fontId="5"/>
  </si>
  <si>
    <r>
      <t>平成1</t>
    </r>
    <r>
      <rPr>
        <sz val="11"/>
        <color theme="1"/>
        <rFont val="ＭＳ Ｐゴシック"/>
        <family val="3"/>
        <charset val="128"/>
      </rPr>
      <t>8年</t>
    </r>
    <rPh sb="0" eb="2">
      <t>ヘイセイ</t>
    </rPh>
    <rPh sb="4" eb="5">
      <t>ネン</t>
    </rPh>
    <phoneticPr fontId="5"/>
  </si>
  <si>
    <t>平成22年</t>
    <rPh sb="0" eb="2">
      <t>ヘイセイ</t>
    </rPh>
    <rPh sb="4" eb="5">
      <t>ネン</t>
    </rPh>
    <phoneticPr fontId="5"/>
  </si>
  <si>
    <t>備考</t>
    <rPh sb="0" eb="2">
      <t>ビコウ</t>
    </rPh>
    <phoneticPr fontId="1"/>
  </si>
  <si>
    <t>部門名</t>
    <rPh sb="0" eb="3">
      <t>ブモンメイ</t>
    </rPh>
    <phoneticPr fontId="1"/>
  </si>
  <si>
    <t>農業</t>
    <rPh sb="0" eb="2">
      <t>ノウギョウ</t>
    </rPh>
    <phoneticPr fontId="1"/>
  </si>
  <si>
    <t>2022年</t>
    <rPh sb="4" eb="5">
      <t>ネン</t>
    </rPh>
    <phoneticPr fontId="1"/>
  </si>
  <si>
    <t>2015生産額</t>
    <rPh sb="4" eb="7">
      <t>セイサンガク</t>
    </rPh>
    <phoneticPr fontId="1"/>
  </si>
  <si>
    <t>食料品</t>
    <rPh sb="0" eb="3">
      <t>ショクリョウヒン</t>
    </rPh>
    <phoneticPr fontId="1"/>
  </si>
  <si>
    <t>繊維製品</t>
    <rPh sb="0" eb="2">
      <t>センイ</t>
    </rPh>
    <rPh sb="2" eb="4">
      <t>セイヒン</t>
    </rPh>
    <phoneticPr fontId="1"/>
  </si>
  <si>
    <t>化学</t>
    <rPh sb="0" eb="2">
      <t>カガク</t>
    </rPh>
    <phoneticPr fontId="1"/>
  </si>
  <si>
    <t>はん用・生産用・業務用機械</t>
  </si>
  <si>
    <t>輸送用機械</t>
    <rPh sb="0" eb="2">
      <t>ユソウ</t>
    </rPh>
    <rPh sb="2" eb="3">
      <t>ヨウ</t>
    </rPh>
    <rPh sb="3" eb="5">
      <t>キカイ</t>
    </rPh>
    <phoneticPr fontId="1"/>
  </si>
  <si>
    <t>その他の製造工業</t>
    <rPh sb="2" eb="3">
      <t>タ</t>
    </rPh>
    <rPh sb="4" eb="6">
      <t>セイゾウ</t>
    </rPh>
    <rPh sb="6" eb="8">
      <t>コウギョウ</t>
    </rPh>
    <phoneticPr fontId="1"/>
  </si>
  <si>
    <t>建設業</t>
    <rPh sb="0" eb="3">
      <t>ケンセツギョウ</t>
    </rPh>
    <phoneticPr fontId="1"/>
  </si>
  <si>
    <t>卸売小売業</t>
    <rPh sb="0" eb="2">
      <t>オロシウ</t>
    </rPh>
    <rPh sb="2" eb="5">
      <t>コウリギョウ</t>
    </rPh>
    <phoneticPr fontId="1"/>
  </si>
  <si>
    <t>金融保険業</t>
    <rPh sb="0" eb="2">
      <t>キンユウ</t>
    </rPh>
    <rPh sb="2" eb="5">
      <t>ホケンギョウ</t>
    </rPh>
    <phoneticPr fontId="1"/>
  </si>
  <si>
    <t>不動産業</t>
    <rPh sb="0" eb="4">
      <t>フドウサンギョウ</t>
    </rPh>
    <phoneticPr fontId="1"/>
  </si>
  <si>
    <t>運輸郵便業</t>
    <rPh sb="0" eb="2">
      <t>ウンユ</t>
    </rPh>
    <rPh sb="2" eb="5">
      <t>ユウビンギョウ</t>
    </rPh>
    <phoneticPr fontId="1"/>
  </si>
  <si>
    <t>公務</t>
    <rPh sb="0" eb="2">
      <t>コウム</t>
    </rPh>
    <phoneticPr fontId="1"/>
  </si>
  <si>
    <t>教育</t>
    <rPh sb="0" eb="2">
      <t>キョウイク</t>
    </rPh>
    <phoneticPr fontId="1"/>
  </si>
  <si>
    <t>宿泊飲食サービス</t>
    <rPh sb="0" eb="2">
      <t>シュクハク</t>
    </rPh>
    <rPh sb="2" eb="4">
      <t>インショク</t>
    </rPh>
    <phoneticPr fontId="1"/>
  </si>
  <si>
    <t>その他サービス</t>
    <rPh sb="2" eb="3">
      <t>タ</t>
    </rPh>
    <phoneticPr fontId="1"/>
  </si>
  <si>
    <t>情報通信業</t>
    <rPh sb="0" eb="2">
      <t>ジョウホウ</t>
    </rPh>
    <rPh sb="2" eb="4">
      <t>ツウシン</t>
    </rPh>
    <rPh sb="4" eb="5">
      <t>ギョウ</t>
    </rPh>
    <phoneticPr fontId="1"/>
  </si>
  <si>
    <t>保健衛生社会事業</t>
    <rPh sb="0" eb="2">
      <t>ホケン</t>
    </rPh>
    <rPh sb="2" eb="4">
      <t>エイセイ</t>
    </rPh>
    <rPh sb="4" eb="6">
      <t>シャカイ</t>
    </rPh>
    <rPh sb="6" eb="8">
      <t>ジギョウ</t>
    </rPh>
    <phoneticPr fontId="1"/>
  </si>
  <si>
    <t>専門・科学技術、業務支援サービス業</t>
  </si>
  <si>
    <t>2022試算値</t>
    <rPh sb="4" eb="7">
      <t>シサンチ</t>
    </rPh>
    <phoneticPr fontId="1"/>
  </si>
  <si>
    <t xml:space="preserve"> </t>
    <phoneticPr fontId="1"/>
  </si>
  <si>
    <t xml:space="preserve">  </t>
    <phoneticPr fontId="1"/>
  </si>
  <si>
    <t xml:space="preserve">        兵庫県統計課「四半期別県内GDP速報」</t>
    <rPh sb="8" eb="11">
      <t>ヒョウゴケン</t>
    </rPh>
    <rPh sb="11" eb="13">
      <t>トウケイ</t>
    </rPh>
    <rPh sb="13" eb="14">
      <t>カ</t>
    </rPh>
    <rPh sb="15" eb="18">
      <t>シハンキ</t>
    </rPh>
    <rPh sb="18" eb="19">
      <t>ベツ</t>
    </rPh>
    <rPh sb="19" eb="21">
      <t>ケンナイ</t>
    </rPh>
    <rPh sb="24" eb="26">
      <t>ソクホウ</t>
    </rPh>
    <phoneticPr fontId="1"/>
  </si>
  <si>
    <t>スポーツ産業県内生産額</t>
    <rPh sb="4" eb="6">
      <t>サンギョウ</t>
    </rPh>
    <rPh sb="6" eb="8">
      <t>ケンナイ</t>
    </rPh>
    <rPh sb="8" eb="11">
      <t>セイサンガク</t>
    </rPh>
    <phoneticPr fontId="1"/>
  </si>
  <si>
    <t>県内スポーツＧＤＰ</t>
    <rPh sb="0" eb="2">
      <t>ケンナイ</t>
    </rPh>
    <phoneticPr fontId="1"/>
  </si>
  <si>
    <t>（単位：億円、人）</t>
    <rPh sb="1" eb="3">
      <t>タンイ</t>
    </rPh>
    <rPh sb="4" eb="6">
      <t>オクエン</t>
    </rPh>
    <rPh sb="7" eb="8">
      <t>ニン</t>
    </rPh>
    <phoneticPr fontId="5"/>
  </si>
  <si>
    <t>項　　　目</t>
    <rPh sb="0" eb="1">
      <t>コウ</t>
    </rPh>
    <rPh sb="4" eb="5">
      <t>メ</t>
    </rPh>
    <phoneticPr fontId="1"/>
  </si>
  <si>
    <t>備　　　考</t>
    <rPh sb="0" eb="1">
      <t>ソナエ</t>
    </rPh>
    <rPh sb="4" eb="5">
      <t>コウ</t>
    </rPh>
    <phoneticPr fontId="5"/>
  </si>
  <si>
    <t>生産誘発額</t>
    <rPh sb="0" eb="2">
      <t>セイサン</t>
    </rPh>
    <rPh sb="2" eb="5">
      <t>ユウハツガク</t>
    </rPh>
    <phoneticPr fontId="5"/>
  </si>
  <si>
    <t>経済効果(売上額の合計）</t>
    <rPh sb="0" eb="2">
      <t>ケイザイ</t>
    </rPh>
    <rPh sb="2" eb="4">
      <t>コウカ</t>
    </rPh>
    <rPh sb="5" eb="8">
      <t>ウリアゲガク</t>
    </rPh>
    <rPh sb="9" eb="11">
      <t>ゴウケイ</t>
    </rPh>
    <phoneticPr fontId="1"/>
  </si>
  <si>
    <t>　直接効果</t>
    <rPh sb="1" eb="3">
      <t>チョクセツ</t>
    </rPh>
    <rPh sb="3" eb="5">
      <t>コウカ</t>
    </rPh>
    <phoneticPr fontId="5"/>
  </si>
  <si>
    <t>　第一次間接効果</t>
    <rPh sb="1" eb="4">
      <t>ダイイチジ</t>
    </rPh>
    <rPh sb="4" eb="6">
      <t>カンセツ</t>
    </rPh>
    <rPh sb="6" eb="8">
      <t>コウカ</t>
    </rPh>
    <phoneticPr fontId="1"/>
  </si>
  <si>
    <t>原材料消費から誘発効果</t>
    <rPh sb="0" eb="3">
      <t>ゲンザイリョウ</t>
    </rPh>
    <rPh sb="3" eb="5">
      <t>ショウヒ</t>
    </rPh>
    <rPh sb="7" eb="9">
      <t>ユウハツ</t>
    </rPh>
    <rPh sb="9" eb="11">
      <t>コウカ</t>
    </rPh>
    <phoneticPr fontId="1"/>
  </si>
  <si>
    <t>　第二次間接効果</t>
    <rPh sb="1" eb="4">
      <t>ダイニジ</t>
    </rPh>
    <rPh sb="4" eb="6">
      <t>カンセツ</t>
    </rPh>
    <rPh sb="6" eb="8">
      <t>コウカ</t>
    </rPh>
    <phoneticPr fontId="1"/>
  </si>
  <si>
    <t>民間消費支出による誘発効果</t>
    <rPh sb="0" eb="2">
      <t>ミンカン</t>
    </rPh>
    <rPh sb="2" eb="4">
      <t>ショウヒ</t>
    </rPh>
    <rPh sb="4" eb="6">
      <t>シシュツ</t>
    </rPh>
    <rPh sb="9" eb="11">
      <t>ユウハツ</t>
    </rPh>
    <rPh sb="11" eb="13">
      <t>コウカ</t>
    </rPh>
    <phoneticPr fontId="1"/>
  </si>
  <si>
    <t>付加価値誘発額</t>
    <rPh sb="0" eb="2">
      <t>フカ</t>
    </rPh>
    <rPh sb="2" eb="4">
      <t>カチ</t>
    </rPh>
    <rPh sb="4" eb="7">
      <t>ユウハツガク</t>
    </rPh>
    <phoneticPr fontId="5"/>
  </si>
  <si>
    <t>（売上額－経費等）の合計</t>
    <rPh sb="1" eb="4">
      <t>ウリアゲガク</t>
    </rPh>
    <rPh sb="5" eb="7">
      <t>ケイヒ</t>
    </rPh>
    <rPh sb="7" eb="8">
      <t>トウ</t>
    </rPh>
    <rPh sb="10" eb="12">
      <t>ゴウケイ</t>
    </rPh>
    <phoneticPr fontId="1"/>
  </si>
  <si>
    <t>名目GDP</t>
    <rPh sb="0" eb="2">
      <t>メイモク</t>
    </rPh>
    <phoneticPr fontId="1"/>
  </si>
  <si>
    <t>名目GDP比（％）</t>
    <rPh sb="0" eb="2">
      <t>メイモク</t>
    </rPh>
    <rPh sb="5" eb="6">
      <t>ヒ</t>
    </rPh>
    <phoneticPr fontId="1"/>
  </si>
  <si>
    <t>就業者誘発数</t>
    <rPh sb="0" eb="3">
      <t>シュウギョウシャ</t>
    </rPh>
    <rPh sb="3" eb="5">
      <t>ユウハツ</t>
    </rPh>
    <rPh sb="5" eb="6">
      <t>スウ</t>
    </rPh>
    <phoneticPr fontId="5"/>
  </si>
  <si>
    <t>個人業主、雇用者等</t>
    <rPh sb="0" eb="2">
      <t>コジン</t>
    </rPh>
    <rPh sb="2" eb="3">
      <t>ギョウ</t>
    </rPh>
    <rPh sb="3" eb="4">
      <t>ヌシ</t>
    </rPh>
    <rPh sb="5" eb="8">
      <t>コヨウシャ</t>
    </rPh>
    <rPh sb="8" eb="9">
      <t>トウ</t>
    </rPh>
    <phoneticPr fontId="1"/>
  </si>
  <si>
    <t>（単位：百万円、人）</t>
    <rPh sb="1" eb="3">
      <t>タンイ</t>
    </rPh>
    <rPh sb="4" eb="5">
      <t>ヒャク</t>
    </rPh>
    <rPh sb="5" eb="7">
      <t>マンエン</t>
    </rPh>
    <rPh sb="8" eb="9">
      <t>ニン</t>
    </rPh>
    <phoneticPr fontId="1"/>
  </si>
  <si>
    <t>雇用者誘発数</t>
    <rPh sb="0" eb="3">
      <t>コヨウシャ</t>
    </rPh>
    <rPh sb="3" eb="5">
      <t>ユウハツ</t>
    </rPh>
    <rPh sb="5" eb="6">
      <t>スウ</t>
    </rPh>
    <phoneticPr fontId="5"/>
  </si>
  <si>
    <t>税収効果(直接税・間接税）</t>
    <rPh sb="0" eb="2">
      <t>ゼイシュウ</t>
    </rPh>
    <rPh sb="2" eb="4">
      <t>コウカ</t>
    </rPh>
    <rPh sb="5" eb="8">
      <t>チョクセツゼイ</t>
    </rPh>
    <rPh sb="9" eb="12">
      <t>カンセツゼイ</t>
    </rPh>
    <phoneticPr fontId="11"/>
  </si>
  <si>
    <t>農業</t>
  </si>
  <si>
    <t>飲食料品　　　　　　　</t>
  </si>
  <si>
    <t>繊維製品</t>
  </si>
  <si>
    <t>パルプ・紙・木製品</t>
  </si>
  <si>
    <t>化学製品</t>
  </si>
  <si>
    <t>石油・石炭製品</t>
  </si>
  <si>
    <t>プラスチック・ゴム製品</t>
  </si>
  <si>
    <t>窯業・土石製品</t>
  </si>
  <si>
    <t>鉄鋼</t>
  </si>
  <si>
    <t>非鉄金属</t>
  </si>
  <si>
    <t>金属製品</t>
  </si>
  <si>
    <t>電子部品</t>
  </si>
  <si>
    <t>電気機械</t>
  </si>
  <si>
    <t>情報通信機器</t>
  </si>
  <si>
    <t>輸送機械  　　　　　</t>
  </si>
  <si>
    <t>建設</t>
  </si>
  <si>
    <t>電力・ガス・熱供給　</t>
  </si>
  <si>
    <t>水道　　</t>
  </si>
  <si>
    <t>不動産</t>
  </si>
  <si>
    <t>運輸・郵便</t>
  </si>
  <si>
    <t>情報通信</t>
  </si>
  <si>
    <t>教育・研究</t>
  </si>
  <si>
    <t>医療・福祉</t>
  </si>
  <si>
    <t>対事業所サービス</t>
  </si>
  <si>
    <t>対個人サービス</t>
  </si>
  <si>
    <t>県内産出額</t>
    <rPh sb="0" eb="2">
      <t>ケンナイ</t>
    </rPh>
    <rPh sb="2" eb="4">
      <t>サンシュツ</t>
    </rPh>
    <rPh sb="4" eb="5">
      <t>ガク</t>
    </rPh>
    <phoneticPr fontId="1"/>
  </si>
  <si>
    <t>国2018シェア</t>
    <rPh sb="0" eb="1">
      <t>クニ</t>
    </rPh>
    <phoneticPr fontId="1"/>
  </si>
  <si>
    <t>2019年</t>
    <rPh sb="4" eb="5">
      <t>ネン</t>
    </rPh>
    <phoneticPr fontId="1"/>
  </si>
  <si>
    <t>2019年度</t>
    <rPh sb="4" eb="6">
      <t>ネンド</t>
    </rPh>
    <phoneticPr fontId="1"/>
  </si>
  <si>
    <t>2019生産額</t>
    <rPh sb="4" eb="7">
      <t>セイサンガク</t>
    </rPh>
    <phoneticPr fontId="1"/>
  </si>
  <si>
    <t>2019試算値</t>
    <rPh sb="4" eb="7">
      <t>シサンチ</t>
    </rPh>
    <phoneticPr fontId="1"/>
  </si>
  <si>
    <t>GDPシェア（％）</t>
    <phoneticPr fontId="1"/>
  </si>
  <si>
    <t>(出所）兵庫県統計課(2019)「平成27年兵庫県産業連関表」等から推計</t>
    <rPh sb="1" eb="3">
      <t>シュッショ</t>
    </rPh>
    <rPh sb="4" eb="6">
      <t>ヒョウゴ</t>
    </rPh>
    <rPh sb="6" eb="7">
      <t>ケン</t>
    </rPh>
    <rPh sb="7" eb="9">
      <t>トウケイ</t>
    </rPh>
    <rPh sb="9" eb="10">
      <t>カ</t>
    </rPh>
    <rPh sb="17" eb="19">
      <t>ヘイセイ</t>
    </rPh>
    <rPh sb="21" eb="22">
      <t>ネン</t>
    </rPh>
    <rPh sb="22" eb="25">
      <t>ヒョウゴケン</t>
    </rPh>
    <rPh sb="25" eb="27">
      <t>サンギョウ</t>
    </rPh>
    <rPh sb="27" eb="29">
      <t>レンカン</t>
    </rPh>
    <rPh sb="29" eb="30">
      <t>ヒョウ</t>
    </rPh>
    <rPh sb="31" eb="32">
      <t>トウ</t>
    </rPh>
    <rPh sb="34" eb="36">
      <t>スイケイ</t>
    </rPh>
    <phoneticPr fontId="5"/>
  </si>
  <si>
    <t>県内総生産</t>
    <rPh sb="0" eb="2">
      <t>ケンナイ</t>
    </rPh>
    <rPh sb="2" eb="3">
      <t>ソウ</t>
    </rPh>
    <rPh sb="3" eb="5">
      <t>セイサン</t>
    </rPh>
    <phoneticPr fontId="1"/>
  </si>
  <si>
    <t>2020年度</t>
    <rPh sb="4" eb="6">
      <t>ネンド</t>
    </rPh>
    <phoneticPr fontId="1"/>
  </si>
  <si>
    <t>2020試算値</t>
    <rPh sb="4" eb="7">
      <t>シサンチ</t>
    </rPh>
    <phoneticPr fontId="1"/>
  </si>
  <si>
    <t>飲食サービス業</t>
    <rPh sb="0" eb="2">
      <t>インショク</t>
    </rPh>
    <rPh sb="6" eb="7">
      <t>ギョウ</t>
    </rPh>
    <phoneticPr fontId="1"/>
  </si>
  <si>
    <t>旅館その他宿泊所</t>
    <rPh sb="0" eb="2">
      <t>リョカン</t>
    </rPh>
    <rPh sb="4" eb="5">
      <t>タ</t>
    </rPh>
    <rPh sb="5" eb="8">
      <t>シュクハクショ</t>
    </rPh>
    <phoneticPr fontId="1"/>
  </si>
  <si>
    <t>非営利団体(その他）</t>
    <rPh sb="0" eb="3">
      <t>ヒエイリ</t>
    </rPh>
    <rPh sb="3" eb="5">
      <t>ダンタイ</t>
    </rPh>
    <rPh sb="8" eb="9">
      <t>タ</t>
    </rPh>
    <phoneticPr fontId="1"/>
  </si>
  <si>
    <t>2020生産額</t>
    <rPh sb="4" eb="7">
      <t>セイサンガク</t>
    </rPh>
    <phoneticPr fontId="1"/>
  </si>
  <si>
    <t>四半期別兵庫県内ＧＤＰ速報 名目原系列</t>
    <rPh sb="14" eb="16">
      <t>メイモク</t>
    </rPh>
    <rPh sb="16" eb="19">
      <t>ゲンケイレツ</t>
    </rPh>
    <phoneticPr fontId="15"/>
  </si>
  <si>
    <t>（資料：兵庫県統計課「四半期別兵庫県内ＧＤＰ速報」）</t>
    <rPh sb="1" eb="3">
      <t>シリョウ</t>
    </rPh>
    <rPh sb="4" eb="7">
      <t>ヒョウゴケン</t>
    </rPh>
    <rPh sb="7" eb="9">
      <t>トウケイ</t>
    </rPh>
    <rPh sb="9" eb="10">
      <t>カ</t>
    </rPh>
    <rPh sb="11" eb="14">
      <t>シハンキ</t>
    </rPh>
    <rPh sb="14" eb="15">
      <t>ベツ</t>
    </rPh>
    <rPh sb="15" eb="17">
      <t>ヒョウゴ</t>
    </rPh>
    <rPh sb="17" eb="19">
      <t>ケンナイ</t>
    </rPh>
    <rPh sb="22" eb="24">
      <t>ソクホウ</t>
    </rPh>
    <phoneticPr fontId="7"/>
  </si>
  <si>
    <t>（単位：百万円）</t>
    <rPh sb="1" eb="3">
      <t>タンイ</t>
    </rPh>
    <rPh sb="4" eb="5">
      <t>ヒャク</t>
    </rPh>
    <rPh sb="5" eb="7">
      <t>マンエン</t>
    </rPh>
    <phoneticPr fontId="3"/>
  </si>
  <si>
    <t>項目</t>
    <rPh sb="0" eb="2">
      <t>コウモク</t>
    </rPh>
    <phoneticPr fontId="7"/>
  </si>
  <si>
    <t>卸売・小売業</t>
  </si>
  <si>
    <t>輸入品に課される税・関税等</t>
    <rPh sb="12" eb="13">
      <t>トウ</t>
    </rPh>
    <phoneticPr fontId="5"/>
  </si>
  <si>
    <t>県内総生産</t>
    <rPh sb="0" eb="2">
      <t>ケンナイ</t>
    </rPh>
    <rPh sb="2" eb="5">
      <t>ソウセイサン</t>
    </rPh>
    <phoneticPr fontId="23"/>
  </si>
  <si>
    <t>第1次産業</t>
    <rPh sb="0" eb="1">
      <t>ダイ</t>
    </rPh>
    <rPh sb="2" eb="3">
      <t>ツギ</t>
    </rPh>
    <rPh sb="3" eb="5">
      <t>サンギョウ</t>
    </rPh>
    <phoneticPr fontId="5"/>
  </si>
  <si>
    <t>第2次産業</t>
    <rPh sb="0" eb="1">
      <t>ダイ</t>
    </rPh>
    <rPh sb="2" eb="3">
      <t>ツギ</t>
    </rPh>
    <rPh sb="3" eb="5">
      <t>サンギョウ</t>
    </rPh>
    <phoneticPr fontId="5"/>
  </si>
  <si>
    <t>第3次産業</t>
    <rPh sb="0" eb="1">
      <t>ダイ</t>
    </rPh>
    <rPh sb="2" eb="3">
      <t>ツギ</t>
    </rPh>
    <rPh sb="3" eb="5">
      <t>サンギョウ</t>
    </rPh>
    <phoneticPr fontId="5"/>
  </si>
  <si>
    <t>寄与度（％）</t>
    <rPh sb="0" eb="3">
      <t>キヨド</t>
    </rPh>
    <phoneticPr fontId="5"/>
  </si>
  <si>
    <t>非製造業</t>
    <rPh sb="0" eb="1">
      <t>ヒ</t>
    </rPh>
    <rPh sb="1" eb="4">
      <t>セイゾウギョウ</t>
    </rPh>
    <phoneticPr fontId="5"/>
  </si>
  <si>
    <t>化学</t>
  </si>
  <si>
    <t>石油･石炭製品</t>
  </si>
  <si>
    <t>窯業･土石製品</t>
  </si>
  <si>
    <t>電子部品・デバイス</t>
    <rPh sb="0" eb="2">
      <t>デンシ</t>
    </rPh>
    <rPh sb="2" eb="4">
      <t>ブヒン</t>
    </rPh>
    <phoneticPr fontId="5"/>
  </si>
  <si>
    <t>その他の製造業</t>
  </si>
  <si>
    <t>前年同期比</t>
    <rPh sb="0" eb="1">
      <t>マエ</t>
    </rPh>
    <rPh sb="1" eb="2">
      <t>ネン</t>
    </rPh>
    <rPh sb="2" eb="4">
      <t>ドウキ</t>
    </rPh>
    <rPh sb="4" eb="5">
      <t>ヒ</t>
    </rPh>
    <phoneticPr fontId="23"/>
  </si>
  <si>
    <t>（％）</t>
  </si>
  <si>
    <t>（％）</t>
    <phoneticPr fontId="5"/>
  </si>
  <si>
    <t>4-6月</t>
    <rPh sb="3" eb="4">
      <t>ツキ</t>
    </rPh>
    <phoneticPr fontId="7"/>
  </si>
  <si>
    <t>－</t>
  </si>
  <si>
    <t>7-9月</t>
    <rPh sb="3" eb="4">
      <t>ツキ</t>
    </rPh>
    <phoneticPr fontId="7"/>
  </si>
  <si>
    <t>10-12月</t>
    <rPh sb="5" eb="6">
      <t>ツキ</t>
    </rPh>
    <phoneticPr fontId="7"/>
  </si>
  <si>
    <t>19年/1-3月</t>
    <rPh sb="2" eb="3">
      <t>ネン</t>
    </rPh>
    <rPh sb="7" eb="8">
      <t>ツキ</t>
    </rPh>
    <phoneticPr fontId="7"/>
  </si>
  <si>
    <t>20年/1-3月</t>
    <rPh sb="2" eb="3">
      <t>ネン</t>
    </rPh>
    <rPh sb="7" eb="8">
      <t>ツキ</t>
    </rPh>
    <phoneticPr fontId="7"/>
  </si>
  <si>
    <t>21年/1-3月</t>
    <rPh sb="2" eb="3">
      <t>ネン</t>
    </rPh>
    <rPh sb="7" eb="8">
      <t>ツキ</t>
    </rPh>
    <phoneticPr fontId="7"/>
  </si>
  <si>
    <t>22年/1-3月</t>
    <rPh sb="2" eb="3">
      <t>ネン</t>
    </rPh>
    <rPh sb="7" eb="8">
      <t>ツキ</t>
    </rPh>
    <phoneticPr fontId="7"/>
  </si>
  <si>
    <t>23年/1-3月</t>
    <rPh sb="2" eb="3">
      <t>ネン</t>
    </rPh>
    <rPh sb="7" eb="8">
      <t>ツキ</t>
    </rPh>
    <phoneticPr fontId="7"/>
  </si>
  <si>
    <t>24年/1-3月</t>
    <rPh sb="2" eb="3">
      <t>ネン</t>
    </rPh>
    <rPh sb="7" eb="8">
      <t>ツキ</t>
    </rPh>
    <phoneticPr fontId="7"/>
  </si>
  <si>
    <t>25年/1-3月</t>
    <rPh sb="2" eb="3">
      <t>ネン</t>
    </rPh>
    <rPh sb="7" eb="8">
      <t>ツキ</t>
    </rPh>
    <phoneticPr fontId="7"/>
  </si>
  <si>
    <t>26年/1-3月</t>
    <rPh sb="2" eb="3">
      <t>ネン</t>
    </rPh>
    <rPh sb="7" eb="8">
      <t>ツキ</t>
    </rPh>
    <phoneticPr fontId="7"/>
  </si>
  <si>
    <t>27年/1-3月</t>
    <rPh sb="2" eb="3">
      <t>ネン</t>
    </rPh>
    <rPh sb="7" eb="8">
      <t>ツキ</t>
    </rPh>
    <phoneticPr fontId="7"/>
  </si>
  <si>
    <t>28年/1-3月</t>
    <rPh sb="2" eb="3">
      <t>ネン</t>
    </rPh>
    <rPh sb="7" eb="8">
      <t>ツキ</t>
    </rPh>
    <phoneticPr fontId="7"/>
  </si>
  <si>
    <t>29年/1-3月</t>
    <rPh sb="2" eb="3">
      <t>ネン</t>
    </rPh>
    <rPh sb="7" eb="8">
      <t>ツキ</t>
    </rPh>
    <phoneticPr fontId="7"/>
  </si>
  <si>
    <t>30年/1-3月</t>
    <rPh sb="2" eb="3">
      <t>ネン</t>
    </rPh>
    <rPh sb="7" eb="8">
      <t>ツキ</t>
    </rPh>
    <phoneticPr fontId="7"/>
  </si>
  <si>
    <t>31年/1-3月</t>
    <rPh sb="2" eb="3">
      <t>ネン</t>
    </rPh>
    <rPh sb="7" eb="8">
      <t>ツキ</t>
    </rPh>
    <phoneticPr fontId="7"/>
  </si>
  <si>
    <t>令和元年度</t>
    <rPh sb="0" eb="2">
      <t>レイワ</t>
    </rPh>
    <rPh sb="2" eb="4">
      <t>ガンネン</t>
    </rPh>
    <rPh sb="4" eb="5">
      <t>ド</t>
    </rPh>
    <phoneticPr fontId="7"/>
  </si>
  <si>
    <t>2年/1-3月</t>
    <rPh sb="1" eb="2">
      <t>ネン</t>
    </rPh>
    <rPh sb="6" eb="7">
      <t>ツキ</t>
    </rPh>
    <phoneticPr fontId="7"/>
  </si>
  <si>
    <t>令和2年度</t>
    <rPh sb="0" eb="2">
      <t>レイワ</t>
    </rPh>
    <rPh sb="3" eb="5">
      <t>ネンド</t>
    </rPh>
    <rPh sb="4" eb="5">
      <t>ド</t>
    </rPh>
    <phoneticPr fontId="7"/>
  </si>
  <si>
    <t>3年/1-3月</t>
  </si>
  <si>
    <t>令和3年度</t>
    <rPh sb="0" eb="2">
      <t>レイワ</t>
    </rPh>
    <rPh sb="3" eb="5">
      <t>ネンド</t>
    </rPh>
    <rPh sb="4" eb="5">
      <t>ド</t>
    </rPh>
    <phoneticPr fontId="7"/>
  </si>
  <si>
    <t>4年/1-3月</t>
  </si>
  <si>
    <t>令和4年度</t>
    <rPh sb="0" eb="2">
      <t>レイワ</t>
    </rPh>
    <rPh sb="3" eb="5">
      <t>ネンド</t>
    </rPh>
    <rPh sb="4" eb="5">
      <t>ド</t>
    </rPh>
    <phoneticPr fontId="7"/>
  </si>
  <si>
    <t>5年/1-3月</t>
    <phoneticPr fontId="5"/>
  </si>
  <si>
    <t>令和5年度</t>
    <rPh sb="0" eb="2">
      <t>レイワ</t>
    </rPh>
    <rPh sb="3" eb="5">
      <t>ネンド</t>
    </rPh>
    <rPh sb="4" eb="5">
      <t>ド</t>
    </rPh>
    <phoneticPr fontId="7"/>
  </si>
  <si>
    <t>6年/1-3月</t>
  </si>
  <si>
    <t>県内総生産（名目年度）</t>
    <rPh sb="0" eb="2">
      <t>ケンナイ</t>
    </rPh>
    <rPh sb="2" eb="5">
      <t>ソウセイサン</t>
    </rPh>
    <rPh sb="6" eb="8">
      <t>メイモク</t>
    </rPh>
    <rPh sb="8" eb="10">
      <t>ネンド</t>
    </rPh>
    <phoneticPr fontId="7"/>
  </si>
  <si>
    <t>2006.4-07.3</t>
  </si>
  <si>
    <t>2007.4-08.3</t>
  </si>
  <si>
    <t>2008.4-09.3</t>
  </si>
  <si>
    <t>2009.4-10.3</t>
  </si>
  <si>
    <t>2010.4-11.3</t>
  </si>
  <si>
    <t>2011.4-12.3</t>
  </si>
  <si>
    <t>2012.4-13.3</t>
  </si>
  <si>
    <t>2013.4-14.3</t>
  </si>
  <si>
    <t>2014.4-15.3</t>
  </si>
  <si>
    <t>2015.4-16.3</t>
  </si>
  <si>
    <t>2016.4-17.3</t>
  </si>
  <si>
    <t>2017.4-18.3</t>
  </si>
  <si>
    <t>2018.4-19.3</t>
  </si>
  <si>
    <t>令和元年度</t>
    <rPh sb="0" eb="2">
      <t>レイワ</t>
    </rPh>
    <rPh sb="2" eb="3">
      <t>ガン</t>
    </rPh>
    <phoneticPr fontId="7"/>
  </si>
  <si>
    <t>2019.4-20.3</t>
  </si>
  <si>
    <t>令和2年度</t>
    <rPh sb="0" eb="2">
      <t>レイワ</t>
    </rPh>
    <phoneticPr fontId="7"/>
  </si>
  <si>
    <t>2020.4-21.3</t>
  </si>
  <si>
    <t>令和3年度</t>
    <rPh sb="0" eb="2">
      <t>レイワ</t>
    </rPh>
    <phoneticPr fontId="7"/>
  </si>
  <si>
    <t>2021.4-22.3</t>
  </si>
  <si>
    <t>令和4年度</t>
    <rPh sb="0" eb="2">
      <t>レイワ</t>
    </rPh>
    <phoneticPr fontId="7"/>
  </si>
  <si>
    <t>2022.4-23.3</t>
  </si>
  <si>
    <t>令和5年度</t>
    <rPh sb="0" eb="2">
      <t>レイワ</t>
    </rPh>
    <phoneticPr fontId="7"/>
  </si>
  <si>
    <t>2023.4-24.3</t>
  </si>
  <si>
    <t>※　端数処理の関係で、県民経済計算・確報年度値と四半期の年度計とは必ずしも一致しない。</t>
    <rPh sb="2" eb="4">
      <t>ハスウ</t>
    </rPh>
    <rPh sb="4" eb="6">
      <t>ショリ</t>
    </rPh>
    <rPh sb="7" eb="9">
      <t>カンケイ</t>
    </rPh>
    <rPh sb="11" eb="13">
      <t>ケンミン</t>
    </rPh>
    <rPh sb="13" eb="15">
      <t>ケイザイ</t>
    </rPh>
    <rPh sb="15" eb="17">
      <t>ケイサン</t>
    </rPh>
    <rPh sb="18" eb="20">
      <t>カクホウ</t>
    </rPh>
    <rPh sb="20" eb="22">
      <t>ネンド</t>
    </rPh>
    <rPh sb="22" eb="23">
      <t>アタイ</t>
    </rPh>
    <rPh sb="24" eb="27">
      <t>シハンキ</t>
    </rPh>
    <rPh sb="28" eb="30">
      <t>ネンド</t>
    </rPh>
    <rPh sb="30" eb="31">
      <t>ケイ</t>
    </rPh>
    <rPh sb="33" eb="34">
      <t>カナラ</t>
    </rPh>
    <rPh sb="37" eb="39">
      <t>イッチ</t>
    </rPh>
    <phoneticPr fontId="5"/>
  </si>
  <si>
    <t xml:space="preserve"> </t>
    <phoneticPr fontId="7"/>
  </si>
  <si>
    <t>県内総生産（名目暦年）</t>
    <rPh sb="0" eb="2">
      <t>ケンナイ</t>
    </rPh>
    <rPh sb="2" eb="5">
      <t>ソウセイサン</t>
    </rPh>
    <rPh sb="8" eb="10">
      <t>レキネン</t>
    </rPh>
    <phoneticPr fontId="7"/>
  </si>
  <si>
    <t>平成19年</t>
  </si>
  <si>
    <t>2007.1-12</t>
  </si>
  <si>
    <t>平成20年</t>
  </si>
  <si>
    <t>2008.1-12</t>
  </si>
  <si>
    <t>平成21年</t>
  </si>
  <si>
    <t>2009.1-12</t>
  </si>
  <si>
    <t>平成22年</t>
  </si>
  <si>
    <t>2010.1-12</t>
  </si>
  <si>
    <t>平成23年</t>
  </si>
  <si>
    <t>2011.1-12</t>
  </si>
  <si>
    <t>2012.1-12</t>
  </si>
  <si>
    <t>平成25年</t>
  </si>
  <si>
    <t>2013.1-12</t>
  </si>
  <si>
    <t>2014.1-12</t>
  </si>
  <si>
    <t>平成27年</t>
  </si>
  <si>
    <t>2015.1-12</t>
  </si>
  <si>
    <t>平成28年</t>
  </si>
  <si>
    <t>2016.1-12</t>
  </si>
  <si>
    <t>平成29年</t>
  </si>
  <si>
    <t>2017.1-12</t>
  </si>
  <si>
    <t>平成30年</t>
  </si>
  <si>
    <t>2018.1-12</t>
  </si>
  <si>
    <t>2019.1-12</t>
  </si>
  <si>
    <t>2020.1-12</t>
  </si>
  <si>
    <t>2021.1-12</t>
  </si>
  <si>
    <t>2022.1-12</t>
  </si>
  <si>
    <t>令和5年</t>
    <rPh sb="0" eb="2">
      <t>レイワ</t>
    </rPh>
    <phoneticPr fontId="7"/>
  </si>
  <si>
    <t>2023.1-12</t>
  </si>
  <si>
    <t>2020年</t>
    <rPh sb="4" eb="5">
      <t>ネン</t>
    </rPh>
    <phoneticPr fontId="1"/>
  </si>
  <si>
    <t>統計表1 兵庫県スポーツ産業県内産出額</t>
    <rPh sb="0" eb="2">
      <t>トウケイ</t>
    </rPh>
    <rPh sb="2" eb="3">
      <t>ヒョウ</t>
    </rPh>
    <rPh sb="5" eb="8">
      <t>ヒョウゴケン</t>
    </rPh>
    <rPh sb="12" eb="14">
      <t>サンギョウ</t>
    </rPh>
    <rPh sb="14" eb="16">
      <t>ケンナイ</t>
    </rPh>
    <rPh sb="16" eb="18">
      <t>サンシュツ</t>
    </rPh>
    <rPh sb="18" eb="19">
      <t>ガク</t>
    </rPh>
    <phoneticPr fontId="5"/>
  </si>
  <si>
    <t>統計表２ 兵庫県スポーツ産業県内総生産</t>
    <rPh sb="0" eb="2">
      <t>トウケイ</t>
    </rPh>
    <rPh sb="2" eb="3">
      <t>ヒョウ</t>
    </rPh>
    <rPh sb="5" eb="8">
      <t>ヒョウゴケン</t>
    </rPh>
    <rPh sb="12" eb="14">
      <t>サンギョウ</t>
    </rPh>
    <rPh sb="14" eb="16">
      <t>ケンナイ</t>
    </rPh>
    <rPh sb="16" eb="19">
      <t>ソウセイサン</t>
    </rPh>
    <phoneticPr fontId="5"/>
  </si>
  <si>
    <t>スポーツ用衣服等製造業</t>
    <rPh sb="4" eb="5">
      <t>ヨウ</t>
    </rPh>
    <rPh sb="5" eb="7">
      <t>イフク</t>
    </rPh>
    <rPh sb="7" eb="8">
      <t>トウ</t>
    </rPh>
    <rPh sb="8" eb="11">
      <t>セイゾウギョウ</t>
    </rPh>
    <phoneticPr fontId="1"/>
  </si>
  <si>
    <t>興行場</t>
    <rPh sb="0" eb="2">
      <t>コウギョウ</t>
    </rPh>
    <rPh sb="2" eb="3">
      <t>バ</t>
    </rPh>
    <phoneticPr fontId="1"/>
  </si>
  <si>
    <t>演芸・スポーツ等興行団</t>
    <rPh sb="0" eb="2">
      <t>エンゲイ</t>
    </rPh>
    <rPh sb="7" eb="8">
      <t>トウ</t>
    </rPh>
    <rPh sb="8" eb="10">
      <t>コウギョウ</t>
    </rPh>
    <rPh sb="10" eb="11">
      <t>ダン</t>
    </rPh>
    <phoneticPr fontId="1"/>
  </si>
  <si>
    <t>競輪場</t>
    <rPh sb="0" eb="3">
      <t>ケイリンジョウ</t>
    </rPh>
    <phoneticPr fontId="1"/>
  </si>
  <si>
    <t>競馬場</t>
    <rPh sb="0" eb="3">
      <t>ケイバジョウ</t>
    </rPh>
    <phoneticPr fontId="1"/>
  </si>
  <si>
    <t>自動車・モーターボートの競争場</t>
    <rPh sb="0" eb="3">
      <t>ジドウシャ</t>
    </rPh>
    <rPh sb="12" eb="14">
      <t>キョウソウ</t>
    </rPh>
    <rPh sb="14" eb="15">
      <t>バ</t>
    </rPh>
    <phoneticPr fontId="1"/>
  </si>
  <si>
    <t>競輪競技団</t>
    <rPh sb="0" eb="2">
      <t>ケイリン</t>
    </rPh>
    <rPh sb="2" eb="4">
      <t>キョウギ</t>
    </rPh>
    <rPh sb="4" eb="5">
      <t>ダン</t>
    </rPh>
    <phoneticPr fontId="1"/>
  </si>
  <si>
    <t>競馬競技団</t>
    <rPh sb="0" eb="2">
      <t>ケイバ</t>
    </rPh>
    <rPh sb="2" eb="4">
      <t>キョウギ</t>
    </rPh>
    <rPh sb="4" eb="5">
      <t>ダン</t>
    </rPh>
    <phoneticPr fontId="1"/>
  </si>
  <si>
    <t>自動車・モーターボートの競争場モーターボートの競技団</t>
    <rPh sb="0" eb="3">
      <t>ジドウシャ</t>
    </rPh>
    <rPh sb="12" eb="14">
      <t>キョウソウ</t>
    </rPh>
    <rPh sb="14" eb="15">
      <t>バ</t>
    </rPh>
    <rPh sb="23" eb="25">
      <t>キョウギ</t>
    </rPh>
    <rPh sb="25" eb="26">
      <t>ダン</t>
    </rPh>
    <phoneticPr fontId="1"/>
  </si>
  <si>
    <t>803Z</t>
    <phoneticPr fontId="1"/>
  </si>
  <si>
    <t>競輪・競馬等の競走場、競技団内格付不能</t>
    <rPh sb="0" eb="2">
      <t>ケイリン</t>
    </rPh>
    <rPh sb="3" eb="5">
      <t>ケイバ</t>
    </rPh>
    <rPh sb="5" eb="6">
      <t>トウ</t>
    </rPh>
    <rPh sb="7" eb="10">
      <t>キョウソウジョウ</t>
    </rPh>
    <rPh sb="11" eb="13">
      <t>キョウギ</t>
    </rPh>
    <rPh sb="13" eb="14">
      <t>ダン</t>
    </rPh>
    <rPh sb="14" eb="15">
      <t>ナイ</t>
    </rPh>
    <rPh sb="15" eb="16">
      <t>カク</t>
    </rPh>
    <rPh sb="16" eb="17">
      <t>ツ</t>
    </rPh>
    <rPh sb="17" eb="19">
      <t>フノウ</t>
    </rPh>
    <phoneticPr fontId="1"/>
  </si>
  <si>
    <t>スポーツ施設提供業（別掲を除く）</t>
    <rPh sb="4" eb="6">
      <t>シセツ</t>
    </rPh>
    <rPh sb="6" eb="8">
      <t>テイキョウ</t>
    </rPh>
    <rPh sb="8" eb="9">
      <t>ギョウ</t>
    </rPh>
    <rPh sb="10" eb="11">
      <t>ベツ</t>
    </rPh>
    <rPh sb="13" eb="14">
      <t>ノゾ</t>
    </rPh>
    <phoneticPr fontId="1"/>
  </si>
  <si>
    <t>体育館</t>
    <rPh sb="0" eb="3">
      <t>タイイクカン</t>
    </rPh>
    <phoneticPr fontId="1"/>
  </si>
  <si>
    <t>ゴルフ場</t>
    <rPh sb="3" eb="4">
      <t>ジョウ</t>
    </rPh>
    <phoneticPr fontId="1"/>
  </si>
  <si>
    <t>ゴルフ練習場</t>
    <rPh sb="3" eb="6">
      <t>レンシュウジョウ</t>
    </rPh>
    <phoneticPr fontId="1"/>
  </si>
  <si>
    <t>ボウリング場</t>
    <rPh sb="5" eb="6">
      <t>バ</t>
    </rPh>
    <phoneticPr fontId="1"/>
  </si>
  <si>
    <t>テニス場</t>
    <rPh sb="3" eb="4">
      <t>バ</t>
    </rPh>
    <phoneticPr fontId="1"/>
  </si>
  <si>
    <t>バッティング・テニス練習場</t>
    <rPh sb="10" eb="13">
      <t>レンシュウジョウ</t>
    </rPh>
    <phoneticPr fontId="1"/>
  </si>
  <si>
    <t>フィットネスクラブ</t>
    <phoneticPr fontId="1"/>
  </si>
  <si>
    <t>804Z</t>
    <phoneticPr fontId="1"/>
  </si>
  <si>
    <t>スポーツ施設提供業内格付不能</t>
    <rPh sb="4" eb="6">
      <t>シセツ</t>
    </rPh>
    <rPh sb="6" eb="8">
      <t>テイキョウ</t>
    </rPh>
    <rPh sb="8" eb="9">
      <t>ギョウ</t>
    </rPh>
    <rPh sb="9" eb="10">
      <t>ナイ</t>
    </rPh>
    <rPh sb="10" eb="11">
      <t>カク</t>
    </rPh>
    <rPh sb="11" eb="12">
      <t>ツ</t>
    </rPh>
    <rPh sb="12" eb="14">
      <t>フノウ</t>
    </rPh>
    <phoneticPr fontId="1"/>
  </si>
  <si>
    <t>囲碁・将棋所</t>
    <rPh sb="0" eb="2">
      <t>イゴ</t>
    </rPh>
    <rPh sb="3" eb="5">
      <t>ショウギ</t>
    </rPh>
    <rPh sb="5" eb="6">
      <t>ショ</t>
    </rPh>
    <phoneticPr fontId="1"/>
  </si>
  <si>
    <t>マージャンクラフ</t>
    <phoneticPr fontId="1"/>
  </si>
  <si>
    <t>ダンスホール</t>
    <phoneticPr fontId="1"/>
  </si>
  <si>
    <t>マリーナ業</t>
    <rPh sb="4" eb="5">
      <t>ギョウ</t>
    </rPh>
    <phoneticPr fontId="1"/>
  </si>
  <si>
    <t>遊漁船業</t>
    <rPh sb="0" eb="3">
      <t>ユウギョセン</t>
    </rPh>
    <rPh sb="3" eb="4">
      <t>ギョウ</t>
    </rPh>
    <phoneticPr fontId="1"/>
  </si>
  <si>
    <t>他に分類されない娯楽業</t>
    <rPh sb="0" eb="1">
      <t>ホカ</t>
    </rPh>
    <rPh sb="2" eb="4">
      <t>ブンルイ</t>
    </rPh>
    <rPh sb="8" eb="11">
      <t>ゴラクギョウ</t>
    </rPh>
    <phoneticPr fontId="1"/>
  </si>
  <si>
    <t>青少年教育施設</t>
    <rPh sb="0" eb="3">
      <t>セイショウネン</t>
    </rPh>
    <rPh sb="3" eb="5">
      <t>キョウイク</t>
    </rPh>
    <rPh sb="5" eb="7">
      <t>シセツ</t>
    </rPh>
    <phoneticPr fontId="1"/>
  </si>
  <si>
    <t>スポーツ・健康教授業</t>
    <rPh sb="5" eb="7">
      <t>ケンコウ</t>
    </rPh>
    <rPh sb="7" eb="9">
      <t>キョウジュ</t>
    </rPh>
    <rPh sb="9" eb="10">
      <t>ギョウ</t>
    </rPh>
    <phoneticPr fontId="1"/>
  </si>
  <si>
    <t>従業者数_男女計</t>
    <phoneticPr fontId="1"/>
  </si>
  <si>
    <t>スポーツサテライト勘定目次</t>
    <rPh sb="9" eb="11">
      <t>カンジョウ</t>
    </rPh>
    <rPh sb="11" eb="13">
      <t>モクジ</t>
    </rPh>
    <phoneticPr fontId="1"/>
  </si>
  <si>
    <t>概要表</t>
    <rPh sb="0" eb="2">
      <t>ガイヨウ</t>
    </rPh>
    <rPh sb="2" eb="3">
      <t>ヒョウ</t>
    </rPh>
    <phoneticPr fontId="1"/>
  </si>
  <si>
    <t>経済波及効果</t>
    <rPh sb="0" eb="2">
      <t>ケイザイ</t>
    </rPh>
    <rPh sb="2" eb="4">
      <t>ハキュウ</t>
    </rPh>
    <rPh sb="4" eb="6">
      <t>コウカ</t>
    </rPh>
    <phoneticPr fontId="1"/>
  </si>
  <si>
    <t>推計ワークシート</t>
    <rPh sb="0" eb="2">
      <t>スイケイ</t>
    </rPh>
    <phoneticPr fontId="1"/>
  </si>
  <si>
    <t>従業者数</t>
    <rPh sb="0" eb="3">
      <t>ジュウギョウシャ</t>
    </rPh>
    <rPh sb="3" eb="4">
      <t>スウ</t>
    </rPh>
    <phoneticPr fontId="1"/>
  </si>
  <si>
    <t>統計定義</t>
    <rPh sb="0" eb="2">
      <t>トウケイ</t>
    </rPh>
    <rPh sb="2" eb="4">
      <t>テイギ</t>
    </rPh>
    <phoneticPr fontId="1"/>
  </si>
  <si>
    <t>項目</t>
    <rPh sb="0" eb="2">
      <t>コウモク</t>
    </rPh>
    <phoneticPr fontId="1"/>
  </si>
  <si>
    <t>　備考</t>
    <rPh sb="1" eb="3">
      <t>ビコウ</t>
    </rPh>
    <phoneticPr fontId="1"/>
  </si>
  <si>
    <t>スポーツ産業県内総生産</t>
    <rPh sb="4" eb="6">
      <t>サンギョウ</t>
    </rPh>
    <rPh sb="6" eb="8">
      <t>ケンナイ</t>
    </rPh>
    <rPh sb="8" eb="11">
      <t>ソウセイサン</t>
    </rPh>
    <phoneticPr fontId="1"/>
  </si>
  <si>
    <t>スポーツ産業県内産出額</t>
    <rPh sb="4" eb="6">
      <t>サンギョウ</t>
    </rPh>
    <rPh sb="6" eb="8">
      <t>ケンナイ</t>
    </rPh>
    <rPh sb="8" eb="10">
      <t>サンシュツ</t>
    </rPh>
    <rPh sb="10" eb="11">
      <t>ガク</t>
    </rPh>
    <phoneticPr fontId="1"/>
  </si>
  <si>
    <t>統計分類</t>
    <rPh sb="0" eb="2">
      <t>トウケイ</t>
    </rPh>
    <rPh sb="2" eb="4">
      <t>ブンルイ</t>
    </rPh>
    <phoneticPr fontId="1"/>
  </si>
  <si>
    <t>令和3年経済センサス-活動調査</t>
    <rPh sb="0" eb="2">
      <t>レイワ</t>
    </rPh>
    <rPh sb="3" eb="4">
      <t>ネン</t>
    </rPh>
    <rPh sb="4" eb="6">
      <t>ケイザイ</t>
    </rPh>
    <rPh sb="11" eb="13">
      <t>カツドウ</t>
    </rPh>
    <rPh sb="13" eb="15">
      <t>チョウサ</t>
    </rPh>
    <phoneticPr fontId="1"/>
  </si>
  <si>
    <t>39部門</t>
    <rPh sb="2" eb="4">
      <t>ブモン</t>
    </rPh>
    <phoneticPr fontId="1"/>
  </si>
  <si>
    <t>106部門</t>
    <rPh sb="3" eb="5">
      <t>ブモン</t>
    </rPh>
    <phoneticPr fontId="1"/>
  </si>
  <si>
    <t>分類ｺｰﾄﾞ</t>
    <rPh sb="0" eb="2">
      <t>ブンルイ</t>
    </rPh>
    <phoneticPr fontId="1"/>
  </si>
  <si>
    <t>項目名</t>
    <rPh sb="0" eb="3">
      <t>コウモクメイ</t>
    </rPh>
    <phoneticPr fontId="1"/>
  </si>
  <si>
    <t>備考</t>
    <rPh sb="0" eb="2">
      <t>ビコウ</t>
    </rPh>
    <phoneticPr fontId="1"/>
  </si>
  <si>
    <t>スポーツ産業統計定義(例示）</t>
    <rPh sb="4" eb="6">
      <t>サンギョウ</t>
    </rPh>
    <rPh sb="6" eb="8">
      <t>トウケイ</t>
    </rPh>
    <rPh sb="8" eb="10">
      <t>テイギ</t>
    </rPh>
    <rPh sb="11" eb="13">
      <t>レイジ</t>
    </rPh>
    <phoneticPr fontId="1"/>
  </si>
  <si>
    <t>令和5年</t>
    <rPh sb="0" eb="2">
      <t>レイワ</t>
    </rPh>
    <rPh sb="3" eb="4">
      <t>ネン</t>
    </rPh>
    <phoneticPr fontId="1"/>
  </si>
  <si>
    <t>令和元年</t>
    <rPh sb="0" eb="2">
      <t>レイワ</t>
    </rPh>
    <rPh sb="2" eb="3">
      <t>ガン</t>
    </rPh>
    <phoneticPr fontId="7"/>
  </si>
  <si>
    <t>令和2年</t>
    <rPh sb="0" eb="2">
      <t>レイワ</t>
    </rPh>
    <phoneticPr fontId="7"/>
  </si>
  <si>
    <t>令和3年</t>
    <rPh sb="0" eb="2">
      <t>レイワ</t>
    </rPh>
    <phoneticPr fontId="7"/>
  </si>
  <si>
    <t>令和4年</t>
    <rPh sb="0" eb="2">
      <t>レイワ</t>
    </rPh>
    <phoneticPr fontId="7"/>
  </si>
  <si>
    <t>2023年</t>
    <rPh sb="4" eb="5">
      <t>ネン</t>
    </rPh>
    <phoneticPr fontId="1"/>
  </si>
  <si>
    <t>2023生産額</t>
    <rPh sb="4" eb="7">
      <t>セイサンガク</t>
    </rPh>
    <phoneticPr fontId="1"/>
  </si>
  <si>
    <t>2023試算値</t>
    <rPh sb="4" eb="7">
      <t>シサンチ</t>
    </rPh>
    <phoneticPr fontId="1"/>
  </si>
  <si>
    <t>2023年</t>
    <rPh sb="4" eb="5">
      <t>ネン</t>
    </rPh>
    <phoneticPr fontId="1"/>
  </si>
  <si>
    <t>表　スポーツ産業県内生産額（名目）試算</t>
    <rPh sb="0" eb="1">
      <t>ヒョウ</t>
    </rPh>
    <rPh sb="6" eb="8">
      <t>サンギョウ</t>
    </rPh>
    <rPh sb="8" eb="10">
      <t>ケンナイ</t>
    </rPh>
    <rPh sb="10" eb="13">
      <t>セイサンガク</t>
    </rPh>
    <rPh sb="14" eb="16">
      <t>メイモク</t>
    </rPh>
    <rPh sb="17" eb="19">
      <t>シサン</t>
    </rPh>
    <phoneticPr fontId="1"/>
  </si>
  <si>
    <t>県内総生産（支出側／名目暦年）</t>
  </si>
  <si>
    <t>県内総生産</t>
  </si>
  <si>
    <t>項目</t>
  </si>
  <si>
    <t>（支出側）</t>
  </si>
  <si>
    <t>平成18年</t>
  </si>
  <si>
    <t>2006.1-12</t>
  </si>
  <si>
    <t>令和元年</t>
  </si>
  <si>
    <t>令和2年</t>
  </si>
  <si>
    <t>令和3年</t>
  </si>
  <si>
    <t>令和4年</t>
  </si>
  <si>
    <t>令和5年</t>
  </si>
  <si>
    <t>※青字部分：国CTと経セン全国値の比較のため参考入力、オレンジセル：直接入力から按分に変更要検討</t>
    <rPh sb="1" eb="3">
      <t>アオジ</t>
    </rPh>
    <rPh sb="3" eb="5">
      <t>ブブン</t>
    </rPh>
    <rPh sb="6" eb="7">
      <t>クニ</t>
    </rPh>
    <rPh sb="10" eb="11">
      <t>キョウ</t>
    </rPh>
    <rPh sb="13" eb="15">
      <t>ゼンコク</t>
    </rPh>
    <rPh sb="15" eb="16">
      <t>アタイ</t>
    </rPh>
    <rPh sb="17" eb="19">
      <t>ヒカク</t>
    </rPh>
    <rPh sb="22" eb="24">
      <t>サンコウ</t>
    </rPh>
    <rPh sb="24" eb="26">
      <t>ニュウリョク</t>
    </rPh>
    <rPh sb="34" eb="36">
      <t>チョクセツ</t>
    </rPh>
    <rPh sb="36" eb="38">
      <t>ニュウリョク</t>
    </rPh>
    <rPh sb="40" eb="42">
      <t>アンブン</t>
    </rPh>
    <rPh sb="43" eb="45">
      <t>ヘンコウ</t>
    </rPh>
    <rPh sb="45" eb="46">
      <t>ヨウ</t>
    </rPh>
    <rPh sb="46" eb="48">
      <t>ケントウ</t>
    </rPh>
    <phoneticPr fontId="5"/>
  </si>
  <si>
    <t>基本分類（443行×389列）</t>
    <rPh sb="0" eb="2">
      <t>キホン</t>
    </rPh>
    <rPh sb="2" eb="4">
      <t>ブンルイ</t>
    </rPh>
    <rPh sb="8" eb="9">
      <t>ギョウ</t>
    </rPh>
    <rPh sb="13" eb="14">
      <t>レツ</t>
    </rPh>
    <phoneticPr fontId="15"/>
  </si>
  <si>
    <t>R2国CT</t>
    <rPh sb="2" eb="3">
      <t>クニ</t>
    </rPh>
    <phoneticPr fontId="5"/>
  </si>
  <si>
    <t>県按分指標</t>
    <rPh sb="0" eb="1">
      <t>ケン</t>
    </rPh>
    <rPh sb="1" eb="3">
      <t>アンブン</t>
    </rPh>
    <rPh sb="3" eb="5">
      <t>シヒョウ</t>
    </rPh>
    <phoneticPr fontId="5"/>
  </si>
  <si>
    <t>国按分指標</t>
    <rPh sb="0" eb="1">
      <t>クニ</t>
    </rPh>
    <rPh sb="1" eb="3">
      <t>アンブン</t>
    </rPh>
    <rPh sb="3" eb="5">
      <t>シヒョウ</t>
    </rPh>
    <phoneticPr fontId="5"/>
  </si>
  <si>
    <t>県生産数量</t>
    <rPh sb="0" eb="1">
      <t>ケン</t>
    </rPh>
    <rPh sb="1" eb="3">
      <t>セイサン</t>
    </rPh>
    <rPh sb="3" eb="5">
      <t>スウリョウ</t>
    </rPh>
    <phoneticPr fontId="14"/>
  </si>
  <si>
    <t>県単価</t>
    <rPh sb="0" eb="1">
      <t>ケン</t>
    </rPh>
    <rPh sb="1" eb="3">
      <t>タンカ</t>
    </rPh>
    <phoneticPr fontId="14"/>
  </si>
  <si>
    <t>CT（列）</t>
    <rPh sb="3" eb="4">
      <t>レツ</t>
    </rPh>
    <phoneticPr fontId="14"/>
  </si>
  <si>
    <t>使用表（H19全国研究会議資料）</t>
    <rPh sb="0" eb="2">
      <t>シヨウ</t>
    </rPh>
    <rPh sb="2" eb="3">
      <t>ヒョウ</t>
    </rPh>
    <rPh sb="13" eb="15">
      <t>シリョウ</t>
    </rPh>
    <phoneticPr fontId="14"/>
  </si>
  <si>
    <t>使用表</t>
    <rPh sb="0" eb="2">
      <t>シヨウ</t>
    </rPh>
    <rPh sb="2" eb="3">
      <t>ヒョウ</t>
    </rPh>
    <phoneticPr fontId="5"/>
  </si>
  <si>
    <t>所管</t>
    <rPh sb="0" eb="2">
      <t>ショカン</t>
    </rPh>
    <phoneticPr fontId="5"/>
  </si>
  <si>
    <t>コメント</t>
    <phoneticPr fontId="5"/>
  </si>
  <si>
    <t>（生産額or量）</t>
    <rPh sb="1" eb="4">
      <t>セイサンガク</t>
    </rPh>
    <rPh sb="6" eb="7">
      <t>リョウ</t>
    </rPh>
    <phoneticPr fontId="14"/>
  </si>
  <si>
    <t>（Q)</t>
    <phoneticPr fontId="14"/>
  </si>
  <si>
    <t>（P)</t>
    <phoneticPr fontId="14"/>
  </si>
  <si>
    <t>（百万円）</t>
  </si>
  <si>
    <t>Ｆ=A*B/C</t>
    <phoneticPr fontId="5"/>
  </si>
  <si>
    <t>C</t>
    <phoneticPr fontId="5"/>
  </si>
  <si>
    <t>Ｄ</t>
    <phoneticPr fontId="14"/>
  </si>
  <si>
    <t>Ｅ</t>
    <phoneticPr fontId="14"/>
  </si>
  <si>
    <t>orD×Ｅ/100万</t>
    <rPh sb="9" eb="10">
      <t>マン</t>
    </rPh>
    <phoneticPr fontId="14"/>
  </si>
  <si>
    <t>Q:作物統計×P:生産農業所得統計</t>
    <rPh sb="2" eb="4">
      <t>サクモツ</t>
    </rPh>
    <rPh sb="4" eb="6">
      <t>トウケイ</t>
    </rPh>
    <rPh sb="9" eb="11">
      <t>セイサン</t>
    </rPh>
    <rPh sb="11" eb="13">
      <t>ノウギョウ</t>
    </rPh>
    <rPh sb="13" eb="15">
      <t>ショトク</t>
    </rPh>
    <rPh sb="15" eb="17">
      <t>トウケイ</t>
    </rPh>
    <phoneticPr fontId="14"/>
  </si>
  <si>
    <t>R2作物統計×R2生産農業所得統計（近畿農政局内部資料）</t>
    <rPh sb="2" eb="4">
      <t>サクモツ</t>
    </rPh>
    <rPh sb="4" eb="6">
      <t>トウケイ</t>
    </rPh>
    <rPh sb="9" eb="11">
      <t>セイサン</t>
    </rPh>
    <rPh sb="11" eb="13">
      <t>ノウギョウ</t>
    </rPh>
    <rPh sb="13" eb="15">
      <t>ショトク</t>
    </rPh>
    <rPh sb="15" eb="17">
      <t>トウケイ</t>
    </rPh>
    <rPh sb="18" eb="20">
      <t>キンキ</t>
    </rPh>
    <rPh sb="20" eb="22">
      <t>ノウセイ</t>
    </rPh>
    <rPh sb="22" eb="23">
      <t>キョク</t>
    </rPh>
    <rPh sb="23" eb="25">
      <t>ナイブ</t>
    </rPh>
    <rPh sb="25" eb="27">
      <t>シリョウ</t>
    </rPh>
    <phoneticPr fontId="14"/>
  </si>
  <si>
    <t>近畿農政局兵庫県統計情報事務所(内部資料)</t>
    <rPh sb="0" eb="2">
      <t>キンキ</t>
    </rPh>
    <rPh sb="2" eb="5">
      <t>ノウセイキョク</t>
    </rPh>
    <rPh sb="5" eb="7">
      <t>ヒョウゴ</t>
    </rPh>
    <rPh sb="7" eb="8">
      <t>ケン</t>
    </rPh>
    <rPh sb="8" eb="10">
      <t>トウケイ</t>
    </rPh>
    <rPh sb="10" eb="12">
      <t>ジョウホウ</t>
    </rPh>
    <rPh sb="12" eb="14">
      <t>ジム</t>
    </rPh>
    <rPh sb="14" eb="15">
      <t>ショ</t>
    </rPh>
    <rPh sb="16" eb="18">
      <t>ナイブ</t>
    </rPh>
    <rPh sb="18" eb="20">
      <t>シリョウ</t>
    </rPh>
    <phoneticPr fontId="14"/>
  </si>
  <si>
    <t>「水稲」。数量は作物統計、単価は生産農業所得統計からとる。（H26年度全国研究会議資料１に基づく）</t>
    <rPh sb="1" eb="2">
      <t>ミズ</t>
    </rPh>
    <rPh sb="2" eb="3">
      <t>イネ</t>
    </rPh>
    <rPh sb="5" eb="7">
      <t>スウリョウ</t>
    </rPh>
    <rPh sb="8" eb="10">
      <t>サクモツ</t>
    </rPh>
    <rPh sb="10" eb="12">
      <t>トウケイ</t>
    </rPh>
    <rPh sb="13" eb="15">
      <t>タンカ</t>
    </rPh>
    <rPh sb="16" eb="18">
      <t>セイサン</t>
    </rPh>
    <rPh sb="18" eb="20">
      <t>ノウギョウ</t>
    </rPh>
    <rPh sb="20" eb="22">
      <t>ショトク</t>
    </rPh>
    <rPh sb="22" eb="24">
      <t>トウケイ</t>
    </rPh>
    <rPh sb="33" eb="35">
      <t>ネンド</t>
    </rPh>
    <rPh sb="35" eb="37">
      <t>ゼンコク</t>
    </rPh>
    <rPh sb="37" eb="39">
      <t>ケンキュウ</t>
    </rPh>
    <rPh sb="39" eb="41">
      <t>カイギ</t>
    </rPh>
    <rPh sb="41" eb="43">
      <t>シリョウ</t>
    </rPh>
    <rPh sb="45" eb="46">
      <t>モト</t>
    </rPh>
    <phoneticPr fontId="14"/>
  </si>
  <si>
    <t>R2年産新規需要米生産集出荷数量</t>
    <rPh sb="2" eb="3">
      <t>ネン</t>
    </rPh>
    <rPh sb="4" eb="6">
      <t>シンキ</t>
    </rPh>
    <rPh sb="6" eb="8">
      <t>ジュヨウ</t>
    </rPh>
    <rPh sb="8" eb="9">
      <t>コメ</t>
    </rPh>
    <rPh sb="9" eb="11">
      <t>セイサン</t>
    </rPh>
    <rPh sb="11" eb="12">
      <t>シュウ</t>
    </rPh>
    <rPh sb="12" eb="14">
      <t>シュッカ</t>
    </rPh>
    <rPh sb="14" eb="16">
      <t>スウリョウ</t>
    </rPh>
    <phoneticPr fontId="14"/>
  </si>
  <si>
    <t>H23からの新規項目。非食用米（飼料用、バイオエタノール用）を新たに追加する趣旨であると農水省の推計方法に示されているので、「新規需要米の生産量」の中の該当項目の生産量（トン）をで按分。（近経局の推計方法に準拠。単価については、直接照会資料では把握できない。）→H27、R2年表も同様とする</t>
    <rPh sb="6" eb="8">
      <t>シンキ</t>
    </rPh>
    <rPh sb="8" eb="10">
      <t>コウモク</t>
    </rPh>
    <rPh sb="11" eb="12">
      <t>ヒ</t>
    </rPh>
    <rPh sb="12" eb="14">
      <t>ショクヨウ</t>
    </rPh>
    <rPh sb="14" eb="15">
      <t>マイ</t>
    </rPh>
    <rPh sb="44" eb="47">
      <t>ノウスイショウ</t>
    </rPh>
    <rPh sb="48" eb="50">
      <t>スイケイ</t>
    </rPh>
    <rPh sb="50" eb="52">
      <t>ホウホウ</t>
    </rPh>
    <rPh sb="63" eb="65">
      <t>シンキ</t>
    </rPh>
    <rPh sb="65" eb="67">
      <t>ジュヨウ</t>
    </rPh>
    <rPh sb="67" eb="68">
      <t>コメ</t>
    </rPh>
    <rPh sb="69" eb="71">
      <t>セイサン</t>
    </rPh>
    <rPh sb="71" eb="72">
      <t>リョウ</t>
    </rPh>
    <rPh sb="90" eb="92">
      <t>アンブン</t>
    </rPh>
    <rPh sb="94" eb="95">
      <t>キン</t>
    </rPh>
    <rPh sb="95" eb="96">
      <t>ケイ</t>
    </rPh>
    <rPh sb="96" eb="97">
      <t>キョク</t>
    </rPh>
    <rPh sb="98" eb="100">
      <t>スイケイ</t>
    </rPh>
    <rPh sb="100" eb="102">
      <t>ホウホウ</t>
    </rPh>
    <rPh sb="103" eb="105">
      <t>ジュンキョ</t>
    </rPh>
    <rPh sb="106" eb="108">
      <t>タンカ</t>
    </rPh>
    <rPh sb="114" eb="116">
      <t>チョクセツ</t>
    </rPh>
    <rPh sb="116" eb="118">
      <t>ショウカイ</t>
    </rPh>
    <rPh sb="118" eb="120">
      <t>シリョウ</t>
    </rPh>
    <rPh sb="122" eb="124">
      <t>ハアク</t>
    </rPh>
    <rPh sb="137" eb="138">
      <t>ネン</t>
    </rPh>
    <rPh sb="138" eb="139">
      <t>ヒョウ</t>
    </rPh>
    <rPh sb="140" eb="142">
      <t>ドウヨウ</t>
    </rPh>
    <phoneticPr fontId="14"/>
  </si>
  <si>
    <t>R2生産農業所得統計（近畿農政局内部資料）</t>
    <phoneticPr fontId="5"/>
  </si>
  <si>
    <t>左記資料から直接取る（近経局の推計方法に準拠）。→H27、R2年表も同様とする</t>
    <rPh sb="0" eb="2">
      <t>サキ</t>
    </rPh>
    <rPh sb="2" eb="4">
      <t>シリョウ</t>
    </rPh>
    <rPh sb="6" eb="8">
      <t>チョクセツ</t>
    </rPh>
    <rPh sb="8" eb="9">
      <t>ト</t>
    </rPh>
    <rPh sb="11" eb="12">
      <t>キン</t>
    </rPh>
    <rPh sb="12" eb="13">
      <t>ケイ</t>
    </rPh>
    <rPh sb="13" eb="14">
      <t>キョク</t>
    </rPh>
    <rPh sb="15" eb="17">
      <t>スイケイ</t>
    </rPh>
    <rPh sb="17" eb="19">
      <t>ホウホウ</t>
    </rPh>
    <rPh sb="20" eb="22">
      <t>ジュンキョ</t>
    </rPh>
    <rPh sb="31" eb="32">
      <t>ネン</t>
    </rPh>
    <rPh sb="32" eb="33">
      <t>ヒョウ</t>
    </rPh>
    <rPh sb="34" eb="36">
      <t>ドウヨウ</t>
    </rPh>
    <phoneticPr fontId="14"/>
  </si>
  <si>
    <t>Q:原価業務資料×P:生産農業所得統計</t>
    <rPh sb="2" eb="4">
      <t>ゲンカ</t>
    </rPh>
    <rPh sb="4" eb="6">
      <t>ギョウム</t>
    </rPh>
    <rPh sb="6" eb="8">
      <t>シリョウ</t>
    </rPh>
    <rPh sb="11" eb="13">
      <t>セイサン</t>
    </rPh>
    <rPh sb="13" eb="15">
      <t>ノウギョウ</t>
    </rPh>
    <rPh sb="15" eb="17">
      <t>ショトク</t>
    </rPh>
    <rPh sb="17" eb="19">
      <t>トウケイ</t>
    </rPh>
    <phoneticPr fontId="14"/>
  </si>
  <si>
    <t>R2作物統計</t>
    <rPh sb="2" eb="4">
      <t>サクモツ</t>
    </rPh>
    <rPh sb="4" eb="6">
      <t>トウケイ</t>
    </rPh>
    <phoneticPr fontId="14"/>
  </si>
  <si>
    <t>H12と同様、稲の収穫量で按分。→H27、R2年表も同様とする</t>
    <rPh sb="4" eb="6">
      <t>ドウヨウ</t>
    </rPh>
    <rPh sb="7" eb="8">
      <t>イネ</t>
    </rPh>
    <rPh sb="9" eb="11">
      <t>シュウカク</t>
    </rPh>
    <rPh sb="11" eb="12">
      <t>リョウ</t>
    </rPh>
    <rPh sb="13" eb="15">
      <t>アンブン</t>
    </rPh>
    <rPh sb="23" eb="24">
      <t>ネン</t>
    </rPh>
    <rPh sb="24" eb="25">
      <t>ヒョウ</t>
    </rPh>
    <rPh sb="26" eb="28">
      <t>ドウヨウ</t>
    </rPh>
    <phoneticPr fontId="14"/>
  </si>
  <si>
    <t xml:space="preserve"> 小麦</t>
    <phoneticPr fontId="5"/>
  </si>
  <si>
    <t xml:space="preserve"> 大麦</t>
    <phoneticPr fontId="5"/>
  </si>
  <si>
    <t>　　〃</t>
    <phoneticPr fontId="14"/>
  </si>
  <si>
    <t>R2は県の生産額はゼロではなく１であったが、国CTを作物統計の県収穫量の対全国値割合で按分してもROUNDの結果ゼロになるので、県CT値はゼロとする。なお、生産農業所得統計（近畿農政局内部資料）では県単価は「－」県産出額は「0」になっている。</t>
    <rPh sb="3" eb="4">
      <t>ケン</t>
    </rPh>
    <rPh sb="5" eb="8">
      <t>セイサンガク</t>
    </rPh>
    <rPh sb="22" eb="23">
      <t>クニ</t>
    </rPh>
    <rPh sb="26" eb="28">
      <t>サクモツ</t>
    </rPh>
    <rPh sb="28" eb="30">
      <t>トウケイ</t>
    </rPh>
    <rPh sb="31" eb="32">
      <t>ケン</t>
    </rPh>
    <rPh sb="32" eb="35">
      <t>シュウカクリョウ</t>
    </rPh>
    <rPh sb="36" eb="37">
      <t>タイ</t>
    </rPh>
    <rPh sb="37" eb="39">
      <t>ゼンコク</t>
    </rPh>
    <rPh sb="39" eb="40">
      <t>チ</t>
    </rPh>
    <rPh sb="40" eb="42">
      <t>ワリアイ</t>
    </rPh>
    <rPh sb="43" eb="45">
      <t>アンブン</t>
    </rPh>
    <rPh sb="54" eb="56">
      <t>ケッカ</t>
    </rPh>
    <rPh sb="64" eb="65">
      <t>ケン</t>
    </rPh>
    <rPh sb="67" eb="68">
      <t>チ</t>
    </rPh>
    <rPh sb="78" eb="80">
      <t>セイサン</t>
    </rPh>
    <rPh sb="80" eb="82">
      <t>ノウギョウ</t>
    </rPh>
    <rPh sb="82" eb="84">
      <t>ショトク</t>
    </rPh>
    <rPh sb="84" eb="86">
      <t>トウケイ</t>
    </rPh>
    <rPh sb="87" eb="89">
      <t>キンキ</t>
    </rPh>
    <rPh sb="89" eb="92">
      <t>ノウセイキョク</t>
    </rPh>
    <rPh sb="92" eb="94">
      <t>ナイブ</t>
    </rPh>
    <rPh sb="94" eb="96">
      <t>シリョウ</t>
    </rPh>
    <rPh sb="99" eb="100">
      <t>ケン</t>
    </rPh>
    <rPh sb="100" eb="102">
      <t>タンカ</t>
    </rPh>
    <rPh sb="106" eb="107">
      <t>ケン</t>
    </rPh>
    <rPh sb="107" eb="110">
      <t>サンシュツガク</t>
    </rPh>
    <phoneticPr fontId="5"/>
  </si>
  <si>
    <t xml:space="preserve"> かんしょ</t>
    <phoneticPr fontId="5"/>
  </si>
  <si>
    <t xml:space="preserve"> ばれいしょ</t>
    <phoneticPr fontId="5"/>
  </si>
  <si>
    <t>Q:野菜生産出荷統計×P:生産農業所得統計</t>
    <rPh sb="2" eb="4">
      <t>ヤサイ</t>
    </rPh>
    <rPh sb="4" eb="6">
      <t>セイサン</t>
    </rPh>
    <rPh sb="6" eb="8">
      <t>シュッカ</t>
    </rPh>
    <rPh sb="8" eb="10">
      <t>トウケイ</t>
    </rPh>
    <rPh sb="13" eb="15">
      <t>セイサン</t>
    </rPh>
    <rPh sb="15" eb="17">
      <t>ノウギョウ</t>
    </rPh>
    <rPh sb="17" eb="19">
      <t>ショトク</t>
    </rPh>
    <rPh sb="19" eb="21">
      <t>トウケイ</t>
    </rPh>
    <phoneticPr fontId="14"/>
  </si>
  <si>
    <t>R2生産農業所得統計（近畿農政局内部資料）</t>
    <phoneticPr fontId="14"/>
  </si>
  <si>
    <t>作物統計からは数量が取れないので左記資料より直接取る。</t>
    <rPh sb="0" eb="2">
      <t>サクモツ</t>
    </rPh>
    <rPh sb="2" eb="4">
      <t>トウケイ</t>
    </rPh>
    <rPh sb="7" eb="9">
      <t>スウリョウ</t>
    </rPh>
    <rPh sb="10" eb="11">
      <t>ト</t>
    </rPh>
    <rPh sb="16" eb="18">
      <t>サキ</t>
    </rPh>
    <rPh sb="18" eb="20">
      <t>シリョウ</t>
    </rPh>
    <rPh sb="22" eb="24">
      <t>チョクセツ</t>
    </rPh>
    <rPh sb="24" eb="25">
      <t>ト</t>
    </rPh>
    <phoneticPr fontId="14"/>
  </si>
  <si>
    <t xml:space="preserve"> 大豆</t>
    <phoneticPr fontId="5"/>
  </si>
  <si>
    <t>Q:作物統計
P：生産農業所得統計</t>
    <rPh sb="2" eb="4">
      <t>サクモツ</t>
    </rPh>
    <rPh sb="4" eb="6">
      <t>トウケイ</t>
    </rPh>
    <rPh sb="9" eb="11">
      <t>セイサン</t>
    </rPh>
    <rPh sb="11" eb="13">
      <t>ノウギョウ</t>
    </rPh>
    <rPh sb="13" eb="15">
      <t>ショトク</t>
    </rPh>
    <rPh sb="15" eb="17">
      <t>トウケイ</t>
    </rPh>
    <phoneticPr fontId="14"/>
  </si>
  <si>
    <t>資料室、近畿農政局兵庫県統計情報事務所(内部資料)</t>
    <rPh sb="0" eb="2">
      <t>シリョウ</t>
    </rPh>
    <rPh sb="2" eb="3">
      <t>シツ</t>
    </rPh>
    <rPh sb="4" eb="6">
      <t>キンキ</t>
    </rPh>
    <rPh sb="6" eb="9">
      <t>ノウセイキョク</t>
    </rPh>
    <rPh sb="9" eb="11">
      <t>ヒョウゴ</t>
    </rPh>
    <rPh sb="11" eb="12">
      <t>ケン</t>
    </rPh>
    <rPh sb="12" eb="14">
      <t>トウケイ</t>
    </rPh>
    <rPh sb="14" eb="16">
      <t>ジョウホウ</t>
    </rPh>
    <rPh sb="16" eb="18">
      <t>ジム</t>
    </rPh>
    <rPh sb="18" eb="19">
      <t>ショ</t>
    </rPh>
    <rPh sb="20" eb="22">
      <t>ナイブ</t>
    </rPh>
    <rPh sb="22" eb="24">
      <t>シリョウ</t>
    </rPh>
    <phoneticPr fontId="14"/>
  </si>
  <si>
    <t xml:space="preserve"> その他の豆類</t>
    <phoneticPr fontId="5"/>
  </si>
  <si>
    <t>Q：作物統計、生産農業所得統計
P：生産農業所得統計</t>
    <rPh sb="2" eb="4">
      <t>サクモツ</t>
    </rPh>
    <rPh sb="4" eb="6">
      <t>トウケイ</t>
    </rPh>
    <rPh sb="7" eb="9">
      <t>セイサン</t>
    </rPh>
    <rPh sb="9" eb="11">
      <t>ノウギョウ</t>
    </rPh>
    <rPh sb="11" eb="13">
      <t>ショトク</t>
    </rPh>
    <rPh sb="13" eb="15">
      <t>トウケイ</t>
    </rPh>
    <rPh sb="18" eb="20">
      <t>セイサン</t>
    </rPh>
    <rPh sb="20" eb="22">
      <t>ノウギョウ</t>
    </rPh>
    <rPh sb="22" eb="24">
      <t>ショトク</t>
    </rPh>
    <rPh sb="24" eb="26">
      <t>トウケイ</t>
    </rPh>
    <phoneticPr fontId="14"/>
  </si>
  <si>
    <t>R2作物統計</t>
    <phoneticPr fontId="14"/>
  </si>
  <si>
    <t>いんげんは生産農業所得統計（近畿農政局内部資料）に記載がない。作物統計を見ると収穫量（生産数量）０のためＣＴも０</t>
    <rPh sb="5" eb="7">
      <t>セイサン</t>
    </rPh>
    <rPh sb="7" eb="9">
      <t>ノウギョウ</t>
    </rPh>
    <rPh sb="9" eb="11">
      <t>ショトク</t>
    </rPh>
    <rPh sb="11" eb="13">
      <t>トウケイ</t>
    </rPh>
    <rPh sb="14" eb="16">
      <t>キンキ</t>
    </rPh>
    <rPh sb="16" eb="18">
      <t>ノウセイ</t>
    </rPh>
    <rPh sb="18" eb="19">
      <t>キョク</t>
    </rPh>
    <rPh sb="19" eb="21">
      <t>ナイブ</t>
    </rPh>
    <rPh sb="21" eb="23">
      <t>シリョウ</t>
    </rPh>
    <rPh sb="25" eb="27">
      <t>キサイ</t>
    </rPh>
    <rPh sb="31" eb="33">
      <t>サクモツ</t>
    </rPh>
    <rPh sb="33" eb="35">
      <t>トウケイ</t>
    </rPh>
    <rPh sb="36" eb="37">
      <t>ミ</t>
    </rPh>
    <rPh sb="39" eb="41">
      <t>シュウカク</t>
    </rPh>
    <rPh sb="41" eb="42">
      <t>リョウ</t>
    </rPh>
    <rPh sb="43" eb="45">
      <t>セイサン</t>
    </rPh>
    <rPh sb="45" eb="47">
      <t>スウリョウ</t>
    </rPh>
    <phoneticPr fontId="14"/>
  </si>
  <si>
    <t>近畿農政局兵庫県統計情報事務所(内部資料)</t>
  </si>
  <si>
    <t>生産農業所得統計から直接入力（H26年度全国研究会議資料１に基づく）</t>
    <rPh sb="0" eb="2">
      <t>セイサン</t>
    </rPh>
    <rPh sb="2" eb="4">
      <t>ノウギョウ</t>
    </rPh>
    <rPh sb="4" eb="6">
      <t>ショトク</t>
    </rPh>
    <rPh sb="6" eb="8">
      <t>トウケイ</t>
    </rPh>
    <rPh sb="10" eb="12">
      <t>チョクセツ</t>
    </rPh>
    <rPh sb="12" eb="14">
      <t>ニュウリョク</t>
    </rPh>
    <rPh sb="18" eb="20">
      <t>ネンド</t>
    </rPh>
    <rPh sb="20" eb="22">
      <t>ゼンコク</t>
    </rPh>
    <rPh sb="22" eb="24">
      <t>ケンキュウ</t>
    </rPh>
    <rPh sb="24" eb="26">
      <t>カイギ</t>
    </rPh>
    <rPh sb="26" eb="28">
      <t>シリョウ</t>
    </rPh>
    <rPh sb="30" eb="31">
      <t>モト</t>
    </rPh>
    <phoneticPr fontId="14"/>
  </si>
  <si>
    <t>〃</t>
    <phoneticPr fontId="14"/>
  </si>
  <si>
    <t>0113-01</t>
  </si>
  <si>
    <t>0113-011</t>
    <phoneticPr fontId="14"/>
  </si>
  <si>
    <t>R2生産農業所得統計（近畿農政局内部資料）</t>
    <rPh sb="11" eb="13">
      <t>キンキ</t>
    </rPh>
    <rPh sb="13" eb="15">
      <t>ノウセイ</t>
    </rPh>
    <rPh sb="15" eb="16">
      <t>キョク</t>
    </rPh>
    <rPh sb="16" eb="18">
      <t>ナイブ</t>
    </rPh>
    <rPh sb="18" eb="20">
      <t>シリョウ</t>
    </rPh>
    <phoneticPr fontId="14"/>
  </si>
  <si>
    <t>生産農業所得統計（近畿農政局内部資料）の産出額を提供国値の露地と施設のＣＴ値で按分して推計。露地と施設に分かれていないものは按分せず直接入力（H26年度全国研究会議資料１に基づく）→R2は国の分類に露地と施設の区分がなくなったので、直接入力のみ。</t>
    <rPh sb="0" eb="2">
      <t>セイサン</t>
    </rPh>
    <rPh sb="2" eb="4">
      <t>ノウギョウ</t>
    </rPh>
    <rPh sb="4" eb="6">
      <t>ショトク</t>
    </rPh>
    <rPh sb="6" eb="8">
      <t>トウケイ</t>
    </rPh>
    <rPh sb="9" eb="11">
      <t>キンキ</t>
    </rPh>
    <rPh sb="11" eb="13">
      <t>ノウセイ</t>
    </rPh>
    <rPh sb="13" eb="14">
      <t>キョク</t>
    </rPh>
    <rPh sb="14" eb="16">
      <t>ナイブ</t>
    </rPh>
    <rPh sb="16" eb="18">
      <t>シリョウ</t>
    </rPh>
    <rPh sb="20" eb="23">
      <t>サンシュツガク</t>
    </rPh>
    <rPh sb="24" eb="26">
      <t>テイキョウ</t>
    </rPh>
    <rPh sb="26" eb="28">
      <t>クニチ</t>
    </rPh>
    <rPh sb="29" eb="31">
      <t>ロジ</t>
    </rPh>
    <rPh sb="32" eb="34">
      <t>シセツ</t>
    </rPh>
    <rPh sb="37" eb="38">
      <t>チ</t>
    </rPh>
    <rPh sb="39" eb="41">
      <t>アンブン</t>
    </rPh>
    <rPh sb="43" eb="45">
      <t>スイケイ</t>
    </rPh>
    <rPh sb="46" eb="48">
      <t>ロジ</t>
    </rPh>
    <rPh sb="49" eb="51">
      <t>シセツ</t>
    </rPh>
    <rPh sb="52" eb="53">
      <t>ワ</t>
    </rPh>
    <rPh sb="62" eb="64">
      <t>アンブン</t>
    </rPh>
    <rPh sb="66" eb="68">
      <t>チョクセツ</t>
    </rPh>
    <rPh sb="68" eb="70">
      <t>ニュウリョク</t>
    </rPh>
    <rPh sb="74" eb="76">
      <t>ネンド</t>
    </rPh>
    <rPh sb="76" eb="78">
      <t>ゼンコク</t>
    </rPh>
    <rPh sb="78" eb="80">
      <t>ケンキュウ</t>
    </rPh>
    <rPh sb="80" eb="82">
      <t>カイギ</t>
    </rPh>
    <rPh sb="82" eb="84">
      <t>シリョウ</t>
    </rPh>
    <rPh sb="86" eb="87">
      <t>モト</t>
    </rPh>
    <rPh sb="94" eb="95">
      <t>クニ</t>
    </rPh>
    <rPh sb="96" eb="98">
      <t>ブンルイ</t>
    </rPh>
    <rPh sb="99" eb="101">
      <t>ロジ</t>
    </rPh>
    <rPh sb="102" eb="104">
      <t>シセツ</t>
    </rPh>
    <rPh sb="105" eb="107">
      <t>クブン</t>
    </rPh>
    <rPh sb="116" eb="118">
      <t>チョクセツ</t>
    </rPh>
    <rPh sb="118" eb="120">
      <t>ニュウリョク</t>
    </rPh>
    <phoneticPr fontId="14"/>
  </si>
  <si>
    <t>　カボチャ</t>
  </si>
  <si>
    <t>　ピーマン</t>
  </si>
  <si>
    <t>　　　〃</t>
    <phoneticPr fontId="14"/>
  </si>
  <si>
    <t>　キュウリ</t>
  </si>
  <si>
    <t>　メロン</t>
  </si>
  <si>
    <t>　スイカ</t>
  </si>
  <si>
    <t>　なす</t>
  </si>
  <si>
    <t>　トマト</t>
  </si>
  <si>
    <t>　いちご</t>
  </si>
  <si>
    <t>　サヤエンドウ</t>
    <phoneticPr fontId="14"/>
  </si>
  <si>
    <t>教育農林係、近畿農政局兵庫県統計情報事務所(内部資料)</t>
    <rPh sb="0" eb="2">
      <t>キョウイク</t>
    </rPh>
    <rPh sb="2" eb="4">
      <t>ノウリン</t>
    </rPh>
    <rPh sb="4" eb="5">
      <t>カカリ</t>
    </rPh>
    <rPh sb="6" eb="8">
      <t>キンキ</t>
    </rPh>
    <rPh sb="8" eb="11">
      <t>ノウセイキョク</t>
    </rPh>
    <rPh sb="11" eb="13">
      <t>ヒョウゴ</t>
    </rPh>
    <rPh sb="13" eb="14">
      <t>ケン</t>
    </rPh>
    <rPh sb="14" eb="16">
      <t>トウケイ</t>
    </rPh>
    <rPh sb="16" eb="18">
      <t>ジョウホウ</t>
    </rPh>
    <rPh sb="18" eb="20">
      <t>ジム</t>
    </rPh>
    <rPh sb="20" eb="21">
      <t>ショ</t>
    </rPh>
    <rPh sb="22" eb="24">
      <t>ナイブ</t>
    </rPh>
    <rPh sb="24" eb="26">
      <t>シリョウ</t>
    </rPh>
    <phoneticPr fontId="14"/>
  </si>
  <si>
    <t>　サヤインゲン</t>
    <phoneticPr fontId="14"/>
  </si>
  <si>
    <t>113</t>
    <phoneticPr fontId="5"/>
  </si>
  <si>
    <t>　ソラマメ</t>
    <phoneticPr fontId="14"/>
  </si>
  <si>
    <t>　その他の果菜類</t>
    <phoneticPr fontId="14"/>
  </si>
  <si>
    <t>しろうり、オクラ、ししとう含む</t>
    <rPh sb="13" eb="14">
      <t>フク</t>
    </rPh>
    <phoneticPr fontId="14"/>
  </si>
  <si>
    <t>　ほうれんそう</t>
    <phoneticPr fontId="14"/>
  </si>
  <si>
    <t>　ねぎ</t>
    <phoneticPr fontId="14"/>
  </si>
  <si>
    <t>　　　〃</t>
  </si>
  <si>
    <t>　にら</t>
  </si>
  <si>
    <t>　みつば</t>
  </si>
  <si>
    <t>　春菊</t>
  </si>
  <si>
    <t>　レタス</t>
  </si>
  <si>
    <t>　セルリー</t>
  </si>
  <si>
    <t>　こまつな</t>
    <phoneticPr fontId="14"/>
  </si>
  <si>
    <t>　アスパラガス</t>
    <phoneticPr fontId="14"/>
  </si>
  <si>
    <t>　ふき</t>
    <phoneticPr fontId="14"/>
  </si>
  <si>
    <t>　ちんげんさい</t>
    <phoneticPr fontId="14"/>
  </si>
  <si>
    <t>219</t>
    <phoneticPr fontId="5"/>
  </si>
  <si>
    <t>　みずな</t>
    <phoneticPr fontId="5"/>
  </si>
  <si>
    <t>R2年産野菜生産出荷統計</t>
  </si>
  <si>
    <t>R2年表から追加になっている品目。近畿農政局に聞いた資料に項目を設けていなかったため数値とれず。R2年産野菜生産出荷統計のみずなの収穫量の全国：兵庫県の比率を使って国CT値を按分した。</t>
    <rPh sb="2" eb="3">
      <t>ネン</t>
    </rPh>
    <rPh sb="3" eb="4">
      <t>ヒョウ</t>
    </rPh>
    <rPh sb="6" eb="8">
      <t>ツイカ</t>
    </rPh>
    <rPh sb="14" eb="16">
      <t>ヒンモク</t>
    </rPh>
    <rPh sb="17" eb="19">
      <t>キンキ</t>
    </rPh>
    <rPh sb="19" eb="22">
      <t>ノウセイキョク</t>
    </rPh>
    <rPh sb="23" eb="24">
      <t>キ</t>
    </rPh>
    <rPh sb="26" eb="28">
      <t>シリョウ</t>
    </rPh>
    <rPh sb="29" eb="31">
      <t>コウモク</t>
    </rPh>
    <rPh sb="32" eb="33">
      <t>モウ</t>
    </rPh>
    <rPh sb="42" eb="44">
      <t>スウチ</t>
    </rPh>
    <rPh sb="50" eb="52">
      <t>ネンサン</t>
    </rPh>
    <rPh sb="52" eb="54">
      <t>ヤサイ</t>
    </rPh>
    <rPh sb="54" eb="56">
      <t>セイサン</t>
    </rPh>
    <rPh sb="56" eb="58">
      <t>シュッカ</t>
    </rPh>
    <rPh sb="58" eb="60">
      <t>トウケイ</t>
    </rPh>
    <rPh sb="65" eb="68">
      <t>シュウカクリョウ</t>
    </rPh>
    <rPh sb="69" eb="71">
      <t>ゼンコク</t>
    </rPh>
    <rPh sb="72" eb="75">
      <t>ヒョウゴケン</t>
    </rPh>
    <rPh sb="76" eb="78">
      <t>ヒリツ</t>
    </rPh>
    <rPh sb="79" eb="80">
      <t>ツカ</t>
    </rPh>
    <rPh sb="82" eb="83">
      <t>クニ</t>
    </rPh>
    <rPh sb="85" eb="86">
      <t>チ</t>
    </rPh>
    <rPh sb="87" eb="89">
      <t>アンブン</t>
    </rPh>
    <phoneticPr fontId="5"/>
  </si>
  <si>
    <t>220</t>
    <phoneticPr fontId="5"/>
  </si>
  <si>
    <t>　その他の葉茎菜類</t>
    <phoneticPr fontId="14"/>
  </si>
  <si>
    <t>非結球つけな、葉たまねぎ、わけぎ、らっきょう、芽キャベツ、パセリ、みょうが、うど、ワサビ、しそ、せりも含む。生産農業所得統計の「その他葉茎菜類」560＋「うど」5＝565</t>
    <rPh sb="54" eb="56">
      <t>セイサン</t>
    </rPh>
    <rPh sb="56" eb="58">
      <t>ノウギョウ</t>
    </rPh>
    <rPh sb="58" eb="60">
      <t>ショトク</t>
    </rPh>
    <rPh sb="60" eb="62">
      <t>トウケイ</t>
    </rPh>
    <rPh sb="66" eb="67">
      <t>タ</t>
    </rPh>
    <rPh sb="67" eb="68">
      <t>ハ</t>
    </rPh>
    <rPh sb="68" eb="69">
      <t>クキ</t>
    </rPh>
    <rPh sb="69" eb="70">
      <t>ナ</t>
    </rPh>
    <rPh sb="70" eb="71">
      <t>ルイ</t>
    </rPh>
    <phoneticPr fontId="14"/>
  </si>
  <si>
    <t>ゆりね含むが０なので、結果的に「その他根菜類」のみ</t>
    <rPh sb="3" eb="4">
      <t>フク</t>
    </rPh>
    <rPh sb="11" eb="14">
      <t>ケッカテキ</t>
    </rPh>
    <rPh sb="18" eb="19">
      <t>タ</t>
    </rPh>
    <rPh sb="19" eb="22">
      <t>コンサイルイ</t>
    </rPh>
    <phoneticPr fontId="14"/>
  </si>
  <si>
    <t>Q：果樹生産出荷統計
P：生産農業所得統計</t>
    <rPh sb="2" eb="4">
      <t>カジュ</t>
    </rPh>
    <phoneticPr fontId="14"/>
  </si>
  <si>
    <t>303</t>
    <phoneticPr fontId="5"/>
  </si>
  <si>
    <t>なし計－日本なし</t>
    <rPh sb="2" eb="3">
      <t>ケイ</t>
    </rPh>
    <rPh sb="4" eb="6">
      <t>ニホン</t>
    </rPh>
    <phoneticPr fontId="14"/>
  </si>
  <si>
    <t>304</t>
    <phoneticPr fontId="5"/>
  </si>
  <si>
    <t>305</t>
    <phoneticPr fontId="5"/>
  </si>
  <si>
    <t>306</t>
    <phoneticPr fontId="5"/>
  </si>
  <si>
    <t>該当なし</t>
    <rPh sb="0" eb="2">
      <t>ガイトウ</t>
    </rPh>
    <phoneticPr fontId="14"/>
  </si>
  <si>
    <t>307</t>
    <phoneticPr fontId="5"/>
  </si>
  <si>
    <t>308</t>
    <phoneticPr fontId="5"/>
  </si>
  <si>
    <t>309</t>
    <phoneticPr fontId="5"/>
  </si>
  <si>
    <t>310</t>
    <phoneticPr fontId="5"/>
  </si>
  <si>
    <t>311</t>
    <phoneticPr fontId="5"/>
  </si>
  <si>
    <t>312</t>
    <phoneticPr fontId="5"/>
  </si>
  <si>
    <t>399</t>
    <phoneticPr fontId="5"/>
  </si>
  <si>
    <t>イチジク、ゆず、しらぬい、ネーブルオレンジ、なつみかん、清見含む</t>
    <rPh sb="28" eb="30">
      <t>キヨミ</t>
    </rPh>
    <rPh sb="30" eb="31">
      <t>フク</t>
    </rPh>
    <phoneticPr fontId="14"/>
  </si>
  <si>
    <t>　果実の植物成長</t>
    <rPh sb="6" eb="7">
      <t>セイ</t>
    </rPh>
    <phoneticPr fontId="14"/>
  </si>
  <si>
    <t>茶を除くすべての植物生長の合計</t>
    <rPh sb="0" eb="1">
      <t>チャ</t>
    </rPh>
    <rPh sb="2" eb="3">
      <t>ノゾ</t>
    </rPh>
    <rPh sb="8" eb="10">
      <t>ショクブツ</t>
    </rPh>
    <rPh sb="10" eb="12">
      <t>セイチョウ</t>
    </rPh>
    <rPh sb="13" eb="15">
      <t>ゴウケイ</t>
    </rPh>
    <phoneticPr fontId="14"/>
  </si>
  <si>
    <t>Q：作物統計
P：生産農業所得統計</t>
    <rPh sb="2" eb="4">
      <t>サクモツ</t>
    </rPh>
    <rPh sb="4" eb="6">
      <t>トウケイ</t>
    </rPh>
    <rPh sb="9" eb="11">
      <t>セイサン</t>
    </rPh>
    <rPh sb="11" eb="13">
      <t>ノウギョウ</t>
    </rPh>
    <rPh sb="13" eb="15">
      <t>ショトク</t>
    </rPh>
    <rPh sb="15" eb="17">
      <t>トウケイ</t>
    </rPh>
    <phoneticPr fontId="14"/>
  </si>
  <si>
    <t>農水省によると本品目は沖縄、鹿児島のみ</t>
    <rPh sb="0" eb="3">
      <t>ノウスイショウ</t>
    </rPh>
    <rPh sb="7" eb="8">
      <t>ホン</t>
    </rPh>
    <rPh sb="8" eb="10">
      <t>ヒンモク</t>
    </rPh>
    <rPh sb="11" eb="13">
      <t>オキナワ</t>
    </rPh>
    <rPh sb="14" eb="17">
      <t>カゴシマ</t>
    </rPh>
    <phoneticPr fontId="14"/>
  </si>
  <si>
    <t>　〃　　　　　　　　　　　　　北海道のみ</t>
    <rPh sb="15" eb="18">
      <t>ホッカイドウ</t>
    </rPh>
    <phoneticPr fontId="14"/>
  </si>
  <si>
    <t xml:space="preserve"> コーヒー豆・カカオ豆（輸入）</t>
    <phoneticPr fontId="5"/>
  </si>
  <si>
    <t>－</t>
    <phoneticPr fontId="14"/>
  </si>
  <si>
    <t>輸入品に関する部門のため国内生産額０（国の考え方）</t>
    <rPh sb="0" eb="2">
      <t>ユニュウ</t>
    </rPh>
    <rPh sb="2" eb="3">
      <t>ヒン</t>
    </rPh>
    <rPh sb="4" eb="5">
      <t>カン</t>
    </rPh>
    <rPh sb="7" eb="9">
      <t>ブモン</t>
    </rPh>
    <rPh sb="12" eb="14">
      <t>コクナイ</t>
    </rPh>
    <rPh sb="14" eb="16">
      <t>セイサン</t>
    </rPh>
    <rPh sb="16" eb="17">
      <t>ガク</t>
    </rPh>
    <rPh sb="19" eb="20">
      <t>クニ</t>
    </rPh>
    <rPh sb="21" eb="22">
      <t>カンガ</t>
    </rPh>
    <rPh sb="23" eb="24">
      <t>カタ</t>
    </rPh>
    <phoneticPr fontId="14"/>
  </si>
  <si>
    <t xml:space="preserve"> その他の飲料用作物</t>
    <phoneticPr fontId="5"/>
  </si>
  <si>
    <t>生産農業所得統計×生産農業所得統計</t>
    <rPh sb="9" eb="11">
      <t>セイサン</t>
    </rPh>
    <rPh sb="11" eb="13">
      <t>ノウギョウ</t>
    </rPh>
    <rPh sb="13" eb="15">
      <t>ショトク</t>
    </rPh>
    <rPh sb="15" eb="17">
      <t>トウケイ</t>
    </rPh>
    <phoneticPr fontId="14"/>
  </si>
  <si>
    <t>地域特産作物に関する資料（日本特産農産物協会）</t>
    <rPh sb="0" eb="2">
      <t>チイキ</t>
    </rPh>
    <rPh sb="2" eb="4">
      <t>トクサン</t>
    </rPh>
    <rPh sb="4" eb="6">
      <t>サクモツ</t>
    </rPh>
    <rPh sb="7" eb="8">
      <t>カン</t>
    </rPh>
    <rPh sb="10" eb="12">
      <t>シリョウ</t>
    </rPh>
    <rPh sb="13" eb="15">
      <t>ニホン</t>
    </rPh>
    <rPh sb="15" eb="17">
      <t>トクサン</t>
    </rPh>
    <rPh sb="17" eb="20">
      <t>ノウサンブツ</t>
    </rPh>
    <rPh sb="20" eb="22">
      <t>キョウカイ</t>
    </rPh>
    <phoneticPr fontId="14"/>
  </si>
  <si>
    <t>左記資料によると、兵庫県では栽培されていないため県値ゼロ</t>
    <rPh sb="0" eb="2">
      <t>サキ</t>
    </rPh>
    <rPh sb="2" eb="4">
      <t>シリョウ</t>
    </rPh>
    <rPh sb="9" eb="12">
      <t>ヒョウゴケン</t>
    </rPh>
    <rPh sb="14" eb="16">
      <t>サイバイ</t>
    </rPh>
    <rPh sb="24" eb="25">
      <t>ケン</t>
    </rPh>
    <rPh sb="25" eb="26">
      <t>チ</t>
    </rPh>
    <phoneticPr fontId="14"/>
  </si>
  <si>
    <t>0115-099</t>
    <phoneticPr fontId="5"/>
  </si>
  <si>
    <t xml:space="preserve"> 雑穀</t>
    <phoneticPr fontId="5"/>
  </si>
  <si>
    <t>Q：原価業務資料、生産農業所得統計
P:生産農業所得統計</t>
    <rPh sb="2" eb="4">
      <t>ゲンカ</t>
    </rPh>
    <rPh sb="4" eb="6">
      <t>ギョウム</t>
    </rPh>
    <rPh sb="6" eb="8">
      <t>シリョウ</t>
    </rPh>
    <rPh sb="20" eb="22">
      <t>セイサン</t>
    </rPh>
    <rPh sb="22" eb="24">
      <t>ノウギョウ</t>
    </rPh>
    <rPh sb="24" eb="26">
      <t>ショトク</t>
    </rPh>
    <rPh sb="26" eb="28">
      <t>トウケイ</t>
    </rPh>
    <phoneticPr fontId="14"/>
  </si>
  <si>
    <t>作物統計の収穫量も見たが左記資料と同じだったため、直接入力</t>
    <rPh sb="0" eb="2">
      <t>サクモツ</t>
    </rPh>
    <rPh sb="2" eb="4">
      <t>トウケイ</t>
    </rPh>
    <rPh sb="5" eb="7">
      <t>シュウカク</t>
    </rPh>
    <rPh sb="7" eb="8">
      <t>リョウ</t>
    </rPh>
    <rPh sb="9" eb="10">
      <t>ミ</t>
    </rPh>
    <rPh sb="12" eb="14">
      <t>サキ</t>
    </rPh>
    <rPh sb="14" eb="16">
      <t>シリョウ</t>
    </rPh>
    <rPh sb="17" eb="18">
      <t>オナ</t>
    </rPh>
    <rPh sb="25" eb="27">
      <t>チョクセツ</t>
    </rPh>
    <rPh sb="27" eb="29">
      <t>ニュウリョク</t>
    </rPh>
    <phoneticPr fontId="14"/>
  </si>
  <si>
    <t xml:space="preserve"> 油糧作物</t>
    <rPh sb="1" eb="3">
      <t>ユリョウ</t>
    </rPh>
    <rPh sb="3" eb="5">
      <t>サクモツ</t>
    </rPh>
    <phoneticPr fontId="14"/>
  </si>
  <si>
    <t>要綱によると、ごまとオリーブが含まれる。ごまの兵庫県生産量が分かる直近の資料が見つけられなかったので、左記資料の収穫面積で全国値を按分する。</t>
    <rPh sb="0" eb="2">
      <t>ヨウコウ</t>
    </rPh>
    <rPh sb="15" eb="16">
      <t>フク</t>
    </rPh>
    <rPh sb="23" eb="26">
      <t>ヒョウゴケン</t>
    </rPh>
    <rPh sb="26" eb="29">
      <t>セイサンリョウ</t>
    </rPh>
    <rPh sb="30" eb="31">
      <t>ワ</t>
    </rPh>
    <rPh sb="33" eb="35">
      <t>チョッキン</t>
    </rPh>
    <rPh sb="36" eb="38">
      <t>シリョウ</t>
    </rPh>
    <rPh sb="39" eb="40">
      <t>ミ</t>
    </rPh>
    <rPh sb="51" eb="53">
      <t>サキ</t>
    </rPh>
    <rPh sb="53" eb="55">
      <t>シリョウ</t>
    </rPh>
    <rPh sb="56" eb="58">
      <t>シュウカク</t>
    </rPh>
    <rPh sb="58" eb="60">
      <t>メンセキ</t>
    </rPh>
    <rPh sb="61" eb="63">
      <t>ゼンコク</t>
    </rPh>
    <rPh sb="63" eb="64">
      <t>チ</t>
    </rPh>
    <rPh sb="65" eb="67">
      <t>アンブン</t>
    </rPh>
    <phoneticPr fontId="14"/>
  </si>
  <si>
    <t>999</t>
    <phoneticPr fontId="5"/>
  </si>
  <si>
    <t xml:space="preserve"> 他に分類されない食用耕種作物</t>
    <rPh sb="3" eb="4">
      <t>ブン</t>
    </rPh>
    <rPh sb="4" eb="5">
      <t>ルイ</t>
    </rPh>
    <phoneticPr fontId="14"/>
  </si>
  <si>
    <t>その他工芸農作物のうち食用のもので、具体的にはコンニャクイモが該当するようだ。しかし左記資料では食用・非食用に分けられないし、品目内訳がわからない。このためH23年表の食用・非食用の割合で按分し、残りを非食用（0116-09）の方へ計上する。</t>
    <rPh sb="2" eb="3">
      <t>タ</t>
    </rPh>
    <rPh sb="3" eb="4">
      <t>コウ</t>
    </rPh>
    <rPh sb="4" eb="5">
      <t>ゲイ</t>
    </rPh>
    <rPh sb="5" eb="8">
      <t>ノウサクブツ</t>
    </rPh>
    <rPh sb="11" eb="13">
      <t>ショクヨウ</t>
    </rPh>
    <rPh sb="18" eb="21">
      <t>グタイテキ</t>
    </rPh>
    <rPh sb="31" eb="33">
      <t>ガイトウ</t>
    </rPh>
    <rPh sb="42" eb="44">
      <t>サキ</t>
    </rPh>
    <rPh sb="44" eb="46">
      <t>シリョウ</t>
    </rPh>
    <rPh sb="48" eb="50">
      <t>ショクヨウ</t>
    </rPh>
    <rPh sb="51" eb="52">
      <t>ヒ</t>
    </rPh>
    <rPh sb="52" eb="54">
      <t>ショクヨウ</t>
    </rPh>
    <rPh sb="55" eb="56">
      <t>ワ</t>
    </rPh>
    <rPh sb="63" eb="65">
      <t>ヒンモク</t>
    </rPh>
    <rPh sb="65" eb="67">
      <t>ウチワケ</t>
    </rPh>
    <rPh sb="81" eb="82">
      <t>ネン</t>
    </rPh>
    <rPh sb="84" eb="86">
      <t>ショクヨウ</t>
    </rPh>
    <rPh sb="87" eb="88">
      <t>ヒ</t>
    </rPh>
    <rPh sb="88" eb="90">
      <t>ショクヨウ</t>
    </rPh>
    <rPh sb="91" eb="93">
      <t>ワリアイ</t>
    </rPh>
    <rPh sb="94" eb="96">
      <t>アンブン</t>
    </rPh>
    <rPh sb="98" eb="99">
      <t>ノコ</t>
    </rPh>
    <rPh sb="101" eb="102">
      <t>ヒ</t>
    </rPh>
    <rPh sb="102" eb="104">
      <t>ショクヨウ</t>
    </rPh>
    <rPh sb="114" eb="115">
      <t>ホウ</t>
    </rPh>
    <rPh sb="116" eb="118">
      <t>ケイジョウ</t>
    </rPh>
    <phoneticPr fontId="14"/>
  </si>
  <si>
    <t>P：畜産物生産費調査、経済計算
Q：作物統計、経済計算</t>
    <rPh sb="2" eb="5">
      <t>チクサンブツ</t>
    </rPh>
    <rPh sb="5" eb="8">
      <t>セイサンヒ</t>
    </rPh>
    <rPh sb="8" eb="10">
      <t>チョウサ</t>
    </rPh>
    <rPh sb="11" eb="13">
      <t>ケイザイ</t>
    </rPh>
    <rPh sb="13" eb="15">
      <t>ケイサン</t>
    </rPh>
    <rPh sb="18" eb="20">
      <t>サクモツ</t>
    </rPh>
    <rPh sb="20" eb="22">
      <t>トウケイ</t>
    </rPh>
    <rPh sb="23" eb="25">
      <t>ケイザイ</t>
    </rPh>
    <rPh sb="25" eb="27">
      <t>ケイサン</t>
    </rPh>
    <phoneticPr fontId="14"/>
  </si>
  <si>
    <t>R2国CTから飼料作物の内訳がなくなったため、H27までの内訳区分を使用して国CTを分割し、区分毎に国CTを按分した。</t>
    <rPh sb="2" eb="3">
      <t>クニ</t>
    </rPh>
    <rPh sb="7" eb="9">
      <t>シリョウ</t>
    </rPh>
    <rPh sb="9" eb="11">
      <t>サクモツ</t>
    </rPh>
    <rPh sb="12" eb="14">
      <t>ウチワケ</t>
    </rPh>
    <rPh sb="29" eb="31">
      <t>ウチワケ</t>
    </rPh>
    <rPh sb="31" eb="33">
      <t>クブン</t>
    </rPh>
    <rPh sb="34" eb="36">
      <t>シヨウ</t>
    </rPh>
    <rPh sb="38" eb="39">
      <t>クニ</t>
    </rPh>
    <rPh sb="42" eb="44">
      <t>ブンカツ</t>
    </rPh>
    <rPh sb="46" eb="48">
      <t>クブン</t>
    </rPh>
    <rPh sb="48" eb="49">
      <t>ゴト</t>
    </rPh>
    <rPh sb="50" eb="51">
      <t>クニ</t>
    </rPh>
    <rPh sb="54" eb="56">
      <t>アンブン</t>
    </rPh>
    <phoneticPr fontId="5"/>
  </si>
  <si>
    <t>R2作物統計</t>
  </si>
  <si>
    <t>収穫量で按分（近経局の推計方法に準拠）。→H27、R2年表も同様とする</t>
    <rPh sb="0" eb="2">
      <t>シュウカク</t>
    </rPh>
    <rPh sb="2" eb="3">
      <t>リョウ</t>
    </rPh>
    <rPh sb="4" eb="6">
      <t>アンブン</t>
    </rPh>
    <rPh sb="7" eb="9">
      <t>キンケイ</t>
    </rPh>
    <rPh sb="9" eb="10">
      <t>キョク</t>
    </rPh>
    <rPh sb="11" eb="13">
      <t>スイケイ</t>
    </rPh>
    <rPh sb="13" eb="15">
      <t>ホウホウ</t>
    </rPh>
    <rPh sb="16" eb="18">
      <t>ジュンキョ</t>
    </rPh>
    <rPh sb="27" eb="28">
      <t>ネン</t>
    </rPh>
    <rPh sb="28" eb="29">
      <t>ヒョウ</t>
    </rPh>
    <rPh sb="30" eb="32">
      <t>ドウヨウ</t>
    </rPh>
    <phoneticPr fontId="14"/>
  </si>
  <si>
    <t>同上</t>
    <rPh sb="0" eb="2">
      <t>ドウジョウ</t>
    </rPh>
    <phoneticPr fontId="14"/>
  </si>
  <si>
    <t>飼料用米、WCS用稲の作付面積で按分（従来通りの分類で数値がとれないのでR2から変更）</t>
    <rPh sb="0" eb="3">
      <t>シリョウヨウ</t>
    </rPh>
    <rPh sb="3" eb="4">
      <t>マイ</t>
    </rPh>
    <rPh sb="8" eb="9">
      <t>ヨウ</t>
    </rPh>
    <rPh sb="9" eb="10">
      <t>イネ</t>
    </rPh>
    <rPh sb="11" eb="13">
      <t>サクツケ</t>
    </rPh>
    <rPh sb="13" eb="15">
      <t>メンセキ</t>
    </rPh>
    <rPh sb="16" eb="18">
      <t>アンブン</t>
    </rPh>
    <rPh sb="19" eb="21">
      <t>ジュウライ</t>
    </rPh>
    <rPh sb="21" eb="22">
      <t>ドオ</t>
    </rPh>
    <rPh sb="24" eb="26">
      <t>ブンルイ</t>
    </rPh>
    <rPh sb="27" eb="29">
      <t>スウチ</t>
    </rPh>
    <rPh sb="40" eb="42">
      <t>ヘンコウ</t>
    </rPh>
    <phoneticPr fontId="14"/>
  </si>
  <si>
    <t>V：種苗業投入調査、原価業務資料、生産農業所得統計
Q：花き生産出荷統計　V/Q</t>
    <rPh sb="2" eb="3">
      <t>タネ</t>
    </rPh>
    <rPh sb="3" eb="4">
      <t>ナエ</t>
    </rPh>
    <rPh sb="4" eb="5">
      <t>ギョウ</t>
    </rPh>
    <rPh sb="5" eb="7">
      <t>トウニュウ</t>
    </rPh>
    <rPh sb="7" eb="9">
      <t>チョウサ</t>
    </rPh>
    <rPh sb="10" eb="12">
      <t>ゲンカ</t>
    </rPh>
    <rPh sb="12" eb="14">
      <t>ギョウム</t>
    </rPh>
    <rPh sb="14" eb="16">
      <t>シリョウ</t>
    </rPh>
    <rPh sb="17" eb="19">
      <t>セイサン</t>
    </rPh>
    <rPh sb="19" eb="21">
      <t>ノウギョウ</t>
    </rPh>
    <rPh sb="21" eb="23">
      <t>ショトク</t>
    </rPh>
    <rPh sb="23" eb="25">
      <t>トウケイ</t>
    </rPh>
    <rPh sb="28" eb="29">
      <t>カ</t>
    </rPh>
    <rPh sb="30" eb="32">
      <t>セイサン</t>
    </rPh>
    <rPh sb="32" eb="34">
      <t>シュッカ</t>
    </rPh>
    <rPh sb="34" eb="36">
      <t>トウケイ</t>
    </rPh>
    <phoneticPr fontId="14"/>
  </si>
  <si>
    <t>R2生産農業所得統計（公式集計及び近畿農政局内部資料）</t>
    <rPh sb="11" eb="13">
      <t>コウシキ</t>
    </rPh>
    <rPh sb="13" eb="14">
      <t>シュウ</t>
    </rPh>
    <rPh sb="14" eb="15">
      <t>ケイ</t>
    </rPh>
    <rPh sb="15" eb="16">
      <t>オヨ</t>
    </rPh>
    <phoneticPr fontId="14"/>
  </si>
  <si>
    <t>近畿農政局神戸統計情報センター（内部資料）</t>
    <rPh sb="0" eb="2">
      <t>キンキ</t>
    </rPh>
    <rPh sb="2" eb="5">
      <t>ノウセイキョク</t>
    </rPh>
    <rPh sb="5" eb="7">
      <t>コウベ</t>
    </rPh>
    <rPh sb="7" eb="9">
      <t>トウケイ</t>
    </rPh>
    <rPh sb="9" eb="11">
      <t>ジョウホウ</t>
    </rPh>
    <rPh sb="16" eb="18">
      <t>ナイブ</t>
    </rPh>
    <rPh sb="18" eb="20">
      <t>シリョウ</t>
    </rPh>
    <phoneticPr fontId="14"/>
  </si>
  <si>
    <t>「種苗・苗木類他計」（近経局の方法踏襲）で按分。国値は「その他作物」という項目が該当するようだ。</t>
    <rPh sb="1" eb="3">
      <t>シュビョウ</t>
    </rPh>
    <rPh sb="4" eb="5">
      <t>ナエ</t>
    </rPh>
    <rPh sb="5" eb="6">
      <t>キ</t>
    </rPh>
    <rPh sb="6" eb="7">
      <t>ルイ</t>
    </rPh>
    <rPh sb="7" eb="8">
      <t>ホカ</t>
    </rPh>
    <rPh sb="8" eb="9">
      <t>ケイ</t>
    </rPh>
    <rPh sb="11" eb="12">
      <t>キン</t>
    </rPh>
    <rPh sb="12" eb="13">
      <t>ケイ</t>
    </rPh>
    <rPh sb="13" eb="14">
      <t>キョク</t>
    </rPh>
    <rPh sb="15" eb="17">
      <t>ホウホウ</t>
    </rPh>
    <rPh sb="17" eb="19">
      <t>トウシュウ</t>
    </rPh>
    <rPh sb="21" eb="23">
      <t>アンブン</t>
    </rPh>
    <rPh sb="24" eb="25">
      <t>クニ</t>
    </rPh>
    <rPh sb="25" eb="26">
      <t>チ</t>
    </rPh>
    <rPh sb="30" eb="31">
      <t>タ</t>
    </rPh>
    <rPh sb="31" eb="33">
      <t>サクモツ</t>
    </rPh>
    <rPh sb="37" eb="39">
      <t>コウモク</t>
    </rPh>
    <rPh sb="40" eb="42">
      <t>ガイトウ</t>
    </rPh>
    <phoneticPr fontId="14"/>
  </si>
  <si>
    <t>R2生産農業所得統計（近畿農政局内部資料）</t>
  </si>
  <si>
    <t>H30花木等生産状況調査</t>
    <rPh sb="3" eb="5">
      <t>ハナキ</t>
    </rPh>
    <rPh sb="5" eb="6">
      <t>トウ</t>
    </rPh>
    <rPh sb="6" eb="8">
      <t>セイサン</t>
    </rPh>
    <rPh sb="8" eb="10">
      <t>ジョウキョウ</t>
    </rPh>
    <rPh sb="10" eb="12">
      <t>チョウサ</t>
    </rPh>
    <phoneticPr fontId="14"/>
  </si>
  <si>
    <t>花木類－苗木の出荷額をＣＴとする（近経局の推計方法に準拠）。→27年表も同様とする→【R2年表】下記「花木（成木）」と同様、H26以降は主要府県のみとなり数値がとれなくなった。また、H30年産まで公表されていた都道府県別出荷実績も、苗木類の項目はなかったので、「花木（成木）」の按分比率をそのまま使うことにした。</t>
    <rPh sb="0" eb="2">
      <t>ハナキ</t>
    </rPh>
    <rPh sb="2" eb="3">
      <t>ルイ</t>
    </rPh>
    <rPh sb="4" eb="5">
      <t>ナエ</t>
    </rPh>
    <rPh sb="5" eb="6">
      <t>キ</t>
    </rPh>
    <rPh sb="7" eb="9">
      <t>シュッカ</t>
    </rPh>
    <rPh sb="9" eb="10">
      <t>ガク</t>
    </rPh>
    <rPh sb="17" eb="19">
      <t>キンケイ</t>
    </rPh>
    <rPh sb="19" eb="20">
      <t>キョク</t>
    </rPh>
    <rPh sb="21" eb="23">
      <t>スイケイ</t>
    </rPh>
    <rPh sb="23" eb="25">
      <t>ホウホウ</t>
    </rPh>
    <rPh sb="26" eb="28">
      <t>ジュンキョ</t>
    </rPh>
    <rPh sb="33" eb="34">
      <t>ネン</t>
    </rPh>
    <rPh sb="34" eb="35">
      <t>ヒョウ</t>
    </rPh>
    <rPh sb="36" eb="38">
      <t>ドウヨウ</t>
    </rPh>
    <rPh sb="45" eb="46">
      <t>ネン</t>
    </rPh>
    <rPh sb="46" eb="47">
      <t>ヒョウ</t>
    </rPh>
    <rPh sb="48" eb="50">
      <t>カキ</t>
    </rPh>
    <rPh sb="51" eb="53">
      <t>ハナキ</t>
    </rPh>
    <rPh sb="54" eb="56">
      <t>セイボク</t>
    </rPh>
    <rPh sb="59" eb="61">
      <t>ドウヨウ</t>
    </rPh>
    <rPh sb="65" eb="67">
      <t>イコウ</t>
    </rPh>
    <rPh sb="68" eb="70">
      <t>シュヨウ</t>
    </rPh>
    <rPh sb="70" eb="72">
      <t>フケン</t>
    </rPh>
    <rPh sb="77" eb="79">
      <t>スウチ</t>
    </rPh>
    <rPh sb="94" eb="96">
      <t>ネンサン</t>
    </rPh>
    <rPh sb="98" eb="100">
      <t>コウヒョウ</t>
    </rPh>
    <rPh sb="105" eb="109">
      <t>トドウフケン</t>
    </rPh>
    <rPh sb="109" eb="110">
      <t>ベツ</t>
    </rPh>
    <rPh sb="110" eb="112">
      <t>シュッカ</t>
    </rPh>
    <rPh sb="112" eb="114">
      <t>ジッセキ</t>
    </rPh>
    <rPh sb="116" eb="118">
      <t>ナエギ</t>
    </rPh>
    <rPh sb="118" eb="119">
      <t>ルイ</t>
    </rPh>
    <rPh sb="120" eb="122">
      <t>コウモク</t>
    </rPh>
    <rPh sb="131" eb="133">
      <t>ハナキ</t>
    </rPh>
    <rPh sb="134" eb="136">
      <t>セイボク</t>
    </rPh>
    <rPh sb="139" eb="141">
      <t>アンブン</t>
    </rPh>
    <rPh sb="141" eb="143">
      <t>ヒリツ</t>
    </rPh>
    <rPh sb="148" eb="149">
      <t>ツカ</t>
    </rPh>
    <phoneticPr fontId="14"/>
  </si>
  <si>
    <t>V：生産農業所得統計
Q：花き生産出荷統計</t>
    <rPh sb="2" eb="4">
      <t>セイサン</t>
    </rPh>
    <rPh sb="4" eb="6">
      <t>ノウギョウ</t>
    </rPh>
    <rPh sb="6" eb="8">
      <t>ショトク</t>
    </rPh>
    <rPh sb="8" eb="10">
      <t>トウケイ</t>
    </rPh>
    <rPh sb="13" eb="14">
      <t>カ</t>
    </rPh>
    <rPh sb="15" eb="17">
      <t>セイサン</t>
    </rPh>
    <rPh sb="17" eb="19">
      <t>シュッカ</t>
    </rPh>
    <rPh sb="19" eb="21">
      <t>トウケイ</t>
    </rPh>
    <phoneticPr fontId="14"/>
  </si>
  <si>
    <t>近畿農政局神戸統計情報センター経営・構造統計課</t>
    <rPh sb="0" eb="2">
      <t>キンキ</t>
    </rPh>
    <rPh sb="2" eb="5">
      <t>ノウセイキョク</t>
    </rPh>
    <rPh sb="5" eb="7">
      <t>コウベ</t>
    </rPh>
    <rPh sb="7" eb="9">
      <t>トウケイ</t>
    </rPh>
    <rPh sb="9" eb="11">
      <t>ジョウホウ</t>
    </rPh>
    <rPh sb="15" eb="17">
      <t>ケイエイ</t>
    </rPh>
    <rPh sb="18" eb="20">
      <t>コウゾウ</t>
    </rPh>
    <rPh sb="20" eb="23">
      <t>トウケイカ</t>
    </rPh>
    <phoneticPr fontId="14"/>
  </si>
  <si>
    <t>H30花木等生産状況調査</t>
    <rPh sb="3" eb="4">
      <t>ハナ</t>
    </rPh>
    <rPh sb="4" eb="5">
      <t>キ</t>
    </rPh>
    <rPh sb="5" eb="6">
      <t>トウ</t>
    </rPh>
    <rPh sb="6" eb="8">
      <t>セイサン</t>
    </rPh>
    <rPh sb="8" eb="10">
      <t>ジョウキョウ</t>
    </rPh>
    <rPh sb="10" eb="12">
      <t>チョウサ</t>
    </rPh>
    <phoneticPr fontId="14"/>
  </si>
  <si>
    <t>農水省HP</t>
    <rPh sb="0" eb="3">
      <t>ノウスイショウ</t>
    </rPh>
    <phoneticPr fontId="14"/>
  </si>
  <si>
    <t>近畿農政局の内部資料でも成木のデータが取れないからか、従来よりここだけ花木等生産状況調査の生産額で按分していた。左記資料の出荷額の全国値を見ると提供国値と一致することから、県値を直接入力　→左記統計のH27年データに都道府県別の数値がないため、23年のデータを使って按分→花きの種類別都道府県別出荷実績が公表されていた最後の年であるH30年産の出荷数量の対全国比率を按分比率とした。</t>
    <rPh sb="0" eb="2">
      <t>キンキ</t>
    </rPh>
    <rPh sb="2" eb="5">
      <t>ノウセイキョク</t>
    </rPh>
    <rPh sb="6" eb="8">
      <t>ナイブ</t>
    </rPh>
    <rPh sb="8" eb="10">
      <t>シリョウ</t>
    </rPh>
    <rPh sb="12" eb="14">
      <t>セイボク</t>
    </rPh>
    <rPh sb="19" eb="20">
      <t>ト</t>
    </rPh>
    <rPh sb="27" eb="29">
      <t>ジュウライ</t>
    </rPh>
    <rPh sb="35" eb="36">
      <t>ハナ</t>
    </rPh>
    <rPh sb="36" eb="37">
      <t>キ</t>
    </rPh>
    <rPh sb="37" eb="38">
      <t>トウ</t>
    </rPh>
    <rPh sb="38" eb="40">
      <t>セイサン</t>
    </rPh>
    <rPh sb="40" eb="42">
      <t>ジョウキョウ</t>
    </rPh>
    <rPh sb="42" eb="44">
      <t>チョウサ</t>
    </rPh>
    <rPh sb="45" eb="48">
      <t>セイサンガク</t>
    </rPh>
    <rPh sb="49" eb="51">
      <t>アンブン</t>
    </rPh>
    <rPh sb="56" eb="58">
      <t>サキ</t>
    </rPh>
    <rPh sb="58" eb="60">
      <t>シリョウ</t>
    </rPh>
    <rPh sb="61" eb="63">
      <t>シュッカ</t>
    </rPh>
    <rPh sb="63" eb="64">
      <t>ガク</t>
    </rPh>
    <rPh sb="65" eb="67">
      <t>ゼンコク</t>
    </rPh>
    <rPh sb="67" eb="68">
      <t>チ</t>
    </rPh>
    <rPh sb="69" eb="70">
      <t>ミ</t>
    </rPh>
    <rPh sb="72" eb="74">
      <t>テイキョウ</t>
    </rPh>
    <rPh sb="74" eb="76">
      <t>クニチ</t>
    </rPh>
    <rPh sb="77" eb="79">
      <t>イッチ</t>
    </rPh>
    <rPh sb="86" eb="87">
      <t>ケン</t>
    </rPh>
    <rPh sb="87" eb="88">
      <t>チ</t>
    </rPh>
    <rPh sb="89" eb="91">
      <t>チョクセツ</t>
    </rPh>
    <rPh sb="91" eb="93">
      <t>ニュウリョク</t>
    </rPh>
    <rPh sb="95" eb="97">
      <t>サキ</t>
    </rPh>
    <rPh sb="97" eb="99">
      <t>トウケイ</t>
    </rPh>
    <rPh sb="103" eb="104">
      <t>ネン</t>
    </rPh>
    <rPh sb="108" eb="112">
      <t>トドウフケン</t>
    </rPh>
    <rPh sb="112" eb="113">
      <t>ベツ</t>
    </rPh>
    <rPh sb="114" eb="116">
      <t>スウチ</t>
    </rPh>
    <rPh sb="124" eb="125">
      <t>ネン</t>
    </rPh>
    <rPh sb="130" eb="131">
      <t>ツカ</t>
    </rPh>
    <rPh sb="133" eb="135">
      <t>アンブン</t>
    </rPh>
    <phoneticPr fontId="14"/>
  </si>
  <si>
    <t>芝（=０）</t>
    <rPh sb="0" eb="1">
      <t>シバ</t>
    </rPh>
    <phoneticPr fontId="14"/>
  </si>
  <si>
    <t>生産農業所得統計×生産農業所得統計</t>
    <phoneticPr fontId="14"/>
  </si>
  <si>
    <t>ー</t>
    <phoneticPr fontId="14"/>
  </si>
  <si>
    <t>P：原価業務資料、生産農業所得統計
Q：原価業務資料、生産農業所得統計</t>
    <rPh sb="2" eb="4">
      <t>ゲンカ</t>
    </rPh>
    <rPh sb="4" eb="6">
      <t>ギョウム</t>
    </rPh>
    <rPh sb="6" eb="8">
      <t>シリョウ</t>
    </rPh>
    <rPh sb="20" eb="22">
      <t>ゲンカ</t>
    </rPh>
    <rPh sb="22" eb="24">
      <t>ギョウム</t>
    </rPh>
    <rPh sb="24" eb="26">
      <t>シリョウ</t>
    </rPh>
    <phoneticPr fontId="14"/>
  </si>
  <si>
    <t>近畿農政局兵庫県統計情報事務所(内部資料)</t>
    <phoneticPr fontId="14"/>
  </si>
  <si>
    <t>0115-099「他に分類されない食用耕種作物」の備考欄参照。
その他工芸農作物　29　－　他に分類されない食用耕種作物　6　＝　23</t>
    <rPh sb="25" eb="27">
      <t>ビコウ</t>
    </rPh>
    <rPh sb="27" eb="28">
      <t>ラン</t>
    </rPh>
    <rPh sb="28" eb="30">
      <t>サンショウ</t>
    </rPh>
    <rPh sb="34" eb="35">
      <t>タ</t>
    </rPh>
    <rPh sb="35" eb="36">
      <t>コウ</t>
    </rPh>
    <rPh sb="36" eb="37">
      <t>ゲイ</t>
    </rPh>
    <rPh sb="37" eb="40">
      <t>ノウサクブツ</t>
    </rPh>
    <rPh sb="46" eb="47">
      <t>タ</t>
    </rPh>
    <rPh sb="48" eb="50">
      <t>ブンルイ</t>
    </rPh>
    <rPh sb="54" eb="56">
      <t>ショクヨウ</t>
    </rPh>
    <rPh sb="56" eb="57">
      <t>コウ</t>
    </rPh>
    <rPh sb="57" eb="58">
      <t>シュ</t>
    </rPh>
    <rPh sb="58" eb="60">
      <t>サクモツ</t>
    </rPh>
    <phoneticPr fontId="14"/>
  </si>
  <si>
    <t>牛乳乳製品統計×生産農業所得統計</t>
    <rPh sb="0" eb="2">
      <t>ギュウニュウ</t>
    </rPh>
    <rPh sb="2" eb="5">
      <t>ニュウセイヒン</t>
    </rPh>
    <phoneticPr fontId="14"/>
  </si>
  <si>
    <t>牛乳乳製品統計の生産量を見たが左記資料と同じだった。</t>
    <rPh sb="0" eb="2">
      <t>ギュウニュウ</t>
    </rPh>
    <rPh sb="2" eb="5">
      <t>ニュウセイヒン</t>
    </rPh>
    <rPh sb="5" eb="7">
      <t>トウケイ</t>
    </rPh>
    <rPh sb="8" eb="10">
      <t>セイサン</t>
    </rPh>
    <rPh sb="10" eb="11">
      <t>リョウ</t>
    </rPh>
    <rPh sb="12" eb="13">
      <t>ミ</t>
    </rPh>
    <rPh sb="15" eb="17">
      <t>サキ</t>
    </rPh>
    <rPh sb="17" eb="19">
      <t>シリョウ</t>
    </rPh>
    <rPh sb="20" eb="21">
      <t>オナ</t>
    </rPh>
    <phoneticPr fontId="14"/>
  </si>
  <si>
    <t>P：生産農業所得統計、農業物価統計、畜産物生産費、畜産物流通統計
Q：畜産物流通統計、畜産統計、畜産物生産費、経済計算</t>
    <rPh sb="2" eb="4">
      <t>セイサン</t>
    </rPh>
    <rPh sb="4" eb="6">
      <t>ノウギョウ</t>
    </rPh>
    <rPh sb="6" eb="8">
      <t>ショトク</t>
    </rPh>
    <rPh sb="8" eb="10">
      <t>トウケイ</t>
    </rPh>
    <rPh sb="11" eb="13">
      <t>ノウギョウ</t>
    </rPh>
    <rPh sb="13" eb="15">
      <t>ブッカ</t>
    </rPh>
    <rPh sb="15" eb="17">
      <t>トウケイ</t>
    </rPh>
    <rPh sb="18" eb="21">
      <t>チクサンブツ</t>
    </rPh>
    <rPh sb="21" eb="24">
      <t>セイサンヒ</t>
    </rPh>
    <rPh sb="25" eb="28">
      <t>チクサンブツ</t>
    </rPh>
    <rPh sb="28" eb="30">
      <t>リュウツウ</t>
    </rPh>
    <rPh sb="30" eb="32">
      <t>トウケイ</t>
    </rPh>
    <phoneticPr fontId="14"/>
  </si>
  <si>
    <t>以下の方法は全て近経局の方法を踏襲している。→H27,R2年表も同様とする</t>
    <rPh sb="0" eb="2">
      <t>イカ</t>
    </rPh>
    <rPh sb="3" eb="5">
      <t>ホウホウ</t>
    </rPh>
    <rPh sb="6" eb="7">
      <t>スベ</t>
    </rPh>
    <rPh sb="8" eb="9">
      <t>キン</t>
    </rPh>
    <rPh sb="9" eb="10">
      <t>ケイ</t>
    </rPh>
    <rPh sb="10" eb="11">
      <t>キョク</t>
    </rPh>
    <rPh sb="12" eb="14">
      <t>ホウホウ</t>
    </rPh>
    <rPh sb="15" eb="17">
      <t>トウシュウ</t>
    </rPh>
    <rPh sb="29" eb="30">
      <t>ネン</t>
    </rPh>
    <rPh sb="30" eb="31">
      <t>ヒョウ</t>
    </rPh>
    <rPh sb="32" eb="34">
      <t>ドウヨウ</t>
    </rPh>
    <phoneticPr fontId="14"/>
  </si>
  <si>
    <t>R2、R3畜産統計</t>
    <rPh sb="5" eb="7">
      <t>チクサン</t>
    </rPh>
    <rPh sb="7" eb="9">
      <t>トウケイ</t>
    </rPh>
    <phoneticPr fontId="14"/>
  </si>
  <si>
    <t>乳牛おす子牛。→経産省、近経局と全く同様の方法で推計したにもかかわらず（その場合619）、23年表より大幅増となるため、17年表を参考に国値按分とした。</t>
    <rPh sb="0" eb="2">
      <t>ニュウギュウ</t>
    </rPh>
    <rPh sb="4" eb="6">
      <t>コウシ</t>
    </rPh>
    <rPh sb="8" eb="11">
      <t>ケイサンショウ</t>
    </rPh>
    <rPh sb="12" eb="13">
      <t>キン</t>
    </rPh>
    <rPh sb="13" eb="14">
      <t>ケイ</t>
    </rPh>
    <rPh sb="14" eb="15">
      <t>キョク</t>
    </rPh>
    <rPh sb="16" eb="17">
      <t>マッタ</t>
    </rPh>
    <rPh sb="18" eb="20">
      <t>ドウヨウ</t>
    </rPh>
    <rPh sb="21" eb="23">
      <t>ホウホウ</t>
    </rPh>
    <rPh sb="24" eb="26">
      <t>スイケイ</t>
    </rPh>
    <rPh sb="38" eb="40">
      <t>バアイ</t>
    </rPh>
    <rPh sb="47" eb="48">
      <t>ネン</t>
    </rPh>
    <rPh sb="48" eb="49">
      <t>ヒョウ</t>
    </rPh>
    <rPh sb="51" eb="53">
      <t>オオハバ</t>
    </rPh>
    <rPh sb="53" eb="54">
      <t>ゾウ</t>
    </rPh>
    <rPh sb="62" eb="63">
      <t>ネン</t>
    </rPh>
    <rPh sb="63" eb="64">
      <t>ヒョウ</t>
    </rPh>
    <rPh sb="65" eb="67">
      <t>サンコウ</t>
    </rPh>
    <rPh sb="68" eb="69">
      <t>クニ</t>
    </rPh>
    <rPh sb="69" eb="70">
      <t>チ</t>
    </rPh>
    <rPh sb="70" eb="72">
      <t>アンブン</t>
    </rPh>
    <phoneticPr fontId="14"/>
  </si>
  <si>
    <t>乳用種おす、交雑種の出生頭数で按分</t>
    <rPh sb="0" eb="1">
      <t>ニュウ</t>
    </rPh>
    <rPh sb="1" eb="2">
      <t>ヨウ</t>
    </rPh>
    <rPh sb="2" eb="3">
      <t>シュ</t>
    </rPh>
    <rPh sb="6" eb="8">
      <t>コウザツ</t>
    </rPh>
    <rPh sb="8" eb="9">
      <t>シュ</t>
    </rPh>
    <rPh sb="10" eb="12">
      <t>シュッセイ</t>
    </rPh>
    <rPh sb="12" eb="14">
      <t>トウスウ</t>
    </rPh>
    <rPh sb="15" eb="17">
      <t>アンブン</t>
    </rPh>
    <phoneticPr fontId="14"/>
  </si>
  <si>
    <t>　　　  〃</t>
    <phoneticPr fontId="14"/>
  </si>
  <si>
    <t>乳用牛1歳未満の飼育頭数で按分</t>
    <rPh sb="4" eb="7">
      <t>サイミマン</t>
    </rPh>
    <rPh sb="8" eb="10">
      <t>シイク</t>
    </rPh>
    <rPh sb="10" eb="12">
      <t>トウスウ</t>
    </rPh>
    <rPh sb="13" eb="15">
      <t>アンブン</t>
    </rPh>
    <phoneticPr fontId="14"/>
  </si>
  <si>
    <t>　きゅう肥（その他の酪農生産物）</t>
    <phoneticPr fontId="5"/>
  </si>
  <si>
    <t>乳用牛1歳未満*0.4＋1歳*0.8＋2歳以上*1の頭数で按分</t>
    <rPh sb="0" eb="2">
      <t>ニュウヨウ</t>
    </rPh>
    <rPh sb="2" eb="3">
      <t>ギュウ</t>
    </rPh>
    <rPh sb="4" eb="7">
      <t>サイミマン</t>
    </rPh>
    <rPh sb="13" eb="14">
      <t>サイ</t>
    </rPh>
    <rPh sb="20" eb="23">
      <t>サイイジョウ</t>
    </rPh>
    <rPh sb="26" eb="28">
      <t>トウスウ</t>
    </rPh>
    <rPh sb="29" eb="31">
      <t>アンブン</t>
    </rPh>
    <phoneticPr fontId="14"/>
  </si>
  <si>
    <t>P：生産農業所得統計、農業物価統計、畜産物生産費調査
Q：畜産物流通統計、畜産統計</t>
    <rPh sb="18" eb="21">
      <t>チクサンブツ</t>
    </rPh>
    <rPh sb="21" eb="24">
      <t>セイサンヒ</t>
    </rPh>
    <rPh sb="24" eb="26">
      <t>チョウサ</t>
    </rPh>
    <phoneticPr fontId="14"/>
  </si>
  <si>
    <t>R2畜産統計</t>
    <rPh sb="2" eb="4">
      <t>チクサン</t>
    </rPh>
    <rPh sb="4" eb="6">
      <t>トウケイ</t>
    </rPh>
    <phoneticPr fontId="14"/>
  </si>
  <si>
    <t>以下は全て近経局の推計方法に準拠→H27,R2年表も同様とする</t>
    <rPh sb="0" eb="2">
      <t>イカ</t>
    </rPh>
    <rPh sb="3" eb="4">
      <t>スベ</t>
    </rPh>
    <rPh sb="5" eb="6">
      <t>キン</t>
    </rPh>
    <rPh sb="6" eb="7">
      <t>ケイ</t>
    </rPh>
    <rPh sb="7" eb="8">
      <t>キョク</t>
    </rPh>
    <rPh sb="9" eb="11">
      <t>スイケイ</t>
    </rPh>
    <rPh sb="11" eb="13">
      <t>ホウホウ</t>
    </rPh>
    <rPh sb="14" eb="16">
      <t>ジュンキョ</t>
    </rPh>
    <rPh sb="23" eb="24">
      <t>ネン</t>
    </rPh>
    <rPh sb="24" eb="25">
      <t>ヒョウ</t>
    </rPh>
    <rPh sb="26" eb="28">
      <t>ドウヨウ</t>
    </rPh>
    <phoneticPr fontId="14"/>
  </si>
  <si>
    <t>　と畜向け肉用牛（成牛換算飼養頭数の増減を含み、廃牛を除く。）</t>
    <phoneticPr fontId="5"/>
  </si>
  <si>
    <t>肉用牛計－肥育用牛－育成牛＋乳用種の飼育頭数で按分</t>
    <rPh sb="0" eb="2">
      <t>ニクヨウ</t>
    </rPh>
    <rPh sb="2" eb="3">
      <t>ギュウ</t>
    </rPh>
    <rPh sb="3" eb="4">
      <t>ケイ</t>
    </rPh>
    <rPh sb="5" eb="7">
      <t>ヒイク</t>
    </rPh>
    <rPh sb="7" eb="8">
      <t>ヨウ</t>
    </rPh>
    <rPh sb="8" eb="9">
      <t>ギュウ</t>
    </rPh>
    <rPh sb="10" eb="12">
      <t>イクセイ</t>
    </rPh>
    <rPh sb="12" eb="13">
      <t>ギュウ</t>
    </rPh>
    <rPh sb="14" eb="17">
      <t>ニュウヨウシュ</t>
    </rPh>
    <rPh sb="16" eb="17">
      <t>シュ</t>
    </rPh>
    <rPh sb="18" eb="20">
      <t>シイク</t>
    </rPh>
    <rPh sb="20" eb="22">
      <t>トウスウ</t>
    </rPh>
    <rPh sb="23" eb="25">
      <t>アンブン</t>
    </rPh>
    <phoneticPr fontId="14"/>
  </si>
  <si>
    <t>おす、めすの一歳未満飼育頭数の合計で按分</t>
    <rPh sb="6" eb="7">
      <t>イッ</t>
    </rPh>
    <rPh sb="7" eb="10">
      <t>サイミマン</t>
    </rPh>
    <rPh sb="8" eb="10">
      <t>ミマン</t>
    </rPh>
    <rPh sb="10" eb="12">
      <t>シイク</t>
    </rPh>
    <rPh sb="12" eb="14">
      <t>トウスウ</t>
    </rPh>
    <rPh sb="15" eb="17">
      <t>ゴウケイ</t>
    </rPh>
    <rPh sb="18" eb="20">
      <t>アンブン</t>
    </rPh>
    <phoneticPr fontId="14"/>
  </si>
  <si>
    <t>　子取り用めす牛の成長増加</t>
    <phoneticPr fontId="5"/>
  </si>
  <si>
    <t>上記の按分比率を使って国値を按分</t>
    <rPh sb="0" eb="2">
      <t>ジョウキ</t>
    </rPh>
    <rPh sb="3" eb="5">
      <t>アンブン</t>
    </rPh>
    <rPh sb="5" eb="7">
      <t>ヒリツ</t>
    </rPh>
    <rPh sb="8" eb="9">
      <t>ツカ</t>
    </rPh>
    <rPh sb="11" eb="12">
      <t>クニ</t>
    </rPh>
    <rPh sb="12" eb="13">
      <t>チ</t>
    </rPh>
    <rPh sb="14" eb="16">
      <t>アンブン</t>
    </rPh>
    <phoneticPr fontId="5"/>
  </si>
  <si>
    <t>　きゅう肥（肉用牛）</t>
    <phoneticPr fontId="5"/>
  </si>
  <si>
    <t>肉用牛1歳未満*0.4＋1歳*0.8＋2歳以上*1の頭数で按分（おす、めすの合計）</t>
    <rPh sb="0" eb="3">
      <t>ニクヨウギュウ</t>
    </rPh>
    <rPh sb="2" eb="3">
      <t>ギュウ</t>
    </rPh>
    <rPh sb="4" eb="7">
      <t>サイミマン</t>
    </rPh>
    <rPh sb="13" eb="14">
      <t>サイ</t>
    </rPh>
    <rPh sb="20" eb="23">
      <t>サイイジョウ</t>
    </rPh>
    <rPh sb="26" eb="28">
      <t>トウスウ</t>
    </rPh>
    <rPh sb="29" eb="31">
      <t>アンブン</t>
    </rPh>
    <rPh sb="38" eb="40">
      <t>ゴウケイ</t>
    </rPh>
    <phoneticPr fontId="14"/>
  </si>
  <si>
    <t>P：生産農業所得統計、農業物価統計
Q：畜産物流通統計、畜産統計</t>
    <phoneticPr fontId="14"/>
  </si>
  <si>
    <t>　きゅう肥（豚）</t>
    <phoneticPr fontId="5"/>
  </si>
  <si>
    <t>第96次農林水産省統計表</t>
    <rPh sb="8" eb="9">
      <t>ショウ</t>
    </rPh>
    <rPh sb="9" eb="11">
      <t>トウケイ</t>
    </rPh>
    <rPh sb="11" eb="12">
      <t>ヒョウ</t>
    </rPh>
    <phoneticPr fontId="14"/>
  </si>
  <si>
    <t>飼育頭数で按分</t>
    <rPh sb="0" eb="2">
      <t>シイク</t>
    </rPh>
    <rPh sb="2" eb="4">
      <t>トウスウ</t>
    </rPh>
    <rPh sb="5" eb="7">
      <t>アンブン</t>
    </rPh>
    <phoneticPr fontId="14"/>
  </si>
  <si>
    <t>P：生産農業所得統計、農業物価統計
Q：畜産物流通統計、畜産統計、生産農業所得統計</t>
    <rPh sb="2" eb="4">
      <t>セイサン</t>
    </rPh>
    <rPh sb="4" eb="6">
      <t>ノウギョウ</t>
    </rPh>
    <rPh sb="6" eb="8">
      <t>ショトク</t>
    </rPh>
    <rPh sb="8" eb="10">
      <t>トウケイ</t>
    </rPh>
    <rPh sb="11" eb="13">
      <t>ノウギョウ</t>
    </rPh>
    <rPh sb="13" eb="15">
      <t>ブッカ</t>
    </rPh>
    <rPh sb="15" eb="17">
      <t>トウケイ</t>
    </rPh>
    <rPh sb="20" eb="23">
      <t>チクサンブツ</t>
    </rPh>
    <rPh sb="23" eb="25">
      <t>リュウツウ</t>
    </rPh>
    <rPh sb="25" eb="27">
      <t>トウケイ</t>
    </rPh>
    <rPh sb="28" eb="30">
      <t>チクサン</t>
    </rPh>
    <rPh sb="30" eb="32">
      <t>トウケイ</t>
    </rPh>
    <phoneticPr fontId="14"/>
  </si>
  <si>
    <t>畜産統計を用いた箇所は近経局の推計方法に準拠→H27,R2年表も同様とする</t>
    <rPh sb="0" eb="2">
      <t>チクサン</t>
    </rPh>
    <rPh sb="2" eb="4">
      <t>トウケイ</t>
    </rPh>
    <rPh sb="5" eb="6">
      <t>モチ</t>
    </rPh>
    <rPh sb="8" eb="10">
      <t>カショ</t>
    </rPh>
    <rPh sb="11" eb="12">
      <t>キン</t>
    </rPh>
    <rPh sb="12" eb="13">
      <t>ケイ</t>
    </rPh>
    <rPh sb="13" eb="14">
      <t>キョク</t>
    </rPh>
    <rPh sb="15" eb="17">
      <t>スイケイ</t>
    </rPh>
    <rPh sb="17" eb="19">
      <t>ホウホウ</t>
    </rPh>
    <rPh sb="20" eb="22">
      <t>ジュンキョ</t>
    </rPh>
    <rPh sb="29" eb="30">
      <t>ネン</t>
    </rPh>
    <rPh sb="30" eb="31">
      <t>ヒョウ</t>
    </rPh>
    <rPh sb="32" eb="34">
      <t>ドウヨウ</t>
    </rPh>
    <phoneticPr fontId="14"/>
  </si>
  <si>
    <t>R3畜産統計（R2のデータなし）</t>
    <rPh sb="2" eb="4">
      <t>チクサン</t>
    </rPh>
    <rPh sb="4" eb="6">
      <t>トウケイ</t>
    </rPh>
    <phoneticPr fontId="14"/>
  </si>
  <si>
    <t>飼育羽数で按分</t>
    <rPh sb="0" eb="2">
      <t>シイク</t>
    </rPh>
    <rPh sb="2" eb="3">
      <t>ワ</t>
    </rPh>
    <rPh sb="3" eb="4">
      <t>スウ</t>
    </rPh>
    <rPh sb="5" eb="7">
      <t>アンブン</t>
    </rPh>
    <phoneticPr fontId="14"/>
  </si>
  <si>
    <t>R2生産農業所得統計（近畿農政局内部資料及び公表資料）</t>
    <rPh sb="20" eb="21">
      <t>オヨ</t>
    </rPh>
    <rPh sb="22" eb="24">
      <t>コウヒョウ</t>
    </rPh>
    <rPh sb="24" eb="26">
      <t>シリョウ</t>
    </rPh>
    <phoneticPr fontId="5"/>
  </si>
  <si>
    <t>近経局と同様、鶏卵の産出額で按分</t>
    <rPh sb="0" eb="1">
      <t>キン</t>
    </rPh>
    <rPh sb="1" eb="2">
      <t>ケイ</t>
    </rPh>
    <rPh sb="2" eb="3">
      <t>キョク</t>
    </rPh>
    <rPh sb="4" eb="6">
      <t>ドウヨウ</t>
    </rPh>
    <rPh sb="7" eb="9">
      <t>ケイラン</t>
    </rPh>
    <rPh sb="10" eb="13">
      <t>サンシュツガク</t>
    </rPh>
    <rPh sb="14" eb="16">
      <t>アンブン</t>
    </rPh>
    <phoneticPr fontId="14"/>
  </si>
  <si>
    <t>　鶏ふん（鶏卵）</t>
    <phoneticPr fontId="5"/>
  </si>
  <si>
    <t>飼育羽数で按分</t>
  </si>
  <si>
    <t>ブロイラーのこと</t>
    <phoneticPr fontId="14"/>
  </si>
  <si>
    <t>　鶏ふん（肉鶏）</t>
    <phoneticPr fontId="5"/>
  </si>
  <si>
    <t>畜産物流統計調査はH26をもって出荷量調査終了のため、R2は畜産統計（R2データなしのためR3データ）ブロイラー出荷羽数にて按分に変更</t>
    <rPh sb="0" eb="2">
      <t>チクサン</t>
    </rPh>
    <rPh sb="2" eb="4">
      <t>ブツリュウ</t>
    </rPh>
    <rPh sb="4" eb="6">
      <t>トウケイ</t>
    </rPh>
    <rPh sb="6" eb="8">
      <t>チョウサ</t>
    </rPh>
    <rPh sb="16" eb="19">
      <t>シュッカリョウ</t>
    </rPh>
    <rPh sb="19" eb="21">
      <t>チョウサ</t>
    </rPh>
    <rPh sb="21" eb="23">
      <t>シュウリョウ</t>
    </rPh>
    <rPh sb="30" eb="32">
      <t>チクサン</t>
    </rPh>
    <rPh sb="32" eb="34">
      <t>トウケイ</t>
    </rPh>
    <rPh sb="56" eb="58">
      <t>シュッカ</t>
    </rPh>
    <rPh sb="58" eb="59">
      <t>ハネ</t>
    </rPh>
    <rPh sb="59" eb="60">
      <t>スウ</t>
    </rPh>
    <rPh sb="62" eb="64">
      <t>アンブン</t>
    </rPh>
    <rPh sb="65" eb="67">
      <t>ヘンコウ</t>
    </rPh>
    <phoneticPr fontId="14"/>
  </si>
  <si>
    <t>P：生産農業所得統計、畜産物生産費調査、経済計算
Q：生産農業所得統計、畜産物流通統計、蚕業に関する参考統計、原課業務資料</t>
    <rPh sb="2" eb="4">
      <t>セイサン</t>
    </rPh>
    <rPh sb="4" eb="6">
      <t>ノウギョウ</t>
    </rPh>
    <rPh sb="6" eb="8">
      <t>ショトク</t>
    </rPh>
    <rPh sb="8" eb="10">
      <t>トウケイ</t>
    </rPh>
    <rPh sb="11" eb="14">
      <t>チクサンブツ</t>
    </rPh>
    <rPh sb="14" eb="17">
      <t>セイサンヒ</t>
    </rPh>
    <rPh sb="17" eb="19">
      <t>チョウサ</t>
    </rPh>
    <rPh sb="20" eb="22">
      <t>ケイザイ</t>
    </rPh>
    <rPh sb="22" eb="24">
      <t>ケイサン</t>
    </rPh>
    <rPh sb="27" eb="29">
      <t>セイサン</t>
    </rPh>
    <rPh sb="29" eb="31">
      <t>ノウギョウ</t>
    </rPh>
    <rPh sb="31" eb="33">
      <t>ショトク</t>
    </rPh>
    <rPh sb="33" eb="35">
      <t>トウケイ</t>
    </rPh>
    <rPh sb="36" eb="39">
      <t>チクサンブツ</t>
    </rPh>
    <rPh sb="39" eb="41">
      <t>リュウツウ</t>
    </rPh>
    <rPh sb="41" eb="43">
      <t>トウケイ</t>
    </rPh>
    <rPh sb="44" eb="45">
      <t>カイコ</t>
    </rPh>
    <rPh sb="45" eb="46">
      <t>ギョウ</t>
    </rPh>
    <rPh sb="47" eb="48">
      <t>カン</t>
    </rPh>
    <rPh sb="50" eb="52">
      <t>サンコウ</t>
    </rPh>
    <rPh sb="52" eb="54">
      <t>トウケイ</t>
    </rPh>
    <rPh sb="55" eb="56">
      <t>ハラ</t>
    </rPh>
    <rPh sb="56" eb="57">
      <t>カ</t>
    </rPh>
    <rPh sb="57" eb="59">
      <t>ギョウム</t>
    </rPh>
    <rPh sb="59" eb="61">
      <t>シリョウ</t>
    </rPh>
    <phoneticPr fontId="14"/>
  </si>
  <si>
    <t>R2畜産物流統計(馬関係資料でも可）</t>
    <rPh sb="2" eb="5">
      <t>チクサンブツ</t>
    </rPh>
    <rPh sb="5" eb="6">
      <t>リュウ</t>
    </rPh>
    <rPh sb="6" eb="8">
      <t>トウケイ</t>
    </rPh>
    <rPh sb="9" eb="10">
      <t>ウマ</t>
    </rPh>
    <rPh sb="10" eb="12">
      <t>カンケイ</t>
    </rPh>
    <rPh sb="12" eb="14">
      <t>シリョウ</t>
    </rPh>
    <rPh sb="16" eb="17">
      <t>カ</t>
    </rPh>
    <phoneticPr fontId="14"/>
  </si>
  <si>
    <t>馬関係資料（（公社）日本馬事協会）</t>
    <rPh sb="0" eb="1">
      <t>ウマ</t>
    </rPh>
    <rPh sb="1" eb="3">
      <t>カンケイ</t>
    </rPh>
    <rPh sb="3" eb="5">
      <t>シリョウ</t>
    </rPh>
    <rPh sb="7" eb="8">
      <t>コウ</t>
    </rPh>
    <rPh sb="8" eb="9">
      <t>シャ</t>
    </rPh>
    <rPh sb="10" eb="12">
      <t>ニホン</t>
    </rPh>
    <rPh sb="12" eb="13">
      <t>ウマ</t>
    </rPh>
    <rPh sb="13" eb="14">
      <t>コト</t>
    </rPh>
    <rPh sb="14" eb="16">
      <t>キョウカイ</t>
    </rPh>
    <phoneticPr fontId="14"/>
  </si>
  <si>
    <t>競走馬のこと。左記資料によると兵庫県では生産されていない。</t>
    <rPh sb="0" eb="3">
      <t>キョウソウバ</t>
    </rPh>
    <rPh sb="7" eb="9">
      <t>サキ</t>
    </rPh>
    <rPh sb="9" eb="11">
      <t>シリョウ</t>
    </rPh>
    <rPh sb="15" eb="18">
      <t>ヒョウゴケン</t>
    </rPh>
    <rPh sb="20" eb="22">
      <t>セイサン</t>
    </rPh>
    <phoneticPr fontId="14"/>
  </si>
  <si>
    <t>国内蚕糸統計データ（大日本蚕糸会）</t>
    <rPh sb="0" eb="2">
      <t>コクナイ</t>
    </rPh>
    <rPh sb="2" eb="3">
      <t>カイコ</t>
    </rPh>
    <rPh sb="3" eb="4">
      <t>イト</t>
    </rPh>
    <rPh sb="4" eb="6">
      <t>トウケイ</t>
    </rPh>
    <rPh sb="10" eb="13">
      <t>ダイニホン</t>
    </rPh>
    <rPh sb="13" eb="15">
      <t>サンシ</t>
    </rPh>
    <rPh sb="15" eb="16">
      <t>カイ</t>
    </rPh>
    <phoneticPr fontId="14"/>
  </si>
  <si>
    <t>農水省の「蚕業に関する参考統計」はH20で終了しているため、左記の資料から生産数量を取って按分（近経局の推計方法に準拠）→H27,R2年表も同様とする</t>
    <rPh sb="0" eb="3">
      <t>ノウスイショウ</t>
    </rPh>
    <rPh sb="21" eb="23">
      <t>シュウリョウ</t>
    </rPh>
    <rPh sb="30" eb="32">
      <t>サキ</t>
    </rPh>
    <rPh sb="33" eb="35">
      <t>シリョウ</t>
    </rPh>
    <rPh sb="37" eb="39">
      <t>セイサン</t>
    </rPh>
    <rPh sb="39" eb="41">
      <t>スウリョウ</t>
    </rPh>
    <rPh sb="42" eb="43">
      <t>ト</t>
    </rPh>
    <rPh sb="45" eb="47">
      <t>アンブン</t>
    </rPh>
    <rPh sb="48" eb="50">
      <t>キンケイ</t>
    </rPh>
    <rPh sb="50" eb="51">
      <t>キョク</t>
    </rPh>
    <rPh sb="52" eb="54">
      <t>スイケイ</t>
    </rPh>
    <rPh sb="54" eb="56">
      <t>ホウホウ</t>
    </rPh>
    <rPh sb="57" eb="59">
      <t>ジュンキョ</t>
    </rPh>
    <rPh sb="67" eb="69">
      <t>ネンピョウ</t>
    </rPh>
    <rPh sb="70" eb="72">
      <t>ドウヨウ</t>
    </rPh>
    <phoneticPr fontId="14"/>
  </si>
  <si>
    <t>農水省「家畜の飼養に係る衛生管理の状況等の公表について」</t>
    <rPh sb="0" eb="3">
      <t>ノウスイショウ</t>
    </rPh>
    <rPh sb="4" eb="6">
      <t>カチク</t>
    </rPh>
    <rPh sb="7" eb="9">
      <t>シヨウ</t>
    </rPh>
    <rPh sb="10" eb="11">
      <t>カカ</t>
    </rPh>
    <rPh sb="12" eb="14">
      <t>エイセイ</t>
    </rPh>
    <rPh sb="14" eb="16">
      <t>カンリ</t>
    </rPh>
    <rPh sb="17" eb="20">
      <t>ジョウキョウトウ</t>
    </rPh>
    <rPh sb="21" eb="23">
      <t>コウヒョウ</t>
    </rPh>
    <phoneticPr fontId="14"/>
  </si>
  <si>
    <t>従来、家畜関係資料（http://jlta.lin.gr.jp/sheepandgoat/index.html）からデータととっていたが、H23年度以降はその統計がなくなったため、左記資料から取るように変更した。→H23年表は近畿値０のため補正している。→27年表も同様とする→R2年表では補正をやめる</t>
    <rPh sb="110" eb="111">
      <t>ネン</t>
    </rPh>
    <rPh sb="111" eb="112">
      <t>ヒョウ</t>
    </rPh>
    <rPh sb="113" eb="115">
      <t>キンキ</t>
    </rPh>
    <rPh sb="115" eb="116">
      <t>チ</t>
    </rPh>
    <rPh sb="120" eb="122">
      <t>ホセイ</t>
    </rPh>
    <rPh sb="130" eb="131">
      <t>ネン</t>
    </rPh>
    <rPh sb="131" eb="132">
      <t>ヒョウ</t>
    </rPh>
    <rPh sb="133" eb="135">
      <t>ドウヨウ</t>
    </rPh>
    <rPh sb="141" eb="142">
      <t>ネン</t>
    </rPh>
    <rPh sb="142" eb="143">
      <t>ヒョウ</t>
    </rPh>
    <rPh sb="145" eb="147">
      <t>ホセイ</t>
    </rPh>
    <phoneticPr fontId="14"/>
  </si>
  <si>
    <t>　　〃　→H23年表は近畿値０のため補正→27年表も同様とする→R2年表では補正をやめる</t>
    <rPh sb="8" eb="9">
      <t>ネン</t>
    </rPh>
    <rPh sb="9" eb="10">
      <t>ヒョウ</t>
    </rPh>
    <rPh sb="11" eb="13">
      <t>キンキ</t>
    </rPh>
    <rPh sb="13" eb="14">
      <t>チ</t>
    </rPh>
    <rPh sb="18" eb="20">
      <t>ホセイ</t>
    </rPh>
    <rPh sb="23" eb="24">
      <t>ネン</t>
    </rPh>
    <rPh sb="24" eb="25">
      <t>ヒョウ</t>
    </rPh>
    <rPh sb="26" eb="28">
      <t>ドウヨウ</t>
    </rPh>
    <rPh sb="34" eb="35">
      <t>ネン</t>
    </rPh>
    <rPh sb="35" eb="36">
      <t>ヒョウ</t>
    </rPh>
    <rPh sb="38" eb="40">
      <t>ホセイ</t>
    </rPh>
    <phoneticPr fontId="14"/>
  </si>
  <si>
    <t>（全国値）養蜂をめぐる情勢（農水省）R3値
（県値）ひょうごみどり白書2022（R3値）</t>
    <rPh sb="1" eb="3">
      <t>ゼンコク</t>
    </rPh>
    <rPh sb="3" eb="4">
      <t>チ</t>
    </rPh>
    <rPh sb="5" eb="7">
      <t>ヨウホウ</t>
    </rPh>
    <rPh sb="11" eb="13">
      <t>ジョウセイ</t>
    </rPh>
    <rPh sb="14" eb="17">
      <t>ノウスイショウ</t>
    </rPh>
    <rPh sb="20" eb="21">
      <t>チ</t>
    </rPh>
    <rPh sb="23" eb="25">
      <t>ケンチ</t>
    </rPh>
    <rPh sb="33" eb="35">
      <t>ハクショ</t>
    </rPh>
    <rPh sb="42" eb="43">
      <t>アタイ</t>
    </rPh>
    <phoneticPr fontId="5"/>
  </si>
  <si>
    <t>従来は県畜産課へ照会し、ハチミツ生産量で按分しているが、近畿農政局への直接照会資料で生産額が直接取れるのでその値を入力→R2は、近畿農政局資料では県値が「－」となっていたので、別の資料から按分値をとった。R2値では見つけられなかったため、R3値。</t>
    <rPh sb="0" eb="2">
      <t>ジュウライ</t>
    </rPh>
    <rPh sb="3" eb="4">
      <t>ケン</t>
    </rPh>
    <rPh sb="4" eb="6">
      <t>チクサン</t>
    </rPh>
    <rPh sb="6" eb="7">
      <t>カ</t>
    </rPh>
    <rPh sb="8" eb="10">
      <t>ショウカイ</t>
    </rPh>
    <rPh sb="16" eb="19">
      <t>セイサンリョウ</t>
    </rPh>
    <rPh sb="20" eb="22">
      <t>アンブン</t>
    </rPh>
    <rPh sb="28" eb="30">
      <t>キンキ</t>
    </rPh>
    <rPh sb="30" eb="33">
      <t>ノウセイキョク</t>
    </rPh>
    <rPh sb="35" eb="37">
      <t>チョクセツ</t>
    </rPh>
    <rPh sb="37" eb="39">
      <t>ショウカイ</t>
    </rPh>
    <rPh sb="39" eb="41">
      <t>シリョウ</t>
    </rPh>
    <rPh sb="42" eb="45">
      <t>セイサンガク</t>
    </rPh>
    <rPh sb="46" eb="48">
      <t>チョクセツ</t>
    </rPh>
    <rPh sb="48" eb="49">
      <t>ト</t>
    </rPh>
    <rPh sb="55" eb="56">
      <t>チ</t>
    </rPh>
    <rPh sb="57" eb="59">
      <t>ニュウリョク</t>
    </rPh>
    <rPh sb="64" eb="66">
      <t>キンキ</t>
    </rPh>
    <rPh sb="66" eb="69">
      <t>ノウセイキョク</t>
    </rPh>
    <rPh sb="69" eb="71">
      <t>シリョウ</t>
    </rPh>
    <rPh sb="73" eb="74">
      <t>ケン</t>
    </rPh>
    <rPh sb="74" eb="75">
      <t>チ</t>
    </rPh>
    <rPh sb="88" eb="89">
      <t>ベツ</t>
    </rPh>
    <rPh sb="90" eb="92">
      <t>シリョウ</t>
    </rPh>
    <rPh sb="94" eb="96">
      <t>アンブン</t>
    </rPh>
    <rPh sb="96" eb="97">
      <t>チ</t>
    </rPh>
    <rPh sb="104" eb="105">
      <t>チ</t>
    </rPh>
    <rPh sb="107" eb="108">
      <t>ミ</t>
    </rPh>
    <rPh sb="121" eb="122">
      <t>チ</t>
    </rPh>
    <phoneticPr fontId="14"/>
  </si>
  <si>
    <t>「家畜改良関係資料」発行されていない。近畿農政局への直接照会資料にも計上されていないため０　　　　　　　　　　　</t>
    <rPh sb="10" eb="12">
      <t>ハッコウ</t>
    </rPh>
    <rPh sb="19" eb="21">
      <t>キンキ</t>
    </rPh>
    <rPh sb="21" eb="24">
      <t>ノウセイキョク</t>
    </rPh>
    <rPh sb="26" eb="28">
      <t>チョクセツ</t>
    </rPh>
    <rPh sb="28" eb="30">
      <t>ショウカイ</t>
    </rPh>
    <rPh sb="30" eb="32">
      <t>シリョウ</t>
    </rPh>
    <rPh sb="34" eb="36">
      <t>ケイジョウ</t>
    </rPh>
    <phoneticPr fontId="14"/>
  </si>
  <si>
    <t>経済センサス組替第01表</t>
    <rPh sb="0" eb="2">
      <t>ケイザイ</t>
    </rPh>
    <rPh sb="6" eb="8">
      <t>クミカエ</t>
    </rPh>
    <rPh sb="8" eb="9">
      <t>ダイ</t>
    </rPh>
    <rPh sb="11" eb="12">
      <t>ヒョウ</t>
    </rPh>
    <phoneticPr fontId="14"/>
  </si>
  <si>
    <t>毛皮用動物、食鳥類、実験用動物などが含まれると思われるので、経セン組替表品目コード１５「実験用愛がん動物等」の売上額を按分指標とした（近経局も同様の方法）。また近経局は、生産農業所得統計の数値も加えているようだが、県値は０→H27年表では、経セン組替表第019表を使用していたが、R2年表では第19表は削除されたため、第01表の「4　愛がん用動物の飼育」と「5　実験用動物の飼育」の合計値を按分指標とする。（ただし5は県値ゼロ）</t>
    <rPh sb="0" eb="2">
      <t>ケガワ</t>
    </rPh>
    <rPh sb="2" eb="3">
      <t>ヨウ</t>
    </rPh>
    <rPh sb="3" eb="5">
      <t>ドウブツ</t>
    </rPh>
    <rPh sb="6" eb="7">
      <t>ショク</t>
    </rPh>
    <rPh sb="7" eb="9">
      <t>チョウルイ</t>
    </rPh>
    <rPh sb="10" eb="13">
      <t>ジッケンヨウ</t>
    </rPh>
    <rPh sb="13" eb="15">
      <t>ドウブツ</t>
    </rPh>
    <rPh sb="18" eb="19">
      <t>フク</t>
    </rPh>
    <rPh sb="23" eb="24">
      <t>オモ</t>
    </rPh>
    <rPh sb="30" eb="31">
      <t>ケイ</t>
    </rPh>
    <rPh sb="33" eb="35">
      <t>クミカエ</t>
    </rPh>
    <rPh sb="35" eb="36">
      <t>ヒョウ</t>
    </rPh>
    <rPh sb="36" eb="38">
      <t>ヒンモク</t>
    </rPh>
    <rPh sb="44" eb="47">
      <t>ジッケンヨウ</t>
    </rPh>
    <rPh sb="47" eb="48">
      <t>アイ</t>
    </rPh>
    <rPh sb="50" eb="53">
      <t>ドウブツトウ</t>
    </rPh>
    <rPh sb="55" eb="57">
      <t>ウリア</t>
    </rPh>
    <rPh sb="57" eb="58">
      <t>ガク</t>
    </rPh>
    <rPh sb="59" eb="61">
      <t>アンブン</t>
    </rPh>
    <rPh sb="61" eb="63">
      <t>シヒョウ</t>
    </rPh>
    <rPh sb="67" eb="68">
      <t>キン</t>
    </rPh>
    <rPh sb="68" eb="69">
      <t>ケイ</t>
    </rPh>
    <rPh sb="69" eb="70">
      <t>キョク</t>
    </rPh>
    <rPh sb="71" eb="73">
      <t>ドウヨウ</t>
    </rPh>
    <rPh sb="74" eb="76">
      <t>ホウホウ</t>
    </rPh>
    <rPh sb="80" eb="81">
      <t>キン</t>
    </rPh>
    <rPh sb="81" eb="82">
      <t>ケイ</t>
    </rPh>
    <rPh sb="82" eb="83">
      <t>キョク</t>
    </rPh>
    <rPh sb="85" eb="87">
      <t>セイサン</t>
    </rPh>
    <rPh sb="87" eb="89">
      <t>ノウギョウ</t>
    </rPh>
    <rPh sb="89" eb="91">
      <t>ショトク</t>
    </rPh>
    <rPh sb="91" eb="93">
      <t>トウケイ</t>
    </rPh>
    <rPh sb="94" eb="96">
      <t>スウチ</t>
    </rPh>
    <rPh sb="97" eb="98">
      <t>クワ</t>
    </rPh>
    <rPh sb="107" eb="108">
      <t>ケン</t>
    </rPh>
    <rPh sb="108" eb="109">
      <t>チ</t>
    </rPh>
    <rPh sb="115" eb="116">
      <t>ネン</t>
    </rPh>
    <rPh sb="116" eb="117">
      <t>ヒョウ</t>
    </rPh>
    <rPh sb="120" eb="121">
      <t>ケイ</t>
    </rPh>
    <rPh sb="123" eb="125">
      <t>クミカエ</t>
    </rPh>
    <rPh sb="125" eb="126">
      <t>ヒョウ</t>
    </rPh>
    <rPh sb="126" eb="127">
      <t>ダイ</t>
    </rPh>
    <rPh sb="130" eb="131">
      <t>ヒョウ</t>
    </rPh>
    <rPh sb="132" eb="134">
      <t>シヨウ</t>
    </rPh>
    <rPh sb="142" eb="143">
      <t>ネン</t>
    </rPh>
    <rPh sb="143" eb="144">
      <t>ヒョウ</t>
    </rPh>
    <rPh sb="146" eb="147">
      <t>ダイ</t>
    </rPh>
    <rPh sb="149" eb="150">
      <t>ヒョウ</t>
    </rPh>
    <rPh sb="151" eb="153">
      <t>サクジョ</t>
    </rPh>
    <rPh sb="159" eb="160">
      <t>ダイ</t>
    </rPh>
    <rPh sb="162" eb="163">
      <t>ヒョウ</t>
    </rPh>
    <rPh sb="167" eb="168">
      <t>アイ</t>
    </rPh>
    <rPh sb="170" eb="171">
      <t>ヨウ</t>
    </rPh>
    <rPh sb="171" eb="173">
      <t>ドウブツ</t>
    </rPh>
    <rPh sb="174" eb="176">
      <t>シイク</t>
    </rPh>
    <rPh sb="181" eb="183">
      <t>ジッケン</t>
    </rPh>
    <rPh sb="183" eb="184">
      <t>ヨウ</t>
    </rPh>
    <rPh sb="184" eb="186">
      <t>ドウブツ</t>
    </rPh>
    <rPh sb="187" eb="189">
      <t>シイク</t>
    </rPh>
    <rPh sb="191" eb="193">
      <t>ゴウケイ</t>
    </rPh>
    <rPh sb="193" eb="194">
      <t>チ</t>
    </rPh>
    <rPh sb="195" eb="197">
      <t>アンブン</t>
    </rPh>
    <rPh sb="197" eb="199">
      <t>シヒョウ</t>
    </rPh>
    <rPh sb="209" eb="210">
      <t>ケン</t>
    </rPh>
    <rPh sb="210" eb="211">
      <t>チ</t>
    </rPh>
    <phoneticPr fontId="14"/>
  </si>
  <si>
    <t>0131-01</t>
    <phoneticPr fontId="5"/>
  </si>
  <si>
    <t>0131-011</t>
    <phoneticPr fontId="5"/>
  </si>
  <si>
    <t>農業サービス</t>
    <phoneticPr fontId="14"/>
  </si>
  <si>
    <t>V：畜産統計、畜産物生産費調査、野菜生産出荷統計、果樹生産出荷統計、米の検査結果、麦の検査結果、食糧統計年報、農業物価統計、蚕業に関する参考統計、原課業務資料、総合農協・専門農協統計表</t>
    <rPh sb="2" eb="4">
      <t>チクサン</t>
    </rPh>
    <rPh sb="4" eb="6">
      <t>トウケイ</t>
    </rPh>
    <rPh sb="7" eb="10">
      <t>チクサンブツ</t>
    </rPh>
    <rPh sb="10" eb="13">
      <t>セイサンヒ</t>
    </rPh>
    <rPh sb="13" eb="15">
      <t>チョウサ</t>
    </rPh>
    <rPh sb="16" eb="18">
      <t>ヤサイ</t>
    </rPh>
    <rPh sb="18" eb="20">
      <t>セイサン</t>
    </rPh>
    <rPh sb="20" eb="22">
      <t>シュッカ</t>
    </rPh>
    <rPh sb="22" eb="24">
      <t>トウケイ</t>
    </rPh>
    <rPh sb="25" eb="27">
      <t>カジュ</t>
    </rPh>
    <rPh sb="27" eb="29">
      <t>セイサン</t>
    </rPh>
    <rPh sb="29" eb="31">
      <t>シュッカ</t>
    </rPh>
    <rPh sb="31" eb="33">
      <t>トウケイ</t>
    </rPh>
    <rPh sb="34" eb="35">
      <t>コメ</t>
    </rPh>
    <rPh sb="36" eb="38">
      <t>ケンサ</t>
    </rPh>
    <rPh sb="38" eb="40">
      <t>ケッカ</t>
    </rPh>
    <rPh sb="41" eb="42">
      <t>ムギ</t>
    </rPh>
    <rPh sb="43" eb="45">
      <t>ケンサ</t>
    </rPh>
    <rPh sb="45" eb="47">
      <t>ケッカ</t>
    </rPh>
    <rPh sb="48" eb="50">
      <t>ショクリョウ</t>
    </rPh>
    <rPh sb="50" eb="52">
      <t>トウケイ</t>
    </rPh>
    <rPh sb="52" eb="54">
      <t>ネンポウ</t>
    </rPh>
    <rPh sb="55" eb="57">
      <t>ノウギョウ</t>
    </rPh>
    <rPh sb="57" eb="59">
      <t>ブッカ</t>
    </rPh>
    <rPh sb="59" eb="61">
      <t>トウケイ</t>
    </rPh>
    <rPh sb="62" eb="64">
      <t>カイコギョウ</t>
    </rPh>
    <rPh sb="65" eb="66">
      <t>カン</t>
    </rPh>
    <rPh sb="68" eb="70">
      <t>サンコウ</t>
    </rPh>
    <rPh sb="70" eb="72">
      <t>トウケイ</t>
    </rPh>
    <rPh sb="73" eb="74">
      <t>ゲン</t>
    </rPh>
    <rPh sb="74" eb="75">
      <t>カ</t>
    </rPh>
    <rPh sb="75" eb="77">
      <t>ギョウム</t>
    </rPh>
    <rPh sb="77" eb="79">
      <t>シリョウ</t>
    </rPh>
    <rPh sb="80" eb="82">
      <t>ソウゴウ</t>
    </rPh>
    <rPh sb="82" eb="84">
      <t>ノウキョウ</t>
    </rPh>
    <rPh sb="85" eb="87">
      <t>センモン</t>
    </rPh>
    <rPh sb="87" eb="89">
      <t>ノウキョウ</t>
    </rPh>
    <rPh sb="89" eb="92">
      <t>トウケイヒョウ</t>
    </rPh>
    <phoneticPr fontId="14"/>
  </si>
  <si>
    <t>R2総合農協統計表</t>
    <rPh sb="4" eb="6">
      <t>ノウキョウ</t>
    </rPh>
    <rPh sb="6" eb="9">
      <t>トウケイヒョウ</t>
    </rPh>
    <phoneticPr fontId="14"/>
  </si>
  <si>
    <t>HP</t>
    <phoneticPr fontId="14"/>
  </si>
  <si>
    <t>部門新旧対照を見ると、ライスセンターとカントリーエレベータがこの項目に統合されているようだ。
農水省の推計方法にあるライスセンター費、カントリーエレベータ費というものが農産物生産費統計から把握できなかったので、やむを得ず上記２種の所有戸数で按分した。</t>
    <rPh sb="0" eb="2">
      <t>ブモン</t>
    </rPh>
    <rPh sb="2" eb="4">
      <t>シンキュウ</t>
    </rPh>
    <rPh sb="4" eb="6">
      <t>タイショウ</t>
    </rPh>
    <rPh sb="7" eb="8">
      <t>ミ</t>
    </rPh>
    <rPh sb="32" eb="34">
      <t>コウモク</t>
    </rPh>
    <rPh sb="35" eb="37">
      <t>トウゴウ</t>
    </rPh>
    <rPh sb="47" eb="50">
      <t>ノウスイショウ</t>
    </rPh>
    <rPh sb="51" eb="53">
      <t>スイケイ</t>
    </rPh>
    <rPh sb="53" eb="55">
      <t>ホウホウ</t>
    </rPh>
    <rPh sb="65" eb="66">
      <t>ヒ</t>
    </rPh>
    <rPh sb="77" eb="78">
      <t>ヒ</t>
    </rPh>
    <rPh sb="84" eb="87">
      <t>ノウサンブツ</t>
    </rPh>
    <rPh sb="87" eb="90">
      <t>セイサンヒ</t>
    </rPh>
    <rPh sb="90" eb="92">
      <t>トウケイ</t>
    </rPh>
    <rPh sb="94" eb="96">
      <t>ハアク</t>
    </rPh>
    <rPh sb="108" eb="109">
      <t>エ</t>
    </rPh>
    <rPh sb="110" eb="112">
      <t>ジョウキ</t>
    </rPh>
    <rPh sb="113" eb="114">
      <t>シュ</t>
    </rPh>
    <rPh sb="115" eb="117">
      <t>ショユウ</t>
    </rPh>
    <rPh sb="117" eb="119">
      <t>コスウ</t>
    </rPh>
    <rPh sb="120" eb="122">
      <t>アンブン</t>
    </rPh>
    <phoneticPr fontId="14"/>
  </si>
  <si>
    <t>0111「米」のうち、「玄米（種子を含む食用）」と「くず米」のＣＴ合計で按分（近経局の推計方法に準拠）→H27,R2年表も同様とする</t>
    <rPh sb="12" eb="14">
      <t>ゲンマイ</t>
    </rPh>
    <rPh sb="15" eb="17">
      <t>シュシ</t>
    </rPh>
    <rPh sb="18" eb="19">
      <t>フク</t>
    </rPh>
    <rPh sb="20" eb="22">
      <t>ショクヨウ</t>
    </rPh>
    <rPh sb="28" eb="29">
      <t>コメ</t>
    </rPh>
    <rPh sb="33" eb="35">
      <t>ゴウケイ</t>
    </rPh>
    <rPh sb="36" eb="38">
      <t>アンブン</t>
    </rPh>
    <rPh sb="39" eb="40">
      <t>キン</t>
    </rPh>
    <rPh sb="40" eb="41">
      <t>ケイ</t>
    </rPh>
    <rPh sb="41" eb="42">
      <t>キョク</t>
    </rPh>
    <rPh sb="43" eb="45">
      <t>スイケイ</t>
    </rPh>
    <rPh sb="45" eb="47">
      <t>ホウホウ</t>
    </rPh>
    <rPh sb="48" eb="50">
      <t>ジュンキョ</t>
    </rPh>
    <rPh sb="58" eb="59">
      <t>ネン</t>
    </rPh>
    <rPh sb="59" eb="60">
      <t>ヒョウ</t>
    </rPh>
    <rPh sb="61" eb="63">
      <t>ドウヨウ</t>
    </rPh>
    <phoneticPr fontId="14"/>
  </si>
  <si>
    <t>農林水産省HP</t>
    <rPh sb="0" eb="2">
      <t>ノウリン</t>
    </rPh>
    <rPh sb="2" eb="4">
      <t>スイサン</t>
    </rPh>
    <rPh sb="4" eb="5">
      <t>ショウ</t>
    </rPh>
    <phoneticPr fontId="14"/>
  </si>
  <si>
    <t>左記協会HP</t>
    <rPh sb="0" eb="2">
      <t>サキ</t>
    </rPh>
    <rPh sb="2" eb="4">
      <t>キョウカイ</t>
    </rPh>
    <phoneticPr fontId="14"/>
  </si>
  <si>
    <t>沖縄県はウェイトが大きすぎるため全国値から除外</t>
    <rPh sb="0" eb="3">
      <t>オキナワケン</t>
    </rPh>
    <rPh sb="9" eb="10">
      <t>オオ</t>
    </rPh>
    <rPh sb="16" eb="18">
      <t>ゼンコク</t>
    </rPh>
    <rPh sb="18" eb="19">
      <t>チ</t>
    </rPh>
    <rPh sb="21" eb="23">
      <t>ジョガイ</t>
    </rPh>
    <phoneticPr fontId="14"/>
  </si>
  <si>
    <t>第96次農水省統計表</t>
    <rPh sb="0" eb="1">
      <t>ダイ</t>
    </rPh>
    <rPh sb="3" eb="4">
      <t>ジ</t>
    </rPh>
    <rPh sb="4" eb="7">
      <t>ノウスイショウ</t>
    </rPh>
    <rPh sb="7" eb="10">
      <t>トウケイヒョウ</t>
    </rPh>
    <phoneticPr fontId="14"/>
  </si>
  <si>
    <t>野菜出荷量 +.果樹出荷j量で按分。H17,23,27,R2踏襲</t>
    <rPh sb="4" eb="5">
      <t>リョウ</t>
    </rPh>
    <rPh sb="13" eb="14">
      <t>リョウ</t>
    </rPh>
    <rPh sb="15" eb="17">
      <t>アンブン</t>
    </rPh>
    <rPh sb="30" eb="32">
      <t>トウシュウ</t>
    </rPh>
    <phoneticPr fontId="14"/>
  </si>
  <si>
    <t>水稲作付面積で按分</t>
    <rPh sb="0" eb="1">
      <t>ミズ</t>
    </rPh>
    <rPh sb="1" eb="2">
      <t>イネ</t>
    </rPh>
    <rPh sb="2" eb="4">
      <t>サクツケ</t>
    </rPh>
    <rPh sb="4" eb="6">
      <t>メンセキ</t>
    </rPh>
    <rPh sb="7" eb="9">
      <t>アンブン</t>
    </rPh>
    <phoneticPr fontId="14"/>
  </si>
  <si>
    <t>第95次農水省統計表</t>
    <rPh sb="0" eb="1">
      <t>ダイ</t>
    </rPh>
    <rPh sb="3" eb="4">
      <t>ジ</t>
    </rPh>
    <rPh sb="4" eb="7">
      <t>ノウスイショウ</t>
    </rPh>
    <rPh sb="7" eb="10">
      <t>トウケイヒョウ</t>
    </rPh>
    <phoneticPr fontId="14"/>
  </si>
  <si>
    <t>乳用牛飼育頭数+肉用牛飼育頭数。Ｈ17,23,27,R2踏襲。</t>
    <rPh sb="3" eb="5">
      <t>シイク</t>
    </rPh>
    <rPh sb="5" eb="7">
      <t>トウスウ</t>
    </rPh>
    <rPh sb="11" eb="13">
      <t>シイク</t>
    </rPh>
    <rPh sb="13" eb="15">
      <t>トウスウ</t>
    </rPh>
    <rPh sb="28" eb="30">
      <t>トウシュウ</t>
    </rPh>
    <phoneticPr fontId="14"/>
  </si>
  <si>
    <t>種鶏孵卵統計</t>
    <rPh sb="0" eb="1">
      <t>シュ</t>
    </rPh>
    <rPh sb="1" eb="2">
      <t>トリ</t>
    </rPh>
    <rPh sb="4" eb="6">
      <t>トウケイ</t>
    </rPh>
    <phoneticPr fontId="14"/>
  </si>
  <si>
    <t>初生びなのえ付け羽数で按分（近経局の推計方法に準拠）→H27,R2年表も同様とする</t>
    <rPh sb="0" eb="1">
      <t>ショ</t>
    </rPh>
    <rPh sb="1" eb="2">
      <t>ナマ</t>
    </rPh>
    <rPh sb="6" eb="7">
      <t>ツ</t>
    </rPh>
    <rPh sb="8" eb="9">
      <t>ワ</t>
    </rPh>
    <rPh sb="9" eb="10">
      <t>スウ</t>
    </rPh>
    <rPh sb="11" eb="13">
      <t>アンブン</t>
    </rPh>
    <rPh sb="14" eb="15">
      <t>キン</t>
    </rPh>
    <rPh sb="15" eb="16">
      <t>ケイ</t>
    </rPh>
    <rPh sb="16" eb="17">
      <t>キョク</t>
    </rPh>
    <rPh sb="18" eb="20">
      <t>スイケイ</t>
    </rPh>
    <rPh sb="20" eb="22">
      <t>ホウホウ</t>
    </rPh>
    <rPh sb="23" eb="25">
      <t>ジュンキョ</t>
    </rPh>
    <rPh sb="33" eb="34">
      <t>ネン</t>
    </rPh>
    <rPh sb="34" eb="35">
      <t>ヒョウ</t>
    </rPh>
    <rPh sb="36" eb="38">
      <t>ドウヨウ</t>
    </rPh>
    <phoneticPr fontId="14"/>
  </si>
  <si>
    <t>国有林野事業統計書、原課業務資料</t>
    <rPh sb="0" eb="3">
      <t>コクユウリン</t>
    </rPh>
    <rPh sb="3" eb="4">
      <t>ヤ</t>
    </rPh>
    <rPh sb="4" eb="6">
      <t>ジギョウ</t>
    </rPh>
    <rPh sb="6" eb="9">
      <t>トウケイショ</t>
    </rPh>
    <rPh sb="10" eb="12">
      <t>ゲンカ</t>
    </rPh>
    <rPh sb="12" eb="14">
      <t>ギョウム</t>
    </rPh>
    <rPh sb="14" eb="16">
      <t>シリョウ</t>
    </rPh>
    <phoneticPr fontId="14"/>
  </si>
  <si>
    <t>R2生産農業所得統計（近畿農政局内部資料）</t>
    <rPh sb="2" eb="4">
      <t>セイサン</t>
    </rPh>
    <rPh sb="4" eb="6">
      <t>ノウギョウ</t>
    </rPh>
    <rPh sb="6" eb="8">
      <t>ショトク</t>
    </rPh>
    <rPh sb="8" eb="10">
      <t>トウケイ</t>
    </rPh>
    <phoneticPr fontId="14"/>
  </si>
  <si>
    <t>マニュアルどおり</t>
    <phoneticPr fontId="14"/>
  </si>
  <si>
    <t>R2木材需給報告書</t>
    <rPh sb="2" eb="4">
      <t>モクザイ</t>
    </rPh>
    <rPh sb="4" eb="6">
      <t>ジュキュウ</t>
    </rPh>
    <rPh sb="6" eb="9">
      <t>ホウコクショ</t>
    </rPh>
    <phoneticPr fontId="14"/>
  </si>
  <si>
    <t>素材生産量の対全国比で按分。（近経局の推計方法に準拠）→H27,R2年表も同様とする</t>
    <rPh sb="0" eb="2">
      <t>ソザイ</t>
    </rPh>
    <rPh sb="2" eb="4">
      <t>セイサン</t>
    </rPh>
    <rPh sb="4" eb="5">
      <t>リョウ</t>
    </rPh>
    <rPh sb="6" eb="7">
      <t>タイ</t>
    </rPh>
    <rPh sb="7" eb="9">
      <t>ゼンコク</t>
    </rPh>
    <rPh sb="9" eb="10">
      <t>ヒ</t>
    </rPh>
    <rPh sb="11" eb="13">
      <t>アンブン</t>
    </rPh>
    <rPh sb="15" eb="16">
      <t>キン</t>
    </rPh>
    <rPh sb="16" eb="17">
      <t>ケイ</t>
    </rPh>
    <rPh sb="17" eb="18">
      <t>キョク</t>
    </rPh>
    <rPh sb="19" eb="21">
      <t>スイケイ</t>
    </rPh>
    <rPh sb="21" eb="23">
      <t>ホウホウ</t>
    </rPh>
    <rPh sb="24" eb="26">
      <t>ジュンキョ</t>
    </rPh>
    <rPh sb="34" eb="35">
      <t>ネン</t>
    </rPh>
    <rPh sb="35" eb="36">
      <t>ヒョウ</t>
    </rPh>
    <rPh sb="37" eb="39">
      <t>ドウヨウ</t>
    </rPh>
    <phoneticPr fontId="14"/>
  </si>
  <si>
    <t>森林資源の現況(R4.3.31現在）</t>
    <rPh sb="0" eb="2">
      <t>シンリン</t>
    </rPh>
    <rPh sb="2" eb="4">
      <t>シゲン</t>
    </rPh>
    <rPh sb="5" eb="7">
      <t>ゲンキョウ</t>
    </rPh>
    <rPh sb="15" eb="17">
      <t>ゲンザイ</t>
    </rPh>
    <phoneticPr fontId="14"/>
  </si>
  <si>
    <t>林野庁HP</t>
    <rPh sb="0" eb="3">
      <t>リンヤチョウ</t>
    </rPh>
    <phoneticPr fontId="14"/>
  </si>
  <si>
    <t>マニュアルどおり。</t>
    <phoneticPr fontId="14"/>
  </si>
  <si>
    <t>P：特用林産関係資料
Q：木材需給報告書、特用林産関係資料</t>
    <rPh sb="2" eb="3">
      <t>トク</t>
    </rPh>
    <rPh sb="3" eb="4">
      <t>ヨウ</t>
    </rPh>
    <rPh sb="4" eb="6">
      <t>リンサン</t>
    </rPh>
    <rPh sb="6" eb="8">
      <t>カンケイ</t>
    </rPh>
    <rPh sb="8" eb="10">
      <t>シリョウ</t>
    </rPh>
    <rPh sb="13" eb="15">
      <t>モクザイ</t>
    </rPh>
    <rPh sb="15" eb="17">
      <t>ジュキュウ</t>
    </rPh>
    <rPh sb="17" eb="20">
      <t>ホウコクショ</t>
    </rPh>
    <rPh sb="21" eb="23">
      <t>トクヨウ</t>
    </rPh>
    <rPh sb="23" eb="25">
      <t>リンサン</t>
    </rPh>
    <rPh sb="25" eb="27">
      <t>カンケイ</t>
    </rPh>
    <rPh sb="27" eb="29">
      <t>シリョウ</t>
    </rPh>
    <phoneticPr fontId="14"/>
  </si>
  <si>
    <t>R2林業産出額</t>
    <rPh sb="4" eb="7">
      <t>サンシュツガク</t>
    </rPh>
    <phoneticPr fontId="14"/>
  </si>
  <si>
    <t>　あかまつ・くろまつ</t>
    <phoneticPr fontId="5"/>
  </si>
  <si>
    <t>　からまつ</t>
    <phoneticPr fontId="14"/>
  </si>
  <si>
    <t>　えぞまつ・とどまつ</t>
    <phoneticPr fontId="14"/>
  </si>
  <si>
    <t>針葉樹 － (すぎ＋ひのき + あかまつ・くろまつ + からまつ・えぞまつ・とどまつ)</t>
    <phoneticPr fontId="14"/>
  </si>
  <si>
    <t>　パルプ・その他用材</t>
    <rPh sb="7" eb="8">
      <t>タ</t>
    </rPh>
    <rPh sb="8" eb="10">
      <t>ヨウザイ</t>
    </rPh>
    <phoneticPr fontId="5"/>
  </si>
  <si>
    <t>R2国CTから新たに設定された細品目。推計資料が不明なので、苦肉の策として左記統計の都道府県別統計表2-3-2木材チップ生産量＞針葉樹・広葉樹別、入手区分別生産量及び在庫量の表の針葉樹にも広葉樹にも含まれていない「解体材・廃材」の数値を使って按分する。より適切な資料がみつかればそちらに要置き換え。</t>
    <rPh sb="2" eb="3">
      <t>クニ</t>
    </rPh>
    <rPh sb="7" eb="8">
      <t>アラ</t>
    </rPh>
    <rPh sb="10" eb="12">
      <t>セッテイ</t>
    </rPh>
    <rPh sb="15" eb="16">
      <t>サイ</t>
    </rPh>
    <rPh sb="16" eb="18">
      <t>ヒンモク</t>
    </rPh>
    <rPh sb="19" eb="21">
      <t>スイケイ</t>
    </rPh>
    <rPh sb="21" eb="23">
      <t>シリョウ</t>
    </rPh>
    <rPh sb="24" eb="26">
      <t>フメイ</t>
    </rPh>
    <rPh sb="30" eb="32">
      <t>クニク</t>
    </rPh>
    <rPh sb="33" eb="34">
      <t>サク</t>
    </rPh>
    <rPh sb="37" eb="39">
      <t>サキ</t>
    </rPh>
    <rPh sb="39" eb="41">
      <t>トウケイ</t>
    </rPh>
    <rPh sb="42" eb="46">
      <t>トドウフケン</t>
    </rPh>
    <rPh sb="46" eb="47">
      <t>ベツ</t>
    </rPh>
    <rPh sb="47" eb="50">
      <t>トウケイヒョウ</t>
    </rPh>
    <rPh sb="55" eb="57">
      <t>モクザイ</t>
    </rPh>
    <rPh sb="60" eb="63">
      <t>セイサンリョウ</t>
    </rPh>
    <rPh sb="64" eb="67">
      <t>シンヨウジュ</t>
    </rPh>
    <rPh sb="68" eb="71">
      <t>コウヨウジュ</t>
    </rPh>
    <rPh sb="71" eb="72">
      <t>ベツ</t>
    </rPh>
    <rPh sb="73" eb="75">
      <t>ニュウシュ</t>
    </rPh>
    <rPh sb="75" eb="77">
      <t>クブン</t>
    </rPh>
    <rPh sb="77" eb="78">
      <t>ベツ</t>
    </rPh>
    <rPh sb="78" eb="81">
      <t>セイサンリョウ</t>
    </rPh>
    <rPh sb="81" eb="82">
      <t>オヨ</t>
    </rPh>
    <rPh sb="83" eb="86">
      <t>ザイコリョウ</t>
    </rPh>
    <rPh sb="87" eb="88">
      <t>ヒョウ</t>
    </rPh>
    <rPh sb="89" eb="92">
      <t>シンヨウジュ</t>
    </rPh>
    <rPh sb="94" eb="97">
      <t>コウヨウジュ</t>
    </rPh>
    <rPh sb="99" eb="100">
      <t>フク</t>
    </rPh>
    <rPh sb="107" eb="109">
      <t>カイタイ</t>
    </rPh>
    <rPh sb="109" eb="110">
      <t>ザイ</t>
    </rPh>
    <rPh sb="111" eb="113">
      <t>ハイザイ</t>
    </rPh>
    <rPh sb="115" eb="117">
      <t>スウチ</t>
    </rPh>
    <rPh sb="118" eb="119">
      <t>ツカ</t>
    </rPh>
    <rPh sb="121" eb="123">
      <t>アンブン</t>
    </rPh>
    <rPh sb="128" eb="130">
      <t>テキセツ</t>
    </rPh>
    <rPh sb="131" eb="133">
      <t>シリョウ</t>
    </rPh>
    <rPh sb="143" eb="144">
      <t>ヨウ</t>
    </rPh>
    <rPh sb="144" eb="145">
      <t>オ</t>
    </rPh>
    <rPh sb="146" eb="147">
      <t>カ</t>
    </rPh>
    <phoneticPr fontId="5"/>
  </si>
  <si>
    <t>R2特用林産物生産統計調査</t>
    <rPh sb="2" eb="3">
      <t>トク</t>
    </rPh>
    <rPh sb="3" eb="4">
      <t>ヨウ</t>
    </rPh>
    <rPh sb="4" eb="5">
      <t>リン</t>
    </rPh>
    <rPh sb="5" eb="7">
      <t>サンブツ</t>
    </rPh>
    <rPh sb="7" eb="9">
      <t>セイサン</t>
    </rPh>
    <rPh sb="9" eb="11">
      <t>トウケイ</t>
    </rPh>
    <rPh sb="11" eb="13">
      <t>チョウサ</t>
    </rPh>
    <phoneticPr fontId="5"/>
  </si>
  <si>
    <t>近経局の推計方法に準拠→H27、R2年表も同様とする</t>
    <rPh sb="0" eb="1">
      <t>キン</t>
    </rPh>
    <rPh sb="1" eb="2">
      <t>ケイ</t>
    </rPh>
    <rPh sb="2" eb="3">
      <t>キョク</t>
    </rPh>
    <rPh sb="4" eb="6">
      <t>スイケイ</t>
    </rPh>
    <rPh sb="6" eb="8">
      <t>ホウホウ</t>
    </rPh>
    <rPh sb="9" eb="11">
      <t>ジュンキョ</t>
    </rPh>
    <rPh sb="18" eb="19">
      <t>ネン</t>
    </rPh>
    <rPh sb="19" eb="20">
      <t>ヒョウ</t>
    </rPh>
    <rPh sb="21" eb="23">
      <t>ドウヨウ</t>
    </rPh>
    <phoneticPr fontId="14"/>
  </si>
  <si>
    <t>P：特用林産物生産動向
Q：特用林産物生産動向、木材需給報告書</t>
    <rPh sb="2" eb="4">
      <t>トクヨウ</t>
    </rPh>
    <rPh sb="4" eb="7">
      <t>リンサンブツ</t>
    </rPh>
    <rPh sb="7" eb="9">
      <t>セイサン</t>
    </rPh>
    <rPh sb="9" eb="11">
      <t>ドウコウ</t>
    </rPh>
    <rPh sb="14" eb="16">
      <t>トクヨウ</t>
    </rPh>
    <rPh sb="16" eb="19">
      <t>リンサンブツ</t>
    </rPh>
    <rPh sb="19" eb="21">
      <t>セイサン</t>
    </rPh>
    <rPh sb="21" eb="23">
      <t>ドウコウ</t>
    </rPh>
    <rPh sb="24" eb="26">
      <t>モクザイ</t>
    </rPh>
    <rPh sb="26" eb="28">
      <t>ジュキュウ</t>
    </rPh>
    <rPh sb="28" eb="31">
      <t>ホウコクショ</t>
    </rPh>
    <phoneticPr fontId="14"/>
  </si>
  <si>
    <t>R2林業産出額</t>
    <rPh sb="2" eb="4">
      <t>リンギョウ</t>
    </rPh>
    <rPh sb="4" eb="7">
      <t>サンシュツガク</t>
    </rPh>
    <phoneticPr fontId="14"/>
  </si>
  <si>
    <t>R3特用林産物統計調査（R2林業産出額、R2特用林産物統計調査のデータが非公表のため）</t>
    <rPh sb="2" eb="3">
      <t>トク</t>
    </rPh>
    <rPh sb="3" eb="4">
      <t>ヨウ</t>
    </rPh>
    <rPh sb="4" eb="5">
      <t>リン</t>
    </rPh>
    <rPh sb="5" eb="7">
      <t>サンブツ</t>
    </rPh>
    <rPh sb="7" eb="9">
      <t>トウケイ</t>
    </rPh>
    <rPh sb="9" eb="11">
      <t>チョウサ</t>
    </rPh>
    <rPh sb="14" eb="16">
      <t>リンギョウ</t>
    </rPh>
    <rPh sb="16" eb="19">
      <t>サンシュツガク</t>
    </rPh>
    <rPh sb="22" eb="24">
      <t>トクヨウ</t>
    </rPh>
    <rPh sb="24" eb="27">
      <t>リンサンブツ</t>
    </rPh>
    <rPh sb="27" eb="29">
      <t>トウケイ</t>
    </rPh>
    <rPh sb="29" eb="31">
      <t>チョウサ</t>
    </rPh>
    <rPh sb="36" eb="39">
      <t>ヒコウヒョウ</t>
    </rPh>
    <phoneticPr fontId="5"/>
  </si>
  <si>
    <t>生産林業所得統計では県値非公表のため、左記の資料から取った。
なお、マニュアルには全国表で用いる単価を取るようにあるが、単価が地域ごとに変わらないのであれば生産量按分で問題ないと考えたのでそうしている。</t>
    <rPh sb="0" eb="2">
      <t>セイサン</t>
    </rPh>
    <rPh sb="2" eb="4">
      <t>リンギョウ</t>
    </rPh>
    <rPh sb="4" eb="6">
      <t>ショトク</t>
    </rPh>
    <rPh sb="6" eb="8">
      <t>トウケイ</t>
    </rPh>
    <rPh sb="10" eb="11">
      <t>ケン</t>
    </rPh>
    <rPh sb="11" eb="12">
      <t>チ</t>
    </rPh>
    <rPh sb="12" eb="13">
      <t>ヒ</t>
    </rPh>
    <rPh sb="13" eb="15">
      <t>コウヒョウ</t>
    </rPh>
    <rPh sb="19" eb="21">
      <t>サキ</t>
    </rPh>
    <rPh sb="22" eb="24">
      <t>シリョウ</t>
    </rPh>
    <rPh sb="26" eb="27">
      <t>ト</t>
    </rPh>
    <rPh sb="41" eb="43">
      <t>ゼンコク</t>
    </rPh>
    <rPh sb="43" eb="44">
      <t>ヒョウ</t>
    </rPh>
    <rPh sb="45" eb="46">
      <t>モチ</t>
    </rPh>
    <rPh sb="48" eb="50">
      <t>タンカ</t>
    </rPh>
    <rPh sb="51" eb="52">
      <t>ト</t>
    </rPh>
    <rPh sb="60" eb="62">
      <t>タンカ</t>
    </rPh>
    <rPh sb="63" eb="65">
      <t>チイキ</t>
    </rPh>
    <rPh sb="68" eb="69">
      <t>カ</t>
    </rPh>
    <rPh sb="78" eb="80">
      <t>セイサン</t>
    </rPh>
    <rPh sb="80" eb="81">
      <t>リョウ</t>
    </rPh>
    <rPh sb="81" eb="83">
      <t>アンブン</t>
    </rPh>
    <rPh sb="84" eb="86">
      <t>モンダイ</t>
    </rPh>
    <rPh sb="89" eb="90">
      <t>カンガ</t>
    </rPh>
    <phoneticPr fontId="14"/>
  </si>
  <si>
    <t>H29特用林産物統計調査（R2林業産出額、H30～R3特用林産物統計調査のデータが非公表のため）</t>
    <rPh sb="3" eb="4">
      <t>トク</t>
    </rPh>
    <rPh sb="4" eb="5">
      <t>ヨウ</t>
    </rPh>
    <rPh sb="5" eb="6">
      <t>リン</t>
    </rPh>
    <rPh sb="6" eb="8">
      <t>サンブツ</t>
    </rPh>
    <rPh sb="8" eb="10">
      <t>トウケイ</t>
    </rPh>
    <rPh sb="10" eb="12">
      <t>チョウサ</t>
    </rPh>
    <rPh sb="15" eb="17">
      <t>リンギョウ</t>
    </rPh>
    <rPh sb="17" eb="20">
      <t>サンシュツガク</t>
    </rPh>
    <rPh sb="27" eb="29">
      <t>トクヨウ</t>
    </rPh>
    <rPh sb="29" eb="32">
      <t>リンサンブツ</t>
    </rPh>
    <rPh sb="32" eb="34">
      <t>トウケイ</t>
    </rPh>
    <rPh sb="34" eb="36">
      <t>チョウサ</t>
    </rPh>
    <rPh sb="41" eb="44">
      <t>ヒコウヒョウ</t>
    </rPh>
    <phoneticPr fontId="5"/>
  </si>
  <si>
    <t>R2特用林産物統計調査（R2林業産出額のデータが非公表のため）</t>
    <rPh sb="2" eb="3">
      <t>トク</t>
    </rPh>
    <rPh sb="3" eb="4">
      <t>ヨウ</t>
    </rPh>
    <rPh sb="4" eb="5">
      <t>リン</t>
    </rPh>
    <rPh sb="5" eb="7">
      <t>サンブツ</t>
    </rPh>
    <rPh sb="7" eb="9">
      <t>トウケイ</t>
    </rPh>
    <rPh sb="9" eb="11">
      <t>チョウサ</t>
    </rPh>
    <rPh sb="14" eb="16">
      <t>リンギョウ</t>
    </rPh>
    <rPh sb="16" eb="19">
      <t>サンシュツガク</t>
    </rPh>
    <rPh sb="24" eb="27">
      <t>ヒコウヒョウ</t>
    </rPh>
    <phoneticPr fontId="5"/>
  </si>
  <si>
    <t>生産林業所得統計では秘匿があって使えないので、左記資料の「きのこ類生産量（合計）」－（上記まつたけ～エリンギ）を除いたものの生産量で按分（きくらげ類計とその他計の合計で按分）</t>
    <rPh sb="0" eb="2">
      <t>セイサン</t>
    </rPh>
    <rPh sb="2" eb="4">
      <t>リンギョウ</t>
    </rPh>
    <rPh sb="4" eb="6">
      <t>ショトク</t>
    </rPh>
    <rPh sb="6" eb="8">
      <t>トウケイ</t>
    </rPh>
    <rPh sb="10" eb="12">
      <t>ヒトク</t>
    </rPh>
    <rPh sb="16" eb="17">
      <t>ツカ</t>
    </rPh>
    <rPh sb="23" eb="25">
      <t>サキ</t>
    </rPh>
    <rPh sb="25" eb="27">
      <t>シリョウ</t>
    </rPh>
    <rPh sb="32" eb="33">
      <t>ルイ</t>
    </rPh>
    <rPh sb="33" eb="35">
      <t>セイサン</t>
    </rPh>
    <rPh sb="35" eb="36">
      <t>リョウ</t>
    </rPh>
    <rPh sb="37" eb="39">
      <t>ゴウケイ</t>
    </rPh>
    <rPh sb="43" eb="45">
      <t>ジョウキ</t>
    </rPh>
    <rPh sb="56" eb="57">
      <t>ノゾ</t>
    </rPh>
    <rPh sb="62" eb="64">
      <t>セイサン</t>
    </rPh>
    <rPh sb="64" eb="65">
      <t>リョウ</t>
    </rPh>
    <rPh sb="66" eb="68">
      <t>アンブン</t>
    </rPh>
    <rPh sb="73" eb="74">
      <t>ルイ</t>
    </rPh>
    <rPh sb="74" eb="75">
      <t>ケイ</t>
    </rPh>
    <rPh sb="78" eb="79">
      <t>タ</t>
    </rPh>
    <rPh sb="79" eb="80">
      <t>ケイ</t>
    </rPh>
    <rPh sb="81" eb="83">
      <t>ゴウケイ</t>
    </rPh>
    <rPh sb="84" eb="86">
      <t>アンブン</t>
    </rPh>
    <phoneticPr fontId="14"/>
  </si>
  <si>
    <t>R2特用林産物統計調査</t>
    <rPh sb="2" eb="3">
      <t>トク</t>
    </rPh>
    <rPh sb="3" eb="4">
      <t>ヨウ</t>
    </rPh>
    <rPh sb="4" eb="5">
      <t>リン</t>
    </rPh>
    <rPh sb="5" eb="7">
      <t>サンブツ</t>
    </rPh>
    <rPh sb="7" eb="9">
      <t>トウケイ</t>
    </rPh>
    <rPh sb="9" eb="11">
      <t>チョウサ</t>
    </rPh>
    <phoneticPr fontId="5"/>
  </si>
  <si>
    <t>近経局の方法では、本項目に該当する各品目のＣＴ（Ａ）を左記資料の生産量で按分・積み上げの上、本項目のＣＴとするとあるが、提供国値ではＡが提供されていない。このため、17年表で挙がっていた「わさび」が本項目を代表するものであるとし、その生産業按分で推計した。→H27、R2年表も同様とする</t>
    <rPh sb="0" eb="1">
      <t>キン</t>
    </rPh>
    <rPh sb="1" eb="2">
      <t>ケイ</t>
    </rPh>
    <rPh sb="2" eb="3">
      <t>キョク</t>
    </rPh>
    <rPh sb="4" eb="6">
      <t>ホウホウ</t>
    </rPh>
    <rPh sb="9" eb="10">
      <t>ホン</t>
    </rPh>
    <rPh sb="10" eb="12">
      <t>コウモク</t>
    </rPh>
    <rPh sb="13" eb="15">
      <t>ガイトウ</t>
    </rPh>
    <rPh sb="17" eb="20">
      <t>カクヒンモク</t>
    </rPh>
    <rPh sb="27" eb="29">
      <t>サキ</t>
    </rPh>
    <rPh sb="29" eb="31">
      <t>シリョウ</t>
    </rPh>
    <rPh sb="32" eb="34">
      <t>セイサン</t>
    </rPh>
    <rPh sb="34" eb="35">
      <t>リョウ</t>
    </rPh>
    <rPh sb="36" eb="38">
      <t>アンブン</t>
    </rPh>
    <rPh sb="39" eb="40">
      <t>ツ</t>
    </rPh>
    <rPh sb="41" eb="42">
      <t>ア</t>
    </rPh>
    <rPh sb="44" eb="45">
      <t>ウエ</t>
    </rPh>
    <rPh sb="46" eb="47">
      <t>ホン</t>
    </rPh>
    <rPh sb="47" eb="49">
      <t>コウモク</t>
    </rPh>
    <rPh sb="60" eb="62">
      <t>テイキョウ</t>
    </rPh>
    <rPh sb="62" eb="64">
      <t>クニチ</t>
    </rPh>
    <rPh sb="68" eb="70">
      <t>テイキョウ</t>
    </rPh>
    <rPh sb="84" eb="85">
      <t>ネン</t>
    </rPh>
    <rPh sb="85" eb="86">
      <t>ヒョウ</t>
    </rPh>
    <rPh sb="87" eb="88">
      <t>ア</t>
    </rPh>
    <rPh sb="99" eb="100">
      <t>ホン</t>
    </rPh>
    <rPh sb="100" eb="102">
      <t>コウモク</t>
    </rPh>
    <rPh sb="103" eb="105">
      <t>ダイヒョウ</t>
    </rPh>
    <rPh sb="117" eb="120">
      <t>セイサンギョウ</t>
    </rPh>
    <rPh sb="120" eb="122">
      <t>アンブン</t>
    </rPh>
    <rPh sb="123" eb="125">
      <t>スイケイ</t>
    </rPh>
    <rPh sb="135" eb="136">
      <t>ネン</t>
    </rPh>
    <rPh sb="136" eb="137">
      <t>ヒョウ</t>
    </rPh>
    <rPh sb="138" eb="140">
      <t>ドウヨウ</t>
    </rPh>
    <phoneticPr fontId="14"/>
  </si>
  <si>
    <t>マニュアルには全国表で用いる単価を取るようにあるが、単価が地域ごとに変わらないのであれば生産量按分で問題ないと考えたのでそうしている。</t>
    <phoneticPr fontId="14"/>
  </si>
  <si>
    <t>近経局の方法では、本項目に該当する各品目のＣＴ（Ａ）を左記資料の生産量で按分・積上げの上、本項目のＣＴとするとあるが、提供国値ではＡが提供されていない。このため、17年表で挙がっていた「生うるし」「木ろう」が本項目を代表するものであるとし、その生産業按分で推計したが、左記資料によると県内では生産されていないようなので０　→H27,R2年表も同様とする</t>
    <rPh sb="93" eb="94">
      <t>ナマ</t>
    </rPh>
    <rPh sb="99" eb="100">
      <t>キ</t>
    </rPh>
    <rPh sb="134" eb="136">
      <t>サキ</t>
    </rPh>
    <rPh sb="136" eb="138">
      <t>シリョウ</t>
    </rPh>
    <rPh sb="142" eb="144">
      <t>ケンナイ</t>
    </rPh>
    <rPh sb="146" eb="148">
      <t>セイサン</t>
    </rPh>
    <rPh sb="168" eb="169">
      <t>ネン</t>
    </rPh>
    <rPh sb="169" eb="170">
      <t>ヒョウ</t>
    </rPh>
    <rPh sb="171" eb="173">
      <t>ドウヨウ</t>
    </rPh>
    <phoneticPr fontId="14"/>
  </si>
  <si>
    <t>R2漁業産出額</t>
    <rPh sb="2" eb="4">
      <t>ギョギョウ</t>
    </rPh>
    <rPh sb="4" eb="7">
      <t>サンシュツガク</t>
    </rPh>
    <phoneticPr fontId="14"/>
  </si>
  <si>
    <t>　　　〃　　　（秘匿のためR1漁業産出額を使用）</t>
    <rPh sb="8" eb="10">
      <t>ヒトク</t>
    </rPh>
    <rPh sb="15" eb="17">
      <t>ギョギョウ</t>
    </rPh>
    <rPh sb="17" eb="20">
      <t>サンシュツガク</t>
    </rPh>
    <rPh sb="21" eb="23">
      <t>シヨウ</t>
    </rPh>
    <phoneticPr fontId="5"/>
  </si>
  <si>
    <t>　　ふぐ類（海面漁業）</t>
    <rPh sb="4" eb="5">
      <t>ルイ</t>
    </rPh>
    <rPh sb="6" eb="8">
      <t>カイメン</t>
    </rPh>
    <rPh sb="8" eb="10">
      <t>ギョギョウ</t>
    </rPh>
    <phoneticPr fontId="14"/>
  </si>
  <si>
    <t>　　その他の魚類（海面漁業）</t>
    <rPh sb="4" eb="5">
      <t>タ</t>
    </rPh>
    <rPh sb="6" eb="8">
      <t>ギョルイ</t>
    </rPh>
    <rPh sb="9" eb="11">
      <t>カイメン</t>
    </rPh>
    <rPh sb="11" eb="13">
      <t>ギョギョウ</t>
    </rPh>
    <phoneticPr fontId="14"/>
  </si>
  <si>
    <t>　　くるまえび（えび類）</t>
    <rPh sb="10" eb="11">
      <t>ルイ</t>
    </rPh>
    <phoneticPr fontId="14"/>
  </si>
  <si>
    <t>　　ほたてがい（海面漁業）</t>
    <rPh sb="8" eb="10">
      <t>カイメン</t>
    </rPh>
    <rPh sb="10" eb="12">
      <t>ギョギョウ</t>
    </rPh>
    <phoneticPr fontId="14"/>
  </si>
  <si>
    <t>　　その他の貝類（海面漁業）</t>
    <rPh sb="4" eb="5">
      <t>タ</t>
    </rPh>
    <rPh sb="6" eb="7">
      <t>カイ</t>
    </rPh>
    <rPh sb="7" eb="8">
      <t>ルイ</t>
    </rPh>
    <rPh sb="9" eb="11">
      <t>カイメン</t>
    </rPh>
    <rPh sb="11" eb="13">
      <t>ギョギョウ</t>
    </rPh>
    <phoneticPr fontId="14"/>
  </si>
  <si>
    <t>603</t>
    <phoneticPr fontId="5"/>
  </si>
  <si>
    <t>　　なまこ</t>
    <phoneticPr fontId="14"/>
  </si>
  <si>
    <t>604</t>
    <phoneticPr fontId="5"/>
  </si>
  <si>
    <t>605</t>
    <phoneticPr fontId="5"/>
  </si>
  <si>
    <t>　　こんぶ類（海面漁業）</t>
    <rPh sb="5" eb="6">
      <t>ルイ</t>
    </rPh>
    <rPh sb="7" eb="9">
      <t>カイメン</t>
    </rPh>
    <rPh sb="9" eb="11">
      <t>ギョギョウ</t>
    </rPh>
    <phoneticPr fontId="14"/>
  </si>
  <si>
    <t>　　その他の海藻類（海面漁業）</t>
    <rPh sb="4" eb="5">
      <t>タ</t>
    </rPh>
    <rPh sb="6" eb="8">
      <t>カイソウ</t>
    </rPh>
    <rPh sb="8" eb="9">
      <t>ルイ</t>
    </rPh>
    <rPh sb="10" eb="12">
      <t>カイメン</t>
    </rPh>
    <rPh sb="12" eb="14">
      <t>ギョギョウ</t>
    </rPh>
    <phoneticPr fontId="14"/>
  </si>
  <si>
    <t>「R2漁業産出額」には明示されていない。23，27年表と同じ０とする。</t>
    <rPh sb="3" eb="5">
      <t>ギョギョウ</t>
    </rPh>
    <rPh sb="5" eb="8">
      <t>サンシュツガク</t>
    </rPh>
    <rPh sb="11" eb="13">
      <t>メイジ</t>
    </rPh>
    <rPh sb="25" eb="26">
      <t>ネン</t>
    </rPh>
    <rPh sb="26" eb="27">
      <t>ヒョウ</t>
    </rPh>
    <rPh sb="28" eb="29">
      <t>オナ</t>
    </rPh>
    <phoneticPr fontId="14"/>
  </si>
  <si>
    <t>Q,V：漁業・養殖業生産統計年報　V/Q</t>
    <rPh sb="4" eb="6">
      <t>ギョギョウ</t>
    </rPh>
    <rPh sb="7" eb="10">
      <t>ヨウショクギョウ</t>
    </rPh>
    <rPh sb="10" eb="12">
      <t>セイサン</t>
    </rPh>
    <rPh sb="12" eb="14">
      <t>トウケイ</t>
    </rPh>
    <rPh sb="14" eb="16">
      <t>ネンポウ</t>
    </rPh>
    <phoneticPr fontId="14"/>
  </si>
  <si>
    <t>　ぶり類（海面養殖業）</t>
    <rPh sb="3" eb="4">
      <t>ルイ</t>
    </rPh>
    <rPh sb="5" eb="7">
      <t>カイメン</t>
    </rPh>
    <rPh sb="7" eb="10">
      <t>ヨウショクギョウ</t>
    </rPh>
    <phoneticPr fontId="14"/>
  </si>
  <si>
    <t>「ぶり類」「まだい」「くるまえび」について、県値が秘匿のため、海面養殖業県計から秘匿値以外を除いた残りを全国値の「ぶり類」「まだい」「くるまえび」の産出額割合で按分した。</t>
    <rPh sb="3" eb="4">
      <t>ルイ</t>
    </rPh>
    <rPh sb="22" eb="23">
      <t>ケン</t>
    </rPh>
    <rPh sb="23" eb="24">
      <t>アタイ</t>
    </rPh>
    <rPh sb="25" eb="27">
      <t>ヒトク</t>
    </rPh>
    <rPh sb="31" eb="33">
      <t>カイメン</t>
    </rPh>
    <rPh sb="33" eb="36">
      <t>ヨウショクギョウ</t>
    </rPh>
    <rPh sb="36" eb="37">
      <t>ケン</t>
    </rPh>
    <rPh sb="37" eb="38">
      <t>ケイ</t>
    </rPh>
    <rPh sb="40" eb="42">
      <t>ヒトク</t>
    </rPh>
    <rPh sb="42" eb="43">
      <t>チ</t>
    </rPh>
    <rPh sb="43" eb="45">
      <t>イガイ</t>
    </rPh>
    <rPh sb="46" eb="47">
      <t>ノゾ</t>
    </rPh>
    <rPh sb="49" eb="50">
      <t>ノコ</t>
    </rPh>
    <rPh sb="52" eb="54">
      <t>ゼンコク</t>
    </rPh>
    <rPh sb="54" eb="55">
      <t>アタイ</t>
    </rPh>
    <rPh sb="59" eb="60">
      <t>ルイ</t>
    </rPh>
    <rPh sb="74" eb="77">
      <t>サンシュツガク</t>
    </rPh>
    <rPh sb="77" eb="79">
      <t>ワリアイ</t>
    </rPh>
    <rPh sb="80" eb="82">
      <t>アンブン</t>
    </rPh>
    <phoneticPr fontId="14"/>
  </si>
  <si>
    <t>　まだい（魚類）</t>
    <phoneticPr fontId="5"/>
  </si>
  <si>
    <t>　ひらめ（魚類）</t>
    <phoneticPr fontId="5"/>
  </si>
  <si>
    <t>　ふぐ類（海面養殖業）</t>
    <phoneticPr fontId="5"/>
  </si>
  <si>
    <t>　その他の魚類（海面養殖業）</t>
    <phoneticPr fontId="5"/>
  </si>
  <si>
    <t>　ほたてがい（海面養殖業）</t>
    <phoneticPr fontId="5"/>
  </si>
  <si>
    <t>　その他の貝類（海面養殖業）</t>
    <phoneticPr fontId="5"/>
  </si>
  <si>
    <t>　くるまえび（水産動物類）</t>
    <phoneticPr fontId="5"/>
  </si>
  <si>
    <t>　その他の水産動物類（水産動物類）</t>
    <phoneticPr fontId="5"/>
  </si>
  <si>
    <t>　こんぶ類（海面養殖業）</t>
    <phoneticPr fontId="5"/>
  </si>
  <si>
    <t>　わかめ類（海藻類）</t>
    <phoneticPr fontId="5"/>
  </si>
  <si>
    <t>　のり類（海藻類）</t>
    <phoneticPr fontId="5"/>
  </si>
  <si>
    <t>　その他の海藻類（海面養殖業）</t>
    <phoneticPr fontId="5"/>
  </si>
  <si>
    <t>県値が秘匿のため、全国値を海面養殖業計の県値割合で按分。</t>
    <rPh sb="0" eb="1">
      <t>ケン</t>
    </rPh>
    <rPh sb="1" eb="2">
      <t>アタイ</t>
    </rPh>
    <rPh sb="3" eb="5">
      <t>ヒトク</t>
    </rPh>
    <rPh sb="9" eb="11">
      <t>ゼンコク</t>
    </rPh>
    <rPh sb="11" eb="12">
      <t>アタイ</t>
    </rPh>
    <rPh sb="13" eb="15">
      <t>カイメン</t>
    </rPh>
    <rPh sb="15" eb="18">
      <t>ヨウショクギョウ</t>
    </rPh>
    <rPh sb="18" eb="19">
      <t>ケイ</t>
    </rPh>
    <rPh sb="20" eb="21">
      <t>ケン</t>
    </rPh>
    <rPh sb="21" eb="22">
      <t>アタイ</t>
    </rPh>
    <rPh sb="22" eb="24">
      <t>ワリアイ</t>
    </rPh>
    <rPh sb="25" eb="27">
      <t>アンブン</t>
    </rPh>
    <phoneticPr fontId="14"/>
  </si>
  <si>
    <t xml:space="preserve"> 　　〃</t>
    <phoneticPr fontId="5"/>
  </si>
  <si>
    <t>上記までの海面養殖業各項目の全国及び県のＣＴ値合計で提供国値を按分。</t>
    <rPh sb="0" eb="2">
      <t>ジョウキ</t>
    </rPh>
    <rPh sb="5" eb="7">
      <t>カイメン</t>
    </rPh>
    <rPh sb="7" eb="9">
      <t>ヨウショク</t>
    </rPh>
    <rPh sb="9" eb="10">
      <t>ギョウ</t>
    </rPh>
    <rPh sb="10" eb="13">
      <t>カクコウモク</t>
    </rPh>
    <rPh sb="14" eb="16">
      <t>ゼンコク</t>
    </rPh>
    <rPh sb="16" eb="17">
      <t>オヨ</t>
    </rPh>
    <rPh sb="18" eb="19">
      <t>ケン</t>
    </rPh>
    <rPh sb="22" eb="23">
      <t>チ</t>
    </rPh>
    <rPh sb="23" eb="25">
      <t>ゴウケイ</t>
    </rPh>
    <rPh sb="26" eb="28">
      <t>テイキョウ</t>
    </rPh>
    <rPh sb="28" eb="30">
      <t>クニチ</t>
    </rPh>
    <rPh sb="31" eb="33">
      <t>アンブン</t>
    </rPh>
    <phoneticPr fontId="14"/>
  </si>
  <si>
    <t>本部門は漁業生産額が取れないので17年表同様、漁獲量で按分した（近経局も同様）。</t>
    <rPh sb="0" eb="2">
      <t>ホンブ</t>
    </rPh>
    <rPh sb="2" eb="3">
      <t>モン</t>
    </rPh>
    <rPh sb="4" eb="6">
      <t>ギョギョウ</t>
    </rPh>
    <rPh sb="6" eb="9">
      <t>セイサンガク</t>
    </rPh>
    <rPh sb="10" eb="11">
      <t>ト</t>
    </rPh>
    <rPh sb="18" eb="19">
      <t>ネン</t>
    </rPh>
    <rPh sb="19" eb="20">
      <t>ヒョウ</t>
    </rPh>
    <rPh sb="20" eb="22">
      <t>ドウヨウ</t>
    </rPh>
    <rPh sb="23" eb="25">
      <t>ギョカク</t>
    </rPh>
    <rPh sb="25" eb="26">
      <t>リョウ</t>
    </rPh>
    <rPh sb="27" eb="29">
      <t>アンブン</t>
    </rPh>
    <rPh sb="32" eb="33">
      <t>キン</t>
    </rPh>
    <rPh sb="33" eb="34">
      <t>ケイ</t>
    </rPh>
    <rPh sb="34" eb="35">
      <t>キョク</t>
    </rPh>
    <rPh sb="36" eb="38">
      <t>ドウヨウ</t>
    </rPh>
    <phoneticPr fontId="14"/>
  </si>
  <si>
    <t>　さけ類</t>
    <rPh sb="3" eb="4">
      <t>ルイ</t>
    </rPh>
    <phoneticPr fontId="14"/>
  </si>
  <si>
    <t>R2漁業・養殖業生産統計年報</t>
    <phoneticPr fontId="5"/>
  </si>
  <si>
    <t>　からふとます</t>
    <phoneticPr fontId="14"/>
  </si>
  <si>
    <t>　さくらます</t>
    <phoneticPr fontId="14"/>
  </si>
  <si>
    <t>　その他のさけ・ます類</t>
    <rPh sb="3" eb="4">
      <t>タ</t>
    </rPh>
    <rPh sb="10" eb="11">
      <t>ルイ</t>
    </rPh>
    <phoneticPr fontId="14"/>
  </si>
  <si>
    <t>　あゆ（魚類）</t>
    <rPh sb="4" eb="6">
      <t>ギョルイ</t>
    </rPh>
    <phoneticPr fontId="14"/>
  </si>
  <si>
    <t>　こい（魚類）</t>
    <rPh sb="4" eb="6">
      <t>ギョルイ</t>
    </rPh>
    <phoneticPr fontId="14"/>
  </si>
  <si>
    <t>111</t>
    <phoneticPr fontId="5"/>
  </si>
  <si>
    <t>　うなぎ（魚類）</t>
    <phoneticPr fontId="5"/>
  </si>
  <si>
    <t>112</t>
    <phoneticPr fontId="5"/>
  </si>
  <si>
    <t>　はぜ類</t>
    <rPh sb="3" eb="4">
      <t>ルイ</t>
    </rPh>
    <phoneticPr fontId="5"/>
  </si>
  <si>
    <t>　その他の魚類（内水面漁業・養殖業）</t>
    <phoneticPr fontId="5"/>
  </si>
  <si>
    <t>　その他の貝類（内水面漁業・養殖業）</t>
    <phoneticPr fontId="5"/>
  </si>
  <si>
    <t>本部門は漁業生産額が取れないので17年表同様、収穫量で按分した（近経局の推計方法に準拠）→H27、R2年表も同様とする。また、それでも秘匿である部分は経営体数で按分した。</t>
    <rPh sb="23" eb="25">
      <t>シュウカク</t>
    </rPh>
    <rPh sb="36" eb="38">
      <t>スイケイ</t>
    </rPh>
    <rPh sb="38" eb="40">
      <t>ホウホウ</t>
    </rPh>
    <rPh sb="41" eb="43">
      <t>ジュンキョ</t>
    </rPh>
    <rPh sb="51" eb="52">
      <t>ネン</t>
    </rPh>
    <rPh sb="52" eb="53">
      <t>ヒョウ</t>
    </rPh>
    <rPh sb="54" eb="56">
      <t>ドウヨウ</t>
    </rPh>
    <rPh sb="67" eb="69">
      <t>ヒトク</t>
    </rPh>
    <rPh sb="72" eb="74">
      <t>ブブン</t>
    </rPh>
    <rPh sb="75" eb="77">
      <t>ケイエイ</t>
    </rPh>
    <rPh sb="77" eb="79">
      <t>タイスウ</t>
    </rPh>
    <rPh sb="80" eb="82">
      <t>アンブン</t>
    </rPh>
    <phoneticPr fontId="14"/>
  </si>
  <si>
    <t>R2漁業・養殖業生産統計年報</t>
    <phoneticPr fontId="14"/>
  </si>
  <si>
    <t>　あゆ（食用魚種）</t>
    <phoneticPr fontId="5"/>
  </si>
  <si>
    <t>2018漁業センサス（R2漁業・養殖業生産統計では秘匿のため。漁業センサスの経営体数で按分）</t>
    <rPh sb="4" eb="6">
      <t>ギョギョウ</t>
    </rPh>
    <rPh sb="13" eb="15">
      <t>ギョギョウ</t>
    </rPh>
    <rPh sb="16" eb="19">
      <t>ヨウショクギョウ</t>
    </rPh>
    <rPh sb="19" eb="21">
      <t>セイサン</t>
    </rPh>
    <rPh sb="21" eb="23">
      <t>トウケイ</t>
    </rPh>
    <rPh sb="25" eb="27">
      <t>ヒトク</t>
    </rPh>
    <rPh sb="31" eb="33">
      <t>ギョギョウ</t>
    </rPh>
    <rPh sb="38" eb="40">
      <t>ケイエイ</t>
    </rPh>
    <rPh sb="40" eb="41">
      <t>タイ</t>
    </rPh>
    <rPh sb="41" eb="42">
      <t>スウ</t>
    </rPh>
    <rPh sb="43" eb="45">
      <t>アンブン</t>
    </rPh>
    <phoneticPr fontId="5"/>
  </si>
  <si>
    <t>　こい（食用魚種）</t>
    <phoneticPr fontId="5"/>
  </si>
  <si>
    <t>　うなぎ（食用魚種）</t>
    <phoneticPr fontId="5"/>
  </si>
  <si>
    <t>　にしきごい</t>
    <phoneticPr fontId="5"/>
  </si>
  <si>
    <t>R2漁業・養殖業生産統計年報（按分指標単位：尾）</t>
    <rPh sb="2" eb="4">
      <t>ギョギョウ</t>
    </rPh>
    <rPh sb="5" eb="7">
      <t>ヨウショク</t>
    </rPh>
    <rPh sb="7" eb="8">
      <t>ギョウ</t>
    </rPh>
    <rPh sb="8" eb="10">
      <t>セイサン</t>
    </rPh>
    <rPh sb="10" eb="12">
      <t>トウケイ</t>
    </rPh>
    <rPh sb="12" eb="14">
      <t>ネンポウ</t>
    </rPh>
    <rPh sb="15" eb="17">
      <t>アンブン</t>
    </rPh>
    <rPh sb="17" eb="19">
      <t>シヒョウ</t>
    </rPh>
    <rPh sb="19" eb="21">
      <t>タンイ</t>
    </rPh>
    <rPh sb="22" eb="23">
      <t>ビ</t>
    </rPh>
    <phoneticPr fontId="5"/>
  </si>
  <si>
    <t>　その他の観賞用魚</t>
    <phoneticPr fontId="5"/>
  </si>
  <si>
    <t>　種苗</t>
    <phoneticPr fontId="5"/>
  </si>
  <si>
    <t>2018漁業センサス</t>
    <rPh sb="4" eb="6">
      <t>ギョギョウ</t>
    </rPh>
    <phoneticPr fontId="14"/>
  </si>
  <si>
    <t>石炭</t>
    <phoneticPr fontId="5"/>
  </si>
  <si>
    <t>経セン組替第２表</t>
  </si>
  <si>
    <t>　　石炭（精炭）</t>
    <phoneticPr fontId="5"/>
  </si>
  <si>
    <t>経セン組替表に県値なし</t>
    <rPh sb="0" eb="1">
      <t>キョウ</t>
    </rPh>
    <rPh sb="7" eb="8">
      <t>ケン</t>
    </rPh>
    <rPh sb="8" eb="9">
      <t>チ</t>
    </rPh>
    <phoneticPr fontId="14"/>
  </si>
  <si>
    <t>　　亜炭（精炭）</t>
    <phoneticPr fontId="5"/>
  </si>
  <si>
    <t>天然ガス</t>
    <rPh sb="0" eb="2">
      <t>テンネン</t>
    </rPh>
    <phoneticPr fontId="5"/>
  </si>
  <si>
    <t>　　油田ガス</t>
    <phoneticPr fontId="5"/>
  </si>
  <si>
    <t>　　ガス田ガス・炭田ガス（構造性）</t>
    <phoneticPr fontId="5"/>
  </si>
  <si>
    <t>　　ガス田ガス・炭田ガス（水溶性）</t>
    <phoneticPr fontId="5"/>
  </si>
  <si>
    <t>　　その他の原油・天然ガス</t>
    <phoneticPr fontId="5"/>
  </si>
  <si>
    <t>　　花こう岩・同類似岩石（製品）</t>
    <phoneticPr fontId="5"/>
  </si>
  <si>
    <t>　　石英粗面岩・同類似岩石（製品）</t>
    <phoneticPr fontId="5"/>
  </si>
  <si>
    <t>〃</t>
  </si>
  <si>
    <t>　　安山岩・同類似岩石（製品）</t>
    <phoneticPr fontId="5"/>
  </si>
  <si>
    <t>　　ぎょう灰岩（製品）</t>
    <phoneticPr fontId="5"/>
  </si>
  <si>
    <t>005</t>
    <phoneticPr fontId="5"/>
  </si>
  <si>
    <t>　　砂岩（製品）</t>
    <phoneticPr fontId="5"/>
  </si>
  <si>
    <t>006</t>
    <phoneticPr fontId="5"/>
  </si>
  <si>
    <t>　　粘板岩（製品）</t>
    <phoneticPr fontId="5"/>
  </si>
  <si>
    <t>007</t>
    <phoneticPr fontId="5"/>
  </si>
  <si>
    <t>　　砂・砂利・玉石</t>
    <phoneticPr fontId="5"/>
  </si>
  <si>
    <t>008</t>
    <phoneticPr fontId="5"/>
  </si>
  <si>
    <t>　　その他の採石、砂・砂利・玉石</t>
    <phoneticPr fontId="5"/>
  </si>
  <si>
    <t>鉄鉱石</t>
    <rPh sb="0" eb="3">
      <t>テッコウセキ</t>
    </rPh>
    <phoneticPr fontId="5"/>
  </si>
  <si>
    <t>　　鉄鉱（精含量）</t>
    <phoneticPr fontId="5"/>
  </si>
  <si>
    <t>非鉄金属鉱物</t>
    <rPh sb="0" eb="2">
      <t>ヒテツ</t>
    </rPh>
    <rPh sb="2" eb="4">
      <t>キンゾク</t>
    </rPh>
    <rPh sb="4" eb="6">
      <t>コウブツ</t>
    </rPh>
    <phoneticPr fontId="5"/>
  </si>
  <si>
    <t>　　金鉱（含有量）</t>
    <phoneticPr fontId="5"/>
  </si>
  <si>
    <t>　　その他の金属鉱物</t>
    <phoneticPr fontId="5"/>
  </si>
  <si>
    <t>1111-011</t>
    <phoneticPr fontId="5"/>
  </si>
  <si>
    <t xml:space="preserve"> 牛肉</t>
    <rPh sb="1" eb="3">
      <t>ギュウニク</t>
    </rPh>
    <phoneticPr fontId="14"/>
  </si>
  <si>
    <t>畜産物流通統計×畜産物流通統計</t>
    <rPh sb="0" eb="3">
      <t>チクサンブツ</t>
    </rPh>
    <rPh sb="3" eb="5">
      <t>リュウツウ</t>
    </rPh>
    <rPh sb="5" eb="7">
      <t>トウケイ</t>
    </rPh>
    <rPh sb="8" eb="11">
      <t>チクサンブツ</t>
    </rPh>
    <rPh sb="11" eb="13">
      <t>リュウツウ</t>
    </rPh>
    <rPh sb="13" eb="15">
      <t>トウケイ</t>
    </rPh>
    <phoneticPr fontId="14"/>
  </si>
  <si>
    <t>R2畜産物流通統計</t>
    <rPh sb="2" eb="5">
      <t>チクサンブツ</t>
    </rPh>
    <rPh sb="5" eb="7">
      <t>リュウツウ</t>
    </rPh>
    <rPh sb="7" eb="9">
      <t>トウケイ</t>
    </rPh>
    <phoneticPr fontId="14"/>
  </si>
  <si>
    <t>原則として、生産数量×単価で求めているが、単価は枝肉価格→部分肉価格を用いるように変更されたので、枝肉価格に補正率を乗じて部分肉価格としている。なお、補正率は26年度全国研究会議資料１からとった。</t>
    <rPh sb="0" eb="2">
      <t>ゲンソク</t>
    </rPh>
    <rPh sb="6" eb="8">
      <t>セイサン</t>
    </rPh>
    <rPh sb="8" eb="10">
      <t>スウリョウ</t>
    </rPh>
    <rPh sb="11" eb="13">
      <t>タンカ</t>
    </rPh>
    <rPh sb="14" eb="15">
      <t>モト</t>
    </rPh>
    <rPh sb="21" eb="23">
      <t>タンカ</t>
    </rPh>
    <rPh sb="24" eb="25">
      <t>エダ</t>
    </rPh>
    <rPh sb="25" eb="26">
      <t>ニク</t>
    </rPh>
    <rPh sb="26" eb="28">
      <t>カカク</t>
    </rPh>
    <rPh sb="29" eb="31">
      <t>ブブン</t>
    </rPh>
    <rPh sb="31" eb="32">
      <t>ニク</t>
    </rPh>
    <rPh sb="32" eb="34">
      <t>カカク</t>
    </rPh>
    <rPh sb="35" eb="36">
      <t>モチ</t>
    </rPh>
    <rPh sb="41" eb="43">
      <t>ヘンコウ</t>
    </rPh>
    <rPh sb="49" eb="50">
      <t>エダ</t>
    </rPh>
    <rPh sb="50" eb="51">
      <t>ニク</t>
    </rPh>
    <rPh sb="51" eb="53">
      <t>カカク</t>
    </rPh>
    <rPh sb="54" eb="56">
      <t>ホセイ</t>
    </rPh>
    <rPh sb="56" eb="57">
      <t>リツ</t>
    </rPh>
    <rPh sb="58" eb="59">
      <t>ジョウ</t>
    </rPh>
    <rPh sb="61" eb="63">
      <t>ブブン</t>
    </rPh>
    <rPh sb="63" eb="64">
      <t>ニク</t>
    </rPh>
    <rPh sb="64" eb="66">
      <t>カカク</t>
    </rPh>
    <rPh sb="75" eb="77">
      <t>ホセイ</t>
    </rPh>
    <rPh sb="77" eb="78">
      <t>リツ</t>
    </rPh>
    <rPh sb="81" eb="83">
      <t>ネンド</t>
    </rPh>
    <rPh sb="83" eb="85">
      <t>ゼンコク</t>
    </rPh>
    <rPh sb="85" eb="87">
      <t>ケンキュウ</t>
    </rPh>
    <rPh sb="87" eb="89">
      <t>カイギ</t>
    </rPh>
    <rPh sb="89" eb="91">
      <t>シリョウ</t>
    </rPh>
    <phoneticPr fontId="14"/>
  </si>
  <si>
    <t>「神戸」の価格。補正率1.136</t>
    <rPh sb="1" eb="3">
      <t>コウベ</t>
    </rPh>
    <rPh sb="5" eb="7">
      <t>カカク</t>
    </rPh>
    <rPh sb="7" eb="9">
      <t>オロシカカク</t>
    </rPh>
    <rPh sb="8" eb="10">
      <t>ホセイ</t>
    </rPh>
    <rPh sb="10" eb="11">
      <t>リツ</t>
    </rPh>
    <phoneticPr fontId="14"/>
  </si>
  <si>
    <t>　〃</t>
    <phoneticPr fontId="14"/>
  </si>
  <si>
    <t>「神戸」の価格がないため、「加古川」の価格を利用</t>
    <rPh sb="1" eb="3">
      <t>コウベ</t>
    </rPh>
    <rPh sb="5" eb="7">
      <t>カカク</t>
    </rPh>
    <rPh sb="7" eb="9">
      <t>オロシカカク</t>
    </rPh>
    <rPh sb="14" eb="17">
      <t>カコガワ</t>
    </rPh>
    <rPh sb="19" eb="21">
      <t>カカク</t>
    </rPh>
    <rPh sb="22" eb="24">
      <t>リヨウ</t>
    </rPh>
    <phoneticPr fontId="14"/>
  </si>
  <si>
    <t>「神戸」の価格はないものの、姫路、加古川に実績があり、姫路と加古川の平均値を価格とする。補正率1.136</t>
    <rPh sb="1" eb="3">
      <t>コウベ</t>
    </rPh>
    <rPh sb="5" eb="7">
      <t>カカク</t>
    </rPh>
    <rPh sb="14" eb="16">
      <t>ヒメジ</t>
    </rPh>
    <rPh sb="17" eb="20">
      <t>カコガワ</t>
    </rPh>
    <rPh sb="21" eb="23">
      <t>ジッセキ</t>
    </rPh>
    <rPh sb="27" eb="29">
      <t>ヒメジ</t>
    </rPh>
    <rPh sb="30" eb="33">
      <t>カコガワ</t>
    </rPh>
    <rPh sb="34" eb="37">
      <t>ヘイキンチ</t>
    </rPh>
    <rPh sb="38" eb="40">
      <t>カカク</t>
    </rPh>
    <rPh sb="44" eb="46">
      <t>ホセイ</t>
    </rPh>
    <rPh sb="46" eb="47">
      <t>リツ</t>
    </rPh>
    <phoneticPr fontId="14"/>
  </si>
  <si>
    <t>県内市場の価格がとれないため、枝肉生産量で按分</t>
    <rPh sb="0" eb="2">
      <t>ケンナイ</t>
    </rPh>
    <rPh sb="2" eb="4">
      <t>イチバ</t>
    </rPh>
    <rPh sb="5" eb="7">
      <t>カカク</t>
    </rPh>
    <rPh sb="15" eb="16">
      <t>エダ</t>
    </rPh>
    <rPh sb="16" eb="17">
      <t>ニク</t>
    </rPh>
    <rPh sb="17" eb="19">
      <t>セイサン</t>
    </rPh>
    <rPh sb="19" eb="20">
      <t>リョウ</t>
    </rPh>
    <rPh sb="21" eb="23">
      <t>アンブン</t>
    </rPh>
    <phoneticPr fontId="14"/>
  </si>
  <si>
    <t>「神戸」の価格。補正率1.226</t>
    <rPh sb="1" eb="3">
      <t>コウベ</t>
    </rPh>
    <rPh sb="5" eb="7">
      <t>カカク</t>
    </rPh>
    <rPh sb="7" eb="9">
      <t>オロシカカク</t>
    </rPh>
    <rPh sb="8" eb="10">
      <t>ホセイ</t>
    </rPh>
    <rPh sb="10" eb="11">
      <t>リツ</t>
    </rPh>
    <phoneticPr fontId="14"/>
  </si>
  <si>
    <t>枝肉生産量０のためＣＴも０</t>
    <rPh sb="0" eb="1">
      <t>エダ</t>
    </rPh>
    <rPh sb="1" eb="2">
      <t>ニク</t>
    </rPh>
    <rPh sb="2" eb="4">
      <t>セイサン</t>
    </rPh>
    <rPh sb="4" eb="5">
      <t>リョウ</t>
    </rPh>
    <phoneticPr fontId="14"/>
  </si>
  <si>
    <t>「神戸」の価格がないため、「姫路」の価格を利用。補正率1.136</t>
    <rPh sb="1" eb="3">
      <t>コウベ</t>
    </rPh>
    <rPh sb="5" eb="7">
      <t>カカク</t>
    </rPh>
    <rPh sb="7" eb="9">
      <t>オロシカカク</t>
    </rPh>
    <rPh sb="14" eb="16">
      <t>ヒメジ</t>
    </rPh>
    <rPh sb="18" eb="20">
      <t>カカク</t>
    </rPh>
    <rPh sb="21" eb="23">
      <t>リヨウ</t>
    </rPh>
    <rPh sb="24" eb="26">
      <t>ホセイ</t>
    </rPh>
    <rPh sb="26" eb="27">
      <t>リツ</t>
    </rPh>
    <phoneticPr fontId="14"/>
  </si>
  <si>
    <t>「神戸」の価格はないものの、姫路、西宮、加古川に実績があり、どれをとるべきか不明のため、枝肉生産量で按分</t>
    <rPh sb="1" eb="3">
      <t>コウベ</t>
    </rPh>
    <rPh sb="5" eb="7">
      <t>カカク</t>
    </rPh>
    <rPh sb="14" eb="16">
      <t>ヒメジ</t>
    </rPh>
    <rPh sb="17" eb="19">
      <t>ニシノミヤ</t>
    </rPh>
    <rPh sb="20" eb="23">
      <t>カコガワ</t>
    </rPh>
    <rPh sb="24" eb="26">
      <t>ジッセキ</t>
    </rPh>
    <rPh sb="38" eb="40">
      <t>フメイ</t>
    </rPh>
    <rPh sb="44" eb="45">
      <t>エダ</t>
    </rPh>
    <rPh sb="45" eb="46">
      <t>ニク</t>
    </rPh>
    <rPh sb="46" eb="48">
      <t>セイサン</t>
    </rPh>
    <rPh sb="48" eb="49">
      <t>リョウ</t>
    </rPh>
    <rPh sb="50" eb="52">
      <t>アンブン</t>
    </rPh>
    <phoneticPr fontId="14"/>
  </si>
  <si>
    <t>価格は取れないため枝肉生産量で按分</t>
    <rPh sb="0" eb="2">
      <t>カカク</t>
    </rPh>
    <rPh sb="3" eb="4">
      <t>ト</t>
    </rPh>
    <rPh sb="9" eb="10">
      <t>エダ</t>
    </rPh>
    <rPh sb="10" eb="11">
      <t>ニク</t>
    </rPh>
    <rPh sb="11" eb="13">
      <t>セイサン</t>
    </rPh>
    <rPh sb="13" eb="14">
      <t>リョウ</t>
    </rPh>
    <rPh sb="15" eb="17">
      <t>アンブン</t>
    </rPh>
    <phoneticPr fontId="14"/>
  </si>
  <si>
    <t xml:space="preserve"> 豚肉</t>
    <phoneticPr fontId="14"/>
  </si>
  <si>
    <t>「神戸」の価格。補正率1.162</t>
    <rPh sb="1" eb="3">
      <t>コウベ</t>
    </rPh>
    <rPh sb="5" eb="7">
      <t>カカク</t>
    </rPh>
    <rPh sb="8" eb="10">
      <t>ホセイ</t>
    </rPh>
    <rPh sb="10" eb="11">
      <t>リツ</t>
    </rPh>
    <phoneticPr fontId="14"/>
  </si>
  <si>
    <t xml:space="preserve"> 鶏肉</t>
    <phoneticPr fontId="5"/>
  </si>
  <si>
    <t>P：と体卸売価格（日経新聞）
Q：畜産物流通統計、食鳥流通統計調査</t>
    <rPh sb="3" eb="4">
      <t>タイ</t>
    </rPh>
    <rPh sb="4" eb="6">
      <t>オロシウリ</t>
    </rPh>
    <rPh sb="6" eb="8">
      <t>カカク</t>
    </rPh>
    <rPh sb="9" eb="11">
      <t>ニッケイ</t>
    </rPh>
    <rPh sb="11" eb="13">
      <t>シンブン</t>
    </rPh>
    <rPh sb="17" eb="20">
      <t>チクサンブツ</t>
    </rPh>
    <rPh sb="20" eb="22">
      <t>リュウツウ</t>
    </rPh>
    <rPh sb="22" eb="24">
      <t>トウケイ</t>
    </rPh>
    <rPh sb="25" eb="26">
      <t>ショク</t>
    </rPh>
    <rPh sb="26" eb="27">
      <t>チョウ</t>
    </rPh>
    <rPh sb="27" eb="29">
      <t>リュウツウ</t>
    </rPh>
    <rPh sb="29" eb="31">
      <t>トウケイ</t>
    </rPh>
    <rPh sb="31" eb="33">
      <t>チョウサ</t>
    </rPh>
    <phoneticPr fontId="14"/>
  </si>
  <si>
    <t>経セン組替第５表</t>
    <rPh sb="0" eb="1">
      <t>ケイ</t>
    </rPh>
    <rPh sb="3" eb="5">
      <t>クミカエ</t>
    </rPh>
    <rPh sb="5" eb="6">
      <t>ダイ</t>
    </rPh>
    <rPh sb="7" eb="8">
      <t>ヒョウ</t>
    </rPh>
    <phoneticPr fontId="14"/>
  </si>
  <si>
    <t>23年表と同様に、経セン組替第５表からとった。R2年表も同様とする。</t>
    <rPh sb="2" eb="3">
      <t>ネン</t>
    </rPh>
    <rPh sb="3" eb="4">
      <t>ヒョウ</t>
    </rPh>
    <rPh sb="5" eb="7">
      <t>ドウヨウ</t>
    </rPh>
    <rPh sb="9" eb="10">
      <t>ケイ</t>
    </rPh>
    <rPh sb="12" eb="14">
      <t>クミカエ</t>
    </rPh>
    <rPh sb="14" eb="15">
      <t>ダイ</t>
    </rPh>
    <rPh sb="16" eb="17">
      <t>ヒョウ</t>
    </rPh>
    <rPh sb="25" eb="26">
      <t>ネン</t>
    </rPh>
    <rPh sb="26" eb="27">
      <t>ヒョウ</t>
    </rPh>
    <rPh sb="28" eb="30">
      <t>ドウヨウ</t>
    </rPh>
    <phoneticPr fontId="14"/>
  </si>
  <si>
    <t>R2年度食肉検査等情報還元調査</t>
    <rPh sb="2" eb="4">
      <t>ネンド</t>
    </rPh>
    <rPh sb="4" eb="6">
      <t>ショクニク</t>
    </rPh>
    <rPh sb="6" eb="8">
      <t>ケンサ</t>
    </rPh>
    <rPh sb="8" eb="9">
      <t>トウ</t>
    </rPh>
    <rPh sb="9" eb="11">
      <t>ジョウホウ</t>
    </rPh>
    <rPh sb="11" eb="13">
      <t>カンゲン</t>
    </rPh>
    <rPh sb="13" eb="15">
      <t>チョウサ</t>
    </rPh>
    <phoneticPr fontId="14"/>
  </si>
  <si>
    <t>27年表まで採用していた畜産物流統計における食鳥流通統計調査の数値は27年以降は調査変更になり数値がとれなくなったので、食肉検査等情報還元調査の第7-1表の食鳥検査羽数からとることとする。県生活衛生課によると、全数検査であるので、検査羽数≒処理数と考えてよいとのこと。調査対象は大規模食鳥処理場に限られているが、小規模食鳥処理場の処理数は全体の2～3％程度なので、大規模食鳥処理場の処理数を按分指標に使って問題ないと考える。また、当該調査では「成鶏」に「廃鶏」と「その他の肉用鶏」が合算されており、その内訳は県生活衛生課でも分からないとのことだったので、「成鶏」の按分比率を「廃鶏」と「その他の肉用鶏」の両方の部門に使用することにする。</t>
    <rPh sb="2" eb="3">
      <t>ネン</t>
    </rPh>
    <rPh sb="3" eb="4">
      <t>ヒョウ</t>
    </rPh>
    <rPh sb="6" eb="8">
      <t>サイヨウ</t>
    </rPh>
    <rPh sb="12" eb="14">
      <t>チクサン</t>
    </rPh>
    <rPh sb="14" eb="16">
      <t>ブツリュウ</t>
    </rPh>
    <rPh sb="16" eb="18">
      <t>トウケイ</t>
    </rPh>
    <rPh sb="22" eb="23">
      <t>ショク</t>
    </rPh>
    <rPh sb="23" eb="24">
      <t>トリ</t>
    </rPh>
    <rPh sb="24" eb="26">
      <t>リュウツウ</t>
    </rPh>
    <rPh sb="26" eb="28">
      <t>トウケイ</t>
    </rPh>
    <rPh sb="28" eb="30">
      <t>チョウサ</t>
    </rPh>
    <rPh sb="31" eb="33">
      <t>スウチ</t>
    </rPh>
    <rPh sb="36" eb="37">
      <t>ネン</t>
    </rPh>
    <rPh sb="37" eb="39">
      <t>イコウ</t>
    </rPh>
    <rPh sb="40" eb="42">
      <t>チョウサ</t>
    </rPh>
    <rPh sb="42" eb="44">
      <t>ヘンコウ</t>
    </rPh>
    <rPh sb="47" eb="49">
      <t>スウチ</t>
    </rPh>
    <rPh sb="60" eb="62">
      <t>ショクニク</t>
    </rPh>
    <rPh sb="62" eb="64">
      <t>ケンサ</t>
    </rPh>
    <rPh sb="64" eb="65">
      <t>トウ</t>
    </rPh>
    <rPh sb="65" eb="67">
      <t>ジョウホウ</t>
    </rPh>
    <rPh sb="67" eb="69">
      <t>カンゲン</t>
    </rPh>
    <rPh sb="69" eb="71">
      <t>チョウサ</t>
    </rPh>
    <rPh sb="72" eb="73">
      <t>ダイ</t>
    </rPh>
    <rPh sb="76" eb="77">
      <t>ヒョウ</t>
    </rPh>
    <rPh sb="78" eb="79">
      <t>ショク</t>
    </rPh>
    <rPh sb="79" eb="80">
      <t>トリ</t>
    </rPh>
    <rPh sb="80" eb="82">
      <t>ケンサ</t>
    </rPh>
    <rPh sb="82" eb="84">
      <t>ハスウ</t>
    </rPh>
    <rPh sb="94" eb="95">
      <t>ケン</t>
    </rPh>
    <rPh sb="95" eb="97">
      <t>セイカツ</t>
    </rPh>
    <rPh sb="97" eb="99">
      <t>エイセイ</t>
    </rPh>
    <rPh sb="99" eb="100">
      <t>カ</t>
    </rPh>
    <rPh sb="105" eb="107">
      <t>ゼンスウ</t>
    </rPh>
    <rPh sb="107" eb="109">
      <t>ケンサ</t>
    </rPh>
    <rPh sb="115" eb="117">
      <t>ケンサ</t>
    </rPh>
    <rPh sb="117" eb="119">
      <t>ハスウ</t>
    </rPh>
    <rPh sb="120" eb="122">
      <t>ショリ</t>
    </rPh>
    <rPh sb="122" eb="123">
      <t>スウ</t>
    </rPh>
    <rPh sb="124" eb="125">
      <t>カンガ</t>
    </rPh>
    <rPh sb="134" eb="136">
      <t>チョウサ</t>
    </rPh>
    <rPh sb="136" eb="138">
      <t>タイショウ</t>
    </rPh>
    <rPh sb="139" eb="142">
      <t>ダイキボ</t>
    </rPh>
    <rPh sb="142" eb="143">
      <t>ショク</t>
    </rPh>
    <rPh sb="143" eb="144">
      <t>トリ</t>
    </rPh>
    <rPh sb="144" eb="147">
      <t>ショリジョウ</t>
    </rPh>
    <rPh sb="148" eb="149">
      <t>カギ</t>
    </rPh>
    <rPh sb="156" eb="159">
      <t>ショウキボ</t>
    </rPh>
    <rPh sb="159" eb="160">
      <t>ショク</t>
    </rPh>
    <rPh sb="160" eb="161">
      <t>トリ</t>
    </rPh>
    <rPh sb="161" eb="164">
      <t>ショリジョウ</t>
    </rPh>
    <rPh sb="165" eb="167">
      <t>ショリ</t>
    </rPh>
    <rPh sb="167" eb="168">
      <t>スウ</t>
    </rPh>
    <rPh sb="169" eb="171">
      <t>ゼンタイ</t>
    </rPh>
    <rPh sb="176" eb="178">
      <t>テイド</t>
    </rPh>
    <rPh sb="182" eb="185">
      <t>ダイキボ</t>
    </rPh>
    <rPh sb="185" eb="186">
      <t>ショク</t>
    </rPh>
    <rPh sb="186" eb="187">
      <t>トリ</t>
    </rPh>
    <rPh sb="187" eb="190">
      <t>ショリジョウ</t>
    </rPh>
    <rPh sb="191" eb="193">
      <t>ショリ</t>
    </rPh>
    <rPh sb="193" eb="194">
      <t>スウ</t>
    </rPh>
    <rPh sb="195" eb="197">
      <t>アンブン</t>
    </rPh>
    <rPh sb="197" eb="199">
      <t>シヒョウ</t>
    </rPh>
    <rPh sb="200" eb="201">
      <t>ツカ</t>
    </rPh>
    <rPh sb="203" eb="205">
      <t>モンダイ</t>
    </rPh>
    <rPh sb="208" eb="209">
      <t>カンガ</t>
    </rPh>
    <rPh sb="215" eb="217">
      <t>トウガイ</t>
    </rPh>
    <rPh sb="217" eb="219">
      <t>チョウサ</t>
    </rPh>
    <phoneticPr fontId="14"/>
  </si>
  <si>
    <t>703</t>
    <phoneticPr fontId="14"/>
  </si>
  <si>
    <t xml:space="preserve"> その他の食肉</t>
    <rPh sb="5" eb="6">
      <t>ショク</t>
    </rPh>
    <phoneticPr fontId="14"/>
  </si>
  <si>
    <t>畜産物流通統計×経済計算</t>
    <rPh sb="0" eb="3">
      <t>チクサンブツ</t>
    </rPh>
    <rPh sb="3" eb="5">
      <t>リュウツウ</t>
    </rPh>
    <rPh sb="5" eb="7">
      <t>トウケイ</t>
    </rPh>
    <phoneticPr fontId="14"/>
  </si>
  <si>
    <t>枝肉生産量で按分</t>
    <rPh sb="0" eb="1">
      <t>エダ</t>
    </rPh>
    <rPh sb="1" eb="2">
      <t>ニク</t>
    </rPh>
    <rPh sb="2" eb="4">
      <t>セイサン</t>
    </rPh>
    <rPh sb="4" eb="5">
      <t>リョウ</t>
    </rPh>
    <rPh sb="6" eb="8">
      <t>アンブン</t>
    </rPh>
    <phoneticPr fontId="14"/>
  </si>
  <si>
    <t>従来の羊とヤギが統合されたようだが、畜産物流統計ではこれらは調査対象になっていない。23年表を踏襲しゼロとする。</t>
    <rPh sb="0" eb="2">
      <t>ジュウライ</t>
    </rPh>
    <rPh sb="3" eb="4">
      <t>ヒツジ</t>
    </rPh>
    <rPh sb="8" eb="10">
      <t>トウゴウ</t>
    </rPh>
    <rPh sb="18" eb="20">
      <t>チクサン</t>
    </rPh>
    <rPh sb="20" eb="22">
      <t>ブツリュウ</t>
    </rPh>
    <rPh sb="22" eb="24">
      <t>トウケイ</t>
    </rPh>
    <rPh sb="30" eb="32">
      <t>チョウサ</t>
    </rPh>
    <rPh sb="32" eb="34">
      <t>タイショウ</t>
    </rPh>
    <rPh sb="44" eb="45">
      <t>ネン</t>
    </rPh>
    <rPh sb="45" eb="46">
      <t>ヒョウ</t>
    </rPh>
    <rPh sb="47" eb="49">
      <t>トウシュウ</t>
    </rPh>
    <phoneticPr fontId="14"/>
  </si>
  <si>
    <t xml:space="preserve"> と蓄副産物（含肉鶏処理副産物）</t>
    <phoneticPr fontId="5"/>
  </si>
  <si>
    <t>P：畜産物流通統計月報、原課業務資料×畜産物流通統計、原課業務資料</t>
    <rPh sb="2" eb="5">
      <t>チクサンブツ</t>
    </rPh>
    <rPh sb="5" eb="7">
      <t>リュウツウ</t>
    </rPh>
    <rPh sb="7" eb="9">
      <t>トウケイ</t>
    </rPh>
    <rPh sb="9" eb="11">
      <t>ゲッポウ</t>
    </rPh>
    <rPh sb="12" eb="14">
      <t>ゲンカ</t>
    </rPh>
    <rPh sb="14" eb="16">
      <t>ギョウム</t>
    </rPh>
    <rPh sb="16" eb="18">
      <t>シリョウ</t>
    </rPh>
    <rPh sb="19" eb="22">
      <t>チクサンブツ</t>
    </rPh>
    <rPh sb="22" eb="24">
      <t>リュウツウ</t>
    </rPh>
    <rPh sb="24" eb="26">
      <t>トウケイ</t>
    </rPh>
    <rPh sb="27" eb="29">
      <t>ゲンカ</t>
    </rPh>
    <rPh sb="29" eb="31">
      <t>ギョウム</t>
    </rPh>
    <rPh sb="31" eb="33">
      <t>シリョウ</t>
    </rPh>
    <phoneticPr fontId="14"/>
  </si>
  <si>
    <t>と蓄頭数（成牛）で按分（近経局の推計方法）→H27,R2年表も同様とする</t>
    <rPh sb="1" eb="2">
      <t>チク</t>
    </rPh>
    <rPh sb="2" eb="4">
      <t>トウスウ</t>
    </rPh>
    <rPh sb="5" eb="6">
      <t>セイ</t>
    </rPh>
    <rPh sb="6" eb="7">
      <t>ギュウ</t>
    </rPh>
    <rPh sb="9" eb="11">
      <t>アンブン</t>
    </rPh>
    <rPh sb="12" eb="13">
      <t>キン</t>
    </rPh>
    <rPh sb="13" eb="14">
      <t>ケイ</t>
    </rPh>
    <rPh sb="14" eb="15">
      <t>キョク</t>
    </rPh>
    <rPh sb="16" eb="18">
      <t>スイケイ</t>
    </rPh>
    <rPh sb="18" eb="20">
      <t>ホウホウ</t>
    </rPh>
    <rPh sb="28" eb="29">
      <t>ネン</t>
    </rPh>
    <rPh sb="29" eb="30">
      <t>ヒョウ</t>
    </rPh>
    <rPh sb="31" eb="33">
      <t>ドウヨウ</t>
    </rPh>
    <phoneticPr fontId="14"/>
  </si>
  <si>
    <t>902</t>
    <phoneticPr fontId="5"/>
  </si>
  <si>
    <t>　子牛皮</t>
    <rPh sb="1" eb="2">
      <t>コ</t>
    </rPh>
    <phoneticPr fontId="14"/>
  </si>
  <si>
    <t>と蓄頭数（子牛）で按分（近経局の推計方法）→H27,R2年表も同様とする</t>
    <rPh sb="1" eb="2">
      <t>チク</t>
    </rPh>
    <rPh sb="2" eb="4">
      <t>トウスウ</t>
    </rPh>
    <rPh sb="5" eb="6">
      <t>コ</t>
    </rPh>
    <rPh sb="6" eb="7">
      <t>ギュウ</t>
    </rPh>
    <rPh sb="9" eb="11">
      <t>アンブン</t>
    </rPh>
    <rPh sb="12" eb="13">
      <t>キン</t>
    </rPh>
    <rPh sb="13" eb="14">
      <t>ケイ</t>
    </rPh>
    <rPh sb="14" eb="15">
      <t>キョク</t>
    </rPh>
    <rPh sb="16" eb="18">
      <t>スイケイ</t>
    </rPh>
    <rPh sb="18" eb="20">
      <t>ホウホウ</t>
    </rPh>
    <rPh sb="28" eb="29">
      <t>ネン</t>
    </rPh>
    <rPh sb="29" eb="30">
      <t>ヒョウ</t>
    </rPh>
    <rPh sb="31" eb="33">
      <t>ドウヨウ</t>
    </rPh>
    <phoneticPr fontId="14"/>
  </si>
  <si>
    <t>903</t>
    <phoneticPr fontId="5"/>
  </si>
  <si>
    <t>と蓄頭数（豚）で按分（近経局の推計方法）→H27,R2年表も同様とする</t>
    <rPh sb="1" eb="2">
      <t>チク</t>
    </rPh>
    <rPh sb="2" eb="4">
      <t>トウスウ</t>
    </rPh>
    <rPh sb="5" eb="6">
      <t>ブタ</t>
    </rPh>
    <rPh sb="8" eb="10">
      <t>アンブン</t>
    </rPh>
    <rPh sb="11" eb="12">
      <t>キン</t>
    </rPh>
    <rPh sb="12" eb="13">
      <t>ケイ</t>
    </rPh>
    <rPh sb="13" eb="14">
      <t>キョク</t>
    </rPh>
    <rPh sb="15" eb="17">
      <t>スイケイ</t>
    </rPh>
    <rPh sb="17" eb="19">
      <t>ホウホウ</t>
    </rPh>
    <rPh sb="27" eb="28">
      <t>ネン</t>
    </rPh>
    <rPh sb="28" eb="29">
      <t>ヒョウ</t>
    </rPh>
    <rPh sb="30" eb="32">
      <t>ドウヨウ</t>
    </rPh>
    <phoneticPr fontId="14"/>
  </si>
  <si>
    <t>904</t>
    <phoneticPr fontId="5"/>
  </si>
  <si>
    <t>と蓄頭数（馬）で按分（近経局の推計方法）→H27,R2年表も同様とする</t>
    <rPh sb="1" eb="2">
      <t>チク</t>
    </rPh>
    <rPh sb="2" eb="4">
      <t>トウスウ</t>
    </rPh>
    <rPh sb="5" eb="6">
      <t>ウマ</t>
    </rPh>
    <rPh sb="8" eb="10">
      <t>アンブン</t>
    </rPh>
    <rPh sb="11" eb="12">
      <t>キン</t>
    </rPh>
    <rPh sb="12" eb="13">
      <t>ケイ</t>
    </rPh>
    <rPh sb="13" eb="14">
      <t>キョク</t>
    </rPh>
    <rPh sb="15" eb="17">
      <t>スイケイ</t>
    </rPh>
    <rPh sb="17" eb="19">
      <t>ホウホウ</t>
    </rPh>
    <rPh sb="27" eb="28">
      <t>ネン</t>
    </rPh>
    <rPh sb="28" eb="29">
      <t>ヒョウ</t>
    </rPh>
    <rPh sb="30" eb="32">
      <t>ドウヨウ</t>
    </rPh>
    <phoneticPr fontId="14"/>
  </si>
  <si>
    <t>A01</t>
    <phoneticPr fontId="5"/>
  </si>
  <si>
    <t>IOコード1111-011（牛肉）、（豚肉）、（その他肉）CTの合計で按分（近経局の推計方法）→H27,R2年表も同様とする</t>
    <rPh sb="14" eb="16">
      <t>ギュウニク</t>
    </rPh>
    <rPh sb="19" eb="21">
      <t>ブタニク</t>
    </rPh>
    <rPh sb="24" eb="27">
      <t>ソノタ</t>
    </rPh>
    <rPh sb="27" eb="28">
      <t>ニク</t>
    </rPh>
    <rPh sb="32" eb="34">
      <t>ゴウケイ</t>
    </rPh>
    <rPh sb="35" eb="37">
      <t>アンブン</t>
    </rPh>
    <rPh sb="38" eb="39">
      <t>キン</t>
    </rPh>
    <rPh sb="39" eb="40">
      <t>ケイ</t>
    </rPh>
    <rPh sb="40" eb="41">
      <t>キョク</t>
    </rPh>
    <rPh sb="42" eb="44">
      <t>スイケイ</t>
    </rPh>
    <rPh sb="44" eb="46">
      <t>ホウホウ</t>
    </rPh>
    <rPh sb="54" eb="55">
      <t>ネン</t>
    </rPh>
    <rPh sb="55" eb="56">
      <t>ヒョウ</t>
    </rPh>
    <rPh sb="57" eb="59">
      <t>ドウヨウ</t>
    </rPh>
    <phoneticPr fontId="14"/>
  </si>
  <si>
    <t>A02</t>
    <phoneticPr fontId="5"/>
  </si>
  <si>
    <t>農林水産部畜産課畜政係</t>
    <rPh sb="0" eb="2">
      <t>ノウリン</t>
    </rPh>
    <rPh sb="2" eb="4">
      <t>スイサン</t>
    </rPh>
    <rPh sb="4" eb="5">
      <t>ブ</t>
    </rPh>
    <rPh sb="5" eb="7">
      <t>チクサン</t>
    </rPh>
    <rPh sb="7" eb="8">
      <t>カ</t>
    </rPh>
    <rPh sb="8" eb="9">
      <t>チク</t>
    </rPh>
    <rPh sb="9" eb="10">
      <t>セイ</t>
    </rPh>
    <rPh sb="10" eb="11">
      <t>カカリ</t>
    </rPh>
    <phoneticPr fontId="14"/>
  </si>
  <si>
    <t>17年表では廃鶏処理量（重量）で按分していたが、今回の近経局手法ではブロイラーを用いているので、左記資料のブロイラーの処理量で按分した。→【R2年表】上記「廃鶏」のコメント欄参照。左記資料のブロイラー検査数で按分。</t>
    <rPh sb="2" eb="3">
      <t>ネン</t>
    </rPh>
    <rPh sb="3" eb="4">
      <t>ヒョウ</t>
    </rPh>
    <rPh sb="6" eb="7">
      <t>ハイ</t>
    </rPh>
    <rPh sb="7" eb="8">
      <t>ニワトリ</t>
    </rPh>
    <rPh sb="8" eb="10">
      <t>ショリ</t>
    </rPh>
    <rPh sb="10" eb="11">
      <t>リョウ</t>
    </rPh>
    <rPh sb="12" eb="14">
      <t>ジュウリョウ</t>
    </rPh>
    <rPh sb="16" eb="18">
      <t>アンブン</t>
    </rPh>
    <rPh sb="24" eb="26">
      <t>コンカイ</t>
    </rPh>
    <rPh sb="27" eb="28">
      <t>キン</t>
    </rPh>
    <rPh sb="28" eb="29">
      <t>ケイ</t>
    </rPh>
    <rPh sb="29" eb="30">
      <t>キョク</t>
    </rPh>
    <rPh sb="30" eb="32">
      <t>シュホウ</t>
    </rPh>
    <rPh sb="40" eb="41">
      <t>モチ</t>
    </rPh>
    <rPh sb="48" eb="50">
      <t>サキ</t>
    </rPh>
    <rPh sb="50" eb="52">
      <t>シリョウ</t>
    </rPh>
    <rPh sb="59" eb="61">
      <t>ショリ</t>
    </rPh>
    <rPh sb="61" eb="62">
      <t>リョウ</t>
    </rPh>
    <rPh sb="63" eb="65">
      <t>アンブン</t>
    </rPh>
    <rPh sb="72" eb="73">
      <t>ネン</t>
    </rPh>
    <rPh sb="73" eb="74">
      <t>ヒョウ</t>
    </rPh>
    <rPh sb="75" eb="77">
      <t>ジョウキ</t>
    </rPh>
    <rPh sb="78" eb="79">
      <t>ハイ</t>
    </rPh>
    <rPh sb="79" eb="80">
      <t>トリ</t>
    </rPh>
    <rPh sb="86" eb="87">
      <t>ラン</t>
    </rPh>
    <rPh sb="87" eb="89">
      <t>サンショウ</t>
    </rPh>
    <rPh sb="90" eb="92">
      <t>サキ</t>
    </rPh>
    <rPh sb="92" eb="94">
      <t>シリョウ</t>
    </rPh>
    <rPh sb="100" eb="102">
      <t>ケンサ</t>
    </rPh>
    <rPh sb="102" eb="103">
      <t>スウ</t>
    </rPh>
    <rPh sb="104" eb="106">
      <t>アンブン</t>
    </rPh>
    <phoneticPr fontId="14"/>
  </si>
  <si>
    <t>A99</t>
    <phoneticPr fontId="5"/>
  </si>
  <si>
    <t>　その他（その他のと畜副産物（肉鶏処理副産物を含む。））</t>
    <phoneticPr fontId="5"/>
  </si>
  <si>
    <t>副産物流通実態調査という統計がみあたらないので上記6品目のCTで按分。→27年表、R2年表も同様とする</t>
    <rPh sb="0" eb="3">
      <t>フクサンブツ</t>
    </rPh>
    <rPh sb="3" eb="5">
      <t>リュウツウ</t>
    </rPh>
    <rPh sb="5" eb="7">
      <t>ジッタイ</t>
    </rPh>
    <rPh sb="7" eb="9">
      <t>チョウサ</t>
    </rPh>
    <rPh sb="12" eb="14">
      <t>トウケイ</t>
    </rPh>
    <rPh sb="23" eb="25">
      <t>ジョウキ</t>
    </rPh>
    <rPh sb="26" eb="28">
      <t>ヒンモク</t>
    </rPh>
    <rPh sb="32" eb="34">
      <t>アンブン</t>
    </rPh>
    <rPh sb="38" eb="39">
      <t>ネン</t>
    </rPh>
    <rPh sb="39" eb="40">
      <t>ヒョウ</t>
    </rPh>
    <rPh sb="43" eb="44">
      <t>ネン</t>
    </rPh>
    <rPh sb="44" eb="45">
      <t>ヒョウ</t>
    </rPh>
    <rPh sb="46" eb="48">
      <t>ドウヨウ</t>
    </rPh>
    <phoneticPr fontId="14"/>
  </si>
  <si>
    <t xml:space="preserve"> 処理牛乳</t>
    <rPh sb="1" eb="3">
      <t>ショリ</t>
    </rPh>
    <rPh sb="3" eb="5">
      <t>ギュウニュウ</t>
    </rPh>
    <phoneticPr fontId="5"/>
  </si>
  <si>
    <t>P：原課業務資料
Q：牛乳乳製品統計</t>
    <rPh sb="2" eb="4">
      <t>ゲンカ</t>
    </rPh>
    <rPh sb="4" eb="6">
      <t>ギョウム</t>
    </rPh>
    <rPh sb="6" eb="8">
      <t>シリョウ</t>
    </rPh>
    <rPh sb="11" eb="13">
      <t>ギュウニュウ</t>
    </rPh>
    <rPh sb="13" eb="16">
      <t>ニュウセイヒン</t>
    </rPh>
    <rPh sb="16" eb="18">
      <t>トウケイ</t>
    </rPh>
    <phoneticPr fontId="14"/>
  </si>
  <si>
    <t>牛乳乳製品統計</t>
    <rPh sb="0" eb="2">
      <t>ギュウニュウ</t>
    </rPh>
    <rPh sb="2" eb="5">
      <t>ニュウセイヒン</t>
    </rPh>
    <rPh sb="5" eb="7">
      <t>トウケイ</t>
    </rPh>
    <phoneticPr fontId="14"/>
  </si>
  <si>
    <t>　処理牛乳</t>
    <rPh sb="1" eb="3">
      <t>ショリ</t>
    </rPh>
    <rPh sb="3" eb="5">
      <t>ギュウニュウ</t>
    </rPh>
    <phoneticPr fontId="5"/>
  </si>
  <si>
    <t>「飲用牛乳等計」生産量で按分</t>
    <rPh sb="1" eb="3">
      <t>インヨウ</t>
    </rPh>
    <rPh sb="3" eb="5">
      <t>ギュウニュウ</t>
    </rPh>
    <rPh sb="5" eb="6">
      <t>トウ</t>
    </rPh>
    <rPh sb="6" eb="7">
      <t>ケイ</t>
    </rPh>
    <rPh sb="8" eb="11">
      <t>セイサンリョウ</t>
    </rPh>
    <rPh sb="12" eb="14">
      <t>アンブン</t>
    </rPh>
    <phoneticPr fontId="14"/>
  </si>
  <si>
    <t>Y01</t>
    <phoneticPr fontId="5"/>
  </si>
  <si>
    <t>　半製品及び仕掛品（飲用牛乳）</t>
    <phoneticPr fontId="5"/>
  </si>
  <si>
    <t>R2国の分類に合わせて新たに設定</t>
    <rPh sb="2" eb="3">
      <t>クニ</t>
    </rPh>
    <rPh sb="4" eb="6">
      <t>ブンルイ</t>
    </rPh>
    <rPh sb="7" eb="8">
      <t>ア</t>
    </rPh>
    <rPh sb="11" eb="12">
      <t>アラ</t>
    </rPh>
    <rPh sb="14" eb="16">
      <t>セッテイ</t>
    </rPh>
    <phoneticPr fontId="14"/>
  </si>
  <si>
    <t xml:space="preserve"> 乳製品</t>
    <phoneticPr fontId="5"/>
  </si>
  <si>
    <t>P：原課業務資料
Q：牛乳乳製品統計、食品産業動態調査報告書（食品需給研究センター）「アイスクリーム類及び氷菓（販売実績（社）日本アイスクリーム協会）</t>
    <rPh sb="2" eb="4">
      <t>ゲンカ</t>
    </rPh>
    <rPh sb="4" eb="6">
      <t>ギョウム</t>
    </rPh>
    <rPh sb="6" eb="8">
      <t>シリョウ</t>
    </rPh>
    <rPh sb="11" eb="13">
      <t>ギュウニュウ</t>
    </rPh>
    <rPh sb="13" eb="16">
      <t>ニュウセイヒン</t>
    </rPh>
    <rPh sb="16" eb="18">
      <t>トウケイ</t>
    </rPh>
    <rPh sb="19" eb="21">
      <t>ショクヒン</t>
    </rPh>
    <rPh sb="21" eb="23">
      <t>サンギョウ</t>
    </rPh>
    <rPh sb="23" eb="25">
      <t>ドウタイ</t>
    </rPh>
    <rPh sb="25" eb="27">
      <t>チョウサ</t>
    </rPh>
    <rPh sb="27" eb="30">
      <t>ホウコクショ</t>
    </rPh>
    <rPh sb="31" eb="33">
      <t>ショクヒン</t>
    </rPh>
    <rPh sb="33" eb="35">
      <t>ジュキュウ</t>
    </rPh>
    <rPh sb="35" eb="37">
      <t>ケンキュウ</t>
    </rPh>
    <rPh sb="50" eb="51">
      <t>ルイ</t>
    </rPh>
    <rPh sb="51" eb="52">
      <t>オヨ</t>
    </rPh>
    <rPh sb="53" eb="55">
      <t>ヒョウカ</t>
    </rPh>
    <rPh sb="56" eb="58">
      <t>ハンバイ</t>
    </rPh>
    <rPh sb="58" eb="60">
      <t>ジッセキ</t>
    </rPh>
    <rPh sb="61" eb="62">
      <t>シャ</t>
    </rPh>
    <rPh sb="63" eb="65">
      <t>ニホン</t>
    </rPh>
    <rPh sb="72" eb="74">
      <t>キョウカイ</t>
    </rPh>
    <phoneticPr fontId="14"/>
  </si>
  <si>
    <t>　乳飲料、乳酸菌飲料</t>
    <phoneticPr fontId="5"/>
  </si>
  <si>
    <t>生産量で按分（近経局の推計方法に準拠）→27年表、R2年表も同様とする</t>
    <rPh sb="0" eb="2">
      <t>セイサン</t>
    </rPh>
    <rPh sb="2" eb="3">
      <t>リョウ</t>
    </rPh>
    <rPh sb="4" eb="6">
      <t>アンブン</t>
    </rPh>
    <rPh sb="7" eb="8">
      <t>キン</t>
    </rPh>
    <rPh sb="8" eb="9">
      <t>ケイ</t>
    </rPh>
    <rPh sb="9" eb="10">
      <t>キョク</t>
    </rPh>
    <rPh sb="11" eb="13">
      <t>スイケイ</t>
    </rPh>
    <rPh sb="13" eb="15">
      <t>ホウホウ</t>
    </rPh>
    <rPh sb="16" eb="18">
      <t>ジュンキョ</t>
    </rPh>
    <rPh sb="22" eb="23">
      <t>ネン</t>
    </rPh>
    <rPh sb="23" eb="24">
      <t>ヒョウ</t>
    </rPh>
    <rPh sb="27" eb="28">
      <t>ネン</t>
    </rPh>
    <rPh sb="28" eb="29">
      <t>ヒョウ</t>
    </rPh>
    <rPh sb="30" eb="32">
      <t>ドウヨウ</t>
    </rPh>
    <phoneticPr fontId="14"/>
  </si>
  <si>
    <t>　練乳、粉乳、脱脂粉乳</t>
    <phoneticPr fontId="5"/>
  </si>
  <si>
    <t>　バター</t>
    <phoneticPr fontId="5"/>
  </si>
  <si>
    <t>　チーズ</t>
    <phoneticPr fontId="5"/>
  </si>
  <si>
    <t>センサス生産額自体は国値とイコールではないため、そのままCTとみなせないので按分指標として使った。（マニュアルには半製品・仕掛品にのみ経センを使うといっている）。</t>
    <rPh sb="10" eb="12">
      <t>クニチ</t>
    </rPh>
    <rPh sb="38" eb="40">
      <t>アンブン</t>
    </rPh>
    <rPh sb="40" eb="42">
      <t>シヒョウ</t>
    </rPh>
    <rPh sb="45" eb="46">
      <t>ツカ</t>
    </rPh>
    <rPh sb="67" eb="68">
      <t>ケイ</t>
    </rPh>
    <phoneticPr fontId="16"/>
  </si>
  <si>
    <t>　クリーム</t>
    <phoneticPr fontId="5"/>
  </si>
  <si>
    <t>206</t>
    <phoneticPr fontId="5"/>
  </si>
  <si>
    <t>　アイスクリーム</t>
    <phoneticPr fontId="5"/>
  </si>
  <si>
    <t>207</t>
    <phoneticPr fontId="5"/>
  </si>
  <si>
    <t>　その他の乳製品</t>
    <phoneticPr fontId="5"/>
  </si>
  <si>
    <t>　農業経営体生産分（乳製品）</t>
    <phoneticPr fontId="5"/>
  </si>
  <si>
    <t>R2年度６次産業化総合調査報告</t>
    <rPh sb="2" eb="4">
      <t>ネンド</t>
    </rPh>
    <rPh sb="5" eb="6">
      <t>ジ</t>
    </rPh>
    <rPh sb="6" eb="8">
      <t>サンギョウ</t>
    </rPh>
    <rPh sb="8" eb="9">
      <t>カ</t>
    </rPh>
    <rPh sb="9" eb="11">
      <t>ソウゴウ</t>
    </rPh>
    <rPh sb="11" eb="13">
      <t>チョウサ</t>
    </rPh>
    <rPh sb="13" eb="15">
      <t>ホウコク</t>
    </rPh>
    <phoneticPr fontId="14"/>
  </si>
  <si>
    <t>農業経営体の酪農製品年間販売額（左表の県生産額のセルの式に直接入力している）を従業者数で按分
（各県とも何をもって按分指標とするか苦慮しているようだ。年間販売金額を使う県もあるようだが、比率はそれほど変わらない。）</t>
    <rPh sb="0" eb="2">
      <t>ノウギョウ</t>
    </rPh>
    <rPh sb="2" eb="4">
      <t>ケイエイ</t>
    </rPh>
    <rPh sb="4" eb="5">
      <t>タイ</t>
    </rPh>
    <rPh sb="6" eb="8">
      <t>ラクノウ</t>
    </rPh>
    <rPh sb="8" eb="10">
      <t>セイヒン</t>
    </rPh>
    <rPh sb="10" eb="12">
      <t>ネンカン</t>
    </rPh>
    <rPh sb="12" eb="14">
      <t>ハンバイ</t>
    </rPh>
    <rPh sb="14" eb="15">
      <t>ガク</t>
    </rPh>
    <rPh sb="16" eb="17">
      <t>サ</t>
    </rPh>
    <rPh sb="17" eb="18">
      <t>ヒョウ</t>
    </rPh>
    <rPh sb="19" eb="20">
      <t>ケン</t>
    </rPh>
    <rPh sb="20" eb="23">
      <t>セイサンガク</t>
    </rPh>
    <rPh sb="27" eb="28">
      <t>シキ</t>
    </rPh>
    <rPh sb="29" eb="31">
      <t>チョクセツ</t>
    </rPh>
    <rPh sb="31" eb="33">
      <t>ニュウリョク</t>
    </rPh>
    <rPh sb="39" eb="40">
      <t>ジュウ</t>
    </rPh>
    <rPh sb="40" eb="43">
      <t>ギョウシャスウ</t>
    </rPh>
    <rPh sb="44" eb="46">
      <t>アンブン</t>
    </rPh>
    <rPh sb="48" eb="50">
      <t>カクケン</t>
    </rPh>
    <rPh sb="52" eb="53">
      <t>ナニ</t>
    </rPh>
    <rPh sb="57" eb="59">
      <t>アンブン</t>
    </rPh>
    <rPh sb="59" eb="61">
      <t>シヒョウ</t>
    </rPh>
    <rPh sb="65" eb="67">
      <t>クリョ</t>
    </rPh>
    <rPh sb="75" eb="77">
      <t>ネンカン</t>
    </rPh>
    <rPh sb="77" eb="79">
      <t>ハンバイ</t>
    </rPh>
    <rPh sb="79" eb="81">
      <t>キンガク</t>
    </rPh>
    <rPh sb="82" eb="83">
      <t>ツカ</t>
    </rPh>
    <rPh sb="84" eb="85">
      <t>ケン</t>
    </rPh>
    <rPh sb="93" eb="95">
      <t>ヒリツ</t>
    </rPh>
    <rPh sb="100" eb="101">
      <t>カ</t>
    </rPh>
    <phoneticPr fontId="14"/>
  </si>
  <si>
    <t>Y02</t>
    <phoneticPr fontId="5"/>
  </si>
  <si>
    <t>　半製品及び仕掛品（乳製品）</t>
    <phoneticPr fontId="5"/>
  </si>
  <si>
    <t>経済センサス組替　第５表</t>
    <phoneticPr fontId="14"/>
  </si>
  <si>
    <t>経セン組替表より直接入力</t>
    <rPh sb="0" eb="1">
      <t>ケイ</t>
    </rPh>
    <rPh sb="3" eb="5">
      <t>クミカエ</t>
    </rPh>
    <rPh sb="5" eb="6">
      <t>ヒョウ</t>
    </rPh>
    <rPh sb="8" eb="10">
      <t>チョクセツ</t>
    </rPh>
    <rPh sb="10" eb="12">
      <t>ニュウリョク</t>
    </rPh>
    <phoneticPr fontId="14"/>
  </si>
  <si>
    <t>日本食肉加工協会資料×日本食肉加工協会資料</t>
    <rPh sb="0" eb="2">
      <t>ニホン</t>
    </rPh>
    <rPh sb="2" eb="4">
      <t>ショクニク</t>
    </rPh>
    <rPh sb="4" eb="6">
      <t>カコウ</t>
    </rPh>
    <rPh sb="6" eb="8">
      <t>キョウカイ</t>
    </rPh>
    <rPh sb="8" eb="10">
      <t>シリョウ</t>
    </rPh>
    <phoneticPr fontId="14"/>
  </si>
  <si>
    <t>　肉缶詰・瓶詰・つぼ詰</t>
    <phoneticPr fontId="5"/>
  </si>
  <si>
    <t>2021年8月缶詰時報（R2統計）</t>
    <rPh sb="4" eb="5">
      <t>ネン</t>
    </rPh>
    <rPh sb="6" eb="7">
      <t>ガツ</t>
    </rPh>
    <rPh sb="7" eb="9">
      <t>カンヅメ</t>
    </rPh>
    <rPh sb="9" eb="11">
      <t>ジホウ</t>
    </rPh>
    <rPh sb="14" eb="16">
      <t>トウケイ</t>
    </rPh>
    <phoneticPr fontId="14"/>
  </si>
  <si>
    <t>日本ﾊﾑ･ｿｰｾｰｼﾞ工業協同組合</t>
    <rPh sb="0" eb="2">
      <t>ニホン</t>
    </rPh>
    <rPh sb="11" eb="13">
      <t>コウギョウ</t>
    </rPh>
    <rPh sb="13" eb="15">
      <t>キョウドウ</t>
    </rPh>
    <rPh sb="15" eb="17">
      <t>クミアイ</t>
    </rPh>
    <phoneticPr fontId="14"/>
  </si>
  <si>
    <t>H27年表から国要綱ではコンビーフ缶詰もこちらに統合されているため、2021年8月缶詰時報（課で購入）に記載のR2統計の１Ｅ食肉合計、３Ｅ食肉計（どちらも兵庫県値０）</t>
    <rPh sb="3" eb="4">
      <t>ネン</t>
    </rPh>
    <rPh sb="4" eb="5">
      <t>ヒョウ</t>
    </rPh>
    <rPh sb="7" eb="8">
      <t>クニ</t>
    </rPh>
    <rPh sb="8" eb="10">
      <t>ヨウコウ</t>
    </rPh>
    <rPh sb="17" eb="19">
      <t>カンヅメ</t>
    </rPh>
    <rPh sb="24" eb="26">
      <t>トウゴウ</t>
    </rPh>
    <rPh sb="38" eb="39">
      <t>ネン</t>
    </rPh>
    <rPh sb="40" eb="41">
      <t>ガツ</t>
    </rPh>
    <rPh sb="41" eb="43">
      <t>カンヅメ</t>
    </rPh>
    <rPh sb="43" eb="45">
      <t>ジホウ</t>
    </rPh>
    <rPh sb="46" eb="47">
      <t>カ</t>
    </rPh>
    <rPh sb="48" eb="50">
      <t>コウニュウ</t>
    </rPh>
    <rPh sb="52" eb="54">
      <t>キサイ</t>
    </rPh>
    <rPh sb="57" eb="59">
      <t>トウケイ</t>
    </rPh>
    <rPh sb="62" eb="63">
      <t>ショク</t>
    </rPh>
    <rPh sb="63" eb="64">
      <t>ニク</t>
    </rPh>
    <rPh sb="64" eb="66">
      <t>ゴウケイ</t>
    </rPh>
    <rPh sb="69" eb="70">
      <t>ショク</t>
    </rPh>
    <rPh sb="70" eb="71">
      <t>ニク</t>
    </rPh>
    <rPh sb="71" eb="72">
      <t>ケイ</t>
    </rPh>
    <rPh sb="77" eb="80">
      <t>ヒョウゴケン</t>
    </rPh>
    <rPh sb="80" eb="81">
      <t>チ</t>
    </rPh>
    <phoneticPr fontId="14"/>
  </si>
  <si>
    <t>　肉製品</t>
    <phoneticPr fontId="5"/>
  </si>
  <si>
    <t>経済センサス組替　第５表</t>
  </si>
  <si>
    <t>（H27年表までは日本ﾊﾑ･ｿｰｾｰｼﾞ工業協同組合総務部の数値によるH17年表の数値を固定）全国値以外は非公表らしいので（答(H21.1.26)、H17年表のハム類～その他の生産額合計で按分
→R2年表では経セン組替表の数値を使って按分に変更。</t>
    <rPh sb="4" eb="5">
      <t>ネン</t>
    </rPh>
    <rPh sb="5" eb="6">
      <t>ヒョウ</t>
    </rPh>
    <rPh sb="30" eb="32">
      <t>スウチ</t>
    </rPh>
    <rPh sb="38" eb="39">
      <t>ネン</t>
    </rPh>
    <rPh sb="39" eb="40">
      <t>ヒョウ</t>
    </rPh>
    <rPh sb="41" eb="43">
      <t>スウチ</t>
    </rPh>
    <rPh sb="44" eb="46">
      <t>コテイ</t>
    </rPh>
    <rPh sb="47" eb="49">
      <t>ゼンコク</t>
    </rPh>
    <rPh sb="49" eb="50">
      <t>アタイ</t>
    </rPh>
    <rPh sb="50" eb="52">
      <t>イガイ</t>
    </rPh>
    <rPh sb="53" eb="54">
      <t>ヒ</t>
    </rPh>
    <rPh sb="54" eb="56">
      <t>コウヒョウ</t>
    </rPh>
    <rPh sb="62" eb="63">
      <t>コタエ</t>
    </rPh>
    <rPh sb="77" eb="78">
      <t>ネン</t>
    </rPh>
    <rPh sb="78" eb="79">
      <t>ヒョウ</t>
    </rPh>
    <rPh sb="82" eb="83">
      <t>ルイ</t>
    </rPh>
    <rPh sb="86" eb="87">
      <t>タ</t>
    </rPh>
    <rPh sb="88" eb="91">
      <t>セイサンガク</t>
    </rPh>
    <rPh sb="91" eb="93">
      <t>ゴウケイ</t>
    </rPh>
    <rPh sb="94" eb="96">
      <t>アンブン</t>
    </rPh>
    <rPh sb="100" eb="101">
      <t>ネン</t>
    </rPh>
    <rPh sb="101" eb="102">
      <t>ヒョウ</t>
    </rPh>
    <rPh sb="104" eb="105">
      <t>ケイ</t>
    </rPh>
    <rPh sb="107" eb="109">
      <t>クミカエ</t>
    </rPh>
    <rPh sb="109" eb="110">
      <t>ヒョウ</t>
    </rPh>
    <rPh sb="111" eb="113">
      <t>スウチ</t>
    </rPh>
    <rPh sb="114" eb="115">
      <t>ツカ</t>
    </rPh>
    <rPh sb="117" eb="119">
      <t>アンブン</t>
    </rPh>
    <rPh sb="120" eb="122">
      <t>ヘンコウ</t>
    </rPh>
    <phoneticPr fontId="14"/>
  </si>
  <si>
    <t>　他に分類されない畜産食料品</t>
    <phoneticPr fontId="5"/>
  </si>
  <si>
    <t>　農業経営体生産分（その他の畜産食料品）</t>
    <phoneticPr fontId="5"/>
  </si>
  <si>
    <t>農業経営体の肉加工品年間販売額（左表の県生産額のセルの式に直接入力している）を従業者数で按分
（国のIOの数値と同じなので、国もこの販売額をCTと見なしているようだ）</t>
    <rPh sb="0" eb="2">
      <t>ノウギョウ</t>
    </rPh>
    <rPh sb="2" eb="4">
      <t>ケイエイ</t>
    </rPh>
    <rPh sb="4" eb="5">
      <t>タイ</t>
    </rPh>
    <rPh sb="6" eb="7">
      <t>ニク</t>
    </rPh>
    <rPh sb="7" eb="9">
      <t>カコウ</t>
    </rPh>
    <rPh sb="9" eb="10">
      <t>ヒン</t>
    </rPh>
    <rPh sb="10" eb="12">
      <t>ネンカン</t>
    </rPh>
    <rPh sb="12" eb="14">
      <t>ハンバイ</t>
    </rPh>
    <rPh sb="14" eb="15">
      <t>ガク</t>
    </rPh>
    <rPh sb="16" eb="17">
      <t>サ</t>
    </rPh>
    <rPh sb="17" eb="18">
      <t>ヒョウ</t>
    </rPh>
    <rPh sb="19" eb="20">
      <t>ケン</t>
    </rPh>
    <rPh sb="20" eb="23">
      <t>セイサンガク</t>
    </rPh>
    <rPh sb="27" eb="28">
      <t>シキ</t>
    </rPh>
    <rPh sb="29" eb="31">
      <t>チョクセツ</t>
    </rPh>
    <rPh sb="31" eb="33">
      <t>ニュウリョク</t>
    </rPh>
    <rPh sb="39" eb="40">
      <t>ジュウ</t>
    </rPh>
    <rPh sb="40" eb="43">
      <t>ギョウシャスウ</t>
    </rPh>
    <rPh sb="44" eb="46">
      <t>アンブン</t>
    </rPh>
    <rPh sb="48" eb="49">
      <t>クニ</t>
    </rPh>
    <rPh sb="53" eb="55">
      <t>スウチ</t>
    </rPh>
    <rPh sb="56" eb="57">
      <t>オナ</t>
    </rPh>
    <rPh sb="62" eb="63">
      <t>クニ</t>
    </rPh>
    <rPh sb="66" eb="68">
      <t>ハンバイ</t>
    </rPh>
    <rPh sb="68" eb="69">
      <t>ガク</t>
    </rPh>
    <rPh sb="73" eb="74">
      <t>ミ</t>
    </rPh>
    <phoneticPr fontId="14"/>
  </si>
  <si>
    <t>Y01</t>
    <phoneticPr fontId="14"/>
  </si>
  <si>
    <t>　半製品及び仕掛品（その他の畜産食料品）</t>
    <phoneticPr fontId="5"/>
  </si>
  <si>
    <t>経済センサス組替　第５表</t>
    <rPh sb="0" eb="2">
      <t>ケイザイ</t>
    </rPh>
    <rPh sb="6" eb="8">
      <t>クミカエ</t>
    </rPh>
    <rPh sb="9" eb="10">
      <t>ダイ</t>
    </rPh>
    <rPh sb="11" eb="12">
      <t>ヒョウ</t>
    </rPh>
    <phoneticPr fontId="14"/>
  </si>
  <si>
    <t>センサス組替表から直接入力なので国値使わず</t>
    <rPh sb="4" eb="6">
      <t>クミカエ</t>
    </rPh>
    <rPh sb="6" eb="7">
      <t>ヒョウ</t>
    </rPh>
    <rPh sb="9" eb="11">
      <t>チョクセツ</t>
    </rPh>
    <rPh sb="11" eb="13">
      <t>ニュウリョク</t>
    </rPh>
    <rPh sb="16" eb="17">
      <t>クニ</t>
    </rPh>
    <rPh sb="17" eb="18">
      <t>チ</t>
    </rPh>
    <rPh sb="18" eb="19">
      <t>ツカ</t>
    </rPh>
    <phoneticPr fontId="14"/>
  </si>
  <si>
    <t>P：水産物流通統計年報、冷凍食品に関する諸統計（日本冷凍食品協会）
Q：水産物流通統計年報</t>
    <rPh sb="2" eb="5">
      <t>スイサンブツ</t>
    </rPh>
    <rPh sb="5" eb="7">
      <t>リュウツウ</t>
    </rPh>
    <rPh sb="7" eb="9">
      <t>トウケイ</t>
    </rPh>
    <rPh sb="9" eb="11">
      <t>ネンポウ</t>
    </rPh>
    <rPh sb="12" eb="14">
      <t>レイトウ</t>
    </rPh>
    <rPh sb="14" eb="16">
      <t>ショクヒン</t>
    </rPh>
    <rPh sb="17" eb="18">
      <t>カン</t>
    </rPh>
    <rPh sb="20" eb="21">
      <t>ショ</t>
    </rPh>
    <rPh sb="21" eb="23">
      <t>トウケイ</t>
    </rPh>
    <rPh sb="24" eb="26">
      <t>ニホン</t>
    </rPh>
    <rPh sb="26" eb="28">
      <t>レイトウ</t>
    </rPh>
    <rPh sb="28" eb="30">
      <t>ショクヒン</t>
    </rPh>
    <rPh sb="30" eb="32">
      <t>キョウカイ</t>
    </rPh>
    <rPh sb="36" eb="39">
      <t>スイサンブツ</t>
    </rPh>
    <rPh sb="39" eb="41">
      <t>リュウツウ</t>
    </rPh>
    <rPh sb="41" eb="43">
      <t>トウケイ</t>
    </rPh>
    <rPh sb="43" eb="45">
      <t>ネンポウ</t>
    </rPh>
    <phoneticPr fontId="14"/>
  </si>
  <si>
    <t>R1水産加工統計調査（R2以降データなし）</t>
    <rPh sb="2" eb="4">
      <t>スイサン</t>
    </rPh>
    <rPh sb="4" eb="6">
      <t>カコウ</t>
    </rPh>
    <rPh sb="6" eb="8">
      <t>トウケイ</t>
    </rPh>
    <rPh sb="8" eb="10">
      <t>チョウサ</t>
    </rPh>
    <rPh sb="13" eb="15">
      <t>イコウ</t>
    </rPh>
    <phoneticPr fontId="14"/>
  </si>
  <si>
    <t>左記統計調査がR2年以降主産県調査となりデータがとれないため、R1の数値を入力</t>
    <rPh sb="0" eb="2">
      <t>サキ</t>
    </rPh>
    <rPh sb="2" eb="4">
      <t>トウケイ</t>
    </rPh>
    <rPh sb="4" eb="6">
      <t>チョウサ</t>
    </rPh>
    <rPh sb="9" eb="10">
      <t>ネン</t>
    </rPh>
    <rPh sb="10" eb="12">
      <t>イコウ</t>
    </rPh>
    <rPh sb="12" eb="13">
      <t>シュ</t>
    </rPh>
    <rPh sb="13" eb="14">
      <t>サン</t>
    </rPh>
    <rPh sb="14" eb="15">
      <t>ケン</t>
    </rPh>
    <rPh sb="15" eb="17">
      <t>チョウサ</t>
    </rPh>
    <rPh sb="34" eb="36">
      <t>スウチ</t>
    </rPh>
    <rPh sb="37" eb="39">
      <t>ニュウリョク</t>
    </rPh>
    <phoneticPr fontId="5"/>
  </si>
  <si>
    <t>「冷凍食品」のうち「魚介類」で按分</t>
    <rPh sb="1" eb="3">
      <t>レイトウ</t>
    </rPh>
    <rPh sb="3" eb="5">
      <t>ショクヒン</t>
    </rPh>
    <rPh sb="10" eb="13">
      <t>ギョカイルイ</t>
    </rPh>
    <rPh sb="15" eb="17">
      <t>アンブン</t>
    </rPh>
    <phoneticPr fontId="14"/>
  </si>
  <si>
    <t>上記２品目のCTで按分</t>
    <rPh sb="0" eb="2">
      <t>ジョウキ</t>
    </rPh>
    <rPh sb="3" eb="5">
      <t>ヒンモク</t>
    </rPh>
    <rPh sb="9" eb="11">
      <t>アンブン</t>
    </rPh>
    <phoneticPr fontId="14"/>
  </si>
  <si>
    <t>P：東京都中央卸売市場年報
Q：水産物流通統計年報</t>
    <rPh sb="2" eb="5">
      <t>トウキョウト</t>
    </rPh>
    <rPh sb="5" eb="7">
      <t>チュウオウ</t>
    </rPh>
    <rPh sb="7" eb="9">
      <t>オロシウリ</t>
    </rPh>
    <rPh sb="9" eb="11">
      <t>シジョウ</t>
    </rPh>
    <rPh sb="11" eb="13">
      <t>ネンポウ</t>
    </rPh>
    <rPh sb="16" eb="19">
      <t>スイサンブツ</t>
    </rPh>
    <rPh sb="19" eb="21">
      <t>リュウツウ</t>
    </rPh>
    <rPh sb="21" eb="23">
      <t>トウケイ</t>
    </rPh>
    <rPh sb="23" eb="25">
      <t>ネンポウ</t>
    </rPh>
    <phoneticPr fontId="14"/>
  </si>
  <si>
    <t>「塩蔵品」＋「塩干」で按分。左記統計の塩蔵品のH27年値が秘匿のため、H26年値を使用。</t>
    <rPh sb="1" eb="3">
      <t>エンゾウ</t>
    </rPh>
    <rPh sb="3" eb="4">
      <t>ヒン</t>
    </rPh>
    <rPh sb="7" eb="9">
      <t>シオボ</t>
    </rPh>
    <rPh sb="11" eb="13">
      <t>アンブン</t>
    </rPh>
    <rPh sb="14" eb="16">
      <t>サキ</t>
    </rPh>
    <rPh sb="16" eb="18">
      <t>トウケイ</t>
    </rPh>
    <rPh sb="19" eb="20">
      <t>シオ</t>
    </rPh>
    <rPh sb="20" eb="21">
      <t>クラ</t>
    </rPh>
    <rPh sb="21" eb="22">
      <t>ヒン</t>
    </rPh>
    <rPh sb="26" eb="27">
      <t>ネン</t>
    </rPh>
    <rPh sb="27" eb="28">
      <t>チ</t>
    </rPh>
    <rPh sb="29" eb="31">
      <t>ヒトク</t>
    </rPh>
    <rPh sb="38" eb="39">
      <t>ネン</t>
    </rPh>
    <rPh sb="39" eb="40">
      <t>チ</t>
    </rPh>
    <rPh sb="41" eb="43">
      <t>シヨウ</t>
    </rPh>
    <phoneticPr fontId="14"/>
  </si>
  <si>
    <t>「素干し品」＋「煮干」で按分。</t>
    <rPh sb="1" eb="2">
      <t>ス</t>
    </rPh>
    <rPh sb="2" eb="3">
      <t>ボ</t>
    </rPh>
    <rPh sb="4" eb="5">
      <t>ヒン</t>
    </rPh>
    <rPh sb="8" eb="10">
      <t>ニボシ</t>
    </rPh>
    <rPh sb="12" eb="14">
      <t>アンブン</t>
    </rPh>
    <phoneticPr fontId="14"/>
  </si>
  <si>
    <t>H17水産物流統調査</t>
    <rPh sb="3" eb="5">
      <t>スイサン</t>
    </rPh>
    <rPh sb="5" eb="7">
      <t>ブツリュウ</t>
    </rPh>
    <rPh sb="7" eb="8">
      <t>オサム</t>
    </rPh>
    <rPh sb="8" eb="10">
      <t>チョウサ</t>
    </rPh>
    <phoneticPr fontId="14"/>
  </si>
  <si>
    <t>Ｈ27、23の水産物流統計「くん製品」　は県値が秘匿になっているので、17年値を用いて按分→R2では「水産加工統計調査」の県値秘匿のため、17年値を用いて按分。</t>
    <rPh sb="7" eb="9">
      <t>スイサン</t>
    </rPh>
    <rPh sb="9" eb="11">
      <t>ブツリュウ</t>
    </rPh>
    <rPh sb="11" eb="13">
      <t>トウケイ</t>
    </rPh>
    <rPh sb="21" eb="22">
      <t>ケン</t>
    </rPh>
    <rPh sb="22" eb="23">
      <t>チ</t>
    </rPh>
    <rPh sb="24" eb="26">
      <t>ヒトク</t>
    </rPh>
    <rPh sb="37" eb="38">
      <t>ネン</t>
    </rPh>
    <rPh sb="38" eb="39">
      <t>アタイ</t>
    </rPh>
    <rPh sb="40" eb="41">
      <t>モチ</t>
    </rPh>
    <rPh sb="43" eb="44">
      <t>アン</t>
    </rPh>
    <rPh sb="44" eb="45">
      <t>フン</t>
    </rPh>
    <rPh sb="51" eb="53">
      <t>スイサン</t>
    </rPh>
    <rPh sb="53" eb="55">
      <t>カコウ</t>
    </rPh>
    <rPh sb="55" eb="57">
      <t>トウケイ</t>
    </rPh>
    <rPh sb="57" eb="59">
      <t>チョウサ</t>
    </rPh>
    <rPh sb="61" eb="63">
      <t>ケンチ</t>
    </rPh>
    <rPh sb="63" eb="65">
      <t>ヒトク</t>
    </rPh>
    <rPh sb="71" eb="72">
      <t>ネン</t>
    </rPh>
    <rPh sb="72" eb="73">
      <t>チ</t>
    </rPh>
    <rPh sb="74" eb="75">
      <t>モチ</t>
    </rPh>
    <rPh sb="77" eb="79">
      <t>アンブン</t>
    </rPh>
    <phoneticPr fontId="14"/>
  </si>
  <si>
    <t>　副産物（塩・干・くん製品）</t>
    <phoneticPr fontId="5"/>
  </si>
  <si>
    <t>上記３品目の生産量計で按分</t>
    <rPh sb="0" eb="2">
      <t>ジョウキ</t>
    </rPh>
    <rPh sb="3" eb="5">
      <t>ヒンモク</t>
    </rPh>
    <rPh sb="6" eb="9">
      <t>セイサンリョウ</t>
    </rPh>
    <rPh sb="9" eb="10">
      <t>ケイ</t>
    </rPh>
    <rPh sb="11" eb="13">
      <t>アンブン</t>
    </rPh>
    <phoneticPr fontId="14"/>
  </si>
  <si>
    <t>　半製品及び仕掛品（塩・干・くん製品）</t>
    <phoneticPr fontId="5"/>
  </si>
  <si>
    <t>センサス組替表から直接入力</t>
    <rPh sb="4" eb="6">
      <t>クミカエ</t>
    </rPh>
    <rPh sb="6" eb="7">
      <t>ヒョウ</t>
    </rPh>
    <rPh sb="9" eb="11">
      <t>チョクセツ</t>
    </rPh>
    <rPh sb="11" eb="13">
      <t>ニュウリョク</t>
    </rPh>
    <phoneticPr fontId="14"/>
  </si>
  <si>
    <t>Q,V：缶詰時報　V/Q</t>
    <rPh sb="4" eb="6">
      <t>カンヅメ</t>
    </rPh>
    <rPh sb="6" eb="8">
      <t>ジホウ</t>
    </rPh>
    <phoneticPr fontId="14"/>
  </si>
  <si>
    <t>採用した項目は過去に近経局が示していた、１Ａ水産合計、２大缶 水産計、３Ａ水産計</t>
    <rPh sb="0" eb="2">
      <t>サイヨウ</t>
    </rPh>
    <rPh sb="4" eb="6">
      <t>コウモク</t>
    </rPh>
    <rPh sb="7" eb="9">
      <t>カコ</t>
    </rPh>
    <rPh sb="10" eb="11">
      <t>キン</t>
    </rPh>
    <rPh sb="11" eb="12">
      <t>ケイ</t>
    </rPh>
    <rPh sb="12" eb="13">
      <t>キョク</t>
    </rPh>
    <rPh sb="14" eb="15">
      <t>シメ</t>
    </rPh>
    <rPh sb="22" eb="24">
      <t>スイサン</t>
    </rPh>
    <rPh sb="24" eb="26">
      <t>ゴウケイ</t>
    </rPh>
    <rPh sb="28" eb="29">
      <t>ダイ</t>
    </rPh>
    <rPh sb="29" eb="30">
      <t>カン</t>
    </rPh>
    <rPh sb="31" eb="33">
      <t>スイサン</t>
    </rPh>
    <rPh sb="33" eb="34">
      <t>ケイ</t>
    </rPh>
    <rPh sb="37" eb="39">
      <t>スイサン</t>
    </rPh>
    <rPh sb="39" eb="40">
      <t>ケイ</t>
    </rPh>
    <phoneticPr fontId="14"/>
  </si>
  <si>
    <t>　副産物（水産びん・かん詰）</t>
    <phoneticPr fontId="5"/>
  </si>
  <si>
    <t>　半製品及び仕掛品（水産びん・かん詰）</t>
    <phoneticPr fontId="5"/>
  </si>
  <si>
    <t>P：経済計算、食品工業投入調査、東京都中央卸売」年報、酒類食品統計年報
Q：水産物流通統計年報</t>
    <rPh sb="2" eb="4">
      <t>ケイザイ</t>
    </rPh>
    <rPh sb="4" eb="6">
      <t>ケイサン</t>
    </rPh>
    <rPh sb="7" eb="9">
      <t>ショクヒン</t>
    </rPh>
    <rPh sb="9" eb="11">
      <t>コウギョウ</t>
    </rPh>
    <rPh sb="11" eb="13">
      <t>トウニュウ</t>
    </rPh>
    <rPh sb="13" eb="15">
      <t>チョウサ</t>
    </rPh>
    <rPh sb="16" eb="19">
      <t>トウキョウト</t>
    </rPh>
    <rPh sb="19" eb="21">
      <t>チュウオウ</t>
    </rPh>
    <rPh sb="21" eb="23">
      <t>オロシウリ</t>
    </rPh>
    <rPh sb="24" eb="26">
      <t>ネンポウ</t>
    </rPh>
    <rPh sb="27" eb="28">
      <t>サケ</t>
    </rPh>
    <rPh sb="28" eb="29">
      <t>ルイ</t>
    </rPh>
    <rPh sb="29" eb="31">
      <t>ショクヒン</t>
    </rPh>
    <rPh sb="31" eb="33">
      <t>トウケイ</t>
    </rPh>
    <rPh sb="33" eb="35">
      <t>ネンポウ</t>
    </rPh>
    <rPh sb="38" eb="41">
      <t>スイサンブツ</t>
    </rPh>
    <rPh sb="41" eb="43">
      <t>リュウツウ</t>
    </rPh>
    <rPh sb="43" eb="45">
      <t>トウケイ</t>
    </rPh>
    <rPh sb="45" eb="47">
      <t>ネンポウ</t>
    </rPh>
    <phoneticPr fontId="14"/>
  </si>
  <si>
    <t>　魚肉ハム・ソーセージ（鯨肉製を含む）</t>
    <phoneticPr fontId="5"/>
  </si>
  <si>
    <t>近経局の方法は、経セン組替第５表の売上金額と経常収益の合計で按分しているが、経常収益とは５表のどの項目のことをさしているのか不明のため、前回表どおり左記資料の数値で按分した。→R2年表では国分類でねり製品が魚肉ハム・ソーセージとその他の水産練製品に分かれたので、水産加工統計調査の内訳の魚肉ハム・ソーセージとかまぼこ類をそれぞれに割り振った。左記資料は、R2年以降主産県調査となりデータがとれないため、R1の数値を入力。</t>
    <rPh sb="0" eb="1">
      <t>キン</t>
    </rPh>
    <rPh sb="1" eb="2">
      <t>ケイ</t>
    </rPh>
    <rPh sb="2" eb="3">
      <t>キョク</t>
    </rPh>
    <rPh sb="4" eb="6">
      <t>ホウホウ</t>
    </rPh>
    <rPh sb="8" eb="9">
      <t>ケイ</t>
    </rPh>
    <rPh sb="11" eb="13">
      <t>クミカエ</t>
    </rPh>
    <rPh sb="13" eb="14">
      <t>ダイ</t>
    </rPh>
    <rPh sb="15" eb="16">
      <t>ヒョウ</t>
    </rPh>
    <rPh sb="17" eb="19">
      <t>ウリアゲ</t>
    </rPh>
    <rPh sb="19" eb="21">
      <t>キンガク</t>
    </rPh>
    <rPh sb="22" eb="26">
      <t>ケイジョウシュウエキ</t>
    </rPh>
    <rPh sb="27" eb="29">
      <t>ゴウケイ</t>
    </rPh>
    <rPh sb="30" eb="32">
      <t>アンブン</t>
    </rPh>
    <rPh sb="38" eb="40">
      <t>ケイジョウ</t>
    </rPh>
    <rPh sb="40" eb="42">
      <t>シュウエキ</t>
    </rPh>
    <rPh sb="45" eb="46">
      <t>ヒョウ</t>
    </rPh>
    <rPh sb="49" eb="51">
      <t>コウモク</t>
    </rPh>
    <rPh sb="62" eb="64">
      <t>フメイ</t>
    </rPh>
    <rPh sb="68" eb="70">
      <t>ゼンカイ</t>
    </rPh>
    <rPh sb="70" eb="71">
      <t>ヒョウ</t>
    </rPh>
    <rPh sb="74" eb="76">
      <t>サキ</t>
    </rPh>
    <rPh sb="76" eb="78">
      <t>シリョウ</t>
    </rPh>
    <rPh sb="79" eb="81">
      <t>スウチ</t>
    </rPh>
    <rPh sb="82" eb="84">
      <t>アンブン</t>
    </rPh>
    <rPh sb="90" eb="91">
      <t>ネン</t>
    </rPh>
    <rPh sb="91" eb="92">
      <t>ヒョウ</t>
    </rPh>
    <rPh sb="94" eb="95">
      <t>クニ</t>
    </rPh>
    <rPh sb="95" eb="97">
      <t>ブンルイ</t>
    </rPh>
    <rPh sb="100" eb="102">
      <t>セイヒン</t>
    </rPh>
    <rPh sb="103" eb="105">
      <t>ギョニク</t>
    </rPh>
    <rPh sb="116" eb="117">
      <t>タ</t>
    </rPh>
    <rPh sb="118" eb="120">
      <t>スイサン</t>
    </rPh>
    <rPh sb="120" eb="121">
      <t>ネ</t>
    </rPh>
    <rPh sb="121" eb="123">
      <t>セイヒン</t>
    </rPh>
    <rPh sb="124" eb="125">
      <t>ワ</t>
    </rPh>
    <rPh sb="131" eb="133">
      <t>スイサン</t>
    </rPh>
    <rPh sb="133" eb="135">
      <t>カコウ</t>
    </rPh>
    <rPh sb="135" eb="137">
      <t>トウケイ</t>
    </rPh>
    <rPh sb="137" eb="139">
      <t>チョウサ</t>
    </rPh>
    <rPh sb="140" eb="142">
      <t>ウチワケ</t>
    </rPh>
    <rPh sb="143" eb="145">
      <t>ギョニク</t>
    </rPh>
    <rPh sb="158" eb="159">
      <t>ルイ</t>
    </rPh>
    <rPh sb="165" eb="166">
      <t>ワ</t>
    </rPh>
    <rPh sb="167" eb="168">
      <t>フ</t>
    </rPh>
    <rPh sb="171" eb="173">
      <t>サキ</t>
    </rPh>
    <rPh sb="173" eb="175">
      <t>シリョウ</t>
    </rPh>
    <rPh sb="179" eb="180">
      <t>ネン</t>
    </rPh>
    <rPh sb="180" eb="182">
      <t>イコウ</t>
    </rPh>
    <rPh sb="182" eb="183">
      <t>シュ</t>
    </rPh>
    <rPh sb="183" eb="185">
      <t>サンケン</t>
    </rPh>
    <rPh sb="185" eb="187">
      <t>チョウサ</t>
    </rPh>
    <rPh sb="204" eb="206">
      <t>スウチ</t>
    </rPh>
    <rPh sb="207" eb="209">
      <t>ニュウリョク</t>
    </rPh>
    <phoneticPr fontId="14"/>
  </si>
  <si>
    <t>　その他の水産練製品</t>
    <phoneticPr fontId="5"/>
  </si>
  <si>
    <t>同上</t>
    <rPh sb="0" eb="2">
      <t>ドウジョウ</t>
    </rPh>
    <phoneticPr fontId="5"/>
  </si>
  <si>
    <t>　副産物（ねり製品）</t>
    <phoneticPr fontId="5"/>
  </si>
  <si>
    <t>ねり製品合計の数値で按分</t>
    <rPh sb="2" eb="4">
      <t>セイヒン</t>
    </rPh>
    <rPh sb="4" eb="6">
      <t>ゴウケイ</t>
    </rPh>
    <rPh sb="7" eb="9">
      <t>スウチ</t>
    </rPh>
    <rPh sb="10" eb="12">
      <t>アンブン</t>
    </rPh>
    <phoneticPr fontId="5"/>
  </si>
  <si>
    <t>　半製品及び仕掛品（その他の水産食料品）</t>
    <phoneticPr fontId="5"/>
  </si>
  <si>
    <t>経セン組替表からの直接入力</t>
    <rPh sb="0" eb="1">
      <t>ケイ</t>
    </rPh>
    <rPh sb="3" eb="5">
      <t>クミカエ</t>
    </rPh>
    <rPh sb="5" eb="6">
      <t>ヒョウ</t>
    </rPh>
    <rPh sb="9" eb="11">
      <t>チョクセツ</t>
    </rPh>
    <rPh sb="11" eb="13">
      <t>ニュウリョク</t>
    </rPh>
    <phoneticPr fontId="14"/>
  </si>
  <si>
    <t>P：食品工業投入調査、関係団体資料、東京都中央卸売市場年報、日経商品情報
Q：水産物流通統計年報、日本寒天工業協同組合資料</t>
    <rPh sb="2" eb="4">
      <t>ショクヒン</t>
    </rPh>
    <rPh sb="4" eb="6">
      <t>コウギョウ</t>
    </rPh>
    <rPh sb="6" eb="8">
      <t>トウニュウ</t>
    </rPh>
    <rPh sb="8" eb="10">
      <t>チョウサ</t>
    </rPh>
    <rPh sb="11" eb="13">
      <t>カンケイ</t>
    </rPh>
    <rPh sb="13" eb="15">
      <t>ダンタイ</t>
    </rPh>
    <rPh sb="15" eb="17">
      <t>シリョウ</t>
    </rPh>
    <rPh sb="18" eb="21">
      <t>トウキョウト</t>
    </rPh>
    <rPh sb="21" eb="23">
      <t>チュウオウ</t>
    </rPh>
    <rPh sb="23" eb="25">
      <t>オロシウリ</t>
    </rPh>
    <rPh sb="25" eb="27">
      <t>シジョウ</t>
    </rPh>
    <rPh sb="27" eb="29">
      <t>ネンポウ</t>
    </rPh>
    <rPh sb="30" eb="32">
      <t>ニッケイ</t>
    </rPh>
    <rPh sb="32" eb="34">
      <t>ショウヒン</t>
    </rPh>
    <rPh sb="34" eb="36">
      <t>ジョウホウ</t>
    </rPh>
    <rPh sb="39" eb="42">
      <t>スイサンブツ</t>
    </rPh>
    <rPh sb="42" eb="44">
      <t>リュウツウ</t>
    </rPh>
    <rPh sb="44" eb="46">
      <t>トウケイ</t>
    </rPh>
    <rPh sb="46" eb="48">
      <t>ネンポウ</t>
    </rPh>
    <rPh sb="49" eb="51">
      <t>ニホン</t>
    </rPh>
    <rPh sb="51" eb="53">
      <t>カンテン</t>
    </rPh>
    <rPh sb="53" eb="55">
      <t>コウギョウ</t>
    </rPh>
    <rPh sb="55" eb="57">
      <t>キョウドウ</t>
    </rPh>
    <rPh sb="57" eb="59">
      <t>クミアイ</t>
    </rPh>
    <rPh sb="59" eb="61">
      <t>シリョウ</t>
    </rPh>
    <phoneticPr fontId="14"/>
  </si>
  <si>
    <t>　寒天</t>
    <phoneticPr fontId="5"/>
  </si>
  <si>
    <t>海藻加工品（加工品含む）の製造品出荷額＋製造品在庫額増減。半製品・仕掛品は「その他水産食品」一括で下行で推計。→H27年表では経セン組替表の「海藻加工品」の製造品出荷額と製造品在庫額増減のみ計上しているが、H23年表ではそれに加えて「海藻加工品（賃加工）」の加工賃収入額も計上している。コメント欄の内容に「（加工品含む）」とわざわざ記載していることから、加工賃収入額を計上するのが本来の意図と推計し、R2年表ではH23年表の計上方法に従うこととする。</t>
    <rPh sb="0" eb="2">
      <t>カイソウ</t>
    </rPh>
    <rPh sb="2" eb="5">
      <t>カコウヒン</t>
    </rPh>
    <rPh sb="6" eb="9">
      <t>カコウヒン</t>
    </rPh>
    <rPh sb="9" eb="10">
      <t>フク</t>
    </rPh>
    <rPh sb="13" eb="16">
      <t>セイゾウヒン</t>
    </rPh>
    <rPh sb="16" eb="18">
      <t>シュッカ</t>
    </rPh>
    <rPh sb="18" eb="19">
      <t>ガク</t>
    </rPh>
    <rPh sb="20" eb="23">
      <t>セイゾウヒン</t>
    </rPh>
    <rPh sb="23" eb="25">
      <t>ザイコ</t>
    </rPh>
    <rPh sb="25" eb="26">
      <t>ガク</t>
    </rPh>
    <rPh sb="26" eb="28">
      <t>ゾウゲン</t>
    </rPh>
    <rPh sb="29" eb="32">
      <t>ハンセイヒン</t>
    </rPh>
    <rPh sb="33" eb="35">
      <t>シカカリ</t>
    </rPh>
    <rPh sb="35" eb="36">
      <t>ヒン</t>
    </rPh>
    <rPh sb="40" eb="41">
      <t>タ</t>
    </rPh>
    <rPh sb="41" eb="43">
      <t>スイサン</t>
    </rPh>
    <rPh sb="43" eb="45">
      <t>ショクヒン</t>
    </rPh>
    <rPh sb="46" eb="48">
      <t>イッカツ</t>
    </rPh>
    <rPh sb="49" eb="50">
      <t>シタ</t>
    </rPh>
    <rPh sb="50" eb="51">
      <t>ギョウ</t>
    </rPh>
    <rPh sb="52" eb="54">
      <t>スイケイ</t>
    </rPh>
    <rPh sb="196" eb="198">
      <t>スイケイ</t>
    </rPh>
    <phoneticPr fontId="14"/>
  </si>
  <si>
    <t>「他に分類されない水産食料品」と「その他の水産食料品（賃加工）」の生産額で按分（近経局の推計方法に準拠）→27年表も同様とする→R2年表は上記「海藻加工品」と同様。</t>
    <rPh sb="1" eb="2">
      <t>タ</t>
    </rPh>
    <rPh sb="3" eb="5">
      <t>ブンルイ</t>
    </rPh>
    <rPh sb="9" eb="11">
      <t>スイサン</t>
    </rPh>
    <rPh sb="11" eb="14">
      <t>ショクリョウヒン</t>
    </rPh>
    <rPh sb="19" eb="20">
      <t>タ</t>
    </rPh>
    <rPh sb="21" eb="23">
      <t>スイサン</t>
    </rPh>
    <rPh sb="23" eb="26">
      <t>ショクリョウヒン</t>
    </rPh>
    <rPh sb="27" eb="30">
      <t>チンカコウ</t>
    </rPh>
    <rPh sb="33" eb="36">
      <t>セイサンガク</t>
    </rPh>
    <rPh sb="37" eb="39">
      <t>アンブン</t>
    </rPh>
    <rPh sb="40" eb="41">
      <t>キン</t>
    </rPh>
    <rPh sb="41" eb="42">
      <t>ケイ</t>
    </rPh>
    <rPh sb="42" eb="43">
      <t>キョク</t>
    </rPh>
    <rPh sb="44" eb="46">
      <t>スイケイ</t>
    </rPh>
    <rPh sb="46" eb="48">
      <t>ホウホウ</t>
    </rPh>
    <rPh sb="49" eb="51">
      <t>ジュンキョ</t>
    </rPh>
    <rPh sb="55" eb="56">
      <t>ネン</t>
    </rPh>
    <rPh sb="56" eb="57">
      <t>ヒョウ</t>
    </rPh>
    <rPh sb="58" eb="60">
      <t>ドウヨウ</t>
    </rPh>
    <rPh sb="66" eb="67">
      <t>ネン</t>
    </rPh>
    <rPh sb="67" eb="68">
      <t>ヒョウ</t>
    </rPh>
    <rPh sb="69" eb="71">
      <t>ジョウキ</t>
    </rPh>
    <rPh sb="72" eb="74">
      <t>カイソウ</t>
    </rPh>
    <rPh sb="74" eb="77">
      <t>カコウヒン</t>
    </rPh>
    <rPh sb="79" eb="81">
      <t>ドウヨウ</t>
    </rPh>
    <phoneticPr fontId="14"/>
  </si>
  <si>
    <t>　副産物（その他の水産食料品）</t>
    <phoneticPr fontId="5"/>
  </si>
  <si>
    <t>「その他の水産食料品」一括の生産額で按分→27年表、R2年表も同様とする</t>
    <rPh sb="3" eb="4">
      <t>タ</t>
    </rPh>
    <rPh sb="5" eb="7">
      <t>スイサン</t>
    </rPh>
    <rPh sb="7" eb="10">
      <t>ショクリョウヒン</t>
    </rPh>
    <rPh sb="11" eb="13">
      <t>イッカツ</t>
    </rPh>
    <rPh sb="14" eb="17">
      <t>セイサンガク</t>
    </rPh>
    <rPh sb="18" eb="20">
      <t>アンブン</t>
    </rPh>
    <rPh sb="23" eb="24">
      <t>ネン</t>
    </rPh>
    <rPh sb="24" eb="25">
      <t>ヒョウ</t>
    </rPh>
    <rPh sb="28" eb="29">
      <t>ネン</t>
    </rPh>
    <rPh sb="29" eb="30">
      <t>ヒョウ</t>
    </rPh>
    <rPh sb="31" eb="33">
      <t>ドウヨウ</t>
    </rPh>
    <phoneticPr fontId="14"/>
  </si>
  <si>
    <t>「その他の水産食料品」の半製品・仕掛品から直接入力</t>
    <rPh sb="3" eb="4">
      <t>タ</t>
    </rPh>
    <rPh sb="5" eb="7">
      <t>スイサン</t>
    </rPh>
    <rPh sb="7" eb="10">
      <t>ショクリョウヒン</t>
    </rPh>
    <rPh sb="12" eb="15">
      <t>ハンセイヒン</t>
    </rPh>
    <rPh sb="16" eb="18">
      <t>シカケ</t>
    </rPh>
    <rPh sb="18" eb="19">
      <t>ヒン</t>
    </rPh>
    <rPh sb="21" eb="23">
      <t>チョクセツ</t>
    </rPh>
    <rPh sb="23" eb="25">
      <t>ニュウリョク</t>
    </rPh>
    <phoneticPr fontId="14"/>
  </si>
  <si>
    <t>P：食糧統計年報、米麦データブック、米麦等の取引価格調査、原課業務資料
Q：米穀の需給及び価格の安定に関する基本指針、原課業務資料</t>
    <rPh sb="2" eb="4">
      <t>ショクリョウ</t>
    </rPh>
    <rPh sb="4" eb="6">
      <t>トウケイ</t>
    </rPh>
    <rPh sb="6" eb="8">
      <t>ネンポウ</t>
    </rPh>
    <rPh sb="9" eb="10">
      <t>コメ</t>
    </rPh>
    <rPh sb="10" eb="11">
      <t>ムギ</t>
    </rPh>
    <rPh sb="18" eb="19">
      <t>コメ</t>
    </rPh>
    <rPh sb="19" eb="20">
      <t>ムギ</t>
    </rPh>
    <rPh sb="20" eb="21">
      <t>ナド</t>
    </rPh>
    <rPh sb="22" eb="24">
      <t>トリヒキ</t>
    </rPh>
    <rPh sb="24" eb="26">
      <t>カカク</t>
    </rPh>
    <rPh sb="26" eb="28">
      <t>チョウサ</t>
    </rPh>
    <rPh sb="29" eb="31">
      <t>ゲンカ</t>
    </rPh>
    <rPh sb="31" eb="33">
      <t>ギョウム</t>
    </rPh>
    <rPh sb="33" eb="35">
      <t>シリョウ</t>
    </rPh>
    <rPh sb="38" eb="40">
      <t>ベイコク</t>
    </rPh>
    <rPh sb="41" eb="43">
      <t>ジュキュウ</t>
    </rPh>
    <rPh sb="43" eb="44">
      <t>オヨ</t>
    </rPh>
    <rPh sb="45" eb="47">
      <t>カカク</t>
    </rPh>
    <rPh sb="48" eb="50">
      <t>アンテイ</t>
    </rPh>
    <rPh sb="51" eb="52">
      <t>カン</t>
    </rPh>
    <rPh sb="54" eb="56">
      <t>キホン</t>
    </rPh>
    <rPh sb="56" eb="58">
      <t>シシン</t>
    </rPh>
    <rPh sb="59" eb="61">
      <t>ゲンカ</t>
    </rPh>
    <rPh sb="61" eb="63">
      <t>ギョウム</t>
    </rPh>
    <rPh sb="63" eb="65">
      <t>シリョウ</t>
    </rPh>
    <phoneticPr fontId="14"/>
  </si>
  <si>
    <t xml:space="preserve"> 精米</t>
    <phoneticPr fontId="5"/>
  </si>
  <si>
    <t>R2生産農業所得統計</t>
    <rPh sb="2" eb="4">
      <t>セイサン</t>
    </rPh>
    <rPh sb="4" eb="6">
      <t>ノウギョウ</t>
    </rPh>
    <rPh sb="6" eb="8">
      <t>ショトク</t>
    </rPh>
    <rPh sb="8" eb="10">
      <t>トウケイ</t>
    </rPh>
    <phoneticPr fontId="14"/>
  </si>
  <si>
    <t>食料需給表では都道府県別の生産量がとれないので、左記資料の産出額を按分指標とした。</t>
    <rPh sb="0" eb="2">
      <t>ショクリョウ</t>
    </rPh>
    <rPh sb="2" eb="4">
      <t>ジュキュウ</t>
    </rPh>
    <rPh sb="4" eb="5">
      <t>ヒョウ</t>
    </rPh>
    <rPh sb="7" eb="11">
      <t>トドウフケン</t>
    </rPh>
    <rPh sb="11" eb="12">
      <t>ベツ</t>
    </rPh>
    <rPh sb="13" eb="15">
      <t>セイサン</t>
    </rPh>
    <rPh sb="15" eb="16">
      <t>リョウ</t>
    </rPh>
    <rPh sb="24" eb="26">
      <t>サキ</t>
    </rPh>
    <rPh sb="26" eb="28">
      <t>シリョウ</t>
    </rPh>
    <rPh sb="29" eb="32">
      <t>サンシュツガク</t>
    </rPh>
    <rPh sb="33" eb="35">
      <t>アンブン</t>
    </rPh>
    <rPh sb="35" eb="37">
      <t>シヒョウ</t>
    </rPh>
    <phoneticPr fontId="14"/>
  </si>
  <si>
    <t xml:space="preserve"> その他の精穀</t>
    <phoneticPr fontId="5"/>
  </si>
  <si>
    <t>P：原課業務資料
Q：原課業務資料、米麦加工食品等の現況（日本米類研究会）</t>
    <rPh sb="2" eb="4">
      <t>ゲンカ</t>
    </rPh>
    <rPh sb="4" eb="6">
      <t>ギョウム</t>
    </rPh>
    <rPh sb="6" eb="8">
      <t>シリョウ</t>
    </rPh>
    <rPh sb="11" eb="13">
      <t>ゲンカ</t>
    </rPh>
    <rPh sb="13" eb="15">
      <t>ギョウム</t>
    </rPh>
    <rPh sb="15" eb="17">
      <t>シリョウ</t>
    </rPh>
    <rPh sb="18" eb="19">
      <t>コメ</t>
    </rPh>
    <rPh sb="19" eb="20">
      <t>ムギ</t>
    </rPh>
    <rPh sb="20" eb="22">
      <t>カコウ</t>
    </rPh>
    <rPh sb="22" eb="24">
      <t>ショクヒン</t>
    </rPh>
    <rPh sb="24" eb="25">
      <t>ナド</t>
    </rPh>
    <rPh sb="26" eb="28">
      <t>ゲンキョウ</t>
    </rPh>
    <rPh sb="29" eb="31">
      <t>ニホン</t>
    </rPh>
    <rPh sb="31" eb="32">
      <t>コメ</t>
    </rPh>
    <rPh sb="32" eb="33">
      <t>ルイ</t>
    </rPh>
    <rPh sb="33" eb="36">
      <t>ケンキュウカイ</t>
    </rPh>
    <phoneticPr fontId="14"/>
  </si>
  <si>
    <t>左記資料から直接入力</t>
  </si>
  <si>
    <t xml:space="preserve"> 小麦粉</t>
    <phoneticPr fontId="5"/>
  </si>
  <si>
    <t>Q,V：米麦等加工食品の現況</t>
    <rPh sb="4" eb="5">
      <t>コメ</t>
    </rPh>
    <rPh sb="5" eb="7">
      <t>ムギナド</t>
    </rPh>
    <rPh sb="7" eb="9">
      <t>カコウ</t>
    </rPh>
    <rPh sb="9" eb="11">
      <t>ショクヒン</t>
    </rPh>
    <rPh sb="12" eb="14">
      <t>ゲンキョウ</t>
    </rPh>
    <phoneticPr fontId="14"/>
  </si>
  <si>
    <t>H17で使っていた食料統計年報は現在は発行されていないのでH23以降は左記資料で按分</t>
    <rPh sb="4" eb="5">
      <t>ツカ</t>
    </rPh>
    <rPh sb="9" eb="11">
      <t>ショクリョウ</t>
    </rPh>
    <rPh sb="11" eb="13">
      <t>トウケイ</t>
    </rPh>
    <rPh sb="13" eb="15">
      <t>ネンポウ</t>
    </rPh>
    <rPh sb="16" eb="18">
      <t>ゲンザイ</t>
    </rPh>
    <rPh sb="19" eb="21">
      <t>ハッコウ</t>
    </rPh>
    <rPh sb="32" eb="34">
      <t>イコウ</t>
    </rPh>
    <rPh sb="35" eb="37">
      <t>サキ</t>
    </rPh>
    <rPh sb="37" eb="39">
      <t>シリョウ</t>
    </rPh>
    <rPh sb="40" eb="42">
      <t>アンブン</t>
    </rPh>
    <phoneticPr fontId="14"/>
  </si>
  <si>
    <t xml:space="preserve"> その他の製粉</t>
    <phoneticPr fontId="5"/>
  </si>
  <si>
    <t>P：原課業務資料、食糧統計年報、日本貿易月評、こんにゃくに関する資料
Q：原課業務資料、食糧需給表、日本貿易月報（日本関税協会）、米麦加工食品等の現況、こんにゅあくに関する資料、酒類食品統計年報</t>
    <rPh sb="2" eb="4">
      <t>ゲンカ</t>
    </rPh>
    <rPh sb="4" eb="6">
      <t>ギョウム</t>
    </rPh>
    <rPh sb="6" eb="8">
      <t>シリョウ</t>
    </rPh>
    <rPh sb="9" eb="11">
      <t>ショクリョウ</t>
    </rPh>
    <rPh sb="11" eb="13">
      <t>トウケイ</t>
    </rPh>
    <rPh sb="13" eb="15">
      <t>ネンポウ</t>
    </rPh>
    <rPh sb="16" eb="18">
      <t>ニホン</t>
    </rPh>
    <rPh sb="18" eb="20">
      <t>ボウエキ</t>
    </rPh>
    <rPh sb="20" eb="22">
      <t>ゲッピョウ</t>
    </rPh>
    <rPh sb="29" eb="30">
      <t>カン</t>
    </rPh>
    <rPh sb="32" eb="34">
      <t>シリョウ</t>
    </rPh>
    <rPh sb="37" eb="39">
      <t>ゲンカ</t>
    </rPh>
    <rPh sb="39" eb="41">
      <t>ギョウム</t>
    </rPh>
    <rPh sb="41" eb="43">
      <t>シリョウ</t>
    </rPh>
    <rPh sb="44" eb="46">
      <t>ショクリョウ</t>
    </rPh>
    <rPh sb="46" eb="49">
      <t>ジュキュウヒョウ</t>
    </rPh>
    <rPh sb="50" eb="52">
      <t>ニホン</t>
    </rPh>
    <rPh sb="52" eb="54">
      <t>ボウエキ</t>
    </rPh>
    <rPh sb="54" eb="56">
      <t>ゲッポウ</t>
    </rPh>
    <rPh sb="57" eb="59">
      <t>ニホン</t>
    </rPh>
    <rPh sb="59" eb="61">
      <t>カンゼイ</t>
    </rPh>
    <rPh sb="61" eb="63">
      <t>キョウカイ</t>
    </rPh>
    <rPh sb="65" eb="66">
      <t>コメ</t>
    </rPh>
    <rPh sb="66" eb="67">
      <t>ムギ</t>
    </rPh>
    <rPh sb="67" eb="69">
      <t>カコウ</t>
    </rPh>
    <rPh sb="69" eb="72">
      <t>ショクヒンナド</t>
    </rPh>
    <rPh sb="73" eb="75">
      <t>ゲンキョウ</t>
    </rPh>
    <rPh sb="83" eb="84">
      <t>カン</t>
    </rPh>
    <rPh sb="86" eb="88">
      <t>シリョウ</t>
    </rPh>
    <rPh sb="89" eb="90">
      <t>サケ</t>
    </rPh>
    <rPh sb="90" eb="91">
      <t>ルイ</t>
    </rPh>
    <rPh sb="91" eb="93">
      <t>ショクヒン</t>
    </rPh>
    <rPh sb="93" eb="95">
      <t>トウケイ</t>
    </rPh>
    <rPh sb="95" eb="97">
      <t>ネンポウ</t>
    </rPh>
    <phoneticPr fontId="14"/>
  </si>
  <si>
    <t>経セン組替表からの直接入力。マニュアルどおり</t>
    <rPh sb="0" eb="1">
      <t>ケイ</t>
    </rPh>
    <rPh sb="3" eb="5">
      <t>クミカエ</t>
    </rPh>
    <rPh sb="5" eb="6">
      <t>ヒョウ</t>
    </rPh>
    <rPh sb="9" eb="11">
      <t>チョクセツ</t>
    </rPh>
    <rPh sb="11" eb="13">
      <t>ニュウリョク</t>
    </rPh>
    <phoneticPr fontId="14"/>
  </si>
  <si>
    <t>　　小麦製粉かす</t>
    <phoneticPr fontId="5"/>
  </si>
  <si>
    <t>　　こんにゃく粉</t>
    <phoneticPr fontId="5"/>
  </si>
  <si>
    <t>　　他に分類されない精穀・製粉品</t>
    <phoneticPr fontId="5"/>
  </si>
  <si>
    <t>Q:米麦加工食品等の現況
P：原課業務資料、酒類食品統計年報</t>
    <rPh sb="2" eb="3">
      <t>コメ</t>
    </rPh>
    <rPh sb="3" eb="4">
      <t>ムギ</t>
    </rPh>
    <rPh sb="4" eb="6">
      <t>カコウ</t>
    </rPh>
    <rPh sb="6" eb="9">
      <t>ショクヒンナド</t>
    </rPh>
    <rPh sb="10" eb="12">
      <t>ゲンキョウ</t>
    </rPh>
    <rPh sb="15" eb="17">
      <t>ゲンカ</t>
    </rPh>
    <rPh sb="17" eb="19">
      <t>ギョウム</t>
    </rPh>
    <rPh sb="19" eb="21">
      <t>シリョウ</t>
    </rPh>
    <rPh sb="22" eb="23">
      <t>サケ</t>
    </rPh>
    <rPh sb="23" eb="24">
      <t>ルイ</t>
    </rPh>
    <rPh sb="24" eb="26">
      <t>ショクヒン</t>
    </rPh>
    <rPh sb="26" eb="28">
      <t>トウケイ</t>
    </rPh>
    <rPh sb="28" eb="30">
      <t>ネンポウ</t>
    </rPh>
    <phoneticPr fontId="14"/>
  </si>
  <si>
    <t>　即席めん類</t>
    <phoneticPr fontId="5"/>
  </si>
  <si>
    <t>食品産業動態調査には県別のデータがないし、H17表でも工業統計の組替を使っていたことから、経済センサス組替表の数値を按分指標として利用した。そのままCTとしないのは「乳製品」と同じ理由</t>
    <rPh sb="0" eb="2">
      <t>ショクヒン</t>
    </rPh>
    <rPh sb="2" eb="4">
      <t>サンギョウ</t>
    </rPh>
    <rPh sb="4" eb="6">
      <t>ドウタイ</t>
    </rPh>
    <rPh sb="6" eb="8">
      <t>チョウサ</t>
    </rPh>
    <rPh sb="10" eb="11">
      <t>ケン</t>
    </rPh>
    <rPh sb="11" eb="12">
      <t>ベツ</t>
    </rPh>
    <rPh sb="24" eb="25">
      <t>ヒョウ</t>
    </rPh>
    <rPh sb="27" eb="29">
      <t>コウギョウ</t>
    </rPh>
    <rPh sb="29" eb="31">
      <t>トウケイ</t>
    </rPh>
    <rPh sb="32" eb="34">
      <t>クミカエ</t>
    </rPh>
    <rPh sb="35" eb="36">
      <t>ツカ</t>
    </rPh>
    <rPh sb="45" eb="47">
      <t>ケイザイ</t>
    </rPh>
    <rPh sb="51" eb="53">
      <t>クミカエ</t>
    </rPh>
    <rPh sb="53" eb="54">
      <t>ヒョウ</t>
    </rPh>
    <rPh sb="55" eb="57">
      <t>スウチ</t>
    </rPh>
    <rPh sb="58" eb="60">
      <t>アンブン</t>
    </rPh>
    <rPh sb="60" eb="62">
      <t>シヒョウ</t>
    </rPh>
    <rPh sb="65" eb="67">
      <t>リヨウ</t>
    </rPh>
    <rPh sb="83" eb="86">
      <t>ニュウセイヒン</t>
    </rPh>
    <rPh sb="88" eb="89">
      <t>オナ</t>
    </rPh>
    <rPh sb="90" eb="92">
      <t>リユウ</t>
    </rPh>
    <phoneticPr fontId="14"/>
  </si>
  <si>
    <t>　和風めん</t>
    <phoneticPr fontId="5"/>
  </si>
  <si>
    <t>　洋風めん</t>
    <phoneticPr fontId="5"/>
  </si>
  <si>
    <t>　中華めん</t>
    <phoneticPr fontId="5"/>
  </si>
  <si>
    <t>　農業経営体生産分（めん類）</t>
    <phoneticPr fontId="5"/>
  </si>
  <si>
    <t>農業経営体のパン・めん製品年間販売額を１／２したものを国ＣＴとしているようだ。それを農業経営体の従業者数で按分。</t>
    <rPh sb="0" eb="2">
      <t>ノウギョウ</t>
    </rPh>
    <rPh sb="2" eb="4">
      <t>ケイエイ</t>
    </rPh>
    <rPh sb="4" eb="5">
      <t>タイ</t>
    </rPh>
    <rPh sb="11" eb="13">
      <t>セイヒン</t>
    </rPh>
    <rPh sb="13" eb="15">
      <t>ネンカン</t>
    </rPh>
    <rPh sb="15" eb="17">
      <t>ハンバイ</t>
    </rPh>
    <rPh sb="17" eb="18">
      <t>ガク</t>
    </rPh>
    <rPh sb="27" eb="28">
      <t>クニ</t>
    </rPh>
    <rPh sb="42" eb="44">
      <t>ノウギョウ</t>
    </rPh>
    <rPh sb="44" eb="46">
      <t>ケイエイ</t>
    </rPh>
    <rPh sb="46" eb="47">
      <t>タイ</t>
    </rPh>
    <rPh sb="48" eb="49">
      <t>ジュウ</t>
    </rPh>
    <rPh sb="49" eb="52">
      <t>ギョウシャスウ</t>
    </rPh>
    <rPh sb="53" eb="55">
      <t>アンブン</t>
    </rPh>
    <phoneticPr fontId="14"/>
  </si>
  <si>
    <t>　半製品及び仕掛品（めん類）</t>
    <phoneticPr fontId="5"/>
  </si>
  <si>
    <t>Q：米麦加工食品等の現況
P：経済計算</t>
    <rPh sb="2" eb="3">
      <t>コメ</t>
    </rPh>
    <rPh sb="3" eb="4">
      <t>ムギ</t>
    </rPh>
    <rPh sb="4" eb="6">
      <t>カコウ</t>
    </rPh>
    <rPh sb="6" eb="9">
      <t>ショクヒンナド</t>
    </rPh>
    <rPh sb="10" eb="12">
      <t>ゲンキョウ</t>
    </rPh>
    <rPh sb="15" eb="17">
      <t>ケイザイ</t>
    </rPh>
    <rPh sb="17" eb="19">
      <t>ケイサン</t>
    </rPh>
    <phoneticPr fontId="14"/>
  </si>
  <si>
    <t xml:space="preserve">  食パン</t>
    <phoneticPr fontId="5"/>
  </si>
  <si>
    <t xml:space="preserve">  菓子パン（イーストドーナッツを含む）</t>
    <phoneticPr fontId="5"/>
  </si>
  <si>
    <t xml:space="preserve">  調理パン、サンドイッチ</t>
    <phoneticPr fontId="5"/>
  </si>
  <si>
    <t xml:space="preserve">  製造小売分（パン類）</t>
    <phoneticPr fontId="5"/>
  </si>
  <si>
    <t>経セン組替第９表</t>
    <rPh sb="0" eb="1">
      <t>ケイ</t>
    </rPh>
    <rPh sb="3" eb="5">
      <t>クミカエ</t>
    </rPh>
    <rPh sb="5" eb="6">
      <t>ダイ</t>
    </rPh>
    <rPh sb="7" eb="8">
      <t>ヒョウ</t>
    </rPh>
    <phoneticPr fontId="14"/>
  </si>
  <si>
    <t>経セン組替第９表の品目コード5863が「パン（製造）」に該当する。しかし、調理パンはここに含まれず、5895調理品に含まれてしまっているので、パン（製造）をもってＣＴとすることができない。仕方がないので国ＣＴをパン（製造）の生産額で按分した。なお、生産額を用いるのは1119-03惣菜・すし・弁当の製造小売の箇所でそのように記載があるため。→R2年表も同様とする。</t>
    <rPh sb="0" eb="1">
      <t>ケイ</t>
    </rPh>
    <rPh sb="3" eb="5">
      <t>クミカエ</t>
    </rPh>
    <rPh sb="5" eb="6">
      <t>ダイ</t>
    </rPh>
    <rPh sb="7" eb="8">
      <t>ヒョウ</t>
    </rPh>
    <rPh sb="9" eb="11">
      <t>ヒンモク</t>
    </rPh>
    <rPh sb="23" eb="25">
      <t>セイゾウ</t>
    </rPh>
    <rPh sb="28" eb="30">
      <t>ガイトウ</t>
    </rPh>
    <rPh sb="37" eb="39">
      <t>チョウリ</t>
    </rPh>
    <rPh sb="45" eb="46">
      <t>フク</t>
    </rPh>
    <rPh sb="54" eb="56">
      <t>チョウリ</t>
    </rPh>
    <rPh sb="56" eb="57">
      <t>ヒン</t>
    </rPh>
    <rPh sb="58" eb="59">
      <t>フク</t>
    </rPh>
    <rPh sb="74" eb="76">
      <t>セイゾウ</t>
    </rPh>
    <rPh sb="94" eb="96">
      <t>シカタ</t>
    </rPh>
    <rPh sb="101" eb="102">
      <t>クニ</t>
    </rPh>
    <rPh sb="108" eb="110">
      <t>セイゾウ</t>
    </rPh>
    <rPh sb="112" eb="115">
      <t>セイサンガク</t>
    </rPh>
    <rPh sb="116" eb="118">
      <t>アンブン</t>
    </rPh>
    <rPh sb="124" eb="127">
      <t>セイサンガク</t>
    </rPh>
    <rPh sb="128" eb="129">
      <t>モチ</t>
    </rPh>
    <rPh sb="140" eb="142">
      <t>ソウザイ</t>
    </rPh>
    <rPh sb="146" eb="148">
      <t>ベントウ</t>
    </rPh>
    <rPh sb="149" eb="151">
      <t>セイゾウ</t>
    </rPh>
    <rPh sb="151" eb="153">
      <t>コウリ</t>
    </rPh>
    <rPh sb="154" eb="156">
      <t>カショ</t>
    </rPh>
    <rPh sb="162" eb="164">
      <t>キサイ</t>
    </rPh>
    <rPh sb="173" eb="174">
      <t>ネン</t>
    </rPh>
    <rPh sb="174" eb="175">
      <t>ヒョウ</t>
    </rPh>
    <rPh sb="176" eb="178">
      <t>ドウヨウ</t>
    </rPh>
    <phoneticPr fontId="14"/>
  </si>
  <si>
    <t xml:space="preserve">  農業経営体生産分（パン類）</t>
    <phoneticPr fontId="5"/>
  </si>
  <si>
    <t xml:space="preserve">  半製品及び仕掛品（パン類）</t>
    <phoneticPr fontId="5"/>
  </si>
  <si>
    <t>Q、V：菓子関係指標、冷凍食品に関する諸統計、「アイスクリーム類及び氷菓」販売実績　V／Q</t>
    <rPh sb="4" eb="6">
      <t>カシ</t>
    </rPh>
    <rPh sb="6" eb="8">
      <t>カンケイ</t>
    </rPh>
    <rPh sb="8" eb="10">
      <t>シヒョウ</t>
    </rPh>
    <rPh sb="11" eb="13">
      <t>レイトウ</t>
    </rPh>
    <rPh sb="13" eb="15">
      <t>ショクヒン</t>
    </rPh>
    <rPh sb="16" eb="17">
      <t>カン</t>
    </rPh>
    <rPh sb="19" eb="20">
      <t>ショ</t>
    </rPh>
    <rPh sb="20" eb="22">
      <t>トウケイ</t>
    </rPh>
    <rPh sb="31" eb="32">
      <t>ルイ</t>
    </rPh>
    <rPh sb="32" eb="33">
      <t>オヨ</t>
    </rPh>
    <rPh sb="34" eb="36">
      <t>ヒョウカ</t>
    </rPh>
    <rPh sb="37" eb="39">
      <t>ハンバイ</t>
    </rPh>
    <rPh sb="39" eb="41">
      <t>ジッセキ</t>
    </rPh>
    <phoneticPr fontId="14"/>
  </si>
  <si>
    <t>経セン組替の細品目と産連の表章が一致しないので「菓子類」でまとめてとった。</t>
    <rPh sb="0" eb="1">
      <t>ケイ</t>
    </rPh>
    <rPh sb="3" eb="5">
      <t>クミカエ</t>
    </rPh>
    <rPh sb="6" eb="7">
      <t>サイ</t>
    </rPh>
    <rPh sb="7" eb="9">
      <t>ヒンモク</t>
    </rPh>
    <rPh sb="10" eb="11">
      <t>サン</t>
    </rPh>
    <rPh sb="11" eb="12">
      <t>レン</t>
    </rPh>
    <rPh sb="13" eb="14">
      <t>ヒョウ</t>
    </rPh>
    <rPh sb="14" eb="15">
      <t>ショウ</t>
    </rPh>
    <rPh sb="16" eb="18">
      <t>イッチ</t>
    </rPh>
    <rPh sb="24" eb="26">
      <t>カシ</t>
    </rPh>
    <rPh sb="26" eb="27">
      <t>ルイ</t>
    </rPh>
    <phoneticPr fontId="14"/>
  </si>
  <si>
    <t>近経局資料では左記資料のどこを見るか書かれていないが、同じく1119-03そう菜・すし・弁当の製造小売の箇所の説明で、生産額を用いるように記載されているのでそれに準じる。→27年表も同様とする</t>
    <rPh sb="0" eb="1">
      <t>キン</t>
    </rPh>
    <rPh sb="1" eb="2">
      <t>ケイ</t>
    </rPh>
    <rPh sb="2" eb="3">
      <t>キョク</t>
    </rPh>
    <rPh sb="3" eb="5">
      <t>シリョウ</t>
    </rPh>
    <rPh sb="7" eb="9">
      <t>サキ</t>
    </rPh>
    <rPh sb="9" eb="11">
      <t>シリョウ</t>
    </rPh>
    <rPh sb="15" eb="16">
      <t>ミ</t>
    </rPh>
    <rPh sb="18" eb="19">
      <t>カ</t>
    </rPh>
    <rPh sb="27" eb="28">
      <t>オナ</t>
    </rPh>
    <rPh sb="39" eb="40">
      <t>ナ</t>
    </rPh>
    <rPh sb="44" eb="46">
      <t>ベントウ</t>
    </rPh>
    <rPh sb="47" eb="49">
      <t>セイゾウ</t>
    </rPh>
    <rPh sb="49" eb="51">
      <t>コウリ</t>
    </rPh>
    <rPh sb="52" eb="54">
      <t>カショ</t>
    </rPh>
    <rPh sb="55" eb="57">
      <t>セツメイ</t>
    </rPh>
    <rPh sb="59" eb="62">
      <t>セイサンガク</t>
    </rPh>
    <rPh sb="63" eb="64">
      <t>モチ</t>
    </rPh>
    <rPh sb="69" eb="71">
      <t>キサイ</t>
    </rPh>
    <rPh sb="81" eb="82">
      <t>ジュン</t>
    </rPh>
    <rPh sb="88" eb="89">
      <t>ネン</t>
    </rPh>
    <rPh sb="89" eb="90">
      <t>ヒョウ</t>
    </rPh>
    <rPh sb="91" eb="93">
      <t>ドウヨウ</t>
    </rPh>
    <phoneticPr fontId="14"/>
  </si>
  <si>
    <t>農業経営体の菓子製品年間販売額（左表の県生産額のセルの式に直接入力している）を従業者数で按分</t>
    <rPh sb="0" eb="2">
      <t>ノウギョウ</t>
    </rPh>
    <rPh sb="2" eb="4">
      <t>ケイエイ</t>
    </rPh>
    <rPh sb="4" eb="5">
      <t>タイ</t>
    </rPh>
    <rPh sb="6" eb="8">
      <t>カシ</t>
    </rPh>
    <rPh sb="8" eb="10">
      <t>セイヒン</t>
    </rPh>
    <rPh sb="10" eb="12">
      <t>ネンカン</t>
    </rPh>
    <rPh sb="12" eb="14">
      <t>ハンバイ</t>
    </rPh>
    <rPh sb="14" eb="15">
      <t>ガク</t>
    </rPh>
    <rPh sb="16" eb="17">
      <t>サ</t>
    </rPh>
    <rPh sb="17" eb="18">
      <t>ヒョウ</t>
    </rPh>
    <rPh sb="19" eb="20">
      <t>ケン</t>
    </rPh>
    <rPh sb="20" eb="23">
      <t>セイサンガク</t>
    </rPh>
    <rPh sb="27" eb="28">
      <t>シキ</t>
    </rPh>
    <rPh sb="29" eb="31">
      <t>チョクセツ</t>
    </rPh>
    <rPh sb="31" eb="33">
      <t>ニュウリョク</t>
    </rPh>
    <rPh sb="39" eb="40">
      <t>ジュウ</t>
    </rPh>
    <rPh sb="40" eb="43">
      <t>ギョウシャスウ</t>
    </rPh>
    <rPh sb="44" eb="46">
      <t>アンブン</t>
    </rPh>
    <phoneticPr fontId="14"/>
  </si>
  <si>
    <t>Q,V　食品産業動態調査報告書、冷凍食品に関連する諸統計、酒類食品統計年報、原課業務資料
P：原課業務資料</t>
    <rPh sb="4" eb="6">
      <t>ショクヒン</t>
    </rPh>
    <rPh sb="6" eb="8">
      <t>サンギョウ</t>
    </rPh>
    <rPh sb="8" eb="10">
      <t>ドウタイ</t>
    </rPh>
    <rPh sb="10" eb="12">
      <t>チョウサ</t>
    </rPh>
    <rPh sb="12" eb="15">
      <t>ホウコクショ</t>
    </rPh>
    <rPh sb="16" eb="18">
      <t>レイトウ</t>
    </rPh>
    <rPh sb="18" eb="20">
      <t>ショクヒン</t>
    </rPh>
    <rPh sb="21" eb="23">
      <t>カンレン</t>
    </rPh>
    <rPh sb="25" eb="26">
      <t>ショ</t>
    </rPh>
    <rPh sb="26" eb="28">
      <t>トウケイ</t>
    </rPh>
    <rPh sb="29" eb="30">
      <t>サケ</t>
    </rPh>
    <rPh sb="30" eb="31">
      <t>ルイ</t>
    </rPh>
    <rPh sb="31" eb="33">
      <t>ショクヒン</t>
    </rPh>
    <rPh sb="33" eb="35">
      <t>トウケイ</t>
    </rPh>
    <rPh sb="35" eb="37">
      <t>ネンポウ</t>
    </rPh>
    <rPh sb="38" eb="40">
      <t>ゲンカ</t>
    </rPh>
    <rPh sb="40" eb="42">
      <t>ギョウム</t>
    </rPh>
    <rPh sb="42" eb="44">
      <t>シリョウ</t>
    </rPh>
    <rPh sb="47" eb="49">
      <t>ゲンカ</t>
    </rPh>
    <rPh sb="49" eb="51">
      <t>ギョウム</t>
    </rPh>
    <rPh sb="51" eb="53">
      <t>シリョウ</t>
    </rPh>
    <phoneticPr fontId="14"/>
  </si>
  <si>
    <t>　野菜缶詰（瓶詰・つぼ詰を含む）</t>
    <phoneticPr fontId="5"/>
  </si>
  <si>
    <t>採用した項目は過去に近経局が示した、１C野菜合計、２A大缶 野菜計、３C野菜計</t>
    <rPh sb="0" eb="2">
      <t>サイヨウ</t>
    </rPh>
    <rPh sb="4" eb="6">
      <t>コウモク</t>
    </rPh>
    <rPh sb="7" eb="9">
      <t>カコ</t>
    </rPh>
    <rPh sb="10" eb="11">
      <t>キン</t>
    </rPh>
    <rPh sb="11" eb="12">
      <t>ケイ</t>
    </rPh>
    <rPh sb="12" eb="13">
      <t>キョク</t>
    </rPh>
    <rPh sb="14" eb="15">
      <t>シメ</t>
    </rPh>
    <rPh sb="20" eb="22">
      <t>ヤサイ</t>
    </rPh>
    <rPh sb="22" eb="24">
      <t>ゴウケイ</t>
    </rPh>
    <rPh sb="27" eb="28">
      <t>ダイ</t>
    </rPh>
    <rPh sb="28" eb="29">
      <t>カン</t>
    </rPh>
    <rPh sb="30" eb="32">
      <t>ヤサイ</t>
    </rPh>
    <rPh sb="32" eb="33">
      <t>ケイ</t>
    </rPh>
    <rPh sb="36" eb="38">
      <t>ヤサイ</t>
    </rPh>
    <rPh sb="38" eb="39">
      <t>ケイ</t>
    </rPh>
    <phoneticPr fontId="14"/>
  </si>
  <si>
    <t>　果実缶詰（瓶詰・つぼ詰を含む）</t>
    <phoneticPr fontId="5"/>
  </si>
  <si>
    <t>採用した項目は過去に近経局が示した、１B果実合計、２A大缶 果実計、３B果実計</t>
    <rPh sb="0" eb="2">
      <t>サイヨウ</t>
    </rPh>
    <rPh sb="4" eb="6">
      <t>コウモク</t>
    </rPh>
    <rPh sb="7" eb="9">
      <t>カコ</t>
    </rPh>
    <rPh sb="10" eb="11">
      <t>キン</t>
    </rPh>
    <rPh sb="11" eb="12">
      <t>ケイ</t>
    </rPh>
    <rPh sb="12" eb="13">
      <t>キョク</t>
    </rPh>
    <rPh sb="14" eb="15">
      <t>シメ</t>
    </rPh>
    <rPh sb="20" eb="22">
      <t>カジツ</t>
    </rPh>
    <rPh sb="22" eb="24">
      <t>ゴウケイ</t>
    </rPh>
    <rPh sb="27" eb="28">
      <t>ダイ</t>
    </rPh>
    <rPh sb="28" eb="29">
      <t>カン</t>
    </rPh>
    <rPh sb="30" eb="32">
      <t>カジツ</t>
    </rPh>
    <rPh sb="32" eb="33">
      <t>ケイ</t>
    </rPh>
    <rPh sb="36" eb="38">
      <t>カジツ</t>
    </rPh>
    <rPh sb="38" eb="39">
      <t>ケイ</t>
    </rPh>
    <phoneticPr fontId="14"/>
  </si>
  <si>
    <t>　その他の缶詰（瓶詰・つぼ詰を含む）</t>
    <phoneticPr fontId="5"/>
  </si>
  <si>
    <t>H27年表のジャム瓶・缶詰がこちらになったと考えて、１Dジャム合計、２A大缶　ジャム計、３Dジャム計</t>
    <rPh sb="3" eb="4">
      <t>ネン</t>
    </rPh>
    <rPh sb="4" eb="5">
      <t>ヒョウ</t>
    </rPh>
    <rPh sb="9" eb="10">
      <t>ビン</t>
    </rPh>
    <rPh sb="11" eb="13">
      <t>カンヅメ</t>
    </rPh>
    <rPh sb="22" eb="23">
      <t>カンガ</t>
    </rPh>
    <rPh sb="31" eb="33">
      <t>ゴウケイ</t>
    </rPh>
    <rPh sb="36" eb="37">
      <t>ダイ</t>
    </rPh>
    <rPh sb="37" eb="38">
      <t>カン</t>
    </rPh>
    <rPh sb="42" eb="43">
      <t>ケイ</t>
    </rPh>
    <rPh sb="49" eb="50">
      <t>ケイ</t>
    </rPh>
    <phoneticPr fontId="5"/>
  </si>
  <si>
    <t>経セン組替表のデータを直接入力</t>
  </si>
  <si>
    <t>　野菜漬物（果実漬物を含む）</t>
    <phoneticPr fontId="5"/>
  </si>
  <si>
    <t>　農業経営体生産分（農産保存食料品）</t>
    <phoneticPr fontId="5"/>
  </si>
  <si>
    <t>　半製品及び仕掛品（農産保存食料品）</t>
    <phoneticPr fontId="5"/>
  </si>
  <si>
    <t>精製糖</t>
    <phoneticPr fontId="5"/>
  </si>
  <si>
    <t>Q：日本貿易月評、原課業務資料
P：原課業務資料</t>
    <rPh sb="2" eb="4">
      <t>ニホン</t>
    </rPh>
    <rPh sb="4" eb="6">
      <t>ボウエキ</t>
    </rPh>
    <rPh sb="6" eb="8">
      <t>ゲッピョウ</t>
    </rPh>
    <rPh sb="9" eb="11">
      <t>ゲンカ</t>
    </rPh>
    <rPh sb="11" eb="13">
      <t>ギョウム</t>
    </rPh>
    <rPh sb="13" eb="15">
      <t>シリョウ</t>
    </rPh>
    <rPh sb="18" eb="20">
      <t>ゲンカ</t>
    </rPh>
    <rPh sb="20" eb="22">
      <t>ギョウム</t>
    </rPh>
    <rPh sb="22" eb="24">
      <t>シリョウ</t>
    </rPh>
    <phoneticPr fontId="14"/>
  </si>
  <si>
    <t>経セン組替集計の精製糖で按分（経セン組替表の細品目と産連の表章が一致しないため）</t>
    <rPh sb="0" eb="1">
      <t>ケイ</t>
    </rPh>
    <rPh sb="3" eb="5">
      <t>クミカエ</t>
    </rPh>
    <rPh sb="5" eb="7">
      <t>シュウケイ</t>
    </rPh>
    <rPh sb="8" eb="10">
      <t>セイセイ</t>
    </rPh>
    <rPh sb="10" eb="11">
      <t>トウ</t>
    </rPh>
    <rPh sb="12" eb="14">
      <t>アンブン</t>
    </rPh>
    <rPh sb="15" eb="16">
      <t>ケイ</t>
    </rPh>
    <rPh sb="18" eb="20">
      <t>クミカエ</t>
    </rPh>
    <rPh sb="20" eb="21">
      <t>ヒョウ</t>
    </rPh>
    <rPh sb="22" eb="23">
      <t>サイ</t>
    </rPh>
    <rPh sb="23" eb="25">
      <t>ヒンモク</t>
    </rPh>
    <rPh sb="26" eb="27">
      <t>サン</t>
    </rPh>
    <rPh sb="27" eb="28">
      <t>レン</t>
    </rPh>
    <rPh sb="29" eb="31">
      <t>ヒョウショウ</t>
    </rPh>
    <rPh sb="32" eb="34">
      <t>イッチ</t>
    </rPh>
    <phoneticPr fontId="14"/>
  </si>
  <si>
    <t>半製品及び仕掛品（精製糖）</t>
    <phoneticPr fontId="5"/>
  </si>
  <si>
    <t xml:space="preserve"> その他の砂糖・副産物</t>
    <phoneticPr fontId="5"/>
  </si>
  <si>
    <t>Q、P　原課業務資料</t>
    <rPh sb="4" eb="6">
      <t>ゲンカ</t>
    </rPh>
    <rPh sb="6" eb="8">
      <t>ギョウム</t>
    </rPh>
    <rPh sb="8" eb="10">
      <t>シリョウ</t>
    </rPh>
    <phoneticPr fontId="14"/>
  </si>
  <si>
    <t>23年表は近畿ＣＴ＝０としている。27年表,R2年表も同様とする。</t>
    <rPh sb="2" eb="3">
      <t>ネン</t>
    </rPh>
    <rPh sb="3" eb="4">
      <t>ヒョウ</t>
    </rPh>
    <rPh sb="5" eb="7">
      <t>キンキ</t>
    </rPh>
    <rPh sb="19" eb="20">
      <t>ネン</t>
    </rPh>
    <rPh sb="20" eb="21">
      <t>ヒョウ</t>
    </rPh>
    <rPh sb="24" eb="25">
      <t>ネン</t>
    </rPh>
    <rPh sb="25" eb="26">
      <t>ヒョウ</t>
    </rPh>
    <rPh sb="27" eb="29">
      <t>ドウヨウ</t>
    </rPh>
    <phoneticPr fontId="14"/>
  </si>
  <si>
    <t>「粗糖」で按分</t>
    <rPh sb="1" eb="2">
      <t>アラ</t>
    </rPh>
    <rPh sb="2" eb="3">
      <t>トウ</t>
    </rPh>
    <rPh sb="5" eb="7">
      <t>アンブン</t>
    </rPh>
    <phoneticPr fontId="14"/>
  </si>
  <si>
    <t>全量北海道</t>
    <phoneticPr fontId="14"/>
  </si>
  <si>
    <t>Q：原課業務資料
P：原課業務資料、経済計算</t>
    <rPh sb="2" eb="4">
      <t>ゲンカ</t>
    </rPh>
    <rPh sb="4" eb="6">
      <t>ギョウム</t>
    </rPh>
    <rPh sb="6" eb="8">
      <t>シリョウ</t>
    </rPh>
    <rPh sb="11" eb="13">
      <t>ゲンカ</t>
    </rPh>
    <rPh sb="13" eb="15">
      <t>ギョウム</t>
    </rPh>
    <rPh sb="15" eb="17">
      <t>シリョウ</t>
    </rPh>
    <rPh sb="18" eb="20">
      <t>ケイザイ</t>
    </rPh>
    <rPh sb="20" eb="22">
      <t>ケイサン</t>
    </rPh>
    <phoneticPr fontId="14"/>
  </si>
  <si>
    <t>経セン組替第５表</t>
  </si>
  <si>
    <t>マニュアルには左記資料から直接取るとは書かれていないので按分指標として利用。</t>
    <rPh sb="7" eb="9">
      <t>サキ</t>
    </rPh>
    <rPh sb="9" eb="11">
      <t>シリョウ</t>
    </rPh>
    <rPh sb="13" eb="15">
      <t>チョクセツ</t>
    </rPh>
    <rPh sb="15" eb="16">
      <t>ト</t>
    </rPh>
    <rPh sb="19" eb="20">
      <t>カ</t>
    </rPh>
    <rPh sb="28" eb="30">
      <t>アンブン</t>
    </rPh>
    <rPh sb="30" eb="32">
      <t>シヒョウ</t>
    </rPh>
    <rPh sb="35" eb="37">
      <t>リヨウ</t>
    </rPh>
    <phoneticPr fontId="14"/>
  </si>
  <si>
    <t>　半製品及び仕掛品（でん粉）</t>
    <phoneticPr fontId="5"/>
  </si>
  <si>
    <t>Q,P：原課業務資料</t>
    <rPh sb="4" eb="6">
      <t>ゲンカ</t>
    </rPh>
    <rPh sb="6" eb="8">
      <t>ギョウム</t>
    </rPh>
    <rPh sb="8" eb="10">
      <t>シリョウ</t>
    </rPh>
    <phoneticPr fontId="14"/>
  </si>
  <si>
    <t>　半製品及び仕掛品（ぶどう糖・水あめ・異性化糖）</t>
    <phoneticPr fontId="5"/>
  </si>
  <si>
    <t>Q:我が国の油脂事情
P:食品工業投入調査、日経商品情報</t>
    <rPh sb="2" eb="3">
      <t>ワ</t>
    </rPh>
    <rPh sb="4" eb="5">
      <t>クニ</t>
    </rPh>
    <rPh sb="6" eb="8">
      <t>ユシ</t>
    </rPh>
    <rPh sb="8" eb="10">
      <t>ジジョウ</t>
    </rPh>
    <rPh sb="13" eb="15">
      <t>ショクヒン</t>
    </rPh>
    <rPh sb="15" eb="17">
      <t>コウギョウ</t>
    </rPh>
    <rPh sb="17" eb="19">
      <t>トウニュウ</t>
    </rPh>
    <rPh sb="19" eb="21">
      <t>チョウサ</t>
    </rPh>
    <rPh sb="22" eb="24">
      <t>ニッケイ</t>
    </rPh>
    <rPh sb="24" eb="26">
      <t>ショウヒン</t>
    </rPh>
    <rPh sb="26" eb="28">
      <t>ジョウホウ</t>
    </rPh>
    <phoneticPr fontId="14"/>
  </si>
  <si>
    <t xml:space="preserve">    大豆油</t>
    <phoneticPr fontId="5"/>
  </si>
  <si>
    <t xml:space="preserve">    混合植物油脂</t>
    <phoneticPr fontId="5"/>
  </si>
  <si>
    <t>199</t>
    <phoneticPr fontId="5"/>
  </si>
  <si>
    <t xml:space="preserve">    その他の植物油脂</t>
    <phoneticPr fontId="5"/>
  </si>
  <si>
    <t>経セン組替表の「その他の動植物油脂」の数値</t>
    <rPh sb="0" eb="1">
      <t>ケイ</t>
    </rPh>
    <rPh sb="3" eb="5">
      <t>クミカエ</t>
    </rPh>
    <rPh sb="5" eb="6">
      <t>ヒョウ</t>
    </rPh>
    <rPh sb="10" eb="11">
      <t>タ</t>
    </rPh>
    <rPh sb="12" eb="15">
      <t>ドウショクブツ</t>
    </rPh>
    <rPh sb="15" eb="17">
      <t>ユシ</t>
    </rPh>
    <rPh sb="19" eb="21">
      <t>スウチ</t>
    </rPh>
    <phoneticPr fontId="5"/>
  </si>
  <si>
    <t xml:space="preserve">    半製品及び仕掛品（植物油脂）</t>
    <phoneticPr fontId="5"/>
  </si>
  <si>
    <t>センサス組替表から直接入力</t>
    <phoneticPr fontId="14"/>
  </si>
  <si>
    <t xml:space="preserve">  その他の動物油脂</t>
    <phoneticPr fontId="5"/>
  </si>
  <si>
    <t xml:space="preserve">  半製品及び仕掛品（動物油脂）</t>
    <phoneticPr fontId="5"/>
  </si>
  <si>
    <t>Q:我が国の油脂事情
P:食品工業投入調査</t>
    <rPh sb="2" eb="3">
      <t>ワ</t>
    </rPh>
    <rPh sb="4" eb="5">
      <t>クニ</t>
    </rPh>
    <rPh sb="6" eb="8">
      <t>ユシ</t>
    </rPh>
    <rPh sb="8" eb="10">
      <t>ジジョウ</t>
    </rPh>
    <rPh sb="13" eb="15">
      <t>ショクヒン</t>
    </rPh>
    <rPh sb="15" eb="17">
      <t>コウギョウ</t>
    </rPh>
    <rPh sb="17" eb="19">
      <t>トウニュウ</t>
    </rPh>
    <rPh sb="19" eb="21">
      <t>チョウサ</t>
    </rPh>
    <phoneticPr fontId="14"/>
  </si>
  <si>
    <t xml:space="preserve">    ショートニング油</t>
    <phoneticPr fontId="5"/>
  </si>
  <si>
    <t xml:space="preserve">    マーガリン</t>
    <phoneticPr fontId="5"/>
  </si>
  <si>
    <t xml:space="preserve">    その他の食用油脂</t>
    <phoneticPr fontId="5"/>
  </si>
  <si>
    <t xml:space="preserve">    半製品及び仕掛品（加工油脂）</t>
    <phoneticPr fontId="5"/>
  </si>
  <si>
    <t>Q:我が国の油脂事情
P:食品工業投入調査、日経商品情報、月刊油脂、関係団体資料</t>
    <rPh sb="2" eb="3">
      <t>ワ</t>
    </rPh>
    <rPh sb="4" eb="5">
      <t>クニ</t>
    </rPh>
    <rPh sb="6" eb="8">
      <t>ユシ</t>
    </rPh>
    <rPh sb="8" eb="10">
      <t>ジジョウ</t>
    </rPh>
    <rPh sb="13" eb="15">
      <t>ショクヒン</t>
    </rPh>
    <rPh sb="15" eb="17">
      <t>コウギョウ</t>
    </rPh>
    <rPh sb="17" eb="19">
      <t>トウニュウ</t>
    </rPh>
    <rPh sb="19" eb="21">
      <t>チョウサ</t>
    </rPh>
    <rPh sb="22" eb="24">
      <t>ニッケイ</t>
    </rPh>
    <rPh sb="24" eb="26">
      <t>ショウヒン</t>
    </rPh>
    <rPh sb="26" eb="28">
      <t>ジョウホウ</t>
    </rPh>
    <rPh sb="29" eb="31">
      <t>ゲッカン</t>
    </rPh>
    <rPh sb="31" eb="33">
      <t>ユシ</t>
    </rPh>
    <rPh sb="34" eb="36">
      <t>カンケイ</t>
    </rPh>
    <rPh sb="36" eb="38">
      <t>ダンタイ</t>
    </rPh>
    <rPh sb="38" eb="40">
      <t>シリョウ</t>
    </rPh>
    <phoneticPr fontId="14"/>
  </si>
  <si>
    <t xml:space="preserve">   植物油搾かす</t>
    <phoneticPr fontId="5"/>
  </si>
  <si>
    <t xml:space="preserve">   半製品及び仕掛品（植物原油かす）</t>
    <phoneticPr fontId="5"/>
  </si>
  <si>
    <t>センサス組替表から直接入力</t>
  </si>
  <si>
    <t>Q：原課業務資料、酒類食品統計年報、関連団体資料
P：原課業務資料、酒類食品統計年報
V:酒類食品統計年報</t>
    <rPh sb="2" eb="4">
      <t>ゲンカ</t>
    </rPh>
    <rPh sb="4" eb="6">
      <t>ギョウム</t>
    </rPh>
    <rPh sb="6" eb="8">
      <t>シリョウ</t>
    </rPh>
    <rPh sb="9" eb="10">
      <t>サケ</t>
    </rPh>
    <rPh sb="10" eb="11">
      <t>ルイ</t>
    </rPh>
    <rPh sb="11" eb="13">
      <t>ショクヒン</t>
    </rPh>
    <rPh sb="13" eb="15">
      <t>トウケイ</t>
    </rPh>
    <rPh sb="15" eb="17">
      <t>ネンポウ</t>
    </rPh>
    <rPh sb="18" eb="20">
      <t>カンレン</t>
    </rPh>
    <rPh sb="20" eb="22">
      <t>ダンタイ</t>
    </rPh>
    <rPh sb="22" eb="24">
      <t>シリョウ</t>
    </rPh>
    <rPh sb="27" eb="29">
      <t>ゲンカ</t>
    </rPh>
    <rPh sb="29" eb="31">
      <t>ギョウム</t>
    </rPh>
    <rPh sb="31" eb="33">
      <t>シリョウ</t>
    </rPh>
    <rPh sb="34" eb="35">
      <t>サケ</t>
    </rPh>
    <rPh sb="35" eb="36">
      <t>ルイ</t>
    </rPh>
    <rPh sb="36" eb="38">
      <t>ショクヒン</t>
    </rPh>
    <rPh sb="38" eb="40">
      <t>トウケイ</t>
    </rPh>
    <rPh sb="40" eb="42">
      <t>ネンポウ</t>
    </rPh>
    <rPh sb="45" eb="46">
      <t>サケ</t>
    </rPh>
    <rPh sb="46" eb="47">
      <t>ルイ</t>
    </rPh>
    <rPh sb="47" eb="49">
      <t>ショクヒン</t>
    </rPh>
    <rPh sb="49" eb="51">
      <t>トウケイ</t>
    </rPh>
    <rPh sb="51" eb="53">
      <t>ネンポウ</t>
    </rPh>
    <phoneticPr fontId="14"/>
  </si>
  <si>
    <t>経セン組替第５表</t>
    <phoneticPr fontId="14"/>
  </si>
  <si>
    <t>国ＣＴでは本部門の下に10桁細品目があるのだが、県では存在しない細品目もあること、さらに、前回表でもこの部門一括で推計していることから、細品目の積上げはせず、部門一括推計とした。経セン組替表からの直接入力
→R2年表では、国CTと経セン組替表の品目が一致しているため、細品目での積み上げに変更。</t>
    <rPh sb="106" eb="107">
      <t>ネン</t>
    </rPh>
    <rPh sb="107" eb="108">
      <t>ヒョウ</t>
    </rPh>
    <rPh sb="111" eb="112">
      <t>クニ</t>
    </rPh>
    <rPh sb="115" eb="116">
      <t>ケイ</t>
    </rPh>
    <rPh sb="118" eb="120">
      <t>クミカエ</t>
    </rPh>
    <rPh sb="120" eb="121">
      <t>ヒョウ</t>
    </rPh>
    <rPh sb="122" eb="124">
      <t>ヒンモク</t>
    </rPh>
    <rPh sb="125" eb="127">
      <t>イッチ</t>
    </rPh>
    <rPh sb="134" eb="135">
      <t>サイ</t>
    </rPh>
    <rPh sb="135" eb="137">
      <t>ヒンモク</t>
    </rPh>
    <rPh sb="139" eb="140">
      <t>ツ</t>
    </rPh>
    <rPh sb="141" eb="142">
      <t>ア</t>
    </rPh>
    <rPh sb="144" eb="146">
      <t>ヘンコウ</t>
    </rPh>
    <phoneticPr fontId="5"/>
  </si>
  <si>
    <t xml:space="preserve">  味そ（粉味そを含む）</t>
    <phoneticPr fontId="5"/>
  </si>
  <si>
    <t xml:space="preserve">  しょう油、食用アミノ酸（粉しょう油、固形しょう油を含む）</t>
    <phoneticPr fontId="5"/>
  </si>
  <si>
    <t xml:space="preserve">  ウスター・中濃・濃厚ソース</t>
    <phoneticPr fontId="5"/>
  </si>
  <si>
    <t xml:space="preserve">  その他のソース類</t>
    <phoneticPr fontId="5"/>
  </si>
  <si>
    <t xml:space="preserve">  食酢</t>
    <phoneticPr fontId="5"/>
  </si>
  <si>
    <t xml:space="preserve">  香辛料（練製のものを含む）</t>
    <phoneticPr fontId="5"/>
  </si>
  <si>
    <t xml:space="preserve">  ルウ類</t>
    <phoneticPr fontId="5"/>
  </si>
  <si>
    <t xml:space="preserve">  グルタミン酸ナトリウム</t>
    <phoneticPr fontId="5"/>
  </si>
  <si>
    <t xml:space="preserve">  他に分類されない調味料</t>
    <phoneticPr fontId="5"/>
  </si>
  <si>
    <t>農業経営体の従業者数で按分。</t>
    <rPh sb="0" eb="2">
      <t>ノウギョウ</t>
    </rPh>
    <rPh sb="2" eb="4">
      <t>ケイエイ</t>
    </rPh>
    <rPh sb="4" eb="5">
      <t>タイ</t>
    </rPh>
    <rPh sb="6" eb="9">
      <t>ジュウギョウシャ</t>
    </rPh>
    <rPh sb="9" eb="10">
      <t>スウ</t>
    </rPh>
    <rPh sb="11" eb="13">
      <t>アンブン</t>
    </rPh>
    <phoneticPr fontId="14"/>
  </si>
  <si>
    <t>Q,V:冷凍食品に関する諸統計</t>
    <rPh sb="4" eb="6">
      <t>レイトウ</t>
    </rPh>
    <rPh sb="6" eb="8">
      <t>ショクヒン</t>
    </rPh>
    <rPh sb="9" eb="10">
      <t>カン</t>
    </rPh>
    <rPh sb="12" eb="13">
      <t>ショ</t>
    </rPh>
    <rPh sb="13" eb="15">
      <t>トウケイ</t>
    </rPh>
    <phoneticPr fontId="14"/>
  </si>
  <si>
    <t>経セン組替表の生産額で按分→27年表、R2年表も同様とする</t>
    <rPh sb="0" eb="1">
      <t>ケイ</t>
    </rPh>
    <rPh sb="3" eb="5">
      <t>クミカエ</t>
    </rPh>
    <rPh sb="5" eb="6">
      <t>ヒョウ</t>
    </rPh>
    <rPh sb="7" eb="10">
      <t>セイサンガク</t>
    </rPh>
    <rPh sb="11" eb="13">
      <t>アンブン</t>
    </rPh>
    <rPh sb="16" eb="17">
      <t>ネン</t>
    </rPh>
    <rPh sb="17" eb="18">
      <t>ヒョウ</t>
    </rPh>
    <rPh sb="21" eb="22">
      <t>ネン</t>
    </rPh>
    <rPh sb="22" eb="23">
      <t>ヒョウ</t>
    </rPh>
    <rPh sb="24" eb="26">
      <t>ドウヨウ</t>
    </rPh>
    <phoneticPr fontId="16"/>
  </si>
  <si>
    <t>センサス組替表から直接入力</t>
    <rPh sb="11" eb="13">
      <t>ニュウリョク</t>
    </rPh>
    <phoneticPr fontId="14"/>
  </si>
  <si>
    <t>採用した項目は過去に近経局が示していた、5レトルト食品合計</t>
    <rPh sb="0" eb="2">
      <t>サイヨウ</t>
    </rPh>
    <rPh sb="7" eb="9">
      <t>カコ</t>
    </rPh>
    <rPh sb="25" eb="27">
      <t>ショクヒン</t>
    </rPh>
    <rPh sb="27" eb="29">
      <t>ゴウケイ</t>
    </rPh>
    <phoneticPr fontId="14"/>
  </si>
  <si>
    <t>　半製品及び仕掛品（レトルト食品）</t>
    <phoneticPr fontId="5"/>
  </si>
  <si>
    <t>V：工業統計組替集計結果、商業統計表</t>
    <rPh sb="2" eb="4">
      <t>コウギョウ</t>
    </rPh>
    <rPh sb="4" eb="6">
      <t>トウケイ</t>
    </rPh>
    <rPh sb="6" eb="7">
      <t>ク</t>
    </rPh>
    <rPh sb="7" eb="8">
      <t>カ</t>
    </rPh>
    <rPh sb="8" eb="10">
      <t>シュウケイ</t>
    </rPh>
    <rPh sb="10" eb="12">
      <t>ケッカ</t>
    </rPh>
    <rPh sb="13" eb="15">
      <t>ショウギョウ</t>
    </rPh>
    <rPh sb="15" eb="18">
      <t>トウケイヒョウ</t>
    </rPh>
    <phoneticPr fontId="14"/>
  </si>
  <si>
    <t xml:space="preserve">  そう（惣）菜</t>
    <phoneticPr fontId="5"/>
  </si>
  <si>
    <t xml:space="preserve">  すし、弁当、おにぎり</t>
    <phoneticPr fontId="5"/>
  </si>
  <si>
    <t xml:space="preserve">  製造小売分（そう菜・すし・弁当）</t>
    <phoneticPr fontId="5"/>
  </si>
  <si>
    <t>経セン組替表第9表「料理品」。経セン組替表からの直接入力。</t>
    <rPh sb="0" eb="1">
      <t>ケイ</t>
    </rPh>
    <rPh sb="3" eb="5">
      <t>クミカエ</t>
    </rPh>
    <rPh sb="5" eb="6">
      <t>ヒョウ</t>
    </rPh>
    <rPh sb="6" eb="7">
      <t>ダイ</t>
    </rPh>
    <rPh sb="8" eb="9">
      <t>ヒョウ</t>
    </rPh>
    <rPh sb="10" eb="12">
      <t>リョウリ</t>
    </rPh>
    <rPh sb="12" eb="13">
      <t>ヒン</t>
    </rPh>
    <rPh sb="15" eb="16">
      <t>ケイ</t>
    </rPh>
    <rPh sb="18" eb="20">
      <t>クミカエ</t>
    </rPh>
    <rPh sb="20" eb="21">
      <t>ヒョウ</t>
    </rPh>
    <rPh sb="24" eb="26">
      <t>チョクセツ</t>
    </rPh>
    <rPh sb="26" eb="28">
      <t>ニュウリョク</t>
    </rPh>
    <phoneticPr fontId="14"/>
  </si>
  <si>
    <t xml:space="preserve">  農業経営体生産分（そう菜・すし・弁当）</t>
    <phoneticPr fontId="5"/>
  </si>
  <si>
    <t>6次産業化総合調査では本項目がどれに当たるのか不明なため、国値按分とする。</t>
    <rPh sb="1" eb="2">
      <t>ジ</t>
    </rPh>
    <rPh sb="2" eb="5">
      <t>サンギョウカ</t>
    </rPh>
    <rPh sb="5" eb="7">
      <t>ソウゴウ</t>
    </rPh>
    <rPh sb="7" eb="9">
      <t>チョウサ</t>
    </rPh>
    <rPh sb="11" eb="12">
      <t>ホン</t>
    </rPh>
    <rPh sb="12" eb="14">
      <t>コウモク</t>
    </rPh>
    <rPh sb="18" eb="19">
      <t>ア</t>
    </rPh>
    <rPh sb="23" eb="25">
      <t>フメイ</t>
    </rPh>
    <rPh sb="29" eb="30">
      <t>クニ</t>
    </rPh>
    <rPh sb="30" eb="31">
      <t>チ</t>
    </rPh>
    <rPh sb="31" eb="33">
      <t>アンブン</t>
    </rPh>
    <phoneticPr fontId="14"/>
  </si>
  <si>
    <t xml:space="preserve">  半製品及び仕掛品（そう菜・すし・弁当）</t>
    <phoneticPr fontId="5"/>
  </si>
  <si>
    <t>Q,P,V:関係団体業務資料、工業統計組替集計結果、関係団体業務資料、冷凍食品に関する諸統計、原課業務資料、食品工業投入調査、菓子関係指標、米麦加工食品等の現況、東京中央卸売市場年報</t>
    <rPh sb="6" eb="8">
      <t>カンケイ</t>
    </rPh>
    <rPh sb="8" eb="10">
      <t>ダンタイ</t>
    </rPh>
    <rPh sb="10" eb="12">
      <t>ギョウム</t>
    </rPh>
    <rPh sb="12" eb="14">
      <t>シリョウ</t>
    </rPh>
    <rPh sb="15" eb="17">
      <t>コウギョウ</t>
    </rPh>
    <rPh sb="17" eb="19">
      <t>トウケイ</t>
    </rPh>
    <rPh sb="19" eb="20">
      <t>ク</t>
    </rPh>
    <rPh sb="20" eb="21">
      <t>カ</t>
    </rPh>
    <rPh sb="21" eb="23">
      <t>シュウケイ</t>
    </rPh>
    <rPh sb="23" eb="25">
      <t>ケッカ</t>
    </rPh>
    <rPh sb="26" eb="28">
      <t>カンケイ</t>
    </rPh>
    <rPh sb="28" eb="30">
      <t>ダンタイ</t>
    </rPh>
    <rPh sb="30" eb="32">
      <t>ギョウム</t>
    </rPh>
    <rPh sb="32" eb="34">
      <t>シリョウ</t>
    </rPh>
    <rPh sb="35" eb="37">
      <t>レイトウ</t>
    </rPh>
    <rPh sb="37" eb="39">
      <t>ショクヒン</t>
    </rPh>
    <rPh sb="40" eb="41">
      <t>カン</t>
    </rPh>
    <rPh sb="43" eb="44">
      <t>ショ</t>
    </rPh>
    <rPh sb="44" eb="46">
      <t>トウケイ</t>
    </rPh>
    <rPh sb="47" eb="49">
      <t>ゲンカ</t>
    </rPh>
    <rPh sb="49" eb="51">
      <t>ギョウム</t>
    </rPh>
    <rPh sb="51" eb="53">
      <t>シリョウ</t>
    </rPh>
    <rPh sb="54" eb="56">
      <t>ショクヒン</t>
    </rPh>
    <rPh sb="56" eb="58">
      <t>コウギョウ</t>
    </rPh>
    <rPh sb="58" eb="60">
      <t>トウニュウ</t>
    </rPh>
    <rPh sb="60" eb="62">
      <t>チョウサ</t>
    </rPh>
    <rPh sb="63" eb="67">
      <t>カシカンケイ</t>
    </rPh>
    <rPh sb="67" eb="69">
      <t>シヒョウ</t>
    </rPh>
    <rPh sb="70" eb="71">
      <t>コメ</t>
    </rPh>
    <rPh sb="71" eb="72">
      <t>ムギ</t>
    </rPh>
    <rPh sb="72" eb="74">
      <t>カコウ</t>
    </rPh>
    <rPh sb="74" eb="77">
      <t>ショクヒンナド</t>
    </rPh>
    <rPh sb="78" eb="80">
      <t>ゲンキョウ</t>
    </rPh>
    <rPh sb="81" eb="83">
      <t>トウキョウ</t>
    </rPh>
    <rPh sb="83" eb="85">
      <t>チュウオウ</t>
    </rPh>
    <rPh sb="85" eb="87">
      <t>オロシウリ</t>
    </rPh>
    <rPh sb="87" eb="89">
      <t>シジョウ</t>
    </rPh>
    <rPh sb="89" eb="91">
      <t>ネンポウ</t>
    </rPh>
    <phoneticPr fontId="14"/>
  </si>
  <si>
    <t xml:space="preserve">  豆腐、しみ豆腐、油揚げ類</t>
    <phoneticPr fontId="5"/>
  </si>
  <si>
    <t xml:space="preserve">  あん類</t>
    <phoneticPr fontId="5"/>
  </si>
  <si>
    <t xml:space="preserve">  イースト</t>
    <phoneticPr fontId="5"/>
  </si>
  <si>
    <t xml:space="preserve">  その他の酵母剤</t>
    <phoneticPr fontId="5"/>
  </si>
  <si>
    <t xml:space="preserve">  こうじ、種こうじ、麦芽</t>
    <phoneticPr fontId="5"/>
  </si>
  <si>
    <t xml:space="preserve">  ふ、焼ふ</t>
    <phoneticPr fontId="5"/>
  </si>
  <si>
    <t xml:space="preserve">  バナナ熟成加工</t>
    <phoneticPr fontId="5"/>
  </si>
  <si>
    <t xml:space="preserve">  切餅、包装餅（和生菓子を除く）</t>
    <phoneticPr fontId="5"/>
  </si>
  <si>
    <t xml:space="preserve">  栄養補助食品（錠剤、カプセル等の形状のもの）</t>
    <phoneticPr fontId="5"/>
  </si>
  <si>
    <t xml:space="preserve">  その他の製造食料品</t>
    <phoneticPr fontId="5"/>
  </si>
  <si>
    <t>左記資料の「カット野菜」「穀物加工品」「豆腐の調製品」が本項目にあたるようだ。</t>
    <rPh sb="0" eb="2">
      <t>サキ</t>
    </rPh>
    <rPh sb="2" eb="4">
      <t>シリョウ</t>
    </rPh>
    <rPh sb="9" eb="11">
      <t>ヤサイ</t>
    </rPh>
    <rPh sb="13" eb="15">
      <t>コクモツ</t>
    </rPh>
    <rPh sb="15" eb="18">
      <t>カコウヒン</t>
    </rPh>
    <rPh sb="20" eb="22">
      <t>トウフ</t>
    </rPh>
    <rPh sb="23" eb="26">
      <t>チョウセイヒン</t>
    </rPh>
    <rPh sb="28" eb="29">
      <t>ホン</t>
    </rPh>
    <rPh sb="29" eb="31">
      <t>コウモク</t>
    </rPh>
    <phoneticPr fontId="14"/>
  </si>
  <si>
    <t>経セン組替表からの直接入力。経セン組替表の細品目が産連の細品目（10桁分類）と一致しないので、7桁分類のみで表章した。
→R2年表では組替表と産連の細品目が概ね一致しているので細品目での積み上げに変更。</t>
    <rPh sb="0" eb="1">
      <t>ケイ</t>
    </rPh>
    <rPh sb="3" eb="5">
      <t>クミカエ</t>
    </rPh>
    <rPh sb="5" eb="6">
      <t>ヒョウ</t>
    </rPh>
    <rPh sb="9" eb="11">
      <t>チョクセツ</t>
    </rPh>
    <rPh sb="11" eb="13">
      <t>ニュウリョク</t>
    </rPh>
    <rPh sb="14" eb="15">
      <t>ケイ</t>
    </rPh>
    <rPh sb="17" eb="19">
      <t>クミカエ</t>
    </rPh>
    <rPh sb="19" eb="20">
      <t>ヒョウ</t>
    </rPh>
    <rPh sb="21" eb="22">
      <t>サイ</t>
    </rPh>
    <rPh sb="22" eb="24">
      <t>ヒンモク</t>
    </rPh>
    <rPh sb="25" eb="26">
      <t>サン</t>
    </rPh>
    <rPh sb="26" eb="27">
      <t>レン</t>
    </rPh>
    <rPh sb="28" eb="29">
      <t>サイ</t>
    </rPh>
    <rPh sb="29" eb="30">
      <t>ヒン</t>
    </rPh>
    <rPh sb="30" eb="31">
      <t>メ</t>
    </rPh>
    <rPh sb="34" eb="35">
      <t>ケタ</t>
    </rPh>
    <rPh sb="35" eb="37">
      <t>ブンルイ</t>
    </rPh>
    <rPh sb="39" eb="41">
      <t>イッチ</t>
    </rPh>
    <rPh sb="48" eb="49">
      <t>ケタ</t>
    </rPh>
    <rPh sb="49" eb="51">
      <t>ブンルイ</t>
    </rPh>
    <rPh sb="54" eb="55">
      <t>ヒョウ</t>
    </rPh>
    <rPh sb="55" eb="56">
      <t>ショウ</t>
    </rPh>
    <rPh sb="63" eb="64">
      <t>ネン</t>
    </rPh>
    <rPh sb="64" eb="65">
      <t>ヒョウ</t>
    </rPh>
    <rPh sb="67" eb="69">
      <t>クミカエ</t>
    </rPh>
    <rPh sb="69" eb="70">
      <t>ヒョウ</t>
    </rPh>
    <phoneticPr fontId="16"/>
  </si>
  <si>
    <t xml:space="preserve">   清酒</t>
    <phoneticPr fontId="5"/>
  </si>
  <si>
    <t xml:space="preserve">   味りん</t>
    <phoneticPr fontId="5"/>
  </si>
  <si>
    <t xml:space="preserve">   清酒副産物</t>
    <phoneticPr fontId="5"/>
  </si>
  <si>
    <t>経センの数値をそのまま使用すると国CTを超えてしまうため、経セン組替表「清酒かす」の数値で按分</t>
    <rPh sb="0" eb="1">
      <t>ケイ</t>
    </rPh>
    <rPh sb="4" eb="6">
      <t>スウチ</t>
    </rPh>
    <rPh sb="11" eb="13">
      <t>シヨウ</t>
    </rPh>
    <rPh sb="16" eb="17">
      <t>クニ</t>
    </rPh>
    <rPh sb="20" eb="21">
      <t>コ</t>
    </rPh>
    <rPh sb="29" eb="30">
      <t>ケイ</t>
    </rPh>
    <rPh sb="32" eb="34">
      <t>クミカエ</t>
    </rPh>
    <rPh sb="34" eb="35">
      <t>ヒョウ</t>
    </rPh>
    <rPh sb="36" eb="38">
      <t>セイシュ</t>
    </rPh>
    <rPh sb="42" eb="44">
      <t>スウチ</t>
    </rPh>
    <rPh sb="45" eb="47">
      <t>アンブン</t>
    </rPh>
    <phoneticPr fontId="5"/>
  </si>
  <si>
    <t xml:space="preserve">   味りん副産物</t>
    <phoneticPr fontId="5"/>
  </si>
  <si>
    <t>経セン組替表に該当品目がないため、「味りん」の数値で国CTを按分</t>
    <rPh sb="0" eb="1">
      <t>ケイ</t>
    </rPh>
    <rPh sb="3" eb="5">
      <t>クミカエ</t>
    </rPh>
    <rPh sb="5" eb="6">
      <t>ヒョウ</t>
    </rPh>
    <rPh sb="7" eb="9">
      <t>ガイトウ</t>
    </rPh>
    <rPh sb="9" eb="11">
      <t>ヒンモク</t>
    </rPh>
    <rPh sb="18" eb="19">
      <t>ミ</t>
    </rPh>
    <rPh sb="23" eb="25">
      <t>スウチ</t>
    </rPh>
    <rPh sb="26" eb="27">
      <t>クニ</t>
    </rPh>
    <rPh sb="30" eb="32">
      <t>アンブン</t>
    </rPh>
    <phoneticPr fontId="5"/>
  </si>
  <si>
    <t xml:space="preserve">   仕掛品・半製品（清酒）</t>
    <phoneticPr fontId="5"/>
  </si>
  <si>
    <t>経セン組替表からの直接入力。経セン組替表の細品目が産連の細品目（10桁分類）と一致しないので、7桁分類のみで表章した。</t>
    <rPh sb="0" eb="1">
      <t>ケイ</t>
    </rPh>
    <rPh sb="3" eb="5">
      <t>クミカエ</t>
    </rPh>
    <rPh sb="5" eb="6">
      <t>ヒョウ</t>
    </rPh>
    <rPh sb="9" eb="11">
      <t>チョクセツ</t>
    </rPh>
    <rPh sb="11" eb="13">
      <t>ニュウリョク</t>
    </rPh>
    <rPh sb="14" eb="15">
      <t>ケイ</t>
    </rPh>
    <rPh sb="17" eb="19">
      <t>クミカエ</t>
    </rPh>
    <rPh sb="19" eb="20">
      <t>ヒョウ</t>
    </rPh>
    <rPh sb="21" eb="22">
      <t>サイ</t>
    </rPh>
    <rPh sb="22" eb="24">
      <t>ヒンモク</t>
    </rPh>
    <rPh sb="25" eb="26">
      <t>サン</t>
    </rPh>
    <rPh sb="26" eb="27">
      <t>レン</t>
    </rPh>
    <rPh sb="28" eb="29">
      <t>サイ</t>
    </rPh>
    <rPh sb="29" eb="30">
      <t>ヒン</t>
    </rPh>
    <rPh sb="30" eb="31">
      <t>メ</t>
    </rPh>
    <rPh sb="34" eb="35">
      <t>ケタ</t>
    </rPh>
    <rPh sb="35" eb="37">
      <t>ブンルイ</t>
    </rPh>
    <rPh sb="39" eb="41">
      <t>イッチ</t>
    </rPh>
    <rPh sb="48" eb="49">
      <t>ケタ</t>
    </rPh>
    <rPh sb="49" eb="51">
      <t>ブンルイ</t>
    </rPh>
    <rPh sb="54" eb="55">
      <t>ヒョウ</t>
    </rPh>
    <rPh sb="55" eb="56">
      <t>ショウ</t>
    </rPh>
    <phoneticPr fontId="14"/>
  </si>
  <si>
    <t xml:space="preserve">   ビール</t>
    <phoneticPr fontId="5"/>
  </si>
  <si>
    <t xml:space="preserve">   ビール副産物</t>
    <phoneticPr fontId="5"/>
  </si>
  <si>
    <t>経セン組替表に該当品目がないため、「ビール」の数値で按分</t>
    <rPh sb="0" eb="1">
      <t>ケイ</t>
    </rPh>
    <rPh sb="3" eb="5">
      <t>クミカエ</t>
    </rPh>
    <rPh sb="5" eb="6">
      <t>ヒョウ</t>
    </rPh>
    <rPh sb="7" eb="9">
      <t>ガイトウ</t>
    </rPh>
    <rPh sb="9" eb="11">
      <t>ヒンモク</t>
    </rPh>
    <rPh sb="23" eb="25">
      <t>スウチ</t>
    </rPh>
    <rPh sb="26" eb="28">
      <t>アンブン</t>
    </rPh>
    <phoneticPr fontId="5"/>
  </si>
  <si>
    <t xml:space="preserve">   発泡酒</t>
    <phoneticPr fontId="5"/>
  </si>
  <si>
    <t xml:space="preserve">   仕掛品・半製品（ビール類）</t>
    <phoneticPr fontId="5"/>
  </si>
  <si>
    <t>経セン組替表からの直接入力。経セン組替表の細品目が産連の細品目（10桁分類）と一致しないので、7桁分類のみで表章した。→R2年表も同様とする。</t>
    <rPh sb="0" eb="1">
      <t>ケイ</t>
    </rPh>
    <rPh sb="3" eb="5">
      <t>クミカエ</t>
    </rPh>
    <rPh sb="5" eb="6">
      <t>ヒョウ</t>
    </rPh>
    <rPh sb="9" eb="11">
      <t>チョクセツ</t>
    </rPh>
    <rPh sb="11" eb="13">
      <t>ニュウリョク</t>
    </rPh>
    <rPh sb="14" eb="15">
      <t>ケイ</t>
    </rPh>
    <rPh sb="17" eb="19">
      <t>クミカエ</t>
    </rPh>
    <rPh sb="19" eb="20">
      <t>ヒョウ</t>
    </rPh>
    <rPh sb="21" eb="22">
      <t>サイ</t>
    </rPh>
    <rPh sb="22" eb="24">
      <t>ヒンモク</t>
    </rPh>
    <rPh sb="25" eb="26">
      <t>サン</t>
    </rPh>
    <rPh sb="26" eb="27">
      <t>レン</t>
    </rPh>
    <rPh sb="28" eb="29">
      <t>サイ</t>
    </rPh>
    <rPh sb="29" eb="30">
      <t>ヒン</t>
    </rPh>
    <rPh sb="30" eb="31">
      <t>メ</t>
    </rPh>
    <rPh sb="34" eb="35">
      <t>ケタ</t>
    </rPh>
    <rPh sb="35" eb="37">
      <t>ブンルイ</t>
    </rPh>
    <rPh sb="39" eb="41">
      <t>イッチ</t>
    </rPh>
    <rPh sb="48" eb="49">
      <t>ケタ</t>
    </rPh>
    <rPh sb="49" eb="51">
      <t>ブンルイ</t>
    </rPh>
    <rPh sb="54" eb="55">
      <t>ヒョウ</t>
    </rPh>
    <rPh sb="55" eb="56">
      <t>ショウ</t>
    </rPh>
    <rPh sb="62" eb="63">
      <t>ネン</t>
    </rPh>
    <rPh sb="63" eb="64">
      <t>ヒョウ</t>
    </rPh>
    <rPh sb="65" eb="67">
      <t>ドウヨウ</t>
    </rPh>
    <phoneticPr fontId="14"/>
  </si>
  <si>
    <t>Q,V：酒類食品統計年報　V/Q</t>
    <rPh sb="4" eb="5">
      <t>サケ</t>
    </rPh>
    <rPh sb="5" eb="6">
      <t>ルイ</t>
    </rPh>
    <rPh sb="6" eb="8">
      <t>ショクヒン</t>
    </rPh>
    <rPh sb="8" eb="10">
      <t>トウケイ</t>
    </rPh>
    <rPh sb="10" eb="12">
      <t>ネンポウ</t>
    </rPh>
    <phoneticPr fontId="14"/>
  </si>
  <si>
    <t xml:space="preserve">  荒茶</t>
    <phoneticPr fontId="5"/>
  </si>
  <si>
    <t>本部門の下の10桁細品目と経センの細品目とが一致しないため、一括表章した。近経局に準じて左記資料から直接入力
→R2年表では一致しているため、細品目での積み上げに変更。</t>
    <rPh sb="37" eb="38">
      <t>キン</t>
    </rPh>
    <rPh sb="38" eb="39">
      <t>ケイ</t>
    </rPh>
    <rPh sb="39" eb="40">
      <t>キョク</t>
    </rPh>
    <rPh sb="41" eb="42">
      <t>ジュン</t>
    </rPh>
    <rPh sb="44" eb="46">
      <t>サキ</t>
    </rPh>
    <rPh sb="46" eb="48">
      <t>シリョウ</t>
    </rPh>
    <rPh sb="50" eb="52">
      <t>チョクセツ</t>
    </rPh>
    <rPh sb="52" eb="54">
      <t>ニュウリョク</t>
    </rPh>
    <rPh sb="58" eb="59">
      <t>ネン</t>
    </rPh>
    <rPh sb="59" eb="60">
      <t>ヒョウ</t>
    </rPh>
    <rPh sb="62" eb="64">
      <t>イッチ</t>
    </rPh>
    <rPh sb="71" eb="73">
      <t>サイヒン</t>
    </rPh>
    <rPh sb="73" eb="74">
      <t>モク</t>
    </rPh>
    <rPh sb="76" eb="77">
      <t>ツ</t>
    </rPh>
    <rPh sb="78" eb="79">
      <t>ア</t>
    </rPh>
    <rPh sb="81" eb="83">
      <t>ヘンコウ</t>
    </rPh>
    <phoneticPr fontId="14"/>
  </si>
  <si>
    <t xml:space="preserve">  緑茶（仕上茶）</t>
    <phoneticPr fontId="5"/>
  </si>
  <si>
    <t xml:space="preserve">  紅茶（仕上茶）</t>
    <phoneticPr fontId="5"/>
  </si>
  <si>
    <t xml:space="preserve">  コーヒー</t>
    <phoneticPr fontId="5"/>
  </si>
  <si>
    <t xml:space="preserve">  農業経営体生産分（茶・コーヒー）</t>
    <phoneticPr fontId="5"/>
  </si>
  <si>
    <t xml:space="preserve">  半製品及び仕掛品（茶・コーヒー）</t>
    <phoneticPr fontId="5"/>
  </si>
  <si>
    <t>Q,V：酒類食品統計年報、関連団体資料　V/Q</t>
    <rPh sb="4" eb="5">
      <t>サケ</t>
    </rPh>
    <rPh sb="5" eb="6">
      <t>ルイ</t>
    </rPh>
    <rPh sb="6" eb="8">
      <t>ショクヒン</t>
    </rPh>
    <rPh sb="8" eb="10">
      <t>トウケイ</t>
    </rPh>
    <rPh sb="10" eb="12">
      <t>ネンポウ</t>
    </rPh>
    <rPh sb="13" eb="15">
      <t>カンレン</t>
    </rPh>
    <rPh sb="15" eb="17">
      <t>ダンタイ</t>
    </rPh>
    <rPh sb="17" eb="19">
      <t>シリョウ</t>
    </rPh>
    <phoneticPr fontId="14"/>
  </si>
  <si>
    <t>原則は経セン直接入力だが、合致する表章がないところは按分
→R2年表は全て合致。</t>
    <rPh sb="0" eb="2">
      <t>ゲンソク</t>
    </rPh>
    <rPh sb="3" eb="4">
      <t>ケイ</t>
    </rPh>
    <rPh sb="6" eb="8">
      <t>チョクセツ</t>
    </rPh>
    <rPh sb="8" eb="10">
      <t>ニュウリョク</t>
    </rPh>
    <rPh sb="13" eb="15">
      <t>ガッチ</t>
    </rPh>
    <rPh sb="17" eb="18">
      <t>ヒョウ</t>
    </rPh>
    <rPh sb="18" eb="19">
      <t>ショウ</t>
    </rPh>
    <rPh sb="26" eb="28">
      <t>アンブン</t>
    </rPh>
    <rPh sb="32" eb="33">
      <t>ネン</t>
    </rPh>
    <rPh sb="33" eb="34">
      <t>ヒョウ</t>
    </rPh>
    <rPh sb="35" eb="36">
      <t>スベ</t>
    </rPh>
    <rPh sb="37" eb="39">
      <t>ガッチ</t>
    </rPh>
    <phoneticPr fontId="14"/>
  </si>
  <si>
    <t>　ジュース</t>
    <phoneticPr fontId="5"/>
  </si>
  <si>
    <t>　コーヒー飲料（ミルク入りを含む）</t>
    <rPh sb="5" eb="7">
      <t>インリョウ</t>
    </rPh>
    <phoneticPr fontId="14"/>
  </si>
  <si>
    <t>　その他の清涼飲料</t>
    <phoneticPr fontId="14"/>
  </si>
  <si>
    <t>101119「その他の清涼飲料」の値で按分</t>
    <rPh sb="9" eb="10">
      <t>タ</t>
    </rPh>
    <rPh sb="11" eb="13">
      <t>セイリョウ</t>
    </rPh>
    <rPh sb="13" eb="15">
      <t>インリョウ</t>
    </rPh>
    <rPh sb="17" eb="18">
      <t>アタイ</t>
    </rPh>
    <rPh sb="19" eb="21">
      <t>アンブン</t>
    </rPh>
    <phoneticPr fontId="14"/>
  </si>
  <si>
    <t>　農業経営体生産分（清涼飲料）</t>
    <rPh sb="1" eb="3">
      <t>ノウギョウ</t>
    </rPh>
    <rPh sb="3" eb="6">
      <t>ケイエイタイ</t>
    </rPh>
    <rPh sb="6" eb="9">
      <t>セイサンブン</t>
    </rPh>
    <phoneticPr fontId="5"/>
  </si>
  <si>
    <t>　半製品及び仕掛品（清涼飲料）</t>
    <rPh sb="1" eb="4">
      <t>ハンセイヒン</t>
    </rPh>
    <rPh sb="4" eb="5">
      <t>オヨ</t>
    </rPh>
    <rPh sb="6" eb="8">
      <t>シカケ</t>
    </rPh>
    <rPh sb="8" eb="9">
      <t>ヒン</t>
    </rPh>
    <phoneticPr fontId="14"/>
  </si>
  <si>
    <t>Q,V：関連団体資料　V/Q</t>
    <rPh sb="4" eb="6">
      <t>カンレン</t>
    </rPh>
    <rPh sb="6" eb="8">
      <t>ダンタイ</t>
    </rPh>
    <rPh sb="8" eb="10">
      <t>シリョウ</t>
    </rPh>
    <phoneticPr fontId="14"/>
  </si>
  <si>
    <t>H30全国会議資料６</t>
    <rPh sb="3" eb="5">
      <t>ゼンコク</t>
    </rPh>
    <rPh sb="5" eb="7">
      <t>カイギ</t>
    </rPh>
    <rPh sb="7" eb="9">
      <t>シリョウ</t>
    </rPh>
    <phoneticPr fontId="5"/>
  </si>
  <si>
    <t>Q：飼料月報、水産油脂統計年鑑、ペットフード産業実態調査の結果（ペットフード協会）
P:飼料月報、水産油脂統計年鑑、飼料・有機質肥料投入調査
V:飼料月報、原課業務資料、ペットフード産業実態調査結果</t>
    <rPh sb="2" eb="4">
      <t>シリョウ</t>
    </rPh>
    <rPh sb="4" eb="6">
      <t>ゲッポウ</t>
    </rPh>
    <rPh sb="7" eb="9">
      <t>スイサン</t>
    </rPh>
    <rPh sb="9" eb="11">
      <t>ユシ</t>
    </rPh>
    <rPh sb="11" eb="13">
      <t>トウケイ</t>
    </rPh>
    <rPh sb="13" eb="15">
      <t>ネンカン</t>
    </rPh>
    <rPh sb="22" eb="24">
      <t>サンギョウ</t>
    </rPh>
    <rPh sb="24" eb="26">
      <t>ジッタイ</t>
    </rPh>
    <rPh sb="26" eb="28">
      <t>チョウサ</t>
    </rPh>
    <rPh sb="29" eb="31">
      <t>ケッカ</t>
    </rPh>
    <rPh sb="38" eb="40">
      <t>キョウカイ</t>
    </rPh>
    <rPh sb="44" eb="46">
      <t>シリョウ</t>
    </rPh>
    <rPh sb="46" eb="48">
      <t>ゲッポウ</t>
    </rPh>
    <rPh sb="49" eb="51">
      <t>スイサン</t>
    </rPh>
    <rPh sb="51" eb="53">
      <t>ユシ</t>
    </rPh>
    <rPh sb="53" eb="55">
      <t>トウケイ</t>
    </rPh>
    <rPh sb="55" eb="57">
      <t>ネンカン</t>
    </rPh>
    <rPh sb="58" eb="60">
      <t>シリョウ</t>
    </rPh>
    <rPh sb="61" eb="64">
      <t>ユウキシツ</t>
    </rPh>
    <rPh sb="64" eb="66">
      <t>ヒリョウ</t>
    </rPh>
    <rPh sb="66" eb="68">
      <t>トウニュウ</t>
    </rPh>
    <rPh sb="68" eb="70">
      <t>チョウサ</t>
    </rPh>
    <rPh sb="73" eb="75">
      <t>シリョウ</t>
    </rPh>
    <rPh sb="75" eb="77">
      <t>ゲッポウ</t>
    </rPh>
    <rPh sb="78" eb="80">
      <t>ゲンカ</t>
    </rPh>
    <rPh sb="80" eb="82">
      <t>ギョウム</t>
    </rPh>
    <rPh sb="82" eb="84">
      <t>シリョウ</t>
    </rPh>
    <rPh sb="91" eb="93">
      <t>サンギョウ</t>
    </rPh>
    <rPh sb="93" eb="95">
      <t>ジッタイ</t>
    </rPh>
    <rPh sb="95" eb="97">
      <t>チョウサ</t>
    </rPh>
    <rPh sb="97" eb="99">
      <t>ケッカ</t>
    </rPh>
    <phoneticPr fontId="14"/>
  </si>
  <si>
    <t>経セン組替表から直接入力</t>
    <rPh sb="0" eb="1">
      <t>ケイ</t>
    </rPh>
    <rPh sb="3" eb="5">
      <t>クミカエ</t>
    </rPh>
    <rPh sb="5" eb="6">
      <t>ヒョウ</t>
    </rPh>
    <rPh sb="8" eb="10">
      <t>チョクセツ</t>
    </rPh>
    <rPh sb="10" eb="12">
      <t>ニュウリョク</t>
    </rPh>
    <phoneticPr fontId="14"/>
  </si>
  <si>
    <t xml:space="preserve">   配合飼料</t>
    <phoneticPr fontId="5"/>
  </si>
  <si>
    <t xml:space="preserve">   ペット用飼料</t>
    <phoneticPr fontId="5"/>
  </si>
  <si>
    <t xml:space="preserve">   単体飼料</t>
    <phoneticPr fontId="5"/>
  </si>
  <si>
    <t xml:space="preserve">   半製品及び仕掛品（飼料）</t>
    <phoneticPr fontId="5"/>
  </si>
  <si>
    <t>Q:ポケット肥料要覧（農林統計協会）
P：業界団体資料</t>
    <rPh sb="6" eb="8">
      <t>ヒリョウ</t>
    </rPh>
    <rPh sb="8" eb="10">
      <t>ヨウラン</t>
    </rPh>
    <rPh sb="11" eb="13">
      <t>ノウリン</t>
    </rPh>
    <rPh sb="13" eb="15">
      <t>トウケイ</t>
    </rPh>
    <rPh sb="15" eb="17">
      <t>キョウカイ</t>
    </rPh>
    <rPh sb="21" eb="23">
      <t>ギョウカイ</t>
    </rPh>
    <rPh sb="23" eb="25">
      <t>ダンタイ</t>
    </rPh>
    <rPh sb="25" eb="27">
      <t>シリョウ</t>
    </rPh>
    <phoneticPr fontId="14"/>
  </si>
  <si>
    <t>経セン組替第５表</t>
    <phoneticPr fontId="5"/>
  </si>
  <si>
    <t>経セン組替表から直接入力</t>
    <phoneticPr fontId="14"/>
  </si>
  <si>
    <t xml:space="preserve">   ポプリン、ブロードクロス～綿・スフ・合成繊維毛布地</t>
    <phoneticPr fontId="5"/>
  </si>
  <si>
    <t xml:space="preserve">   製造業以外からの委託</t>
    <phoneticPr fontId="5"/>
  </si>
  <si>
    <t>経セン組替第５表、第６表</t>
    <rPh sb="9" eb="10">
      <t>ダイ</t>
    </rPh>
    <rPh sb="11" eb="12">
      <t>ヒョウ</t>
    </rPh>
    <phoneticPr fontId="14"/>
  </si>
  <si>
    <t>推計個別ファイルの「委託生産該当部門」フォルダ参照
(【05表】加工賃収入ー【06表】委託生産費)×膨らまし係数</t>
    <rPh sb="0" eb="2">
      <t>スイケイ</t>
    </rPh>
    <rPh sb="2" eb="4">
      <t>コベツ</t>
    </rPh>
    <rPh sb="10" eb="12">
      <t>イタク</t>
    </rPh>
    <rPh sb="12" eb="14">
      <t>セイサン</t>
    </rPh>
    <rPh sb="14" eb="16">
      <t>ガイトウ</t>
    </rPh>
    <rPh sb="16" eb="18">
      <t>ブモン</t>
    </rPh>
    <rPh sb="23" eb="25">
      <t>サンショウ</t>
    </rPh>
    <phoneticPr fontId="5"/>
  </si>
  <si>
    <t xml:space="preserve">   半製品及び仕掛品</t>
    <phoneticPr fontId="5"/>
  </si>
  <si>
    <t>下記項目の積み上げをすると半製品及び仕掛品のマイナスが大きいため、基本分類ではマイナスが出てしまう。基本分類でマイナスはおかしいため、０とする。</t>
    <rPh sb="0" eb="2">
      <t>カキ</t>
    </rPh>
    <rPh sb="2" eb="4">
      <t>コウモク</t>
    </rPh>
    <rPh sb="5" eb="6">
      <t>ツ</t>
    </rPh>
    <rPh sb="7" eb="8">
      <t>ア</t>
    </rPh>
    <rPh sb="13" eb="16">
      <t>ハンセイヒン</t>
    </rPh>
    <rPh sb="16" eb="17">
      <t>オヨ</t>
    </rPh>
    <rPh sb="18" eb="21">
      <t>シカカリヒン</t>
    </rPh>
    <rPh sb="27" eb="28">
      <t>オオ</t>
    </rPh>
    <rPh sb="33" eb="35">
      <t>キホン</t>
    </rPh>
    <rPh sb="35" eb="37">
      <t>ブンルイ</t>
    </rPh>
    <rPh sb="44" eb="45">
      <t>デ</t>
    </rPh>
    <rPh sb="50" eb="52">
      <t>キホン</t>
    </rPh>
    <rPh sb="52" eb="54">
      <t>ブンルイ</t>
    </rPh>
    <phoneticPr fontId="5"/>
  </si>
  <si>
    <t xml:space="preserve">   羽二重類～化学繊維タイヤコード</t>
    <phoneticPr fontId="5"/>
  </si>
  <si>
    <t xml:space="preserve">   絹織物（賃加工）</t>
    <phoneticPr fontId="5"/>
  </si>
  <si>
    <t>推計個別ファイルの「委託生産該当部門」フォルダ参照
第５表に県値なし</t>
    <rPh sb="0" eb="2">
      <t>スイケイ</t>
    </rPh>
    <rPh sb="2" eb="4">
      <t>コベツ</t>
    </rPh>
    <rPh sb="10" eb="12">
      <t>イタク</t>
    </rPh>
    <rPh sb="12" eb="14">
      <t>セイサン</t>
    </rPh>
    <rPh sb="14" eb="16">
      <t>ガイトウ</t>
    </rPh>
    <rPh sb="16" eb="18">
      <t>ブモン</t>
    </rPh>
    <rPh sb="23" eb="25">
      <t>サンショウ</t>
    </rPh>
    <rPh sb="26" eb="27">
      <t>ダイ</t>
    </rPh>
    <rPh sb="28" eb="29">
      <t>ヒョウ</t>
    </rPh>
    <rPh sb="30" eb="31">
      <t>ケン</t>
    </rPh>
    <rPh sb="31" eb="32">
      <t>チ</t>
    </rPh>
    <phoneticPr fontId="5"/>
  </si>
  <si>
    <t>602</t>
    <phoneticPr fontId="5"/>
  </si>
  <si>
    <t xml:space="preserve">   ビスコース人絹・キュプラ・アセテート長繊維織物（賃加工）</t>
    <phoneticPr fontId="5"/>
  </si>
  <si>
    <t xml:space="preserve">   合成繊維長繊維織物（賃加工）</t>
    <phoneticPr fontId="5"/>
  </si>
  <si>
    <t>101～104</t>
    <phoneticPr fontId="5"/>
  </si>
  <si>
    <t xml:space="preserve">   毛織物（そ毛洋服地～その他の毛織物）</t>
    <rPh sb="3" eb="6">
      <t>ケオリモノ</t>
    </rPh>
    <rPh sb="8" eb="9">
      <t>ケ</t>
    </rPh>
    <rPh sb="9" eb="11">
      <t>ヨウフク</t>
    </rPh>
    <rPh sb="11" eb="12">
      <t>チ</t>
    </rPh>
    <rPh sb="15" eb="16">
      <t>タ</t>
    </rPh>
    <rPh sb="17" eb="20">
      <t>ケオリモノ</t>
    </rPh>
    <phoneticPr fontId="5"/>
  </si>
  <si>
    <t>経セン組替表から直接入力</t>
  </si>
  <si>
    <t>201～202</t>
    <phoneticPr fontId="5"/>
  </si>
  <si>
    <t xml:space="preserve">   麻織物（麻織物～繊維製ホース）</t>
    <rPh sb="3" eb="6">
      <t>アサオリモノ</t>
    </rPh>
    <rPh sb="7" eb="10">
      <t>アサオリモノ</t>
    </rPh>
    <rPh sb="11" eb="13">
      <t>センイ</t>
    </rPh>
    <rPh sb="13" eb="14">
      <t>セイ</t>
    </rPh>
    <phoneticPr fontId="5"/>
  </si>
  <si>
    <t xml:space="preserve">   細幅織物</t>
    <rPh sb="3" eb="4">
      <t>ホソ</t>
    </rPh>
    <rPh sb="4" eb="5">
      <t>ハバ</t>
    </rPh>
    <rPh sb="5" eb="7">
      <t>オリモノ</t>
    </rPh>
    <phoneticPr fontId="5"/>
  </si>
  <si>
    <t>401～402</t>
    <phoneticPr fontId="5"/>
  </si>
  <si>
    <t xml:space="preserve">   その他の織物（モケット～他に分類されない織物）</t>
    <rPh sb="5" eb="6">
      <t>タ</t>
    </rPh>
    <rPh sb="7" eb="9">
      <t>オリモノ</t>
    </rPh>
    <rPh sb="15" eb="16">
      <t>タ</t>
    </rPh>
    <rPh sb="17" eb="19">
      <t>ブンルイ</t>
    </rPh>
    <rPh sb="23" eb="25">
      <t>オリモノ</t>
    </rPh>
    <phoneticPr fontId="5"/>
  </si>
  <si>
    <t>501～504</t>
    <phoneticPr fontId="5"/>
  </si>
  <si>
    <t xml:space="preserve">   製造業以外からの委託（毛織物（賃加工）～その他の織物（賃加工））</t>
    <rPh sb="3" eb="6">
      <t>セイゾウギョウ</t>
    </rPh>
    <rPh sb="6" eb="8">
      <t>イガイ</t>
    </rPh>
    <rPh sb="11" eb="13">
      <t>イタク</t>
    </rPh>
    <rPh sb="14" eb="17">
      <t>ケオリモノ</t>
    </rPh>
    <rPh sb="18" eb="21">
      <t>チンカコウ</t>
    </rPh>
    <rPh sb="25" eb="26">
      <t>タ</t>
    </rPh>
    <rPh sb="27" eb="29">
      <t>オリモノ</t>
    </rPh>
    <rPh sb="30" eb="31">
      <t>チン</t>
    </rPh>
    <rPh sb="31" eb="33">
      <t>カコウ</t>
    </rPh>
    <phoneticPr fontId="5"/>
  </si>
  <si>
    <t xml:space="preserve">   半製品及び仕掛品</t>
    <rPh sb="3" eb="6">
      <t>ハンセイヒン</t>
    </rPh>
    <rPh sb="6" eb="7">
      <t>オヨ</t>
    </rPh>
    <rPh sb="8" eb="11">
      <t>シカカリヒン</t>
    </rPh>
    <phoneticPr fontId="5"/>
  </si>
  <si>
    <t xml:space="preserve">   綿丸編ニット生地</t>
    <phoneticPr fontId="5"/>
  </si>
  <si>
    <t xml:space="preserve">   合成繊維丸編ニット生地</t>
    <phoneticPr fontId="5"/>
  </si>
  <si>
    <t xml:space="preserve">   その他の繊維製丸編ニット生地</t>
    <phoneticPr fontId="5"/>
  </si>
  <si>
    <t xml:space="preserve">   たて編ニット生地</t>
    <phoneticPr fontId="5"/>
  </si>
  <si>
    <t xml:space="preserve">   横編ニット生地（半製品を含む）</t>
    <phoneticPr fontId="5"/>
  </si>
  <si>
    <t xml:space="preserve">  合成繊維紡績糸織物精練・漂白・染色、麻風合成繊維織物機械整理仕上</t>
    <phoneticPr fontId="5"/>
  </si>
  <si>
    <t>103～109</t>
    <phoneticPr fontId="5"/>
  </si>
  <si>
    <t xml:space="preserve">  絹・人絹織物精練・漂白・染色～その他の織物手加工染色・整理</t>
    <phoneticPr fontId="5"/>
  </si>
  <si>
    <t>110</t>
    <phoneticPr fontId="5"/>
  </si>
  <si>
    <t xml:space="preserve">  綿状繊維染色・整理、綿糸染</t>
    <phoneticPr fontId="5"/>
  </si>
  <si>
    <t xml:space="preserve">  合成繊維糸染・その他の糸染</t>
    <phoneticPr fontId="5"/>
  </si>
  <si>
    <t xml:space="preserve">  ニット・レース染色・整理</t>
    <phoneticPr fontId="5"/>
  </si>
  <si>
    <t xml:space="preserve">  繊維雑品染色・整理（起毛を含む）</t>
    <phoneticPr fontId="5"/>
  </si>
  <si>
    <t>推計個別ファイルの「委託生産該当部門」フォルダ参照
加工賃収入額を直接計上する部門に該当。</t>
    <rPh sb="0" eb="2">
      <t>スイケイ</t>
    </rPh>
    <rPh sb="2" eb="4">
      <t>コベツ</t>
    </rPh>
    <rPh sb="10" eb="12">
      <t>イタク</t>
    </rPh>
    <rPh sb="12" eb="14">
      <t>セイサン</t>
    </rPh>
    <rPh sb="14" eb="16">
      <t>ガイトウ</t>
    </rPh>
    <rPh sb="16" eb="18">
      <t>ブモン</t>
    </rPh>
    <rPh sb="23" eb="25">
      <t>サンショウ</t>
    </rPh>
    <rPh sb="26" eb="29">
      <t>カコウチン</t>
    </rPh>
    <rPh sb="29" eb="32">
      <t>シュウニュウガク</t>
    </rPh>
    <rPh sb="33" eb="35">
      <t>チョクセツ</t>
    </rPh>
    <rPh sb="35" eb="37">
      <t>ケイジョウ</t>
    </rPh>
    <rPh sb="39" eb="41">
      <t>ブモン</t>
    </rPh>
    <rPh sb="42" eb="44">
      <t>ガイトウ</t>
    </rPh>
    <phoneticPr fontId="5"/>
  </si>
  <si>
    <t>1519-099</t>
    <phoneticPr fontId="5"/>
  </si>
  <si>
    <t>101～102</t>
    <phoneticPr fontId="5"/>
  </si>
  <si>
    <t xml:space="preserve">   ロープ、コード、トワイン</t>
    <phoneticPr fontId="14"/>
  </si>
  <si>
    <t>201～203</t>
    <phoneticPr fontId="5"/>
  </si>
  <si>
    <t xml:space="preserve">   漁網</t>
    <rPh sb="3" eb="4">
      <t>ギョ</t>
    </rPh>
    <rPh sb="4" eb="5">
      <t>アミ</t>
    </rPh>
    <phoneticPr fontId="5"/>
  </si>
  <si>
    <t xml:space="preserve">   漁網以外の網地</t>
    <rPh sb="3" eb="4">
      <t>ギョ</t>
    </rPh>
    <rPh sb="4" eb="5">
      <t>アミ</t>
    </rPh>
    <rPh sb="5" eb="7">
      <t>イガイ</t>
    </rPh>
    <rPh sb="8" eb="9">
      <t>アミ</t>
    </rPh>
    <rPh sb="9" eb="10">
      <t>チ</t>
    </rPh>
    <phoneticPr fontId="5"/>
  </si>
  <si>
    <t xml:space="preserve">   半製品及び仕掛品（綱・網）</t>
    <phoneticPr fontId="5"/>
  </si>
  <si>
    <t>401～404</t>
    <phoneticPr fontId="5"/>
  </si>
  <si>
    <t xml:space="preserve">   レース生地・雑品</t>
    <rPh sb="6" eb="8">
      <t>キジ</t>
    </rPh>
    <rPh sb="9" eb="10">
      <t>ザツ</t>
    </rPh>
    <rPh sb="10" eb="11">
      <t>ヒン</t>
    </rPh>
    <phoneticPr fontId="5"/>
  </si>
  <si>
    <t xml:space="preserve">   組ひも</t>
    <rPh sb="3" eb="4">
      <t>ク</t>
    </rPh>
    <phoneticPr fontId="5"/>
  </si>
  <si>
    <t xml:space="preserve">   整毛</t>
    <phoneticPr fontId="5"/>
  </si>
  <si>
    <t>701～702</t>
    <phoneticPr fontId="5"/>
  </si>
  <si>
    <t xml:space="preserve">   フェルト、不織布（乾式）</t>
    <phoneticPr fontId="5"/>
  </si>
  <si>
    <t xml:space="preserve">   上塗りした織物、防水した織物</t>
    <phoneticPr fontId="5"/>
  </si>
  <si>
    <t>901～903</t>
    <phoneticPr fontId="5"/>
  </si>
  <si>
    <t xml:space="preserve">   その他の繊維粗製品</t>
    <phoneticPr fontId="5"/>
  </si>
  <si>
    <t xml:space="preserve">   半製品及び仕掛品（他に分類されない繊維工業製品）</t>
    <phoneticPr fontId="5"/>
  </si>
  <si>
    <t>101～703</t>
    <phoneticPr fontId="5"/>
  </si>
  <si>
    <t xml:space="preserve">   背広服上衣（ブレザー、ジャンパー等を含む）～その他の和装製品（ニット製を含む）</t>
    <phoneticPr fontId="5"/>
  </si>
  <si>
    <t>Y01</t>
  </si>
  <si>
    <t xml:space="preserve">   半製品及び仕掛品</t>
  </si>
  <si>
    <t>101～701</t>
    <phoneticPr fontId="5"/>
  </si>
  <si>
    <t xml:space="preserve">   ニット製外衣～補整着</t>
    <phoneticPr fontId="5"/>
  </si>
  <si>
    <t>1529-099</t>
    <phoneticPr fontId="5"/>
  </si>
  <si>
    <t>　繊維製衛生材料</t>
    <rPh sb="1" eb="3">
      <t>センイ</t>
    </rPh>
    <rPh sb="3" eb="4">
      <t>セイ</t>
    </rPh>
    <rPh sb="4" eb="6">
      <t>エイセイ</t>
    </rPh>
    <rPh sb="6" eb="8">
      <t>ザイリョウ</t>
    </rPh>
    <phoneticPr fontId="14"/>
  </si>
  <si>
    <t>　綿帆布製品～半製品及び仕掛品（他に分類されない繊維既製品）</t>
    <rPh sb="1" eb="2">
      <t>ワタ</t>
    </rPh>
    <rPh sb="2" eb="4">
      <t>ハンプ</t>
    </rPh>
    <rPh sb="4" eb="6">
      <t>セイヒン</t>
    </rPh>
    <rPh sb="7" eb="10">
      <t>ハンセイヒン</t>
    </rPh>
    <rPh sb="10" eb="11">
      <t>オヨ</t>
    </rPh>
    <rPh sb="12" eb="15">
      <t>シカカリヒン</t>
    </rPh>
    <rPh sb="16" eb="17">
      <t>タ</t>
    </rPh>
    <rPh sb="18" eb="20">
      <t>ブンルイ</t>
    </rPh>
    <rPh sb="24" eb="26">
      <t>センイ</t>
    </rPh>
    <rPh sb="26" eb="29">
      <t>キセイヒン</t>
    </rPh>
    <phoneticPr fontId="14"/>
  </si>
  <si>
    <t>経セン組替表の「他に分類されない繊維既製品」の額</t>
    <rPh sb="0" eb="1">
      <t>ケイ</t>
    </rPh>
    <rPh sb="3" eb="5">
      <t>クミカエ</t>
    </rPh>
    <rPh sb="5" eb="6">
      <t>ヒョウ</t>
    </rPh>
    <rPh sb="8" eb="9">
      <t>タ</t>
    </rPh>
    <rPh sb="10" eb="12">
      <t>ブンルイ</t>
    </rPh>
    <rPh sb="16" eb="18">
      <t>センイ</t>
    </rPh>
    <rPh sb="18" eb="21">
      <t>キセイヒン</t>
    </rPh>
    <rPh sb="23" eb="24">
      <t>ガク</t>
    </rPh>
    <phoneticPr fontId="5"/>
  </si>
  <si>
    <t>製材</t>
    <phoneticPr fontId="5"/>
  </si>
  <si>
    <t>Q、P：木材需給報告書、業界団体資料</t>
    <rPh sb="4" eb="6">
      <t>モクザイ</t>
    </rPh>
    <rPh sb="6" eb="8">
      <t>ジュキュウ</t>
    </rPh>
    <rPh sb="8" eb="11">
      <t>ホウコクショ</t>
    </rPh>
    <rPh sb="12" eb="14">
      <t>ギョウカイ</t>
    </rPh>
    <rPh sb="14" eb="16">
      <t>ダンタイ</t>
    </rPh>
    <rPh sb="16" eb="18">
      <t>シリョウ</t>
    </rPh>
    <phoneticPr fontId="14"/>
  </si>
  <si>
    <t>経済センサス組替表からの直接入力</t>
    <rPh sb="0" eb="2">
      <t>ケイザイ</t>
    </rPh>
    <rPh sb="6" eb="8">
      <t>クミカエ</t>
    </rPh>
    <rPh sb="8" eb="9">
      <t>ヒョウ</t>
    </rPh>
    <rPh sb="12" eb="16">
      <t>チョクセツニュウリョク</t>
    </rPh>
    <phoneticPr fontId="14"/>
  </si>
  <si>
    <t>Q:木材需給報告書、関連団体資料
V:工業統計組替集計結果、関連団体資料</t>
    <rPh sb="2" eb="4">
      <t>モクザイ</t>
    </rPh>
    <rPh sb="4" eb="6">
      <t>ジュキュウ</t>
    </rPh>
    <rPh sb="6" eb="9">
      <t>ホウコクショ</t>
    </rPh>
    <rPh sb="10" eb="12">
      <t>カンレン</t>
    </rPh>
    <rPh sb="12" eb="14">
      <t>ダンタイ</t>
    </rPh>
    <rPh sb="14" eb="16">
      <t>シリョウ</t>
    </rPh>
    <rPh sb="19" eb="21">
      <t>コウギョウ</t>
    </rPh>
    <rPh sb="21" eb="23">
      <t>トウケイ</t>
    </rPh>
    <rPh sb="23" eb="24">
      <t>ク</t>
    </rPh>
    <rPh sb="24" eb="25">
      <t>カ</t>
    </rPh>
    <rPh sb="25" eb="27">
      <t>シュウケイ</t>
    </rPh>
    <rPh sb="27" eb="29">
      <t>ケッカ</t>
    </rPh>
    <rPh sb="30" eb="32">
      <t>カンレン</t>
    </rPh>
    <rPh sb="32" eb="34">
      <t>ダンタイ</t>
    </rPh>
    <rPh sb="34" eb="36">
      <t>シリョウ</t>
    </rPh>
    <phoneticPr fontId="14"/>
  </si>
  <si>
    <t>Q:木材需給報告書
V:工業統計組替集計結果</t>
    <phoneticPr fontId="14"/>
  </si>
  <si>
    <t>経済センサス組替表からの直接入力</t>
    <rPh sb="0" eb="2">
      <t>ケイザイ</t>
    </rPh>
    <rPh sb="6" eb="8">
      <t>クミカエ</t>
    </rPh>
    <rPh sb="8" eb="9">
      <t>ヒョウ</t>
    </rPh>
    <rPh sb="12" eb="14">
      <t>チョクセツ</t>
    </rPh>
    <rPh sb="14" eb="16">
      <t>ニュウリョク</t>
    </rPh>
    <phoneticPr fontId="14"/>
  </si>
  <si>
    <t>1619-099</t>
    <phoneticPr fontId="5"/>
  </si>
  <si>
    <t>　建設用木製品</t>
    <phoneticPr fontId="14"/>
  </si>
  <si>
    <t>経済センサス組替表からの直接入力</t>
  </si>
  <si>
    <t>　他に分類されない木製品</t>
    <rPh sb="1" eb="2">
      <t>タ</t>
    </rPh>
    <rPh sb="3" eb="5">
      <t>ブンルイ</t>
    </rPh>
    <phoneticPr fontId="14"/>
  </si>
  <si>
    <t>近経局と同様の手法→27年表も同様とする</t>
    <rPh sb="0" eb="1">
      <t>キン</t>
    </rPh>
    <rPh sb="1" eb="2">
      <t>ケイ</t>
    </rPh>
    <rPh sb="2" eb="3">
      <t>キョク</t>
    </rPh>
    <rPh sb="4" eb="6">
      <t>ドウヨウ</t>
    </rPh>
    <rPh sb="7" eb="9">
      <t>シュホウ</t>
    </rPh>
    <rPh sb="12" eb="13">
      <t>ネン</t>
    </rPh>
    <rPh sb="13" eb="14">
      <t>ヒョウ</t>
    </rPh>
    <rPh sb="15" eb="17">
      <t>ドウヨウ</t>
    </rPh>
    <phoneticPr fontId="14"/>
  </si>
  <si>
    <t>生動組替集計</t>
    <rPh sb="0" eb="2">
      <t>セイドウ</t>
    </rPh>
    <rPh sb="2" eb="4">
      <t>クミカエ</t>
    </rPh>
    <rPh sb="4" eb="5">
      <t>シュウ</t>
    </rPh>
    <rPh sb="5" eb="6">
      <t>ケイ</t>
    </rPh>
    <phoneticPr fontId="14"/>
  </si>
  <si>
    <t>　半製品及び仕掛品（金属製家具）</t>
    <phoneticPr fontId="5"/>
  </si>
  <si>
    <t>　溶解・その他製紙パルプ</t>
    <rPh sb="1" eb="3">
      <t>ヨウカイ</t>
    </rPh>
    <phoneticPr fontId="14"/>
  </si>
  <si>
    <t>　半製品及び仕掛品（パルプ）</t>
    <phoneticPr fontId="5"/>
  </si>
  <si>
    <t>仮設部門</t>
    <rPh sb="0" eb="2">
      <t>カセツ</t>
    </rPh>
    <rPh sb="2" eb="4">
      <t>ブモン</t>
    </rPh>
    <phoneticPr fontId="14"/>
  </si>
  <si>
    <t>　半製品及び仕掛品（板紙）</t>
    <phoneticPr fontId="5"/>
  </si>
  <si>
    <t>経セン組替表からの直接入力</t>
  </si>
  <si>
    <t>2021-011</t>
    <phoneticPr fontId="5"/>
  </si>
  <si>
    <t xml:space="preserve"> か性ソーダ</t>
    <phoneticPr fontId="5"/>
  </si>
  <si>
    <t>　か性ソーダ（液体97％換算・固形有姿）</t>
    <phoneticPr fontId="5"/>
  </si>
  <si>
    <t>　半製品及び仕掛品（か性ソーダ）</t>
    <phoneticPr fontId="5"/>
  </si>
  <si>
    <t>経セン組替表からの直接入力</t>
    <rPh sb="0" eb="1">
      <t>ケイ</t>
    </rPh>
    <rPh sb="3" eb="5">
      <t>クミカエ</t>
    </rPh>
    <rPh sb="5" eb="6">
      <t>ヒョウ</t>
    </rPh>
    <rPh sb="9" eb="13">
      <t>チョクセツニュウリョク</t>
    </rPh>
    <phoneticPr fontId="14"/>
  </si>
  <si>
    <t xml:space="preserve"> 液体塩素</t>
    <phoneticPr fontId="5"/>
  </si>
  <si>
    <t>　半製品及び仕掛品（液体塩素）</t>
    <phoneticPr fontId="5"/>
  </si>
  <si>
    <t>塩素ガス</t>
  </si>
  <si>
    <t>塩酸</t>
  </si>
  <si>
    <t xml:space="preserve">  塩酸（35％換算）合成</t>
    <phoneticPr fontId="5"/>
  </si>
  <si>
    <t xml:space="preserve">  塩酸（35％換算）副生</t>
    <phoneticPr fontId="5"/>
  </si>
  <si>
    <t xml:space="preserve"> その他のソーダ工業製品</t>
    <phoneticPr fontId="5"/>
  </si>
  <si>
    <t xml:space="preserve">   塩素酸ナトリウム</t>
    <phoneticPr fontId="5"/>
  </si>
  <si>
    <t xml:space="preserve">   次亜塩素酸ナトリウム溶液（12％換算）</t>
    <phoneticPr fontId="5"/>
  </si>
  <si>
    <t xml:space="preserve">   その他のソーダ工業製品（別掲を除く）</t>
    <phoneticPr fontId="5"/>
  </si>
  <si>
    <t>Y03</t>
    <phoneticPr fontId="5"/>
  </si>
  <si>
    <t xml:space="preserve">   半製品及び仕掛品（その他のソーダ工業製品）</t>
    <phoneticPr fontId="5"/>
  </si>
  <si>
    <t>2029-011</t>
    <phoneticPr fontId="5"/>
  </si>
  <si>
    <t xml:space="preserve"> 酸化チタン</t>
    <rPh sb="1" eb="3">
      <t>サンカ</t>
    </rPh>
    <phoneticPr fontId="14"/>
  </si>
  <si>
    <t xml:space="preserve"> カーボンブラック</t>
    <phoneticPr fontId="5"/>
  </si>
  <si>
    <t>経セン組替表からの直接入力（生産動態統計調査では数値無し）</t>
    <rPh sb="0" eb="1">
      <t>ケイ</t>
    </rPh>
    <rPh sb="3" eb="5">
      <t>クミカエ</t>
    </rPh>
    <rPh sb="5" eb="6">
      <t>ヒョウ</t>
    </rPh>
    <rPh sb="9" eb="11">
      <t>チョクセツ</t>
    </rPh>
    <rPh sb="11" eb="13">
      <t>ニュウリョク</t>
    </rPh>
    <rPh sb="14" eb="16">
      <t>セイサン</t>
    </rPh>
    <rPh sb="16" eb="18">
      <t>ドウタイ</t>
    </rPh>
    <rPh sb="18" eb="20">
      <t>トウケイ</t>
    </rPh>
    <rPh sb="20" eb="22">
      <t>チョウサ</t>
    </rPh>
    <rPh sb="24" eb="26">
      <t>スウチ</t>
    </rPh>
    <rPh sb="26" eb="27">
      <t>ナ</t>
    </rPh>
    <phoneticPr fontId="14"/>
  </si>
  <si>
    <t>該当なし</t>
  </si>
  <si>
    <t xml:space="preserve"> その他の無機顔料</t>
    <phoneticPr fontId="5"/>
  </si>
  <si>
    <t>全て輸入らしい（国値ゼロ）。</t>
    <rPh sb="0" eb="1">
      <t>スベ</t>
    </rPh>
    <rPh sb="2" eb="4">
      <t>ユニュウ</t>
    </rPh>
    <rPh sb="8" eb="9">
      <t>クニ</t>
    </rPh>
    <rPh sb="9" eb="10">
      <t>アタイ</t>
    </rPh>
    <phoneticPr fontId="14"/>
  </si>
  <si>
    <t>26年度全国会議の財務省資料によると、製造品出荷額＝ＣＴとしているのでそれに準拠</t>
    <rPh sb="2" eb="4">
      <t>ネンド</t>
    </rPh>
    <rPh sb="4" eb="6">
      <t>ゼンコク</t>
    </rPh>
    <rPh sb="6" eb="8">
      <t>カイギ</t>
    </rPh>
    <rPh sb="9" eb="12">
      <t>ザイムショウ</t>
    </rPh>
    <rPh sb="12" eb="14">
      <t>シリョウ</t>
    </rPh>
    <rPh sb="19" eb="22">
      <t>セイゾウヒン</t>
    </rPh>
    <rPh sb="22" eb="24">
      <t>シュッカ</t>
    </rPh>
    <rPh sb="24" eb="25">
      <t>ガク</t>
    </rPh>
    <rPh sb="38" eb="40">
      <t>ジュンキョ</t>
    </rPh>
    <phoneticPr fontId="14"/>
  </si>
  <si>
    <t>該当なし</t>
    <rPh sb="0" eb="2">
      <t>ガイトウ</t>
    </rPh>
    <phoneticPr fontId="5"/>
  </si>
  <si>
    <t>生動組替集計</t>
  </si>
  <si>
    <t>〃</t>
    <phoneticPr fontId="5"/>
  </si>
  <si>
    <t>606</t>
    <phoneticPr fontId="5"/>
  </si>
  <si>
    <t>607</t>
    <phoneticPr fontId="5"/>
  </si>
  <si>
    <t>608</t>
    <phoneticPr fontId="5"/>
  </si>
  <si>
    <t>609</t>
    <phoneticPr fontId="5"/>
  </si>
  <si>
    <t>610</t>
    <phoneticPr fontId="5"/>
  </si>
  <si>
    <t>611</t>
    <phoneticPr fontId="5"/>
  </si>
  <si>
    <t>経セン組替第５表、生動組替集計</t>
    <rPh sb="0" eb="1">
      <t>ケイ</t>
    </rPh>
    <rPh sb="3" eb="5">
      <t>クミカエ</t>
    </rPh>
    <rPh sb="5" eb="6">
      <t>ダイ</t>
    </rPh>
    <rPh sb="7" eb="8">
      <t>ヒョウ</t>
    </rPh>
    <rPh sb="9" eb="11">
      <t>セイドウ</t>
    </rPh>
    <rPh sb="11" eb="13">
      <t>クミカエ</t>
    </rPh>
    <rPh sb="13" eb="14">
      <t>シュウ</t>
    </rPh>
    <rPh sb="14" eb="15">
      <t>ケイ</t>
    </rPh>
    <phoneticPr fontId="14"/>
  </si>
  <si>
    <t>経セン「その他の無機化学工業製品」－生動「ポリ塩化アルミニウム」－「ヨウ素」（近経局の推計方法）→27年表,R2年表も同様とする</t>
    <rPh sb="0" eb="1">
      <t>ケイ</t>
    </rPh>
    <rPh sb="6" eb="7">
      <t>タ</t>
    </rPh>
    <rPh sb="8" eb="10">
      <t>ムキ</t>
    </rPh>
    <rPh sb="10" eb="12">
      <t>カガク</t>
    </rPh>
    <rPh sb="12" eb="14">
      <t>コウギョウ</t>
    </rPh>
    <rPh sb="14" eb="16">
      <t>セイヒン</t>
    </rPh>
    <rPh sb="18" eb="20">
      <t>セイドウ</t>
    </rPh>
    <rPh sb="23" eb="25">
      <t>エンカ</t>
    </rPh>
    <rPh sb="36" eb="37">
      <t>ソ</t>
    </rPh>
    <rPh sb="39" eb="40">
      <t>キン</t>
    </rPh>
    <rPh sb="40" eb="41">
      <t>ケイ</t>
    </rPh>
    <rPh sb="41" eb="42">
      <t>キョク</t>
    </rPh>
    <rPh sb="43" eb="45">
      <t>スイケイ</t>
    </rPh>
    <rPh sb="45" eb="47">
      <t>ホウホウ</t>
    </rPh>
    <rPh sb="51" eb="52">
      <t>ネン</t>
    </rPh>
    <rPh sb="52" eb="53">
      <t>ヒョウ</t>
    </rPh>
    <rPh sb="56" eb="57">
      <t>ネン</t>
    </rPh>
    <rPh sb="57" eb="58">
      <t>ヒョウ</t>
    </rPh>
    <rPh sb="59" eb="61">
      <t>ドウヨウ</t>
    </rPh>
    <phoneticPr fontId="14"/>
  </si>
  <si>
    <t>経セン組替集計</t>
    <rPh sb="0" eb="1">
      <t>ケイ</t>
    </rPh>
    <rPh sb="3" eb="5">
      <t>クミカエ</t>
    </rPh>
    <rPh sb="5" eb="6">
      <t>シュウ</t>
    </rPh>
    <rPh sb="6" eb="7">
      <t>ケイ</t>
    </rPh>
    <phoneticPr fontId="14"/>
  </si>
  <si>
    <t>2031-011</t>
    <phoneticPr fontId="5"/>
  </si>
  <si>
    <t>左記資料ともに県値なし</t>
    <rPh sb="0" eb="2">
      <t>サキ</t>
    </rPh>
    <rPh sb="2" eb="4">
      <t>シリョウ</t>
    </rPh>
    <rPh sb="7" eb="8">
      <t>ケン</t>
    </rPh>
    <rPh sb="8" eb="9">
      <t>チ</t>
    </rPh>
    <phoneticPr fontId="14"/>
  </si>
  <si>
    <t>　エチレン</t>
    <phoneticPr fontId="5"/>
  </si>
  <si>
    <t>　プロピレン</t>
    <phoneticPr fontId="5"/>
  </si>
  <si>
    <t>　その他の石油化学基礎製品</t>
    <phoneticPr fontId="5"/>
  </si>
  <si>
    <t>2031-021</t>
    <phoneticPr fontId="5"/>
  </si>
  <si>
    <t xml:space="preserve"> 純ベンゼン</t>
    <phoneticPr fontId="5"/>
  </si>
  <si>
    <t>県値なし</t>
    <rPh sb="0" eb="1">
      <t>ケン</t>
    </rPh>
    <rPh sb="1" eb="2">
      <t>チ</t>
    </rPh>
    <phoneticPr fontId="14"/>
  </si>
  <si>
    <t xml:space="preserve"> 純トルエン</t>
    <phoneticPr fontId="5"/>
  </si>
  <si>
    <t xml:space="preserve"> キシレン</t>
    <phoneticPr fontId="5"/>
  </si>
  <si>
    <t>生動組替集計、経セン組替第５表</t>
    <rPh sb="0" eb="2">
      <t>セイドウ</t>
    </rPh>
    <rPh sb="2" eb="4">
      <t>クミカエ</t>
    </rPh>
    <rPh sb="4" eb="5">
      <t>シュウ</t>
    </rPh>
    <rPh sb="5" eb="6">
      <t>ケイ</t>
    </rPh>
    <rPh sb="7" eb="8">
      <t>ケイ</t>
    </rPh>
    <rPh sb="10" eb="12">
      <t>クミカエ</t>
    </rPh>
    <rPh sb="12" eb="13">
      <t>ダイ</t>
    </rPh>
    <rPh sb="14" eb="15">
      <t>ヒョウ</t>
    </rPh>
    <phoneticPr fontId="14"/>
  </si>
  <si>
    <t xml:space="preserve"> その他の石油化学系芳香族製品</t>
    <phoneticPr fontId="5"/>
  </si>
  <si>
    <t>2041-011</t>
    <phoneticPr fontId="5"/>
  </si>
  <si>
    <t xml:space="preserve"> 合成オクタノール・ブタノール</t>
    <phoneticPr fontId="5"/>
  </si>
  <si>
    <t xml:space="preserve"> 二塩化エチレン</t>
    <phoneticPr fontId="5"/>
  </si>
  <si>
    <t>生動組替集計、提供国値（第２次）</t>
    <rPh sb="0" eb="2">
      <t>セイドウ</t>
    </rPh>
    <rPh sb="2" eb="4">
      <t>クミカエ</t>
    </rPh>
    <rPh sb="4" eb="5">
      <t>シュウ</t>
    </rPh>
    <rPh sb="5" eb="6">
      <t>ケイ</t>
    </rPh>
    <rPh sb="7" eb="9">
      <t>テイキョウ</t>
    </rPh>
    <rPh sb="9" eb="11">
      <t>クニチ</t>
    </rPh>
    <rPh sb="12" eb="13">
      <t>ダイ</t>
    </rPh>
    <rPh sb="14" eb="15">
      <t>ジ</t>
    </rPh>
    <phoneticPr fontId="14"/>
  </si>
  <si>
    <t xml:space="preserve"> アクリロニトリル</t>
    <phoneticPr fontId="5"/>
  </si>
  <si>
    <t xml:space="preserve"> エチレングリコール</t>
    <phoneticPr fontId="5"/>
  </si>
  <si>
    <t xml:space="preserve"> 酢酸ビニルモノマー</t>
    <phoneticPr fontId="5"/>
  </si>
  <si>
    <t xml:space="preserve"> その他の脂肪族中間物</t>
    <phoneticPr fontId="5"/>
  </si>
  <si>
    <t>R2国CTから「酢酸」が項目からなくなっているので、「酢酸」の数値もこちらに入れた。</t>
    <rPh sb="2" eb="3">
      <t>クニ</t>
    </rPh>
    <rPh sb="8" eb="10">
      <t>サクサン</t>
    </rPh>
    <rPh sb="12" eb="14">
      <t>コウモク</t>
    </rPh>
    <rPh sb="27" eb="29">
      <t>サクサン</t>
    </rPh>
    <rPh sb="31" eb="33">
      <t>スウチ</t>
    </rPh>
    <rPh sb="38" eb="39">
      <t>イ</t>
    </rPh>
    <phoneticPr fontId="5"/>
  </si>
  <si>
    <t>2041-021</t>
    <phoneticPr fontId="5"/>
  </si>
  <si>
    <t xml:space="preserve"> 合成染料・有機顔料</t>
    <rPh sb="6" eb="8">
      <t>ユウキ</t>
    </rPh>
    <rPh sb="8" eb="10">
      <t>ガンリョウ</t>
    </rPh>
    <phoneticPr fontId="14"/>
  </si>
  <si>
    <t>経セン組替表「その他の合成染料」-「アゾ顔料」で算出した。</t>
    <rPh sb="0" eb="1">
      <t>ケイ</t>
    </rPh>
    <rPh sb="3" eb="5">
      <t>クミカエ</t>
    </rPh>
    <rPh sb="5" eb="6">
      <t>ヒョウ</t>
    </rPh>
    <rPh sb="9" eb="10">
      <t>タ</t>
    </rPh>
    <rPh sb="11" eb="13">
      <t>ゴウセイ</t>
    </rPh>
    <rPh sb="13" eb="15">
      <t>センリョウ</t>
    </rPh>
    <rPh sb="20" eb="22">
      <t>ガンリョウ</t>
    </rPh>
    <rPh sb="24" eb="26">
      <t>サンシュツ</t>
    </rPh>
    <phoneticPr fontId="5"/>
  </si>
  <si>
    <t>半製品・仕掛品は下で推計しているので含んでいない。</t>
    <rPh sb="0" eb="3">
      <t>ハンセイヒン</t>
    </rPh>
    <rPh sb="4" eb="6">
      <t>シカケ</t>
    </rPh>
    <rPh sb="6" eb="7">
      <t>ヒン</t>
    </rPh>
    <rPh sb="8" eb="9">
      <t>シタ</t>
    </rPh>
    <rPh sb="10" eb="12">
      <t>スイケイ</t>
    </rPh>
    <rPh sb="18" eb="19">
      <t>フク</t>
    </rPh>
    <phoneticPr fontId="14"/>
  </si>
  <si>
    <t xml:space="preserve"> スチレンモノマー</t>
    <phoneticPr fontId="5"/>
  </si>
  <si>
    <t xml:space="preserve"> フェノール（合成石炭酸）</t>
    <phoneticPr fontId="5"/>
  </si>
  <si>
    <t xml:space="preserve"> テレフタル酸・ジメチルテレフタレート</t>
    <phoneticPr fontId="5"/>
  </si>
  <si>
    <t xml:space="preserve"> カプロラクタム</t>
    <phoneticPr fontId="5"/>
  </si>
  <si>
    <t xml:space="preserve"> その他の環式中間物</t>
    <phoneticPr fontId="5"/>
  </si>
  <si>
    <t>H27年表では全て生動組替集計を使用していたが、経センの方が数字が大きくなっている箇所があることから、経センで数値を捉えられる物は捉え、残りは生動で数値を拾うことにした。</t>
    <rPh sb="3" eb="4">
      <t>ネン</t>
    </rPh>
    <rPh sb="4" eb="5">
      <t>ヒョウ</t>
    </rPh>
    <rPh sb="7" eb="8">
      <t>スベ</t>
    </rPh>
    <rPh sb="9" eb="11">
      <t>セイドウ</t>
    </rPh>
    <rPh sb="11" eb="13">
      <t>クミカエ</t>
    </rPh>
    <rPh sb="13" eb="15">
      <t>シュウケイ</t>
    </rPh>
    <rPh sb="16" eb="18">
      <t>シヨウ</t>
    </rPh>
    <rPh sb="24" eb="25">
      <t>ケイ</t>
    </rPh>
    <rPh sb="28" eb="29">
      <t>ホウ</t>
    </rPh>
    <rPh sb="30" eb="32">
      <t>スウジ</t>
    </rPh>
    <rPh sb="33" eb="34">
      <t>オオ</t>
    </rPh>
    <rPh sb="41" eb="43">
      <t>カショ</t>
    </rPh>
    <rPh sb="51" eb="52">
      <t>ケイ</t>
    </rPh>
    <rPh sb="55" eb="57">
      <t>スウチ</t>
    </rPh>
    <rPh sb="58" eb="59">
      <t>トラ</t>
    </rPh>
    <rPh sb="63" eb="64">
      <t>モノ</t>
    </rPh>
    <rPh sb="65" eb="66">
      <t>トラ</t>
    </rPh>
    <rPh sb="68" eb="69">
      <t>ノコ</t>
    </rPh>
    <rPh sb="71" eb="73">
      <t>セイドウ</t>
    </rPh>
    <rPh sb="74" eb="76">
      <t>スウチ</t>
    </rPh>
    <rPh sb="77" eb="78">
      <t>ヒロ</t>
    </rPh>
    <phoneticPr fontId="5"/>
  </si>
  <si>
    <t>　フェノール樹脂</t>
    <phoneticPr fontId="5"/>
  </si>
  <si>
    <t>　ユリア樹脂</t>
    <phoneticPr fontId="5"/>
  </si>
  <si>
    <t>301～304</t>
    <phoneticPr fontId="5"/>
  </si>
  <si>
    <t>　メラミン樹脂</t>
    <phoneticPr fontId="5"/>
  </si>
  <si>
    <t>　不飽和ポリエステル樹脂</t>
    <phoneticPr fontId="5"/>
  </si>
  <si>
    <t>　アルキド樹脂</t>
    <phoneticPr fontId="5"/>
  </si>
  <si>
    <t>　エポキシ樹脂</t>
    <phoneticPr fontId="5"/>
  </si>
  <si>
    <t>　けい素樹脂（シロキサン）</t>
    <phoneticPr fontId="5"/>
  </si>
  <si>
    <t>　半製品及び仕掛品</t>
    <phoneticPr fontId="5"/>
  </si>
  <si>
    <t>2051-021</t>
    <phoneticPr fontId="5"/>
  </si>
  <si>
    <t>101～Y02</t>
    <phoneticPr fontId="5"/>
  </si>
  <si>
    <t xml:space="preserve"> ポリエチレン（低密度）・（高密度）</t>
    <rPh sb="14" eb="17">
      <t>コウミツド</t>
    </rPh>
    <phoneticPr fontId="14"/>
  </si>
  <si>
    <t>301～Y03</t>
    <phoneticPr fontId="5"/>
  </si>
  <si>
    <t xml:space="preserve"> ポリスチレン</t>
    <phoneticPr fontId="14"/>
  </si>
  <si>
    <t>H27年表では生動からとっていたが、経センの方が数値が大きいのでR2は経センに変更。</t>
    <rPh sb="3" eb="4">
      <t>ネン</t>
    </rPh>
    <rPh sb="4" eb="5">
      <t>ヒョウ</t>
    </rPh>
    <rPh sb="7" eb="9">
      <t>セイドウ</t>
    </rPh>
    <rPh sb="18" eb="19">
      <t>ケイ</t>
    </rPh>
    <rPh sb="22" eb="23">
      <t>ホウ</t>
    </rPh>
    <rPh sb="24" eb="26">
      <t>スウチ</t>
    </rPh>
    <rPh sb="27" eb="28">
      <t>オオ</t>
    </rPh>
    <rPh sb="35" eb="36">
      <t>ケイ</t>
    </rPh>
    <rPh sb="39" eb="41">
      <t>ヘンコウ</t>
    </rPh>
    <phoneticPr fontId="5"/>
  </si>
  <si>
    <t xml:space="preserve"> ポリプロピレン</t>
    <phoneticPr fontId="14"/>
  </si>
  <si>
    <t xml:space="preserve"> 塩化ビニル樹脂</t>
    <phoneticPr fontId="14"/>
  </si>
  <si>
    <t>Y05</t>
    <phoneticPr fontId="5"/>
  </si>
  <si>
    <t>101～Y01</t>
    <phoneticPr fontId="5"/>
  </si>
  <si>
    <t>マニュアルでは生動を使うようには特に書かれていないため、経セン組替第５表を用いて推計したところ、近畿値より大きくなってしまった。このため、10桁品目ごとに生動を使って推計した。→H27年表、R2年表も同様とする</t>
    <rPh sb="7" eb="9">
      <t>セイドウ</t>
    </rPh>
    <rPh sb="10" eb="11">
      <t>ツカ</t>
    </rPh>
    <rPh sb="16" eb="17">
      <t>トク</t>
    </rPh>
    <rPh sb="18" eb="19">
      <t>カ</t>
    </rPh>
    <rPh sb="28" eb="29">
      <t>ケイ</t>
    </rPh>
    <rPh sb="31" eb="33">
      <t>クミカエ</t>
    </rPh>
    <rPh sb="33" eb="34">
      <t>ダイ</t>
    </rPh>
    <rPh sb="35" eb="36">
      <t>ヒョウ</t>
    </rPh>
    <rPh sb="37" eb="38">
      <t>モチ</t>
    </rPh>
    <rPh sb="40" eb="42">
      <t>スイケイ</t>
    </rPh>
    <rPh sb="48" eb="50">
      <t>キンキ</t>
    </rPh>
    <rPh sb="50" eb="51">
      <t>チ</t>
    </rPh>
    <rPh sb="53" eb="54">
      <t>オオ</t>
    </rPh>
    <rPh sb="71" eb="72">
      <t>ケタ</t>
    </rPh>
    <rPh sb="72" eb="74">
      <t>ヒンモク</t>
    </rPh>
    <rPh sb="77" eb="79">
      <t>セイドウ</t>
    </rPh>
    <rPh sb="80" eb="81">
      <t>ツカ</t>
    </rPh>
    <rPh sb="83" eb="85">
      <t>スイケイ</t>
    </rPh>
    <rPh sb="92" eb="93">
      <t>ネン</t>
    </rPh>
    <rPh sb="93" eb="94">
      <t>ヒョウ</t>
    </rPh>
    <rPh sb="97" eb="98">
      <t>ネン</t>
    </rPh>
    <rPh sb="98" eb="99">
      <t>ヒョウ</t>
    </rPh>
    <rPh sb="100" eb="102">
      <t>ドウヨウ</t>
    </rPh>
    <phoneticPr fontId="14"/>
  </si>
  <si>
    <t>2061-011</t>
    <phoneticPr fontId="5"/>
  </si>
  <si>
    <t xml:space="preserve"> レーヨン・アセテート</t>
    <phoneticPr fontId="5"/>
  </si>
  <si>
    <t xml:space="preserve"> 合成繊維</t>
    <phoneticPr fontId="5"/>
  </si>
  <si>
    <t>206～207</t>
    <phoneticPr fontId="5"/>
  </si>
  <si>
    <t>208</t>
    <phoneticPr fontId="5"/>
  </si>
  <si>
    <t>上記に含まれているため推計せず</t>
    <rPh sb="0" eb="2">
      <t>ジョウキ</t>
    </rPh>
    <rPh sb="3" eb="4">
      <t>フク</t>
    </rPh>
    <rPh sb="11" eb="13">
      <t>スイケイ</t>
    </rPh>
    <phoneticPr fontId="14"/>
  </si>
  <si>
    <t>薬事工業生産動態統計</t>
    <rPh sb="0" eb="2">
      <t>ヤクジ</t>
    </rPh>
    <rPh sb="2" eb="4">
      <t>コウギョウ</t>
    </rPh>
    <rPh sb="4" eb="6">
      <t>セイサン</t>
    </rPh>
    <rPh sb="6" eb="8">
      <t>ドウタイ</t>
    </rPh>
    <rPh sb="8" eb="10">
      <t>トウケイ</t>
    </rPh>
    <phoneticPr fontId="14"/>
  </si>
  <si>
    <t>生産金額をＣＴとする→薬事工業生産動態統計がR1年度から調査方法変更になっているが、当該調査R2全国値とR2国CTの数値がほぼ一致しているので、引き続き生産金額を県CTとして採用して問題ないと判断。</t>
    <rPh sb="0" eb="2">
      <t>セイサン</t>
    </rPh>
    <rPh sb="2" eb="4">
      <t>キンガク</t>
    </rPh>
    <rPh sb="11" eb="13">
      <t>ヤクジ</t>
    </rPh>
    <rPh sb="13" eb="15">
      <t>コウギョウ</t>
    </rPh>
    <rPh sb="15" eb="17">
      <t>セイサン</t>
    </rPh>
    <rPh sb="17" eb="19">
      <t>ドウタイ</t>
    </rPh>
    <rPh sb="19" eb="21">
      <t>トウケイ</t>
    </rPh>
    <rPh sb="24" eb="26">
      <t>ネンド</t>
    </rPh>
    <rPh sb="28" eb="30">
      <t>チョウサ</t>
    </rPh>
    <rPh sb="30" eb="32">
      <t>ホウホウ</t>
    </rPh>
    <rPh sb="32" eb="34">
      <t>ヘンコウ</t>
    </rPh>
    <rPh sb="42" eb="44">
      <t>トウガイ</t>
    </rPh>
    <rPh sb="44" eb="46">
      <t>チョウサ</t>
    </rPh>
    <rPh sb="48" eb="50">
      <t>ゼンコク</t>
    </rPh>
    <rPh sb="50" eb="51">
      <t>チ</t>
    </rPh>
    <rPh sb="54" eb="55">
      <t>クニ</t>
    </rPh>
    <rPh sb="58" eb="60">
      <t>スウチ</t>
    </rPh>
    <rPh sb="63" eb="65">
      <t>イッチ</t>
    </rPh>
    <rPh sb="72" eb="73">
      <t>ヒ</t>
    </rPh>
    <rPh sb="74" eb="75">
      <t>ツヅ</t>
    </rPh>
    <rPh sb="76" eb="78">
      <t>セイサン</t>
    </rPh>
    <rPh sb="78" eb="80">
      <t>キンガク</t>
    </rPh>
    <rPh sb="81" eb="82">
      <t>ケン</t>
    </rPh>
    <rPh sb="87" eb="89">
      <t>サイヨウ</t>
    </rPh>
    <rPh sb="91" eb="93">
      <t>モンダイ</t>
    </rPh>
    <rPh sb="96" eb="98">
      <t>ハンダン</t>
    </rPh>
    <phoneticPr fontId="14"/>
  </si>
  <si>
    <t>県値ではなく近畿値でしか公表されていない。このため、近畿値の医薬部外品のＨ23→Ｈ27への生産金額の伸び率（1.313）を23年表のＣＴ値に乗じて算出→長年近畿値の伸び率を掛けて算出してきたが、R2年表では国CTを経セン組替表「医薬品製剤（医薬部外品製剤を含む）」の数値で按分する方法に変更する。</t>
    <rPh sb="0" eb="1">
      <t>ケン</t>
    </rPh>
    <rPh sb="1" eb="2">
      <t>チ</t>
    </rPh>
    <rPh sb="6" eb="8">
      <t>キンキ</t>
    </rPh>
    <rPh sb="8" eb="9">
      <t>チ</t>
    </rPh>
    <rPh sb="12" eb="14">
      <t>コウヒョウ</t>
    </rPh>
    <rPh sb="26" eb="28">
      <t>キンキ</t>
    </rPh>
    <rPh sb="28" eb="29">
      <t>チ</t>
    </rPh>
    <rPh sb="30" eb="32">
      <t>イヤク</t>
    </rPh>
    <rPh sb="32" eb="35">
      <t>ブガイヒン</t>
    </rPh>
    <rPh sb="45" eb="47">
      <t>セイサン</t>
    </rPh>
    <rPh sb="47" eb="49">
      <t>キンガク</t>
    </rPh>
    <rPh sb="50" eb="51">
      <t>ノ</t>
    </rPh>
    <rPh sb="52" eb="53">
      <t>リツ</t>
    </rPh>
    <rPh sb="63" eb="64">
      <t>ネン</t>
    </rPh>
    <rPh sb="64" eb="65">
      <t>ヒョウ</t>
    </rPh>
    <rPh sb="68" eb="69">
      <t>アタイ</t>
    </rPh>
    <rPh sb="70" eb="71">
      <t>ジョウ</t>
    </rPh>
    <rPh sb="73" eb="75">
      <t>サンシュツ</t>
    </rPh>
    <rPh sb="76" eb="78">
      <t>ナガネン</t>
    </rPh>
    <rPh sb="78" eb="80">
      <t>キンキ</t>
    </rPh>
    <rPh sb="80" eb="81">
      <t>チ</t>
    </rPh>
    <rPh sb="82" eb="83">
      <t>ノ</t>
    </rPh>
    <rPh sb="84" eb="85">
      <t>リツ</t>
    </rPh>
    <rPh sb="86" eb="87">
      <t>カ</t>
    </rPh>
    <rPh sb="89" eb="91">
      <t>サンシュツ</t>
    </rPh>
    <rPh sb="99" eb="100">
      <t>ネン</t>
    </rPh>
    <rPh sb="100" eb="101">
      <t>ヒョウ</t>
    </rPh>
    <rPh sb="103" eb="104">
      <t>クニ</t>
    </rPh>
    <rPh sb="107" eb="108">
      <t>ケイ</t>
    </rPh>
    <rPh sb="110" eb="112">
      <t>クミカエ</t>
    </rPh>
    <rPh sb="112" eb="113">
      <t>ヒョウ</t>
    </rPh>
    <rPh sb="114" eb="117">
      <t>イヤクヒン</t>
    </rPh>
    <rPh sb="117" eb="119">
      <t>セイザイ</t>
    </rPh>
    <rPh sb="120" eb="122">
      <t>イヤク</t>
    </rPh>
    <rPh sb="122" eb="125">
      <t>ブガイヒン</t>
    </rPh>
    <rPh sb="125" eb="127">
      <t>セイザイ</t>
    </rPh>
    <rPh sb="128" eb="129">
      <t>フク</t>
    </rPh>
    <rPh sb="133" eb="135">
      <t>スウチ</t>
    </rPh>
    <rPh sb="136" eb="138">
      <t>アンブン</t>
    </rPh>
    <rPh sb="140" eb="142">
      <t>ホウホウ</t>
    </rPh>
    <rPh sb="143" eb="145">
      <t>ヘンコウ</t>
    </rPh>
    <phoneticPr fontId="14"/>
  </si>
  <si>
    <t>半製品・仕掛品は下行で「医薬品」として一括推計するので含めていない。</t>
    <rPh sb="0" eb="3">
      <t>ハンセイヒン</t>
    </rPh>
    <rPh sb="4" eb="6">
      <t>シカケ</t>
    </rPh>
    <rPh sb="6" eb="7">
      <t>ヒン</t>
    </rPh>
    <rPh sb="8" eb="9">
      <t>シタ</t>
    </rPh>
    <rPh sb="9" eb="10">
      <t>ギョウ</t>
    </rPh>
    <rPh sb="12" eb="15">
      <t>イヤクヒン</t>
    </rPh>
    <rPh sb="19" eb="21">
      <t>イッカツ</t>
    </rPh>
    <rPh sb="21" eb="23">
      <t>スイケイ</t>
    </rPh>
    <rPh sb="27" eb="28">
      <t>フク</t>
    </rPh>
    <phoneticPr fontId="14"/>
  </si>
  <si>
    <t>国ＣＴでは本部門の下に10桁細品目があるのだが、県では存在しない細品目もあること、さらに、前回表でもこの部門一括で推計していることから、細品目の積上げはせず、部門一括推計とした。経セン組替表からの直接入力→R2年表も同様とする。</t>
    <rPh sb="0" eb="1">
      <t>クニ</t>
    </rPh>
    <rPh sb="5" eb="7">
      <t>ホンブ</t>
    </rPh>
    <rPh sb="7" eb="8">
      <t>モン</t>
    </rPh>
    <rPh sb="9" eb="10">
      <t>シタ</t>
    </rPh>
    <rPh sb="13" eb="14">
      <t>ケタ</t>
    </rPh>
    <rPh sb="14" eb="15">
      <t>サイ</t>
    </rPh>
    <rPh sb="15" eb="17">
      <t>ヒンモク</t>
    </rPh>
    <rPh sb="24" eb="25">
      <t>ケン</t>
    </rPh>
    <rPh sb="27" eb="29">
      <t>ソンザイ</t>
    </rPh>
    <rPh sb="32" eb="33">
      <t>サイ</t>
    </rPh>
    <rPh sb="33" eb="35">
      <t>ヒンモク</t>
    </rPh>
    <rPh sb="45" eb="47">
      <t>ゼンカイ</t>
    </rPh>
    <rPh sb="47" eb="48">
      <t>ヒョウ</t>
    </rPh>
    <rPh sb="52" eb="54">
      <t>ブモン</t>
    </rPh>
    <rPh sb="54" eb="56">
      <t>イッカツ</t>
    </rPh>
    <rPh sb="57" eb="59">
      <t>スイケイ</t>
    </rPh>
    <rPh sb="68" eb="69">
      <t>サイ</t>
    </rPh>
    <rPh sb="69" eb="71">
      <t>ヒンモク</t>
    </rPh>
    <rPh sb="72" eb="73">
      <t>ツ</t>
    </rPh>
    <rPh sb="73" eb="74">
      <t>ア</t>
    </rPh>
    <rPh sb="79" eb="81">
      <t>ブモン</t>
    </rPh>
    <rPh sb="81" eb="83">
      <t>イッカツ</t>
    </rPh>
    <rPh sb="83" eb="85">
      <t>スイケイ</t>
    </rPh>
    <rPh sb="89" eb="90">
      <t>キョウ</t>
    </rPh>
    <rPh sb="105" eb="106">
      <t>ネン</t>
    </rPh>
    <rPh sb="106" eb="107">
      <t>ヒョウ</t>
    </rPh>
    <rPh sb="108" eb="110">
      <t>ドウヨウ</t>
    </rPh>
    <phoneticPr fontId="14"/>
  </si>
  <si>
    <t>国ＣＴは前回表から減っているのに県値は大幅増になった。生動を使っても経センを使ってもあまり結果は変わらない上、近経局と同様の推計方法であることから補正しない。→27年表も同様とする</t>
    <rPh sb="9" eb="10">
      <t>ヘ</t>
    </rPh>
    <rPh sb="82" eb="83">
      <t>ネン</t>
    </rPh>
    <rPh sb="83" eb="84">
      <t>ヒョウ</t>
    </rPh>
    <rPh sb="85" eb="87">
      <t>ドウヨウ</t>
    </rPh>
    <phoneticPr fontId="14"/>
  </si>
  <si>
    <t>経産省の提示資料p268によると、一般インキと補助剤の割合はほぼ一定であり、17年全国表でのその割合は0.024286であった。県では17年表では「一般インキ」としての表章はしていなかったため、この全国表の割合を利用した。　→27年表もこの考え方を踏襲し、23年国CTの0.024285を用いる。→R2年表も同様とする。</t>
    <rPh sb="0" eb="3">
      <t>ケイサンショウ</t>
    </rPh>
    <rPh sb="4" eb="6">
      <t>テイジ</t>
    </rPh>
    <rPh sb="6" eb="8">
      <t>シリョウ</t>
    </rPh>
    <rPh sb="17" eb="19">
      <t>イッパン</t>
    </rPh>
    <rPh sb="23" eb="25">
      <t>ホジョ</t>
    </rPh>
    <rPh sb="25" eb="26">
      <t>ザイ</t>
    </rPh>
    <rPh sb="27" eb="29">
      <t>ワリアイ</t>
    </rPh>
    <rPh sb="32" eb="34">
      <t>イッテイ</t>
    </rPh>
    <rPh sb="40" eb="41">
      <t>ネン</t>
    </rPh>
    <rPh sb="41" eb="43">
      <t>ゼンコク</t>
    </rPh>
    <rPh sb="43" eb="44">
      <t>ヒョウ</t>
    </rPh>
    <rPh sb="48" eb="50">
      <t>ワリアイ</t>
    </rPh>
    <rPh sb="64" eb="65">
      <t>ケン</t>
    </rPh>
    <rPh sb="69" eb="70">
      <t>ネン</t>
    </rPh>
    <rPh sb="70" eb="71">
      <t>ヒョウ</t>
    </rPh>
    <rPh sb="74" eb="76">
      <t>イッパン</t>
    </rPh>
    <rPh sb="84" eb="85">
      <t>ヒョウ</t>
    </rPh>
    <rPh sb="85" eb="86">
      <t>ショウ</t>
    </rPh>
    <rPh sb="99" eb="101">
      <t>ゼンコク</t>
    </rPh>
    <rPh sb="101" eb="102">
      <t>ヒョウ</t>
    </rPh>
    <rPh sb="103" eb="105">
      <t>ワリアイ</t>
    </rPh>
    <rPh sb="106" eb="108">
      <t>リヨウ</t>
    </rPh>
    <rPh sb="115" eb="116">
      <t>ネン</t>
    </rPh>
    <rPh sb="116" eb="117">
      <t>ヒョウ</t>
    </rPh>
    <rPh sb="120" eb="121">
      <t>カンガ</t>
    </rPh>
    <rPh sb="122" eb="123">
      <t>カタ</t>
    </rPh>
    <rPh sb="124" eb="126">
      <t>トウシュウ</t>
    </rPh>
    <rPh sb="130" eb="131">
      <t>ネン</t>
    </rPh>
    <rPh sb="131" eb="132">
      <t>クニ</t>
    </rPh>
    <rPh sb="144" eb="145">
      <t>モチ</t>
    </rPh>
    <rPh sb="151" eb="152">
      <t>ネン</t>
    </rPh>
    <rPh sb="152" eb="153">
      <t>ヒョウ</t>
    </rPh>
    <rPh sb="154" eb="156">
      <t>ドウヨウ</t>
    </rPh>
    <phoneticPr fontId="14"/>
  </si>
  <si>
    <t>Q,V：農薬要覧（日本植物防疫協会）　V／Q</t>
    <rPh sb="4" eb="6">
      <t>ノウヤク</t>
    </rPh>
    <rPh sb="6" eb="8">
      <t>ヨウラン</t>
    </rPh>
    <rPh sb="9" eb="11">
      <t>ニホン</t>
    </rPh>
    <rPh sb="11" eb="13">
      <t>ショクブツ</t>
    </rPh>
    <rPh sb="13" eb="15">
      <t>ボウエキ</t>
    </rPh>
    <rPh sb="15" eb="17">
      <t>キョウカイ</t>
    </rPh>
    <phoneticPr fontId="14"/>
  </si>
  <si>
    <t xml:space="preserve">  その他の農薬</t>
    <phoneticPr fontId="5"/>
  </si>
  <si>
    <t>国ＣＴでは本部門の下に10桁細品目があるのだが、県で存在しない細品目もあること、さらに、前回表でもこの部門一括で推計していることから、細品目の積上げはせず、部門一括推計とした。経セン組替表からの直接入力</t>
    <phoneticPr fontId="5"/>
  </si>
  <si>
    <t>近経局と同じく生動から直接とった。→H27,R2年表も同様とした</t>
    <rPh sb="0" eb="1">
      <t>キン</t>
    </rPh>
    <rPh sb="1" eb="2">
      <t>ケイ</t>
    </rPh>
    <rPh sb="2" eb="3">
      <t>キョク</t>
    </rPh>
    <rPh sb="4" eb="5">
      <t>オナ</t>
    </rPh>
    <rPh sb="7" eb="9">
      <t>セイドウ</t>
    </rPh>
    <rPh sb="11" eb="13">
      <t>チョクセツ</t>
    </rPh>
    <rPh sb="24" eb="25">
      <t>ネン</t>
    </rPh>
    <rPh sb="25" eb="26">
      <t>ヒョウ</t>
    </rPh>
    <rPh sb="27" eb="29">
      <t>ドウヨウ</t>
    </rPh>
    <phoneticPr fontId="14"/>
  </si>
  <si>
    <t>経済センサス組替　第５表</t>
    <rPh sb="0" eb="2">
      <t>ケイザイ</t>
    </rPh>
    <phoneticPr fontId="14"/>
  </si>
  <si>
    <t>左記資料に県値なし</t>
    <rPh sb="0" eb="2">
      <t>サキ</t>
    </rPh>
    <rPh sb="2" eb="4">
      <t>シリョウ</t>
    </rPh>
    <rPh sb="5" eb="6">
      <t>ケン</t>
    </rPh>
    <rPh sb="6" eb="7">
      <t>チ</t>
    </rPh>
    <phoneticPr fontId="14"/>
  </si>
  <si>
    <t>経セン直接入力</t>
    <rPh sb="0" eb="1">
      <t>ケイ</t>
    </rPh>
    <rPh sb="3" eb="5">
      <t>チョクセツ</t>
    </rPh>
    <rPh sb="5" eb="7">
      <t>ニュウリョク</t>
    </rPh>
    <phoneticPr fontId="14"/>
  </si>
  <si>
    <t>経セン直接入力</t>
  </si>
  <si>
    <t>2312-011</t>
    <phoneticPr fontId="5"/>
  </si>
  <si>
    <t xml:space="preserve">   製革・毛皮</t>
    <rPh sb="4" eb="5">
      <t>カワ</t>
    </rPh>
    <phoneticPr fontId="14"/>
  </si>
  <si>
    <t xml:space="preserve">   かばん・袋物・その他の革製品</t>
    <phoneticPr fontId="5"/>
  </si>
  <si>
    <t>2511-011</t>
    <phoneticPr fontId="5"/>
  </si>
  <si>
    <t xml:space="preserve">   板ガラス</t>
    <phoneticPr fontId="5"/>
  </si>
  <si>
    <t>生動と経センで板ガラスと安全ガラス・複層ガラスの区分が異なっているが、トータルでは経センの方が数値が大きいので、27表と同様に経センの区分に従って入力する。</t>
    <rPh sb="0" eb="2">
      <t>セイドウ</t>
    </rPh>
    <rPh sb="3" eb="4">
      <t>ケイ</t>
    </rPh>
    <rPh sb="7" eb="8">
      <t>イタ</t>
    </rPh>
    <rPh sb="12" eb="14">
      <t>アンゼン</t>
    </rPh>
    <rPh sb="18" eb="20">
      <t>フクソウ</t>
    </rPh>
    <rPh sb="24" eb="26">
      <t>クブン</t>
    </rPh>
    <rPh sb="27" eb="28">
      <t>コト</t>
    </rPh>
    <rPh sb="41" eb="42">
      <t>ケイ</t>
    </rPh>
    <rPh sb="45" eb="46">
      <t>ホウ</t>
    </rPh>
    <rPh sb="47" eb="49">
      <t>スウチ</t>
    </rPh>
    <rPh sb="50" eb="51">
      <t>オオ</t>
    </rPh>
    <rPh sb="58" eb="59">
      <t>ヒョウ</t>
    </rPh>
    <rPh sb="60" eb="62">
      <t>ドウヨウ</t>
    </rPh>
    <rPh sb="63" eb="64">
      <t>ケイ</t>
    </rPh>
    <rPh sb="67" eb="69">
      <t>クブン</t>
    </rPh>
    <rPh sb="70" eb="71">
      <t>シタガ</t>
    </rPh>
    <rPh sb="73" eb="75">
      <t>ニュウリョク</t>
    </rPh>
    <phoneticPr fontId="5"/>
  </si>
  <si>
    <t xml:space="preserve">   安全ガラス・複層ガラス</t>
    <phoneticPr fontId="5"/>
  </si>
  <si>
    <t xml:space="preserve">  ポルトランドセメント（普通）</t>
    <phoneticPr fontId="14"/>
  </si>
  <si>
    <t>貿易統計から輸出数量を取るようにあるが、都道府県別の数量がどこから取れるか発見できなかった。このため、近畿値を管内７府県分で単純に除した。　→27年表は前回表同値とする。→生産動態統計調査では県値はクリンカの生産数量≒消費となっているので、販売はほぼないため、ゼロとする。</t>
    <rPh sb="0" eb="2">
      <t>ボウエキ</t>
    </rPh>
    <rPh sb="2" eb="4">
      <t>トウケイ</t>
    </rPh>
    <rPh sb="6" eb="8">
      <t>ユシュツ</t>
    </rPh>
    <rPh sb="8" eb="10">
      <t>スウリョウ</t>
    </rPh>
    <rPh sb="11" eb="12">
      <t>ト</t>
    </rPh>
    <rPh sb="20" eb="24">
      <t>トドウフケン</t>
    </rPh>
    <rPh sb="24" eb="25">
      <t>ベツ</t>
    </rPh>
    <rPh sb="26" eb="28">
      <t>スウリョウ</t>
    </rPh>
    <rPh sb="33" eb="34">
      <t>ト</t>
    </rPh>
    <rPh sb="37" eb="39">
      <t>ハッケン</t>
    </rPh>
    <rPh sb="51" eb="53">
      <t>キンキ</t>
    </rPh>
    <rPh sb="53" eb="54">
      <t>チ</t>
    </rPh>
    <rPh sb="55" eb="57">
      <t>カンナイ</t>
    </rPh>
    <rPh sb="58" eb="60">
      <t>フケン</t>
    </rPh>
    <rPh sb="60" eb="61">
      <t>ブン</t>
    </rPh>
    <rPh sb="62" eb="64">
      <t>タンジュン</t>
    </rPh>
    <rPh sb="65" eb="66">
      <t>ジョ</t>
    </rPh>
    <rPh sb="73" eb="74">
      <t>ネン</t>
    </rPh>
    <rPh sb="74" eb="75">
      <t>ヒョウ</t>
    </rPh>
    <rPh sb="76" eb="77">
      <t>ゼン</t>
    </rPh>
    <rPh sb="77" eb="79">
      <t>カイヒョウ</t>
    </rPh>
    <rPh sb="79" eb="80">
      <t>ドウ</t>
    </rPh>
    <rPh sb="80" eb="81">
      <t>アタイ</t>
    </rPh>
    <rPh sb="86" eb="88">
      <t>セイサン</t>
    </rPh>
    <rPh sb="88" eb="90">
      <t>ドウタイ</t>
    </rPh>
    <rPh sb="90" eb="92">
      <t>トウケイ</t>
    </rPh>
    <rPh sb="92" eb="94">
      <t>チョウサ</t>
    </rPh>
    <rPh sb="96" eb="98">
      <t>ケンチ</t>
    </rPh>
    <rPh sb="104" eb="106">
      <t>セイサン</t>
    </rPh>
    <rPh sb="106" eb="108">
      <t>スウリョウ</t>
    </rPh>
    <rPh sb="109" eb="111">
      <t>ショウヒ</t>
    </rPh>
    <rPh sb="120" eb="122">
      <t>ハンバイ</t>
    </rPh>
    <phoneticPr fontId="14"/>
  </si>
  <si>
    <t>23年表と同じ経セン組替集計で按分。なお、マニュアルでは経セン直接入力となっているが、大幅に減ってしまうので採用せず。
→R2表では、前回と同様の方法では数値が大幅に増えてしまうので、生動数量×経セン単価（国単価）に変更。詳細は「推計個別ファイル」フォルダ内の「銑鉄」フォルダ参照。</t>
    <rPh sb="2" eb="3">
      <t>ネン</t>
    </rPh>
    <rPh sb="3" eb="4">
      <t>ヒョウ</t>
    </rPh>
    <rPh sb="5" eb="6">
      <t>オナ</t>
    </rPh>
    <rPh sb="7" eb="8">
      <t>キョウ</t>
    </rPh>
    <rPh sb="10" eb="12">
      <t>クミカエ</t>
    </rPh>
    <rPh sb="12" eb="14">
      <t>シュウケイ</t>
    </rPh>
    <rPh sb="15" eb="17">
      <t>アンブン</t>
    </rPh>
    <rPh sb="28" eb="29">
      <t>ケイ</t>
    </rPh>
    <rPh sb="31" eb="33">
      <t>チョクセツ</t>
    </rPh>
    <rPh sb="33" eb="35">
      <t>ニュウリョク</t>
    </rPh>
    <rPh sb="43" eb="45">
      <t>オオハバ</t>
    </rPh>
    <rPh sb="46" eb="47">
      <t>ヘ</t>
    </rPh>
    <rPh sb="54" eb="56">
      <t>サイヨウ</t>
    </rPh>
    <rPh sb="63" eb="64">
      <t>ヒョウ</t>
    </rPh>
    <rPh sb="67" eb="69">
      <t>ゼンカイ</t>
    </rPh>
    <rPh sb="70" eb="72">
      <t>ドウヨウ</t>
    </rPh>
    <rPh sb="73" eb="75">
      <t>ホウホウ</t>
    </rPh>
    <rPh sb="77" eb="79">
      <t>スウチ</t>
    </rPh>
    <rPh sb="80" eb="82">
      <t>オオハバ</t>
    </rPh>
    <rPh sb="83" eb="84">
      <t>フ</t>
    </rPh>
    <rPh sb="92" eb="94">
      <t>セイドウ</t>
    </rPh>
    <rPh sb="94" eb="96">
      <t>スウリョウ</t>
    </rPh>
    <rPh sb="97" eb="98">
      <t>ケイ</t>
    </rPh>
    <rPh sb="100" eb="102">
      <t>タンカ</t>
    </rPh>
    <rPh sb="103" eb="104">
      <t>クニ</t>
    </rPh>
    <rPh sb="104" eb="106">
      <t>タンカ</t>
    </rPh>
    <rPh sb="108" eb="110">
      <t>ヘンコウ</t>
    </rPh>
    <rPh sb="111" eb="113">
      <t>ショウサイ</t>
    </rPh>
    <rPh sb="115" eb="117">
      <t>スイケイ</t>
    </rPh>
    <rPh sb="117" eb="119">
      <t>コベツ</t>
    </rPh>
    <rPh sb="128" eb="129">
      <t>ナイ</t>
    </rPh>
    <rPh sb="131" eb="133">
      <t>センテツ</t>
    </rPh>
    <rPh sb="138" eb="140">
      <t>サンショウ</t>
    </rPh>
    <phoneticPr fontId="14"/>
  </si>
  <si>
    <t>27年表までは数量（生動）×単位（経セン）でとっていたが、国CTの積み上げ品目も経センの分類に準じたものになっているので、経センから直接県CT値をとることに変更する。それにより、27年表の数値より大幅に上昇するが、23年表と比較すると近い数字になる。</t>
    <rPh sb="2" eb="3">
      <t>ネン</t>
    </rPh>
    <rPh sb="3" eb="4">
      <t>ヒョウ</t>
    </rPh>
    <rPh sb="7" eb="9">
      <t>スウリョウ</t>
    </rPh>
    <rPh sb="10" eb="12">
      <t>セイドウ</t>
    </rPh>
    <rPh sb="14" eb="16">
      <t>タンイ</t>
    </rPh>
    <rPh sb="17" eb="18">
      <t>ケイ</t>
    </rPh>
    <rPh sb="29" eb="30">
      <t>クニ</t>
    </rPh>
    <rPh sb="33" eb="34">
      <t>ツ</t>
    </rPh>
    <rPh sb="35" eb="36">
      <t>ア</t>
    </rPh>
    <rPh sb="37" eb="39">
      <t>ヒンモク</t>
    </rPh>
    <rPh sb="40" eb="41">
      <t>ケイ</t>
    </rPh>
    <rPh sb="44" eb="46">
      <t>ブンルイ</t>
    </rPh>
    <rPh sb="47" eb="48">
      <t>ジュン</t>
    </rPh>
    <rPh sb="61" eb="62">
      <t>ケイ</t>
    </rPh>
    <rPh sb="66" eb="68">
      <t>チョクセツ</t>
    </rPh>
    <rPh sb="68" eb="69">
      <t>ケン</t>
    </rPh>
    <rPh sb="71" eb="72">
      <t>チ</t>
    </rPh>
    <rPh sb="78" eb="80">
      <t>ヘンコウ</t>
    </rPh>
    <rPh sb="91" eb="92">
      <t>ネン</t>
    </rPh>
    <rPh sb="92" eb="93">
      <t>ヒョウ</t>
    </rPh>
    <rPh sb="94" eb="96">
      <t>スウチ</t>
    </rPh>
    <rPh sb="98" eb="100">
      <t>オオハバ</t>
    </rPh>
    <rPh sb="101" eb="103">
      <t>ジョウショウ</t>
    </rPh>
    <rPh sb="109" eb="110">
      <t>ネン</t>
    </rPh>
    <rPh sb="110" eb="111">
      <t>ヒョウ</t>
    </rPh>
    <rPh sb="112" eb="114">
      <t>ヒカク</t>
    </rPh>
    <rPh sb="117" eb="118">
      <t>チカ</t>
    </rPh>
    <rPh sb="119" eb="121">
      <t>スウジ</t>
    </rPh>
    <phoneticPr fontId="5"/>
  </si>
  <si>
    <t xml:space="preserve">  フェロマンガン</t>
    <phoneticPr fontId="5"/>
  </si>
  <si>
    <t xml:space="preserve">  フェロニッケル</t>
    <phoneticPr fontId="5"/>
  </si>
  <si>
    <t xml:space="preserve">  その他のフェロアロイ・フェロアロイ類似製品</t>
    <phoneticPr fontId="5"/>
  </si>
  <si>
    <t xml:space="preserve">  半製品及び仕掛品</t>
    <phoneticPr fontId="5"/>
  </si>
  <si>
    <t>近経局同様、生産数量で按分→27年表、R2年表も同様とした。</t>
    <rPh sb="0" eb="1">
      <t>キン</t>
    </rPh>
    <rPh sb="1" eb="2">
      <t>ケイ</t>
    </rPh>
    <rPh sb="2" eb="3">
      <t>キョク</t>
    </rPh>
    <rPh sb="3" eb="5">
      <t>ドウヨウ</t>
    </rPh>
    <rPh sb="6" eb="8">
      <t>セイサン</t>
    </rPh>
    <rPh sb="8" eb="10">
      <t>スウリョウ</t>
    </rPh>
    <rPh sb="11" eb="13">
      <t>アンブン</t>
    </rPh>
    <rPh sb="16" eb="17">
      <t>ネン</t>
    </rPh>
    <rPh sb="17" eb="18">
      <t>ヒョウ</t>
    </rPh>
    <rPh sb="21" eb="22">
      <t>ネン</t>
    </rPh>
    <rPh sb="22" eb="23">
      <t>ヒョウ</t>
    </rPh>
    <rPh sb="24" eb="26">
      <t>ドウヨウ</t>
    </rPh>
    <phoneticPr fontId="14"/>
  </si>
  <si>
    <t>経済センサス組替　第５表</t>
    <phoneticPr fontId="5"/>
  </si>
  <si>
    <t>左記資料の半製品・仕掛品は下の「電気炉」の分も一括で含んでいるようなので、国のＣＴで按分した。数量が小さいので０になってしまったが。</t>
    <rPh sb="0" eb="2">
      <t>サキ</t>
    </rPh>
    <rPh sb="2" eb="4">
      <t>シリョウ</t>
    </rPh>
    <rPh sb="5" eb="8">
      <t>ハンセイヒン</t>
    </rPh>
    <rPh sb="9" eb="11">
      <t>シカケ</t>
    </rPh>
    <rPh sb="11" eb="12">
      <t>ヒン</t>
    </rPh>
    <rPh sb="13" eb="14">
      <t>シタ</t>
    </rPh>
    <rPh sb="16" eb="19">
      <t>デンキロ</t>
    </rPh>
    <rPh sb="21" eb="22">
      <t>ブン</t>
    </rPh>
    <rPh sb="23" eb="25">
      <t>イッカツ</t>
    </rPh>
    <rPh sb="26" eb="27">
      <t>フク</t>
    </rPh>
    <rPh sb="37" eb="38">
      <t>クニ</t>
    </rPh>
    <rPh sb="42" eb="44">
      <t>アンブン</t>
    </rPh>
    <rPh sb="47" eb="49">
      <t>スウリョウ</t>
    </rPh>
    <rPh sb="50" eb="51">
      <t>チイ</t>
    </rPh>
    <phoneticPr fontId="14"/>
  </si>
  <si>
    <t>2621-011</t>
    <phoneticPr fontId="5"/>
  </si>
  <si>
    <t xml:space="preserve"> 普通鋼形鋼</t>
    <phoneticPr fontId="5"/>
  </si>
  <si>
    <t>近経局同様、数量（生動）×単価（経セン）で推計。ただし、経セン組替表では細品目が１つしかないため、鋼矢板～中小形形鋼まで同じ単価を使わざるを得ないことが気になるが経産省も同一単価で推計している。→27年表、R2年表も同様とした</t>
    <rPh sb="0" eb="1">
      <t>キン</t>
    </rPh>
    <rPh sb="1" eb="2">
      <t>ケイ</t>
    </rPh>
    <rPh sb="2" eb="3">
      <t>キョク</t>
    </rPh>
    <rPh sb="3" eb="5">
      <t>ドウヨウ</t>
    </rPh>
    <rPh sb="6" eb="8">
      <t>スウリョウ</t>
    </rPh>
    <rPh sb="9" eb="11">
      <t>セイドウ</t>
    </rPh>
    <rPh sb="13" eb="15">
      <t>タンカ</t>
    </rPh>
    <rPh sb="16" eb="17">
      <t>ケイ</t>
    </rPh>
    <rPh sb="21" eb="23">
      <t>スイケイ</t>
    </rPh>
    <rPh sb="28" eb="29">
      <t>ケイ</t>
    </rPh>
    <rPh sb="31" eb="33">
      <t>クミカエ</t>
    </rPh>
    <rPh sb="33" eb="34">
      <t>ヒョウ</t>
    </rPh>
    <rPh sb="36" eb="37">
      <t>サイ</t>
    </rPh>
    <rPh sb="37" eb="39">
      <t>ヒンモク</t>
    </rPh>
    <rPh sb="49" eb="52">
      <t>コウヤイタ</t>
    </rPh>
    <rPh sb="53" eb="55">
      <t>チュウショウ</t>
    </rPh>
    <rPh sb="55" eb="56">
      <t>ケイ</t>
    </rPh>
    <rPh sb="56" eb="58">
      <t>カタコウ</t>
    </rPh>
    <rPh sb="60" eb="61">
      <t>オナ</t>
    </rPh>
    <rPh sb="62" eb="64">
      <t>タンカ</t>
    </rPh>
    <rPh sb="65" eb="66">
      <t>ツカ</t>
    </rPh>
    <rPh sb="70" eb="71">
      <t>エ</t>
    </rPh>
    <rPh sb="76" eb="77">
      <t>キ</t>
    </rPh>
    <rPh sb="81" eb="84">
      <t>ケイサンショウ</t>
    </rPh>
    <rPh sb="85" eb="87">
      <t>ドウイツ</t>
    </rPh>
    <rPh sb="87" eb="89">
      <t>タンカ</t>
    </rPh>
    <rPh sb="90" eb="92">
      <t>スイケイ</t>
    </rPh>
    <rPh sb="100" eb="101">
      <t>ネン</t>
    </rPh>
    <rPh sb="101" eb="102">
      <t>ヒョウ</t>
    </rPh>
    <rPh sb="105" eb="106">
      <t>ネン</t>
    </rPh>
    <rPh sb="106" eb="107">
      <t>ヒョウ</t>
    </rPh>
    <rPh sb="108" eb="110">
      <t>ドウヨウ</t>
    </rPh>
    <phoneticPr fontId="14"/>
  </si>
  <si>
    <t xml:space="preserve"> 普通鋼鋼板</t>
    <phoneticPr fontId="5"/>
  </si>
  <si>
    <t>近経局同様、数量（生動）×単価（経セン）で推計。</t>
    <phoneticPr fontId="14"/>
  </si>
  <si>
    <t xml:space="preserve"> 普通鋼鋼帯</t>
    <phoneticPr fontId="5"/>
  </si>
  <si>
    <t>前回表どおり経セン組替集計を用いて推計した。→27年表も同様とした</t>
    <rPh sb="0" eb="2">
      <t>ゼンカイ</t>
    </rPh>
    <rPh sb="2" eb="3">
      <t>ヒョウ</t>
    </rPh>
    <rPh sb="6" eb="7">
      <t>ケイ</t>
    </rPh>
    <rPh sb="9" eb="11">
      <t>クミカエ</t>
    </rPh>
    <rPh sb="11" eb="13">
      <t>シュウケイ</t>
    </rPh>
    <rPh sb="14" eb="15">
      <t>モチ</t>
    </rPh>
    <rPh sb="17" eb="19">
      <t>スイケイ</t>
    </rPh>
    <rPh sb="25" eb="26">
      <t>ネン</t>
    </rPh>
    <rPh sb="26" eb="27">
      <t>ヒョウ</t>
    </rPh>
    <rPh sb="28" eb="30">
      <t>ドウヨウ</t>
    </rPh>
    <phoneticPr fontId="14"/>
  </si>
  <si>
    <t>703</t>
    <phoneticPr fontId="5"/>
  </si>
  <si>
    <t xml:space="preserve"> 普通鋼小棒</t>
    <phoneticPr fontId="5"/>
  </si>
  <si>
    <t>802</t>
    <phoneticPr fontId="5"/>
  </si>
  <si>
    <t>Y04</t>
    <phoneticPr fontId="5"/>
  </si>
  <si>
    <t xml:space="preserve"> その他の普通鋼熱間圧延鋼材</t>
    <phoneticPr fontId="5"/>
  </si>
  <si>
    <t>マニュアルp111を見ると、単価は経センを使うが、生産数量は生動を使ったとある。つまり生産数量は経センが信用できないということなので、経セン組替表から数量×単価で求めることはできないため製造品出荷額で按分した。</t>
    <rPh sb="10" eb="11">
      <t>ミ</t>
    </rPh>
    <rPh sb="14" eb="16">
      <t>タンカ</t>
    </rPh>
    <rPh sb="17" eb="18">
      <t>ケイ</t>
    </rPh>
    <rPh sb="21" eb="22">
      <t>ツカ</t>
    </rPh>
    <rPh sb="25" eb="27">
      <t>セイサン</t>
    </rPh>
    <rPh sb="27" eb="29">
      <t>スウリョウ</t>
    </rPh>
    <rPh sb="30" eb="31">
      <t>セイ</t>
    </rPh>
    <rPh sb="31" eb="32">
      <t>ドウ</t>
    </rPh>
    <rPh sb="33" eb="34">
      <t>ツカ</t>
    </rPh>
    <rPh sb="43" eb="45">
      <t>セイサン</t>
    </rPh>
    <rPh sb="45" eb="47">
      <t>スウリョウ</t>
    </rPh>
    <rPh sb="48" eb="49">
      <t>ケイ</t>
    </rPh>
    <rPh sb="52" eb="54">
      <t>シンヨウ</t>
    </rPh>
    <rPh sb="67" eb="68">
      <t>ケイ</t>
    </rPh>
    <rPh sb="70" eb="72">
      <t>クミカエ</t>
    </rPh>
    <rPh sb="72" eb="73">
      <t>ヒョウ</t>
    </rPh>
    <rPh sb="75" eb="77">
      <t>スウリョウ</t>
    </rPh>
    <rPh sb="78" eb="80">
      <t>タンカ</t>
    </rPh>
    <rPh sb="81" eb="82">
      <t>モト</t>
    </rPh>
    <rPh sb="93" eb="96">
      <t>セイゾウヒン</t>
    </rPh>
    <rPh sb="96" eb="98">
      <t>シュッカ</t>
    </rPh>
    <rPh sb="98" eb="99">
      <t>ガク</t>
    </rPh>
    <rPh sb="100" eb="102">
      <t>アンブン</t>
    </rPh>
    <phoneticPr fontId="14"/>
  </si>
  <si>
    <t>B01</t>
    <phoneticPr fontId="5"/>
  </si>
  <si>
    <t>C01</t>
    <phoneticPr fontId="5"/>
  </si>
  <si>
    <t>D01</t>
    <phoneticPr fontId="5"/>
  </si>
  <si>
    <t>D02</t>
    <phoneticPr fontId="5"/>
  </si>
  <si>
    <t>E01</t>
    <phoneticPr fontId="5"/>
  </si>
  <si>
    <t>E02</t>
    <phoneticPr fontId="5"/>
  </si>
  <si>
    <t>E03</t>
    <phoneticPr fontId="5"/>
  </si>
  <si>
    <t>F01</t>
    <phoneticPr fontId="5"/>
  </si>
  <si>
    <t>県値なし</t>
    <rPh sb="0" eb="2">
      <t>ケンチ</t>
    </rPh>
    <phoneticPr fontId="5"/>
  </si>
  <si>
    <t>　半製品及び仕掛品（普通鋼熱間圧延製品）</t>
    <rPh sb="1" eb="4">
      <t>ハンセイヒン</t>
    </rPh>
    <rPh sb="4" eb="5">
      <t>オヨ</t>
    </rPh>
    <rPh sb="6" eb="9">
      <t>シカカリヒン</t>
    </rPh>
    <rPh sb="13" eb="14">
      <t>ネツ</t>
    </rPh>
    <rPh sb="14" eb="15">
      <t>アイダ</t>
    </rPh>
    <rPh sb="15" eb="17">
      <t>アツエン</t>
    </rPh>
    <rPh sb="17" eb="19">
      <t>セイヒン</t>
    </rPh>
    <phoneticPr fontId="14"/>
  </si>
  <si>
    <t>Y06</t>
    <phoneticPr fontId="5"/>
  </si>
  <si>
    <t>　半製品及び仕掛品（普通鋼半製品）</t>
    <rPh sb="1" eb="4">
      <t>ハンセイヒン</t>
    </rPh>
    <rPh sb="4" eb="5">
      <t>オヨ</t>
    </rPh>
    <rPh sb="6" eb="9">
      <t>シカカリヒン</t>
    </rPh>
    <rPh sb="10" eb="12">
      <t>フツウ</t>
    </rPh>
    <rPh sb="12" eb="13">
      <t>ハガネ</t>
    </rPh>
    <phoneticPr fontId="14"/>
  </si>
  <si>
    <t>経セン直接入力
経セン組替表には、品目として「普通鋼半製品」が存在するが、CTでは「普通鋼半製品（輸出分）」が存在するのみ。H23年、H27年表では、「普通鋼半製品」の部分は使用せず、その上の「その他の普通鋼熱間圧延鋼材」の「半製品、仕掛品の価額増減」の数値をここに入力していたので、R2年表も同様とする。なお、23年表の近畿経産局から提供のあった推計方法では「製造品在庫額増減」をとっているとあるので、そのやり方に変更する方法もあり得るとは思われる。</t>
    <rPh sb="0" eb="1">
      <t>ケイ</t>
    </rPh>
    <rPh sb="3" eb="5">
      <t>チョクセツ</t>
    </rPh>
    <rPh sb="5" eb="7">
      <t>ニュウリョク</t>
    </rPh>
    <rPh sb="8" eb="9">
      <t>ケイ</t>
    </rPh>
    <rPh sb="11" eb="13">
      <t>クミカエ</t>
    </rPh>
    <rPh sb="13" eb="14">
      <t>ヒョウ</t>
    </rPh>
    <rPh sb="17" eb="19">
      <t>ヒンモク</t>
    </rPh>
    <rPh sb="23" eb="25">
      <t>フツウ</t>
    </rPh>
    <rPh sb="25" eb="26">
      <t>ハガネ</t>
    </rPh>
    <rPh sb="26" eb="29">
      <t>ハンセイヒン</t>
    </rPh>
    <rPh sb="31" eb="33">
      <t>ソンザイ</t>
    </rPh>
    <rPh sb="42" eb="44">
      <t>フツウ</t>
    </rPh>
    <rPh sb="44" eb="45">
      <t>コウ</t>
    </rPh>
    <rPh sb="45" eb="48">
      <t>ハンセイヒン</t>
    </rPh>
    <rPh sb="49" eb="51">
      <t>ユシュツ</t>
    </rPh>
    <rPh sb="51" eb="52">
      <t>ブン</t>
    </rPh>
    <rPh sb="55" eb="57">
      <t>ソンザイ</t>
    </rPh>
    <rPh sb="65" eb="66">
      <t>ネン</t>
    </rPh>
    <rPh sb="70" eb="71">
      <t>ネン</t>
    </rPh>
    <rPh sb="71" eb="72">
      <t>ヒョウ</t>
    </rPh>
    <rPh sb="76" eb="78">
      <t>フツウ</t>
    </rPh>
    <rPh sb="78" eb="79">
      <t>コウ</t>
    </rPh>
    <rPh sb="79" eb="82">
      <t>ハンセイヒン</t>
    </rPh>
    <rPh sb="84" eb="86">
      <t>ブブン</t>
    </rPh>
    <rPh sb="87" eb="89">
      <t>シヨウ</t>
    </rPh>
    <rPh sb="94" eb="95">
      <t>ウエ</t>
    </rPh>
    <rPh sb="99" eb="100">
      <t>タ</t>
    </rPh>
    <rPh sb="101" eb="103">
      <t>フツウ</t>
    </rPh>
    <rPh sb="103" eb="104">
      <t>ハガネ</t>
    </rPh>
    <rPh sb="104" eb="106">
      <t>ネツカン</t>
    </rPh>
    <rPh sb="106" eb="107">
      <t>アツ</t>
    </rPh>
    <rPh sb="107" eb="108">
      <t>ノ</t>
    </rPh>
    <rPh sb="108" eb="110">
      <t>コウザイ</t>
    </rPh>
    <rPh sb="113" eb="116">
      <t>ハンセイヒン</t>
    </rPh>
    <rPh sb="117" eb="120">
      <t>シカカリヒン</t>
    </rPh>
    <rPh sb="121" eb="123">
      <t>カガク</t>
    </rPh>
    <rPh sb="123" eb="125">
      <t>ゾウゲン</t>
    </rPh>
    <rPh sb="127" eb="129">
      <t>スウチ</t>
    </rPh>
    <rPh sb="133" eb="135">
      <t>ニュウリョク</t>
    </rPh>
    <rPh sb="144" eb="145">
      <t>ネン</t>
    </rPh>
    <rPh sb="145" eb="146">
      <t>ヒョウ</t>
    </rPh>
    <rPh sb="147" eb="149">
      <t>ドウヨウ</t>
    </rPh>
    <rPh sb="158" eb="159">
      <t>ネン</t>
    </rPh>
    <rPh sb="159" eb="160">
      <t>ヒョウ</t>
    </rPh>
    <rPh sb="161" eb="163">
      <t>キンキ</t>
    </rPh>
    <rPh sb="163" eb="166">
      <t>ケイサンキョク</t>
    </rPh>
    <rPh sb="168" eb="170">
      <t>テイキョウ</t>
    </rPh>
    <rPh sb="174" eb="176">
      <t>スイケイ</t>
    </rPh>
    <rPh sb="176" eb="178">
      <t>ホウホウ</t>
    </rPh>
    <rPh sb="206" eb="207">
      <t>カタ</t>
    </rPh>
    <rPh sb="208" eb="210">
      <t>ヘンコウ</t>
    </rPh>
    <rPh sb="212" eb="214">
      <t>ホウホウ</t>
    </rPh>
    <rPh sb="217" eb="218">
      <t>エ</t>
    </rPh>
    <rPh sb="221" eb="222">
      <t>オモ</t>
    </rPh>
    <phoneticPr fontId="14"/>
  </si>
  <si>
    <t xml:space="preserve"> 特殊鋼熱間圧延鋼材</t>
    <phoneticPr fontId="5"/>
  </si>
  <si>
    <t>前回表どおり経セン組替集計を用いて推計した。→27年表、R2年表も同様とした</t>
    <rPh sb="0" eb="2">
      <t>ゼンカイ</t>
    </rPh>
    <rPh sb="2" eb="3">
      <t>ヒョウ</t>
    </rPh>
    <rPh sb="6" eb="7">
      <t>ケイ</t>
    </rPh>
    <rPh sb="9" eb="11">
      <t>クミカエ</t>
    </rPh>
    <rPh sb="11" eb="13">
      <t>シュウケイ</t>
    </rPh>
    <rPh sb="14" eb="15">
      <t>モチ</t>
    </rPh>
    <rPh sb="17" eb="19">
      <t>スイケイ</t>
    </rPh>
    <rPh sb="25" eb="26">
      <t>ネン</t>
    </rPh>
    <rPh sb="26" eb="27">
      <t>ヒョウ</t>
    </rPh>
    <rPh sb="30" eb="31">
      <t>ネン</t>
    </rPh>
    <rPh sb="31" eb="32">
      <t>ヒョウ</t>
    </rPh>
    <rPh sb="33" eb="35">
      <t>ドウヨウ</t>
    </rPh>
    <phoneticPr fontId="14"/>
  </si>
  <si>
    <t>G01</t>
    <phoneticPr fontId="5"/>
  </si>
  <si>
    <t>G02</t>
    <phoneticPr fontId="5"/>
  </si>
  <si>
    <t>G03</t>
    <phoneticPr fontId="5"/>
  </si>
  <si>
    <t>G04</t>
    <phoneticPr fontId="5"/>
  </si>
  <si>
    <t>H01</t>
    <phoneticPr fontId="5"/>
  </si>
  <si>
    <t>H02</t>
    <phoneticPr fontId="5"/>
  </si>
  <si>
    <t>I01</t>
    <phoneticPr fontId="5"/>
  </si>
  <si>
    <t>I02</t>
    <phoneticPr fontId="5"/>
  </si>
  <si>
    <t>I03</t>
    <phoneticPr fontId="5"/>
  </si>
  <si>
    <t>I04</t>
    <phoneticPr fontId="5"/>
  </si>
  <si>
    <t>I05</t>
    <phoneticPr fontId="5"/>
  </si>
  <si>
    <t>生産数量×単価で推計したところ近畿値を超えてしまった（ＣＴ＝10952）。近経局と同様の方法で推計しているのに、そうなる理由が不明のため、近畿値＝県値とした。</t>
    <rPh sb="0" eb="2">
      <t>セイサン</t>
    </rPh>
    <rPh sb="2" eb="4">
      <t>スウリョウ</t>
    </rPh>
    <rPh sb="5" eb="7">
      <t>タンカ</t>
    </rPh>
    <rPh sb="8" eb="10">
      <t>スイケイ</t>
    </rPh>
    <rPh sb="15" eb="17">
      <t>キンキ</t>
    </rPh>
    <rPh sb="17" eb="18">
      <t>チ</t>
    </rPh>
    <rPh sb="19" eb="20">
      <t>コ</t>
    </rPh>
    <rPh sb="37" eb="38">
      <t>キン</t>
    </rPh>
    <rPh sb="38" eb="39">
      <t>ケイ</t>
    </rPh>
    <rPh sb="39" eb="40">
      <t>キョク</t>
    </rPh>
    <rPh sb="41" eb="43">
      <t>ドウヨウ</t>
    </rPh>
    <rPh sb="44" eb="46">
      <t>ホウホウ</t>
    </rPh>
    <rPh sb="47" eb="49">
      <t>スイケイ</t>
    </rPh>
    <rPh sb="60" eb="62">
      <t>リユウ</t>
    </rPh>
    <rPh sb="63" eb="65">
      <t>フメイ</t>
    </rPh>
    <rPh sb="69" eb="71">
      <t>キンキ</t>
    </rPh>
    <rPh sb="71" eb="72">
      <t>チ</t>
    </rPh>
    <rPh sb="73" eb="74">
      <t>ケン</t>
    </rPh>
    <rPh sb="74" eb="75">
      <t>チ</t>
    </rPh>
    <phoneticPr fontId="14"/>
  </si>
  <si>
    <t>I06</t>
    <phoneticPr fontId="5"/>
  </si>
  <si>
    <t>I07</t>
    <phoneticPr fontId="5"/>
  </si>
  <si>
    <t>J01</t>
    <phoneticPr fontId="5"/>
  </si>
  <si>
    <t>K01</t>
    <phoneticPr fontId="5"/>
  </si>
  <si>
    <t>近畿＝０</t>
    <rPh sb="0" eb="2">
      <t>キンキ</t>
    </rPh>
    <phoneticPr fontId="14"/>
  </si>
  <si>
    <t>Y07</t>
    <phoneticPr fontId="5"/>
  </si>
  <si>
    <t>Y08</t>
    <phoneticPr fontId="5"/>
  </si>
  <si>
    <t>全国表には出てこないが、地域表単位では中間製品段階で地域間取引が行われるため表章する部門であり、17年表時にも設定され数値も計上されている。しかし今回近経局が提示した方法を見ると、「生動の生産数量×経セン組替表の単価」で推計するとのことだのだが、生動、経セン組替表のどちらにもこの部門が存在していない。よって県内では生産されていないのだと判断しＣＴ＝０とした。
→（R2年表作成時）経セン組替表では、「221114普通鋼半製品」と「221141特殊鋼半製品」が該当するが、他の項目と同様に生動の数量×経センの単価で数値を入れるとかなり大きな数字になる。経セン組替表の製造品出荷額（県値）をそのままCTとして入れる方法もあり得るがそれでもかなり金額が大きい。そもそもこの箇所についてはH23年表・H27年表ともにこの部門は存在していないとして0としているので、過去との比較でも整合性がとれなくなってしまう。（国CTでは「普通鋼半製品（輸出分）」と「特殊鋼半製品（輸出分）」のみ計上し、輸出以外の鋼半製品についてはどう扱っているのか不明。）したがってR2年表では、前回表、前々回表との整合性から、CT=０とする。</t>
    <rPh sb="0" eb="2">
      <t>ゼンコク</t>
    </rPh>
    <rPh sb="2" eb="3">
      <t>ヒョウ</t>
    </rPh>
    <rPh sb="5" eb="6">
      <t>デ</t>
    </rPh>
    <rPh sb="12" eb="14">
      <t>チイキ</t>
    </rPh>
    <rPh sb="14" eb="15">
      <t>ヒョウ</t>
    </rPh>
    <rPh sb="15" eb="17">
      <t>タンイ</t>
    </rPh>
    <rPh sb="19" eb="21">
      <t>チュウカン</t>
    </rPh>
    <rPh sb="21" eb="23">
      <t>セイヒン</t>
    </rPh>
    <rPh sb="23" eb="25">
      <t>ダンカイ</t>
    </rPh>
    <rPh sb="26" eb="29">
      <t>チイキカン</t>
    </rPh>
    <rPh sb="29" eb="31">
      <t>トリヒキ</t>
    </rPh>
    <rPh sb="32" eb="33">
      <t>オコナ</t>
    </rPh>
    <rPh sb="38" eb="40">
      <t>ヒョウショウ</t>
    </rPh>
    <rPh sb="42" eb="44">
      <t>ブモン</t>
    </rPh>
    <rPh sb="50" eb="51">
      <t>ネン</t>
    </rPh>
    <rPh sb="51" eb="52">
      <t>ヒョウ</t>
    </rPh>
    <rPh sb="52" eb="53">
      <t>ジ</t>
    </rPh>
    <rPh sb="55" eb="57">
      <t>セッテイ</t>
    </rPh>
    <rPh sb="59" eb="61">
      <t>スウチ</t>
    </rPh>
    <rPh sb="62" eb="64">
      <t>ケイジョウ</t>
    </rPh>
    <rPh sb="73" eb="75">
      <t>コンカイ</t>
    </rPh>
    <rPh sb="75" eb="76">
      <t>キン</t>
    </rPh>
    <rPh sb="76" eb="77">
      <t>ケイ</t>
    </rPh>
    <rPh sb="77" eb="78">
      <t>キョク</t>
    </rPh>
    <rPh sb="79" eb="81">
      <t>テイジ</t>
    </rPh>
    <rPh sb="83" eb="85">
      <t>ホウホウ</t>
    </rPh>
    <rPh sb="86" eb="87">
      <t>ミ</t>
    </rPh>
    <rPh sb="91" eb="93">
      <t>セイドウ</t>
    </rPh>
    <rPh sb="94" eb="96">
      <t>セイサン</t>
    </rPh>
    <rPh sb="96" eb="98">
      <t>スウリョウ</t>
    </rPh>
    <rPh sb="99" eb="100">
      <t>ケイ</t>
    </rPh>
    <rPh sb="102" eb="104">
      <t>クミカエ</t>
    </rPh>
    <rPh sb="104" eb="105">
      <t>ヒョウ</t>
    </rPh>
    <rPh sb="106" eb="108">
      <t>タンカ</t>
    </rPh>
    <rPh sb="110" eb="112">
      <t>スイケイ</t>
    </rPh>
    <rPh sb="123" eb="125">
      <t>セイドウ</t>
    </rPh>
    <rPh sb="126" eb="127">
      <t>ケイ</t>
    </rPh>
    <rPh sb="129" eb="131">
      <t>クミカエ</t>
    </rPh>
    <rPh sb="131" eb="132">
      <t>ヒョウ</t>
    </rPh>
    <rPh sb="140" eb="142">
      <t>ブモン</t>
    </rPh>
    <rPh sb="143" eb="145">
      <t>ソンザイ</t>
    </rPh>
    <rPh sb="154" eb="156">
      <t>ケンナイ</t>
    </rPh>
    <rPh sb="158" eb="160">
      <t>セイサン</t>
    </rPh>
    <rPh sb="169" eb="171">
      <t>ハンダン</t>
    </rPh>
    <rPh sb="185" eb="186">
      <t>ネン</t>
    </rPh>
    <rPh sb="186" eb="187">
      <t>ヒョウ</t>
    </rPh>
    <rPh sb="187" eb="190">
      <t>サクセイジ</t>
    </rPh>
    <rPh sb="191" eb="192">
      <t>ケイ</t>
    </rPh>
    <rPh sb="194" eb="196">
      <t>クミカエ</t>
    </rPh>
    <rPh sb="196" eb="197">
      <t>ヒョウ</t>
    </rPh>
    <rPh sb="207" eb="210">
      <t>フツウコウ</t>
    </rPh>
    <rPh sb="210" eb="213">
      <t>ハンセイヒン</t>
    </rPh>
    <rPh sb="222" eb="224">
      <t>トクシュ</t>
    </rPh>
    <rPh sb="224" eb="225">
      <t>ハガネ</t>
    </rPh>
    <rPh sb="225" eb="228">
      <t>ハンセイヒン</t>
    </rPh>
    <rPh sb="230" eb="232">
      <t>ガイトウ</t>
    </rPh>
    <rPh sb="236" eb="237">
      <t>タ</t>
    </rPh>
    <rPh sb="238" eb="240">
      <t>コウモク</t>
    </rPh>
    <rPh sb="241" eb="243">
      <t>ドウヨウ</t>
    </rPh>
    <rPh sb="244" eb="246">
      <t>セイドウ</t>
    </rPh>
    <rPh sb="247" eb="249">
      <t>スウリョウ</t>
    </rPh>
    <rPh sb="250" eb="251">
      <t>ケイ</t>
    </rPh>
    <rPh sb="254" eb="256">
      <t>タンカ</t>
    </rPh>
    <rPh sb="257" eb="259">
      <t>スウチ</t>
    </rPh>
    <rPh sb="260" eb="261">
      <t>イ</t>
    </rPh>
    <rPh sb="267" eb="268">
      <t>オオ</t>
    </rPh>
    <rPh sb="270" eb="272">
      <t>スウジ</t>
    </rPh>
    <rPh sb="276" eb="277">
      <t>ケイ</t>
    </rPh>
    <rPh sb="279" eb="281">
      <t>クミカエ</t>
    </rPh>
    <rPh sb="281" eb="282">
      <t>ヒョウ</t>
    </rPh>
    <rPh sb="283" eb="285">
      <t>セイゾウ</t>
    </rPh>
    <rPh sb="285" eb="286">
      <t>ヒン</t>
    </rPh>
    <rPh sb="286" eb="289">
      <t>シュッカガク</t>
    </rPh>
    <rPh sb="290" eb="292">
      <t>ケンチ</t>
    </rPh>
    <rPh sb="303" eb="304">
      <t>イ</t>
    </rPh>
    <rPh sb="306" eb="308">
      <t>ホウホウ</t>
    </rPh>
    <rPh sb="311" eb="312">
      <t>ウ</t>
    </rPh>
    <rPh sb="321" eb="323">
      <t>キンガク</t>
    </rPh>
    <rPh sb="324" eb="325">
      <t>オオ</t>
    </rPh>
    <rPh sb="334" eb="336">
      <t>カショ</t>
    </rPh>
    <rPh sb="344" eb="345">
      <t>ネン</t>
    </rPh>
    <rPh sb="345" eb="346">
      <t>ヒョウ</t>
    </rPh>
    <rPh sb="350" eb="351">
      <t>ネン</t>
    </rPh>
    <rPh sb="351" eb="352">
      <t>ヒョウ</t>
    </rPh>
    <rPh sb="357" eb="359">
      <t>ブモン</t>
    </rPh>
    <rPh sb="360" eb="362">
      <t>ソンザイ</t>
    </rPh>
    <rPh sb="379" eb="381">
      <t>カコ</t>
    </rPh>
    <rPh sb="383" eb="385">
      <t>ヒカク</t>
    </rPh>
    <rPh sb="387" eb="390">
      <t>セイゴウセイ</t>
    </rPh>
    <rPh sb="403" eb="404">
      <t>クニ</t>
    </rPh>
    <rPh sb="409" eb="411">
      <t>フツウ</t>
    </rPh>
    <rPh sb="411" eb="412">
      <t>ハガネ</t>
    </rPh>
    <rPh sb="412" eb="415">
      <t>ハンセイヒン</t>
    </rPh>
    <rPh sb="416" eb="418">
      <t>ユシュツ</t>
    </rPh>
    <rPh sb="418" eb="419">
      <t>ブン</t>
    </rPh>
    <rPh sb="423" eb="425">
      <t>トクシュ</t>
    </rPh>
    <rPh sb="425" eb="426">
      <t>ハガネ</t>
    </rPh>
    <rPh sb="426" eb="429">
      <t>ハンセイヒン</t>
    </rPh>
    <rPh sb="430" eb="432">
      <t>ユシュツ</t>
    </rPh>
    <rPh sb="432" eb="433">
      <t>ブン</t>
    </rPh>
    <rPh sb="437" eb="439">
      <t>ケイジョウ</t>
    </rPh>
    <rPh sb="441" eb="443">
      <t>ユシュツ</t>
    </rPh>
    <rPh sb="443" eb="445">
      <t>イガイ</t>
    </rPh>
    <rPh sb="446" eb="447">
      <t>ハガネ</t>
    </rPh>
    <rPh sb="447" eb="450">
      <t>ハンセイヒン</t>
    </rPh>
    <rPh sb="457" eb="458">
      <t>アツカ</t>
    </rPh>
    <rPh sb="464" eb="466">
      <t>フメイ</t>
    </rPh>
    <rPh sb="475" eb="476">
      <t>ネン</t>
    </rPh>
    <rPh sb="476" eb="477">
      <t>ヒョウ</t>
    </rPh>
    <rPh sb="480" eb="482">
      <t>ゼンカイ</t>
    </rPh>
    <rPh sb="482" eb="483">
      <t>ヒョウ</t>
    </rPh>
    <rPh sb="484" eb="487">
      <t>ゼンゼンカイ</t>
    </rPh>
    <rPh sb="487" eb="488">
      <t>ヒョウ</t>
    </rPh>
    <rPh sb="490" eb="493">
      <t>セイゴウセイ</t>
    </rPh>
    <phoneticPr fontId="14"/>
  </si>
  <si>
    <t>2622-011</t>
    <phoneticPr fontId="5"/>
  </si>
  <si>
    <t xml:space="preserve"> 普通鋼鋼管</t>
    <phoneticPr fontId="5"/>
  </si>
  <si>
    <t>生動に県値なし</t>
    <rPh sb="0" eb="2">
      <t>セイドウ</t>
    </rPh>
    <rPh sb="3" eb="4">
      <t>ケン</t>
    </rPh>
    <rPh sb="4" eb="5">
      <t>チ</t>
    </rPh>
    <phoneticPr fontId="14"/>
  </si>
  <si>
    <t>経セン組替表には本項目がないので、国単価を利用</t>
    <rPh sb="0" eb="1">
      <t>ケイ</t>
    </rPh>
    <rPh sb="3" eb="5">
      <t>クミカエ</t>
    </rPh>
    <rPh sb="5" eb="6">
      <t>ヒョウ</t>
    </rPh>
    <rPh sb="8" eb="9">
      <t>ホン</t>
    </rPh>
    <rPh sb="9" eb="11">
      <t>コウモク</t>
    </rPh>
    <rPh sb="17" eb="18">
      <t>クニ</t>
    </rPh>
    <rPh sb="18" eb="20">
      <t>タンカ</t>
    </rPh>
    <rPh sb="21" eb="23">
      <t>リヨウ</t>
    </rPh>
    <phoneticPr fontId="14"/>
  </si>
  <si>
    <t xml:space="preserve"> 特殊鋼鋼管</t>
    <phoneticPr fontId="5"/>
  </si>
  <si>
    <t>2623-011</t>
    <phoneticPr fontId="5"/>
  </si>
  <si>
    <t xml:space="preserve"> 普通鋼冷間仕上鋼材</t>
    <phoneticPr fontId="5"/>
  </si>
  <si>
    <t>磨帯鋼＋冷延鋼板の計</t>
    <rPh sb="0" eb="1">
      <t>オサム</t>
    </rPh>
    <rPh sb="1" eb="2">
      <t>オビ</t>
    </rPh>
    <rPh sb="2" eb="3">
      <t>コウ</t>
    </rPh>
    <rPh sb="4" eb="6">
      <t>レイエン</t>
    </rPh>
    <rPh sb="6" eb="8">
      <t>コウバン</t>
    </rPh>
    <rPh sb="9" eb="10">
      <t>ケイ</t>
    </rPh>
    <phoneticPr fontId="5"/>
  </si>
  <si>
    <t>上記「磨帯鋼」欄に含む。</t>
    <rPh sb="0" eb="2">
      <t>ジョウキ</t>
    </rPh>
    <rPh sb="3" eb="4">
      <t>オサム</t>
    </rPh>
    <rPh sb="4" eb="5">
      <t>オビ</t>
    </rPh>
    <rPh sb="5" eb="6">
      <t>コウ</t>
    </rPh>
    <rPh sb="7" eb="8">
      <t>ラン</t>
    </rPh>
    <rPh sb="9" eb="10">
      <t>フク</t>
    </rPh>
    <phoneticPr fontId="5"/>
  </si>
  <si>
    <t>経産省は、鉄線～溶接棒心線まで同一単価としている。経セン組替表にあるのは、「鋼線」という括りであって、これは硬鋼線に適用できるのではないかと思われる。</t>
    <rPh sb="0" eb="3">
      <t>ケイサンショウ</t>
    </rPh>
    <rPh sb="5" eb="7">
      <t>テッセン</t>
    </rPh>
    <rPh sb="8" eb="10">
      <t>ヨウセツ</t>
    </rPh>
    <rPh sb="10" eb="11">
      <t>ボウ</t>
    </rPh>
    <rPh sb="11" eb="12">
      <t>シン</t>
    </rPh>
    <rPh sb="12" eb="13">
      <t>セン</t>
    </rPh>
    <rPh sb="15" eb="17">
      <t>ドウイツ</t>
    </rPh>
    <rPh sb="17" eb="19">
      <t>タンカ</t>
    </rPh>
    <rPh sb="25" eb="26">
      <t>ケイ</t>
    </rPh>
    <rPh sb="28" eb="30">
      <t>クミカエ</t>
    </rPh>
    <rPh sb="30" eb="31">
      <t>ヒョウ</t>
    </rPh>
    <rPh sb="38" eb="40">
      <t>コウセン</t>
    </rPh>
    <rPh sb="44" eb="45">
      <t>クク</t>
    </rPh>
    <rPh sb="54" eb="55">
      <t>コウ</t>
    </rPh>
    <rPh sb="55" eb="57">
      <t>コウセン</t>
    </rPh>
    <rPh sb="58" eb="60">
      <t>テキヨウ</t>
    </rPh>
    <rPh sb="70" eb="71">
      <t>オモ</t>
    </rPh>
    <phoneticPr fontId="14"/>
  </si>
  <si>
    <t>109</t>
    <phoneticPr fontId="5"/>
  </si>
  <si>
    <t xml:space="preserve"> 特殊鋼冷間仕上鋼材</t>
    <phoneticPr fontId="5"/>
  </si>
  <si>
    <t>ＰＣ鋼線～その他の特殊鋼線までは経セン組替の「特殊鋼鋼線」の単価を用いる。経産省も同様の方法をとっている。</t>
    <rPh sb="2" eb="3">
      <t>コウ</t>
    </rPh>
    <rPh sb="3" eb="4">
      <t>セン</t>
    </rPh>
    <rPh sb="7" eb="8">
      <t>タ</t>
    </rPh>
    <rPh sb="9" eb="11">
      <t>トクシュ</t>
    </rPh>
    <rPh sb="11" eb="12">
      <t>コウ</t>
    </rPh>
    <rPh sb="12" eb="13">
      <t>セン</t>
    </rPh>
    <rPh sb="16" eb="17">
      <t>ケイ</t>
    </rPh>
    <rPh sb="19" eb="21">
      <t>クミカエ</t>
    </rPh>
    <rPh sb="23" eb="26">
      <t>トクシュコウ</t>
    </rPh>
    <rPh sb="26" eb="27">
      <t>コウ</t>
    </rPh>
    <rPh sb="27" eb="28">
      <t>セン</t>
    </rPh>
    <rPh sb="30" eb="32">
      <t>タンカ</t>
    </rPh>
    <rPh sb="33" eb="34">
      <t>モチ</t>
    </rPh>
    <rPh sb="37" eb="40">
      <t>ケイサンショウ</t>
    </rPh>
    <rPh sb="41" eb="43">
      <t>ドウヨウ</t>
    </rPh>
    <rPh sb="44" eb="46">
      <t>ホウホウ</t>
    </rPh>
    <phoneticPr fontId="14"/>
  </si>
  <si>
    <t>単価は経産省に準じて、経センの224919その他の表面処理鋼材の単価をとった。→R2年表も同様とする。</t>
    <rPh sb="0" eb="2">
      <t>タンカ</t>
    </rPh>
    <rPh sb="3" eb="6">
      <t>ケイサンショウ</t>
    </rPh>
    <rPh sb="7" eb="8">
      <t>ジュン</t>
    </rPh>
    <rPh sb="11" eb="12">
      <t>ケイ</t>
    </rPh>
    <rPh sb="23" eb="24">
      <t>タ</t>
    </rPh>
    <rPh sb="25" eb="27">
      <t>ヒョウメン</t>
    </rPh>
    <rPh sb="27" eb="29">
      <t>ショリ</t>
    </rPh>
    <rPh sb="29" eb="31">
      <t>コウザイ</t>
    </rPh>
    <rPh sb="32" eb="34">
      <t>タンカ</t>
    </rPh>
    <rPh sb="42" eb="43">
      <t>ネン</t>
    </rPh>
    <rPh sb="43" eb="44">
      <t>ヒョウ</t>
    </rPh>
    <rPh sb="45" eb="47">
      <t>ドウヨウ</t>
    </rPh>
    <phoneticPr fontId="14"/>
  </si>
  <si>
    <t>2631-011</t>
    <phoneticPr fontId="5"/>
  </si>
  <si>
    <t xml:space="preserve"> 鍛鋼</t>
    <phoneticPr fontId="5"/>
  </si>
  <si>
    <t>近経局に準じて、生動の生産数量で按分→H27,R2年表も同様とした</t>
    <rPh sb="0" eb="1">
      <t>キン</t>
    </rPh>
    <rPh sb="1" eb="2">
      <t>ケイ</t>
    </rPh>
    <rPh sb="2" eb="3">
      <t>キョク</t>
    </rPh>
    <rPh sb="4" eb="5">
      <t>ジュン</t>
    </rPh>
    <rPh sb="8" eb="10">
      <t>セイドウ</t>
    </rPh>
    <rPh sb="11" eb="13">
      <t>セイサン</t>
    </rPh>
    <rPh sb="13" eb="15">
      <t>スウリョウ</t>
    </rPh>
    <rPh sb="16" eb="18">
      <t>アンブン</t>
    </rPh>
    <rPh sb="25" eb="26">
      <t>ネン</t>
    </rPh>
    <rPh sb="26" eb="27">
      <t>ヒョウ</t>
    </rPh>
    <rPh sb="28" eb="30">
      <t>ドウヨウ</t>
    </rPh>
    <phoneticPr fontId="14"/>
  </si>
  <si>
    <t xml:space="preserve"> 鋳鋼</t>
    <phoneticPr fontId="5"/>
  </si>
  <si>
    <t>2631-031</t>
    <phoneticPr fontId="5"/>
  </si>
  <si>
    <t xml:space="preserve"> 鋳鉄品</t>
    <phoneticPr fontId="5"/>
  </si>
  <si>
    <t xml:space="preserve"> 鍛工品（鉄）</t>
    <phoneticPr fontId="5"/>
  </si>
  <si>
    <t>803</t>
    <phoneticPr fontId="5"/>
  </si>
  <si>
    <t>　半製品及び仕掛品（鍛工品（鉄））</t>
    <phoneticPr fontId="5"/>
  </si>
  <si>
    <t>貿易統計を使うとあるが、都道府県別の輸出量が発見できない。（2521-01セメントと同じ）。ただし、本項目は17,23年表ともＣＴ＝０なので、今回も０とする。→経センにも県値は０のため、R2年表でも０とする。</t>
    <rPh sb="0" eb="2">
      <t>ボウエキ</t>
    </rPh>
    <rPh sb="2" eb="4">
      <t>トウケイ</t>
    </rPh>
    <rPh sb="5" eb="6">
      <t>ツカ</t>
    </rPh>
    <rPh sb="12" eb="16">
      <t>トドウフケン</t>
    </rPh>
    <rPh sb="16" eb="17">
      <t>ベツ</t>
    </rPh>
    <rPh sb="18" eb="20">
      <t>ユシュツ</t>
    </rPh>
    <rPh sb="20" eb="21">
      <t>リョウ</t>
    </rPh>
    <rPh sb="22" eb="24">
      <t>ハッケン</t>
    </rPh>
    <rPh sb="42" eb="43">
      <t>オナ</t>
    </rPh>
    <rPh sb="50" eb="51">
      <t>ホン</t>
    </rPh>
    <rPh sb="51" eb="53">
      <t>コウモク</t>
    </rPh>
    <rPh sb="59" eb="60">
      <t>ネン</t>
    </rPh>
    <rPh sb="60" eb="61">
      <t>ヒョウ</t>
    </rPh>
    <rPh sb="71" eb="73">
      <t>コンカイ</t>
    </rPh>
    <rPh sb="80" eb="81">
      <t>ケイ</t>
    </rPh>
    <rPh sb="85" eb="87">
      <t>ケンチ</t>
    </rPh>
    <rPh sb="95" eb="96">
      <t>ネン</t>
    </rPh>
    <rPh sb="96" eb="97">
      <t>ヒョウ</t>
    </rPh>
    <phoneticPr fontId="14"/>
  </si>
  <si>
    <t>経セン直接入力。国ＣＴはあまり増減していないのに県値はかなり増えてしまった。国、近経局は日本アルミニウム協会の統計資料を用いているようだが、これは有償のため入手できない。やむを得ず経センから直接とっているが、これ自体は前回表と同じ方法のため、推計方法がおかしいとはいえないため補正しない。</t>
    <rPh sb="0" eb="1">
      <t>ケイ</t>
    </rPh>
    <rPh sb="3" eb="5">
      <t>チョクセツ</t>
    </rPh>
    <rPh sb="5" eb="7">
      <t>ニュウリョク</t>
    </rPh>
    <rPh sb="8" eb="9">
      <t>クニ</t>
    </rPh>
    <rPh sb="15" eb="17">
      <t>ゾウゲン</t>
    </rPh>
    <rPh sb="24" eb="25">
      <t>ケン</t>
    </rPh>
    <rPh sb="25" eb="26">
      <t>チ</t>
    </rPh>
    <rPh sb="30" eb="31">
      <t>フ</t>
    </rPh>
    <rPh sb="38" eb="39">
      <t>クニ</t>
    </rPh>
    <rPh sb="40" eb="41">
      <t>キン</t>
    </rPh>
    <rPh sb="41" eb="42">
      <t>ケイ</t>
    </rPh>
    <rPh sb="42" eb="43">
      <t>キョク</t>
    </rPh>
    <rPh sb="44" eb="46">
      <t>ニホン</t>
    </rPh>
    <rPh sb="52" eb="54">
      <t>キョウカイ</t>
    </rPh>
    <rPh sb="55" eb="57">
      <t>トウケイ</t>
    </rPh>
    <rPh sb="57" eb="59">
      <t>シリョウ</t>
    </rPh>
    <rPh sb="60" eb="61">
      <t>モチ</t>
    </rPh>
    <rPh sb="73" eb="75">
      <t>ユウショウ</t>
    </rPh>
    <rPh sb="78" eb="80">
      <t>ニュウシュ</t>
    </rPh>
    <rPh sb="88" eb="89">
      <t>エ</t>
    </rPh>
    <rPh sb="90" eb="91">
      <t>ケイ</t>
    </rPh>
    <rPh sb="95" eb="97">
      <t>チョクセツ</t>
    </rPh>
    <rPh sb="106" eb="108">
      <t>ジタイ</t>
    </rPh>
    <rPh sb="109" eb="111">
      <t>ゼンカイ</t>
    </rPh>
    <rPh sb="111" eb="112">
      <t>ヒョウ</t>
    </rPh>
    <rPh sb="113" eb="114">
      <t>オナ</t>
    </rPh>
    <rPh sb="115" eb="117">
      <t>ホウホウ</t>
    </rPh>
    <rPh sb="121" eb="123">
      <t>スイケイ</t>
    </rPh>
    <rPh sb="123" eb="125">
      <t>ホウホウ</t>
    </rPh>
    <rPh sb="138" eb="140">
      <t>ホセイ</t>
    </rPh>
    <phoneticPr fontId="14"/>
  </si>
  <si>
    <t>上記までにかなりの部分が含まれているとの考えから推計しない。</t>
    <rPh sb="0" eb="2">
      <t>ジョウキ</t>
    </rPh>
    <rPh sb="9" eb="11">
      <t>ブブン</t>
    </rPh>
    <rPh sb="12" eb="13">
      <t>フク</t>
    </rPh>
    <rPh sb="20" eb="21">
      <t>カンガ</t>
    </rPh>
    <rPh sb="24" eb="26">
      <t>スイケイ</t>
    </rPh>
    <phoneticPr fontId="14"/>
  </si>
  <si>
    <t>近経局同様、生動の生産数量で按分→H27年表も同様とする→R2年表では生動では県値０だが、経セン組替表は県値があるので、組替表数値で按分に変更する。</t>
    <rPh sb="0" eb="1">
      <t>キン</t>
    </rPh>
    <rPh sb="1" eb="2">
      <t>ケイ</t>
    </rPh>
    <rPh sb="2" eb="3">
      <t>キョク</t>
    </rPh>
    <rPh sb="3" eb="5">
      <t>ドウヨウ</t>
    </rPh>
    <rPh sb="6" eb="8">
      <t>セイドウ</t>
    </rPh>
    <rPh sb="9" eb="11">
      <t>セイサン</t>
    </rPh>
    <rPh sb="11" eb="13">
      <t>スウリョウ</t>
    </rPh>
    <rPh sb="14" eb="16">
      <t>アンブン</t>
    </rPh>
    <rPh sb="20" eb="21">
      <t>ネン</t>
    </rPh>
    <rPh sb="21" eb="22">
      <t>ヒョウ</t>
    </rPh>
    <rPh sb="23" eb="25">
      <t>ドウヨウ</t>
    </rPh>
    <rPh sb="31" eb="32">
      <t>ネン</t>
    </rPh>
    <rPh sb="32" eb="33">
      <t>ヒョウ</t>
    </rPh>
    <rPh sb="35" eb="37">
      <t>セイドウ</t>
    </rPh>
    <rPh sb="39" eb="41">
      <t>ケンチ</t>
    </rPh>
    <rPh sb="45" eb="46">
      <t>ケイ</t>
    </rPh>
    <rPh sb="48" eb="50">
      <t>クミカエ</t>
    </rPh>
    <rPh sb="50" eb="51">
      <t>ヒョウ</t>
    </rPh>
    <rPh sb="52" eb="54">
      <t>ケンチ</t>
    </rPh>
    <rPh sb="60" eb="62">
      <t>クミカエ</t>
    </rPh>
    <rPh sb="62" eb="63">
      <t>ヒョウ</t>
    </rPh>
    <rPh sb="63" eb="65">
      <t>スウチ</t>
    </rPh>
    <rPh sb="66" eb="68">
      <t>アンブン</t>
    </rPh>
    <rPh sb="69" eb="71">
      <t>ヘンコウ</t>
    </rPh>
    <phoneticPr fontId="14"/>
  </si>
  <si>
    <t>単価が取れないので生産数量で按分</t>
    <rPh sb="0" eb="2">
      <t>タンカ</t>
    </rPh>
    <rPh sb="3" eb="4">
      <t>ト</t>
    </rPh>
    <rPh sb="9" eb="11">
      <t>セイサン</t>
    </rPh>
    <rPh sb="11" eb="13">
      <t>スウリョウ</t>
    </rPh>
    <rPh sb="14" eb="16">
      <t>アンブン</t>
    </rPh>
    <phoneticPr fontId="14"/>
  </si>
  <si>
    <t>2729-031</t>
    <phoneticPr fontId="5"/>
  </si>
  <si>
    <t>経セン組替表に項目なし</t>
    <rPh sb="0" eb="1">
      <t>ケイ</t>
    </rPh>
    <rPh sb="3" eb="5">
      <t>クミカエ</t>
    </rPh>
    <rPh sb="5" eb="6">
      <t>ヒョウ</t>
    </rPh>
    <rPh sb="7" eb="9">
      <t>コウモク</t>
    </rPh>
    <phoneticPr fontId="14"/>
  </si>
  <si>
    <t>23年表は経センと生動データを使用していたが、27年表はマニュアルどおり経センを使用。</t>
    <rPh sb="2" eb="3">
      <t>ネン</t>
    </rPh>
    <rPh sb="3" eb="4">
      <t>ヒョウ</t>
    </rPh>
    <rPh sb="5" eb="6">
      <t>キョウ</t>
    </rPh>
    <rPh sb="9" eb="11">
      <t>セイドウ</t>
    </rPh>
    <rPh sb="15" eb="17">
      <t>シヨウ</t>
    </rPh>
    <rPh sb="25" eb="26">
      <t>ネン</t>
    </rPh>
    <rPh sb="26" eb="27">
      <t>ヒョウ</t>
    </rPh>
    <rPh sb="36" eb="37">
      <t>キョウ</t>
    </rPh>
    <rPh sb="40" eb="42">
      <t>シヨウ</t>
    </rPh>
    <phoneticPr fontId="5"/>
  </si>
  <si>
    <t>　温風暖房機（熱交換式のもの）</t>
    <phoneticPr fontId="5"/>
  </si>
  <si>
    <t>県内生産なし。生動に販売額はあるが生産額はない。経センには県値なし。</t>
    <rPh sb="0" eb="2">
      <t>ケンナイ</t>
    </rPh>
    <rPh sb="2" eb="4">
      <t>セイサン</t>
    </rPh>
    <rPh sb="7" eb="9">
      <t>セイドウ</t>
    </rPh>
    <rPh sb="10" eb="12">
      <t>ハンバイ</t>
    </rPh>
    <rPh sb="12" eb="13">
      <t>ガク</t>
    </rPh>
    <rPh sb="17" eb="20">
      <t>セイサンガク</t>
    </rPh>
    <rPh sb="24" eb="25">
      <t>ケイ</t>
    </rPh>
    <rPh sb="29" eb="31">
      <t>ケンチ</t>
    </rPh>
    <phoneticPr fontId="5"/>
  </si>
  <si>
    <t>経セン組替表では、製造品出荷額よりも製造品在庫額増減のマイナスが大きいためマイナスになっているが、CTで半製品及び仕掛品以外にマイナスになっている箇所はないので、０としておく。</t>
    <rPh sb="0" eb="1">
      <t>ケイ</t>
    </rPh>
    <rPh sb="3" eb="5">
      <t>クミカエ</t>
    </rPh>
    <rPh sb="5" eb="6">
      <t>ヒョウ</t>
    </rPh>
    <rPh sb="9" eb="11">
      <t>セイゾウ</t>
    </rPh>
    <rPh sb="11" eb="12">
      <t>ヒン</t>
    </rPh>
    <rPh sb="12" eb="15">
      <t>シュッカガク</t>
    </rPh>
    <rPh sb="18" eb="20">
      <t>セイゾウ</t>
    </rPh>
    <rPh sb="20" eb="21">
      <t>ヒン</t>
    </rPh>
    <rPh sb="21" eb="23">
      <t>ザイコ</t>
    </rPh>
    <rPh sb="23" eb="24">
      <t>ガク</t>
    </rPh>
    <rPh sb="24" eb="26">
      <t>ゾウゲン</t>
    </rPh>
    <rPh sb="32" eb="33">
      <t>オオ</t>
    </rPh>
    <rPh sb="52" eb="55">
      <t>ハンセイヒン</t>
    </rPh>
    <rPh sb="55" eb="56">
      <t>オヨ</t>
    </rPh>
    <rPh sb="57" eb="60">
      <t>シカカリヒン</t>
    </rPh>
    <rPh sb="60" eb="62">
      <t>イガイ</t>
    </rPh>
    <rPh sb="73" eb="75">
      <t>カショ</t>
    </rPh>
    <phoneticPr fontId="5"/>
  </si>
  <si>
    <t>経センから推計すると73490となり、前回から大幅増。H23年表は、経センから推計した63222を近畿値4259に補正している。今回は近畿値がないので、前回値4259に経センの伸び率を乗じることにする。→R2年表では、国のCT値と経セン組替表全国値がほぼ近いことから、過去数値を利用することはせず、経セン組替表の数値を国CT値按分比率に使用することにする。（組替表数値をそのまま使うよりは若干小さくなるので。。）</t>
    <rPh sb="0" eb="1">
      <t>キョウ</t>
    </rPh>
    <rPh sb="5" eb="7">
      <t>スイケイ</t>
    </rPh>
    <rPh sb="19" eb="21">
      <t>ゼンカイ</t>
    </rPh>
    <rPh sb="23" eb="26">
      <t>オオハバゾウ</t>
    </rPh>
    <rPh sb="30" eb="31">
      <t>ネン</t>
    </rPh>
    <rPh sb="31" eb="32">
      <t>ヒョウ</t>
    </rPh>
    <rPh sb="34" eb="35">
      <t>キョウ</t>
    </rPh>
    <rPh sb="39" eb="41">
      <t>スイケイ</t>
    </rPh>
    <rPh sb="49" eb="51">
      <t>キンキ</t>
    </rPh>
    <rPh sb="51" eb="52">
      <t>チ</t>
    </rPh>
    <rPh sb="57" eb="59">
      <t>ホセイ</t>
    </rPh>
    <rPh sb="64" eb="66">
      <t>コンカイ</t>
    </rPh>
    <rPh sb="67" eb="69">
      <t>キンキ</t>
    </rPh>
    <rPh sb="69" eb="70">
      <t>チ</t>
    </rPh>
    <rPh sb="76" eb="78">
      <t>ゼンカイ</t>
    </rPh>
    <rPh sb="78" eb="79">
      <t>チ</t>
    </rPh>
    <rPh sb="104" eb="105">
      <t>ネン</t>
    </rPh>
    <rPh sb="105" eb="106">
      <t>ヒョウ</t>
    </rPh>
    <rPh sb="109" eb="110">
      <t>クニ</t>
    </rPh>
    <rPh sb="113" eb="114">
      <t>チ</t>
    </rPh>
    <rPh sb="115" eb="116">
      <t>ケイ</t>
    </rPh>
    <rPh sb="118" eb="120">
      <t>クミカエ</t>
    </rPh>
    <rPh sb="120" eb="121">
      <t>ヒョウ</t>
    </rPh>
    <rPh sb="121" eb="123">
      <t>ゼンコク</t>
    </rPh>
    <rPh sb="123" eb="124">
      <t>チ</t>
    </rPh>
    <rPh sb="127" eb="128">
      <t>チカ</t>
    </rPh>
    <rPh sb="134" eb="136">
      <t>カコ</t>
    </rPh>
    <rPh sb="136" eb="138">
      <t>スウチ</t>
    </rPh>
    <rPh sb="139" eb="141">
      <t>リヨウ</t>
    </rPh>
    <rPh sb="149" eb="150">
      <t>ケイ</t>
    </rPh>
    <rPh sb="152" eb="154">
      <t>クミカエ</t>
    </rPh>
    <rPh sb="154" eb="155">
      <t>ヒョウ</t>
    </rPh>
    <rPh sb="156" eb="158">
      <t>スウチ</t>
    </rPh>
    <rPh sb="159" eb="160">
      <t>クニ</t>
    </rPh>
    <rPh sb="162" eb="163">
      <t>チ</t>
    </rPh>
    <rPh sb="163" eb="165">
      <t>アンブン</t>
    </rPh>
    <rPh sb="165" eb="167">
      <t>ヒリツ</t>
    </rPh>
    <rPh sb="168" eb="170">
      <t>シヨウ</t>
    </rPh>
    <rPh sb="179" eb="181">
      <t>クミカエ</t>
    </rPh>
    <rPh sb="181" eb="182">
      <t>ヒョウ</t>
    </rPh>
    <rPh sb="182" eb="184">
      <t>スウチ</t>
    </rPh>
    <rPh sb="189" eb="190">
      <t>ツカ</t>
    </rPh>
    <rPh sb="194" eb="196">
      <t>ジャッカン</t>
    </rPh>
    <rPh sb="196" eb="197">
      <t>チイ</t>
    </rPh>
    <phoneticPr fontId="5"/>
  </si>
  <si>
    <t>2899-099</t>
    <phoneticPr fontId="5"/>
  </si>
  <si>
    <t xml:space="preserve"> 金属プレス製品</t>
    <phoneticPr fontId="5"/>
  </si>
  <si>
    <t xml:space="preserve"> 金属線製品</t>
    <phoneticPr fontId="5"/>
  </si>
  <si>
    <t xml:space="preserve"> 他に分類されない金属製品</t>
    <rPh sb="1" eb="2">
      <t>タ</t>
    </rPh>
    <rPh sb="3" eb="5">
      <t>ブンルイ</t>
    </rPh>
    <phoneticPr fontId="14"/>
  </si>
  <si>
    <t>経センで推計すると166,705となり、H23年表の2,344から大幅に増加する。生動データで推計してみると26,987となり、H17年値の29,879に近い数値となるため、生動データによる推計を採用する。次回表の推計方法は要検討。→R2年表では経セン組替表の数値を県値とする。（理由：経セン組替表全国値と国CT値がほぼ等しいため。）</t>
    <rPh sb="0" eb="1">
      <t>キョウ</t>
    </rPh>
    <rPh sb="4" eb="6">
      <t>スイケイ</t>
    </rPh>
    <rPh sb="23" eb="24">
      <t>ネン</t>
    </rPh>
    <rPh sb="24" eb="25">
      <t>ヒョウ</t>
    </rPh>
    <rPh sb="33" eb="35">
      <t>オオハバ</t>
    </rPh>
    <rPh sb="36" eb="38">
      <t>ゾウカ</t>
    </rPh>
    <rPh sb="41" eb="43">
      <t>セイドウ</t>
    </rPh>
    <rPh sb="47" eb="49">
      <t>スイケイ</t>
    </rPh>
    <rPh sb="67" eb="68">
      <t>ネン</t>
    </rPh>
    <rPh sb="68" eb="69">
      <t>チ</t>
    </rPh>
    <rPh sb="77" eb="78">
      <t>チカ</t>
    </rPh>
    <rPh sb="79" eb="81">
      <t>スウチ</t>
    </rPh>
    <rPh sb="87" eb="89">
      <t>セイドウ</t>
    </rPh>
    <rPh sb="95" eb="97">
      <t>スイケイ</t>
    </rPh>
    <rPh sb="98" eb="100">
      <t>サイヨウ</t>
    </rPh>
    <rPh sb="103" eb="105">
      <t>ジカイ</t>
    </rPh>
    <rPh sb="105" eb="106">
      <t>ヒョウ</t>
    </rPh>
    <rPh sb="109" eb="111">
      <t>ホウホウ</t>
    </rPh>
    <rPh sb="119" eb="120">
      <t>ネン</t>
    </rPh>
    <rPh sb="120" eb="121">
      <t>ヒョウ</t>
    </rPh>
    <rPh sb="123" eb="124">
      <t>ケイ</t>
    </rPh>
    <rPh sb="126" eb="128">
      <t>クミカエ</t>
    </rPh>
    <rPh sb="128" eb="129">
      <t>ヒョウ</t>
    </rPh>
    <rPh sb="130" eb="132">
      <t>スウチ</t>
    </rPh>
    <rPh sb="133" eb="134">
      <t>ケン</t>
    </rPh>
    <rPh sb="134" eb="135">
      <t>チ</t>
    </rPh>
    <rPh sb="140" eb="142">
      <t>リユウ</t>
    </rPh>
    <rPh sb="143" eb="144">
      <t>ケイ</t>
    </rPh>
    <rPh sb="146" eb="148">
      <t>クミカエ</t>
    </rPh>
    <rPh sb="148" eb="149">
      <t>ヒョウ</t>
    </rPh>
    <rPh sb="149" eb="151">
      <t>ゼンコク</t>
    </rPh>
    <rPh sb="151" eb="152">
      <t>チ</t>
    </rPh>
    <rPh sb="153" eb="154">
      <t>クニ</t>
    </rPh>
    <rPh sb="156" eb="157">
      <t>チ</t>
    </rPh>
    <rPh sb="160" eb="161">
      <t>ヒト</t>
    </rPh>
    <phoneticPr fontId="5"/>
  </si>
  <si>
    <t>経センの内訳を見ると「はん用ディーゼル機関」「原子動力炉」の生産額が大幅増。補正しない。</t>
    <rPh sb="0" eb="1">
      <t>キョウ</t>
    </rPh>
    <rPh sb="4" eb="6">
      <t>ウチワケ</t>
    </rPh>
    <rPh sb="7" eb="8">
      <t>ミ</t>
    </rPh>
    <rPh sb="13" eb="14">
      <t>ヨウ</t>
    </rPh>
    <rPh sb="19" eb="21">
      <t>キカン</t>
    </rPh>
    <rPh sb="23" eb="25">
      <t>ゲンシ</t>
    </rPh>
    <rPh sb="25" eb="28">
      <t>ドウリョクロ</t>
    </rPh>
    <rPh sb="30" eb="33">
      <t>セイサンガク</t>
    </rPh>
    <rPh sb="34" eb="37">
      <t>オオハバゾウ</t>
    </rPh>
    <rPh sb="38" eb="40">
      <t>ホセイ</t>
    </rPh>
    <phoneticPr fontId="5"/>
  </si>
  <si>
    <t>2919-099</t>
    <phoneticPr fontId="5"/>
  </si>
  <si>
    <t xml:space="preserve"> 動力伝動装置</t>
    <rPh sb="1" eb="3">
      <t>ドウリョク</t>
    </rPh>
    <rPh sb="3" eb="5">
      <t>デンドウ</t>
    </rPh>
    <rPh sb="5" eb="7">
      <t>ソウチ</t>
    </rPh>
    <phoneticPr fontId="14"/>
  </si>
  <si>
    <t xml:space="preserve"> 他に分類されないはん用機械</t>
    <rPh sb="1" eb="2">
      <t>タ</t>
    </rPh>
    <rPh sb="3" eb="5">
      <t>ブンルイ</t>
    </rPh>
    <rPh sb="11" eb="12">
      <t>ヨウ</t>
    </rPh>
    <rPh sb="12" eb="14">
      <t>キカイ</t>
    </rPh>
    <phoneticPr fontId="14"/>
  </si>
  <si>
    <t>3014-011</t>
    <phoneticPr fontId="5"/>
  </si>
  <si>
    <t xml:space="preserve"> 食品機械・同装置</t>
    <rPh sb="2" eb="3">
      <t>ヒン</t>
    </rPh>
    <rPh sb="3" eb="5">
      <t>キカイ</t>
    </rPh>
    <rPh sb="6" eb="7">
      <t>ドウ</t>
    </rPh>
    <rPh sb="7" eb="9">
      <t>ソウチ</t>
    </rPh>
    <phoneticPr fontId="14"/>
  </si>
  <si>
    <t xml:space="preserve"> 木材加工機械</t>
    <rPh sb="1" eb="3">
      <t>モクザイ</t>
    </rPh>
    <rPh sb="3" eb="5">
      <t>カコウ</t>
    </rPh>
    <phoneticPr fontId="14"/>
  </si>
  <si>
    <t xml:space="preserve"> パルプ装置・製紙機械</t>
    <rPh sb="8" eb="9">
      <t>カミ</t>
    </rPh>
    <phoneticPr fontId="14"/>
  </si>
  <si>
    <t xml:space="preserve"> 印刷・製本・紙工機械</t>
    <phoneticPr fontId="14"/>
  </si>
  <si>
    <t xml:space="preserve"> 包装・荷造機械</t>
    <rPh sb="1" eb="3">
      <t>ホウソウ</t>
    </rPh>
    <rPh sb="4" eb="6">
      <t>ニヅク</t>
    </rPh>
    <rPh sb="6" eb="8">
      <t>キカイ</t>
    </rPh>
    <phoneticPr fontId="14"/>
  </si>
  <si>
    <t xml:space="preserve"> 鋳造装置</t>
    <phoneticPr fontId="14"/>
  </si>
  <si>
    <t xml:space="preserve"> プラスチック加工機械</t>
    <rPh sb="9" eb="11">
      <t>キカイ</t>
    </rPh>
    <phoneticPr fontId="14"/>
  </si>
  <si>
    <t>経センの内訳を見ると「他に分類されない事務用機械器具」の生産額が大幅増。補正しない。</t>
    <rPh sb="0" eb="1">
      <t>キョウ</t>
    </rPh>
    <rPh sb="4" eb="6">
      <t>ウチワケ</t>
    </rPh>
    <rPh sb="7" eb="8">
      <t>ミ</t>
    </rPh>
    <rPh sb="11" eb="12">
      <t>ホカ</t>
    </rPh>
    <rPh sb="13" eb="15">
      <t>ブンルイ</t>
    </rPh>
    <rPh sb="19" eb="22">
      <t>ジムヨウ</t>
    </rPh>
    <rPh sb="22" eb="24">
      <t>キカイ</t>
    </rPh>
    <rPh sb="24" eb="26">
      <t>キグ</t>
    </rPh>
    <rPh sb="28" eb="31">
      <t>セイサンガク</t>
    </rPh>
    <rPh sb="32" eb="35">
      <t>オオハバゾウ</t>
    </rPh>
    <rPh sb="36" eb="38">
      <t>ホセイ</t>
    </rPh>
    <phoneticPr fontId="5"/>
  </si>
  <si>
    <t>3112-011</t>
    <phoneticPr fontId="5"/>
  </si>
  <si>
    <t xml:space="preserve"> 自動販売機</t>
    <phoneticPr fontId="5"/>
  </si>
  <si>
    <t xml:space="preserve"> 娯楽用機器</t>
    <phoneticPr fontId="5"/>
  </si>
  <si>
    <t xml:space="preserve"> その他のサービス用機器</t>
    <phoneticPr fontId="5"/>
  </si>
  <si>
    <t>3211-021</t>
    <phoneticPr fontId="5"/>
  </si>
  <si>
    <t>地域表では前工程と後工程とに分けて表章することも検討すると地域表要綱p13に記載されており、近経局のＣＴも分けて提示されているため、それにならった。近経局の推計方法に準じて、まず経セン組替第５表から集積回路全体のＣＴを推計し、商品流通調査の輸移出額表にある生産額の割合で前工程と後工程を按分した。→27年表も同様とする。（前工程生産額：0　後工程生産額：14187　のため、全て後工程に按分）→27年表まで独自に前工程と後工程に分けて表章していたが、前工程生産額は０とすることが続いていたため、R2年表では分けて表章することをやめる。</t>
    <rPh sb="0" eb="2">
      <t>チイキ</t>
    </rPh>
    <rPh sb="2" eb="3">
      <t>ヒョウ</t>
    </rPh>
    <rPh sb="5" eb="8">
      <t>マエコウテイ</t>
    </rPh>
    <rPh sb="9" eb="12">
      <t>アトコウテイ</t>
    </rPh>
    <rPh sb="14" eb="15">
      <t>ワ</t>
    </rPh>
    <rPh sb="17" eb="19">
      <t>ヒョウショウ</t>
    </rPh>
    <rPh sb="24" eb="26">
      <t>ケントウ</t>
    </rPh>
    <rPh sb="29" eb="31">
      <t>チイキ</t>
    </rPh>
    <rPh sb="31" eb="32">
      <t>ヒョウ</t>
    </rPh>
    <rPh sb="32" eb="34">
      <t>ヨウコウ</t>
    </rPh>
    <rPh sb="38" eb="40">
      <t>キサイ</t>
    </rPh>
    <rPh sb="46" eb="47">
      <t>キン</t>
    </rPh>
    <rPh sb="47" eb="48">
      <t>ケイ</t>
    </rPh>
    <rPh sb="48" eb="49">
      <t>キョク</t>
    </rPh>
    <rPh sb="53" eb="54">
      <t>ワ</t>
    </rPh>
    <rPh sb="56" eb="58">
      <t>テイジ</t>
    </rPh>
    <rPh sb="74" eb="75">
      <t>キン</t>
    </rPh>
    <rPh sb="75" eb="76">
      <t>ケイ</t>
    </rPh>
    <rPh sb="76" eb="77">
      <t>キョク</t>
    </rPh>
    <rPh sb="78" eb="80">
      <t>スイケイ</t>
    </rPh>
    <rPh sb="80" eb="82">
      <t>ホウホウ</t>
    </rPh>
    <rPh sb="83" eb="84">
      <t>ジュン</t>
    </rPh>
    <rPh sb="89" eb="90">
      <t>ケイ</t>
    </rPh>
    <rPh sb="92" eb="94">
      <t>クミカエ</t>
    </rPh>
    <rPh sb="94" eb="95">
      <t>ダイ</t>
    </rPh>
    <rPh sb="96" eb="97">
      <t>ヒョウ</t>
    </rPh>
    <rPh sb="99" eb="101">
      <t>シュウセキ</t>
    </rPh>
    <rPh sb="101" eb="103">
      <t>カイロ</t>
    </rPh>
    <rPh sb="103" eb="105">
      <t>ゼンタイ</t>
    </rPh>
    <rPh sb="109" eb="111">
      <t>スイケイ</t>
    </rPh>
    <rPh sb="113" eb="115">
      <t>ショウヒン</t>
    </rPh>
    <rPh sb="115" eb="117">
      <t>リュウツウ</t>
    </rPh>
    <rPh sb="117" eb="119">
      <t>チョウサ</t>
    </rPh>
    <rPh sb="120" eb="121">
      <t>ユ</t>
    </rPh>
    <rPh sb="121" eb="123">
      <t>イシュツ</t>
    </rPh>
    <rPh sb="123" eb="124">
      <t>ガク</t>
    </rPh>
    <rPh sb="124" eb="125">
      <t>ヒョウ</t>
    </rPh>
    <rPh sb="128" eb="131">
      <t>セイサンガク</t>
    </rPh>
    <rPh sb="132" eb="134">
      <t>ワリアイ</t>
    </rPh>
    <rPh sb="135" eb="138">
      <t>マエコウテイ</t>
    </rPh>
    <rPh sb="139" eb="142">
      <t>アトコウテイ</t>
    </rPh>
    <rPh sb="143" eb="145">
      <t>アンブン</t>
    </rPh>
    <rPh sb="151" eb="152">
      <t>ネン</t>
    </rPh>
    <rPh sb="152" eb="153">
      <t>ヒョウ</t>
    </rPh>
    <rPh sb="154" eb="156">
      <t>ドウヨウ</t>
    </rPh>
    <rPh sb="161" eb="164">
      <t>マエコウテイ</t>
    </rPh>
    <rPh sb="164" eb="167">
      <t>セイサンガク</t>
    </rPh>
    <rPh sb="170" eb="173">
      <t>アトコウテイ</t>
    </rPh>
    <rPh sb="173" eb="176">
      <t>セイサンガク</t>
    </rPh>
    <rPh sb="187" eb="188">
      <t>スベ</t>
    </rPh>
    <rPh sb="189" eb="192">
      <t>アトコウテイ</t>
    </rPh>
    <rPh sb="193" eb="195">
      <t>アンブン</t>
    </rPh>
    <rPh sb="199" eb="200">
      <t>ネン</t>
    </rPh>
    <rPh sb="200" eb="201">
      <t>ヒョウ</t>
    </rPh>
    <rPh sb="203" eb="205">
      <t>ドクジ</t>
    </rPh>
    <rPh sb="206" eb="207">
      <t>マエ</t>
    </rPh>
    <rPh sb="207" eb="209">
      <t>コウテイ</t>
    </rPh>
    <rPh sb="210" eb="213">
      <t>アトコウテイ</t>
    </rPh>
    <rPh sb="214" eb="215">
      <t>ワ</t>
    </rPh>
    <rPh sb="217" eb="218">
      <t>ヒョウ</t>
    </rPh>
    <rPh sb="218" eb="219">
      <t>ショウ</t>
    </rPh>
    <rPh sb="225" eb="226">
      <t>マエ</t>
    </rPh>
    <rPh sb="226" eb="228">
      <t>コウテイ</t>
    </rPh>
    <rPh sb="228" eb="231">
      <t>セイサンガク</t>
    </rPh>
    <rPh sb="239" eb="240">
      <t>ツヅ</t>
    </rPh>
    <rPh sb="249" eb="250">
      <t>ネン</t>
    </rPh>
    <rPh sb="250" eb="251">
      <t>ヒョウ</t>
    </rPh>
    <rPh sb="253" eb="254">
      <t>ワ</t>
    </rPh>
    <rPh sb="256" eb="258">
      <t>ヒョウショウ</t>
    </rPh>
    <phoneticPr fontId="14"/>
  </si>
  <si>
    <t>　ＭＰＵ、ＣＣＤ</t>
    <phoneticPr fontId="14"/>
  </si>
  <si>
    <t>貿易統計から、県別の数値が発見できないため推計していない。</t>
    <rPh sb="0" eb="2">
      <t>ボウエキ</t>
    </rPh>
    <rPh sb="2" eb="4">
      <t>トウケイ</t>
    </rPh>
    <rPh sb="7" eb="8">
      <t>ケン</t>
    </rPh>
    <rPh sb="8" eb="9">
      <t>ベツ</t>
    </rPh>
    <rPh sb="10" eb="12">
      <t>スウチ</t>
    </rPh>
    <rPh sb="13" eb="15">
      <t>ハッケン</t>
    </rPh>
    <rPh sb="21" eb="23">
      <t>スイケイ</t>
    </rPh>
    <phoneticPr fontId="14"/>
  </si>
  <si>
    <t>　パッシブ型</t>
    <phoneticPr fontId="5"/>
  </si>
  <si>
    <t>生動組替集計に項目なし</t>
    <rPh sb="0" eb="2">
      <t>セイドウ</t>
    </rPh>
    <rPh sb="2" eb="4">
      <t>クミカエ</t>
    </rPh>
    <rPh sb="4" eb="6">
      <t>シュウケイ</t>
    </rPh>
    <rPh sb="7" eb="9">
      <t>コウモク</t>
    </rPh>
    <phoneticPr fontId="5"/>
  </si>
  <si>
    <t>　その他のフラットパネル・電子管</t>
    <rPh sb="3" eb="4">
      <t>タ</t>
    </rPh>
    <rPh sb="13" eb="16">
      <t>デンシカン</t>
    </rPh>
    <phoneticPr fontId="5"/>
  </si>
  <si>
    <t>県値なし</t>
    <rPh sb="0" eb="1">
      <t>ケン</t>
    </rPh>
    <rPh sb="1" eb="2">
      <t>アタイ</t>
    </rPh>
    <phoneticPr fontId="5"/>
  </si>
  <si>
    <t>近経局に準じて生動を使った。→27年表も同様とする</t>
    <rPh sb="0" eb="1">
      <t>キン</t>
    </rPh>
    <rPh sb="1" eb="2">
      <t>ケイ</t>
    </rPh>
    <rPh sb="2" eb="3">
      <t>キョク</t>
    </rPh>
    <rPh sb="4" eb="5">
      <t>ジュン</t>
    </rPh>
    <rPh sb="7" eb="9">
      <t>セイドウ</t>
    </rPh>
    <rPh sb="10" eb="11">
      <t>ツカ</t>
    </rPh>
    <rPh sb="17" eb="18">
      <t>ネン</t>
    </rPh>
    <rPh sb="18" eb="19">
      <t>ヒョウ</t>
    </rPh>
    <rPh sb="20" eb="22">
      <t>ドウヨウ</t>
    </rPh>
    <phoneticPr fontId="14"/>
  </si>
  <si>
    <t>209</t>
    <phoneticPr fontId="5"/>
  </si>
  <si>
    <t>210</t>
    <phoneticPr fontId="5"/>
  </si>
  <si>
    <t>H27年表までは生動組替集計でとっていたが、Ｒ２経セン組替表兵庫県値とＨ２７年生動組替表兵庫県値の数値が近いこと、Ｒ２生動組替集計では一部数値がとれなくなっていることから、経セン組替表の利用に変更する。</t>
    <rPh sb="3" eb="4">
      <t>ネン</t>
    </rPh>
    <rPh sb="4" eb="5">
      <t>ヒョウ</t>
    </rPh>
    <rPh sb="8" eb="10">
      <t>セイドウ</t>
    </rPh>
    <rPh sb="10" eb="12">
      <t>クミカエ</t>
    </rPh>
    <rPh sb="12" eb="14">
      <t>シュウケイ</t>
    </rPh>
    <rPh sb="24" eb="25">
      <t>ケイ</t>
    </rPh>
    <rPh sb="27" eb="29">
      <t>クミカエ</t>
    </rPh>
    <rPh sb="29" eb="30">
      <t>ヒョウ</t>
    </rPh>
    <rPh sb="30" eb="33">
      <t>ヒョウゴケン</t>
    </rPh>
    <rPh sb="33" eb="34">
      <t>チ</t>
    </rPh>
    <rPh sb="38" eb="39">
      <t>ネン</t>
    </rPh>
    <rPh sb="39" eb="41">
      <t>セイドウ</t>
    </rPh>
    <rPh sb="41" eb="43">
      <t>クミカエ</t>
    </rPh>
    <rPh sb="43" eb="44">
      <t>ヒョウ</t>
    </rPh>
    <rPh sb="44" eb="47">
      <t>ヒョウゴケン</t>
    </rPh>
    <rPh sb="47" eb="48">
      <t>チ</t>
    </rPh>
    <rPh sb="49" eb="51">
      <t>スウチ</t>
    </rPh>
    <rPh sb="52" eb="53">
      <t>チカ</t>
    </rPh>
    <rPh sb="59" eb="61">
      <t>セイドウ</t>
    </rPh>
    <rPh sb="61" eb="63">
      <t>クミカエ</t>
    </rPh>
    <rPh sb="63" eb="65">
      <t>シュウケイ</t>
    </rPh>
    <rPh sb="67" eb="69">
      <t>イチブ</t>
    </rPh>
    <rPh sb="69" eb="71">
      <t>スウチ</t>
    </rPh>
    <rPh sb="86" eb="87">
      <t>ケイ</t>
    </rPh>
    <rPh sb="89" eb="91">
      <t>クミカエ</t>
    </rPh>
    <rPh sb="91" eb="92">
      <t>ヒョウ</t>
    </rPh>
    <rPh sb="93" eb="95">
      <t>リヨウ</t>
    </rPh>
    <rPh sb="96" eb="98">
      <t>ヘンコウ</t>
    </rPh>
    <phoneticPr fontId="5"/>
  </si>
  <si>
    <t>ラジオ・テレビ受信機</t>
    <phoneticPr fontId="5"/>
  </si>
  <si>
    <t>乗用車（ハイブリッド車）</t>
    <rPh sb="10" eb="11">
      <t>シャ</t>
    </rPh>
    <phoneticPr fontId="5"/>
  </si>
  <si>
    <t>3511-02</t>
    <phoneticPr fontId="5"/>
  </si>
  <si>
    <t>3511-021</t>
    <phoneticPr fontId="5"/>
  </si>
  <si>
    <t>乗用車（除ハイブリッド車）</t>
    <rPh sb="4" eb="5">
      <t>ノゾ</t>
    </rPh>
    <rPh sb="11" eb="12">
      <t>シャ</t>
    </rPh>
    <phoneticPr fontId="5"/>
  </si>
  <si>
    <t>国は生動を使っている。H23年表は近経局と同様に経セン組替表を使うとＣＴ＝108331となるため、近畿値（91913）＝県値としている。27年表でも同様に経センを使うとCT=149578となり、国の伸びよりも大幅に増加し、国ＣＴに対する当県の割合が大幅に増加してしまう。なお、生動を使うと大幅に減少した。よって、前回値91913に経センの伸び率を（149578/108331）を乗じて推計した。</t>
    <rPh sb="0" eb="1">
      <t>クニ</t>
    </rPh>
    <rPh sb="2" eb="4">
      <t>セイドウ</t>
    </rPh>
    <rPh sb="5" eb="6">
      <t>ツカ</t>
    </rPh>
    <rPh sb="14" eb="15">
      <t>ネン</t>
    </rPh>
    <rPh sb="15" eb="16">
      <t>ヒョウ</t>
    </rPh>
    <rPh sb="17" eb="18">
      <t>キン</t>
    </rPh>
    <rPh sb="18" eb="19">
      <t>ケイ</t>
    </rPh>
    <rPh sb="19" eb="20">
      <t>キョク</t>
    </rPh>
    <rPh sb="21" eb="23">
      <t>ドウヨウ</t>
    </rPh>
    <rPh sb="24" eb="25">
      <t>ケイ</t>
    </rPh>
    <rPh sb="27" eb="29">
      <t>クミカエ</t>
    </rPh>
    <rPh sb="29" eb="30">
      <t>ヒョウ</t>
    </rPh>
    <rPh sb="31" eb="32">
      <t>ツカ</t>
    </rPh>
    <rPh sb="49" eb="51">
      <t>キンキ</t>
    </rPh>
    <rPh sb="51" eb="52">
      <t>チ</t>
    </rPh>
    <rPh sb="60" eb="62">
      <t>ケンチ</t>
    </rPh>
    <rPh sb="70" eb="71">
      <t>ネン</t>
    </rPh>
    <rPh sb="71" eb="72">
      <t>ヒョウ</t>
    </rPh>
    <rPh sb="74" eb="76">
      <t>ドウヨウ</t>
    </rPh>
    <rPh sb="97" eb="98">
      <t>クニ</t>
    </rPh>
    <rPh sb="99" eb="100">
      <t>ノ</t>
    </rPh>
    <rPh sb="104" eb="106">
      <t>オオハバ</t>
    </rPh>
    <rPh sb="107" eb="109">
      <t>ゾウカ</t>
    </rPh>
    <rPh sb="111" eb="112">
      <t>クニ</t>
    </rPh>
    <rPh sb="115" eb="116">
      <t>タイ</t>
    </rPh>
    <rPh sb="118" eb="120">
      <t>トウケン</t>
    </rPh>
    <rPh sb="121" eb="123">
      <t>ワリアイ</t>
    </rPh>
    <rPh sb="124" eb="126">
      <t>オオハバ</t>
    </rPh>
    <rPh sb="127" eb="129">
      <t>ゾウカ</t>
    </rPh>
    <rPh sb="138" eb="140">
      <t>セイドウ</t>
    </rPh>
    <rPh sb="141" eb="142">
      <t>ツカ</t>
    </rPh>
    <rPh sb="156" eb="158">
      <t>ゼンカイ</t>
    </rPh>
    <rPh sb="158" eb="159">
      <t>チ</t>
    </rPh>
    <rPh sb="192" eb="194">
      <t>スイケイ</t>
    </rPh>
    <phoneticPr fontId="14"/>
  </si>
  <si>
    <t>経セン組替第６表</t>
  </si>
  <si>
    <t>23年表では輸出船以外と輸出船に分けて推計しているが（近経局と同じ方法）、輸出船が推計できないため17年値を固定して使用している。27年表ではデータが古くなるので、全て経セン組替データを使用する。→R2年表では、経セン組替表の「鋼船」－3541-10「船舶修理」。</t>
    <phoneticPr fontId="14"/>
  </si>
  <si>
    <t>経セン組替第５表</t>
    <rPh sb="5" eb="6">
      <t>ダイ</t>
    </rPh>
    <phoneticPr fontId="14"/>
  </si>
  <si>
    <t>経セン組替表の調査品目コード313123，313124，313125の数値の合計を使った。</t>
    <rPh sb="0" eb="1">
      <t>ケイ</t>
    </rPh>
    <rPh sb="3" eb="5">
      <t>クミカエ</t>
    </rPh>
    <rPh sb="5" eb="6">
      <t>ヒョウ</t>
    </rPh>
    <rPh sb="7" eb="9">
      <t>チョウサ</t>
    </rPh>
    <rPh sb="9" eb="11">
      <t>ヒンモク</t>
    </rPh>
    <rPh sb="35" eb="37">
      <t>スウチ</t>
    </rPh>
    <rPh sb="38" eb="40">
      <t>ゴウケイ</t>
    </rPh>
    <rPh sb="41" eb="42">
      <t>ツカ</t>
    </rPh>
    <phoneticPr fontId="5"/>
  </si>
  <si>
    <t>国値はマニュアルp114によると経セン組替表を使わず推計しているが、近経局は経センの値を直接入力している。経セン組替表の値を直接とっても国ＣＴと一致しないことから、経セン組替のデータを按分しようとして用いた。→27年表,R2年表も同様とする</t>
    <rPh sb="0" eb="1">
      <t>クニ</t>
    </rPh>
    <rPh sb="1" eb="2">
      <t>チ</t>
    </rPh>
    <rPh sb="16" eb="17">
      <t>ケイ</t>
    </rPh>
    <rPh sb="19" eb="21">
      <t>クミカエ</t>
    </rPh>
    <rPh sb="21" eb="22">
      <t>ヒョウ</t>
    </rPh>
    <rPh sb="23" eb="24">
      <t>ツカ</t>
    </rPh>
    <rPh sb="26" eb="28">
      <t>スイケイ</t>
    </rPh>
    <rPh sb="34" eb="35">
      <t>キン</t>
    </rPh>
    <rPh sb="35" eb="36">
      <t>ケイ</t>
    </rPh>
    <rPh sb="36" eb="37">
      <t>キョク</t>
    </rPh>
    <rPh sb="38" eb="39">
      <t>ケイ</t>
    </rPh>
    <rPh sb="42" eb="43">
      <t>アタイ</t>
    </rPh>
    <rPh sb="44" eb="46">
      <t>チョクセツ</t>
    </rPh>
    <rPh sb="46" eb="48">
      <t>ニュウリョク</t>
    </rPh>
    <rPh sb="53" eb="54">
      <t>ケイ</t>
    </rPh>
    <rPh sb="56" eb="58">
      <t>クミカエ</t>
    </rPh>
    <rPh sb="58" eb="59">
      <t>ヒョウ</t>
    </rPh>
    <rPh sb="60" eb="61">
      <t>アタイ</t>
    </rPh>
    <rPh sb="62" eb="64">
      <t>チョクセツ</t>
    </rPh>
    <rPh sb="68" eb="69">
      <t>クニ</t>
    </rPh>
    <rPh sb="72" eb="74">
      <t>イッチ</t>
    </rPh>
    <rPh sb="82" eb="83">
      <t>ケイ</t>
    </rPh>
    <rPh sb="85" eb="87">
      <t>クミカエ</t>
    </rPh>
    <rPh sb="92" eb="94">
      <t>アンブン</t>
    </rPh>
    <rPh sb="100" eb="101">
      <t>モチ</t>
    </rPh>
    <rPh sb="107" eb="108">
      <t>ネン</t>
    </rPh>
    <rPh sb="108" eb="109">
      <t>ヒョウ</t>
    </rPh>
    <rPh sb="112" eb="113">
      <t>ネン</t>
    </rPh>
    <rPh sb="113" eb="114">
      <t>ヒョウ</t>
    </rPh>
    <rPh sb="115" eb="117">
      <t>ドウヨウ</t>
    </rPh>
    <phoneticPr fontId="14"/>
  </si>
  <si>
    <t>機関車</t>
    <rPh sb="0" eb="3">
      <t>キカンシャ</t>
    </rPh>
    <phoneticPr fontId="14"/>
  </si>
  <si>
    <t>鉄道用電車(動力付)。この項目が旅客車なのか不明だがとりあえず前例踏襲。</t>
    <rPh sb="0" eb="3">
      <t>テツドウヨウ</t>
    </rPh>
    <rPh sb="3" eb="5">
      <t>デンシャ</t>
    </rPh>
    <rPh sb="6" eb="8">
      <t>ドウリョク</t>
    </rPh>
    <rPh sb="8" eb="9">
      <t>ツ</t>
    </rPh>
    <rPh sb="13" eb="15">
      <t>コウモク</t>
    </rPh>
    <rPh sb="16" eb="18">
      <t>リョカク</t>
    </rPh>
    <rPh sb="18" eb="19">
      <t>シャ</t>
    </rPh>
    <rPh sb="22" eb="24">
      <t>フメイ</t>
    </rPh>
    <rPh sb="31" eb="33">
      <t>ゼンレイ</t>
    </rPh>
    <rPh sb="33" eb="35">
      <t>トウシュウ</t>
    </rPh>
    <phoneticPr fontId="14"/>
  </si>
  <si>
    <t>内燃動車。前例踏襲。県値ゼロ。
→（R2表作成時）ＣＴの貨物車と特殊車の経セン項目との適合に関しては疑問が残るが、そもそもＣＴと経センの項目は一致していないこと、県生産品としては機関車と旅客車が大部分であることから、前回表までの分類に従って支障なしと判断。</t>
    <rPh sb="0" eb="2">
      <t>ナイネン</t>
    </rPh>
    <rPh sb="2" eb="3">
      <t>ドウ</t>
    </rPh>
    <rPh sb="3" eb="4">
      <t>クルマ</t>
    </rPh>
    <rPh sb="5" eb="7">
      <t>ゼンレイ</t>
    </rPh>
    <rPh sb="7" eb="9">
      <t>トウシュウ</t>
    </rPh>
    <rPh sb="10" eb="11">
      <t>ケン</t>
    </rPh>
    <rPh sb="11" eb="12">
      <t>アタイ</t>
    </rPh>
    <rPh sb="20" eb="21">
      <t>ヒョウ</t>
    </rPh>
    <rPh sb="21" eb="24">
      <t>サクセイジ</t>
    </rPh>
    <rPh sb="28" eb="31">
      <t>カモツシャ</t>
    </rPh>
    <rPh sb="32" eb="35">
      <t>トクシュシャ</t>
    </rPh>
    <rPh sb="36" eb="37">
      <t>ケイ</t>
    </rPh>
    <rPh sb="39" eb="41">
      <t>コウモク</t>
    </rPh>
    <rPh sb="43" eb="45">
      <t>テキゴウ</t>
    </rPh>
    <rPh sb="46" eb="47">
      <t>カン</t>
    </rPh>
    <rPh sb="50" eb="52">
      <t>ギモン</t>
    </rPh>
    <rPh sb="53" eb="54">
      <t>ノコ</t>
    </rPh>
    <rPh sb="64" eb="65">
      <t>ケイ</t>
    </rPh>
    <rPh sb="68" eb="70">
      <t>コウモク</t>
    </rPh>
    <rPh sb="71" eb="73">
      <t>イッチ</t>
    </rPh>
    <rPh sb="81" eb="82">
      <t>ケン</t>
    </rPh>
    <rPh sb="82" eb="84">
      <t>セイサン</t>
    </rPh>
    <rPh sb="84" eb="85">
      <t>ヒン</t>
    </rPh>
    <rPh sb="89" eb="92">
      <t>キカンシャ</t>
    </rPh>
    <rPh sb="93" eb="96">
      <t>リョキャクシャ</t>
    </rPh>
    <rPh sb="97" eb="100">
      <t>ダイブブン</t>
    </rPh>
    <rPh sb="108" eb="110">
      <t>ゼンカイ</t>
    </rPh>
    <rPh sb="110" eb="111">
      <t>ヒョウ</t>
    </rPh>
    <rPh sb="114" eb="116">
      <t>ブンルイ</t>
    </rPh>
    <rPh sb="117" eb="118">
      <t>シタガ</t>
    </rPh>
    <rPh sb="120" eb="122">
      <t>シショウ</t>
    </rPh>
    <rPh sb="125" eb="127">
      <t>ハンダン</t>
    </rPh>
    <phoneticPr fontId="14"/>
  </si>
  <si>
    <t>鉄道用被けん車、電車。前例踏襲。県値ゼロ。</t>
    <rPh sb="0" eb="3">
      <t>テツドウヨウ</t>
    </rPh>
    <rPh sb="3" eb="4">
      <t>ヒ</t>
    </rPh>
    <rPh sb="6" eb="7">
      <t>シャ</t>
    </rPh>
    <rPh sb="8" eb="10">
      <t>デンシャ</t>
    </rPh>
    <rPh sb="11" eb="13">
      <t>ゼンレイ</t>
    </rPh>
    <rPh sb="13" eb="15">
      <t>トウシュウ</t>
    </rPh>
    <rPh sb="16" eb="17">
      <t>ケン</t>
    </rPh>
    <rPh sb="17" eb="18">
      <t>アタイ</t>
    </rPh>
    <phoneticPr fontId="14"/>
  </si>
  <si>
    <t>近経局の方法に準じて、5711-01鉄道旅客輸送及び5712-01鉄道貨物輸送のＣＴで按分。前例踏襲。</t>
    <rPh sb="0" eb="1">
      <t>キン</t>
    </rPh>
    <rPh sb="1" eb="2">
      <t>ケイ</t>
    </rPh>
    <rPh sb="2" eb="3">
      <t>キョク</t>
    </rPh>
    <rPh sb="4" eb="6">
      <t>ホウホウ</t>
    </rPh>
    <rPh sb="7" eb="8">
      <t>ジュン</t>
    </rPh>
    <rPh sb="18" eb="20">
      <t>テツドウ</t>
    </rPh>
    <rPh sb="20" eb="22">
      <t>リョカク</t>
    </rPh>
    <rPh sb="22" eb="24">
      <t>ユソウ</t>
    </rPh>
    <rPh sb="24" eb="25">
      <t>オヨ</t>
    </rPh>
    <rPh sb="33" eb="35">
      <t>テツドウ</t>
    </rPh>
    <rPh sb="35" eb="37">
      <t>カモツ</t>
    </rPh>
    <rPh sb="37" eb="39">
      <t>ユソウ</t>
    </rPh>
    <rPh sb="43" eb="45">
      <t>アンブン</t>
    </rPh>
    <rPh sb="46" eb="48">
      <t>ゼンレイ</t>
    </rPh>
    <rPh sb="48" eb="50">
      <t>トウシュウ</t>
    </rPh>
    <phoneticPr fontId="14"/>
  </si>
  <si>
    <t>機関車の部分品等＋電車・客貨車の部分品等の合計で按分。前例踏襲</t>
    <rPh sb="0" eb="3">
      <t>キカンシャ</t>
    </rPh>
    <rPh sb="4" eb="7">
      <t>ブブンヒン</t>
    </rPh>
    <rPh sb="7" eb="8">
      <t>トウ</t>
    </rPh>
    <rPh sb="9" eb="11">
      <t>デンシャ</t>
    </rPh>
    <rPh sb="12" eb="13">
      <t>キャク</t>
    </rPh>
    <rPh sb="13" eb="15">
      <t>カシャ</t>
    </rPh>
    <rPh sb="16" eb="18">
      <t>ブブン</t>
    </rPh>
    <rPh sb="18" eb="20">
      <t>ヒントウ</t>
    </rPh>
    <rPh sb="21" eb="23">
      <t>ゴウケイ</t>
    </rPh>
    <rPh sb="24" eb="26">
      <t>アンブン</t>
    </rPh>
    <rPh sb="27" eb="29">
      <t>ゼンレイ</t>
    </rPh>
    <rPh sb="29" eb="31">
      <t>トウシュウ</t>
    </rPh>
    <phoneticPr fontId="14"/>
  </si>
  <si>
    <t>経セン組替表「鉄道車両」の製造品在庫額増減＋半製品・仕掛品の価格増減（近経局の方法）→27年表,R2年表も同様とする</t>
    <rPh sb="0" eb="1">
      <t>ケイ</t>
    </rPh>
    <rPh sb="3" eb="5">
      <t>クミカ</t>
    </rPh>
    <rPh sb="5" eb="6">
      <t>ヒョウ</t>
    </rPh>
    <rPh sb="7" eb="9">
      <t>テツドウ</t>
    </rPh>
    <rPh sb="9" eb="11">
      <t>シャリョウ</t>
    </rPh>
    <rPh sb="13" eb="16">
      <t>セイゾウヒン</t>
    </rPh>
    <rPh sb="16" eb="18">
      <t>ザイコ</t>
    </rPh>
    <rPh sb="18" eb="19">
      <t>ガク</t>
    </rPh>
    <rPh sb="19" eb="21">
      <t>ゾウゲン</t>
    </rPh>
    <rPh sb="22" eb="25">
      <t>ハンセイヒン</t>
    </rPh>
    <rPh sb="26" eb="28">
      <t>シカケ</t>
    </rPh>
    <rPh sb="28" eb="29">
      <t>ヒン</t>
    </rPh>
    <rPh sb="30" eb="32">
      <t>カカク</t>
    </rPh>
    <rPh sb="32" eb="34">
      <t>ゾウゲン</t>
    </rPh>
    <rPh sb="35" eb="36">
      <t>キン</t>
    </rPh>
    <rPh sb="36" eb="37">
      <t>ケイ</t>
    </rPh>
    <rPh sb="37" eb="38">
      <t>キョク</t>
    </rPh>
    <rPh sb="39" eb="41">
      <t>ホウホウ</t>
    </rPh>
    <rPh sb="45" eb="46">
      <t>ネン</t>
    </rPh>
    <rPh sb="46" eb="47">
      <t>ヒョウ</t>
    </rPh>
    <rPh sb="50" eb="51">
      <t>ネン</t>
    </rPh>
    <rPh sb="51" eb="52">
      <t>ヒョウ</t>
    </rPh>
    <rPh sb="53" eb="55">
      <t>ドウヨウ</t>
    </rPh>
    <phoneticPr fontId="14"/>
  </si>
  <si>
    <t>鉄道車両修理総額で按分（国値・県値ともゼロ）。これが妥当なのか不明だが、近経局の方法もよくわからないのでとりあえず前例踏襲→27年表も同様とする→下の「3591-10鉄道車両修理」では過去の近畿経産局の推計方法に準じて算出しているが、当項目に引っ張ってくる按分指標としては県値０としていた。しかし、R3経センの産業分類一覧を確認すると「その他の鉄道車両」の中に「鉄道車両修理等」が入っていることを踏まえて、R2表では按分指標として「その他の鉄道車両」の数値を使うこととする。（「3591-10鉄道車両修理」のＣＴの国値と県値の比率を按分に使うと県値がこれより大きくなってしまう。前回表まで０となっていたことから、数値が大きくなりすぎないようにするためにも、「その他の鉄道車両」を採用。）</t>
    <rPh sb="0" eb="2">
      <t>テツドウ</t>
    </rPh>
    <rPh sb="2" eb="4">
      <t>シャリョウ</t>
    </rPh>
    <rPh sb="4" eb="6">
      <t>シュウリ</t>
    </rPh>
    <rPh sb="6" eb="8">
      <t>ソウガク</t>
    </rPh>
    <rPh sb="9" eb="11">
      <t>アンブン</t>
    </rPh>
    <rPh sb="12" eb="13">
      <t>クニ</t>
    </rPh>
    <rPh sb="13" eb="14">
      <t>アタイ</t>
    </rPh>
    <rPh sb="15" eb="16">
      <t>ケン</t>
    </rPh>
    <rPh sb="16" eb="17">
      <t>アタイ</t>
    </rPh>
    <rPh sb="26" eb="28">
      <t>ダトウ</t>
    </rPh>
    <rPh sb="31" eb="33">
      <t>フメイ</t>
    </rPh>
    <rPh sb="36" eb="37">
      <t>キン</t>
    </rPh>
    <rPh sb="37" eb="38">
      <t>ケイ</t>
    </rPh>
    <rPh sb="38" eb="39">
      <t>キョク</t>
    </rPh>
    <rPh sb="40" eb="42">
      <t>ホウホウ</t>
    </rPh>
    <rPh sb="57" eb="59">
      <t>ゼンレイ</t>
    </rPh>
    <rPh sb="59" eb="61">
      <t>トウシュウ</t>
    </rPh>
    <rPh sb="64" eb="65">
      <t>ネン</t>
    </rPh>
    <rPh sb="65" eb="66">
      <t>ヒョウ</t>
    </rPh>
    <rPh sb="67" eb="69">
      <t>ドウヨウ</t>
    </rPh>
    <rPh sb="73" eb="74">
      <t>シタ</t>
    </rPh>
    <rPh sb="83" eb="85">
      <t>テツドウ</t>
    </rPh>
    <rPh sb="85" eb="87">
      <t>シャリョウ</t>
    </rPh>
    <rPh sb="87" eb="89">
      <t>シュウリ</t>
    </rPh>
    <rPh sb="92" eb="94">
      <t>カコ</t>
    </rPh>
    <rPh sb="95" eb="97">
      <t>キンキ</t>
    </rPh>
    <rPh sb="97" eb="100">
      <t>ケイサンキョク</t>
    </rPh>
    <rPh sb="101" eb="103">
      <t>スイケイ</t>
    </rPh>
    <rPh sb="103" eb="105">
      <t>ホウホウ</t>
    </rPh>
    <rPh sb="106" eb="107">
      <t>ジュン</t>
    </rPh>
    <rPh sb="109" eb="111">
      <t>サンシュツ</t>
    </rPh>
    <rPh sb="117" eb="118">
      <t>トウ</t>
    </rPh>
    <rPh sb="118" eb="120">
      <t>コウモク</t>
    </rPh>
    <rPh sb="121" eb="122">
      <t>ヒ</t>
    </rPh>
    <rPh sb="123" eb="124">
      <t>パ</t>
    </rPh>
    <rPh sb="128" eb="130">
      <t>アンブン</t>
    </rPh>
    <rPh sb="130" eb="132">
      <t>シヒョウ</t>
    </rPh>
    <rPh sb="136" eb="138">
      <t>ケンチ</t>
    </rPh>
    <rPh sb="155" eb="157">
      <t>サンギョウ</t>
    </rPh>
    <rPh sb="157" eb="159">
      <t>ブンルイ</t>
    </rPh>
    <rPh sb="159" eb="161">
      <t>イチラン</t>
    </rPh>
    <rPh sb="162" eb="164">
      <t>カクニン</t>
    </rPh>
    <rPh sb="198" eb="199">
      <t>フ</t>
    </rPh>
    <rPh sb="205" eb="206">
      <t>ヒョウ</t>
    </rPh>
    <rPh sb="208" eb="210">
      <t>アンブン</t>
    </rPh>
    <rPh sb="210" eb="212">
      <t>シヒョウ</t>
    </rPh>
    <rPh sb="218" eb="219">
      <t>タ</t>
    </rPh>
    <rPh sb="220" eb="222">
      <t>テツドウ</t>
    </rPh>
    <rPh sb="222" eb="224">
      <t>シャリョウ</t>
    </rPh>
    <rPh sb="226" eb="228">
      <t>スウチ</t>
    </rPh>
    <rPh sb="229" eb="230">
      <t>ツカ</t>
    </rPh>
    <rPh sb="246" eb="248">
      <t>テツドウ</t>
    </rPh>
    <rPh sb="248" eb="250">
      <t>シャリョウ</t>
    </rPh>
    <rPh sb="250" eb="252">
      <t>シュウリ</t>
    </rPh>
    <rPh sb="257" eb="258">
      <t>クニ</t>
    </rPh>
    <rPh sb="258" eb="259">
      <t>チ</t>
    </rPh>
    <rPh sb="260" eb="262">
      <t>ケンチ</t>
    </rPh>
    <rPh sb="263" eb="265">
      <t>ヒリツ</t>
    </rPh>
    <rPh sb="266" eb="268">
      <t>アンブン</t>
    </rPh>
    <rPh sb="269" eb="270">
      <t>ツカ</t>
    </rPh>
    <rPh sb="272" eb="273">
      <t>ケン</t>
    </rPh>
    <rPh sb="273" eb="274">
      <t>チ</t>
    </rPh>
    <rPh sb="279" eb="280">
      <t>オオ</t>
    </rPh>
    <rPh sb="289" eb="291">
      <t>ゼンカイ</t>
    </rPh>
    <rPh sb="291" eb="292">
      <t>ヒョウ</t>
    </rPh>
    <rPh sb="306" eb="308">
      <t>スウチ</t>
    </rPh>
    <rPh sb="309" eb="310">
      <t>オオ</t>
    </rPh>
    <rPh sb="331" eb="332">
      <t>タ</t>
    </rPh>
    <rPh sb="333" eb="335">
      <t>テツドウ</t>
    </rPh>
    <rPh sb="335" eb="337">
      <t>シャリョウ</t>
    </rPh>
    <rPh sb="339" eb="341">
      <t>サイヨウ</t>
    </rPh>
    <phoneticPr fontId="14"/>
  </si>
  <si>
    <t>従来、本部門はＣＴ＝０だったのだが、特に鉄道業自家修理の方の国値按分の方法について近経局から推計方法が示されたのでその方法を採用した。県内にも鉄道事業者があるし、自家修理くらい行っているであろうとの判断から、０はおかしいのではないかと考えた。→27年表も同様とする</t>
    <rPh sb="0" eb="2">
      <t>ジュウライ</t>
    </rPh>
    <rPh sb="3" eb="5">
      <t>ホンブ</t>
    </rPh>
    <rPh sb="5" eb="6">
      <t>モン</t>
    </rPh>
    <rPh sb="18" eb="19">
      <t>トク</t>
    </rPh>
    <rPh sb="20" eb="22">
      <t>テツドウ</t>
    </rPh>
    <rPh sb="22" eb="23">
      <t>ギョウ</t>
    </rPh>
    <rPh sb="25" eb="27">
      <t>シュウリ</t>
    </rPh>
    <rPh sb="28" eb="29">
      <t>ホウ</t>
    </rPh>
    <rPh sb="30" eb="32">
      <t>クニチ</t>
    </rPh>
    <rPh sb="32" eb="34">
      <t>アンブン</t>
    </rPh>
    <rPh sb="35" eb="37">
      <t>ホウホウ</t>
    </rPh>
    <rPh sb="41" eb="42">
      <t>キン</t>
    </rPh>
    <rPh sb="42" eb="43">
      <t>ケイ</t>
    </rPh>
    <rPh sb="43" eb="44">
      <t>キョク</t>
    </rPh>
    <rPh sb="46" eb="48">
      <t>スイケイ</t>
    </rPh>
    <rPh sb="48" eb="50">
      <t>ホウホウ</t>
    </rPh>
    <rPh sb="51" eb="52">
      <t>シメ</t>
    </rPh>
    <rPh sb="59" eb="61">
      <t>ホウホウ</t>
    </rPh>
    <rPh sb="62" eb="64">
      <t>サイヨウ</t>
    </rPh>
    <rPh sb="67" eb="69">
      <t>ケンナイ</t>
    </rPh>
    <rPh sb="71" eb="73">
      <t>テツドウ</t>
    </rPh>
    <rPh sb="73" eb="75">
      <t>ジギョウ</t>
    </rPh>
    <rPh sb="75" eb="76">
      <t>シャ</t>
    </rPh>
    <rPh sb="81" eb="83">
      <t>ジカ</t>
    </rPh>
    <rPh sb="83" eb="85">
      <t>シュウリ</t>
    </rPh>
    <rPh sb="88" eb="89">
      <t>オコナ</t>
    </rPh>
    <rPh sb="99" eb="101">
      <t>ハンダン</t>
    </rPh>
    <rPh sb="117" eb="118">
      <t>カンガ</t>
    </rPh>
    <rPh sb="124" eb="125">
      <t>ネン</t>
    </rPh>
    <rPh sb="125" eb="126">
      <t>ヒョウ</t>
    </rPh>
    <rPh sb="127" eb="129">
      <t>ドウヨウ</t>
    </rPh>
    <phoneticPr fontId="14"/>
  </si>
  <si>
    <t>経済センサス組替第01表</t>
    <phoneticPr fontId="14"/>
  </si>
  <si>
    <t>近経局では、「鉄道車両・同部分品製造」の事業従業者数で按分するとあるが、そのような品目名は見当たらない。そこで、「鉄道車両」の細品目である「鉄道車両（賃加工）」と「鉄道車両用部分品（賃加工）」が本部門にも該当する複数該当部門であるとのことなのでそれらの事業従業者数で按分した。→27年表、R2年表も同様とする</t>
    <rPh sb="0" eb="1">
      <t>キン</t>
    </rPh>
    <rPh sb="1" eb="2">
      <t>ケイ</t>
    </rPh>
    <rPh sb="2" eb="3">
      <t>キョク</t>
    </rPh>
    <rPh sb="7" eb="9">
      <t>テツドウ</t>
    </rPh>
    <rPh sb="9" eb="11">
      <t>シャリョウ</t>
    </rPh>
    <rPh sb="12" eb="13">
      <t>ドウ</t>
    </rPh>
    <rPh sb="13" eb="16">
      <t>ブブンヒン</t>
    </rPh>
    <rPh sb="16" eb="18">
      <t>セイゾウ</t>
    </rPh>
    <rPh sb="20" eb="22">
      <t>ジギョウ</t>
    </rPh>
    <rPh sb="22" eb="25">
      <t>ジュウギョウシャ</t>
    </rPh>
    <rPh sb="25" eb="26">
      <t>スウ</t>
    </rPh>
    <rPh sb="27" eb="29">
      <t>アンブン</t>
    </rPh>
    <rPh sb="41" eb="43">
      <t>ヒンモク</t>
    </rPh>
    <rPh sb="43" eb="44">
      <t>メイ</t>
    </rPh>
    <rPh sb="45" eb="47">
      <t>ミア</t>
    </rPh>
    <rPh sb="57" eb="59">
      <t>テツドウ</t>
    </rPh>
    <rPh sb="59" eb="61">
      <t>シャリョウ</t>
    </rPh>
    <rPh sb="63" eb="64">
      <t>サイ</t>
    </rPh>
    <rPh sb="64" eb="66">
      <t>ヒンモク</t>
    </rPh>
    <rPh sb="70" eb="72">
      <t>テツドウ</t>
    </rPh>
    <rPh sb="72" eb="74">
      <t>シャリョウ</t>
    </rPh>
    <rPh sb="75" eb="78">
      <t>チンカコウ</t>
    </rPh>
    <rPh sb="82" eb="84">
      <t>テツドウ</t>
    </rPh>
    <rPh sb="84" eb="87">
      <t>シャリョウヨウ</t>
    </rPh>
    <rPh sb="87" eb="90">
      <t>ブブンヒン</t>
    </rPh>
    <rPh sb="91" eb="94">
      <t>チンカコウ</t>
    </rPh>
    <rPh sb="97" eb="99">
      <t>ホンブ</t>
    </rPh>
    <rPh sb="99" eb="100">
      <t>モン</t>
    </rPh>
    <rPh sb="102" eb="104">
      <t>ガイトウ</t>
    </rPh>
    <rPh sb="106" eb="108">
      <t>フクスウ</t>
    </rPh>
    <rPh sb="108" eb="110">
      <t>ガイトウ</t>
    </rPh>
    <rPh sb="110" eb="112">
      <t>ブモン</t>
    </rPh>
    <rPh sb="126" eb="128">
      <t>ジギョウ</t>
    </rPh>
    <rPh sb="128" eb="129">
      <t>ジュウ</t>
    </rPh>
    <rPh sb="129" eb="132">
      <t>ギョウシャスウ</t>
    </rPh>
    <rPh sb="133" eb="135">
      <t>アンブン</t>
    </rPh>
    <rPh sb="141" eb="142">
      <t>ネン</t>
    </rPh>
    <rPh sb="142" eb="143">
      <t>ヒョウ</t>
    </rPh>
    <rPh sb="146" eb="147">
      <t>ネン</t>
    </rPh>
    <rPh sb="147" eb="148">
      <t>ヒョウ</t>
    </rPh>
    <rPh sb="149" eb="151">
      <t>ドウヨウ</t>
    </rPh>
    <phoneticPr fontId="14"/>
  </si>
  <si>
    <t>近経局の方法に準じて、5711-01鉄道旅客輸送及び5712-01鉄道貨物輸送のＣＴで按分→27年表,R2年表も同様とする</t>
    <rPh sb="48" eb="49">
      <t>ネン</t>
    </rPh>
    <rPh sb="49" eb="50">
      <t>ヒョウ</t>
    </rPh>
    <rPh sb="53" eb="54">
      <t>ネン</t>
    </rPh>
    <rPh sb="54" eb="55">
      <t>ヒョウ</t>
    </rPh>
    <rPh sb="56" eb="58">
      <t>ドウヨウ</t>
    </rPh>
    <phoneticPr fontId="5"/>
  </si>
  <si>
    <t>R2航空輸送統計年報</t>
    <rPh sb="2" eb="6">
      <t>コウクウユソウ</t>
    </rPh>
    <rPh sb="6" eb="8">
      <t>トウケイ</t>
    </rPh>
    <rPh sb="8" eb="10">
      <t>ネンポウ</t>
    </rPh>
    <phoneticPr fontId="14"/>
  </si>
  <si>
    <t>近経局の方法に倣い、運行時間で按分→27年表も同様とする。大阪空港分は県民経済計算の兵庫県割合を引用→R２年表も同様。</t>
    <rPh sb="0" eb="1">
      <t>キン</t>
    </rPh>
    <rPh sb="1" eb="2">
      <t>ケイ</t>
    </rPh>
    <rPh sb="2" eb="3">
      <t>キョク</t>
    </rPh>
    <rPh sb="4" eb="6">
      <t>ホウホウ</t>
    </rPh>
    <rPh sb="7" eb="8">
      <t>ナラ</t>
    </rPh>
    <rPh sb="10" eb="12">
      <t>ウンコウ</t>
    </rPh>
    <rPh sb="12" eb="14">
      <t>ジカン</t>
    </rPh>
    <rPh sb="15" eb="17">
      <t>アンブン</t>
    </rPh>
    <rPh sb="20" eb="21">
      <t>ネン</t>
    </rPh>
    <rPh sb="21" eb="22">
      <t>ヒョウ</t>
    </rPh>
    <rPh sb="23" eb="25">
      <t>ドウヨウ</t>
    </rPh>
    <rPh sb="29" eb="31">
      <t>オオサカ</t>
    </rPh>
    <rPh sb="31" eb="33">
      <t>クウコウ</t>
    </rPh>
    <rPh sb="33" eb="34">
      <t>ブン</t>
    </rPh>
    <rPh sb="35" eb="37">
      <t>ケンミン</t>
    </rPh>
    <rPh sb="37" eb="39">
      <t>ケイザイ</t>
    </rPh>
    <rPh sb="39" eb="41">
      <t>ケイサン</t>
    </rPh>
    <rPh sb="42" eb="45">
      <t>ヒョウゴケン</t>
    </rPh>
    <rPh sb="45" eb="47">
      <t>ワリアイ</t>
    </rPh>
    <rPh sb="48" eb="50">
      <t>インヨウ</t>
    </rPh>
    <rPh sb="53" eb="54">
      <t>ネン</t>
    </rPh>
    <rPh sb="54" eb="55">
      <t>ヒョウ</t>
    </rPh>
    <rPh sb="56" eb="58">
      <t>ドウヨウ</t>
    </rPh>
    <phoneticPr fontId="14"/>
  </si>
  <si>
    <t>3599-099</t>
    <phoneticPr fontId="5"/>
  </si>
  <si>
    <t xml:space="preserve"> 産業用運搬車両</t>
    <phoneticPr fontId="14"/>
  </si>
  <si>
    <t xml:space="preserve"> 他に分類されない輸送機械</t>
    <rPh sb="3" eb="5">
      <t>ブンルイ</t>
    </rPh>
    <phoneticPr fontId="14"/>
  </si>
  <si>
    <t>「02　推計個別ファイル」＞「3919－01身辺細貨品」内ファイル参照。身辺細貨品トータルで取ると経セン組替表内訳の「貴金属・宝石製装身具附属品、同材料加工品、同細工品」の在庫額増減がかなり大きいためマイナスになる。身辺細貨品計でマイナスをとり、0に補正すると、製造品出荷額としてはある程度の数値があがっているのに、県内生産額がないことになってしまう。そこで、イレギュラーではあるが内訳の「貴金属・宝石製装身具付属品、同材料加工品、同細工品」としてマイナス値を補正して0とし、身辺細貨品計としては数値があがるようにすることにした。</t>
    <rPh sb="4" eb="6">
      <t>スイケイ</t>
    </rPh>
    <rPh sb="6" eb="8">
      <t>コベツ</t>
    </rPh>
    <rPh sb="22" eb="24">
      <t>シンペン</t>
    </rPh>
    <rPh sb="24" eb="25">
      <t>サイ</t>
    </rPh>
    <rPh sb="25" eb="26">
      <t>カ</t>
    </rPh>
    <rPh sb="26" eb="27">
      <t>ヒン</t>
    </rPh>
    <rPh sb="28" eb="29">
      <t>ナイ</t>
    </rPh>
    <rPh sb="33" eb="35">
      <t>サンショウ</t>
    </rPh>
    <rPh sb="36" eb="38">
      <t>シンペン</t>
    </rPh>
    <rPh sb="38" eb="39">
      <t>サイ</t>
    </rPh>
    <phoneticPr fontId="5"/>
  </si>
  <si>
    <t>[経セン組替表では県値△9百万円だが、過去の県ＣＴを見ると、経セン組替表の半製品及び仕掛品以外のところでマイナスになっている箇所を「マイナスではおかしいのでゼロとする」との記述があるので、当該箇所もゼロとする。</t>
    <rPh sb="1" eb="2">
      <t>ケイ</t>
    </rPh>
    <rPh sb="4" eb="6">
      <t>クミカエ</t>
    </rPh>
    <rPh sb="6" eb="7">
      <t>ヒョウ</t>
    </rPh>
    <rPh sb="9" eb="10">
      <t>ケン</t>
    </rPh>
    <rPh sb="10" eb="11">
      <t>チ</t>
    </rPh>
    <rPh sb="13" eb="14">
      <t>ヒャク</t>
    </rPh>
    <rPh sb="14" eb="16">
      <t>マンエン</t>
    </rPh>
    <rPh sb="19" eb="21">
      <t>カコ</t>
    </rPh>
    <rPh sb="22" eb="23">
      <t>ケン</t>
    </rPh>
    <rPh sb="26" eb="27">
      <t>ミ</t>
    </rPh>
    <rPh sb="30" eb="31">
      <t>ケイ</t>
    </rPh>
    <rPh sb="33" eb="35">
      <t>クミカエ</t>
    </rPh>
    <rPh sb="35" eb="36">
      <t>ヒョウ</t>
    </rPh>
    <rPh sb="37" eb="40">
      <t>ハンセイヒン</t>
    </rPh>
    <rPh sb="40" eb="41">
      <t>オヨ</t>
    </rPh>
    <rPh sb="42" eb="45">
      <t>シカカリヒン</t>
    </rPh>
    <rPh sb="45" eb="47">
      <t>イガイ</t>
    </rPh>
    <rPh sb="62" eb="64">
      <t>カショ</t>
    </rPh>
    <rPh sb="86" eb="88">
      <t>キジュツ</t>
    </rPh>
    <rPh sb="94" eb="96">
      <t>トウガイ</t>
    </rPh>
    <rPh sb="96" eb="98">
      <t>カショ</t>
    </rPh>
    <phoneticPr fontId="5"/>
  </si>
  <si>
    <t>V：工業統計組替集計結果、原課業務資料</t>
    <rPh sb="2" eb="4">
      <t>コウギョウ</t>
    </rPh>
    <rPh sb="4" eb="6">
      <t>トウケイ</t>
    </rPh>
    <rPh sb="6" eb="7">
      <t>ク</t>
    </rPh>
    <rPh sb="7" eb="8">
      <t>カ</t>
    </rPh>
    <rPh sb="8" eb="10">
      <t>シュウケイ</t>
    </rPh>
    <rPh sb="10" eb="12">
      <t>ケッカ</t>
    </rPh>
    <rPh sb="13" eb="15">
      <t>ゲンカ</t>
    </rPh>
    <rPh sb="15" eb="17">
      <t>ギョウム</t>
    </rPh>
    <rPh sb="17" eb="19">
      <t>シリョウ</t>
    </rPh>
    <phoneticPr fontId="14"/>
  </si>
  <si>
    <t>経済センサス組替　第５表、第６表</t>
    <rPh sb="13" eb="14">
      <t>ダイ</t>
    </rPh>
    <rPh sb="15" eb="16">
      <t>ヒョウ</t>
    </rPh>
    <phoneticPr fontId="14"/>
  </si>
  <si>
    <t>経産省資料「平成23年全国表の生産額推計に係る注記点」p303に記載の方法に準じる。
経セン組替第６表から　１-原材料使用額／生産額で生産活動の割合を求め、第５表の出荷額に乗じて推計している。
→R2年表も同様とする。（１-原材料使用額／生産額）＝（１-17,252/32,552）＝0.470</t>
    <rPh sb="0" eb="3">
      <t>ケイサンショウ</t>
    </rPh>
    <rPh sb="3" eb="5">
      <t>シリョウ</t>
    </rPh>
    <rPh sb="6" eb="8">
      <t>ヘイセイ</t>
    </rPh>
    <rPh sb="10" eb="11">
      <t>ネン</t>
    </rPh>
    <rPh sb="11" eb="13">
      <t>ゼンコク</t>
    </rPh>
    <rPh sb="13" eb="14">
      <t>ヒョウ</t>
    </rPh>
    <rPh sb="15" eb="18">
      <t>セイサンガク</t>
    </rPh>
    <rPh sb="18" eb="20">
      <t>スイケイ</t>
    </rPh>
    <rPh sb="21" eb="22">
      <t>カカ</t>
    </rPh>
    <rPh sb="23" eb="25">
      <t>チュウキ</t>
    </rPh>
    <rPh sb="25" eb="26">
      <t>テン</t>
    </rPh>
    <rPh sb="32" eb="34">
      <t>キサイ</t>
    </rPh>
    <rPh sb="35" eb="37">
      <t>ホウホウ</t>
    </rPh>
    <rPh sb="38" eb="39">
      <t>ジュン</t>
    </rPh>
    <rPh sb="43" eb="44">
      <t>ケイ</t>
    </rPh>
    <rPh sb="46" eb="48">
      <t>クミカエ</t>
    </rPh>
    <rPh sb="48" eb="49">
      <t>ダイ</t>
    </rPh>
    <rPh sb="50" eb="51">
      <t>ヒョウ</t>
    </rPh>
    <rPh sb="56" eb="59">
      <t>ゲンザイリョウ</t>
    </rPh>
    <rPh sb="59" eb="61">
      <t>シヨウ</t>
    </rPh>
    <rPh sb="61" eb="62">
      <t>ガク</t>
    </rPh>
    <rPh sb="63" eb="66">
      <t>セイサンガク</t>
    </rPh>
    <rPh sb="67" eb="69">
      <t>セイサン</t>
    </rPh>
    <rPh sb="69" eb="71">
      <t>カツドウ</t>
    </rPh>
    <rPh sb="72" eb="74">
      <t>ワリアイ</t>
    </rPh>
    <rPh sb="75" eb="76">
      <t>モト</t>
    </rPh>
    <rPh sb="78" eb="79">
      <t>ダイ</t>
    </rPh>
    <rPh sb="80" eb="81">
      <t>ヒョウ</t>
    </rPh>
    <rPh sb="82" eb="84">
      <t>シュッカ</t>
    </rPh>
    <rPh sb="84" eb="85">
      <t>ガク</t>
    </rPh>
    <rPh sb="86" eb="87">
      <t>ジョウ</t>
    </rPh>
    <rPh sb="89" eb="91">
      <t>スイケイ</t>
    </rPh>
    <rPh sb="100" eb="101">
      <t>ネン</t>
    </rPh>
    <rPh sb="101" eb="102">
      <t>ヒョウ</t>
    </rPh>
    <rPh sb="103" eb="105">
      <t>ドウヨウ</t>
    </rPh>
    <phoneticPr fontId="14"/>
  </si>
  <si>
    <t>第５表に県値なし</t>
    <rPh sb="0" eb="1">
      <t>ダイ</t>
    </rPh>
    <rPh sb="2" eb="3">
      <t>ヒョウ</t>
    </rPh>
    <rPh sb="4" eb="5">
      <t>ケン</t>
    </rPh>
    <rPh sb="5" eb="6">
      <t>チ</t>
    </rPh>
    <phoneticPr fontId="14"/>
  </si>
  <si>
    <t>加工賃収入　第５表に県値なし</t>
    <rPh sb="0" eb="3">
      <t>カコウチン</t>
    </rPh>
    <rPh sb="3" eb="5">
      <t>シュウニュウ</t>
    </rPh>
    <rPh sb="6" eb="7">
      <t>ダイ</t>
    </rPh>
    <rPh sb="8" eb="9">
      <t>ヒョウ</t>
    </rPh>
    <rPh sb="10" eb="11">
      <t>ケン</t>
    </rPh>
    <rPh sb="11" eb="12">
      <t>アタイ</t>
    </rPh>
    <phoneticPr fontId="14"/>
  </si>
  <si>
    <t>R2投入係数表－２次県取引基本表
家計消費支出－２次集計
輸移出入－まとめシート</t>
    <rPh sb="2" eb="4">
      <t>トウニュウ</t>
    </rPh>
    <rPh sb="4" eb="6">
      <t>ケイスウ</t>
    </rPh>
    <rPh sb="6" eb="7">
      <t>ヒョウ</t>
    </rPh>
    <rPh sb="9" eb="10">
      <t>ジ</t>
    </rPh>
    <rPh sb="10" eb="11">
      <t>ケン</t>
    </rPh>
    <rPh sb="11" eb="13">
      <t>トリヒキ</t>
    </rPh>
    <rPh sb="13" eb="15">
      <t>キホン</t>
    </rPh>
    <rPh sb="15" eb="16">
      <t>ヒョウ</t>
    </rPh>
    <rPh sb="17" eb="19">
      <t>カケイ</t>
    </rPh>
    <rPh sb="19" eb="21">
      <t>ショウヒ</t>
    </rPh>
    <rPh sb="21" eb="23">
      <t>シシュツ</t>
    </rPh>
    <rPh sb="25" eb="26">
      <t>ジ</t>
    </rPh>
    <rPh sb="26" eb="27">
      <t>シュウ</t>
    </rPh>
    <rPh sb="27" eb="28">
      <t>ケイ</t>
    </rPh>
    <rPh sb="29" eb="30">
      <t>ユ</t>
    </rPh>
    <rPh sb="30" eb="31">
      <t>ウツル</t>
    </rPh>
    <rPh sb="31" eb="33">
      <t>シュツニュウ</t>
    </rPh>
    <rPh sb="32" eb="33">
      <t>ニュウ</t>
    </rPh>
    <phoneticPr fontId="14"/>
  </si>
  <si>
    <t>（財）全国統計連合会より購入</t>
    <rPh sb="1" eb="2">
      <t>ザイ</t>
    </rPh>
    <rPh sb="3" eb="5">
      <t>ゼンコク</t>
    </rPh>
    <rPh sb="5" eb="7">
      <t>トウケイ</t>
    </rPh>
    <rPh sb="7" eb="10">
      <t>レンゴウカイ</t>
    </rPh>
    <rPh sb="12" eb="14">
      <t>コウニュウ</t>
    </rPh>
    <phoneticPr fontId="14"/>
  </si>
  <si>
    <t>県の投入係数表を完成させた後でないと入力できないので当初は前回値仮置きしておく。
基本分類ベースの投入係数を確定させると、自動的に基本分類ベースの取引基本表も完成する。
この取引基本表における各列部門の、再生資源回収・加工処理部門への中間投入と最終需要の合計を本品目のＣＴとする（マニュアルｐ８９）。最終需要部門で数値計上されているのは家計消費支出と移出のみであるので、そこからリンク。なお、２次県取引基本表からリンクさせようとすると循環参照になってしまうので、手入力している。
投入係数表、最終需要部門、輸移出入表ができたらバランス調整前にその合計を入れる。</t>
    <rPh sb="0" eb="1">
      <t>ケン</t>
    </rPh>
    <rPh sb="2" eb="4">
      <t>トウニュウ</t>
    </rPh>
    <rPh sb="4" eb="6">
      <t>ケイスウ</t>
    </rPh>
    <rPh sb="6" eb="7">
      <t>ヒョウ</t>
    </rPh>
    <rPh sb="8" eb="10">
      <t>カンセイ</t>
    </rPh>
    <rPh sb="13" eb="14">
      <t>アト</t>
    </rPh>
    <rPh sb="18" eb="20">
      <t>ニュウリョク</t>
    </rPh>
    <rPh sb="26" eb="28">
      <t>トウショ</t>
    </rPh>
    <rPh sb="29" eb="31">
      <t>ゼンカイ</t>
    </rPh>
    <rPh sb="31" eb="32">
      <t>チ</t>
    </rPh>
    <rPh sb="32" eb="33">
      <t>カリ</t>
    </rPh>
    <rPh sb="33" eb="34">
      <t>オ</t>
    </rPh>
    <rPh sb="41" eb="43">
      <t>キホン</t>
    </rPh>
    <rPh sb="43" eb="45">
      <t>ブンルイ</t>
    </rPh>
    <rPh sb="49" eb="51">
      <t>トウニュウ</t>
    </rPh>
    <rPh sb="51" eb="53">
      <t>ケイスウ</t>
    </rPh>
    <rPh sb="54" eb="56">
      <t>カクテイ</t>
    </rPh>
    <rPh sb="61" eb="64">
      <t>ジドウテキ</t>
    </rPh>
    <rPh sb="65" eb="67">
      <t>キホン</t>
    </rPh>
    <rPh sb="67" eb="69">
      <t>ブンルイ</t>
    </rPh>
    <rPh sb="73" eb="75">
      <t>トリヒキ</t>
    </rPh>
    <rPh sb="75" eb="77">
      <t>キホン</t>
    </rPh>
    <rPh sb="77" eb="78">
      <t>ヒョウ</t>
    </rPh>
    <rPh sb="79" eb="81">
      <t>カンセイ</t>
    </rPh>
    <rPh sb="87" eb="89">
      <t>トリヒキ</t>
    </rPh>
    <rPh sb="89" eb="91">
      <t>キホン</t>
    </rPh>
    <rPh sb="91" eb="92">
      <t>ヒョウ</t>
    </rPh>
    <rPh sb="96" eb="98">
      <t>カクレツ</t>
    </rPh>
    <rPh sb="98" eb="100">
      <t>ブモン</t>
    </rPh>
    <rPh sb="102" eb="104">
      <t>サイセイ</t>
    </rPh>
    <rPh sb="104" eb="106">
      <t>シゲン</t>
    </rPh>
    <rPh sb="106" eb="108">
      <t>カイシュウ</t>
    </rPh>
    <rPh sb="109" eb="111">
      <t>カコウ</t>
    </rPh>
    <rPh sb="111" eb="113">
      <t>ショリ</t>
    </rPh>
    <rPh sb="113" eb="115">
      <t>ブモン</t>
    </rPh>
    <rPh sb="117" eb="121">
      <t>チュウカントウニュウ</t>
    </rPh>
    <rPh sb="122" eb="124">
      <t>サイシュウ</t>
    </rPh>
    <rPh sb="124" eb="126">
      <t>ジュヨウ</t>
    </rPh>
    <rPh sb="127" eb="129">
      <t>ゴウケイ</t>
    </rPh>
    <rPh sb="130" eb="131">
      <t>ホン</t>
    </rPh>
    <rPh sb="131" eb="133">
      <t>ヒンモク</t>
    </rPh>
    <rPh sb="150" eb="152">
      <t>サイシュウ</t>
    </rPh>
    <rPh sb="152" eb="154">
      <t>ジュヨウ</t>
    </rPh>
    <rPh sb="154" eb="156">
      <t>ブモン</t>
    </rPh>
    <rPh sb="157" eb="159">
      <t>スウチ</t>
    </rPh>
    <rPh sb="159" eb="161">
      <t>ケイジョウ</t>
    </rPh>
    <rPh sb="168" eb="170">
      <t>カケイ</t>
    </rPh>
    <rPh sb="170" eb="172">
      <t>ショウヒ</t>
    </rPh>
    <rPh sb="172" eb="174">
      <t>シシュツ</t>
    </rPh>
    <rPh sb="175" eb="177">
      <t>イシュツ</t>
    </rPh>
    <rPh sb="240" eb="242">
      <t>トウニュウ</t>
    </rPh>
    <rPh sb="242" eb="244">
      <t>ケイスウ</t>
    </rPh>
    <rPh sb="244" eb="245">
      <t>ヒョウ</t>
    </rPh>
    <rPh sb="246" eb="248">
      <t>サイシュウ</t>
    </rPh>
    <rPh sb="248" eb="250">
      <t>ジュヨウ</t>
    </rPh>
    <rPh sb="250" eb="252">
      <t>ブモン</t>
    </rPh>
    <rPh sb="253" eb="254">
      <t>ユ</t>
    </rPh>
    <rPh sb="254" eb="256">
      <t>イシュツ</t>
    </rPh>
    <rPh sb="256" eb="257">
      <t>ニュウ</t>
    </rPh>
    <rPh sb="257" eb="258">
      <t>ヒョウ</t>
    </rPh>
    <rPh sb="267" eb="269">
      <t>チョウセイ</t>
    </rPh>
    <rPh sb="269" eb="270">
      <t>マエ</t>
    </rPh>
    <rPh sb="273" eb="275">
      <t>ゴウケイ</t>
    </rPh>
    <rPh sb="276" eb="277">
      <t>イ</t>
    </rPh>
    <phoneticPr fontId="14"/>
  </si>
  <si>
    <t>R2建築着工統計</t>
    <rPh sb="2" eb="4">
      <t>ケンチク</t>
    </rPh>
    <rPh sb="4" eb="6">
      <t>チャッコウ</t>
    </rPh>
    <rPh sb="6" eb="8">
      <t>トウケイ</t>
    </rPh>
    <phoneticPr fontId="14"/>
  </si>
  <si>
    <t>工事費予定額で按分</t>
    <rPh sb="0" eb="3">
      <t>コウジヒ</t>
    </rPh>
    <rPh sb="3" eb="5">
      <t>ヨテイ</t>
    </rPh>
    <rPh sb="5" eb="6">
      <t>ガク</t>
    </rPh>
    <rPh sb="7" eb="9">
      <t>アンブン</t>
    </rPh>
    <phoneticPr fontId="14"/>
  </si>
  <si>
    <t>居住専用住宅＋居住専用準住宅</t>
    <rPh sb="0" eb="2">
      <t>キョジュウ</t>
    </rPh>
    <rPh sb="2" eb="4">
      <t>センヨウ</t>
    </rPh>
    <rPh sb="4" eb="6">
      <t>ジュウタク</t>
    </rPh>
    <rPh sb="7" eb="9">
      <t>キョジュウ</t>
    </rPh>
    <rPh sb="9" eb="11">
      <t>センヨウ</t>
    </rPh>
    <rPh sb="11" eb="12">
      <t>ジュン</t>
    </rPh>
    <rPh sb="12" eb="14">
      <t>ジュウタク</t>
    </rPh>
    <phoneticPr fontId="14"/>
  </si>
  <si>
    <t>居住産業併用建築物</t>
    <rPh sb="0" eb="2">
      <t>キョジュウ</t>
    </rPh>
    <rPh sb="2" eb="4">
      <t>サンギョウ</t>
    </rPh>
    <rPh sb="4" eb="6">
      <t>ヘイヨウ</t>
    </rPh>
    <rPh sb="6" eb="9">
      <t>ケンチクブツ</t>
    </rPh>
    <phoneticPr fontId="14"/>
  </si>
  <si>
    <t>居住専用住宅＋居住専用準住宅、　コンクリートブロック＋その他</t>
    <rPh sb="0" eb="2">
      <t>キョジュウ</t>
    </rPh>
    <rPh sb="2" eb="4">
      <t>センヨウ</t>
    </rPh>
    <rPh sb="4" eb="6">
      <t>ジュウタク</t>
    </rPh>
    <rPh sb="7" eb="9">
      <t>キョジュウ</t>
    </rPh>
    <rPh sb="9" eb="11">
      <t>センヨウ</t>
    </rPh>
    <rPh sb="11" eb="12">
      <t>ジュン</t>
    </rPh>
    <rPh sb="12" eb="14">
      <t>ジュウタク</t>
    </rPh>
    <phoneticPr fontId="14"/>
  </si>
  <si>
    <t>居住産業併用建築物　　総計－木造を非木造分とみなす</t>
    <rPh sb="0" eb="2">
      <t>キョジュウ</t>
    </rPh>
    <rPh sb="2" eb="4">
      <t>サンギョウ</t>
    </rPh>
    <rPh sb="4" eb="6">
      <t>ヘイヨウ</t>
    </rPh>
    <rPh sb="6" eb="9">
      <t>ケンチクブツ</t>
    </rPh>
    <rPh sb="11" eb="13">
      <t>ソウケイ</t>
    </rPh>
    <rPh sb="14" eb="16">
      <t>モクゾウ</t>
    </rPh>
    <rPh sb="17" eb="18">
      <t>ヒ</t>
    </rPh>
    <rPh sb="18" eb="20">
      <t>モクゾウ</t>
    </rPh>
    <rPh sb="20" eb="21">
      <t>ブン</t>
    </rPh>
    <phoneticPr fontId="14"/>
  </si>
  <si>
    <t>工場及び作業場＋倉庫</t>
    <rPh sb="0" eb="2">
      <t>コウジョウ</t>
    </rPh>
    <rPh sb="2" eb="3">
      <t>オヨ</t>
    </rPh>
    <rPh sb="4" eb="6">
      <t>サギョウ</t>
    </rPh>
    <rPh sb="6" eb="7">
      <t>ジョウ</t>
    </rPh>
    <rPh sb="8" eb="10">
      <t>ソウコ</t>
    </rPh>
    <phoneticPr fontId="14"/>
  </si>
  <si>
    <t>事務所＋その他</t>
    <rPh sb="0" eb="2">
      <t>ジム</t>
    </rPh>
    <rPh sb="2" eb="3">
      <t>ショ</t>
    </rPh>
    <rPh sb="6" eb="7">
      <t>タ</t>
    </rPh>
    <phoneticPr fontId="14"/>
  </si>
  <si>
    <t>構造のコンクリート及びその他の産業用建築物計</t>
    <rPh sb="0" eb="2">
      <t>コウゾウ</t>
    </rPh>
    <rPh sb="9" eb="10">
      <t>オヨ</t>
    </rPh>
    <rPh sb="13" eb="14">
      <t>タ</t>
    </rPh>
    <rPh sb="15" eb="18">
      <t>サンギョウヨウ</t>
    </rPh>
    <rPh sb="18" eb="21">
      <t>ケンチクブツ</t>
    </rPh>
    <rPh sb="21" eb="22">
      <t>ケイ</t>
    </rPh>
    <phoneticPr fontId="14"/>
  </si>
  <si>
    <t>建設工事施工統計調査報告</t>
    <phoneticPr fontId="14"/>
  </si>
  <si>
    <t>資料室</t>
    <rPh sb="0" eb="3">
      <t>シリョウシツ</t>
    </rPh>
    <phoneticPr fontId="14"/>
  </si>
  <si>
    <t>7表　建築住宅+建築非住宅維持工事費総額で按分。暦年換算シートよりリンク。R2年度値以降同項目が非公表となったため、R1年度値。</t>
    <rPh sb="1" eb="2">
      <t>ヒョウ</t>
    </rPh>
    <rPh sb="3" eb="5">
      <t>ケンチク</t>
    </rPh>
    <rPh sb="5" eb="7">
      <t>ジュウタク</t>
    </rPh>
    <rPh sb="8" eb="10">
      <t>ケンチク</t>
    </rPh>
    <rPh sb="10" eb="11">
      <t>ヒ</t>
    </rPh>
    <rPh sb="11" eb="13">
      <t>ジュウタク</t>
    </rPh>
    <rPh sb="13" eb="15">
      <t>イジ</t>
    </rPh>
    <rPh sb="15" eb="18">
      <t>コウジヒ</t>
    </rPh>
    <rPh sb="18" eb="20">
      <t>ソウガク</t>
    </rPh>
    <rPh sb="21" eb="23">
      <t>アンブン</t>
    </rPh>
    <rPh sb="24" eb="26">
      <t>レキネン</t>
    </rPh>
    <rPh sb="26" eb="28">
      <t>カンサン</t>
    </rPh>
    <rPh sb="39" eb="41">
      <t>ネンド</t>
    </rPh>
    <rPh sb="41" eb="42">
      <t>チ</t>
    </rPh>
    <rPh sb="42" eb="44">
      <t>イコウ</t>
    </rPh>
    <rPh sb="44" eb="45">
      <t>ドウ</t>
    </rPh>
    <rPh sb="45" eb="47">
      <t>コウモク</t>
    </rPh>
    <rPh sb="48" eb="51">
      <t>ヒコウヒョウ</t>
    </rPh>
    <rPh sb="60" eb="62">
      <t>ネンド</t>
    </rPh>
    <rPh sb="62" eb="63">
      <t>チ</t>
    </rPh>
    <phoneticPr fontId="14"/>
  </si>
  <si>
    <t>7表民間土木維持・修繕工事費で按分(政府分は定義上投資額となる。暦年換算シートよりリンク。R2年度値以降同項目が非公表となったため、R1年度値。</t>
    <rPh sb="1" eb="2">
      <t>ヒョウ</t>
    </rPh>
    <rPh sb="2" eb="4">
      <t>ミンカン</t>
    </rPh>
    <rPh sb="4" eb="6">
      <t>ドボク</t>
    </rPh>
    <rPh sb="6" eb="8">
      <t>イジ</t>
    </rPh>
    <rPh sb="9" eb="11">
      <t>シュウゼン</t>
    </rPh>
    <rPh sb="11" eb="14">
      <t>コウジヒ</t>
    </rPh>
    <rPh sb="15" eb="17">
      <t>アンブン</t>
    </rPh>
    <rPh sb="18" eb="20">
      <t>セイフ</t>
    </rPh>
    <rPh sb="20" eb="21">
      <t>ブン</t>
    </rPh>
    <rPh sb="22" eb="24">
      <t>テイギ</t>
    </rPh>
    <rPh sb="24" eb="25">
      <t>ジョウ</t>
    </rPh>
    <rPh sb="25" eb="27">
      <t>トウシ</t>
    </rPh>
    <rPh sb="27" eb="28">
      <t>ガク</t>
    </rPh>
    <phoneticPr fontId="14"/>
  </si>
  <si>
    <t>道路統計年報</t>
    <phoneticPr fontId="14"/>
  </si>
  <si>
    <t>表９２　一般道路事業費計。なお神戸市分は県の内数ではないので、追加加算の上、暦年換算（近経局方式）。→27年表も同様とする</t>
    <rPh sb="0" eb="1">
      <t>ヒョウ</t>
    </rPh>
    <rPh sb="15" eb="18">
      <t>コウベシ</t>
    </rPh>
    <rPh sb="18" eb="19">
      <t>ブン</t>
    </rPh>
    <rPh sb="20" eb="21">
      <t>ケン</t>
    </rPh>
    <rPh sb="22" eb="23">
      <t>ウチ</t>
    </rPh>
    <rPh sb="23" eb="24">
      <t>スウ</t>
    </rPh>
    <rPh sb="31" eb="33">
      <t>ツイカ</t>
    </rPh>
    <rPh sb="33" eb="35">
      <t>カサン</t>
    </rPh>
    <rPh sb="36" eb="37">
      <t>ウエ</t>
    </rPh>
    <rPh sb="38" eb="40">
      <t>レキネン</t>
    </rPh>
    <rPh sb="40" eb="42">
      <t>カンサン</t>
    </rPh>
    <rPh sb="43" eb="44">
      <t>キン</t>
    </rPh>
    <rPh sb="44" eb="45">
      <t>ケイ</t>
    </rPh>
    <rPh sb="45" eb="46">
      <t>キョク</t>
    </rPh>
    <rPh sb="46" eb="48">
      <t>ホウシキ</t>
    </rPh>
    <rPh sb="53" eb="54">
      <t>ネン</t>
    </rPh>
    <rPh sb="54" eb="55">
      <t>ヒョウ</t>
    </rPh>
    <rPh sb="56" eb="58">
      <t>ドウヨウ</t>
    </rPh>
    <phoneticPr fontId="14"/>
  </si>
  <si>
    <t>表１１０　都市計画街路事業費計。同上</t>
    <rPh sb="0" eb="1">
      <t>ヒョウ</t>
    </rPh>
    <rPh sb="14" eb="15">
      <t>ケイ</t>
    </rPh>
    <rPh sb="16" eb="18">
      <t>ドウジョウ</t>
    </rPh>
    <phoneticPr fontId="14"/>
  </si>
  <si>
    <t>表１２６－１～７「建設費」。同上</t>
    <rPh sb="14" eb="16">
      <t>ドウジョウ</t>
    </rPh>
    <phoneticPr fontId="14"/>
  </si>
  <si>
    <t>都市計画現況調査（国交省HP）</t>
    <rPh sb="0" eb="4">
      <t>トシケイカク</t>
    </rPh>
    <rPh sb="4" eb="6">
      <t>ゲンキョウ</t>
    </rPh>
    <rPh sb="6" eb="8">
      <t>チョウサ</t>
    </rPh>
    <rPh sb="9" eb="12">
      <t>コッコウショウ</t>
    </rPh>
    <phoneticPr fontId="14"/>
  </si>
  <si>
    <t>17年表まで「公共施設状況調」で数値をとっていたが、その後23年表、27年表とも当該資料がなく17年表の数値「0」をそのまま使用していた。R2年表では代替手法として、「都市計画現況調査」（国交省HP）の「9 市街地開発事業」の「（1）土地区画整理事業」の「施工中」の面積按分とした。</t>
    <rPh sb="2" eb="3">
      <t>ネン</t>
    </rPh>
    <rPh sb="3" eb="4">
      <t>ヒョウ</t>
    </rPh>
    <rPh sb="7" eb="9">
      <t>コウキョウ</t>
    </rPh>
    <rPh sb="9" eb="11">
      <t>シセツ</t>
    </rPh>
    <rPh sb="11" eb="13">
      <t>ジョウキョウ</t>
    </rPh>
    <rPh sb="13" eb="14">
      <t>シラ</t>
    </rPh>
    <rPh sb="16" eb="18">
      <t>スウチ</t>
    </rPh>
    <rPh sb="28" eb="29">
      <t>ゴ</t>
    </rPh>
    <rPh sb="31" eb="32">
      <t>ネン</t>
    </rPh>
    <rPh sb="32" eb="33">
      <t>ヒョウ</t>
    </rPh>
    <rPh sb="36" eb="37">
      <t>ネン</t>
    </rPh>
    <rPh sb="37" eb="38">
      <t>ヒョウ</t>
    </rPh>
    <rPh sb="40" eb="42">
      <t>トウガイ</t>
    </rPh>
    <rPh sb="42" eb="44">
      <t>シリョウ</t>
    </rPh>
    <rPh sb="49" eb="50">
      <t>ネン</t>
    </rPh>
    <rPh sb="50" eb="51">
      <t>ヒョウ</t>
    </rPh>
    <rPh sb="52" eb="54">
      <t>スウチ</t>
    </rPh>
    <rPh sb="62" eb="64">
      <t>シヨウ</t>
    </rPh>
    <rPh sb="71" eb="72">
      <t>ネン</t>
    </rPh>
    <rPh sb="72" eb="73">
      <t>ヒョウ</t>
    </rPh>
    <rPh sb="75" eb="77">
      <t>ダイタイ</t>
    </rPh>
    <rPh sb="77" eb="79">
      <t>シュホウ</t>
    </rPh>
    <rPh sb="84" eb="88">
      <t>トシケイカク</t>
    </rPh>
    <rPh sb="88" eb="90">
      <t>ゲンキョウ</t>
    </rPh>
    <rPh sb="90" eb="92">
      <t>チョウサ</t>
    </rPh>
    <rPh sb="94" eb="97">
      <t>コッコウショウ</t>
    </rPh>
    <rPh sb="104" eb="107">
      <t>シガイチ</t>
    </rPh>
    <rPh sb="107" eb="109">
      <t>カイハツ</t>
    </rPh>
    <rPh sb="109" eb="111">
      <t>ジギョウ</t>
    </rPh>
    <rPh sb="117" eb="121">
      <t>トチクカク</t>
    </rPh>
    <rPh sb="121" eb="123">
      <t>セイリ</t>
    </rPh>
    <rPh sb="123" eb="125">
      <t>ジギョウ</t>
    </rPh>
    <rPh sb="128" eb="131">
      <t>セコウチュウ</t>
    </rPh>
    <rPh sb="133" eb="135">
      <t>メンセキ</t>
    </rPh>
    <rPh sb="135" eb="137">
      <t>アンブン</t>
    </rPh>
    <phoneticPr fontId="14"/>
  </si>
  <si>
    <t>R1,R2建設工事受注動態統計調査報告</t>
    <phoneticPr fontId="14"/>
  </si>
  <si>
    <t>下記の請負契約額で按分。暦年換算</t>
    <rPh sb="0" eb="2">
      <t>カキ</t>
    </rPh>
    <rPh sb="3" eb="5">
      <t>ウケオイ</t>
    </rPh>
    <rPh sb="5" eb="7">
      <t>ケイヤク</t>
    </rPh>
    <rPh sb="7" eb="8">
      <t>ガク</t>
    </rPh>
    <rPh sb="9" eb="11">
      <t>アンブン</t>
    </rPh>
    <rPh sb="12" eb="14">
      <t>レキネン</t>
    </rPh>
    <rPh sb="14" eb="16">
      <t>カンサン</t>
    </rPh>
    <phoneticPr fontId="14"/>
  </si>
  <si>
    <t>第24表の０１河川</t>
    <phoneticPr fontId="14"/>
  </si>
  <si>
    <t>第24表の０１河川</t>
    <phoneticPr fontId="5"/>
  </si>
  <si>
    <t>第24表の０３砂防</t>
    <phoneticPr fontId="5"/>
  </si>
  <si>
    <t>第24表の０５海岸堤防・海岸浸食対策</t>
    <phoneticPr fontId="5"/>
  </si>
  <si>
    <t>第24表の１２下水道</t>
    <phoneticPr fontId="5"/>
  </si>
  <si>
    <t>第24表の２５廃棄物処理施設等</t>
    <rPh sb="7" eb="10">
      <t>ハイキブツ</t>
    </rPh>
    <rPh sb="10" eb="12">
      <t>ショリ</t>
    </rPh>
    <rPh sb="12" eb="14">
      <t>シセツ</t>
    </rPh>
    <rPh sb="14" eb="15">
      <t>トウ</t>
    </rPh>
    <phoneticPr fontId="5"/>
  </si>
  <si>
    <t>第24表の１３公園・運動競技場施設</t>
    <phoneticPr fontId="5"/>
  </si>
  <si>
    <t>第24表の１０港湾</t>
    <phoneticPr fontId="5"/>
  </si>
  <si>
    <t>　漁港・漁場</t>
    <rPh sb="4" eb="6">
      <t>ギョジョウ</t>
    </rPh>
    <phoneticPr fontId="14"/>
  </si>
  <si>
    <t>第24表の０８漁業・魚礁・養殖施設</t>
    <phoneticPr fontId="5"/>
  </si>
  <si>
    <t>第24表の１１空港</t>
    <phoneticPr fontId="5"/>
  </si>
  <si>
    <t>第24表のＴ総数。災害復旧分</t>
    <rPh sb="6" eb="8">
      <t>ソウスウ</t>
    </rPh>
    <rPh sb="9" eb="11">
      <t>サイガイ</t>
    </rPh>
    <rPh sb="11" eb="13">
      <t>フッキュウ</t>
    </rPh>
    <rPh sb="13" eb="14">
      <t>ブン</t>
    </rPh>
    <phoneticPr fontId="14"/>
  </si>
  <si>
    <t>V:経済計算、原課業務資料</t>
    <rPh sb="2" eb="4">
      <t>ケイザイ</t>
    </rPh>
    <rPh sb="4" eb="6">
      <t>ケイサン</t>
    </rPh>
    <rPh sb="7" eb="9">
      <t>ゲンカ</t>
    </rPh>
    <rPh sb="9" eb="11">
      <t>ギョウム</t>
    </rPh>
    <rPh sb="11" eb="13">
      <t>シリョウ</t>
    </rPh>
    <phoneticPr fontId="14"/>
  </si>
  <si>
    <t>R1,R2建設工事受注動態統計調査報告</t>
  </si>
  <si>
    <t>第24表の０６農道等・開墾干拓農業施設</t>
    <phoneticPr fontId="5"/>
  </si>
  <si>
    <t>第24表の０７林道</t>
    <phoneticPr fontId="5"/>
  </si>
  <si>
    <t>第24表の０４治山</t>
    <phoneticPr fontId="5"/>
  </si>
  <si>
    <t>R1,2建設総合統計年度報</t>
    <rPh sb="6" eb="8">
      <t>ソウゴウ</t>
    </rPh>
    <rPh sb="10" eb="12">
      <t>ネンド</t>
    </rPh>
    <rPh sb="12" eb="13">
      <t>ホウ</t>
    </rPh>
    <phoneticPr fontId="14"/>
  </si>
  <si>
    <t>民間土木－鉄道の工事費（出来高）で按分。暦年換算</t>
    <rPh sb="0" eb="2">
      <t>ミンカン</t>
    </rPh>
    <rPh sb="2" eb="4">
      <t>ドボク</t>
    </rPh>
    <rPh sb="5" eb="7">
      <t>テツドウ</t>
    </rPh>
    <rPh sb="8" eb="11">
      <t>コウジヒ</t>
    </rPh>
    <rPh sb="12" eb="15">
      <t>デキダカ</t>
    </rPh>
    <rPh sb="17" eb="19">
      <t>アンブン</t>
    </rPh>
    <rPh sb="20" eb="22">
      <t>レキネン</t>
    </rPh>
    <rPh sb="22" eb="24">
      <t>カンサン</t>
    </rPh>
    <phoneticPr fontId="14"/>
  </si>
  <si>
    <t>R1,2都道府県別行政投資実績基礎資料</t>
    <rPh sb="4" eb="8">
      <t>トドウフケン</t>
    </rPh>
    <rPh sb="8" eb="9">
      <t>ベツ</t>
    </rPh>
    <rPh sb="9" eb="11">
      <t>ギョウセイ</t>
    </rPh>
    <rPh sb="13" eb="15">
      <t>ジッセキ</t>
    </rPh>
    <rPh sb="15" eb="17">
      <t>キソ</t>
    </rPh>
    <rPh sb="17" eb="19">
      <t>シリョウ</t>
    </rPh>
    <phoneticPr fontId="14"/>
  </si>
  <si>
    <t>３．軌道、５．地下鉄の総投資額
建設総合統計年度報にも公共分の工事費があるが、行政投資実績の方が公営企業に特化して把握できるので、こちらのデータを使っているようだ。</t>
    <rPh sb="31" eb="34">
      <t>コウジヒ</t>
    </rPh>
    <rPh sb="39" eb="41">
      <t>ギョウセイ</t>
    </rPh>
    <rPh sb="41" eb="43">
      <t>トウシ</t>
    </rPh>
    <rPh sb="43" eb="45">
      <t>ジッセキ</t>
    </rPh>
    <rPh sb="46" eb="47">
      <t>ホウ</t>
    </rPh>
    <rPh sb="48" eb="50">
      <t>コウエイ</t>
    </rPh>
    <rPh sb="50" eb="52">
      <t>キギョウ</t>
    </rPh>
    <rPh sb="53" eb="55">
      <t>トッカ</t>
    </rPh>
    <rPh sb="57" eb="59">
      <t>ハアク</t>
    </rPh>
    <rPh sb="73" eb="74">
      <t>ツカ</t>
    </rPh>
    <phoneticPr fontId="14"/>
  </si>
  <si>
    <t>※兵庫県非該当（東京メトロのみ該当）</t>
    <rPh sb="1" eb="4">
      <t>ヒョウゴケン</t>
    </rPh>
    <rPh sb="4" eb="7">
      <t>ヒガイトウ</t>
    </rPh>
    <rPh sb="8" eb="10">
      <t>トウキョウ</t>
    </rPh>
    <rPh sb="15" eb="17">
      <t>ガイトウ</t>
    </rPh>
    <phoneticPr fontId="14"/>
  </si>
  <si>
    <t>表４　電気・ガス及び表１９　発電用土木の工事費合計で按分。暦年換算。（近経局の方法）→27年表,R2年表も同様とする</t>
    <rPh sb="0" eb="1">
      <t>ヒョウ</t>
    </rPh>
    <rPh sb="3" eb="5">
      <t>デンキ</t>
    </rPh>
    <rPh sb="8" eb="9">
      <t>オヨ</t>
    </rPh>
    <rPh sb="10" eb="11">
      <t>ヒョウ</t>
    </rPh>
    <rPh sb="14" eb="17">
      <t>ハツデンヨウ</t>
    </rPh>
    <rPh sb="17" eb="19">
      <t>ドボク</t>
    </rPh>
    <rPh sb="20" eb="23">
      <t>コウジヒ</t>
    </rPh>
    <rPh sb="23" eb="25">
      <t>ゴウケイ</t>
    </rPh>
    <rPh sb="26" eb="28">
      <t>アンブン</t>
    </rPh>
    <rPh sb="29" eb="31">
      <t>レキネン</t>
    </rPh>
    <rPh sb="31" eb="33">
      <t>カンサン</t>
    </rPh>
    <rPh sb="35" eb="36">
      <t>キン</t>
    </rPh>
    <rPh sb="36" eb="37">
      <t>ケイ</t>
    </rPh>
    <rPh sb="37" eb="38">
      <t>キョク</t>
    </rPh>
    <rPh sb="39" eb="41">
      <t>ホウホウ</t>
    </rPh>
    <rPh sb="45" eb="46">
      <t>ネン</t>
    </rPh>
    <rPh sb="46" eb="47">
      <t>ヒョウ</t>
    </rPh>
    <rPh sb="50" eb="51">
      <t>ネン</t>
    </rPh>
    <rPh sb="51" eb="52">
      <t>ヒョウ</t>
    </rPh>
    <rPh sb="53" eb="55">
      <t>ドウヨウ</t>
    </rPh>
    <phoneticPr fontId="14"/>
  </si>
  <si>
    <t>表１６　情報通信業の工事費で按分。（近経局の方法）→27年表、R2年表も同様とする</t>
    <rPh sb="0" eb="1">
      <t>ヒョウ</t>
    </rPh>
    <rPh sb="4" eb="6">
      <t>ジョウホウ</t>
    </rPh>
    <rPh sb="6" eb="9">
      <t>ツウシンギョウ</t>
    </rPh>
    <rPh sb="10" eb="13">
      <t>コウジヒ</t>
    </rPh>
    <rPh sb="14" eb="16">
      <t>アンブン</t>
    </rPh>
    <rPh sb="18" eb="19">
      <t>キン</t>
    </rPh>
    <rPh sb="19" eb="20">
      <t>ケイ</t>
    </rPh>
    <rPh sb="20" eb="21">
      <t>キョク</t>
    </rPh>
    <rPh sb="22" eb="24">
      <t>ホウホウ</t>
    </rPh>
    <rPh sb="28" eb="29">
      <t>ネン</t>
    </rPh>
    <rPh sb="29" eb="30">
      <t>ヒョウ</t>
    </rPh>
    <rPh sb="33" eb="34">
      <t>ネン</t>
    </rPh>
    <rPh sb="34" eb="35">
      <t>ヒョウ</t>
    </rPh>
    <rPh sb="36" eb="38">
      <t>ドウヨウ</t>
    </rPh>
    <phoneticPr fontId="14"/>
  </si>
  <si>
    <t>表４　土地造成及び表１９　土地造成・埋立の工事費合計で按分。暦年換算。（近経局の方法）→27年表、R2年表も同様とする</t>
    <rPh sb="0" eb="1">
      <t>ヒョウ</t>
    </rPh>
    <rPh sb="3" eb="5">
      <t>トチ</t>
    </rPh>
    <rPh sb="5" eb="7">
      <t>ゾウセイ</t>
    </rPh>
    <rPh sb="7" eb="8">
      <t>オヨ</t>
    </rPh>
    <rPh sb="9" eb="10">
      <t>ヒョウ</t>
    </rPh>
    <rPh sb="13" eb="15">
      <t>トチ</t>
    </rPh>
    <rPh sb="15" eb="17">
      <t>ゾウセイ</t>
    </rPh>
    <rPh sb="18" eb="20">
      <t>ウメタテ</t>
    </rPh>
    <rPh sb="21" eb="24">
      <t>コウジヒ</t>
    </rPh>
    <rPh sb="24" eb="26">
      <t>ゴウケイ</t>
    </rPh>
    <rPh sb="27" eb="29">
      <t>アンブン</t>
    </rPh>
    <rPh sb="30" eb="32">
      <t>レキネン</t>
    </rPh>
    <rPh sb="32" eb="34">
      <t>カンサン</t>
    </rPh>
    <rPh sb="36" eb="37">
      <t>キン</t>
    </rPh>
    <rPh sb="37" eb="38">
      <t>ケイ</t>
    </rPh>
    <rPh sb="38" eb="39">
      <t>キョク</t>
    </rPh>
    <rPh sb="40" eb="42">
      <t>ホウホウ</t>
    </rPh>
    <rPh sb="46" eb="47">
      <t>ネン</t>
    </rPh>
    <rPh sb="47" eb="48">
      <t>ヒョウ</t>
    </rPh>
    <rPh sb="51" eb="52">
      <t>ネン</t>
    </rPh>
    <rPh sb="52" eb="53">
      <t>ヒョウ</t>
    </rPh>
    <rPh sb="54" eb="56">
      <t>ドウヨウ</t>
    </rPh>
    <phoneticPr fontId="14"/>
  </si>
  <si>
    <t>表１９　管工事、ゴルフ場建設、構内環境整備、その他土木の合計で按分。暦年換算。（近経局の方法）→27年表、R2年表も同様とする</t>
    <rPh sb="0" eb="1">
      <t>ヒョウ</t>
    </rPh>
    <rPh sb="4" eb="5">
      <t>クダ</t>
    </rPh>
    <rPh sb="5" eb="7">
      <t>コウジ</t>
    </rPh>
    <rPh sb="11" eb="12">
      <t>ジョウ</t>
    </rPh>
    <rPh sb="12" eb="14">
      <t>ケンセツ</t>
    </rPh>
    <rPh sb="15" eb="17">
      <t>コウナイ</t>
    </rPh>
    <rPh sb="17" eb="19">
      <t>カンキョウ</t>
    </rPh>
    <rPh sb="19" eb="21">
      <t>セイビ</t>
    </rPh>
    <rPh sb="24" eb="25">
      <t>タ</t>
    </rPh>
    <rPh sb="25" eb="27">
      <t>ドボク</t>
    </rPh>
    <rPh sb="28" eb="30">
      <t>ゴウケイ</t>
    </rPh>
    <rPh sb="31" eb="33">
      <t>アンブン</t>
    </rPh>
    <rPh sb="50" eb="51">
      <t>ネン</t>
    </rPh>
    <rPh sb="51" eb="52">
      <t>ヒョウ</t>
    </rPh>
    <rPh sb="55" eb="56">
      <t>ネン</t>
    </rPh>
    <rPh sb="56" eb="57">
      <t>ヒョウ</t>
    </rPh>
    <rPh sb="58" eb="60">
      <t>ドウヨウ</t>
    </rPh>
    <phoneticPr fontId="14"/>
  </si>
  <si>
    <t>表４　電気・ガスの工事費で按分。暦年換算（近経局の方法）→27年表、R2年表も同様とする</t>
    <rPh sb="0" eb="1">
      <t>ヒョウ</t>
    </rPh>
    <rPh sb="3" eb="5">
      <t>デンキ</t>
    </rPh>
    <rPh sb="9" eb="12">
      <t>コウジヒ</t>
    </rPh>
    <rPh sb="13" eb="15">
      <t>アンブン</t>
    </rPh>
    <rPh sb="16" eb="18">
      <t>レキネン</t>
    </rPh>
    <rPh sb="18" eb="20">
      <t>カンサン</t>
    </rPh>
    <rPh sb="21" eb="22">
      <t>キン</t>
    </rPh>
    <rPh sb="22" eb="23">
      <t>ケイ</t>
    </rPh>
    <rPh sb="23" eb="24">
      <t>キョク</t>
    </rPh>
    <rPh sb="25" eb="27">
      <t>ホウホウ</t>
    </rPh>
    <rPh sb="31" eb="32">
      <t>ネン</t>
    </rPh>
    <rPh sb="32" eb="33">
      <t>ヒョウ</t>
    </rPh>
    <rPh sb="36" eb="37">
      <t>ネン</t>
    </rPh>
    <rPh sb="37" eb="38">
      <t>ヒョウ</t>
    </rPh>
    <rPh sb="39" eb="41">
      <t>ドウヨウ</t>
    </rPh>
    <phoneticPr fontId="14"/>
  </si>
  <si>
    <t>表４　その他　　〃</t>
    <rPh sb="0" eb="1">
      <t>ヒョウ</t>
    </rPh>
    <rPh sb="5" eb="6">
      <t>タ</t>
    </rPh>
    <phoneticPr fontId="14"/>
  </si>
  <si>
    <t>推計個別ファイル参照、R2年表から国CT区分変更により、R5年度地方統計機構支援事業の神奈川県産業連関表作成支援実施結果報告書を参考に推計方法見直し。</t>
    <rPh sb="0" eb="2">
      <t>スイケイ</t>
    </rPh>
    <rPh sb="2" eb="4">
      <t>コベツ</t>
    </rPh>
    <rPh sb="8" eb="10">
      <t>サンショウ</t>
    </rPh>
    <rPh sb="13" eb="14">
      <t>ネン</t>
    </rPh>
    <rPh sb="14" eb="15">
      <t>ヒョウ</t>
    </rPh>
    <rPh sb="17" eb="18">
      <t>クニ</t>
    </rPh>
    <rPh sb="20" eb="22">
      <t>クブン</t>
    </rPh>
    <rPh sb="22" eb="24">
      <t>ヘンコウ</t>
    </rPh>
    <rPh sb="30" eb="32">
      <t>ネンド</t>
    </rPh>
    <rPh sb="32" eb="34">
      <t>チホウ</t>
    </rPh>
    <rPh sb="34" eb="36">
      <t>トウケイ</t>
    </rPh>
    <rPh sb="36" eb="38">
      <t>キコウ</t>
    </rPh>
    <rPh sb="38" eb="40">
      <t>シエン</t>
    </rPh>
    <rPh sb="40" eb="42">
      <t>ジギョウ</t>
    </rPh>
    <rPh sb="43" eb="47">
      <t>カナガワケン</t>
    </rPh>
    <rPh sb="47" eb="49">
      <t>サンギョウ</t>
    </rPh>
    <rPh sb="49" eb="52">
      <t>レンカンヒョウ</t>
    </rPh>
    <rPh sb="52" eb="54">
      <t>サクセイ</t>
    </rPh>
    <rPh sb="54" eb="56">
      <t>シエン</t>
    </rPh>
    <rPh sb="56" eb="58">
      <t>ジッシ</t>
    </rPh>
    <rPh sb="58" eb="60">
      <t>ケッカ</t>
    </rPh>
    <rPh sb="60" eb="63">
      <t>ホウコクショ</t>
    </rPh>
    <rPh sb="64" eb="66">
      <t>サンコウ</t>
    </rPh>
    <rPh sb="67" eb="69">
      <t>スイケイ</t>
    </rPh>
    <rPh sb="69" eb="71">
      <t>ホウホウ</t>
    </rPh>
    <rPh sb="71" eb="73">
      <t>ミナオ</t>
    </rPh>
    <phoneticPr fontId="14"/>
  </si>
  <si>
    <t>電気（火力（バイオマス・廃棄物を含む。））</t>
  </si>
  <si>
    <t>電気（原子力）</t>
  </si>
  <si>
    <t>電気（水力、地熱、太陽光、風力等）</t>
  </si>
  <si>
    <t>県民経済計算</t>
    <rPh sb="0" eb="2">
      <t>ケンミン</t>
    </rPh>
    <rPh sb="2" eb="4">
      <t>ケイザイ</t>
    </rPh>
    <rPh sb="4" eb="6">
      <t>ケイサン</t>
    </rPh>
    <phoneticPr fontId="14"/>
  </si>
  <si>
    <t>ガス事業年報が入手できないため、県民経済計算の数値を引用した。これは直接照会で求めているため精度が高いと判断。
なお、マニュアルp114には経センを使うこととされているが、p91には記載がないし、経セン組替表19表の売上高を使うとどうにも少なすぎると思われたため、採用しなかった。
→R2年表も同様とする。</t>
    <rPh sb="2" eb="4">
      <t>ジギョウ</t>
    </rPh>
    <rPh sb="4" eb="6">
      <t>ネンポウ</t>
    </rPh>
    <rPh sb="7" eb="9">
      <t>ニュウシュ</t>
    </rPh>
    <rPh sb="16" eb="18">
      <t>ケンミン</t>
    </rPh>
    <rPh sb="18" eb="20">
      <t>ケイザイ</t>
    </rPh>
    <rPh sb="20" eb="22">
      <t>ケイサン</t>
    </rPh>
    <rPh sb="23" eb="25">
      <t>スウチ</t>
    </rPh>
    <rPh sb="26" eb="28">
      <t>インヨウ</t>
    </rPh>
    <rPh sb="34" eb="36">
      <t>チョクセツ</t>
    </rPh>
    <rPh sb="36" eb="38">
      <t>ショウカイ</t>
    </rPh>
    <rPh sb="39" eb="40">
      <t>モト</t>
    </rPh>
    <rPh sb="46" eb="48">
      <t>セイド</t>
    </rPh>
    <rPh sb="49" eb="50">
      <t>タカ</t>
    </rPh>
    <rPh sb="52" eb="54">
      <t>ハンダン</t>
    </rPh>
    <rPh sb="70" eb="71">
      <t>ケイ</t>
    </rPh>
    <rPh sb="74" eb="75">
      <t>ツカ</t>
    </rPh>
    <rPh sb="91" eb="93">
      <t>キサイ</t>
    </rPh>
    <rPh sb="98" eb="99">
      <t>ケイ</t>
    </rPh>
    <rPh sb="101" eb="103">
      <t>クミカエ</t>
    </rPh>
    <rPh sb="103" eb="104">
      <t>ヒョウ</t>
    </rPh>
    <rPh sb="106" eb="107">
      <t>ヒョウ</t>
    </rPh>
    <rPh sb="108" eb="110">
      <t>ウリアゲ</t>
    </rPh>
    <rPh sb="110" eb="111">
      <t>ダカ</t>
    </rPh>
    <rPh sb="112" eb="113">
      <t>ツカ</t>
    </rPh>
    <rPh sb="119" eb="120">
      <t>スク</t>
    </rPh>
    <rPh sb="125" eb="126">
      <t>オモ</t>
    </rPh>
    <rPh sb="132" eb="134">
      <t>サイヨウ</t>
    </rPh>
    <rPh sb="144" eb="145">
      <t>ネン</t>
    </rPh>
    <rPh sb="145" eb="146">
      <t>ヒョウ</t>
    </rPh>
    <rPh sb="147" eb="149">
      <t>ドウヨウ</t>
    </rPh>
    <phoneticPr fontId="14"/>
  </si>
  <si>
    <t>県立図書館</t>
    <rPh sb="0" eb="2">
      <t>ケンリツ</t>
    </rPh>
    <rPh sb="2" eb="5">
      <t>トショカン</t>
    </rPh>
    <phoneticPr fontId="14"/>
  </si>
  <si>
    <t>23年表は近畿ＣＴで按分しているが、今回は近畿ＣＴがないため、23年近畿ＣＴをそのまま用いて按分
→R2年表では、国CT値を使って按分した。</t>
    <phoneticPr fontId="5"/>
  </si>
  <si>
    <t>資源エネルギー庁HP</t>
    <rPh sb="0" eb="2">
      <t>シゲン</t>
    </rPh>
    <rPh sb="7" eb="8">
      <t>チョウ</t>
    </rPh>
    <phoneticPr fontId="14"/>
  </si>
  <si>
    <t>近経局は熱供給事業便覧の数値を按分指標に用いているが、この資料を得ることができないため、県民経済計算の数値を引用した。これは直接照会で求めているため精度が高いと判断。ただ、住宅用と業務用の総額しかわからないので、23年表のＣＴ値で按分した。なお、県民経済計算の数値は暦年換算して利用。
→R2年表では、国CT値を使って按分した。</t>
    <rPh sb="0" eb="1">
      <t>キン</t>
    </rPh>
    <rPh sb="1" eb="2">
      <t>ケイ</t>
    </rPh>
    <rPh sb="2" eb="3">
      <t>キョク</t>
    </rPh>
    <rPh sb="4" eb="5">
      <t>ネツ</t>
    </rPh>
    <rPh sb="5" eb="7">
      <t>キョウキュウ</t>
    </rPh>
    <rPh sb="7" eb="9">
      <t>ジギョウ</t>
    </rPh>
    <rPh sb="9" eb="11">
      <t>ビンラン</t>
    </rPh>
    <rPh sb="12" eb="14">
      <t>スウチ</t>
    </rPh>
    <rPh sb="15" eb="17">
      <t>アンブン</t>
    </rPh>
    <rPh sb="17" eb="19">
      <t>シヒョウ</t>
    </rPh>
    <rPh sb="20" eb="21">
      <t>モチ</t>
    </rPh>
    <rPh sb="29" eb="31">
      <t>シリョウ</t>
    </rPh>
    <rPh sb="32" eb="33">
      <t>エ</t>
    </rPh>
    <rPh sb="44" eb="46">
      <t>ケンミン</t>
    </rPh>
    <rPh sb="46" eb="48">
      <t>ケイザイ</t>
    </rPh>
    <rPh sb="48" eb="50">
      <t>ケイサン</t>
    </rPh>
    <rPh sb="51" eb="53">
      <t>スウチ</t>
    </rPh>
    <rPh sb="54" eb="56">
      <t>インヨウ</t>
    </rPh>
    <rPh sb="62" eb="64">
      <t>チョクセツ</t>
    </rPh>
    <rPh sb="64" eb="66">
      <t>ショウカイ</t>
    </rPh>
    <rPh sb="67" eb="68">
      <t>モト</t>
    </rPh>
    <rPh sb="74" eb="76">
      <t>セイド</t>
    </rPh>
    <rPh sb="77" eb="78">
      <t>タカ</t>
    </rPh>
    <rPh sb="80" eb="82">
      <t>ハンダン</t>
    </rPh>
    <rPh sb="86" eb="89">
      <t>ジュウタクヨウ</t>
    </rPh>
    <rPh sb="90" eb="93">
      <t>ギョウムヨウ</t>
    </rPh>
    <rPh sb="94" eb="96">
      <t>ソウガク</t>
    </rPh>
    <rPh sb="108" eb="109">
      <t>ネン</t>
    </rPh>
    <rPh sb="109" eb="110">
      <t>ヒョウ</t>
    </rPh>
    <rPh sb="113" eb="114">
      <t>チ</t>
    </rPh>
    <rPh sb="115" eb="117">
      <t>アンブン</t>
    </rPh>
    <rPh sb="123" eb="125">
      <t>ケンミン</t>
    </rPh>
    <rPh sb="125" eb="127">
      <t>ケイザイ</t>
    </rPh>
    <rPh sb="127" eb="129">
      <t>ケイサン</t>
    </rPh>
    <rPh sb="130" eb="132">
      <t>スウチ</t>
    </rPh>
    <rPh sb="133" eb="135">
      <t>レキネン</t>
    </rPh>
    <rPh sb="135" eb="137">
      <t>カンサン</t>
    </rPh>
    <rPh sb="139" eb="141">
      <t>リヨウ</t>
    </rPh>
    <rPh sb="146" eb="147">
      <t>ネン</t>
    </rPh>
    <rPh sb="147" eb="148">
      <t>ヒョウ</t>
    </rPh>
    <rPh sb="151" eb="152">
      <t>クニ</t>
    </rPh>
    <rPh sb="154" eb="155">
      <t>チ</t>
    </rPh>
    <rPh sb="156" eb="157">
      <t>ツカ</t>
    </rPh>
    <rPh sb="159" eb="161">
      <t>アンブン</t>
    </rPh>
    <phoneticPr fontId="14"/>
  </si>
  <si>
    <t>日本熱供給事業協会</t>
    <rPh sb="0" eb="2">
      <t>ニホン</t>
    </rPh>
    <rPh sb="2" eb="5">
      <t>ネツキョウキュウ</t>
    </rPh>
    <rPh sb="5" eb="7">
      <t>ジギョウ</t>
    </rPh>
    <rPh sb="7" eb="9">
      <t>キョウカイ</t>
    </rPh>
    <phoneticPr fontId="14"/>
  </si>
  <si>
    <t>R1,R2兵庫県公営企業会計決算書付属資料、県民経済計算</t>
    <rPh sb="22" eb="24">
      <t>ケンミン</t>
    </rPh>
    <rPh sb="24" eb="26">
      <t>ケイザイ</t>
    </rPh>
    <rPh sb="26" eb="28">
      <t>ケイサン</t>
    </rPh>
    <phoneticPr fontId="14"/>
  </si>
  <si>
    <t>法適用＝上水道、法非適用＝簡易水道である。</t>
    <phoneticPr fontId="14"/>
  </si>
  <si>
    <t>営業収入－受託工事費収入－受水費だが、県民経済計算同じことをしているのでそこから引用した。暦年換算シートよりリンク。県の上水道事業の損益計算書を見る限り、受水費は見当たらない。</t>
    <rPh sb="58" eb="59">
      <t>ケン</t>
    </rPh>
    <rPh sb="60" eb="63">
      <t>ジョウスイドウ</t>
    </rPh>
    <rPh sb="63" eb="65">
      <t>ジギョウ</t>
    </rPh>
    <rPh sb="66" eb="68">
      <t>ソンエキ</t>
    </rPh>
    <rPh sb="68" eb="71">
      <t>ケイサンショ</t>
    </rPh>
    <rPh sb="72" eb="73">
      <t>ミ</t>
    </rPh>
    <rPh sb="74" eb="75">
      <t>カギ</t>
    </rPh>
    <rPh sb="77" eb="78">
      <t>ジュ</t>
    </rPh>
    <rPh sb="78" eb="79">
      <t>スイ</t>
    </rPh>
    <rPh sb="79" eb="80">
      <t>ヒ</t>
    </rPh>
    <rPh sb="81" eb="83">
      <t>ミア</t>
    </rPh>
    <phoneticPr fontId="14"/>
  </si>
  <si>
    <t>議会図書館、資料室、HP</t>
    <rPh sb="0" eb="2">
      <t>ギカイ</t>
    </rPh>
    <rPh sb="2" eb="5">
      <t>トショカン</t>
    </rPh>
    <rPh sb="6" eb="9">
      <t>シリョウシツ</t>
    </rPh>
    <phoneticPr fontId="14"/>
  </si>
  <si>
    <t>推計せず（近経局もしていない）</t>
    <rPh sb="0" eb="2">
      <t>スイケイ</t>
    </rPh>
    <rPh sb="5" eb="6">
      <t>キン</t>
    </rPh>
    <rPh sb="6" eb="7">
      <t>ケイ</t>
    </rPh>
    <rPh sb="7" eb="8">
      <t>キョク</t>
    </rPh>
    <phoneticPr fontId="14"/>
  </si>
  <si>
    <t>営業収入－受託工事費収入－受水費だが、県民経済計算同じことをしているのでそこから引用した。暦年換算シートよりリンク</t>
    <rPh sb="0" eb="2">
      <t>エイギョウ</t>
    </rPh>
    <rPh sb="2" eb="4">
      <t>シュウニュウ</t>
    </rPh>
    <rPh sb="5" eb="7">
      <t>ジュタク</t>
    </rPh>
    <rPh sb="7" eb="10">
      <t>コウジヒ</t>
    </rPh>
    <rPh sb="10" eb="12">
      <t>シュウニュウ</t>
    </rPh>
    <rPh sb="13" eb="14">
      <t>ジュ</t>
    </rPh>
    <rPh sb="14" eb="15">
      <t>スイ</t>
    </rPh>
    <rPh sb="15" eb="16">
      <t>ヒ</t>
    </rPh>
    <rPh sb="19" eb="21">
      <t>ケンミン</t>
    </rPh>
    <rPh sb="21" eb="23">
      <t>ケイザイ</t>
    </rPh>
    <rPh sb="23" eb="25">
      <t>ケイサン</t>
    </rPh>
    <rPh sb="25" eb="26">
      <t>オナ</t>
    </rPh>
    <rPh sb="40" eb="42">
      <t>インヨウ</t>
    </rPh>
    <rPh sb="45" eb="47">
      <t>レキネン</t>
    </rPh>
    <rPh sb="47" eb="49">
      <t>カンサン</t>
    </rPh>
    <phoneticPr fontId="14"/>
  </si>
  <si>
    <t>R1,2地方公営企業年鑑</t>
    <rPh sb="10" eb="12">
      <t>ネンカン</t>
    </rPh>
    <phoneticPr fontId="14"/>
  </si>
  <si>
    <t>マニュアルでは決算資料を積み上げるとしか書かれていない。近経局の方法を見ると、左記資料の営業費用－受託工事費－流域下水道管理運営費負担金となっている。この方法でまず全国値を出してみたが微妙に提供国値とあわないので、按分指標として用いた。暦年換算シートよりリンク　→27年表も同様とする
→H23、27年表では流域下水道の数値のみで全国値を按分しているようだが、なぜそうしていたのか不明なので、全下水道事業の決算書（法適用分）と歳入歳出決算書（法非適用分）を積み上げて按分比率を算出した。項目は、前回表と同じくH23年表で近畿経済産業局が示していた「営業費用」－「受託工事費」－「流域下水道管理運営費負担金」を採用。</t>
    <rPh sb="7" eb="9">
      <t>ケッサン</t>
    </rPh>
    <rPh sb="9" eb="11">
      <t>シリョウ</t>
    </rPh>
    <rPh sb="12" eb="13">
      <t>ツ</t>
    </rPh>
    <rPh sb="14" eb="15">
      <t>ア</t>
    </rPh>
    <rPh sb="20" eb="21">
      <t>カ</t>
    </rPh>
    <rPh sb="28" eb="29">
      <t>キン</t>
    </rPh>
    <rPh sb="29" eb="30">
      <t>ケイ</t>
    </rPh>
    <rPh sb="30" eb="31">
      <t>キョク</t>
    </rPh>
    <rPh sb="32" eb="34">
      <t>ホウホウ</t>
    </rPh>
    <rPh sb="35" eb="36">
      <t>ミ</t>
    </rPh>
    <rPh sb="39" eb="41">
      <t>サキ</t>
    </rPh>
    <rPh sb="41" eb="43">
      <t>シリョウ</t>
    </rPh>
    <rPh sb="44" eb="46">
      <t>エイギョウ</t>
    </rPh>
    <rPh sb="46" eb="48">
      <t>ヒヨウ</t>
    </rPh>
    <rPh sb="49" eb="51">
      <t>ジュタク</t>
    </rPh>
    <rPh sb="51" eb="54">
      <t>コウジヒ</t>
    </rPh>
    <rPh sb="55" eb="57">
      <t>リュウイキ</t>
    </rPh>
    <rPh sb="57" eb="60">
      <t>ゲスイドウ</t>
    </rPh>
    <rPh sb="60" eb="62">
      <t>カンリ</t>
    </rPh>
    <rPh sb="62" eb="64">
      <t>ウンエイ</t>
    </rPh>
    <rPh sb="64" eb="65">
      <t>ヒ</t>
    </rPh>
    <rPh sb="65" eb="68">
      <t>フタンキン</t>
    </rPh>
    <rPh sb="77" eb="79">
      <t>ホウホウ</t>
    </rPh>
    <rPh sb="82" eb="84">
      <t>ゼンコク</t>
    </rPh>
    <rPh sb="84" eb="85">
      <t>チ</t>
    </rPh>
    <rPh sb="86" eb="87">
      <t>ダ</t>
    </rPh>
    <rPh sb="92" eb="94">
      <t>ビミョウ</t>
    </rPh>
    <rPh sb="95" eb="97">
      <t>テイキョウ</t>
    </rPh>
    <rPh sb="97" eb="99">
      <t>クニチ</t>
    </rPh>
    <rPh sb="107" eb="109">
      <t>アンブン</t>
    </rPh>
    <rPh sb="109" eb="111">
      <t>シヒョウ</t>
    </rPh>
    <rPh sb="114" eb="115">
      <t>モチ</t>
    </rPh>
    <rPh sb="118" eb="120">
      <t>レキネン</t>
    </rPh>
    <rPh sb="120" eb="122">
      <t>カンザン</t>
    </rPh>
    <rPh sb="134" eb="135">
      <t>ネン</t>
    </rPh>
    <rPh sb="135" eb="136">
      <t>ヒョウ</t>
    </rPh>
    <rPh sb="137" eb="139">
      <t>ドウヨウ</t>
    </rPh>
    <rPh sb="150" eb="151">
      <t>ネン</t>
    </rPh>
    <rPh sb="151" eb="152">
      <t>ヒョウ</t>
    </rPh>
    <rPh sb="154" eb="156">
      <t>リュウイキ</t>
    </rPh>
    <rPh sb="156" eb="159">
      <t>ゲスイドウ</t>
    </rPh>
    <rPh sb="160" eb="162">
      <t>スウチ</t>
    </rPh>
    <rPh sb="165" eb="167">
      <t>ゼンコク</t>
    </rPh>
    <rPh sb="167" eb="168">
      <t>チ</t>
    </rPh>
    <rPh sb="169" eb="171">
      <t>アンブン</t>
    </rPh>
    <rPh sb="190" eb="192">
      <t>フメイ</t>
    </rPh>
    <rPh sb="196" eb="197">
      <t>ゼン</t>
    </rPh>
    <rPh sb="197" eb="200">
      <t>ゲスイドウ</t>
    </rPh>
    <rPh sb="200" eb="202">
      <t>ジギョウ</t>
    </rPh>
    <rPh sb="203" eb="206">
      <t>ケッサンショ</t>
    </rPh>
    <rPh sb="207" eb="210">
      <t>ホウテキヨウ</t>
    </rPh>
    <rPh sb="210" eb="211">
      <t>ブン</t>
    </rPh>
    <rPh sb="213" eb="215">
      <t>サイニュウ</t>
    </rPh>
    <rPh sb="215" eb="217">
      <t>サイシュツ</t>
    </rPh>
    <rPh sb="217" eb="220">
      <t>ケッサンショ</t>
    </rPh>
    <rPh sb="221" eb="222">
      <t>ホウ</t>
    </rPh>
    <rPh sb="222" eb="223">
      <t>ヒ</t>
    </rPh>
    <rPh sb="223" eb="225">
      <t>テキヨウ</t>
    </rPh>
    <rPh sb="225" eb="226">
      <t>ブン</t>
    </rPh>
    <rPh sb="228" eb="229">
      <t>ツ</t>
    </rPh>
    <rPh sb="230" eb="231">
      <t>ア</t>
    </rPh>
    <rPh sb="233" eb="235">
      <t>アンブン</t>
    </rPh>
    <rPh sb="235" eb="237">
      <t>ヒリツ</t>
    </rPh>
    <rPh sb="238" eb="240">
      <t>サンシュツ</t>
    </rPh>
    <rPh sb="243" eb="245">
      <t>コウモク</t>
    </rPh>
    <rPh sb="247" eb="249">
      <t>ゼンカイ</t>
    </rPh>
    <rPh sb="249" eb="250">
      <t>ヒョウ</t>
    </rPh>
    <rPh sb="251" eb="252">
      <t>オナ</t>
    </rPh>
    <rPh sb="257" eb="258">
      <t>ネン</t>
    </rPh>
    <rPh sb="258" eb="259">
      <t>ヒョウ</t>
    </rPh>
    <rPh sb="260" eb="262">
      <t>キンキ</t>
    </rPh>
    <rPh sb="262" eb="264">
      <t>ケイザイ</t>
    </rPh>
    <rPh sb="264" eb="267">
      <t>サンギョウキョク</t>
    </rPh>
    <rPh sb="268" eb="269">
      <t>シメ</t>
    </rPh>
    <rPh sb="274" eb="276">
      <t>エイギョウ</t>
    </rPh>
    <rPh sb="276" eb="278">
      <t>ヒヨウ</t>
    </rPh>
    <rPh sb="281" eb="283">
      <t>ジュタク</t>
    </rPh>
    <rPh sb="283" eb="286">
      <t>コウジヒ</t>
    </rPh>
    <rPh sb="289" eb="291">
      <t>リュウイキ</t>
    </rPh>
    <rPh sb="291" eb="294">
      <t>ゲスイドウ</t>
    </rPh>
    <rPh sb="294" eb="296">
      <t>カンリ</t>
    </rPh>
    <rPh sb="296" eb="299">
      <t>ウンエイヒ</t>
    </rPh>
    <rPh sb="299" eb="302">
      <t>フタンキン</t>
    </rPh>
    <rPh sb="304" eb="306">
      <t>サイヨウ</t>
    </rPh>
    <phoneticPr fontId="14"/>
  </si>
  <si>
    <t>R1,2一般廃棄物処理実態調査</t>
    <rPh sb="4" eb="6">
      <t>イッパン</t>
    </rPh>
    <rPh sb="6" eb="9">
      <t>ハイキブツ</t>
    </rPh>
    <rPh sb="9" eb="11">
      <t>ショリ</t>
    </rPh>
    <rPh sb="11" eb="13">
      <t>ジッタイ</t>
    </rPh>
    <rPh sb="13" eb="15">
      <t>チョウサ</t>
    </rPh>
    <phoneticPr fontId="14"/>
  </si>
  <si>
    <t>環境省HP</t>
    <rPh sb="0" eb="3">
      <t>カンキョウショウ</t>
    </rPh>
    <phoneticPr fontId="14"/>
  </si>
  <si>
    <t>26年度全国研究会議において環境省が提示した方法では、減価償却費が推計できないので、この方法はとれない。マニュアルどおり、地方財政状況調査票の表頭「清掃費」、表側「人件費」、「物件費」、「維持修繕費」の積上げと、近経局が提示する左記資料の歳出－ごみ・し尿合計－人件費＋維持管理費という方法とを比較した結果、後者のほうが前回表の値に近いので、そちらを取る。暦年換算シートよりリンク  →27年表.R2年表も同様とする</t>
    <rPh sb="2" eb="4">
      <t>ネンド</t>
    </rPh>
    <rPh sb="4" eb="6">
      <t>ゼンコク</t>
    </rPh>
    <rPh sb="6" eb="8">
      <t>ケンキュウ</t>
    </rPh>
    <rPh sb="8" eb="10">
      <t>カイギ</t>
    </rPh>
    <rPh sb="14" eb="17">
      <t>カンキョウショウ</t>
    </rPh>
    <rPh sb="18" eb="20">
      <t>テイジ</t>
    </rPh>
    <rPh sb="22" eb="24">
      <t>ホウホウ</t>
    </rPh>
    <rPh sb="27" eb="29">
      <t>ゲンカ</t>
    </rPh>
    <rPh sb="29" eb="31">
      <t>ショウキャク</t>
    </rPh>
    <rPh sb="31" eb="32">
      <t>ヒ</t>
    </rPh>
    <rPh sb="33" eb="35">
      <t>スイケイ</t>
    </rPh>
    <rPh sb="44" eb="46">
      <t>ホウホウ</t>
    </rPh>
    <rPh sb="61" eb="63">
      <t>チホウ</t>
    </rPh>
    <rPh sb="63" eb="65">
      <t>ザイセイ</t>
    </rPh>
    <rPh sb="65" eb="67">
      <t>ジョウキョウ</t>
    </rPh>
    <rPh sb="67" eb="70">
      <t>チョウサヒョウ</t>
    </rPh>
    <rPh sb="71" eb="72">
      <t>ヒョウ</t>
    </rPh>
    <rPh sb="72" eb="73">
      <t>トウ</t>
    </rPh>
    <rPh sb="74" eb="76">
      <t>セイソウ</t>
    </rPh>
    <rPh sb="76" eb="77">
      <t>ヒ</t>
    </rPh>
    <rPh sb="79" eb="80">
      <t>ヒョウ</t>
    </rPh>
    <rPh sb="80" eb="81">
      <t>ソク</t>
    </rPh>
    <rPh sb="82" eb="85">
      <t>ジンケンヒ</t>
    </rPh>
    <rPh sb="88" eb="91">
      <t>ブッケンヒ</t>
    </rPh>
    <rPh sb="94" eb="96">
      <t>イジ</t>
    </rPh>
    <rPh sb="96" eb="99">
      <t>シュウゼンヒ</t>
    </rPh>
    <rPh sb="101" eb="102">
      <t>ツ</t>
    </rPh>
    <rPh sb="102" eb="103">
      <t>ア</t>
    </rPh>
    <rPh sb="106" eb="107">
      <t>キン</t>
    </rPh>
    <rPh sb="107" eb="108">
      <t>ケイ</t>
    </rPh>
    <rPh sb="108" eb="109">
      <t>キョク</t>
    </rPh>
    <rPh sb="110" eb="112">
      <t>テイジ</t>
    </rPh>
    <rPh sb="114" eb="116">
      <t>サキ</t>
    </rPh>
    <rPh sb="116" eb="118">
      <t>シリョウ</t>
    </rPh>
    <rPh sb="119" eb="121">
      <t>サイシュツ</t>
    </rPh>
    <rPh sb="126" eb="127">
      <t>ニョウ</t>
    </rPh>
    <rPh sb="127" eb="129">
      <t>ゴウケイ</t>
    </rPh>
    <rPh sb="130" eb="133">
      <t>ジンケンヒ</t>
    </rPh>
    <rPh sb="134" eb="136">
      <t>イジ</t>
    </rPh>
    <rPh sb="136" eb="138">
      <t>カンリ</t>
    </rPh>
    <rPh sb="138" eb="139">
      <t>ヒ</t>
    </rPh>
    <rPh sb="142" eb="144">
      <t>ホウホウ</t>
    </rPh>
    <rPh sb="146" eb="148">
      <t>ヒカク</t>
    </rPh>
    <rPh sb="150" eb="152">
      <t>ケッカ</t>
    </rPh>
    <rPh sb="153" eb="155">
      <t>コウシャ</t>
    </rPh>
    <rPh sb="159" eb="161">
      <t>ゼンカイ</t>
    </rPh>
    <rPh sb="161" eb="162">
      <t>ヒョウ</t>
    </rPh>
    <rPh sb="163" eb="164">
      <t>アタイ</t>
    </rPh>
    <rPh sb="165" eb="166">
      <t>チカ</t>
    </rPh>
    <rPh sb="174" eb="175">
      <t>ト</t>
    </rPh>
    <rPh sb="177" eb="179">
      <t>レキネン</t>
    </rPh>
    <rPh sb="179" eb="181">
      <t>カンサン</t>
    </rPh>
    <rPh sb="194" eb="195">
      <t>ネン</t>
    </rPh>
    <rPh sb="195" eb="196">
      <t>ヒョウ</t>
    </rPh>
    <rPh sb="199" eb="200">
      <t>ネン</t>
    </rPh>
    <rPh sb="200" eb="201">
      <t>ヒョウ</t>
    </rPh>
    <rPh sb="202" eb="204">
      <t>ドウヨウ</t>
    </rPh>
    <phoneticPr fontId="14"/>
  </si>
  <si>
    <t>経セン組替第01表</t>
    <rPh sb="0" eb="1">
      <t>ケイ</t>
    </rPh>
    <rPh sb="3" eb="5">
      <t>クミカエ</t>
    </rPh>
    <rPh sb="5" eb="6">
      <t>ダイ</t>
    </rPh>
    <rPh sb="8" eb="9">
      <t>ヒョウ</t>
    </rPh>
    <phoneticPr fontId="14"/>
  </si>
  <si>
    <t>マニュアルどおり事業収入額で按分→この方法ではＣＴ＝186202となり、前回表からかなり増えてしまった。環境省の推計方法を見ると、①従業者一人当たり売上高×②従業員数で推計しており、国ＣＴ÷②により①を逆算し、この単価を県ＣＴの推計にも用いた。→R2年表でも同様とする。「廃棄物処理サービス（一般廃棄物処理以外）」の従業者数を使用。</t>
    <rPh sb="8" eb="10">
      <t>ジギョウ</t>
    </rPh>
    <rPh sb="10" eb="12">
      <t>シュウニュウ</t>
    </rPh>
    <rPh sb="12" eb="13">
      <t>ガク</t>
    </rPh>
    <rPh sb="14" eb="16">
      <t>アンブン</t>
    </rPh>
    <rPh sb="19" eb="21">
      <t>ホウホウ</t>
    </rPh>
    <rPh sb="36" eb="38">
      <t>ゼンカイ</t>
    </rPh>
    <rPh sb="38" eb="39">
      <t>ヒョウ</t>
    </rPh>
    <rPh sb="44" eb="45">
      <t>フ</t>
    </rPh>
    <rPh sb="52" eb="55">
      <t>カンキョウショウ</t>
    </rPh>
    <rPh sb="56" eb="58">
      <t>スイケイ</t>
    </rPh>
    <rPh sb="58" eb="60">
      <t>ホウホウ</t>
    </rPh>
    <rPh sb="61" eb="62">
      <t>ミ</t>
    </rPh>
    <rPh sb="66" eb="69">
      <t>ジュウギョウシャ</t>
    </rPh>
    <rPh sb="69" eb="71">
      <t>ヒトリ</t>
    </rPh>
    <rPh sb="71" eb="72">
      <t>ア</t>
    </rPh>
    <rPh sb="74" eb="76">
      <t>ウリアゲ</t>
    </rPh>
    <rPh sb="76" eb="77">
      <t>ダカ</t>
    </rPh>
    <rPh sb="79" eb="82">
      <t>ジュウギョウイン</t>
    </rPh>
    <rPh sb="82" eb="83">
      <t>スウ</t>
    </rPh>
    <rPh sb="84" eb="86">
      <t>スイケイ</t>
    </rPh>
    <rPh sb="91" eb="92">
      <t>クニ</t>
    </rPh>
    <rPh sb="101" eb="103">
      <t>ギャクサン</t>
    </rPh>
    <rPh sb="107" eb="109">
      <t>タンカ</t>
    </rPh>
    <rPh sb="110" eb="111">
      <t>ケン</t>
    </rPh>
    <rPh sb="114" eb="116">
      <t>スイケイ</t>
    </rPh>
    <rPh sb="118" eb="119">
      <t>モチ</t>
    </rPh>
    <rPh sb="125" eb="126">
      <t>ネン</t>
    </rPh>
    <rPh sb="126" eb="127">
      <t>ヒョウ</t>
    </rPh>
    <rPh sb="129" eb="131">
      <t>ドウヨウ</t>
    </rPh>
    <rPh sb="136" eb="139">
      <t>ハイキブツ</t>
    </rPh>
    <rPh sb="139" eb="141">
      <t>ショリ</t>
    </rPh>
    <rPh sb="146" eb="148">
      <t>イッパン</t>
    </rPh>
    <rPh sb="148" eb="151">
      <t>ハイキブツ</t>
    </rPh>
    <rPh sb="151" eb="153">
      <t>ショリ</t>
    </rPh>
    <rPh sb="153" eb="155">
      <t>イガイ</t>
    </rPh>
    <rPh sb="158" eb="161">
      <t>ジュウギョウシャ</t>
    </rPh>
    <rPh sb="161" eb="162">
      <t>スウ</t>
    </rPh>
    <rPh sb="163" eb="165">
      <t>シヨウ</t>
    </rPh>
    <phoneticPr fontId="14"/>
  </si>
  <si>
    <t>経セン組替第９表</t>
    <phoneticPr fontId="14"/>
  </si>
  <si>
    <t>マニュアルでは経セン第９表の「生産額（調整後）」で按分すると記載されているが、前回表の推計方法の継続性を考慮し、国ＣＴ値を経セン第９表の卸売業の「年間商品販売額」で按分した（H23年表と同様に国とのＱＡの方法を採用）。なお、再生資源卸は控除すると経産省の推計方法に記載があるので、按分指標から除いている。→R2年表も同様とする。</t>
    <rPh sb="68" eb="70">
      <t>オロシウ</t>
    </rPh>
    <rPh sb="90" eb="91">
      <t>ネン</t>
    </rPh>
    <rPh sb="91" eb="92">
      <t>ヒョウ</t>
    </rPh>
    <rPh sb="93" eb="95">
      <t>ドウヨウ</t>
    </rPh>
    <rPh sb="102" eb="104">
      <t>ホウホウ</t>
    </rPh>
    <rPh sb="105" eb="107">
      <t>サイヨウ</t>
    </rPh>
    <rPh sb="112" eb="114">
      <t>サイセイ</t>
    </rPh>
    <rPh sb="114" eb="116">
      <t>シゲン</t>
    </rPh>
    <rPh sb="116" eb="117">
      <t>オロシ</t>
    </rPh>
    <rPh sb="118" eb="120">
      <t>コウジョ</t>
    </rPh>
    <rPh sb="123" eb="126">
      <t>ケイサンショウ</t>
    </rPh>
    <rPh sb="127" eb="129">
      <t>スイケイ</t>
    </rPh>
    <rPh sb="129" eb="131">
      <t>ホウホウ</t>
    </rPh>
    <rPh sb="132" eb="134">
      <t>キサイ</t>
    </rPh>
    <rPh sb="140" eb="142">
      <t>アンブン</t>
    </rPh>
    <rPh sb="142" eb="144">
      <t>シヒョウ</t>
    </rPh>
    <rPh sb="146" eb="147">
      <t>ノゾ</t>
    </rPh>
    <rPh sb="155" eb="156">
      <t>ネン</t>
    </rPh>
    <rPh sb="156" eb="157">
      <t>ヒョウ</t>
    </rPh>
    <rPh sb="158" eb="160">
      <t>ドウヨウ</t>
    </rPh>
    <phoneticPr fontId="14"/>
  </si>
  <si>
    <t>マニュアルでは経セン第９表の「生産額（調整後）」で按分すると記載されているが、前回表の推計方法の継続性を考慮し、国ＣＴ値を経セン第９表の小売業の「年間商品販売額」で按分した（H23年表と同様に国とのＱＡの方法を採用）。→R2年表も同様とする。</t>
    <rPh sb="56" eb="57">
      <t>クニ</t>
    </rPh>
    <rPh sb="59" eb="60">
      <t>アタイ</t>
    </rPh>
    <rPh sb="61" eb="62">
      <t>ケイ</t>
    </rPh>
    <rPh sb="64" eb="65">
      <t>ダイ</t>
    </rPh>
    <rPh sb="66" eb="67">
      <t>ヒョウ</t>
    </rPh>
    <rPh sb="68" eb="71">
      <t>コウリギョウ</t>
    </rPh>
    <rPh sb="73" eb="75">
      <t>ネンカン</t>
    </rPh>
    <rPh sb="75" eb="77">
      <t>ショウヒン</t>
    </rPh>
    <rPh sb="77" eb="79">
      <t>ハンバイ</t>
    </rPh>
    <rPh sb="79" eb="80">
      <t>ガク</t>
    </rPh>
    <rPh sb="82" eb="84">
      <t>アンブン</t>
    </rPh>
    <rPh sb="90" eb="91">
      <t>ネン</t>
    </rPh>
    <rPh sb="91" eb="92">
      <t>ヒョウ</t>
    </rPh>
    <rPh sb="93" eb="95">
      <t>ドウヨウ</t>
    </rPh>
    <rPh sb="96" eb="97">
      <t>クニ</t>
    </rPh>
    <rPh sb="102" eb="104">
      <t>ホウホウ</t>
    </rPh>
    <rPh sb="105" eb="107">
      <t>サイヨウ</t>
    </rPh>
    <rPh sb="112" eb="113">
      <t>ネン</t>
    </rPh>
    <rPh sb="113" eb="114">
      <t>ヒョウ</t>
    </rPh>
    <rPh sb="115" eb="117">
      <t>ドウヨウ</t>
    </rPh>
    <phoneticPr fontId="14"/>
  </si>
  <si>
    <t>国とのＱＡ第２報の中に日銀の活動はＦＩＳＩＭに含まれていないとのことなので、別で追加した。日銀分も県民経済のシートから引用し、暦年換算している。</t>
    <rPh sb="0" eb="1">
      <t>クニ</t>
    </rPh>
    <rPh sb="5" eb="6">
      <t>ダイ</t>
    </rPh>
    <rPh sb="7" eb="8">
      <t>ホウ</t>
    </rPh>
    <rPh sb="9" eb="10">
      <t>ナカ</t>
    </rPh>
    <rPh sb="11" eb="13">
      <t>ニチギン</t>
    </rPh>
    <rPh sb="14" eb="16">
      <t>カツドウ</t>
    </rPh>
    <rPh sb="23" eb="24">
      <t>フク</t>
    </rPh>
    <rPh sb="38" eb="39">
      <t>ベツ</t>
    </rPh>
    <rPh sb="40" eb="42">
      <t>ツイカ</t>
    </rPh>
    <rPh sb="45" eb="47">
      <t>ニチギン</t>
    </rPh>
    <rPh sb="47" eb="48">
      <t>ブン</t>
    </rPh>
    <rPh sb="49" eb="51">
      <t>ケンミン</t>
    </rPh>
    <rPh sb="51" eb="53">
      <t>ケイザイ</t>
    </rPh>
    <rPh sb="59" eb="61">
      <t>インヨウ</t>
    </rPh>
    <rPh sb="63" eb="65">
      <t>レキネン</t>
    </rPh>
    <rPh sb="65" eb="67">
      <t>カンサン</t>
    </rPh>
    <phoneticPr fontId="14"/>
  </si>
  <si>
    <t>県民経済計算の金融業の該当シートの数値を利用</t>
    <rPh sb="0" eb="2">
      <t>ケンミン</t>
    </rPh>
    <rPh sb="2" eb="4">
      <t>ケイザイ</t>
    </rPh>
    <rPh sb="4" eb="6">
      <t>ケイサン</t>
    </rPh>
    <rPh sb="7" eb="10">
      <t>キンユウギョウ</t>
    </rPh>
    <rPh sb="11" eb="13">
      <t>ガイトウ</t>
    </rPh>
    <rPh sb="17" eb="19">
      <t>スウチ</t>
    </rPh>
    <rPh sb="20" eb="22">
      <t>リヨウ</t>
    </rPh>
    <phoneticPr fontId="14"/>
  </si>
  <si>
    <t>企画分析担当</t>
    <rPh sb="0" eb="2">
      <t>キカク</t>
    </rPh>
    <rPh sb="2" eb="4">
      <t>ブンセキ</t>
    </rPh>
    <rPh sb="4" eb="6">
      <t>タントウ</t>
    </rPh>
    <phoneticPr fontId="14"/>
  </si>
  <si>
    <t>マニュアルどおり。国値はQAで示されている。</t>
    <rPh sb="9" eb="11">
      <t>クニチ</t>
    </rPh>
    <rPh sb="15" eb="16">
      <t>シメ</t>
    </rPh>
    <phoneticPr fontId="14"/>
  </si>
  <si>
    <t>公的金融機関の預金残高＋貸出残高の対全国比で按分（マニュアルどおり）</t>
    <rPh sb="0" eb="2">
      <t>コウテキ</t>
    </rPh>
    <rPh sb="17" eb="18">
      <t>タイ</t>
    </rPh>
    <rPh sb="18" eb="20">
      <t>ゼンコク</t>
    </rPh>
    <rPh sb="20" eb="21">
      <t>ヒ</t>
    </rPh>
    <rPh sb="22" eb="24">
      <t>アンブン</t>
    </rPh>
    <phoneticPr fontId="14"/>
  </si>
  <si>
    <t>民間金融機関の預金残高＋貸出残高の対全国比で按分（マニュアルどおり）</t>
    <rPh sb="0" eb="2">
      <t>ミンカン</t>
    </rPh>
    <phoneticPr fontId="14"/>
  </si>
  <si>
    <t>県民経済計算の保険業の該当シートの数値を利用</t>
    <rPh sb="7" eb="9">
      <t>ホケン</t>
    </rPh>
    <phoneticPr fontId="14"/>
  </si>
  <si>
    <t>企画分析担当</t>
  </si>
  <si>
    <t>17年表の考え方を踏襲し、簡易・普通・農協保有契約高で按分。県民経済計算のシートには水産業共済や労働者共済もあるのだが、要綱を見ても確かにこれらは例示されていないので前回どおりとする。→H27,R2年表も同様とする</t>
    <rPh sb="2" eb="3">
      <t>ネン</t>
    </rPh>
    <rPh sb="3" eb="4">
      <t>ヒョウ</t>
    </rPh>
    <rPh sb="5" eb="6">
      <t>カンガ</t>
    </rPh>
    <rPh sb="7" eb="8">
      <t>カタ</t>
    </rPh>
    <rPh sb="9" eb="11">
      <t>トウシュウ</t>
    </rPh>
    <rPh sb="13" eb="15">
      <t>カンイ</t>
    </rPh>
    <rPh sb="16" eb="18">
      <t>フツウ</t>
    </rPh>
    <rPh sb="19" eb="21">
      <t>ノウキョウ</t>
    </rPh>
    <rPh sb="21" eb="23">
      <t>ホユウ</t>
    </rPh>
    <rPh sb="23" eb="26">
      <t>ケイヤクダカ</t>
    </rPh>
    <rPh sb="27" eb="29">
      <t>アンブン</t>
    </rPh>
    <rPh sb="30" eb="32">
      <t>ケンミン</t>
    </rPh>
    <rPh sb="32" eb="34">
      <t>ケイザイ</t>
    </rPh>
    <rPh sb="34" eb="36">
      <t>ケイサン</t>
    </rPh>
    <rPh sb="42" eb="45">
      <t>スイサンギョウ</t>
    </rPh>
    <rPh sb="45" eb="47">
      <t>キョウサイ</t>
    </rPh>
    <rPh sb="48" eb="51">
      <t>ロウドウシャ</t>
    </rPh>
    <rPh sb="51" eb="53">
      <t>キョウサイ</t>
    </rPh>
    <rPh sb="60" eb="62">
      <t>ヨウコウ</t>
    </rPh>
    <rPh sb="63" eb="64">
      <t>ミ</t>
    </rPh>
    <rPh sb="66" eb="67">
      <t>タシ</t>
    </rPh>
    <rPh sb="73" eb="75">
      <t>レイジ</t>
    </rPh>
    <rPh sb="83" eb="85">
      <t>ゼンカイ</t>
    </rPh>
    <rPh sb="99" eb="100">
      <t>ネン</t>
    </rPh>
    <rPh sb="100" eb="101">
      <t>ヒョウ</t>
    </rPh>
    <rPh sb="102" eb="104">
      <t>ドウヨウ</t>
    </rPh>
    <phoneticPr fontId="14"/>
  </si>
  <si>
    <t>県民経済計算の保険業の該当シートの数値を利用
損害保険料率算出機構統計集</t>
    <rPh sb="7" eb="9">
      <t>ホケン</t>
    </rPh>
    <rPh sb="23" eb="25">
      <t>ソンガイ</t>
    </rPh>
    <rPh sb="25" eb="27">
      <t>ホケン</t>
    </rPh>
    <rPh sb="27" eb="28">
      <t>リョウ</t>
    </rPh>
    <rPh sb="28" eb="29">
      <t>リツ</t>
    </rPh>
    <rPh sb="29" eb="31">
      <t>サンシュツ</t>
    </rPh>
    <rPh sb="31" eb="33">
      <t>キコウ</t>
    </rPh>
    <rPh sb="33" eb="35">
      <t>トウケイ</t>
    </rPh>
    <rPh sb="35" eb="36">
      <t>シュウ</t>
    </rPh>
    <phoneticPr fontId="14"/>
  </si>
  <si>
    <t>経セン組替第01表</t>
    <phoneticPr fontId="5"/>
  </si>
  <si>
    <t>従業員数で按分（不動産仲介・管理業－不動産管理業）。マニュアルどおり</t>
    <rPh sb="0" eb="3">
      <t>ジュウギョウイン</t>
    </rPh>
    <rPh sb="3" eb="4">
      <t>スウ</t>
    </rPh>
    <rPh sb="5" eb="7">
      <t>アンブン</t>
    </rPh>
    <rPh sb="8" eb="11">
      <t>フドウサン</t>
    </rPh>
    <rPh sb="11" eb="13">
      <t>チュウカイ</t>
    </rPh>
    <rPh sb="14" eb="16">
      <t>カンリ</t>
    </rPh>
    <rPh sb="16" eb="17">
      <t>ギョウ</t>
    </rPh>
    <rPh sb="18" eb="21">
      <t>フドウサン</t>
    </rPh>
    <rPh sb="21" eb="23">
      <t>カンリ</t>
    </rPh>
    <rPh sb="23" eb="24">
      <t>ギョウ</t>
    </rPh>
    <phoneticPr fontId="14"/>
  </si>
  <si>
    <t>住宅管理・非住宅用建物管理・土地管理サービスの従業員数で按分。マニュアルどおり</t>
    <rPh sb="0" eb="2">
      <t>ジュウタク</t>
    </rPh>
    <rPh sb="2" eb="4">
      <t>カンリ</t>
    </rPh>
    <rPh sb="5" eb="6">
      <t>ヒ</t>
    </rPh>
    <rPh sb="6" eb="8">
      <t>ジュウタク</t>
    </rPh>
    <rPh sb="8" eb="9">
      <t>ヨウ</t>
    </rPh>
    <rPh sb="9" eb="11">
      <t>タテモノ</t>
    </rPh>
    <rPh sb="11" eb="13">
      <t>カンリ</t>
    </rPh>
    <rPh sb="14" eb="16">
      <t>トチ</t>
    </rPh>
    <rPh sb="16" eb="18">
      <t>カンリ</t>
    </rPh>
    <rPh sb="23" eb="26">
      <t>ジュウギョウイン</t>
    </rPh>
    <rPh sb="26" eb="27">
      <t>スウ</t>
    </rPh>
    <rPh sb="28" eb="30">
      <t>アンブン</t>
    </rPh>
    <phoneticPr fontId="26"/>
  </si>
  <si>
    <t>5511-02</t>
    <phoneticPr fontId="5"/>
  </si>
  <si>
    <t>経セン組替第01表</t>
  </si>
  <si>
    <t>　　不動産賃貸業</t>
    <phoneticPr fontId="5"/>
  </si>
  <si>
    <t>不動産賃貸業の従業者数（屋外広告スペース提供サービスを除く）で按分。マニュアルどおり</t>
    <rPh sb="7" eb="10">
      <t>ジュウギョウシャ</t>
    </rPh>
    <rPh sb="10" eb="11">
      <t>スウ</t>
    </rPh>
    <rPh sb="12" eb="14">
      <t>オクガイ</t>
    </rPh>
    <rPh sb="14" eb="16">
      <t>コウコク</t>
    </rPh>
    <rPh sb="20" eb="22">
      <t>テイキョウ</t>
    </rPh>
    <rPh sb="27" eb="28">
      <t>ノゾ</t>
    </rPh>
    <rPh sb="31" eb="33">
      <t>アンブン</t>
    </rPh>
    <phoneticPr fontId="14"/>
  </si>
  <si>
    <t>　　屋外広告スペース提供サービス（不動産賃貸業）</t>
    <phoneticPr fontId="5"/>
  </si>
  <si>
    <t>屋外広告スペース提供サービスの従業者数で按分</t>
    <rPh sb="0" eb="2">
      <t>オクガイ</t>
    </rPh>
    <rPh sb="2" eb="4">
      <t>コウコク</t>
    </rPh>
    <rPh sb="8" eb="10">
      <t>テイキョウ</t>
    </rPh>
    <rPh sb="15" eb="18">
      <t>ジュウギョウシャ</t>
    </rPh>
    <rPh sb="18" eb="19">
      <t>スウ</t>
    </rPh>
    <rPh sb="20" eb="22">
      <t>アンブン</t>
    </rPh>
    <phoneticPr fontId="5"/>
  </si>
  <si>
    <t>H30年住宅・土地統計調査</t>
    <rPh sb="3" eb="4">
      <t>ネン</t>
    </rPh>
    <rPh sb="4" eb="6">
      <t>ジュウタク</t>
    </rPh>
    <rPh sb="7" eb="9">
      <t>トチ</t>
    </rPh>
    <rPh sb="9" eb="11">
      <t>トウケイ</t>
    </rPh>
    <rPh sb="11" eb="13">
      <t>チョウサ</t>
    </rPh>
    <phoneticPr fontId="14"/>
  </si>
  <si>
    <t>人口統計係又は総務省HP</t>
    <rPh sb="0" eb="2">
      <t>ジンコウ</t>
    </rPh>
    <rPh sb="2" eb="4">
      <t>トウケイ</t>
    </rPh>
    <rPh sb="4" eb="5">
      <t>カカリ</t>
    </rPh>
    <rPh sb="5" eb="6">
      <t>マタ</t>
    </rPh>
    <rPh sb="7" eb="10">
      <t>ソウムショウ</t>
    </rPh>
    <phoneticPr fontId="14"/>
  </si>
  <si>
    <t>住宅賃貸料ファイルにて推計。マニュアルどおり</t>
    <rPh sb="0" eb="2">
      <t>ジュウタク</t>
    </rPh>
    <rPh sb="2" eb="5">
      <t>チンタイリョウ</t>
    </rPh>
    <rPh sb="11" eb="13">
      <t>スイケイ</t>
    </rPh>
    <phoneticPr fontId="14"/>
  </si>
  <si>
    <t>R1,2旅客地域流動調査　府県相互間旅客輸送人員表</t>
    <rPh sb="4" eb="6">
      <t>リョカク</t>
    </rPh>
    <rPh sb="6" eb="8">
      <t>チイキ</t>
    </rPh>
    <rPh sb="8" eb="10">
      <t>リュウドウ</t>
    </rPh>
    <rPh sb="10" eb="12">
      <t>チョウサ</t>
    </rPh>
    <rPh sb="13" eb="15">
      <t>フケン</t>
    </rPh>
    <rPh sb="15" eb="18">
      <t>ソウゴカン</t>
    </rPh>
    <rPh sb="18" eb="20">
      <t>リョカク</t>
    </rPh>
    <rPh sb="20" eb="22">
      <t>ユソウ</t>
    </rPh>
    <rPh sb="22" eb="24">
      <t>ジンイン</t>
    </rPh>
    <rPh sb="24" eb="25">
      <t>ヒョウ</t>
    </rPh>
    <phoneticPr fontId="14"/>
  </si>
  <si>
    <t>発地　JR定期外人員の全国比で按分（暦年転換）。できるだけマニュアルに沿った方法になるよう検討したが、県別の路線距離といったデータの入手が難しいため前回方法踏襲。</t>
    <rPh sb="0" eb="1">
      <t>ハツ</t>
    </rPh>
    <rPh sb="1" eb="2">
      <t>チ</t>
    </rPh>
    <rPh sb="5" eb="7">
      <t>テイキ</t>
    </rPh>
    <rPh sb="7" eb="9">
      <t>ガイジン</t>
    </rPh>
    <rPh sb="9" eb="10">
      <t>イン</t>
    </rPh>
    <rPh sb="11" eb="14">
      <t>ゼンコクヒ</t>
    </rPh>
    <rPh sb="15" eb="17">
      <t>アンブン</t>
    </rPh>
    <rPh sb="18" eb="20">
      <t>レキネン</t>
    </rPh>
    <rPh sb="20" eb="22">
      <t>テンカン</t>
    </rPh>
    <rPh sb="35" eb="36">
      <t>ソ</t>
    </rPh>
    <rPh sb="38" eb="40">
      <t>ホウホウ</t>
    </rPh>
    <rPh sb="45" eb="47">
      <t>ケントウ</t>
    </rPh>
    <rPh sb="51" eb="53">
      <t>ケンベツ</t>
    </rPh>
    <rPh sb="54" eb="56">
      <t>ロセン</t>
    </rPh>
    <rPh sb="56" eb="58">
      <t>キョリ</t>
    </rPh>
    <rPh sb="66" eb="68">
      <t>ニュウシュ</t>
    </rPh>
    <rPh sb="69" eb="70">
      <t>ムズカ</t>
    </rPh>
    <rPh sb="74" eb="76">
      <t>ゼンカイ</t>
    </rPh>
    <rPh sb="76" eb="78">
      <t>ホウホウ</t>
    </rPh>
    <rPh sb="78" eb="80">
      <t>トウシュウ</t>
    </rPh>
    <phoneticPr fontId="14"/>
  </si>
  <si>
    <t>JR定期人員　前例踏襲</t>
    <rPh sb="2" eb="4">
      <t>テイキ</t>
    </rPh>
    <rPh sb="4" eb="6">
      <t>ジンイン</t>
    </rPh>
    <rPh sb="7" eb="9">
      <t>ゼンレイ</t>
    </rPh>
    <rPh sb="9" eb="11">
      <t>トウシュウ</t>
    </rPh>
    <phoneticPr fontId="14"/>
  </si>
  <si>
    <t>　旅客雑入（ＪＲ）</t>
    <rPh sb="4" eb="5">
      <t>ニュウ</t>
    </rPh>
    <phoneticPr fontId="14"/>
  </si>
  <si>
    <t>JR定期外人員　前例踏襲</t>
    <rPh sb="2" eb="4">
      <t>テイキ</t>
    </rPh>
    <rPh sb="4" eb="5">
      <t>ガイ</t>
    </rPh>
    <rPh sb="5" eb="7">
      <t>ジンイン</t>
    </rPh>
    <rPh sb="8" eb="10">
      <t>ゼンレイ</t>
    </rPh>
    <rPh sb="10" eb="12">
      <t>トウシュウ</t>
    </rPh>
    <phoneticPr fontId="14"/>
  </si>
  <si>
    <t>県統計書、県民経済計算</t>
    <rPh sb="0" eb="1">
      <t>ケン</t>
    </rPh>
    <rPh sb="1" eb="4">
      <t>トウケイショ</t>
    </rPh>
    <rPh sb="5" eb="7">
      <t>ケンミン</t>
    </rPh>
    <rPh sb="7" eb="9">
      <t>ケイザイ</t>
    </rPh>
    <rPh sb="9" eb="11">
      <t>ケイサン</t>
    </rPh>
    <phoneticPr fontId="14"/>
  </si>
  <si>
    <t>旅客運輸収入（定期・定期外）と運輸雑収の合計がCTだとマニュアルにあるので、暦年換算シートの値を直接リンク</t>
    <rPh sb="0" eb="2">
      <t>リョカク</t>
    </rPh>
    <rPh sb="2" eb="4">
      <t>ウンユ</t>
    </rPh>
    <rPh sb="4" eb="6">
      <t>シュウニュウ</t>
    </rPh>
    <rPh sb="7" eb="9">
      <t>テイキ</t>
    </rPh>
    <rPh sb="10" eb="12">
      <t>テイキ</t>
    </rPh>
    <rPh sb="12" eb="13">
      <t>ガイ</t>
    </rPh>
    <rPh sb="15" eb="17">
      <t>ウンユ</t>
    </rPh>
    <rPh sb="17" eb="18">
      <t>ザツ</t>
    </rPh>
    <rPh sb="18" eb="19">
      <t>オサム</t>
    </rPh>
    <rPh sb="20" eb="22">
      <t>ゴウケイ</t>
    </rPh>
    <rPh sb="38" eb="40">
      <t>レキネン</t>
    </rPh>
    <rPh sb="40" eb="42">
      <t>カンサン</t>
    </rPh>
    <rPh sb="46" eb="47">
      <t>アタイ</t>
    </rPh>
    <rPh sb="48" eb="50">
      <t>チョクセツ</t>
    </rPh>
    <phoneticPr fontId="14"/>
  </si>
  <si>
    <t>　旅客雑入（除ＪＲ）</t>
    <rPh sb="4" eb="5">
      <t>ニュウ</t>
    </rPh>
    <rPh sb="6" eb="7">
      <t>ジョ</t>
    </rPh>
    <phoneticPr fontId="14"/>
  </si>
  <si>
    <t>左記資料のＪＲ以外の定期・定期外の旅客人数按分</t>
    <rPh sb="0" eb="2">
      <t>サキ</t>
    </rPh>
    <rPh sb="2" eb="4">
      <t>シリョウ</t>
    </rPh>
    <rPh sb="7" eb="9">
      <t>イガイ</t>
    </rPh>
    <rPh sb="10" eb="12">
      <t>テイキ</t>
    </rPh>
    <rPh sb="13" eb="15">
      <t>テイキ</t>
    </rPh>
    <rPh sb="15" eb="16">
      <t>ガイ</t>
    </rPh>
    <rPh sb="17" eb="19">
      <t>リョカク</t>
    </rPh>
    <rPh sb="19" eb="21">
      <t>ニンズウ</t>
    </rPh>
    <rPh sb="21" eb="23">
      <t>アンブン</t>
    </rPh>
    <phoneticPr fontId="14"/>
  </si>
  <si>
    <t>R1,2鉄道輸送統計年報</t>
    <rPh sb="4" eb="6">
      <t>テツドウ</t>
    </rPh>
    <rPh sb="6" eb="8">
      <t>ユソウ</t>
    </rPh>
    <rPh sb="8" eb="10">
      <t>トウケイ</t>
    </rPh>
    <rPh sb="10" eb="12">
      <t>ネンポウ</t>
    </rPh>
    <phoneticPr fontId="14"/>
  </si>
  <si>
    <t>国土交通省ＨＰ</t>
    <rPh sb="0" eb="2">
      <t>コクド</t>
    </rPh>
    <rPh sb="2" eb="4">
      <t>コウツウ</t>
    </rPh>
    <rPh sb="4" eb="5">
      <t>ショウ</t>
    </rPh>
    <phoneticPr fontId="14"/>
  </si>
  <si>
    <t>暦年換算シートよりリンク</t>
    <rPh sb="0" eb="2">
      <t>レキネン</t>
    </rPh>
    <rPh sb="2" eb="4">
      <t>カンサン</t>
    </rPh>
    <phoneticPr fontId="14"/>
  </si>
  <si>
    <t>　交通広告スペース提供サービス</t>
    <phoneticPr fontId="5"/>
  </si>
  <si>
    <t>兵庫県統計書、県民経済計算</t>
    <rPh sb="0" eb="2">
      <t>ヒョウゴ</t>
    </rPh>
    <rPh sb="2" eb="3">
      <t>ケン</t>
    </rPh>
    <rPh sb="3" eb="6">
      <t>トウケイショ</t>
    </rPh>
    <rPh sb="7" eb="9">
      <t>ケンミン</t>
    </rPh>
    <rPh sb="9" eb="11">
      <t>ケイザイ</t>
    </rPh>
    <rPh sb="11" eb="13">
      <t>ケイサン</t>
    </rPh>
    <phoneticPr fontId="14"/>
  </si>
  <si>
    <t>国土交通省提供</t>
    <rPh sb="0" eb="2">
      <t>コクド</t>
    </rPh>
    <rPh sb="2" eb="5">
      <t>コウツウショウ</t>
    </rPh>
    <rPh sb="5" eb="7">
      <t>テイキョウ</t>
    </rPh>
    <phoneticPr fontId="14"/>
  </si>
  <si>
    <t>暦年換算シートの数値に阪急電鉄分を加えている。</t>
    <rPh sb="0" eb="2">
      <t>レキネン</t>
    </rPh>
    <rPh sb="2" eb="4">
      <t>カンサン</t>
    </rPh>
    <rPh sb="8" eb="10">
      <t>スウチ</t>
    </rPh>
    <rPh sb="11" eb="13">
      <t>ハンキュウ</t>
    </rPh>
    <rPh sb="13" eb="15">
      <t>デンテツ</t>
    </rPh>
    <rPh sb="15" eb="16">
      <t>ブン</t>
    </rPh>
    <rPh sb="17" eb="18">
      <t>クワ</t>
    </rPh>
    <phoneticPr fontId="14"/>
  </si>
  <si>
    <t>R1,2鉄道統計年報、貨物旅客地域流動調査</t>
    <rPh sb="4" eb="6">
      <t>テツドウ</t>
    </rPh>
    <rPh sb="6" eb="8">
      <t>トウケイ</t>
    </rPh>
    <rPh sb="8" eb="10">
      <t>ネンポウ</t>
    </rPh>
    <rPh sb="13" eb="15">
      <t>リョカク</t>
    </rPh>
    <phoneticPr fontId="14"/>
  </si>
  <si>
    <t>国土交通省提供</t>
  </si>
  <si>
    <t>　貨物雑入</t>
    <rPh sb="4" eb="5">
      <t>ニュウ</t>
    </rPh>
    <phoneticPr fontId="14"/>
  </si>
  <si>
    <t>旅客雑収にまとめて計上しているためゼロ</t>
    <rPh sb="0" eb="2">
      <t>リョカク</t>
    </rPh>
    <rPh sb="2" eb="3">
      <t>ザツ</t>
    </rPh>
    <rPh sb="3" eb="4">
      <t>オサム</t>
    </rPh>
    <rPh sb="9" eb="11">
      <t>ケイジョウ</t>
    </rPh>
    <phoneticPr fontId="14"/>
  </si>
  <si>
    <t>自動車輸送統計月報R2年1～12月計</t>
    <rPh sb="0" eb="3">
      <t>ジドウシャ</t>
    </rPh>
    <rPh sb="3" eb="5">
      <t>ユソウ</t>
    </rPh>
    <rPh sb="5" eb="7">
      <t>トウケイ</t>
    </rPh>
    <rPh sb="7" eb="9">
      <t>ゲッポウ</t>
    </rPh>
    <rPh sb="11" eb="12">
      <t>ネン</t>
    </rPh>
    <rPh sb="16" eb="17">
      <t>ガツ</t>
    </rPh>
    <rPh sb="17" eb="18">
      <t>ケイ</t>
    </rPh>
    <phoneticPr fontId="14"/>
  </si>
  <si>
    <t>情報係</t>
    <rPh sb="0" eb="2">
      <t>ジョウホウ</t>
    </rPh>
    <rPh sb="2" eb="3">
      <t>カカリ</t>
    </rPh>
    <phoneticPr fontId="14"/>
  </si>
  <si>
    <t>輸送人員で按分。マニュアルどおり</t>
    <rPh sb="0" eb="2">
      <t>ユソウ</t>
    </rPh>
    <rPh sb="2" eb="4">
      <t>ジンイン</t>
    </rPh>
    <rPh sb="5" eb="7">
      <t>アンブン</t>
    </rPh>
    <phoneticPr fontId="14"/>
  </si>
  <si>
    <t>17年表作成時に入手した16年度、17年度の資料「旅客自動車輸送指標」の「輸送人員」を1/4移動で活用した。（近畿運輸局に照会するも、同種のデータは既に作成されていないとのことだったため）→（R2)H16,17のデータ以降とれなくなっていることから、R2年表では経セン組替表第01表の「バス」の「1212　その他の道路旅客運送サービス」の従業者数で按分することとした。</t>
    <rPh sb="2" eb="3">
      <t>ネン</t>
    </rPh>
    <rPh sb="3" eb="6">
      <t>ヒョウサクセイ</t>
    </rPh>
    <rPh sb="6" eb="7">
      <t>ジ</t>
    </rPh>
    <rPh sb="8" eb="10">
      <t>ニュウシュ</t>
    </rPh>
    <rPh sb="14" eb="16">
      <t>ネンド</t>
    </rPh>
    <rPh sb="19" eb="21">
      <t>ネンド</t>
    </rPh>
    <rPh sb="22" eb="24">
      <t>シリョウ</t>
    </rPh>
    <rPh sb="25" eb="27">
      <t>リョキャク</t>
    </rPh>
    <rPh sb="27" eb="30">
      <t>ジドウシャ</t>
    </rPh>
    <rPh sb="30" eb="32">
      <t>ユソウ</t>
    </rPh>
    <rPh sb="32" eb="34">
      <t>シヒョウ</t>
    </rPh>
    <rPh sb="37" eb="39">
      <t>ユソウ</t>
    </rPh>
    <rPh sb="39" eb="41">
      <t>ジンイン</t>
    </rPh>
    <rPh sb="46" eb="48">
      <t>イドウ</t>
    </rPh>
    <rPh sb="49" eb="51">
      <t>カツヨウ</t>
    </rPh>
    <rPh sb="55" eb="57">
      <t>キンキ</t>
    </rPh>
    <rPh sb="57" eb="59">
      <t>ウンユ</t>
    </rPh>
    <rPh sb="59" eb="60">
      <t>キョク</t>
    </rPh>
    <rPh sb="61" eb="63">
      <t>ショウカイ</t>
    </rPh>
    <rPh sb="67" eb="69">
      <t>ドウシュ</t>
    </rPh>
    <rPh sb="74" eb="75">
      <t>スデ</t>
    </rPh>
    <rPh sb="76" eb="78">
      <t>サクセイ</t>
    </rPh>
    <rPh sb="109" eb="111">
      <t>イコウ</t>
    </rPh>
    <rPh sb="127" eb="128">
      <t>ネン</t>
    </rPh>
    <rPh sb="128" eb="129">
      <t>ヒョウ</t>
    </rPh>
    <rPh sb="131" eb="132">
      <t>ケイ</t>
    </rPh>
    <rPh sb="134" eb="136">
      <t>クミカエ</t>
    </rPh>
    <rPh sb="136" eb="137">
      <t>ヒョウ</t>
    </rPh>
    <rPh sb="137" eb="138">
      <t>ダイ</t>
    </rPh>
    <rPh sb="140" eb="141">
      <t>ヒョウ</t>
    </rPh>
    <rPh sb="155" eb="156">
      <t>タ</t>
    </rPh>
    <rPh sb="157" eb="159">
      <t>ドウロ</t>
    </rPh>
    <rPh sb="159" eb="161">
      <t>リョキャク</t>
    </rPh>
    <rPh sb="161" eb="163">
      <t>ウンソウ</t>
    </rPh>
    <rPh sb="169" eb="172">
      <t>ジュウギョウシャ</t>
    </rPh>
    <rPh sb="172" eb="173">
      <t>スウ</t>
    </rPh>
    <rPh sb="174" eb="176">
      <t>アンブン</t>
    </rPh>
    <phoneticPr fontId="14"/>
  </si>
  <si>
    <t>屋外広告スペース提供サービスの従業者数は県値０だが、売上高はあがっているため、売上高で按分した。</t>
    <rPh sb="0" eb="2">
      <t>オクガイ</t>
    </rPh>
    <rPh sb="2" eb="4">
      <t>コウコク</t>
    </rPh>
    <rPh sb="8" eb="10">
      <t>テイキョウ</t>
    </rPh>
    <rPh sb="15" eb="18">
      <t>ジュウギョウシャ</t>
    </rPh>
    <rPh sb="18" eb="19">
      <t>スウ</t>
    </rPh>
    <rPh sb="20" eb="21">
      <t>ケン</t>
    </rPh>
    <rPh sb="21" eb="22">
      <t>チ</t>
    </rPh>
    <rPh sb="26" eb="29">
      <t>ウリアゲダカ</t>
    </rPh>
    <rPh sb="39" eb="42">
      <t>ウリアゲダカ</t>
    </rPh>
    <rPh sb="43" eb="45">
      <t>アンブン</t>
    </rPh>
    <phoneticPr fontId="5"/>
  </si>
  <si>
    <t>分析係。資料室</t>
    <rPh sb="0" eb="2">
      <t>ブンセキ</t>
    </rPh>
    <rPh sb="2" eb="3">
      <t>カカリ</t>
    </rPh>
    <rPh sb="4" eb="7">
      <t>シリョウシツ</t>
    </rPh>
    <phoneticPr fontId="14"/>
  </si>
  <si>
    <t>　 ハイヤー・タクシー</t>
    <phoneticPr fontId="5"/>
  </si>
  <si>
    <t>輸送人員で按分。マニュアルどおり。自動車輸送統計では大都府県で県値がとれるが、いつまで取れるかわからない。貨物旅客地域流動調査からとることも要検討。</t>
    <rPh sb="0" eb="2">
      <t>ユソウ</t>
    </rPh>
    <rPh sb="2" eb="4">
      <t>ジンイン</t>
    </rPh>
    <rPh sb="5" eb="7">
      <t>アンブン</t>
    </rPh>
    <rPh sb="17" eb="20">
      <t>ジドウシャ</t>
    </rPh>
    <rPh sb="20" eb="22">
      <t>ユソウ</t>
    </rPh>
    <rPh sb="22" eb="24">
      <t>トウケイ</t>
    </rPh>
    <rPh sb="26" eb="27">
      <t>ダイ</t>
    </rPh>
    <rPh sb="27" eb="30">
      <t>トフケン</t>
    </rPh>
    <rPh sb="31" eb="32">
      <t>ケン</t>
    </rPh>
    <rPh sb="32" eb="33">
      <t>アタイ</t>
    </rPh>
    <rPh sb="43" eb="44">
      <t>ト</t>
    </rPh>
    <rPh sb="53" eb="55">
      <t>カモツ</t>
    </rPh>
    <rPh sb="55" eb="57">
      <t>リョカク</t>
    </rPh>
    <rPh sb="57" eb="59">
      <t>チイキ</t>
    </rPh>
    <rPh sb="59" eb="61">
      <t>リュウドウ</t>
    </rPh>
    <rPh sb="61" eb="63">
      <t>チョウサ</t>
    </rPh>
    <rPh sb="70" eb="71">
      <t>ヨウ</t>
    </rPh>
    <rPh sb="71" eb="73">
      <t>ケントウ</t>
    </rPh>
    <phoneticPr fontId="14"/>
  </si>
  <si>
    <t>R1自動車輸送統計年報</t>
    <rPh sb="2" eb="5">
      <t>ジドウシャ</t>
    </rPh>
    <rPh sb="5" eb="7">
      <t>ユソウ</t>
    </rPh>
    <rPh sb="7" eb="9">
      <t>トウケイ</t>
    </rPh>
    <rPh sb="9" eb="11">
      <t>ネンポウ</t>
    </rPh>
    <phoneticPr fontId="14"/>
  </si>
  <si>
    <t>輸送トン数で按分。マニュアルどおり
→R2年度から調査方法が変更になっていることから、国CTを左記資料のR2年度値で按分。（暦年転換せず。）</t>
    <rPh sb="0" eb="2">
      <t>ユソウ</t>
    </rPh>
    <rPh sb="4" eb="5">
      <t>スウ</t>
    </rPh>
    <rPh sb="6" eb="8">
      <t>アンブン</t>
    </rPh>
    <rPh sb="21" eb="23">
      <t>ネンド</t>
    </rPh>
    <rPh sb="25" eb="27">
      <t>チョウサ</t>
    </rPh>
    <rPh sb="27" eb="29">
      <t>ホウホウ</t>
    </rPh>
    <rPh sb="30" eb="32">
      <t>ヘンコウ</t>
    </rPh>
    <rPh sb="43" eb="44">
      <t>クニ</t>
    </rPh>
    <rPh sb="47" eb="49">
      <t>サキ</t>
    </rPh>
    <rPh sb="49" eb="51">
      <t>シリョウ</t>
    </rPh>
    <rPh sb="54" eb="56">
      <t>ネンド</t>
    </rPh>
    <rPh sb="56" eb="57">
      <t>チ</t>
    </rPh>
    <rPh sb="58" eb="60">
      <t>アンブン</t>
    </rPh>
    <rPh sb="62" eb="64">
      <t>レキネン</t>
    </rPh>
    <rPh sb="64" eb="66">
      <t>テンカン</t>
    </rPh>
    <phoneticPr fontId="14"/>
  </si>
  <si>
    <t>本部門を推計すると過大になるとの経産省の考え方に準じて推計しない。</t>
    <rPh sb="0" eb="2">
      <t>ホンブ</t>
    </rPh>
    <rPh sb="2" eb="3">
      <t>モン</t>
    </rPh>
    <rPh sb="4" eb="6">
      <t>スイケイ</t>
    </rPh>
    <rPh sb="9" eb="11">
      <t>カダイ</t>
    </rPh>
    <rPh sb="16" eb="19">
      <t>ケイサンショウ</t>
    </rPh>
    <rPh sb="20" eb="21">
      <t>カンガ</t>
    </rPh>
    <rPh sb="22" eb="23">
      <t>カタ</t>
    </rPh>
    <rPh sb="24" eb="25">
      <t>ジュン</t>
    </rPh>
    <rPh sb="27" eb="29">
      <t>スイケイ</t>
    </rPh>
    <phoneticPr fontId="14"/>
  </si>
  <si>
    <t>R3経済センサス活動調査公式集計</t>
    <phoneticPr fontId="5"/>
  </si>
  <si>
    <t>マニュアルにあるように経済セン公式集計の従業者数で按分。ただ、公表されているものは細分類の「外航海運業」止まりで、本CTで表章されているような細かい分類は見当たらない。仕方ないので全部同じ按分割合とした。</t>
    <rPh sb="15" eb="17">
      <t>コウシキ</t>
    </rPh>
    <rPh sb="17" eb="19">
      <t>シュウケイ</t>
    </rPh>
    <phoneticPr fontId="14"/>
  </si>
  <si>
    <t>事業所統計係</t>
    <rPh sb="0" eb="3">
      <t>ジギョウショ</t>
    </rPh>
    <rPh sb="3" eb="5">
      <t>トウケイ</t>
    </rPh>
    <rPh sb="5" eb="6">
      <t>カカリ</t>
    </rPh>
    <phoneticPr fontId="14"/>
  </si>
  <si>
    <t>R2港湾統計年報</t>
    <rPh sb="2" eb="4">
      <t>コウワン</t>
    </rPh>
    <rPh sb="4" eb="6">
      <t>トウケイ</t>
    </rPh>
    <rPh sb="6" eb="8">
      <t>ネンポウ</t>
    </rPh>
    <phoneticPr fontId="5"/>
  </si>
  <si>
    <t>内航　乗込人員で按分（H27年表では甲種港湾のみについての数値を使っているが、その理由が不明なため、R2年表ではH23年表と同様に甲種＋乙種の総計の数値を使う。）</t>
    <rPh sb="0" eb="2">
      <t>ナイコウ</t>
    </rPh>
    <rPh sb="3" eb="4">
      <t>ジョウ</t>
    </rPh>
    <rPh sb="4" eb="5">
      <t>コミ</t>
    </rPh>
    <rPh sb="5" eb="7">
      <t>ジンイン</t>
    </rPh>
    <rPh sb="8" eb="10">
      <t>アンブン</t>
    </rPh>
    <rPh sb="14" eb="15">
      <t>ネン</t>
    </rPh>
    <rPh sb="15" eb="16">
      <t>ヒョウ</t>
    </rPh>
    <rPh sb="18" eb="20">
      <t>コウシュ</t>
    </rPh>
    <rPh sb="20" eb="22">
      <t>コウワン</t>
    </rPh>
    <rPh sb="29" eb="31">
      <t>スウチ</t>
    </rPh>
    <rPh sb="32" eb="33">
      <t>ツカ</t>
    </rPh>
    <rPh sb="41" eb="43">
      <t>リユウ</t>
    </rPh>
    <rPh sb="44" eb="46">
      <t>フメイ</t>
    </rPh>
    <rPh sb="52" eb="53">
      <t>ネン</t>
    </rPh>
    <rPh sb="53" eb="54">
      <t>ヒョウ</t>
    </rPh>
    <rPh sb="59" eb="60">
      <t>ネン</t>
    </rPh>
    <rPh sb="60" eb="61">
      <t>ヒョウ</t>
    </rPh>
    <rPh sb="62" eb="64">
      <t>ドウヨウ</t>
    </rPh>
    <rPh sb="65" eb="67">
      <t>コウシュ</t>
    </rPh>
    <rPh sb="68" eb="70">
      <t>オツシュ</t>
    </rPh>
    <rPh sb="71" eb="73">
      <t>ソウケイ</t>
    </rPh>
    <rPh sb="74" eb="76">
      <t>スウチ</t>
    </rPh>
    <rPh sb="77" eb="78">
      <t>ツカ</t>
    </rPh>
    <phoneticPr fontId="14"/>
  </si>
  <si>
    <t>R2港湾統計年報</t>
    <phoneticPr fontId="5"/>
  </si>
  <si>
    <t>海上出入貨物トン数（一般）の合計で按分。マニュアルには海上貨物トン数を使うよう記載されているので、輸出入移出入の合計値を使った。</t>
    <rPh sb="0" eb="2">
      <t>カイジョウ</t>
    </rPh>
    <rPh sb="2" eb="4">
      <t>デイ</t>
    </rPh>
    <rPh sb="4" eb="6">
      <t>カモツ</t>
    </rPh>
    <rPh sb="8" eb="9">
      <t>スウ</t>
    </rPh>
    <rPh sb="10" eb="12">
      <t>イッパン</t>
    </rPh>
    <rPh sb="14" eb="16">
      <t>ゴウケイ</t>
    </rPh>
    <rPh sb="17" eb="19">
      <t>アンブン</t>
    </rPh>
    <rPh sb="27" eb="29">
      <t>カイジョウ</t>
    </rPh>
    <rPh sb="29" eb="31">
      <t>カモツ</t>
    </rPh>
    <rPh sb="33" eb="34">
      <t>スウ</t>
    </rPh>
    <rPh sb="35" eb="36">
      <t>ツカ</t>
    </rPh>
    <rPh sb="39" eb="41">
      <t>キサイ</t>
    </rPh>
    <rPh sb="49" eb="52">
      <t>ユシュツニュウ</t>
    </rPh>
    <rPh sb="52" eb="54">
      <t>イシュツ</t>
    </rPh>
    <rPh sb="54" eb="55">
      <t>ニュウ</t>
    </rPh>
    <rPh sb="56" eb="58">
      <t>ゴウケイ</t>
    </rPh>
    <rPh sb="58" eb="59">
      <t>チ</t>
    </rPh>
    <rPh sb="60" eb="61">
      <t>ツカ</t>
    </rPh>
    <phoneticPr fontId="14"/>
  </si>
  <si>
    <t>海上出入貨物トン数（自動車航送）の合計で按分。</t>
    <rPh sb="0" eb="2">
      <t>カイジョウ</t>
    </rPh>
    <rPh sb="2" eb="4">
      <t>デイ</t>
    </rPh>
    <rPh sb="4" eb="6">
      <t>カモツ</t>
    </rPh>
    <rPh sb="8" eb="9">
      <t>スウ</t>
    </rPh>
    <rPh sb="10" eb="12">
      <t>ジドウ</t>
    </rPh>
    <rPh sb="12" eb="13">
      <t>シャ</t>
    </rPh>
    <rPh sb="13" eb="15">
      <t>コウソウ</t>
    </rPh>
    <rPh sb="17" eb="19">
      <t>ゴウケイ</t>
    </rPh>
    <rPh sb="20" eb="22">
      <t>アンブン</t>
    </rPh>
    <phoneticPr fontId="14"/>
  </si>
  <si>
    <t>海上出入貨物トン数（一般）の合計で按分。</t>
    <rPh sb="0" eb="2">
      <t>カイジョウ</t>
    </rPh>
    <rPh sb="2" eb="4">
      <t>デイ</t>
    </rPh>
    <rPh sb="4" eb="6">
      <t>カモツ</t>
    </rPh>
    <rPh sb="8" eb="9">
      <t>スウ</t>
    </rPh>
    <rPh sb="10" eb="12">
      <t>イッパン</t>
    </rPh>
    <rPh sb="14" eb="16">
      <t>ゴウケイ</t>
    </rPh>
    <rPh sb="17" eb="19">
      <t>アンブン</t>
    </rPh>
    <phoneticPr fontId="14"/>
  </si>
  <si>
    <t>国交省HP「離島振興対策実施地域一覧」</t>
    <rPh sb="0" eb="3">
      <t>コッコウショウ</t>
    </rPh>
    <rPh sb="6" eb="8">
      <t>リトウ</t>
    </rPh>
    <rPh sb="8" eb="10">
      <t>シンコウ</t>
    </rPh>
    <rPh sb="10" eb="12">
      <t>タイサク</t>
    </rPh>
    <rPh sb="12" eb="14">
      <t>ジッシ</t>
    </rPh>
    <rPh sb="14" eb="16">
      <t>チイキ</t>
    </rPh>
    <rPh sb="16" eb="18">
      <t>イチラン</t>
    </rPh>
    <phoneticPr fontId="14"/>
  </si>
  <si>
    <t>人口で按分</t>
    <rPh sb="0" eb="2">
      <t>ジンコウ</t>
    </rPh>
    <rPh sb="3" eb="5">
      <t>アンブン</t>
    </rPh>
    <phoneticPr fontId="14"/>
  </si>
  <si>
    <t>R2港湾統計年報</t>
    <rPh sb="2" eb="4">
      <t>コウワン</t>
    </rPh>
    <rPh sb="4" eb="6">
      <t>トウケイ</t>
    </rPh>
    <rPh sb="6" eb="8">
      <t>ネンポウ</t>
    </rPh>
    <phoneticPr fontId="14"/>
  </si>
  <si>
    <t>海上出入貨物トン数一般（輸出）で按分</t>
    <rPh sb="0" eb="2">
      <t>カイジョウ</t>
    </rPh>
    <rPh sb="2" eb="4">
      <t>デイ</t>
    </rPh>
    <rPh sb="4" eb="6">
      <t>カモツ</t>
    </rPh>
    <rPh sb="8" eb="9">
      <t>スウ</t>
    </rPh>
    <rPh sb="9" eb="11">
      <t>イッパン</t>
    </rPh>
    <rPh sb="12" eb="14">
      <t>ユシュツ</t>
    </rPh>
    <rPh sb="16" eb="18">
      <t>アンブン</t>
    </rPh>
    <phoneticPr fontId="14"/>
  </si>
  <si>
    <t>海上出入貨物トン数一般（輸入）で按分</t>
    <rPh sb="0" eb="2">
      <t>カイジョウ</t>
    </rPh>
    <rPh sb="2" eb="4">
      <t>デイ</t>
    </rPh>
    <rPh sb="4" eb="6">
      <t>カモツ</t>
    </rPh>
    <rPh sb="8" eb="9">
      <t>スウ</t>
    </rPh>
    <rPh sb="9" eb="11">
      <t>イッパン</t>
    </rPh>
    <rPh sb="12" eb="14">
      <t>ユニュウ</t>
    </rPh>
    <rPh sb="16" eb="18">
      <t>アンブン</t>
    </rPh>
    <phoneticPr fontId="14"/>
  </si>
  <si>
    <t>海上出入貨物トン数一般（移出）で按分</t>
    <rPh sb="0" eb="2">
      <t>カイジョウ</t>
    </rPh>
    <rPh sb="2" eb="4">
      <t>デイ</t>
    </rPh>
    <rPh sb="4" eb="6">
      <t>カモツ</t>
    </rPh>
    <rPh sb="8" eb="9">
      <t>スウ</t>
    </rPh>
    <rPh sb="9" eb="11">
      <t>イッパン</t>
    </rPh>
    <rPh sb="12" eb="14">
      <t>イシュツ</t>
    </rPh>
    <rPh sb="16" eb="18">
      <t>アンブン</t>
    </rPh>
    <phoneticPr fontId="14"/>
  </si>
  <si>
    <t>海上出入貨物トン数一般（移入）で按分</t>
    <rPh sb="0" eb="2">
      <t>カイジョウ</t>
    </rPh>
    <rPh sb="2" eb="4">
      <t>デイ</t>
    </rPh>
    <rPh sb="4" eb="6">
      <t>カモツ</t>
    </rPh>
    <rPh sb="8" eb="9">
      <t>スウ</t>
    </rPh>
    <rPh sb="9" eb="11">
      <t>イッパン</t>
    </rPh>
    <rPh sb="12" eb="14">
      <t>イニュウ</t>
    </rPh>
    <rPh sb="16" eb="18">
      <t>アンブン</t>
    </rPh>
    <phoneticPr fontId="14"/>
  </si>
  <si>
    <t>近畿運輸局業務要覧、近畿運輸局照会</t>
    <rPh sb="0" eb="2">
      <t>キンキ</t>
    </rPh>
    <rPh sb="2" eb="4">
      <t>ウンユ</t>
    </rPh>
    <rPh sb="4" eb="5">
      <t>キョク</t>
    </rPh>
    <rPh sb="5" eb="7">
      <t>ギョウム</t>
    </rPh>
    <rPh sb="7" eb="9">
      <t>ヨウラン</t>
    </rPh>
    <rPh sb="10" eb="12">
      <t>キンキ</t>
    </rPh>
    <rPh sb="12" eb="15">
      <t>ウンユキョク</t>
    </rPh>
    <rPh sb="15" eb="17">
      <t>ショウカイ</t>
    </rPh>
    <phoneticPr fontId="14"/>
  </si>
  <si>
    <t>8-20はしけ運送実績、R2年度全国値について近畿運輸局から入手（年度値で按分した）</t>
    <rPh sb="7" eb="9">
      <t>ウンソウ</t>
    </rPh>
    <rPh sb="9" eb="11">
      <t>ジッセキ</t>
    </rPh>
    <rPh sb="14" eb="16">
      <t>ネンド</t>
    </rPh>
    <rPh sb="16" eb="18">
      <t>ゼンコク</t>
    </rPh>
    <rPh sb="18" eb="19">
      <t>チ</t>
    </rPh>
    <rPh sb="23" eb="25">
      <t>キンキ</t>
    </rPh>
    <rPh sb="25" eb="28">
      <t>ウンユキョク</t>
    </rPh>
    <rPh sb="30" eb="32">
      <t>ニュウシュ</t>
    </rPh>
    <rPh sb="33" eb="35">
      <t>ネンド</t>
    </rPh>
    <rPh sb="35" eb="36">
      <t>チ</t>
    </rPh>
    <rPh sb="37" eb="39">
      <t>アンブン</t>
    </rPh>
    <phoneticPr fontId="14"/>
  </si>
  <si>
    <t>近畿運輸局業務要覧</t>
    <rPh sb="0" eb="2">
      <t>キンキ</t>
    </rPh>
    <rPh sb="2" eb="4">
      <t>ウンユ</t>
    </rPh>
    <rPh sb="4" eb="5">
      <t>キョク</t>
    </rPh>
    <rPh sb="5" eb="7">
      <t>ギョウム</t>
    </rPh>
    <rPh sb="7" eb="9">
      <t>ヨウラン</t>
    </rPh>
    <phoneticPr fontId="14"/>
  </si>
  <si>
    <t>8-22いかだ運送実績から。兵庫県分ゼロ。</t>
    <rPh sb="7" eb="9">
      <t>ウンソウ</t>
    </rPh>
    <rPh sb="9" eb="11">
      <t>ジッセキ</t>
    </rPh>
    <rPh sb="14" eb="16">
      <t>ヒョウゴ</t>
    </rPh>
    <rPh sb="16" eb="17">
      <t>ケン</t>
    </rPh>
    <rPh sb="17" eb="18">
      <t>ブン</t>
    </rPh>
    <phoneticPr fontId="14"/>
  </si>
  <si>
    <t>国交省HP「空港管理状況」R2（暦年）空港別順位表
https://www.mlit.go.jp/koku/15_bf_000185.html</t>
    <rPh sb="0" eb="3">
      <t>コッコウショウ</t>
    </rPh>
    <rPh sb="6" eb="8">
      <t>クウコウ</t>
    </rPh>
    <rPh sb="8" eb="10">
      <t>カンリ</t>
    </rPh>
    <rPh sb="10" eb="12">
      <t>ジョウキョウ</t>
    </rPh>
    <rPh sb="16" eb="18">
      <t>レキネン</t>
    </rPh>
    <rPh sb="19" eb="21">
      <t>クウコウ</t>
    </rPh>
    <rPh sb="21" eb="22">
      <t>ベツ</t>
    </rPh>
    <rPh sb="22" eb="25">
      <t>ジュンイヒョウ</t>
    </rPh>
    <phoneticPr fontId="5"/>
  </si>
  <si>
    <t>大阪空港の国際乗降客数・国際貨物取扱量ゼロ。神戸空港、但馬空港は国内線のためゼロ。
→R2では大阪空港・但馬空港は国際線ゼロだが、神戸空港には国際線離着陸があるため、左記資料における国際線の離着陸数の全国比で按分することにする。</t>
    <rPh sb="0" eb="2">
      <t>オオサカ</t>
    </rPh>
    <rPh sb="2" eb="4">
      <t>クウコウ</t>
    </rPh>
    <rPh sb="5" eb="7">
      <t>コクサイ</t>
    </rPh>
    <rPh sb="7" eb="9">
      <t>ジョウコウ</t>
    </rPh>
    <rPh sb="9" eb="11">
      <t>キャクスウ</t>
    </rPh>
    <rPh sb="12" eb="14">
      <t>コクサイ</t>
    </rPh>
    <rPh sb="14" eb="16">
      <t>カモツ</t>
    </rPh>
    <rPh sb="16" eb="19">
      <t>トリアツカイリョウ</t>
    </rPh>
    <rPh sb="22" eb="24">
      <t>コウベ</t>
    </rPh>
    <rPh sb="24" eb="26">
      <t>クウコウ</t>
    </rPh>
    <rPh sb="27" eb="29">
      <t>タジマ</t>
    </rPh>
    <rPh sb="29" eb="31">
      <t>クウコウ</t>
    </rPh>
    <rPh sb="32" eb="35">
      <t>コクナイセン</t>
    </rPh>
    <rPh sb="47" eb="49">
      <t>オオサカ</t>
    </rPh>
    <rPh sb="49" eb="51">
      <t>クウコウ</t>
    </rPh>
    <rPh sb="52" eb="54">
      <t>タジマ</t>
    </rPh>
    <rPh sb="54" eb="56">
      <t>クウコウ</t>
    </rPh>
    <rPh sb="57" eb="60">
      <t>コクサイセン</t>
    </rPh>
    <rPh sb="65" eb="67">
      <t>コウベ</t>
    </rPh>
    <rPh sb="67" eb="69">
      <t>クウコウ</t>
    </rPh>
    <rPh sb="71" eb="73">
      <t>コクサイ</t>
    </rPh>
    <rPh sb="73" eb="74">
      <t>セン</t>
    </rPh>
    <rPh sb="74" eb="77">
      <t>リチャクリク</t>
    </rPh>
    <rPh sb="83" eb="85">
      <t>サキ</t>
    </rPh>
    <rPh sb="85" eb="87">
      <t>シリョウ</t>
    </rPh>
    <rPh sb="91" eb="93">
      <t>コクサイ</t>
    </rPh>
    <rPh sb="93" eb="94">
      <t>セン</t>
    </rPh>
    <rPh sb="95" eb="98">
      <t>リチャクリク</t>
    </rPh>
    <rPh sb="98" eb="99">
      <t>スウ</t>
    </rPh>
    <rPh sb="100" eb="103">
      <t>ゼンコクヒ</t>
    </rPh>
    <rPh sb="104" eb="106">
      <t>アンブン</t>
    </rPh>
    <phoneticPr fontId="14"/>
  </si>
  <si>
    <t>R2航空輸送統計年報</t>
    <phoneticPr fontId="14"/>
  </si>
  <si>
    <t>議会図書館</t>
    <rPh sb="0" eb="2">
      <t>ギカイ</t>
    </rPh>
    <rPh sb="2" eb="5">
      <t>トショカン</t>
    </rPh>
    <phoneticPr fontId="14"/>
  </si>
  <si>
    <t>マニュアルどおり。航空運輸ファイルで按分指標を推計</t>
    <rPh sb="9" eb="11">
      <t>コウクウ</t>
    </rPh>
    <rPh sb="11" eb="13">
      <t>ウンユ</t>
    </rPh>
    <rPh sb="18" eb="20">
      <t>アンブン</t>
    </rPh>
    <rPh sb="20" eb="22">
      <t>シヒョウ</t>
    </rPh>
    <rPh sb="23" eb="25">
      <t>スイケイ</t>
    </rPh>
    <phoneticPr fontId="14"/>
  </si>
  <si>
    <t>マニュアルどおり。別ファイルで按分指標を推計</t>
    <rPh sb="9" eb="10">
      <t>ベツ</t>
    </rPh>
    <rPh sb="15" eb="17">
      <t>アンブン</t>
    </rPh>
    <rPh sb="17" eb="19">
      <t>シヒョウ</t>
    </rPh>
    <rPh sb="20" eb="22">
      <t>スイケイ</t>
    </rPh>
    <phoneticPr fontId="14"/>
  </si>
  <si>
    <t>マニュアルに推計方法の記載がないので、p75にあるように売上高で按分しようとしたところ、経セン組替表にそもそも兵庫県に本項目なし（全国の方にはある）。公式集計の方にもやはり従業者数が入っていないので県値はなし。よってゼロ→R2年表では、経セン組替表に売上高があがっているため、売上高で按分した。</t>
    <rPh sb="6" eb="8">
      <t>スイケイ</t>
    </rPh>
    <rPh sb="8" eb="10">
      <t>ホウホウ</t>
    </rPh>
    <rPh sb="11" eb="13">
      <t>キサイ</t>
    </rPh>
    <rPh sb="28" eb="30">
      <t>ウリアゲ</t>
    </rPh>
    <rPh sb="30" eb="31">
      <t>ダカ</t>
    </rPh>
    <rPh sb="32" eb="34">
      <t>アンブン</t>
    </rPh>
    <rPh sb="44" eb="45">
      <t>ケイ</t>
    </rPh>
    <rPh sb="47" eb="49">
      <t>クミカエ</t>
    </rPh>
    <rPh sb="49" eb="50">
      <t>ヒョウ</t>
    </rPh>
    <rPh sb="55" eb="58">
      <t>ヒョウゴケン</t>
    </rPh>
    <rPh sb="59" eb="60">
      <t>ホン</t>
    </rPh>
    <rPh sb="60" eb="62">
      <t>コウモク</t>
    </rPh>
    <rPh sb="65" eb="67">
      <t>ゼンコク</t>
    </rPh>
    <rPh sb="68" eb="69">
      <t>ホウ</t>
    </rPh>
    <rPh sb="75" eb="77">
      <t>コウシキ</t>
    </rPh>
    <rPh sb="77" eb="78">
      <t>シュウ</t>
    </rPh>
    <rPh sb="78" eb="79">
      <t>ケイ</t>
    </rPh>
    <rPh sb="80" eb="81">
      <t>ホウ</t>
    </rPh>
    <rPh sb="86" eb="87">
      <t>ジュウ</t>
    </rPh>
    <rPh sb="87" eb="90">
      <t>ギョウシャスウ</t>
    </rPh>
    <rPh sb="91" eb="92">
      <t>ハイ</t>
    </rPh>
    <rPh sb="99" eb="100">
      <t>ケン</t>
    </rPh>
    <rPh sb="100" eb="101">
      <t>チ</t>
    </rPh>
    <rPh sb="113" eb="114">
      <t>ネン</t>
    </rPh>
    <rPh sb="114" eb="115">
      <t>ヒョウ</t>
    </rPh>
    <rPh sb="118" eb="119">
      <t>ケイ</t>
    </rPh>
    <rPh sb="121" eb="123">
      <t>クミカエ</t>
    </rPh>
    <rPh sb="123" eb="124">
      <t>ヒョウ</t>
    </rPh>
    <rPh sb="125" eb="128">
      <t>ウリアゲダカ</t>
    </rPh>
    <rPh sb="138" eb="141">
      <t>ウリアゲダカ</t>
    </rPh>
    <rPh sb="142" eb="144">
      <t>アンブン</t>
    </rPh>
    <phoneticPr fontId="14"/>
  </si>
  <si>
    <t>R3経済センサス活動調査　公式集計</t>
    <phoneticPr fontId="5"/>
  </si>
  <si>
    <t>マニュアルにあるとおり、経セン公式集計の従業者数で按分。基本要綱P186に日本標準産業分類の444集配利用運送業と482貨物運送取扱業が該当すると記載されていが、利用運送・運送取次に区分できないため合計値で按分した。</t>
    <rPh sb="20" eb="21">
      <t>ジュウ</t>
    </rPh>
    <rPh sb="21" eb="24">
      <t>ギョウシャスウ</t>
    </rPh>
    <rPh sb="25" eb="27">
      <t>アンブン</t>
    </rPh>
    <rPh sb="81" eb="83">
      <t>リヨウ</t>
    </rPh>
    <rPh sb="83" eb="85">
      <t>ウンソウ</t>
    </rPh>
    <rPh sb="86" eb="88">
      <t>ウンソウ</t>
    </rPh>
    <rPh sb="88" eb="90">
      <t>トリツ</t>
    </rPh>
    <rPh sb="91" eb="93">
      <t>クブン</t>
    </rPh>
    <rPh sb="99" eb="101">
      <t>ゴウケイ</t>
    </rPh>
    <rPh sb="101" eb="102">
      <t>チ</t>
    </rPh>
    <rPh sb="103" eb="105">
      <t>アンブン</t>
    </rPh>
    <phoneticPr fontId="14"/>
  </si>
  <si>
    <t>倉庫統計季報</t>
    <rPh sb="0" eb="2">
      <t>ソウコ</t>
    </rPh>
    <rPh sb="2" eb="4">
      <t>トウケイ</t>
    </rPh>
    <rPh sb="4" eb="6">
      <t>キホウ</t>
    </rPh>
    <phoneticPr fontId="14"/>
  </si>
  <si>
    <t>統計情報係</t>
    <rPh sb="0" eb="2">
      <t>トウケイ</t>
    </rPh>
    <rPh sb="2" eb="4">
      <t>ジョウホウ</t>
    </rPh>
    <rPh sb="4" eb="5">
      <t>カカリ</t>
    </rPh>
    <phoneticPr fontId="14"/>
  </si>
  <si>
    <t>入庫トン数を使うのは前回表のとおり。なお、倉庫統計の普通倉庫には「貯蔵槽倉庫」という分類があるが、要綱や国交省提示の推計方法の中の定義には、これが出てこないので、これを除いた１～３類倉庫・危険品倉庫・野積倉庫の合計を取った。
→R2年国要綱を確認すると、「5771-01倉庫」の品目例示で「普通倉庫業（野積倉庫、サイロ倉庫、タンク倉庫、危険品倉庫、トランクルームを含む。）」と記載がある。国交省HPによると、「貯蔵槽倉庫」とは、「サイロやタンクがこれにあたる」とあるので、R2年表では「貯蔵槽倉庫」も普通倉庫に入れて集計する。なお、e-statのR2年産業連関構造調査（運輸関連事業投入調査）の結果でも、「普通倉庫」の集計に「貯蔵倉庫」が含まれている。</t>
    <rPh sb="0" eb="2">
      <t>ニュウコ</t>
    </rPh>
    <rPh sb="4" eb="5">
      <t>スウ</t>
    </rPh>
    <rPh sb="6" eb="7">
      <t>ツカ</t>
    </rPh>
    <rPh sb="10" eb="12">
      <t>ゼンカイ</t>
    </rPh>
    <rPh sb="12" eb="13">
      <t>ヒョウ</t>
    </rPh>
    <rPh sb="21" eb="23">
      <t>ソウコ</t>
    </rPh>
    <rPh sb="23" eb="25">
      <t>トウケイ</t>
    </rPh>
    <rPh sb="26" eb="28">
      <t>フツウ</t>
    </rPh>
    <rPh sb="28" eb="30">
      <t>ソウコ</t>
    </rPh>
    <rPh sb="33" eb="35">
      <t>チョゾウ</t>
    </rPh>
    <rPh sb="35" eb="36">
      <t>ソウ</t>
    </rPh>
    <rPh sb="36" eb="38">
      <t>ソウコ</t>
    </rPh>
    <rPh sb="42" eb="44">
      <t>ブンルイ</t>
    </rPh>
    <rPh sb="49" eb="51">
      <t>ヨウコウ</t>
    </rPh>
    <rPh sb="52" eb="55">
      <t>コッコウショウ</t>
    </rPh>
    <rPh sb="55" eb="57">
      <t>テイジ</t>
    </rPh>
    <rPh sb="58" eb="60">
      <t>スイケイ</t>
    </rPh>
    <rPh sb="60" eb="62">
      <t>ホウホウ</t>
    </rPh>
    <rPh sb="63" eb="64">
      <t>ナカ</t>
    </rPh>
    <rPh sb="65" eb="67">
      <t>テイギ</t>
    </rPh>
    <rPh sb="73" eb="74">
      <t>デ</t>
    </rPh>
    <rPh sb="84" eb="85">
      <t>ノゾ</t>
    </rPh>
    <rPh sb="90" eb="91">
      <t>ルイ</t>
    </rPh>
    <rPh sb="91" eb="93">
      <t>ソウコ</t>
    </rPh>
    <rPh sb="94" eb="96">
      <t>キケン</t>
    </rPh>
    <rPh sb="96" eb="97">
      <t>ヒン</t>
    </rPh>
    <rPh sb="97" eb="99">
      <t>ソウコ</t>
    </rPh>
    <rPh sb="116" eb="117">
      <t>ネン</t>
    </rPh>
    <rPh sb="117" eb="118">
      <t>クニ</t>
    </rPh>
    <rPh sb="118" eb="120">
      <t>ヨウコウ</t>
    </rPh>
    <rPh sb="121" eb="123">
      <t>カクニン</t>
    </rPh>
    <rPh sb="135" eb="137">
      <t>ソウコ</t>
    </rPh>
    <rPh sb="139" eb="141">
      <t>ヒンモク</t>
    </rPh>
    <rPh sb="141" eb="143">
      <t>レイジ</t>
    </rPh>
    <rPh sb="145" eb="147">
      <t>フツウ</t>
    </rPh>
    <rPh sb="147" eb="150">
      <t>ソウコギョウ</t>
    </rPh>
    <rPh sb="151" eb="153">
      <t>ノヅ</t>
    </rPh>
    <rPh sb="153" eb="155">
      <t>ソウコ</t>
    </rPh>
    <rPh sb="159" eb="161">
      <t>ソウコ</t>
    </rPh>
    <rPh sb="165" eb="167">
      <t>ソウコ</t>
    </rPh>
    <rPh sb="168" eb="171">
      <t>キケンヒン</t>
    </rPh>
    <rPh sb="171" eb="173">
      <t>ソウコ</t>
    </rPh>
    <rPh sb="182" eb="183">
      <t>フク</t>
    </rPh>
    <rPh sb="188" eb="190">
      <t>キサイ</t>
    </rPh>
    <rPh sb="194" eb="197">
      <t>コッコウショウ</t>
    </rPh>
    <rPh sb="205" eb="208">
      <t>チョゾウソウ</t>
    </rPh>
    <rPh sb="208" eb="210">
      <t>ソウコ</t>
    </rPh>
    <rPh sb="238" eb="239">
      <t>ネン</t>
    </rPh>
    <rPh sb="239" eb="240">
      <t>ヒョウ</t>
    </rPh>
    <rPh sb="243" eb="246">
      <t>チョゾウソウ</t>
    </rPh>
    <rPh sb="246" eb="248">
      <t>ソウコ</t>
    </rPh>
    <rPh sb="250" eb="252">
      <t>フツウ</t>
    </rPh>
    <rPh sb="252" eb="254">
      <t>ソウコ</t>
    </rPh>
    <rPh sb="255" eb="256">
      <t>イ</t>
    </rPh>
    <rPh sb="258" eb="260">
      <t>シュウケイ</t>
    </rPh>
    <rPh sb="275" eb="276">
      <t>ネン</t>
    </rPh>
    <rPh sb="276" eb="278">
      <t>サンギョウ</t>
    </rPh>
    <rPh sb="278" eb="280">
      <t>レンカン</t>
    </rPh>
    <rPh sb="280" eb="282">
      <t>コウゾウ</t>
    </rPh>
    <rPh sb="282" eb="284">
      <t>チョウサ</t>
    </rPh>
    <rPh sb="285" eb="287">
      <t>ウンユ</t>
    </rPh>
    <rPh sb="287" eb="289">
      <t>カンレン</t>
    </rPh>
    <rPh sb="289" eb="291">
      <t>ジギョウ</t>
    </rPh>
    <rPh sb="291" eb="293">
      <t>トウニュウ</t>
    </rPh>
    <rPh sb="293" eb="295">
      <t>チョウサ</t>
    </rPh>
    <rPh sb="297" eb="299">
      <t>ケッカ</t>
    </rPh>
    <rPh sb="303" eb="305">
      <t>フツウ</t>
    </rPh>
    <rPh sb="305" eb="307">
      <t>ソウコ</t>
    </rPh>
    <rPh sb="309" eb="311">
      <t>シュウケイ</t>
    </rPh>
    <rPh sb="313" eb="315">
      <t>チョゾウ</t>
    </rPh>
    <rPh sb="315" eb="317">
      <t>ソウコ</t>
    </rPh>
    <rPh sb="319" eb="320">
      <t>フク</t>
    </rPh>
    <phoneticPr fontId="14"/>
  </si>
  <si>
    <t>普通倉庫に準じる。</t>
    <rPh sb="0" eb="2">
      <t>フツウ</t>
    </rPh>
    <rPh sb="2" eb="4">
      <t>ソウコ</t>
    </rPh>
    <rPh sb="5" eb="6">
      <t>ジュン</t>
    </rPh>
    <phoneticPr fontId="14"/>
  </si>
  <si>
    <t>　　　　　〃　　　　　。　なお県値はゼロ。</t>
    <rPh sb="15" eb="16">
      <t>ケン</t>
    </rPh>
    <rPh sb="16" eb="17">
      <t>チ</t>
    </rPh>
    <phoneticPr fontId="14"/>
  </si>
  <si>
    <t>R2年度総合農協統計表</t>
    <rPh sb="2" eb="4">
      <t>ネンド</t>
    </rPh>
    <rPh sb="4" eb="6">
      <t>ソウゴウ</t>
    </rPh>
    <rPh sb="6" eb="8">
      <t>ノウキョウ</t>
    </rPh>
    <rPh sb="8" eb="11">
      <t>トウケイヒョウ</t>
    </rPh>
    <phoneticPr fontId="14"/>
  </si>
  <si>
    <t>農林水産部農林経済課農協指導係</t>
    <rPh sb="0" eb="2">
      <t>ノウリン</t>
    </rPh>
    <rPh sb="2" eb="4">
      <t>スイサン</t>
    </rPh>
    <rPh sb="4" eb="5">
      <t>ブ</t>
    </rPh>
    <rPh sb="5" eb="7">
      <t>ノウリン</t>
    </rPh>
    <rPh sb="7" eb="9">
      <t>ケイザイ</t>
    </rPh>
    <rPh sb="9" eb="10">
      <t>カ</t>
    </rPh>
    <rPh sb="10" eb="12">
      <t>ノウキョウ</t>
    </rPh>
    <rPh sb="12" eb="14">
      <t>シドウ</t>
    </rPh>
    <rPh sb="14" eb="15">
      <t>カカリ</t>
    </rPh>
    <phoneticPr fontId="14"/>
  </si>
  <si>
    <t>26年度全国研究会議で国交省が示した資料によると、左記の資料から総合農協保管料、経済農協連保管料、全国農協連保管料をとるようにあるが、これらがどこにあるのか発見できない。このため、前回表と同様、農業倉庫事業収益をとった。→R2年度総合農協統計表では、「農業倉庫事業収益」は「保管事業収益」と変更になっているようなので、「保管事業収益」の数値をとった。</t>
    <rPh sb="2" eb="4">
      <t>ネンド</t>
    </rPh>
    <rPh sb="4" eb="6">
      <t>ゼンコク</t>
    </rPh>
    <rPh sb="6" eb="8">
      <t>ケンキュウ</t>
    </rPh>
    <rPh sb="8" eb="10">
      <t>カイギ</t>
    </rPh>
    <rPh sb="11" eb="14">
      <t>コッコウショウ</t>
    </rPh>
    <rPh sb="15" eb="16">
      <t>シメ</t>
    </rPh>
    <rPh sb="18" eb="20">
      <t>シリョウ</t>
    </rPh>
    <rPh sb="25" eb="27">
      <t>サキ</t>
    </rPh>
    <rPh sb="28" eb="30">
      <t>シリョウ</t>
    </rPh>
    <rPh sb="32" eb="34">
      <t>ソウゴウ</t>
    </rPh>
    <rPh sb="34" eb="36">
      <t>ノウキョウ</t>
    </rPh>
    <rPh sb="36" eb="39">
      <t>ホカンリョウ</t>
    </rPh>
    <rPh sb="40" eb="42">
      <t>ケイザイ</t>
    </rPh>
    <rPh sb="42" eb="44">
      <t>ノウキョウ</t>
    </rPh>
    <rPh sb="44" eb="45">
      <t>レン</t>
    </rPh>
    <rPh sb="45" eb="48">
      <t>ホカンリョウ</t>
    </rPh>
    <rPh sb="49" eb="51">
      <t>ゼンコク</t>
    </rPh>
    <rPh sb="51" eb="53">
      <t>ノウキョウ</t>
    </rPh>
    <rPh sb="53" eb="54">
      <t>レン</t>
    </rPh>
    <rPh sb="54" eb="57">
      <t>ホカンリョウ</t>
    </rPh>
    <rPh sb="78" eb="80">
      <t>ハッケン</t>
    </rPh>
    <rPh sb="90" eb="92">
      <t>ゼンカイ</t>
    </rPh>
    <rPh sb="92" eb="93">
      <t>ヒョウ</t>
    </rPh>
    <rPh sb="94" eb="96">
      <t>ドウヨウ</t>
    </rPh>
    <rPh sb="97" eb="99">
      <t>ノウギョウ</t>
    </rPh>
    <rPh sb="99" eb="101">
      <t>ソウコ</t>
    </rPh>
    <rPh sb="101" eb="103">
      <t>ジギョウ</t>
    </rPh>
    <rPh sb="103" eb="105">
      <t>シュウエキ</t>
    </rPh>
    <rPh sb="113" eb="115">
      <t>ネンド</t>
    </rPh>
    <rPh sb="115" eb="117">
      <t>ソウゴウ</t>
    </rPh>
    <rPh sb="117" eb="119">
      <t>ノウキョウ</t>
    </rPh>
    <rPh sb="119" eb="122">
      <t>トウケイヒョウ</t>
    </rPh>
    <rPh sb="126" eb="128">
      <t>ノウギョウ</t>
    </rPh>
    <rPh sb="128" eb="130">
      <t>ソウコ</t>
    </rPh>
    <rPh sb="130" eb="132">
      <t>ジギョウ</t>
    </rPh>
    <rPh sb="132" eb="134">
      <t>シュウエキ</t>
    </rPh>
    <rPh sb="137" eb="139">
      <t>ホカン</t>
    </rPh>
    <rPh sb="139" eb="141">
      <t>ジギョウ</t>
    </rPh>
    <rPh sb="141" eb="143">
      <t>シュウエキ</t>
    </rPh>
    <rPh sb="145" eb="147">
      <t>ヘンコウ</t>
    </rPh>
    <rPh sb="160" eb="162">
      <t>ホカン</t>
    </rPh>
    <rPh sb="162" eb="164">
      <t>ジギョウ</t>
    </rPh>
    <rPh sb="164" eb="166">
      <t>シュウエキ</t>
    </rPh>
    <rPh sb="168" eb="170">
      <t>スウチ</t>
    </rPh>
    <phoneticPr fontId="14"/>
  </si>
  <si>
    <t>R2年度水産業協同組合統計表</t>
    <rPh sb="2" eb="4">
      <t>ネンド</t>
    </rPh>
    <rPh sb="4" eb="7">
      <t>スイサンギョウ</t>
    </rPh>
    <rPh sb="7" eb="9">
      <t>キョウドウ</t>
    </rPh>
    <rPh sb="9" eb="11">
      <t>クミアイ</t>
    </rPh>
    <rPh sb="11" eb="14">
      <t>トウケイヒョウ</t>
    </rPh>
    <phoneticPr fontId="14"/>
  </si>
  <si>
    <t>農林水産部水産課組合指導係</t>
    <rPh sb="0" eb="2">
      <t>ノウリン</t>
    </rPh>
    <rPh sb="2" eb="5">
      <t>スイサンブ</t>
    </rPh>
    <rPh sb="5" eb="8">
      <t>スイサンカ</t>
    </rPh>
    <rPh sb="8" eb="10">
      <t>クミアイ</t>
    </rPh>
    <rPh sb="10" eb="12">
      <t>シドウ</t>
    </rPh>
    <rPh sb="12" eb="13">
      <t>カカリ</t>
    </rPh>
    <phoneticPr fontId="14"/>
  </si>
  <si>
    <t>冷凍保管料で按分。とりあえず前例踏襲したが、26年度全国研究会議で国交省が示した推計方法も冷凍保管料を基に推計しているようなので、おかしくはないと思われる。</t>
    <rPh sb="0" eb="2">
      <t>レイトウ</t>
    </rPh>
    <rPh sb="2" eb="5">
      <t>ホカンリョウ</t>
    </rPh>
    <rPh sb="6" eb="8">
      <t>アンブン</t>
    </rPh>
    <rPh sb="14" eb="16">
      <t>ゼンレイ</t>
    </rPh>
    <rPh sb="16" eb="18">
      <t>トウシュウ</t>
    </rPh>
    <rPh sb="24" eb="26">
      <t>ネンド</t>
    </rPh>
    <rPh sb="26" eb="28">
      <t>ゼンコク</t>
    </rPh>
    <rPh sb="28" eb="30">
      <t>ケンキュウ</t>
    </rPh>
    <rPh sb="30" eb="32">
      <t>カイギ</t>
    </rPh>
    <rPh sb="33" eb="35">
      <t>コッコウ</t>
    </rPh>
    <rPh sb="35" eb="36">
      <t>ショウ</t>
    </rPh>
    <rPh sb="37" eb="38">
      <t>シメ</t>
    </rPh>
    <rPh sb="40" eb="42">
      <t>スイケイ</t>
    </rPh>
    <rPh sb="42" eb="44">
      <t>ホウホウ</t>
    </rPh>
    <rPh sb="45" eb="47">
      <t>レイトウ</t>
    </rPh>
    <rPh sb="47" eb="49">
      <t>ホカン</t>
    </rPh>
    <rPh sb="49" eb="50">
      <t>リョウ</t>
    </rPh>
    <rPh sb="51" eb="52">
      <t>モト</t>
    </rPh>
    <rPh sb="53" eb="55">
      <t>スイケイ</t>
    </rPh>
    <rPh sb="73" eb="74">
      <t>オモ</t>
    </rPh>
    <phoneticPr fontId="14"/>
  </si>
  <si>
    <t>R3経済センサス活動調査　公式集計</t>
    <phoneticPr fontId="14"/>
  </si>
  <si>
    <t>マニュアルどおり経セン公式集計484 こん包業の従業者数按分</t>
    <rPh sb="8" eb="9">
      <t>ケイ</t>
    </rPh>
    <rPh sb="11" eb="13">
      <t>コウシキ</t>
    </rPh>
    <rPh sb="13" eb="14">
      <t>シュウ</t>
    </rPh>
    <rPh sb="14" eb="15">
      <t>ケイ</t>
    </rPh>
    <rPh sb="24" eb="25">
      <t>ジュウ</t>
    </rPh>
    <rPh sb="25" eb="28">
      <t>ギョウシャスウ</t>
    </rPh>
    <rPh sb="28" eb="30">
      <t>アンブン</t>
    </rPh>
    <phoneticPr fontId="14"/>
  </si>
  <si>
    <t>県民経済計算から</t>
    <rPh sb="0" eb="2">
      <t>ケンミン</t>
    </rPh>
    <rPh sb="2" eb="4">
      <t>ケイザイ</t>
    </rPh>
    <rPh sb="4" eb="6">
      <t>ケイサン</t>
    </rPh>
    <phoneticPr fontId="14"/>
  </si>
  <si>
    <t>分析係　生産WS</t>
    <rPh sb="0" eb="2">
      <t>ブンセキ</t>
    </rPh>
    <rPh sb="2" eb="3">
      <t>ガカリ</t>
    </rPh>
    <rPh sb="4" eb="6">
      <t>セイサン</t>
    </rPh>
    <phoneticPr fontId="14"/>
  </si>
  <si>
    <t>名神・中国・山陽・播磨・舞鶴・新名神自動車道の料金収入額積上</t>
    <rPh sb="0" eb="2">
      <t>メイシン</t>
    </rPh>
    <rPh sb="3" eb="5">
      <t>チュウゴク</t>
    </rPh>
    <rPh sb="6" eb="8">
      <t>サンヨウ</t>
    </rPh>
    <rPh sb="9" eb="11">
      <t>ハリマ</t>
    </rPh>
    <rPh sb="12" eb="14">
      <t>マイヅル</t>
    </rPh>
    <rPh sb="15" eb="16">
      <t>シン</t>
    </rPh>
    <rPh sb="16" eb="18">
      <t>メイシン</t>
    </rPh>
    <rPh sb="18" eb="22">
      <t>ジドウシャドウ</t>
    </rPh>
    <rPh sb="23" eb="25">
      <t>リョウキン</t>
    </rPh>
    <rPh sb="25" eb="28">
      <t>シュウニュウガク</t>
    </rPh>
    <rPh sb="28" eb="29">
      <t>ツ</t>
    </rPh>
    <rPh sb="29" eb="30">
      <t>ア</t>
    </rPh>
    <phoneticPr fontId="14"/>
  </si>
  <si>
    <t>第２神明・本州四国　　〃</t>
    <rPh sb="0" eb="1">
      <t>ダイ</t>
    </rPh>
    <rPh sb="2" eb="4">
      <t>シンメイ</t>
    </rPh>
    <rPh sb="5" eb="7">
      <t>ホンシュウ</t>
    </rPh>
    <rPh sb="7" eb="9">
      <t>シコク</t>
    </rPh>
    <phoneticPr fontId="14"/>
  </si>
  <si>
    <t>阪神高速　　〃</t>
    <rPh sb="0" eb="2">
      <t>ハンシン</t>
    </rPh>
    <rPh sb="2" eb="4">
      <t>コウソク</t>
    </rPh>
    <phoneticPr fontId="14"/>
  </si>
  <si>
    <t>兵庫県・神戸市道路公団　　〃</t>
    <rPh sb="0" eb="3">
      <t>ヒョウゴケン</t>
    </rPh>
    <rPh sb="4" eb="7">
      <t>コウベシ</t>
    </rPh>
    <rPh sb="7" eb="9">
      <t>ドウロ</t>
    </rPh>
    <rPh sb="9" eb="11">
      <t>コウダン</t>
    </rPh>
    <phoneticPr fontId="14"/>
  </si>
  <si>
    <t>R3経済センサス活動調査　公式集計</t>
    <rPh sb="2" eb="4">
      <t>ケイザイ</t>
    </rPh>
    <rPh sb="8" eb="10">
      <t>カツドウ</t>
    </rPh>
    <rPh sb="10" eb="12">
      <t>チョウサ</t>
    </rPh>
    <rPh sb="13" eb="15">
      <t>コウシキ</t>
    </rPh>
    <rPh sb="15" eb="16">
      <t>シュウ</t>
    </rPh>
    <rPh sb="16" eb="17">
      <t>ケイ</t>
    </rPh>
    <phoneticPr fontId="14"/>
  </si>
  <si>
    <t>一般自動車道の定義が不明。前例踏襲し、485運輸施設提供業の従業者按分。</t>
    <rPh sb="0" eb="2">
      <t>イッパン</t>
    </rPh>
    <rPh sb="2" eb="5">
      <t>ジドウシャ</t>
    </rPh>
    <rPh sb="5" eb="6">
      <t>ドウ</t>
    </rPh>
    <rPh sb="7" eb="9">
      <t>テイギ</t>
    </rPh>
    <rPh sb="10" eb="12">
      <t>フメイ</t>
    </rPh>
    <rPh sb="13" eb="15">
      <t>ゼンレイ</t>
    </rPh>
    <rPh sb="15" eb="17">
      <t>トウシュウ</t>
    </rPh>
    <rPh sb="30" eb="33">
      <t>ジュウギョウシャ</t>
    </rPh>
    <rPh sb="33" eb="35">
      <t>アンブン</t>
    </rPh>
    <phoneticPr fontId="14"/>
  </si>
  <si>
    <t>R2自動車駐車場年報</t>
    <rPh sb="2" eb="4">
      <t>ジドウ</t>
    </rPh>
    <rPh sb="4" eb="5">
      <t>シャ</t>
    </rPh>
    <rPh sb="5" eb="8">
      <t>チュウシャジョウ</t>
    </rPh>
    <rPh sb="8" eb="10">
      <t>ネンポウ</t>
    </rPh>
    <phoneticPr fontId="14"/>
  </si>
  <si>
    <t>総務省提供</t>
  </si>
  <si>
    <t>26年度全国研究会議で国交省が示した推計方法では、単価に駐車場台数（路上駐車上を除く）を乗じてＣＴとしている。このため、按分指標には駐車場台数を用いるのが妥当だと判断した。</t>
    <rPh sb="2" eb="4">
      <t>ネンド</t>
    </rPh>
    <rPh sb="4" eb="6">
      <t>ゼンコク</t>
    </rPh>
    <rPh sb="6" eb="8">
      <t>ケンキュウ</t>
    </rPh>
    <rPh sb="8" eb="10">
      <t>カイギ</t>
    </rPh>
    <rPh sb="11" eb="14">
      <t>コッコウショウ</t>
    </rPh>
    <rPh sb="15" eb="16">
      <t>シメ</t>
    </rPh>
    <rPh sb="18" eb="20">
      <t>スイケイ</t>
    </rPh>
    <rPh sb="20" eb="22">
      <t>ホウホウ</t>
    </rPh>
    <rPh sb="25" eb="27">
      <t>タンカ</t>
    </rPh>
    <rPh sb="28" eb="31">
      <t>チュウシャジョウ</t>
    </rPh>
    <rPh sb="31" eb="33">
      <t>ダイスウ</t>
    </rPh>
    <rPh sb="34" eb="36">
      <t>ロジョウ</t>
    </rPh>
    <rPh sb="36" eb="38">
      <t>チュウシャ</t>
    </rPh>
    <rPh sb="38" eb="39">
      <t>ウエ</t>
    </rPh>
    <rPh sb="40" eb="41">
      <t>ノゾ</t>
    </rPh>
    <rPh sb="44" eb="45">
      <t>ジョウ</t>
    </rPh>
    <rPh sb="60" eb="62">
      <t>アンブン</t>
    </rPh>
    <rPh sb="62" eb="64">
      <t>シヒョウ</t>
    </rPh>
    <rPh sb="66" eb="69">
      <t>チュウシャジョウ</t>
    </rPh>
    <rPh sb="69" eb="71">
      <t>ダイスウ</t>
    </rPh>
    <rPh sb="72" eb="73">
      <t>モチ</t>
    </rPh>
    <rPh sb="77" eb="79">
      <t>ダトウ</t>
    </rPh>
    <rPh sb="81" eb="83">
      <t>ハンダン</t>
    </rPh>
    <phoneticPr fontId="14"/>
  </si>
  <si>
    <t>R3県民経済計算（R2値）</t>
    <rPh sb="2" eb="4">
      <t>ケンミン</t>
    </rPh>
    <rPh sb="4" eb="6">
      <t>ケイザイ</t>
    </rPh>
    <rPh sb="6" eb="8">
      <t>ケイサン</t>
    </rPh>
    <rPh sb="11" eb="12">
      <t>チ</t>
    </rPh>
    <phoneticPr fontId="14"/>
  </si>
  <si>
    <t>議会図書室</t>
    <rPh sb="0" eb="2">
      <t>ギカイ</t>
    </rPh>
    <rPh sb="2" eb="5">
      <t>トショシツ</t>
    </rPh>
    <phoneticPr fontId="14"/>
  </si>
  <si>
    <t>H23,27年表では自動車ターミナルが県内にないとしてゼロとしていたが、R2県民経済作成時に県内に２箇所専用バスターミナルがあることは確認済。（一般バスターミナル、トラックターミナルはなし。）R3県民経済計算のR2値（R3生産＞07運輸郵便業＞その他の運輸業総生産＞「自動車ターミナル」シート参照）によると全国：兵庫県＝154：2であり、これを採用する。なお、県下の専用バスターミナル２箇所のうち本四海峡バスの大磯港海峡バスターミナルはR5.3.31をもって廃止されたので、次回のR7年表作成時に注意すること。</t>
    <rPh sb="6" eb="7">
      <t>ネン</t>
    </rPh>
    <rPh sb="7" eb="8">
      <t>ヒョウ</t>
    </rPh>
    <rPh sb="10" eb="13">
      <t>ジドウシャ</t>
    </rPh>
    <rPh sb="19" eb="21">
      <t>ケンナイ</t>
    </rPh>
    <rPh sb="38" eb="40">
      <t>ケンミン</t>
    </rPh>
    <rPh sb="40" eb="42">
      <t>ケイザイ</t>
    </rPh>
    <rPh sb="42" eb="45">
      <t>サクセイジ</t>
    </rPh>
    <rPh sb="46" eb="48">
      <t>ケンナイ</t>
    </rPh>
    <rPh sb="50" eb="52">
      <t>カショ</t>
    </rPh>
    <rPh sb="52" eb="54">
      <t>センヨウ</t>
    </rPh>
    <rPh sb="67" eb="69">
      <t>カクニン</t>
    </rPh>
    <rPh sb="69" eb="70">
      <t>ス</t>
    </rPh>
    <rPh sb="72" eb="74">
      <t>イッパン</t>
    </rPh>
    <rPh sb="98" eb="100">
      <t>ケンミン</t>
    </rPh>
    <rPh sb="100" eb="102">
      <t>ケイザイ</t>
    </rPh>
    <rPh sb="102" eb="104">
      <t>ケイサン</t>
    </rPh>
    <rPh sb="107" eb="108">
      <t>チ</t>
    </rPh>
    <rPh sb="111" eb="113">
      <t>セイサン</t>
    </rPh>
    <rPh sb="116" eb="118">
      <t>ウンユ</t>
    </rPh>
    <rPh sb="118" eb="120">
      <t>ユウビン</t>
    </rPh>
    <rPh sb="120" eb="121">
      <t>ギョウ</t>
    </rPh>
    <rPh sb="124" eb="125">
      <t>タ</t>
    </rPh>
    <rPh sb="126" eb="129">
      <t>ウンユギョウ</t>
    </rPh>
    <rPh sb="129" eb="132">
      <t>ソウセイサン</t>
    </rPh>
    <rPh sb="134" eb="137">
      <t>ジドウシャ</t>
    </rPh>
    <rPh sb="146" eb="148">
      <t>サンショウ</t>
    </rPh>
    <rPh sb="153" eb="155">
      <t>ゼンコク</t>
    </rPh>
    <rPh sb="156" eb="159">
      <t>ヒョウゴケン</t>
    </rPh>
    <rPh sb="172" eb="174">
      <t>サイヨウ</t>
    </rPh>
    <rPh sb="181" eb="182">
      <t>カ</t>
    </rPh>
    <rPh sb="183" eb="185">
      <t>センヨウ</t>
    </rPh>
    <rPh sb="193" eb="195">
      <t>カショ</t>
    </rPh>
    <rPh sb="198" eb="200">
      <t>ホンシ</t>
    </rPh>
    <rPh sb="200" eb="202">
      <t>カイキョウ</t>
    </rPh>
    <rPh sb="205" eb="207">
      <t>オオイソ</t>
    </rPh>
    <rPh sb="207" eb="208">
      <t>ミナト</t>
    </rPh>
    <rPh sb="208" eb="210">
      <t>カイキョウ</t>
    </rPh>
    <rPh sb="229" eb="231">
      <t>ハイシ</t>
    </rPh>
    <rPh sb="237" eb="239">
      <t>ジカイ</t>
    </rPh>
    <rPh sb="242" eb="243">
      <t>ネン</t>
    </rPh>
    <rPh sb="243" eb="244">
      <t>ヒョウ</t>
    </rPh>
    <rPh sb="244" eb="247">
      <t>サクセイジ</t>
    </rPh>
    <rPh sb="248" eb="250">
      <t>チュウイ</t>
    </rPh>
    <phoneticPr fontId="5"/>
  </si>
  <si>
    <t>R3県民経済計算（R2値）から、暦年換算シートからリンク</t>
    <rPh sb="2" eb="4">
      <t>ケンミン</t>
    </rPh>
    <rPh sb="4" eb="6">
      <t>ケイザイ</t>
    </rPh>
    <rPh sb="6" eb="8">
      <t>ケイサン</t>
    </rPh>
    <rPh sb="11" eb="12">
      <t>チ</t>
    </rPh>
    <rPh sb="16" eb="18">
      <t>レキネン</t>
    </rPh>
    <rPh sb="18" eb="20">
      <t>カンサン</t>
    </rPh>
    <phoneticPr fontId="14"/>
  </si>
  <si>
    <t>県民経済計算（生産系列）－生産輸入品税－納税額・各部門格付シートより引用。なお、とん税と特別とん税は分離できないので、国CTの割合で按分</t>
    <rPh sb="0" eb="2">
      <t>ケンミン</t>
    </rPh>
    <rPh sb="2" eb="4">
      <t>ケイザイ</t>
    </rPh>
    <rPh sb="4" eb="6">
      <t>ケイサン</t>
    </rPh>
    <rPh sb="7" eb="9">
      <t>セイサン</t>
    </rPh>
    <rPh sb="9" eb="11">
      <t>ケイレツ</t>
    </rPh>
    <rPh sb="13" eb="15">
      <t>セイサン</t>
    </rPh>
    <rPh sb="15" eb="17">
      <t>ユニュウ</t>
    </rPh>
    <rPh sb="17" eb="18">
      <t>ヒン</t>
    </rPh>
    <rPh sb="18" eb="19">
      <t>ゼイ</t>
    </rPh>
    <rPh sb="20" eb="22">
      <t>ノウゼイ</t>
    </rPh>
    <rPh sb="22" eb="23">
      <t>ガク</t>
    </rPh>
    <rPh sb="24" eb="27">
      <t>カクブモン</t>
    </rPh>
    <rPh sb="27" eb="28">
      <t>カク</t>
    </rPh>
    <rPh sb="28" eb="29">
      <t>ヅ</t>
    </rPh>
    <rPh sb="34" eb="36">
      <t>インヨウ</t>
    </rPh>
    <rPh sb="42" eb="43">
      <t>ゼイ</t>
    </rPh>
    <rPh sb="44" eb="46">
      <t>トクベツ</t>
    </rPh>
    <rPh sb="48" eb="49">
      <t>ゼイ</t>
    </rPh>
    <rPh sb="50" eb="52">
      <t>ブンリ</t>
    </rPh>
    <rPh sb="59" eb="60">
      <t>クニ</t>
    </rPh>
    <rPh sb="63" eb="65">
      <t>ワリアイ</t>
    </rPh>
    <rPh sb="66" eb="68">
      <t>アンブン</t>
    </rPh>
    <phoneticPr fontId="14"/>
  </si>
  <si>
    <t>R2港湾統計</t>
    <rPh sb="2" eb="4">
      <t>コウワン</t>
    </rPh>
    <rPh sb="4" eb="6">
      <t>トウケイ</t>
    </rPh>
    <phoneticPr fontId="14"/>
  </si>
  <si>
    <t>第1表入港船舶総数表　漁船を除く総トン数で按分←前例踏襲</t>
    <rPh sb="24" eb="26">
      <t>ゼンレイ</t>
    </rPh>
    <rPh sb="26" eb="28">
      <t>トウシュウ</t>
    </rPh>
    <phoneticPr fontId="14"/>
  </si>
  <si>
    <t>R2漁港港勢の概要、県統計書</t>
    <rPh sb="10" eb="11">
      <t>ケン</t>
    </rPh>
    <rPh sb="11" eb="14">
      <t>トウケイショ</t>
    </rPh>
    <phoneticPr fontId="14"/>
  </si>
  <si>
    <t>漁港課計画係</t>
    <rPh sb="0" eb="3">
      <t>ギョコウカ</t>
    </rPh>
    <rPh sb="3" eb="6">
      <t>ケイカクガカリ</t>
    </rPh>
    <phoneticPr fontId="14"/>
  </si>
  <si>
    <t>登録動力漁船総トン数で按分</t>
    <rPh sb="0" eb="2">
      <t>トウロク</t>
    </rPh>
    <rPh sb="2" eb="4">
      <t>ドウリョク</t>
    </rPh>
    <rPh sb="4" eb="6">
      <t>ギョセン</t>
    </rPh>
    <rPh sb="6" eb="7">
      <t>ソウ</t>
    </rPh>
    <rPh sb="9" eb="10">
      <t>スウ</t>
    </rPh>
    <rPh sb="11" eb="13">
      <t>アンブン</t>
    </rPh>
    <phoneticPr fontId="14"/>
  </si>
  <si>
    <t>R2港湾統計</t>
    <phoneticPr fontId="14"/>
  </si>
  <si>
    <t>資料室</t>
  </si>
  <si>
    <t>第1表入港船舶総数表　漁船を除く総トン数で按分←前例踏襲</t>
    <rPh sb="11" eb="12">
      <t>リョウ</t>
    </rPh>
    <rPh sb="12" eb="13">
      <t>セン</t>
    </rPh>
    <rPh sb="14" eb="15">
      <t>ノゾ</t>
    </rPh>
    <rPh sb="16" eb="17">
      <t>ソウ</t>
    </rPh>
    <rPh sb="19" eb="20">
      <t>スウ</t>
    </rPh>
    <rPh sb="21" eb="23">
      <t>アンブン</t>
    </rPh>
    <rPh sb="24" eb="26">
      <t>ゼンレイ</t>
    </rPh>
    <rPh sb="26" eb="28">
      <t>トウシュウ</t>
    </rPh>
    <phoneticPr fontId="14"/>
  </si>
  <si>
    <t>R3経済センサス活動調査公式集計</t>
    <rPh sb="2" eb="4">
      <t>ケイザイ</t>
    </rPh>
    <rPh sb="8" eb="10">
      <t>カツドウ</t>
    </rPh>
    <rPh sb="10" eb="12">
      <t>チョウサ</t>
    </rPh>
    <rPh sb="12" eb="14">
      <t>コウシキ</t>
    </rPh>
    <rPh sb="14" eb="16">
      <t>シュウケイ</t>
    </rPh>
    <phoneticPr fontId="14"/>
  </si>
  <si>
    <t>ＩＯ作成基本要綱p187</t>
    <rPh sb="2" eb="4">
      <t>サクセイ</t>
    </rPh>
    <rPh sb="4" eb="6">
      <t>キホン</t>
    </rPh>
    <rPh sb="6" eb="8">
      <t>ヨウコウ</t>
    </rPh>
    <phoneticPr fontId="14"/>
  </si>
  <si>
    <t>　　　〃　　　　</t>
  </si>
  <si>
    <t>日本水先人会連合会ＨＰ</t>
    <rPh sb="0" eb="2">
      <t>ニホン</t>
    </rPh>
    <rPh sb="2" eb="4">
      <t>ミズサキ</t>
    </rPh>
    <rPh sb="4" eb="5">
      <t>ニン</t>
    </rPh>
    <rPh sb="5" eb="6">
      <t>カイ</t>
    </rPh>
    <rPh sb="6" eb="9">
      <t>レンゴウカイ</t>
    </rPh>
    <phoneticPr fontId="14"/>
  </si>
  <si>
    <t>水先人数で按分（H17年表では大阪湾区と内海区の合計人数を県値としていたが、他府県の分も含まれているはずなので、H23年表からは、含まれている府県の数で除したものを県値とした）</t>
    <rPh sb="0" eb="3">
      <t>ミズサキニン</t>
    </rPh>
    <rPh sb="3" eb="4">
      <t>カズ</t>
    </rPh>
    <rPh sb="4" eb="5">
      <t>ニンズウ</t>
    </rPh>
    <rPh sb="5" eb="7">
      <t>アンブン</t>
    </rPh>
    <rPh sb="11" eb="12">
      <t>ネン</t>
    </rPh>
    <rPh sb="12" eb="13">
      <t>ヒョウ</t>
    </rPh>
    <rPh sb="15" eb="17">
      <t>オオサカ</t>
    </rPh>
    <rPh sb="17" eb="18">
      <t>ワン</t>
    </rPh>
    <rPh sb="18" eb="19">
      <t>ク</t>
    </rPh>
    <rPh sb="20" eb="22">
      <t>ナイカイ</t>
    </rPh>
    <rPh sb="22" eb="23">
      <t>ク</t>
    </rPh>
    <rPh sb="24" eb="26">
      <t>ゴウケイ</t>
    </rPh>
    <rPh sb="26" eb="28">
      <t>ニンズ</t>
    </rPh>
    <rPh sb="29" eb="30">
      <t>ケン</t>
    </rPh>
    <rPh sb="30" eb="31">
      <t>チ</t>
    </rPh>
    <rPh sb="38" eb="39">
      <t>タ</t>
    </rPh>
    <rPh sb="39" eb="41">
      <t>フケン</t>
    </rPh>
    <rPh sb="42" eb="43">
      <t>ブン</t>
    </rPh>
    <rPh sb="44" eb="45">
      <t>フク</t>
    </rPh>
    <rPh sb="59" eb="60">
      <t>ネン</t>
    </rPh>
    <rPh sb="60" eb="61">
      <t>ヒョウ</t>
    </rPh>
    <rPh sb="65" eb="66">
      <t>フク</t>
    </rPh>
    <rPh sb="71" eb="73">
      <t>フケン</t>
    </rPh>
    <rPh sb="74" eb="75">
      <t>スウ</t>
    </rPh>
    <rPh sb="76" eb="77">
      <t>ジョ</t>
    </rPh>
    <rPh sb="82" eb="83">
      <t>ケン</t>
    </rPh>
    <rPh sb="83" eb="84">
      <t>チ</t>
    </rPh>
    <phoneticPr fontId="14"/>
  </si>
  <si>
    <t>県土整備部港湾課振興係</t>
    <rPh sb="0" eb="2">
      <t>ケンド</t>
    </rPh>
    <rPh sb="2" eb="5">
      <t>セイビブ</t>
    </rPh>
    <rPh sb="5" eb="8">
      <t>コウワンカ</t>
    </rPh>
    <rPh sb="8" eb="10">
      <t>シンコウ</t>
    </rPh>
    <rPh sb="10" eb="11">
      <t>カカリ</t>
    </rPh>
    <phoneticPr fontId="14"/>
  </si>
  <si>
    <t>H17年表まで使用した港運要覧がもう入手できないので、H23年表からは経セン公式集計の489その他の運輸に附帯するサービスの従業者数で按分（ＩＯ作成基本要綱p187）</t>
    <rPh sb="3" eb="4">
      <t>ネン</t>
    </rPh>
    <rPh sb="4" eb="5">
      <t>ヒョウ</t>
    </rPh>
    <rPh sb="7" eb="9">
      <t>シヨウ</t>
    </rPh>
    <rPh sb="11" eb="13">
      <t>コウウン</t>
    </rPh>
    <rPh sb="13" eb="15">
      <t>ヨウラン</t>
    </rPh>
    <rPh sb="18" eb="20">
      <t>ニュウシュ</t>
    </rPh>
    <rPh sb="30" eb="31">
      <t>ネン</t>
    </rPh>
    <rPh sb="31" eb="32">
      <t>ヒョウ</t>
    </rPh>
    <rPh sb="35" eb="36">
      <t>ケイ</t>
    </rPh>
    <rPh sb="38" eb="40">
      <t>コウシキ</t>
    </rPh>
    <rPh sb="40" eb="42">
      <t>シュウケイ</t>
    </rPh>
    <rPh sb="48" eb="49">
      <t>タ</t>
    </rPh>
    <rPh sb="50" eb="52">
      <t>ウンユ</t>
    </rPh>
    <rPh sb="53" eb="55">
      <t>フタイ</t>
    </rPh>
    <rPh sb="62" eb="63">
      <t>ジュウ</t>
    </rPh>
    <rPh sb="63" eb="66">
      <t>ギョウシャスウ</t>
    </rPh>
    <rPh sb="67" eb="69">
      <t>アンブン</t>
    </rPh>
    <rPh sb="72" eb="74">
      <t>サクセイ</t>
    </rPh>
    <rPh sb="74" eb="76">
      <t>キホン</t>
    </rPh>
    <rPh sb="76" eb="78">
      <t>ヨウコウ</t>
    </rPh>
    <phoneticPr fontId="14"/>
  </si>
  <si>
    <t>　　　〃　　　　</t>
    <phoneticPr fontId="14"/>
  </si>
  <si>
    <t>数字でみる航空2021(空港政策課から借りる）</t>
    <rPh sb="12" eb="14">
      <t>クウコウ</t>
    </rPh>
    <rPh sb="14" eb="16">
      <t>セイサク</t>
    </rPh>
    <rPh sb="16" eb="17">
      <t>カ</t>
    </rPh>
    <rPh sb="19" eb="20">
      <t>カ</t>
    </rPh>
    <phoneticPr fontId="14"/>
  </si>
  <si>
    <t>神戸空港と但馬空港の着陸回数の合計を地方管理空港計とその他の空港計（設置管理者が国の八尾空港分を除く）の合計で按分</t>
    <rPh sb="0" eb="2">
      <t>コウベ</t>
    </rPh>
    <rPh sb="2" eb="4">
      <t>クウコウ</t>
    </rPh>
    <rPh sb="5" eb="7">
      <t>タジマ</t>
    </rPh>
    <rPh sb="7" eb="9">
      <t>クウコウ</t>
    </rPh>
    <rPh sb="10" eb="12">
      <t>チャクリク</t>
    </rPh>
    <rPh sb="12" eb="14">
      <t>カイスウ</t>
    </rPh>
    <rPh sb="15" eb="17">
      <t>ゴウケイ</t>
    </rPh>
    <rPh sb="18" eb="20">
      <t>チホウ</t>
    </rPh>
    <rPh sb="20" eb="22">
      <t>カンリ</t>
    </rPh>
    <rPh sb="22" eb="24">
      <t>クウコウ</t>
    </rPh>
    <rPh sb="24" eb="25">
      <t>ケイ</t>
    </rPh>
    <rPh sb="28" eb="29">
      <t>タ</t>
    </rPh>
    <rPh sb="30" eb="32">
      <t>クウコウ</t>
    </rPh>
    <rPh sb="32" eb="33">
      <t>ケイ</t>
    </rPh>
    <rPh sb="34" eb="36">
      <t>セッチ</t>
    </rPh>
    <rPh sb="36" eb="38">
      <t>カンリ</t>
    </rPh>
    <rPh sb="38" eb="39">
      <t>シャ</t>
    </rPh>
    <rPh sb="40" eb="41">
      <t>クニ</t>
    </rPh>
    <rPh sb="42" eb="44">
      <t>ヤオ</t>
    </rPh>
    <rPh sb="44" eb="46">
      <t>クウコウ</t>
    </rPh>
    <rPh sb="46" eb="47">
      <t>ブン</t>
    </rPh>
    <rPh sb="48" eb="49">
      <t>ノゾ</t>
    </rPh>
    <rPh sb="52" eb="54">
      <t>ゴウケイ</t>
    </rPh>
    <rPh sb="55" eb="57">
      <t>アンブン</t>
    </rPh>
    <phoneticPr fontId="14"/>
  </si>
  <si>
    <t>航空管制機関別取扱い延べ機数で按分</t>
    <rPh sb="0" eb="2">
      <t>コウクウ</t>
    </rPh>
    <rPh sb="2" eb="4">
      <t>カンセイ</t>
    </rPh>
    <rPh sb="4" eb="6">
      <t>キカン</t>
    </rPh>
    <rPh sb="6" eb="7">
      <t>ベツ</t>
    </rPh>
    <rPh sb="7" eb="8">
      <t>ト</t>
    </rPh>
    <rPh sb="8" eb="9">
      <t>アツカ</t>
    </rPh>
    <rPh sb="10" eb="11">
      <t>ノ</t>
    </rPh>
    <rPh sb="12" eb="14">
      <t>キスウ</t>
    </rPh>
    <rPh sb="15" eb="17">
      <t>アンブン</t>
    </rPh>
    <phoneticPr fontId="14"/>
  </si>
  <si>
    <t>大阪国際空港（兵庫県分）の着陸回数で按分</t>
    <rPh sb="0" eb="2">
      <t>オオサカ</t>
    </rPh>
    <rPh sb="2" eb="4">
      <t>コクサイ</t>
    </rPh>
    <rPh sb="4" eb="6">
      <t>クウコウ</t>
    </rPh>
    <rPh sb="7" eb="10">
      <t>ヒョウゴケン</t>
    </rPh>
    <rPh sb="10" eb="11">
      <t>ブン</t>
    </rPh>
    <rPh sb="13" eb="15">
      <t>チャクリク</t>
    </rPh>
    <rPh sb="15" eb="17">
      <t>カイスウ</t>
    </rPh>
    <rPh sb="18" eb="20">
      <t>アンブン</t>
    </rPh>
    <phoneticPr fontId="14"/>
  </si>
  <si>
    <t>航空輸送の生産額比で全国CTを按分
経セン公式集計の細分類には出てこないし、経セン組替表にも本部門は出てこないため前例踏襲</t>
    <rPh sb="18" eb="19">
      <t>ケイ</t>
    </rPh>
    <rPh sb="21" eb="23">
      <t>コウシキ</t>
    </rPh>
    <rPh sb="23" eb="24">
      <t>シュウ</t>
    </rPh>
    <rPh sb="24" eb="25">
      <t>ケイ</t>
    </rPh>
    <rPh sb="26" eb="29">
      <t>サイブンルイ</t>
    </rPh>
    <rPh sb="31" eb="32">
      <t>デ</t>
    </rPh>
    <rPh sb="38" eb="39">
      <t>ケイ</t>
    </rPh>
    <rPh sb="41" eb="43">
      <t>クミカエ</t>
    </rPh>
    <rPh sb="43" eb="44">
      <t>ヒョウ</t>
    </rPh>
    <rPh sb="46" eb="48">
      <t>ホンブ</t>
    </rPh>
    <rPh sb="48" eb="49">
      <t>モン</t>
    </rPh>
    <rPh sb="50" eb="51">
      <t>デ</t>
    </rPh>
    <rPh sb="57" eb="59">
      <t>ゼンレイ</t>
    </rPh>
    <rPh sb="59" eb="61">
      <t>トウシュウ</t>
    </rPh>
    <phoneticPr fontId="14"/>
  </si>
  <si>
    <t>国内旅行・手配、海外旅行・手配、訪日旅行、旅行運送・宿泊等手配サービスの売上高で按分</t>
    <rPh sb="0" eb="2">
      <t>コクナイ</t>
    </rPh>
    <rPh sb="2" eb="4">
      <t>リョコウ</t>
    </rPh>
    <rPh sb="5" eb="7">
      <t>テハイ</t>
    </rPh>
    <rPh sb="8" eb="10">
      <t>カイガイ</t>
    </rPh>
    <rPh sb="10" eb="12">
      <t>リョコウ</t>
    </rPh>
    <rPh sb="13" eb="15">
      <t>テハイ</t>
    </rPh>
    <rPh sb="16" eb="18">
      <t>ホウニチ</t>
    </rPh>
    <rPh sb="18" eb="20">
      <t>リョコウ</t>
    </rPh>
    <rPh sb="21" eb="23">
      <t>リョコウ</t>
    </rPh>
    <rPh sb="23" eb="25">
      <t>ウンソウ</t>
    </rPh>
    <rPh sb="26" eb="28">
      <t>シュクハク</t>
    </rPh>
    <rPh sb="28" eb="29">
      <t>トウ</t>
    </rPh>
    <rPh sb="29" eb="31">
      <t>テハイ</t>
    </rPh>
    <rPh sb="36" eb="38">
      <t>ウリアゲ</t>
    </rPh>
    <rPh sb="38" eb="39">
      <t>ダカ</t>
    </rPh>
    <rPh sb="40" eb="42">
      <t>アンブン</t>
    </rPh>
    <phoneticPr fontId="14"/>
  </si>
  <si>
    <t>26年度全国研究会議で国交省が提示した資料では資料「特例民法法人に関する年次報告（内閣府）」の事業収入をもってＣＴとしている。県内の観光協会は有馬温泉観光協会と赤穂観光協会の２つしかない。これらの事業収入をＣＴとする。→特例民法法人から新公益法人制度への移行期間は平成25年11月末で終了しており、「特例民法法人に関する年次報告」も平成25年度報告をもって更新されていない。R2年表の国要綱では、日本標準産業分類4899「他に分類されない運輸に附帯するサービス業」のうち観光協会等の行う活動を範囲とするとあるので、経セン組替表の「その他の運輸附帯サービス」の売上金額を按分比率として使用することにした。</t>
    <rPh sb="2" eb="4">
      <t>ネンド</t>
    </rPh>
    <rPh sb="4" eb="6">
      <t>ゼンコク</t>
    </rPh>
    <rPh sb="6" eb="8">
      <t>ケンキュウ</t>
    </rPh>
    <rPh sb="8" eb="10">
      <t>カイギ</t>
    </rPh>
    <rPh sb="11" eb="14">
      <t>コッコウショウ</t>
    </rPh>
    <rPh sb="15" eb="17">
      <t>テイジ</t>
    </rPh>
    <rPh sb="19" eb="21">
      <t>シリョウ</t>
    </rPh>
    <rPh sb="23" eb="25">
      <t>シリョウ</t>
    </rPh>
    <rPh sb="26" eb="28">
      <t>トクレイ</t>
    </rPh>
    <rPh sb="28" eb="30">
      <t>ミンポウ</t>
    </rPh>
    <rPh sb="30" eb="32">
      <t>ホウジン</t>
    </rPh>
    <rPh sb="33" eb="34">
      <t>カン</t>
    </rPh>
    <rPh sb="36" eb="38">
      <t>ネンジ</t>
    </rPh>
    <rPh sb="38" eb="40">
      <t>ホウコク</t>
    </rPh>
    <rPh sb="41" eb="44">
      <t>ナイカクフ</t>
    </rPh>
    <rPh sb="47" eb="49">
      <t>ジギョウ</t>
    </rPh>
    <rPh sb="49" eb="51">
      <t>シュウニュウ</t>
    </rPh>
    <rPh sb="63" eb="65">
      <t>ケンナイ</t>
    </rPh>
    <rPh sb="66" eb="68">
      <t>カンコウ</t>
    </rPh>
    <rPh sb="68" eb="70">
      <t>キョウカイ</t>
    </rPh>
    <rPh sb="71" eb="73">
      <t>アリマ</t>
    </rPh>
    <rPh sb="73" eb="75">
      <t>オンセン</t>
    </rPh>
    <rPh sb="75" eb="77">
      <t>カンコウ</t>
    </rPh>
    <rPh sb="77" eb="79">
      <t>キョウカイ</t>
    </rPh>
    <rPh sb="80" eb="82">
      <t>アコウ</t>
    </rPh>
    <rPh sb="82" eb="84">
      <t>カンコウ</t>
    </rPh>
    <rPh sb="84" eb="86">
      <t>キョウカイ</t>
    </rPh>
    <rPh sb="98" eb="100">
      <t>ジギョウ</t>
    </rPh>
    <rPh sb="100" eb="102">
      <t>シュウニュウ</t>
    </rPh>
    <rPh sb="110" eb="112">
      <t>トクレイ</t>
    </rPh>
    <rPh sb="112" eb="114">
      <t>ミンポウ</t>
    </rPh>
    <rPh sb="114" eb="116">
      <t>ホウジン</t>
    </rPh>
    <rPh sb="118" eb="119">
      <t>シン</t>
    </rPh>
    <rPh sb="119" eb="121">
      <t>コウエキ</t>
    </rPh>
    <rPh sb="121" eb="123">
      <t>ホウジン</t>
    </rPh>
    <rPh sb="123" eb="125">
      <t>セイド</t>
    </rPh>
    <rPh sb="127" eb="129">
      <t>イコウ</t>
    </rPh>
    <rPh sb="129" eb="131">
      <t>キカン</t>
    </rPh>
    <rPh sb="132" eb="134">
      <t>ヘイセイ</t>
    </rPh>
    <rPh sb="136" eb="137">
      <t>ネン</t>
    </rPh>
    <rPh sb="139" eb="140">
      <t>ガツ</t>
    </rPh>
    <rPh sb="140" eb="141">
      <t>マツ</t>
    </rPh>
    <rPh sb="142" eb="144">
      <t>シュウリョウ</t>
    </rPh>
    <rPh sb="150" eb="152">
      <t>トクレイ</t>
    </rPh>
    <rPh sb="152" eb="154">
      <t>ミンポウ</t>
    </rPh>
    <rPh sb="154" eb="156">
      <t>ホウジン</t>
    </rPh>
    <rPh sb="157" eb="158">
      <t>カン</t>
    </rPh>
    <rPh sb="160" eb="162">
      <t>ネンジ</t>
    </rPh>
    <rPh sb="162" eb="164">
      <t>ホウコク</t>
    </rPh>
    <rPh sb="166" eb="168">
      <t>ヘイセイ</t>
    </rPh>
    <rPh sb="170" eb="172">
      <t>ネンド</t>
    </rPh>
    <rPh sb="172" eb="174">
      <t>ホウコク</t>
    </rPh>
    <rPh sb="178" eb="180">
      <t>コウシン</t>
    </rPh>
    <rPh sb="189" eb="190">
      <t>ネン</t>
    </rPh>
    <rPh sb="190" eb="191">
      <t>ヒョウ</t>
    </rPh>
    <rPh sb="192" eb="193">
      <t>クニ</t>
    </rPh>
    <rPh sb="193" eb="195">
      <t>ヨウコウ</t>
    </rPh>
    <rPh sb="198" eb="200">
      <t>ニホン</t>
    </rPh>
    <rPh sb="200" eb="202">
      <t>ヒョウジュン</t>
    </rPh>
    <rPh sb="202" eb="204">
      <t>サンギョウ</t>
    </rPh>
    <rPh sb="204" eb="206">
      <t>ブンルイ</t>
    </rPh>
    <rPh sb="211" eb="212">
      <t>タ</t>
    </rPh>
    <rPh sb="213" eb="215">
      <t>ブンルイ</t>
    </rPh>
    <rPh sb="219" eb="221">
      <t>ウンユ</t>
    </rPh>
    <rPh sb="222" eb="224">
      <t>フタイ</t>
    </rPh>
    <rPh sb="230" eb="231">
      <t>ギョウ</t>
    </rPh>
    <rPh sb="235" eb="237">
      <t>カンコウ</t>
    </rPh>
    <rPh sb="237" eb="239">
      <t>キョウカイ</t>
    </rPh>
    <rPh sb="239" eb="240">
      <t>トウ</t>
    </rPh>
    <rPh sb="241" eb="242">
      <t>オコナ</t>
    </rPh>
    <rPh sb="243" eb="245">
      <t>カツドウ</t>
    </rPh>
    <rPh sb="246" eb="248">
      <t>ハンイ</t>
    </rPh>
    <rPh sb="257" eb="258">
      <t>ケイ</t>
    </rPh>
    <rPh sb="260" eb="262">
      <t>クミカエ</t>
    </rPh>
    <rPh sb="262" eb="263">
      <t>ヒョウ</t>
    </rPh>
    <rPh sb="267" eb="268">
      <t>タ</t>
    </rPh>
    <rPh sb="269" eb="271">
      <t>ウンユ</t>
    </rPh>
    <rPh sb="271" eb="273">
      <t>フタイ</t>
    </rPh>
    <rPh sb="279" eb="281">
      <t>ウリア</t>
    </rPh>
    <rPh sb="281" eb="283">
      <t>キンガク</t>
    </rPh>
    <rPh sb="284" eb="286">
      <t>アンブン</t>
    </rPh>
    <rPh sb="286" eb="288">
      <t>ヒリツ</t>
    </rPh>
    <rPh sb="291" eb="293">
      <t>シヨウ</t>
    </rPh>
    <phoneticPr fontId="14"/>
  </si>
  <si>
    <t>26年度全国研究会議での国交省資料によると、経セン組替集計の売上高＋消費税額をもってＣＴとしているのでそれに倣った。→R2年表では、左記資料の「運送取次・代理店サービス」の売上金額で按分した。大幅に増加しているが、そのままCTに使うともっと増加してしまう。</t>
    <rPh sb="2" eb="4">
      <t>ネンド</t>
    </rPh>
    <rPh sb="4" eb="6">
      <t>ゼンコク</t>
    </rPh>
    <rPh sb="6" eb="8">
      <t>ケンキュウ</t>
    </rPh>
    <rPh sb="8" eb="10">
      <t>カイギ</t>
    </rPh>
    <rPh sb="12" eb="14">
      <t>コッコウ</t>
    </rPh>
    <rPh sb="14" eb="15">
      <t>ショウ</t>
    </rPh>
    <rPh sb="15" eb="17">
      <t>シリョウ</t>
    </rPh>
    <rPh sb="22" eb="23">
      <t>ケイ</t>
    </rPh>
    <rPh sb="25" eb="27">
      <t>クミカエ</t>
    </rPh>
    <rPh sb="27" eb="29">
      <t>シュウケイ</t>
    </rPh>
    <rPh sb="30" eb="32">
      <t>ウリアゲ</t>
    </rPh>
    <rPh sb="32" eb="33">
      <t>ダカ</t>
    </rPh>
    <rPh sb="34" eb="37">
      <t>ショウヒゼイ</t>
    </rPh>
    <rPh sb="37" eb="38">
      <t>ガク</t>
    </rPh>
    <rPh sb="54" eb="55">
      <t>ナラ</t>
    </rPh>
    <rPh sb="61" eb="62">
      <t>ネン</t>
    </rPh>
    <rPh sb="62" eb="63">
      <t>ヒョウ</t>
    </rPh>
    <rPh sb="66" eb="68">
      <t>サキ</t>
    </rPh>
    <rPh sb="68" eb="70">
      <t>シリョウ</t>
    </rPh>
    <rPh sb="72" eb="74">
      <t>ウンソウ</t>
    </rPh>
    <rPh sb="74" eb="76">
      <t>トリツ</t>
    </rPh>
    <rPh sb="77" eb="80">
      <t>ダイリテン</t>
    </rPh>
    <rPh sb="86" eb="88">
      <t>ウリア</t>
    </rPh>
    <rPh sb="88" eb="90">
      <t>キンガク</t>
    </rPh>
    <rPh sb="91" eb="93">
      <t>アンブン</t>
    </rPh>
    <rPh sb="96" eb="98">
      <t>オオハバ</t>
    </rPh>
    <rPh sb="99" eb="101">
      <t>ゾウカ</t>
    </rPh>
    <rPh sb="114" eb="115">
      <t>ツカ</t>
    </rPh>
    <rPh sb="120" eb="122">
      <t>ゾウカ</t>
    </rPh>
    <phoneticPr fontId="14"/>
  </si>
  <si>
    <t>　水運附帯サービス（海運仲立業分）</t>
    <phoneticPr fontId="5"/>
  </si>
  <si>
    <t>26年度全国研究会議での国交省資料によると、経セン組替集計の売上高＋消費税額をもってＣＴとしているのでそれに倣った。→R2年表では、左記資料の「水運附帯サービス」の売上金額で按分した。大幅に増加しているが、そのままCTに使うともっと増加してしまう。</t>
    <rPh sb="2" eb="4">
      <t>ネンド</t>
    </rPh>
    <rPh sb="4" eb="6">
      <t>ゼンコク</t>
    </rPh>
    <rPh sb="6" eb="8">
      <t>ケンキュウ</t>
    </rPh>
    <rPh sb="8" eb="10">
      <t>カイギ</t>
    </rPh>
    <rPh sb="12" eb="14">
      <t>コッコウ</t>
    </rPh>
    <rPh sb="14" eb="15">
      <t>ショウ</t>
    </rPh>
    <rPh sb="15" eb="17">
      <t>シリョウ</t>
    </rPh>
    <rPh sb="22" eb="23">
      <t>ケイ</t>
    </rPh>
    <rPh sb="25" eb="27">
      <t>クミカエ</t>
    </rPh>
    <rPh sb="27" eb="29">
      <t>シュウケイ</t>
    </rPh>
    <rPh sb="30" eb="32">
      <t>ウリアゲ</t>
    </rPh>
    <rPh sb="32" eb="33">
      <t>ダカ</t>
    </rPh>
    <rPh sb="34" eb="37">
      <t>ショウヒゼイ</t>
    </rPh>
    <rPh sb="37" eb="38">
      <t>ガク</t>
    </rPh>
    <rPh sb="54" eb="55">
      <t>ナラ</t>
    </rPh>
    <rPh sb="61" eb="62">
      <t>ネン</t>
    </rPh>
    <rPh sb="62" eb="63">
      <t>ヒョウ</t>
    </rPh>
    <rPh sb="66" eb="68">
      <t>サキ</t>
    </rPh>
    <rPh sb="68" eb="70">
      <t>シリョウ</t>
    </rPh>
    <rPh sb="72" eb="74">
      <t>スイウン</t>
    </rPh>
    <rPh sb="74" eb="76">
      <t>フタイ</t>
    </rPh>
    <rPh sb="82" eb="84">
      <t>ウリア</t>
    </rPh>
    <rPh sb="84" eb="86">
      <t>キンガク</t>
    </rPh>
    <rPh sb="87" eb="89">
      <t>アンブン</t>
    </rPh>
    <rPh sb="92" eb="94">
      <t>オオハバ</t>
    </rPh>
    <rPh sb="95" eb="97">
      <t>ゾウカ</t>
    </rPh>
    <rPh sb="110" eb="111">
      <t>ツカ</t>
    </rPh>
    <rPh sb="116" eb="118">
      <t>ゾウカ</t>
    </rPh>
    <phoneticPr fontId="14"/>
  </si>
  <si>
    <t>日本郵政公社ＨＰ</t>
    <rPh sb="0" eb="2">
      <t>ニホン</t>
    </rPh>
    <rPh sb="2" eb="4">
      <t>ユウセイ</t>
    </rPh>
    <rPh sb="4" eb="6">
      <t>コウシャ</t>
    </rPh>
    <phoneticPr fontId="14"/>
  </si>
  <si>
    <t>引受内国郵便物数（年賀・選挙除く）の暦年換算値で按分。年賀・選挙を除くのは、県統計書にその記載しかないため。（暦年換算）→H27年度より引受内国郵便物数の県値は非公表となっているため、県統計書も27年度以降更新されていない。数値がとれないので、R3経セン公式集計の従業者数按分に変更した。R2国基本方針に記載のとおり日本標準産業分類の小分類491「郵便業（信書便事業を含む）」861「郵便局」862「郵便局受託業」の合計。（県民経済計算と同様の按分指標）</t>
    <rPh sb="0" eb="2">
      <t>ヒキウケ</t>
    </rPh>
    <rPh sb="9" eb="11">
      <t>ネンガ</t>
    </rPh>
    <rPh sb="12" eb="14">
      <t>センキョ</t>
    </rPh>
    <rPh sb="14" eb="15">
      <t>ノゾ</t>
    </rPh>
    <rPh sb="18" eb="20">
      <t>レキネン</t>
    </rPh>
    <rPh sb="20" eb="23">
      <t>カンサンチ</t>
    </rPh>
    <rPh sb="24" eb="26">
      <t>アンブン</t>
    </rPh>
    <rPh sb="27" eb="29">
      <t>ネンガ</t>
    </rPh>
    <rPh sb="30" eb="32">
      <t>センキョ</t>
    </rPh>
    <rPh sb="33" eb="34">
      <t>ノゾ</t>
    </rPh>
    <rPh sb="38" eb="39">
      <t>ケン</t>
    </rPh>
    <rPh sb="39" eb="42">
      <t>トウケイショ</t>
    </rPh>
    <rPh sb="45" eb="47">
      <t>キサイ</t>
    </rPh>
    <rPh sb="55" eb="57">
      <t>レキネン</t>
    </rPh>
    <rPh sb="57" eb="59">
      <t>カンサン</t>
    </rPh>
    <rPh sb="64" eb="66">
      <t>ネンド</t>
    </rPh>
    <rPh sb="68" eb="70">
      <t>ヒキウ</t>
    </rPh>
    <rPh sb="70" eb="72">
      <t>ナイコク</t>
    </rPh>
    <rPh sb="72" eb="75">
      <t>ユウビンブツ</t>
    </rPh>
    <rPh sb="75" eb="76">
      <t>スウ</t>
    </rPh>
    <rPh sb="77" eb="78">
      <t>ケン</t>
    </rPh>
    <rPh sb="78" eb="79">
      <t>チ</t>
    </rPh>
    <rPh sb="80" eb="83">
      <t>ヒコウヒョウ</t>
    </rPh>
    <rPh sb="92" eb="93">
      <t>ケン</t>
    </rPh>
    <rPh sb="93" eb="96">
      <t>トウケイショ</t>
    </rPh>
    <rPh sb="99" eb="101">
      <t>ネンド</t>
    </rPh>
    <rPh sb="101" eb="103">
      <t>イコウ</t>
    </rPh>
    <rPh sb="103" eb="105">
      <t>コウシン</t>
    </rPh>
    <rPh sb="112" eb="114">
      <t>スウチ</t>
    </rPh>
    <rPh sb="124" eb="125">
      <t>ケイ</t>
    </rPh>
    <rPh sb="127" eb="129">
      <t>コウシキ</t>
    </rPh>
    <rPh sb="129" eb="131">
      <t>シュウケイ</t>
    </rPh>
    <rPh sb="132" eb="135">
      <t>ジュウギョウシャ</t>
    </rPh>
    <rPh sb="135" eb="136">
      <t>スウ</t>
    </rPh>
    <rPh sb="136" eb="138">
      <t>アンブン</t>
    </rPh>
    <rPh sb="139" eb="141">
      <t>ヘンコウ</t>
    </rPh>
    <rPh sb="146" eb="147">
      <t>クニ</t>
    </rPh>
    <rPh sb="147" eb="149">
      <t>キホン</t>
    </rPh>
    <rPh sb="149" eb="151">
      <t>ホウシン</t>
    </rPh>
    <rPh sb="152" eb="154">
      <t>キサイ</t>
    </rPh>
    <rPh sb="158" eb="160">
      <t>ニホン</t>
    </rPh>
    <rPh sb="160" eb="162">
      <t>ヒョウジュン</t>
    </rPh>
    <rPh sb="162" eb="164">
      <t>サンギョウ</t>
    </rPh>
    <rPh sb="164" eb="166">
      <t>ブンルイ</t>
    </rPh>
    <rPh sb="167" eb="170">
      <t>ショウブンルイ</t>
    </rPh>
    <rPh sb="174" eb="176">
      <t>ユウビン</t>
    </rPh>
    <rPh sb="176" eb="177">
      <t>ギョウ</t>
    </rPh>
    <rPh sb="178" eb="181">
      <t>シンショビン</t>
    </rPh>
    <rPh sb="181" eb="183">
      <t>ジギョウ</t>
    </rPh>
    <rPh sb="184" eb="185">
      <t>フク</t>
    </rPh>
    <rPh sb="192" eb="195">
      <t>ユウビンキョク</t>
    </rPh>
    <rPh sb="200" eb="203">
      <t>ユウビンキョク</t>
    </rPh>
    <rPh sb="203" eb="205">
      <t>ジュタク</t>
    </rPh>
    <rPh sb="205" eb="206">
      <t>ギョウ</t>
    </rPh>
    <rPh sb="208" eb="210">
      <t>ゴウケイ</t>
    </rPh>
    <rPh sb="212" eb="214">
      <t>ケンミン</t>
    </rPh>
    <rPh sb="214" eb="216">
      <t>ケイザイ</t>
    </rPh>
    <rPh sb="216" eb="218">
      <t>ケイサン</t>
    </rPh>
    <rPh sb="219" eb="221">
      <t>ドウヨウ</t>
    </rPh>
    <rPh sb="222" eb="224">
      <t>アンブン</t>
    </rPh>
    <rPh sb="224" eb="226">
      <t>シヒョウ</t>
    </rPh>
    <phoneticPr fontId="14"/>
  </si>
  <si>
    <t>テレコムデータブック2022</t>
  </si>
  <si>
    <t>電話発信回数で按分（暦年換算）。→ＣＴ＝229778となり、前回表から大幅増のため、やむを得ず前回表と同じく経セン公式集計の固定電気通信業の従業者数で按分。→(R2年表）下記の移動電気通信のCT検討の際に、前回表までの固定電気通信の数値はあまりにも小さいのではないかとなった。移動電気通信と同様にテレコムデータブックの加入電話契約数で按分する方法に変更。数値は大幅に上がったが、対全国比3％程度となり、移動電気通信と近い割合でもあり、こちらの方が現実に近い数値と判断。暦年換算シートからリンク。</t>
    <rPh sb="0" eb="2">
      <t>デンワ</t>
    </rPh>
    <rPh sb="2" eb="4">
      <t>ハッシン</t>
    </rPh>
    <rPh sb="4" eb="6">
      <t>カイスウ</t>
    </rPh>
    <rPh sb="7" eb="9">
      <t>アンブン</t>
    </rPh>
    <rPh sb="10" eb="12">
      <t>レキネン</t>
    </rPh>
    <rPh sb="12" eb="14">
      <t>カンサン</t>
    </rPh>
    <rPh sb="30" eb="32">
      <t>ゼンカイ</t>
    </rPh>
    <rPh sb="32" eb="33">
      <t>オモテ</t>
    </rPh>
    <rPh sb="35" eb="38">
      <t>オオハバゾウ</t>
    </rPh>
    <rPh sb="45" eb="46">
      <t>エ</t>
    </rPh>
    <rPh sb="47" eb="49">
      <t>ゼンカイ</t>
    </rPh>
    <rPh sb="49" eb="50">
      <t>ヒョウ</t>
    </rPh>
    <rPh sb="51" eb="52">
      <t>オナ</t>
    </rPh>
    <rPh sb="54" eb="55">
      <t>ケイ</t>
    </rPh>
    <rPh sb="57" eb="59">
      <t>コウシキ</t>
    </rPh>
    <rPh sb="59" eb="61">
      <t>シュウケイ</t>
    </rPh>
    <rPh sb="62" eb="64">
      <t>コテイ</t>
    </rPh>
    <rPh sb="64" eb="66">
      <t>デンキ</t>
    </rPh>
    <rPh sb="66" eb="69">
      <t>ツウシンギョウ</t>
    </rPh>
    <rPh sb="70" eb="71">
      <t>ジュウ</t>
    </rPh>
    <rPh sb="71" eb="74">
      <t>ギョウシャスウ</t>
    </rPh>
    <rPh sb="75" eb="77">
      <t>アンブン</t>
    </rPh>
    <rPh sb="82" eb="83">
      <t>ネン</t>
    </rPh>
    <rPh sb="83" eb="84">
      <t>ヒョウ</t>
    </rPh>
    <rPh sb="85" eb="87">
      <t>カキ</t>
    </rPh>
    <rPh sb="88" eb="90">
      <t>イドウ</t>
    </rPh>
    <rPh sb="90" eb="92">
      <t>デンキ</t>
    </rPh>
    <rPh sb="92" eb="94">
      <t>ツウシン</t>
    </rPh>
    <rPh sb="97" eb="99">
      <t>ケントウ</t>
    </rPh>
    <rPh sb="100" eb="101">
      <t>サイ</t>
    </rPh>
    <rPh sb="103" eb="105">
      <t>ゼンカイ</t>
    </rPh>
    <rPh sb="105" eb="106">
      <t>ヒョウ</t>
    </rPh>
    <rPh sb="109" eb="111">
      <t>コテイ</t>
    </rPh>
    <rPh sb="111" eb="113">
      <t>デンキ</t>
    </rPh>
    <rPh sb="113" eb="115">
      <t>ツウシン</t>
    </rPh>
    <rPh sb="116" eb="118">
      <t>スウチ</t>
    </rPh>
    <rPh sb="124" eb="125">
      <t>チイ</t>
    </rPh>
    <rPh sb="138" eb="140">
      <t>イドウ</t>
    </rPh>
    <rPh sb="140" eb="142">
      <t>デンキ</t>
    </rPh>
    <rPh sb="142" eb="144">
      <t>ツウシン</t>
    </rPh>
    <rPh sb="145" eb="147">
      <t>ドウヨウ</t>
    </rPh>
    <rPh sb="159" eb="161">
      <t>カニュウ</t>
    </rPh>
    <rPh sb="161" eb="163">
      <t>デンワ</t>
    </rPh>
    <rPh sb="163" eb="166">
      <t>ケイヤクスウ</t>
    </rPh>
    <rPh sb="167" eb="169">
      <t>アンブン</t>
    </rPh>
    <rPh sb="171" eb="173">
      <t>ホウホウ</t>
    </rPh>
    <rPh sb="174" eb="176">
      <t>ヘンコウ</t>
    </rPh>
    <rPh sb="177" eb="179">
      <t>スウチ</t>
    </rPh>
    <rPh sb="180" eb="182">
      <t>オオハバ</t>
    </rPh>
    <rPh sb="183" eb="184">
      <t>ア</t>
    </rPh>
    <rPh sb="189" eb="190">
      <t>タイ</t>
    </rPh>
    <rPh sb="190" eb="193">
      <t>ゼンコクヒ</t>
    </rPh>
    <rPh sb="195" eb="197">
      <t>テイド</t>
    </rPh>
    <rPh sb="201" eb="203">
      <t>イドウ</t>
    </rPh>
    <rPh sb="203" eb="205">
      <t>デンキ</t>
    </rPh>
    <rPh sb="205" eb="207">
      <t>ツウシン</t>
    </rPh>
    <rPh sb="208" eb="209">
      <t>チカ</t>
    </rPh>
    <rPh sb="210" eb="212">
      <t>ワリアイ</t>
    </rPh>
    <rPh sb="221" eb="222">
      <t>ホウ</t>
    </rPh>
    <rPh sb="223" eb="225">
      <t>ゲンジツ</t>
    </rPh>
    <rPh sb="226" eb="227">
      <t>チカ</t>
    </rPh>
    <rPh sb="228" eb="230">
      <t>スウチ</t>
    </rPh>
    <rPh sb="231" eb="233">
      <t>ハンダン</t>
    </rPh>
    <rPh sb="234" eb="236">
      <t>レキネン</t>
    </rPh>
    <rPh sb="236" eb="238">
      <t>カンサン</t>
    </rPh>
    <phoneticPr fontId="14"/>
  </si>
  <si>
    <t>　固定音声伝送サービス</t>
    <phoneticPr fontId="5"/>
  </si>
  <si>
    <t>　固定データ伝送サービス</t>
    <phoneticPr fontId="5"/>
  </si>
  <si>
    <t>　事業者向けネットワーク・専用サービス</t>
    <phoneticPr fontId="5"/>
  </si>
  <si>
    <t>　国内電気通信事業者向け接続・共用・卸電気通信サービス（固定電気通信）</t>
    <phoneticPr fontId="5"/>
  </si>
  <si>
    <t>　国外電気通信事業者向け接続・共用・卸電気通信サービス（固定電気通信）</t>
    <phoneticPr fontId="5"/>
  </si>
  <si>
    <t>　サーバーハウジングサービス</t>
    <phoneticPr fontId="5"/>
  </si>
  <si>
    <t>　ＩＣＴ機器・設備共用サービス</t>
    <phoneticPr fontId="5"/>
  </si>
  <si>
    <t>　その他の音声・データ伝送サービス（固定電気通信）</t>
    <phoneticPr fontId="5"/>
  </si>
  <si>
    <t>テレコムデータブック2022</t>
    <phoneticPr fontId="5"/>
  </si>
  <si>
    <t>前回表と同様、テレコムデータブックの契約者数で按分→(R2年表）移動電気通信の中の細品目が細分化されている。しかし検討の結果、細品目の合計値を契約数で按分するという、H27年表と同様の方法にすることになった。マニュアルの方法にも準じている。詳細は「推計個別ファイル」フォルダ内の「移動電気通信」フォルダを参照。暦年換算シートからリンク。</t>
    <rPh sb="0" eb="1">
      <t>ゼン</t>
    </rPh>
    <rPh sb="1" eb="3">
      <t>カイヒョウ</t>
    </rPh>
    <rPh sb="4" eb="6">
      <t>ドウヨウ</t>
    </rPh>
    <rPh sb="18" eb="21">
      <t>ケイヤクシャ</t>
    </rPh>
    <rPh sb="21" eb="22">
      <t>スウ</t>
    </rPh>
    <rPh sb="23" eb="25">
      <t>アンブン</t>
    </rPh>
    <rPh sb="32" eb="34">
      <t>イドウ</t>
    </rPh>
    <rPh sb="34" eb="36">
      <t>デンキ</t>
    </rPh>
    <rPh sb="57" eb="59">
      <t>ケントウ</t>
    </rPh>
    <rPh sb="60" eb="62">
      <t>ケッカ</t>
    </rPh>
    <rPh sb="63" eb="64">
      <t>サイ</t>
    </rPh>
    <rPh sb="64" eb="66">
      <t>ヒンモク</t>
    </rPh>
    <rPh sb="67" eb="70">
      <t>ゴウケイチ</t>
    </rPh>
    <rPh sb="86" eb="87">
      <t>ネン</t>
    </rPh>
    <rPh sb="87" eb="88">
      <t>ヒョウ</t>
    </rPh>
    <rPh sb="89" eb="91">
      <t>ドウヨウ</t>
    </rPh>
    <rPh sb="92" eb="94">
      <t>ホウホウ</t>
    </rPh>
    <rPh sb="110" eb="112">
      <t>ホウホウ</t>
    </rPh>
    <rPh sb="114" eb="115">
      <t>ジュン</t>
    </rPh>
    <rPh sb="120" eb="122">
      <t>ショウサイ</t>
    </rPh>
    <rPh sb="124" eb="126">
      <t>スイケイ</t>
    </rPh>
    <rPh sb="126" eb="128">
      <t>コベツ</t>
    </rPh>
    <rPh sb="137" eb="138">
      <t>ナイ</t>
    </rPh>
    <rPh sb="140" eb="142">
      <t>イドウ</t>
    </rPh>
    <rPh sb="142" eb="144">
      <t>デンキ</t>
    </rPh>
    <rPh sb="144" eb="146">
      <t>ツウシン</t>
    </rPh>
    <rPh sb="152" eb="154">
      <t>サンショウ</t>
    </rPh>
    <rPh sb="155" eb="157">
      <t>レキネン</t>
    </rPh>
    <rPh sb="157" eb="159">
      <t>カンサン</t>
    </rPh>
    <phoneticPr fontId="14"/>
  </si>
  <si>
    <t>　移動音声伝送サービス</t>
    <phoneticPr fontId="5"/>
  </si>
  <si>
    <t>　移動データ伝送サービス</t>
    <phoneticPr fontId="5"/>
  </si>
  <si>
    <t>　国内電気通信事業者向け接続・共用・卸電気通信サービス（移動電気通信）</t>
    <phoneticPr fontId="5"/>
  </si>
  <si>
    <t>　国外電気通信事業者向け接続・共用・卸電気通信サービス（移動電気通信）</t>
    <phoneticPr fontId="5"/>
  </si>
  <si>
    <t>　その他の音声・データ伝送サービス（移動電気通信）</t>
    <phoneticPr fontId="5"/>
  </si>
  <si>
    <t>5911-03</t>
    <phoneticPr fontId="15"/>
  </si>
  <si>
    <t>5911-031</t>
    <phoneticPr fontId="14"/>
  </si>
  <si>
    <t>R3経済センサス活動調査　公式集計</t>
    <rPh sb="2" eb="4">
      <t>ケイザイ</t>
    </rPh>
    <rPh sb="8" eb="10">
      <t>カツドウ</t>
    </rPh>
    <rPh sb="10" eb="12">
      <t>チョウサ</t>
    </rPh>
    <rPh sb="13" eb="15">
      <t>コウシキ</t>
    </rPh>
    <rPh sb="15" eb="17">
      <t>シュウケイ</t>
    </rPh>
    <phoneticPr fontId="5"/>
  </si>
  <si>
    <t>マニュアルに基づき従業者数按分。373電気通信に付帯するｻ-ﾋﾞｽ業（要綱p242）。→R2表も同様とする。</t>
    <rPh sb="6" eb="7">
      <t>モト</t>
    </rPh>
    <rPh sb="9" eb="10">
      <t>ジュウ</t>
    </rPh>
    <rPh sb="10" eb="13">
      <t>ギョウシャスウ</t>
    </rPh>
    <rPh sb="13" eb="15">
      <t>アンブン</t>
    </rPh>
    <rPh sb="35" eb="37">
      <t>ヨウコウ</t>
    </rPh>
    <rPh sb="46" eb="47">
      <t>ヒョウ</t>
    </rPh>
    <rPh sb="48" eb="50">
      <t>ドウヨウ</t>
    </rPh>
    <phoneticPr fontId="14"/>
  </si>
  <si>
    <t>　公共放送</t>
    <phoneticPr fontId="5"/>
  </si>
  <si>
    <t>県民経済計算から</t>
    <rPh sb="0" eb="1">
      <t>ケン</t>
    </rPh>
    <rPh sb="1" eb="2">
      <t>ミン</t>
    </rPh>
    <rPh sb="2" eb="4">
      <t>ケイザイ</t>
    </rPh>
    <rPh sb="4" eb="6">
      <t>ケイサン</t>
    </rPh>
    <phoneticPr fontId="5"/>
  </si>
  <si>
    <t>マニュアル記載の放送局単位の事業支出はネットから入手できないため、県民経済計算の按分指標である都道府県別受信契約数を用いた。暦年換算シートからリンク→R2も同様とする。</t>
    <rPh sb="5" eb="7">
      <t>キサイ</t>
    </rPh>
    <rPh sb="8" eb="11">
      <t>ホウソウキョク</t>
    </rPh>
    <rPh sb="11" eb="13">
      <t>タンイ</t>
    </rPh>
    <rPh sb="14" eb="16">
      <t>ジギョウ</t>
    </rPh>
    <rPh sb="16" eb="18">
      <t>シシュツ</t>
    </rPh>
    <rPh sb="24" eb="26">
      <t>ニュウシュ</t>
    </rPh>
    <rPh sb="33" eb="35">
      <t>ケンミン</t>
    </rPh>
    <rPh sb="35" eb="37">
      <t>ケイザイ</t>
    </rPh>
    <rPh sb="37" eb="39">
      <t>ケイサン</t>
    </rPh>
    <rPh sb="40" eb="42">
      <t>アンブン</t>
    </rPh>
    <rPh sb="42" eb="44">
      <t>シヒョウ</t>
    </rPh>
    <rPh sb="47" eb="51">
      <t>トドウフケン</t>
    </rPh>
    <rPh sb="51" eb="52">
      <t>ベツ</t>
    </rPh>
    <rPh sb="52" eb="54">
      <t>ジュシン</t>
    </rPh>
    <rPh sb="54" eb="57">
      <t>ケイヤクスウ</t>
    </rPh>
    <rPh sb="58" eb="59">
      <t>モチ</t>
    </rPh>
    <rPh sb="62" eb="64">
      <t>レキネン</t>
    </rPh>
    <rPh sb="64" eb="66">
      <t>カンザン</t>
    </rPh>
    <rPh sb="78" eb="80">
      <t>ドウヨウ</t>
    </rPh>
    <phoneticPr fontId="14"/>
  </si>
  <si>
    <t>　テレビ番組の娯楽作品原本（公共放送）</t>
    <phoneticPr fontId="5"/>
  </si>
  <si>
    <t>R2年国CTで新たに追加になった項目。推計方法の手がかりがないため、上記公共放送の按分指標をそのまま使用。次回表作成の際には国の推計方法が出ていると思うので、参考にみなおした方が良い。</t>
    <rPh sb="2" eb="3">
      <t>ネン</t>
    </rPh>
    <rPh sb="3" eb="4">
      <t>クニ</t>
    </rPh>
    <rPh sb="7" eb="8">
      <t>アラ</t>
    </rPh>
    <rPh sb="10" eb="12">
      <t>ツイカ</t>
    </rPh>
    <rPh sb="16" eb="18">
      <t>コウモク</t>
    </rPh>
    <rPh sb="19" eb="21">
      <t>スイケイ</t>
    </rPh>
    <rPh sb="21" eb="23">
      <t>ホウホウ</t>
    </rPh>
    <rPh sb="24" eb="25">
      <t>テ</t>
    </rPh>
    <rPh sb="34" eb="36">
      <t>ジョウキ</t>
    </rPh>
    <rPh sb="36" eb="38">
      <t>コウキョウ</t>
    </rPh>
    <rPh sb="38" eb="40">
      <t>ホウソウ</t>
    </rPh>
    <rPh sb="41" eb="43">
      <t>アンブン</t>
    </rPh>
    <rPh sb="43" eb="45">
      <t>シヒョウ</t>
    </rPh>
    <rPh sb="50" eb="52">
      <t>シヨウ</t>
    </rPh>
    <rPh sb="53" eb="55">
      <t>ジカイ</t>
    </rPh>
    <rPh sb="55" eb="56">
      <t>ヒョウ</t>
    </rPh>
    <rPh sb="56" eb="58">
      <t>サクセイ</t>
    </rPh>
    <rPh sb="59" eb="60">
      <t>サイ</t>
    </rPh>
    <rPh sb="62" eb="63">
      <t>クニ</t>
    </rPh>
    <rPh sb="64" eb="66">
      <t>スイケイ</t>
    </rPh>
    <rPh sb="66" eb="68">
      <t>ホウホウ</t>
    </rPh>
    <rPh sb="69" eb="70">
      <t>デ</t>
    </rPh>
    <rPh sb="74" eb="75">
      <t>オモ</t>
    </rPh>
    <rPh sb="79" eb="81">
      <t>サンコウ</t>
    </rPh>
    <rPh sb="87" eb="88">
      <t>ホウ</t>
    </rPh>
    <rPh sb="89" eb="90">
      <t>ヨ</t>
    </rPh>
    <phoneticPr fontId="5"/>
  </si>
  <si>
    <t>情報通信業基本調査</t>
    <rPh sb="0" eb="2">
      <t>ジョウホウ</t>
    </rPh>
    <rPh sb="2" eb="5">
      <t>ツウシンギョウ</t>
    </rPh>
    <rPh sb="5" eb="7">
      <t>キホン</t>
    </rPh>
    <rPh sb="7" eb="9">
      <t>チョウサ</t>
    </rPh>
    <phoneticPr fontId="14"/>
  </si>
  <si>
    <t>マニュアル記載の地域内所在の放送局がはっきりとわからないので、その方法はとらないこととした。26年度全国会議資料１及び総務省提示資料によると、経セン組替表の売上高・副業をＣＴとしているようだが、当該部門は公共放送の分も含んでいるとのことであり、その分を差し引いている。しかし、県値で同様に公共放送を差し引く対応をしようとすると、マイナスになってしまうため、別方法をとる必要がある。17年表と同様の統計では県別の売上収入が得られなくなっているため、経セン公式集計の従業者数按分にした。（382 民間放送の従業者数で按分）
→この方法ではＣＴ＝21864となり、前回表から大幅増となった。このため近経局と同様、情報通信業基本調査を用いる方法に変更。ただし、当該産業以外の売上高を控除するとされているが、全国ではそれができるが県値でそれができないため、単純に売上高で按分。結果的に前回表の方法と同じ。
→27年表も同様とする
→R2年表では、細品目が細分化され、経セン組替表第01表と項目が概ね合致していたため、経セン組替表を使う方法に変更。</t>
    <rPh sb="5" eb="7">
      <t>キサイ</t>
    </rPh>
    <rPh sb="8" eb="10">
      <t>チイキ</t>
    </rPh>
    <rPh sb="10" eb="11">
      <t>ナイ</t>
    </rPh>
    <rPh sb="11" eb="13">
      <t>ショザイ</t>
    </rPh>
    <rPh sb="14" eb="17">
      <t>ホウソウキョク</t>
    </rPh>
    <rPh sb="33" eb="35">
      <t>ホウホウ</t>
    </rPh>
    <rPh sb="48" eb="50">
      <t>ネンド</t>
    </rPh>
    <rPh sb="50" eb="52">
      <t>ゼンコク</t>
    </rPh>
    <rPh sb="52" eb="54">
      <t>カイギ</t>
    </rPh>
    <rPh sb="54" eb="56">
      <t>シリョウ</t>
    </rPh>
    <rPh sb="57" eb="58">
      <t>オヨ</t>
    </rPh>
    <rPh sb="59" eb="62">
      <t>ソウムショウ</t>
    </rPh>
    <rPh sb="62" eb="64">
      <t>テイジ</t>
    </rPh>
    <rPh sb="64" eb="66">
      <t>シリョウ</t>
    </rPh>
    <rPh sb="71" eb="72">
      <t>ケイ</t>
    </rPh>
    <rPh sb="74" eb="76">
      <t>クミカエ</t>
    </rPh>
    <rPh sb="76" eb="77">
      <t>ヒョウ</t>
    </rPh>
    <rPh sb="78" eb="80">
      <t>ウリアゲ</t>
    </rPh>
    <rPh sb="80" eb="81">
      <t>ダカ</t>
    </rPh>
    <rPh sb="82" eb="84">
      <t>フクギョウ</t>
    </rPh>
    <rPh sb="97" eb="99">
      <t>トウガイ</t>
    </rPh>
    <rPh sb="99" eb="101">
      <t>ブモン</t>
    </rPh>
    <rPh sb="102" eb="104">
      <t>コウキョウ</t>
    </rPh>
    <rPh sb="104" eb="106">
      <t>ホウソウ</t>
    </rPh>
    <rPh sb="107" eb="108">
      <t>ブン</t>
    </rPh>
    <rPh sb="109" eb="110">
      <t>フク</t>
    </rPh>
    <rPh sb="124" eb="125">
      <t>ブン</t>
    </rPh>
    <rPh sb="126" eb="127">
      <t>サ</t>
    </rPh>
    <rPh sb="128" eb="129">
      <t>ヒ</t>
    </rPh>
    <rPh sb="138" eb="139">
      <t>ケン</t>
    </rPh>
    <rPh sb="139" eb="140">
      <t>チ</t>
    </rPh>
    <rPh sb="141" eb="143">
      <t>ドウヨウ</t>
    </rPh>
    <rPh sb="144" eb="146">
      <t>コウキョウ</t>
    </rPh>
    <rPh sb="146" eb="148">
      <t>ホウソウ</t>
    </rPh>
    <rPh sb="149" eb="150">
      <t>サ</t>
    </rPh>
    <rPh sb="151" eb="152">
      <t>ヒ</t>
    </rPh>
    <rPh sb="153" eb="155">
      <t>タイオウ</t>
    </rPh>
    <rPh sb="178" eb="181">
      <t>ベツホウホウ</t>
    </rPh>
    <rPh sb="184" eb="186">
      <t>ヒツヨウ</t>
    </rPh>
    <rPh sb="192" eb="193">
      <t>ネン</t>
    </rPh>
    <rPh sb="193" eb="194">
      <t>ヒョウ</t>
    </rPh>
    <rPh sb="195" eb="197">
      <t>ドウヨウ</t>
    </rPh>
    <rPh sb="198" eb="200">
      <t>トウケイ</t>
    </rPh>
    <rPh sb="202" eb="204">
      <t>ケンベツ</t>
    </rPh>
    <rPh sb="205" eb="207">
      <t>ウリアゲ</t>
    </rPh>
    <rPh sb="207" eb="209">
      <t>シュウニュウ</t>
    </rPh>
    <rPh sb="210" eb="211">
      <t>エ</t>
    </rPh>
    <rPh sb="223" eb="224">
      <t>ケイ</t>
    </rPh>
    <rPh sb="226" eb="228">
      <t>コウシキ</t>
    </rPh>
    <rPh sb="228" eb="230">
      <t>シュウケイ</t>
    </rPh>
    <rPh sb="231" eb="234">
      <t>ジュウギョウシャ</t>
    </rPh>
    <rPh sb="234" eb="235">
      <t>スウ</t>
    </rPh>
    <rPh sb="235" eb="237">
      <t>アンブン</t>
    </rPh>
    <rPh sb="246" eb="248">
      <t>ミンカン</t>
    </rPh>
    <rPh sb="248" eb="250">
      <t>ホウソウ</t>
    </rPh>
    <rPh sb="251" eb="252">
      <t>ジュウ</t>
    </rPh>
    <rPh sb="252" eb="255">
      <t>ギョウシャスウ</t>
    </rPh>
    <rPh sb="256" eb="258">
      <t>アンブン</t>
    </rPh>
    <rPh sb="263" eb="265">
      <t>ホウホウ</t>
    </rPh>
    <rPh sb="279" eb="281">
      <t>ゼンカイ</t>
    </rPh>
    <rPh sb="281" eb="282">
      <t>ヒョウ</t>
    </rPh>
    <rPh sb="284" eb="287">
      <t>オオハバゾウ</t>
    </rPh>
    <rPh sb="296" eb="297">
      <t>キン</t>
    </rPh>
    <rPh sb="297" eb="298">
      <t>ケイ</t>
    </rPh>
    <rPh sb="298" eb="299">
      <t>キョク</t>
    </rPh>
    <rPh sb="300" eb="302">
      <t>ドウヨウ</t>
    </rPh>
    <rPh sb="303" eb="305">
      <t>ジョウホウ</t>
    </rPh>
    <rPh sb="305" eb="308">
      <t>ツウシンギョウ</t>
    </rPh>
    <rPh sb="308" eb="310">
      <t>キホン</t>
    </rPh>
    <rPh sb="310" eb="312">
      <t>チョウサ</t>
    </rPh>
    <rPh sb="313" eb="314">
      <t>モチ</t>
    </rPh>
    <rPh sb="316" eb="318">
      <t>ホウホウ</t>
    </rPh>
    <rPh sb="319" eb="321">
      <t>ヘンコウ</t>
    </rPh>
    <rPh sb="326" eb="328">
      <t>トウガイ</t>
    </rPh>
    <rPh sb="328" eb="330">
      <t>サンギョウ</t>
    </rPh>
    <rPh sb="330" eb="332">
      <t>イガイ</t>
    </rPh>
    <rPh sb="333" eb="335">
      <t>ウリアゲ</t>
    </rPh>
    <rPh sb="335" eb="336">
      <t>ダカ</t>
    </rPh>
    <rPh sb="337" eb="339">
      <t>コウジョ</t>
    </rPh>
    <rPh sb="349" eb="351">
      <t>ゼンコク</t>
    </rPh>
    <rPh sb="360" eb="361">
      <t>ケン</t>
    </rPh>
    <rPh sb="361" eb="362">
      <t>チ</t>
    </rPh>
    <rPh sb="373" eb="375">
      <t>タンジュン</t>
    </rPh>
    <rPh sb="376" eb="378">
      <t>ウリアゲ</t>
    </rPh>
    <rPh sb="378" eb="379">
      <t>ダカ</t>
    </rPh>
    <rPh sb="380" eb="382">
      <t>アンブン</t>
    </rPh>
    <rPh sb="383" eb="386">
      <t>ケッカテキ</t>
    </rPh>
    <rPh sb="387" eb="389">
      <t>ゼンカイ</t>
    </rPh>
    <rPh sb="389" eb="390">
      <t>ヒョウ</t>
    </rPh>
    <rPh sb="391" eb="393">
      <t>ホウホウ</t>
    </rPh>
    <rPh sb="394" eb="395">
      <t>オナ</t>
    </rPh>
    <rPh sb="401" eb="402">
      <t>ネン</t>
    </rPh>
    <rPh sb="402" eb="403">
      <t>ヒョウ</t>
    </rPh>
    <rPh sb="404" eb="406">
      <t>ドウヨウ</t>
    </rPh>
    <rPh sb="413" eb="414">
      <t>ネン</t>
    </rPh>
    <rPh sb="414" eb="415">
      <t>ヒョウ</t>
    </rPh>
    <rPh sb="418" eb="419">
      <t>サイ</t>
    </rPh>
    <rPh sb="419" eb="421">
      <t>ヒンモク</t>
    </rPh>
    <rPh sb="422" eb="425">
      <t>サイブンカ</t>
    </rPh>
    <rPh sb="428" eb="429">
      <t>ケイ</t>
    </rPh>
    <rPh sb="431" eb="433">
      <t>クミカエ</t>
    </rPh>
    <rPh sb="433" eb="434">
      <t>ヒョウ</t>
    </rPh>
    <rPh sb="434" eb="435">
      <t>ダイ</t>
    </rPh>
    <rPh sb="437" eb="438">
      <t>ヒョウ</t>
    </rPh>
    <rPh sb="439" eb="441">
      <t>コウモク</t>
    </rPh>
    <rPh sb="442" eb="443">
      <t>オオム</t>
    </rPh>
    <rPh sb="444" eb="446">
      <t>ガッチ</t>
    </rPh>
    <rPh sb="453" eb="454">
      <t>ケイ</t>
    </rPh>
    <rPh sb="456" eb="458">
      <t>クミカエ</t>
    </rPh>
    <rPh sb="458" eb="459">
      <t>ヒョウ</t>
    </rPh>
    <rPh sb="460" eb="461">
      <t>ツカ</t>
    </rPh>
    <rPh sb="462" eb="464">
      <t>ホウホウ</t>
    </rPh>
    <rPh sb="465" eb="467">
      <t>ヘンコウ</t>
    </rPh>
    <phoneticPr fontId="14"/>
  </si>
  <si>
    <t>　テレビ放送・配信サービス（視聴料収入）（民間放送）</t>
    <phoneticPr fontId="5"/>
  </si>
  <si>
    <t>R2国CTでは細品目が細分化されたが、国CTと経セン組替表全国値が完全に一致していることから、経セン組替表の売り上げ金額を直接県CTに計上する方法に変更。</t>
    <rPh sb="2" eb="3">
      <t>クニ</t>
    </rPh>
    <phoneticPr fontId="5"/>
  </si>
  <si>
    <t>　テレビ放送・配信サービス（広告収入）（民間放送）</t>
    <phoneticPr fontId="5"/>
  </si>
  <si>
    <t>　ラジオ放送・配信サービス（聴取料収入）（民間放送）</t>
    <phoneticPr fontId="5"/>
  </si>
  <si>
    <t>　ラジオ放送・配信サービス（広告収入）（民間放送）</t>
    <phoneticPr fontId="5"/>
  </si>
  <si>
    <t>　放送附帯サービス（民間放送）</t>
    <phoneticPr fontId="5"/>
  </si>
  <si>
    <t>　テレビ番組の娯楽作品原本（民間放送）</t>
    <phoneticPr fontId="5"/>
  </si>
  <si>
    <t>R2年国CTで新たに追加になった項目。推計方法の手がかりがないため、民間放送の当該項目以外のCT値合計を按分比率として使用した。次回表作成の際には国の推計方法が出ていると思うので、参考にみなおした方が良い。</t>
    <rPh sb="2" eb="3">
      <t>ネン</t>
    </rPh>
    <rPh sb="3" eb="4">
      <t>クニ</t>
    </rPh>
    <rPh sb="7" eb="8">
      <t>アラ</t>
    </rPh>
    <rPh sb="10" eb="12">
      <t>ツイカ</t>
    </rPh>
    <rPh sb="16" eb="18">
      <t>コウモク</t>
    </rPh>
    <rPh sb="19" eb="21">
      <t>スイケイ</t>
    </rPh>
    <rPh sb="21" eb="23">
      <t>ホウホウ</t>
    </rPh>
    <rPh sb="24" eb="25">
      <t>テ</t>
    </rPh>
    <rPh sb="34" eb="36">
      <t>ミンカン</t>
    </rPh>
    <rPh sb="36" eb="38">
      <t>ホウソウ</t>
    </rPh>
    <rPh sb="39" eb="41">
      <t>トウガイ</t>
    </rPh>
    <rPh sb="41" eb="43">
      <t>コウモク</t>
    </rPh>
    <rPh sb="43" eb="45">
      <t>イガイ</t>
    </rPh>
    <rPh sb="48" eb="49">
      <t>チ</t>
    </rPh>
    <rPh sb="49" eb="51">
      <t>ゴウケイ</t>
    </rPh>
    <rPh sb="52" eb="54">
      <t>アンブン</t>
    </rPh>
    <rPh sb="54" eb="56">
      <t>ヒリツ</t>
    </rPh>
    <rPh sb="59" eb="61">
      <t>シヨウ</t>
    </rPh>
    <rPh sb="64" eb="66">
      <t>ジカイ</t>
    </rPh>
    <rPh sb="66" eb="67">
      <t>ヒョウ</t>
    </rPh>
    <rPh sb="67" eb="69">
      <t>サクセイ</t>
    </rPh>
    <rPh sb="70" eb="71">
      <t>サイ</t>
    </rPh>
    <rPh sb="73" eb="74">
      <t>クニ</t>
    </rPh>
    <rPh sb="75" eb="77">
      <t>スイケイ</t>
    </rPh>
    <rPh sb="77" eb="79">
      <t>ホウホウ</t>
    </rPh>
    <rPh sb="80" eb="81">
      <t>デ</t>
    </rPh>
    <rPh sb="85" eb="86">
      <t>オモ</t>
    </rPh>
    <rPh sb="90" eb="92">
      <t>サンコウ</t>
    </rPh>
    <rPh sb="98" eb="99">
      <t>ホウ</t>
    </rPh>
    <rPh sb="100" eb="101">
      <t>ヨ</t>
    </rPh>
    <phoneticPr fontId="5"/>
  </si>
  <si>
    <t>　テレビ放送・配信サービス（視聴料収入）（有線放送）</t>
    <phoneticPr fontId="5"/>
  </si>
  <si>
    <t>マニュアルに記載なし。経セン組替19表の売上高で按分（従業者数より望ましいとマニュアルp75に記載の原則に基づく）。→R2国CTでは細品目が細分化されたが、国CTと経セン組替表全国値が完全に一致していることから、経セン組替表の売り上げ金額を直接県CTに計上する方法に変更。</t>
    <rPh sb="6" eb="8">
      <t>キサイ</t>
    </rPh>
    <rPh sb="11" eb="12">
      <t>ケイ</t>
    </rPh>
    <rPh sb="14" eb="16">
      <t>クミカエ</t>
    </rPh>
    <rPh sb="18" eb="19">
      <t>ヒョウ</t>
    </rPh>
    <rPh sb="20" eb="22">
      <t>ウリアゲ</t>
    </rPh>
    <rPh sb="22" eb="23">
      <t>ダカ</t>
    </rPh>
    <rPh sb="24" eb="26">
      <t>アンブン</t>
    </rPh>
    <rPh sb="27" eb="28">
      <t>ジュウ</t>
    </rPh>
    <rPh sb="28" eb="31">
      <t>ギョウシャスウ</t>
    </rPh>
    <rPh sb="33" eb="34">
      <t>ノゾ</t>
    </rPh>
    <rPh sb="47" eb="49">
      <t>キサイ</t>
    </rPh>
    <rPh sb="50" eb="52">
      <t>ゲンソク</t>
    </rPh>
    <rPh sb="53" eb="54">
      <t>モト</t>
    </rPh>
    <phoneticPr fontId="14"/>
  </si>
  <si>
    <t>　テレビ放送・配信サービス（広告収入）（有線放送）</t>
    <phoneticPr fontId="5"/>
  </si>
  <si>
    <t>　ラジオ放送・配信サービス（聴取料収入）（有線放送）</t>
    <phoneticPr fontId="5"/>
  </si>
  <si>
    <t>　ラジオ放送・配信サービス（広告収入）（有線放送）</t>
    <phoneticPr fontId="5"/>
  </si>
  <si>
    <t>　放送附帯サービス（有線放送）</t>
    <phoneticPr fontId="5"/>
  </si>
  <si>
    <t>経セン組替01表</t>
    <phoneticPr fontId="5"/>
  </si>
  <si>
    <t>経産省管轄の部門であるが、国値の推計方法にはセンサスを使うとしか記載がない（2015.3.13提供の経産省の推計方法）。マニュアルp98では、この部門はサービス産業Ｂに区分されており、サービス関連部門と同様の推計方法をとるとのことであるので、おそらく復元処理は行われているはずである。また、マニュアルp116には復元困難部門に該当との記載があるので、県値においても復元処理のみを行い、副業は加えない。（別シートよりリンク）
→経産省はそのような場合は復元していないので県値も復元を行わず、経セン19表から直接とった。
→27年表も同様とした
→R2年表では、国のCT細品目が大幅に変更された。経セン組替表第01表の項目とほぼ一致している積み上げ品目であるが、国のCTと経セン組替表の全国値に乖離があるため、そのまま県値を使うことはせず、組替表の売り上げ金額の対全国比で按分することにした。</t>
    <rPh sb="0" eb="3">
      <t>ケイサンショウ</t>
    </rPh>
    <rPh sb="3" eb="5">
      <t>カンカツ</t>
    </rPh>
    <rPh sb="6" eb="8">
      <t>ブモン</t>
    </rPh>
    <rPh sb="13" eb="15">
      <t>クニチ</t>
    </rPh>
    <rPh sb="16" eb="18">
      <t>スイケイ</t>
    </rPh>
    <rPh sb="18" eb="20">
      <t>ホウホウ</t>
    </rPh>
    <rPh sb="27" eb="28">
      <t>ツカ</t>
    </rPh>
    <rPh sb="32" eb="34">
      <t>キサイ</t>
    </rPh>
    <rPh sb="47" eb="49">
      <t>テイキョウ</t>
    </rPh>
    <rPh sb="50" eb="53">
      <t>ケイサンショウ</t>
    </rPh>
    <rPh sb="54" eb="56">
      <t>スイケイ</t>
    </rPh>
    <rPh sb="56" eb="58">
      <t>ホウホウ</t>
    </rPh>
    <rPh sb="73" eb="75">
      <t>ブモン</t>
    </rPh>
    <rPh sb="80" eb="82">
      <t>サンギョウ</t>
    </rPh>
    <rPh sb="84" eb="86">
      <t>クブン</t>
    </rPh>
    <rPh sb="96" eb="98">
      <t>カンレン</t>
    </rPh>
    <rPh sb="98" eb="100">
      <t>ブモン</t>
    </rPh>
    <rPh sb="101" eb="103">
      <t>ドウヨウ</t>
    </rPh>
    <rPh sb="104" eb="106">
      <t>スイケイ</t>
    </rPh>
    <rPh sb="106" eb="108">
      <t>ホウホウ</t>
    </rPh>
    <rPh sb="125" eb="127">
      <t>フクゲン</t>
    </rPh>
    <rPh sb="127" eb="129">
      <t>ショリ</t>
    </rPh>
    <rPh sb="130" eb="131">
      <t>オコナ</t>
    </rPh>
    <rPh sb="156" eb="158">
      <t>フクゲン</t>
    </rPh>
    <rPh sb="158" eb="160">
      <t>コンナン</t>
    </rPh>
    <rPh sb="160" eb="162">
      <t>ブモン</t>
    </rPh>
    <rPh sb="163" eb="165">
      <t>ガイトウ</t>
    </rPh>
    <rPh sb="167" eb="169">
      <t>キサイ</t>
    </rPh>
    <rPh sb="175" eb="176">
      <t>ケン</t>
    </rPh>
    <rPh sb="176" eb="177">
      <t>チ</t>
    </rPh>
    <rPh sb="184" eb="186">
      <t>ショリ</t>
    </rPh>
    <rPh sb="189" eb="190">
      <t>オコナ</t>
    </rPh>
    <rPh sb="192" eb="194">
      <t>フクギョウ</t>
    </rPh>
    <rPh sb="195" eb="196">
      <t>クワ</t>
    </rPh>
    <rPh sb="213" eb="216">
      <t>ケイサンショウ</t>
    </rPh>
    <rPh sb="222" eb="224">
      <t>バアイ</t>
    </rPh>
    <rPh sb="225" eb="227">
      <t>フクゲン</t>
    </rPh>
    <rPh sb="234" eb="235">
      <t>ケン</t>
    </rPh>
    <rPh sb="235" eb="236">
      <t>チ</t>
    </rPh>
    <rPh sb="237" eb="239">
      <t>フクゲン</t>
    </rPh>
    <rPh sb="240" eb="241">
      <t>オコナ</t>
    </rPh>
    <rPh sb="244" eb="245">
      <t>ケイ</t>
    </rPh>
    <rPh sb="249" eb="250">
      <t>ヒョウ</t>
    </rPh>
    <rPh sb="252" eb="254">
      <t>チョクセツ</t>
    </rPh>
    <rPh sb="262" eb="263">
      <t>ネン</t>
    </rPh>
    <rPh sb="263" eb="264">
      <t>ヒョウ</t>
    </rPh>
    <rPh sb="265" eb="267">
      <t>ドウヨウ</t>
    </rPh>
    <rPh sb="274" eb="275">
      <t>ネン</t>
    </rPh>
    <rPh sb="275" eb="276">
      <t>ヒョウ</t>
    </rPh>
    <rPh sb="279" eb="280">
      <t>クニ</t>
    </rPh>
    <rPh sb="283" eb="284">
      <t>サイ</t>
    </rPh>
    <rPh sb="284" eb="286">
      <t>ヒンモク</t>
    </rPh>
    <rPh sb="287" eb="289">
      <t>オオハバ</t>
    </rPh>
    <rPh sb="290" eb="292">
      <t>ヘンコウ</t>
    </rPh>
    <rPh sb="296" eb="297">
      <t>ケイ</t>
    </rPh>
    <rPh sb="299" eb="301">
      <t>クミカエ</t>
    </rPh>
    <rPh sb="301" eb="302">
      <t>ヒョウ</t>
    </rPh>
    <rPh sb="302" eb="303">
      <t>ダイ</t>
    </rPh>
    <rPh sb="305" eb="306">
      <t>ヒョウ</t>
    </rPh>
    <rPh sb="307" eb="309">
      <t>コウモク</t>
    </rPh>
    <rPh sb="312" eb="314">
      <t>イッチ</t>
    </rPh>
    <rPh sb="318" eb="319">
      <t>ツ</t>
    </rPh>
    <rPh sb="320" eb="321">
      <t>ア</t>
    </rPh>
    <rPh sb="322" eb="324">
      <t>ヒンモク</t>
    </rPh>
    <rPh sb="329" eb="330">
      <t>クニ</t>
    </rPh>
    <rPh sb="334" eb="335">
      <t>ケイ</t>
    </rPh>
    <rPh sb="337" eb="339">
      <t>クミカエ</t>
    </rPh>
    <rPh sb="339" eb="340">
      <t>ヒョウ</t>
    </rPh>
    <rPh sb="341" eb="343">
      <t>ゼンコク</t>
    </rPh>
    <rPh sb="343" eb="344">
      <t>チ</t>
    </rPh>
    <rPh sb="345" eb="347">
      <t>カイリ</t>
    </rPh>
    <rPh sb="357" eb="359">
      <t>ケンチ</t>
    </rPh>
    <rPh sb="360" eb="361">
      <t>ツカ</t>
    </rPh>
    <rPh sb="368" eb="370">
      <t>クミカエ</t>
    </rPh>
    <rPh sb="370" eb="371">
      <t>ヒョウ</t>
    </rPh>
    <rPh sb="372" eb="373">
      <t>ウ</t>
    </rPh>
    <rPh sb="374" eb="375">
      <t>ア</t>
    </rPh>
    <rPh sb="376" eb="378">
      <t>キンガク</t>
    </rPh>
    <rPh sb="379" eb="380">
      <t>タイ</t>
    </rPh>
    <rPh sb="380" eb="382">
      <t>ゼンコク</t>
    </rPh>
    <rPh sb="382" eb="383">
      <t>ヒ</t>
    </rPh>
    <rPh sb="384" eb="386">
      <t>アンブン</t>
    </rPh>
    <phoneticPr fontId="14"/>
  </si>
  <si>
    <t>　ソフトウェアの受注制作サービス（組込みソフトウェアを除く）（元請）</t>
    <phoneticPr fontId="5"/>
  </si>
  <si>
    <t>　ソフトウェアの受注制作サービス（組込みソフトウェアを除く）（下請）</t>
    <phoneticPr fontId="5"/>
  </si>
  <si>
    <t>　組込みソフトウェアの受注制作サービス（元請）</t>
    <phoneticPr fontId="5"/>
  </si>
  <si>
    <t>　組込みソフトウェアの受注制作サービス（下請）</t>
    <phoneticPr fontId="5"/>
  </si>
  <si>
    <t>　事業用パッケージソフトウェア（物理的媒体）</t>
    <phoneticPr fontId="5"/>
  </si>
  <si>
    <t>　事業用パッケージソフトウェア（配信用）</t>
    <phoneticPr fontId="5"/>
  </si>
  <si>
    <t>　家庭用ソフトウェア（ゲームソフトウェアを除く）（物理的媒体）</t>
    <phoneticPr fontId="5"/>
  </si>
  <si>
    <t>　家庭用ソフトウェア（ゲームソフトウェアを除く）（配信用）</t>
    <phoneticPr fontId="5"/>
  </si>
  <si>
    <t>009</t>
    <phoneticPr fontId="5"/>
  </si>
  <si>
    <t>　ゲームソフトウェア（物理的媒体）</t>
    <phoneticPr fontId="5"/>
  </si>
  <si>
    <t>010</t>
    <phoneticPr fontId="5"/>
  </si>
  <si>
    <t>　ゲームソフトウェア（配信用）</t>
    <phoneticPr fontId="5"/>
  </si>
  <si>
    <t>　受注ソフトウェアに係る保守・運用サービス</t>
    <phoneticPr fontId="5"/>
  </si>
  <si>
    <t>　製造業及び卸売業・小売業によるソフトウェアサービス収入</t>
    <phoneticPr fontId="5"/>
  </si>
  <si>
    <t>　情報処理サービス（他に分類されるものを除く）</t>
    <phoneticPr fontId="5"/>
  </si>
  <si>
    <t>　システム等管理運営サービス</t>
    <phoneticPr fontId="5"/>
  </si>
  <si>
    <t>　情報提供サービス</t>
    <phoneticPr fontId="5"/>
  </si>
  <si>
    <t>　市場調査・世論調査・社会調査サービス</t>
    <phoneticPr fontId="5"/>
  </si>
  <si>
    <t>本部門はサービス関連産業Ｂに区分されるとマニュアルp98に記載されている。上記の情報サービスと同じく、復元を行う方法で推計したところ、１７年値と比べて大きく減ってしまった。全国値は増えているし、時代の流れからも半分以下に経ることは考えにくい。また、復元処理にあたって、経セン組替集計と公式集計の表章が異なるため、適切に処理できるのか疑問が残る。このため、国値按分で対応することとし、経セン公式集計でカバー率の高い産業横断従業者数で按分した。（マニュアルp103の記載によると、産業横断はp101のA～Dを含み、サービス関連産業BはA、Cのみ含むとのこと。）按分でもよいことは、p104にも記載がある。按分手法のため、副業は加える必要なし。　→27年表も考え方を踏襲（使用表：H28経セン活動調査公式集計　産業横断　第２表）
→R2年表では、国CTの積み上げ項目が細分化された。経セン組替表の品目と完全に一致し、経セン組替表第01表の全国値の売上高と国CTの数値が一致したため、県CTも経セン組替表県値を使うこととする。</t>
    <rPh sb="0" eb="1">
      <t>ホン</t>
    </rPh>
    <rPh sb="1" eb="3">
      <t>ブモン</t>
    </rPh>
    <rPh sb="8" eb="10">
      <t>カンレン</t>
    </rPh>
    <rPh sb="10" eb="12">
      <t>サンギョウ</t>
    </rPh>
    <rPh sb="14" eb="16">
      <t>クブン</t>
    </rPh>
    <rPh sb="29" eb="31">
      <t>キサイ</t>
    </rPh>
    <rPh sb="37" eb="39">
      <t>ジョウキ</t>
    </rPh>
    <rPh sb="40" eb="42">
      <t>ジョウホウ</t>
    </rPh>
    <rPh sb="47" eb="48">
      <t>オナ</t>
    </rPh>
    <rPh sb="51" eb="53">
      <t>フクゲン</t>
    </rPh>
    <rPh sb="54" eb="55">
      <t>オコナ</t>
    </rPh>
    <rPh sb="56" eb="58">
      <t>ホウホウ</t>
    </rPh>
    <rPh sb="59" eb="61">
      <t>スイケイ</t>
    </rPh>
    <rPh sb="69" eb="70">
      <t>ネン</t>
    </rPh>
    <rPh sb="70" eb="71">
      <t>チ</t>
    </rPh>
    <rPh sb="72" eb="73">
      <t>クラ</t>
    </rPh>
    <rPh sb="75" eb="76">
      <t>オオ</t>
    </rPh>
    <rPh sb="78" eb="79">
      <t>ヘ</t>
    </rPh>
    <rPh sb="86" eb="88">
      <t>ゼンコク</t>
    </rPh>
    <rPh sb="88" eb="89">
      <t>チ</t>
    </rPh>
    <rPh sb="90" eb="91">
      <t>フ</t>
    </rPh>
    <rPh sb="97" eb="99">
      <t>ジダイ</t>
    </rPh>
    <rPh sb="100" eb="101">
      <t>ナガ</t>
    </rPh>
    <rPh sb="105" eb="107">
      <t>ハンブン</t>
    </rPh>
    <rPh sb="107" eb="109">
      <t>イカ</t>
    </rPh>
    <rPh sb="110" eb="111">
      <t>ヘ</t>
    </rPh>
    <rPh sb="115" eb="116">
      <t>カンガ</t>
    </rPh>
    <rPh sb="124" eb="126">
      <t>フクゲン</t>
    </rPh>
    <rPh sb="126" eb="128">
      <t>ショリ</t>
    </rPh>
    <rPh sb="134" eb="135">
      <t>ケイ</t>
    </rPh>
    <rPh sb="137" eb="139">
      <t>クミカエ</t>
    </rPh>
    <rPh sb="139" eb="141">
      <t>シュウケイ</t>
    </rPh>
    <rPh sb="142" eb="144">
      <t>コウシキ</t>
    </rPh>
    <rPh sb="144" eb="146">
      <t>シュウケイ</t>
    </rPh>
    <rPh sb="147" eb="148">
      <t>ヒョウ</t>
    </rPh>
    <rPh sb="148" eb="149">
      <t>ショウ</t>
    </rPh>
    <rPh sb="150" eb="151">
      <t>コト</t>
    </rPh>
    <rPh sb="156" eb="158">
      <t>テキセツ</t>
    </rPh>
    <rPh sb="159" eb="161">
      <t>ショリ</t>
    </rPh>
    <rPh sb="166" eb="168">
      <t>ギモン</t>
    </rPh>
    <rPh sb="169" eb="170">
      <t>ノコ</t>
    </rPh>
    <rPh sb="177" eb="179">
      <t>クニチ</t>
    </rPh>
    <rPh sb="179" eb="181">
      <t>アンブン</t>
    </rPh>
    <rPh sb="182" eb="184">
      <t>タイオウ</t>
    </rPh>
    <rPh sb="191" eb="192">
      <t>ケイ</t>
    </rPh>
    <rPh sb="194" eb="196">
      <t>コウシキ</t>
    </rPh>
    <rPh sb="196" eb="198">
      <t>シュウケイ</t>
    </rPh>
    <rPh sb="202" eb="203">
      <t>リツ</t>
    </rPh>
    <rPh sb="204" eb="205">
      <t>タカ</t>
    </rPh>
    <rPh sb="206" eb="208">
      <t>サンギョウ</t>
    </rPh>
    <rPh sb="208" eb="210">
      <t>オウダン</t>
    </rPh>
    <rPh sb="210" eb="211">
      <t>ジュウ</t>
    </rPh>
    <rPh sb="211" eb="214">
      <t>ギョウシャスウ</t>
    </rPh>
    <rPh sb="215" eb="217">
      <t>アンブン</t>
    </rPh>
    <rPh sb="231" eb="233">
      <t>キサイ</t>
    </rPh>
    <rPh sb="238" eb="240">
      <t>サンギョウ</t>
    </rPh>
    <rPh sb="240" eb="242">
      <t>オウダン</t>
    </rPh>
    <rPh sb="252" eb="253">
      <t>フク</t>
    </rPh>
    <rPh sb="259" eb="261">
      <t>カンレン</t>
    </rPh>
    <rPh sb="261" eb="263">
      <t>サンギョウ</t>
    </rPh>
    <rPh sb="270" eb="271">
      <t>フク</t>
    </rPh>
    <rPh sb="278" eb="280">
      <t>アンブン</t>
    </rPh>
    <rPh sb="294" eb="296">
      <t>キサイ</t>
    </rPh>
    <rPh sb="300" eb="302">
      <t>アンブン</t>
    </rPh>
    <rPh sb="302" eb="304">
      <t>シュホウ</t>
    </rPh>
    <rPh sb="308" eb="310">
      <t>フクギョウ</t>
    </rPh>
    <rPh sb="311" eb="312">
      <t>クワ</t>
    </rPh>
    <rPh sb="314" eb="316">
      <t>ヒツヨウ</t>
    </rPh>
    <rPh sb="323" eb="324">
      <t>ネン</t>
    </rPh>
    <rPh sb="324" eb="325">
      <t>ヒョウ</t>
    </rPh>
    <rPh sb="326" eb="327">
      <t>カンガ</t>
    </rPh>
    <rPh sb="328" eb="329">
      <t>カタ</t>
    </rPh>
    <rPh sb="330" eb="332">
      <t>トウシュウ</t>
    </rPh>
    <rPh sb="333" eb="336">
      <t>シヨウヒョウ</t>
    </rPh>
    <rPh sb="340" eb="341">
      <t>ケイ</t>
    </rPh>
    <rPh sb="343" eb="345">
      <t>カツドウ</t>
    </rPh>
    <rPh sb="345" eb="347">
      <t>チョウサ</t>
    </rPh>
    <rPh sb="347" eb="349">
      <t>コウシキ</t>
    </rPh>
    <rPh sb="349" eb="351">
      <t>シュウケイ</t>
    </rPh>
    <rPh sb="352" eb="354">
      <t>サンギョウ</t>
    </rPh>
    <rPh sb="354" eb="356">
      <t>オウダン</t>
    </rPh>
    <rPh sb="357" eb="358">
      <t>ダイ</t>
    </rPh>
    <rPh sb="359" eb="360">
      <t>ヒョウ</t>
    </rPh>
    <rPh sb="365" eb="366">
      <t>ネン</t>
    </rPh>
    <rPh sb="366" eb="367">
      <t>ヒョウ</t>
    </rPh>
    <rPh sb="370" eb="371">
      <t>クニ</t>
    </rPh>
    <rPh sb="374" eb="375">
      <t>ツ</t>
    </rPh>
    <rPh sb="376" eb="377">
      <t>ア</t>
    </rPh>
    <rPh sb="378" eb="380">
      <t>コウモク</t>
    </rPh>
    <rPh sb="381" eb="384">
      <t>サイブンカ</t>
    </rPh>
    <rPh sb="388" eb="389">
      <t>ケイ</t>
    </rPh>
    <rPh sb="391" eb="393">
      <t>クミカエ</t>
    </rPh>
    <rPh sb="393" eb="394">
      <t>ヒョウ</t>
    </rPh>
    <rPh sb="395" eb="397">
      <t>ヒンモク</t>
    </rPh>
    <rPh sb="398" eb="400">
      <t>カンゼン</t>
    </rPh>
    <rPh sb="401" eb="403">
      <t>イッチ</t>
    </rPh>
    <rPh sb="405" eb="406">
      <t>ケイ</t>
    </rPh>
    <rPh sb="408" eb="410">
      <t>クミカエ</t>
    </rPh>
    <rPh sb="410" eb="411">
      <t>ヒョウ</t>
    </rPh>
    <rPh sb="411" eb="412">
      <t>ダイ</t>
    </rPh>
    <rPh sb="414" eb="415">
      <t>ヒョウ</t>
    </rPh>
    <rPh sb="416" eb="418">
      <t>ゼンコク</t>
    </rPh>
    <rPh sb="418" eb="419">
      <t>チ</t>
    </rPh>
    <rPh sb="420" eb="423">
      <t>ウリアゲダカ</t>
    </rPh>
    <rPh sb="424" eb="425">
      <t>クニ</t>
    </rPh>
    <rPh sb="428" eb="430">
      <t>スウチ</t>
    </rPh>
    <rPh sb="431" eb="433">
      <t>イッチ</t>
    </rPh>
    <rPh sb="438" eb="439">
      <t>ケン</t>
    </rPh>
    <rPh sb="442" eb="443">
      <t>ケイ</t>
    </rPh>
    <rPh sb="445" eb="447">
      <t>クミカエ</t>
    </rPh>
    <rPh sb="447" eb="448">
      <t>ヒョウ</t>
    </rPh>
    <rPh sb="448" eb="450">
      <t>ケンチ</t>
    </rPh>
    <rPh sb="451" eb="452">
      <t>ツカ</t>
    </rPh>
    <phoneticPr fontId="14"/>
  </si>
  <si>
    <t>　ウェブ情報検索・提供サービス（広告収入）</t>
    <phoneticPr fontId="5"/>
  </si>
  <si>
    <t>　ウェブ情報検索・提供サービス（広告以外の収入）</t>
    <phoneticPr fontId="5"/>
  </si>
  <si>
    <t>　マーケットプレイス提供サービス（広告収入）</t>
    <phoneticPr fontId="5"/>
  </si>
  <si>
    <t>　マーケットプレイス提供サービス（広告以外の収入）</t>
    <phoneticPr fontId="5"/>
  </si>
  <si>
    <t>　コンテンツ配信プラットフォームサービス（ＩＣＴアプリケーション共用サービスを除く、広告収入）</t>
    <phoneticPr fontId="5"/>
  </si>
  <si>
    <t>　コンテンツ配信プラットフォームサービス（ＩＣＴアプリケーション共用サービスを除く、広告以外の収入）</t>
    <phoneticPr fontId="5"/>
  </si>
  <si>
    <t>　事業用ＩＣＴアプリケーション共用サービス</t>
    <phoneticPr fontId="5"/>
  </si>
  <si>
    <t>　家庭用ＩＣＴアプリケーション共用サービス（ゲームアプリケーションを除く）</t>
    <phoneticPr fontId="5"/>
  </si>
  <si>
    <t>　ゲームアプリケーション共用サービス</t>
    <phoneticPr fontId="5"/>
  </si>
  <si>
    <t>　その他のインターネット関連サービス</t>
    <phoneticPr fontId="5"/>
  </si>
  <si>
    <t>マニュアルp98に記載があるように、従業者数按分するのだが、経セン組替表を用いるのか公式集計を用いるのかはっきりとは書かれていない。H26年度の近畿ブロック会議の議題１－２にあったように、「組替集計を用いろ」とはっきり書かれていない限りは、公式集計を用いるべきとも考えたが、公式集計では左記の細分類ごとには分かれていない。本来は公式集計の産業横断集計が最もカバレッジが広いのでそれを用いるのがベストなのだが、組替集計のほうが先の部門に完全に合致した結果が出ているので、やむを得ず今回は組替集計の結果を採用した。→27年表も同様とした→R2年表も同様とした。</t>
    <rPh sb="9" eb="11">
      <t>キサイ</t>
    </rPh>
    <rPh sb="18" eb="21">
      <t>ジュウギョウシャ</t>
    </rPh>
    <rPh sb="21" eb="22">
      <t>スウ</t>
    </rPh>
    <rPh sb="22" eb="24">
      <t>アンブン</t>
    </rPh>
    <rPh sb="30" eb="31">
      <t>ケイ</t>
    </rPh>
    <rPh sb="33" eb="35">
      <t>クミカエ</t>
    </rPh>
    <rPh sb="35" eb="36">
      <t>ヒョウ</t>
    </rPh>
    <rPh sb="37" eb="38">
      <t>モチ</t>
    </rPh>
    <rPh sb="42" eb="44">
      <t>コウシキ</t>
    </rPh>
    <rPh sb="44" eb="46">
      <t>シュウケイ</t>
    </rPh>
    <rPh sb="47" eb="48">
      <t>モチ</t>
    </rPh>
    <rPh sb="58" eb="59">
      <t>カ</t>
    </rPh>
    <rPh sb="69" eb="71">
      <t>ネンド</t>
    </rPh>
    <rPh sb="72" eb="74">
      <t>キンキ</t>
    </rPh>
    <rPh sb="78" eb="80">
      <t>カイギ</t>
    </rPh>
    <rPh sb="81" eb="83">
      <t>ギダイ</t>
    </rPh>
    <rPh sb="95" eb="97">
      <t>クミカエ</t>
    </rPh>
    <rPh sb="97" eb="99">
      <t>シュウケイ</t>
    </rPh>
    <rPh sb="100" eb="101">
      <t>モチ</t>
    </rPh>
    <rPh sb="109" eb="110">
      <t>カ</t>
    </rPh>
    <rPh sb="116" eb="117">
      <t>カギ</t>
    </rPh>
    <rPh sb="120" eb="122">
      <t>コウシキ</t>
    </rPh>
    <rPh sb="122" eb="124">
      <t>シュウケイ</t>
    </rPh>
    <rPh sb="125" eb="126">
      <t>モチ</t>
    </rPh>
    <rPh sb="132" eb="133">
      <t>カンガ</t>
    </rPh>
    <rPh sb="137" eb="139">
      <t>コウシキ</t>
    </rPh>
    <rPh sb="139" eb="141">
      <t>シュウケイ</t>
    </rPh>
    <rPh sb="143" eb="145">
      <t>サキ</t>
    </rPh>
    <rPh sb="146" eb="149">
      <t>サイブンルイ</t>
    </rPh>
    <rPh sb="153" eb="154">
      <t>ワ</t>
    </rPh>
    <rPh sb="204" eb="206">
      <t>クミカエ</t>
    </rPh>
    <rPh sb="206" eb="208">
      <t>シュウケイ</t>
    </rPh>
    <rPh sb="212" eb="213">
      <t>サキ</t>
    </rPh>
    <rPh sb="214" eb="216">
      <t>ブモン</t>
    </rPh>
    <rPh sb="217" eb="219">
      <t>カンゼン</t>
    </rPh>
    <rPh sb="220" eb="222">
      <t>ガッチ</t>
    </rPh>
    <rPh sb="224" eb="226">
      <t>ケッカ</t>
    </rPh>
    <rPh sb="227" eb="228">
      <t>デ</t>
    </rPh>
    <rPh sb="237" eb="238">
      <t>エ</t>
    </rPh>
    <rPh sb="239" eb="241">
      <t>コンカイ</t>
    </rPh>
    <rPh sb="242" eb="244">
      <t>クミカエ</t>
    </rPh>
    <rPh sb="244" eb="246">
      <t>シュウケイ</t>
    </rPh>
    <rPh sb="247" eb="249">
      <t>ケッカ</t>
    </rPh>
    <rPh sb="250" eb="252">
      <t>サイヨウ</t>
    </rPh>
    <rPh sb="258" eb="259">
      <t>ネン</t>
    </rPh>
    <rPh sb="259" eb="260">
      <t>ヒョウ</t>
    </rPh>
    <rPh sb="261" eb="263">
      <t>ドウヨウ</t>
    </rPh>
    <rPh sb="269" eb="270">
      <t>ネン</t>
    </rPh>
    <rPh sb="270" eb="271">
      <t>ヒョウ</t>
    </rPh>
    <rPh sb="272" eb="274">
      <t>ドウヨウ</t>
    </rPh>
    <phoneticPr fontId="14"/>
  </si>
  <si>
    <t>　映画の制作・配給サービス（受託制作を除く）</t>
    <phoneticPr fontId="5"/>
  </si>
  <si>
    <t>　映画の受託制作サービス</t>
    <phoneticPr fontId="5"/>
  </si>
  <si>
    <t>　テレビ番組の制作サービス</t>
    <phoneticPr fontId="5"/>
  </si>
  <si>
    <t>　テレビコマーシャル、その他の動画広告の制作サービス</t>
    <phoneticPr fontId="5"/>
  </si>
  <si>
    <t>　映像ソフト（物理的媒体）</t>
    <phoneticPr fontId="5"/>
  </si>
  <si>
    <t>　映像ソフト（配信用）</t>
    <phoneticPr fontId="5"/>
  </si>
  <si>
    <t>　その他の映像制作サービス</t>
    <phoneticPr fontId="5"/>
  </si>
  <si>
    <t>　映画の娯楽作品原本</t>
    <phoneticPr fontId="5"/>
  </si>
  <si>
    <t>R2年表国CTからの新設項目。経セン組み替え表にはない項目なので、「映画の制作・配給サービス」と「映画の受託制作サービス」のCT値合計の県と国の比率を按分比率とした。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4" eb="36">
      <t>エイガ</t>
    </rPh>
    <rPh sb="37" eb="39">
      <t>セイサク</t>
    </rPh>
    <rPh sb="40" eb="42">
      <t>ハイキュウ</t>
    </rPh>
    <rPh sb="49" eb="51">
      <t>エイガ</t>
    </rPh>
    <rPh sb="52" eb="54">
      <t>ジュタク</t>
    </rPh>
    <rPh sb="54" eb="56">
      <t>セイサク</t>
    </rPh>
    <rPh sb="64" eb="65">
      <t>チ</t>
    </rPh>
    <rPh sb="65" eb="67">
      <t>ゴウケイ</t>
    </rPh>
    <rPh sb="68" eb="69">
      <t>ケン</t>
    </rPh>
    <rPh sb="70" eb="71">
      <t>クニ</t>
    </rPh>
    <rPh sb="72" eb="74">
      <t>ヒリツ</t>
    </rPh>
    <rPh sb="75" eb="77">
      <t>アンブン</t>
    </rPh>
    <rPh sb="77" eb="79">
      <t>ヒリツ</t>
    </rPh>
    <phoneticPr fontId="5"/>
  </si>
  <si>
    <t>　テレビ番組の娯楽作品原本（映像・音声・文字情報制作（新聞・出版を除く。））</t>
    <phoneticPr fontId="5"/>
  </si>
  <si>
    <t>R2年表国CTからの新設項目。経セン組み替え表にはない項目なので、「テレビ番組の制作サービス」のCT値の県と国の比率を按分比率とした。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7" eb="39">
      <t>バングミ</t>
    </rPh>
    <rPh sb="40" eb="42">
      <t>セイサク</t>
    </rPh>
    <rPh sb="50" eb="51">
      <t>チ</t>
    </rPh>
    <rPh sb="52" eb="53">
      <t>ケン</t>
    </rPh>
    <rPh sb="54" eb="55">
      <t>クニ</t>
    </rPh>
    <rPh sb="56" eb="58">
      <t>ヒリツ</t>
    </rPh>
    <rPh sb="59" eb="61">
      <t>アンブン</t>
    </rPh>
    <rPh sb="61" eb="63">
      <t>ヒリツ</t>
    </rPh>
    <phoneticPr fontId="5"/>
  </si>
  <si>
    <t>　音楽ソフト（物理的媒体）</t>
    <phoneticPr fontId="5"/>
  </si>
  <si>
    <t>　音楽ソフト（配信用）</t>
    <phoneticPr fontId="5"/>
  </si>
  <si>
    <t>　ラジオコマーシャル制作サービス</t>
    <phoneticPr fontId="5"/>
  </si>
  <si>
    <t>経セン組み替え表に県値なし。</t>
    <rPh sb="0" eb="1">
      <t>キョウ</t>
    </rPh>
    <rPh sb="3" eb="4">
      <t>ク</t>
    </rPh>
    <rPh sb="5" eb="6">
      <t>カ</t>
    </rPh>
    <rPh sb="7" eb="8">
      <t>オモテ</t>
    </rPh>
    <rPh sb="9" eb="10">
      <t>ケン</t>
    </rPh>
    <rPh sb="10" eb="11">
      <t>チ</t>
    </rPh>
    <phoneticPr fontId="5"/>
  </si>
  <si>
    <t>　ラジオ番組制作サービス</t>
    <phoneticPr fontId="5"/>
  </si>
  <si>
    <t>　その他の音声情報制作サービス</t>
    <phoneticPr fontId="5"/>
  </si>
  <si>
    <t>　音楽の娯楽作品原本（映像・音声・文字情報制作（新聞・出版を除く。））</t>
    <phoneticPr fontId="5"/>
  </si>
  <si>
    <t>R2年表国CTからの新設項目。経セン組み替え表にはない項目なので、「音楽ソフト（物理的媒体＋配信用）」のCT値の県と国の比率を按分比率とした。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4" eb="36">
      <t>オンガク</t>
    </rPh>
    <rPh sb="40" eb="43">
      <t>ブツリテキ</t>
    </rPh>
    <rPh sb="43" eb="45">
      <t>バイタイ</t>
    </rPh>
    <rPh sb="46" eb="48">
      <t>ハイシン</t>
    </rPh>
    <rPh sb="48" eb="49">
      <t>ヨウ</t>
    </rPh>
    <rPh sb="54" eb="55">
      <t>チ</t>
    </rPh>
    <rPh sb="56" eb="57">
      <t>ケン</t>
    </rPh>
    <rPh sb="58" eb="59">
      <t>クニ</t>
    </rPh>
    <rPh sb="60" eb="62">
      <t>ヒリツ</t>
    </rPh>
    <rPh sb="63" eb="65">
      <t>アンブン</t>
    </rPh>
    <rPh sb="65" eb="67">
      <t>ヒリツ</t>
    </rPh>
    <phoneticPr fontId="5"/>
  </si>
  <si>
    <t>　広告制作サービス（他に分類されるものを除く）</t>
    <phoneticPr fontId="5"/>
  </si>
  <si>
    <t>　ニュース供給サービス</t>
    <phoneticPr fontId="5"/>
  </si>
  <si>
    <t>　映像・音声・文字情報制作支援サービス</t>
    <phoneticPr fontId="5"/>
  </si>
  <si>
    <t>産連の小分類、中分類を見ると、この部門は「映像・音声・文字情報制作」に分類されている。また、経セン公式集計の表章においても、「映像・音声・文字情報制作業」に入っている。したがってマニュアルp98に記載があるように、従業者数按分するのだが、経セン組替表を用いるのか公式集計を用いるのかはっきりとは書かれていない。H26年度の近畿ブロック会議の議題１－２にあったように、「組替集計を用いろ」とはっきり書かれていない限りは、公式集計を用いるべきと考えた。しかし10桁細品目ごとには表章されていないため「413新聞業」一括の従業員数を採用した。近経局も同様。　→H27年表も同様とした。
→R2年表では、国CTの細品目の区分が変更になっており、経セン組み替え表の区分と一致していることから、経セン組み替え表の従業者数を按分指標として採用した。</t>
    <rPh sb="0" eb="1">
      <t>サン</t>
    </rPh>
    <rPh sb="1" eb="2">
      <t>レン</t>
    </rPh>
    <rPh sb="3" eb="6">
      <t>ショウブンルイ</t>
    </rPh>
    <rPh sb="7" eb="10">
      <t>チュウブンルイ</t>
    </rPh>
    <rPh sb="11" eb="12">
      <t>ミ</t>
    </rPh>
    <rPh sb="17" eb="19">
      <t>ブモン</t>
    </rPh>
    <rPh sb="21" eb="23">
      <t>エイゾウ</t>
    </rPh>
    <rPh sb="24" eb="26">
      <t>オンセイ</t>
    </rPh>
    <rPh sb="27" eb="29">
      <t>モジ</t>
    </rPh>
    <rPh sb="29" eb="31">
      <t>ジョウホウ</t>
    </rPh>
    <rPh sb="31" eb="33">
      <t>セイサク</t>
    </rPh>
    <rPh sb="35" eb="37">
      <t>ブンルイ</t>
    </rPh>
    <rPh sb="46" eb="47">
      <t>ケイ</t>
    </rPh>
    <rPh sb="49" eb="51">
      <t>コウシキ</t>
    </rPh>
    <rPh sb="51" eb="53">
      <t>シュウケイ</t>
    </rPh>
    <rPh sb="54" eb="55">
      <t>ヒョウ</t>
    </rPh>
    <rPh sb="55" eb="56">
      <t>ショウ</t>
    </rPh>
    <rPh sb="63" eb="65">
      <t>エイゾウ</t>
    </rPh>
    <rPh sb="66" eb="68">
      <t>オンセイ</t>
    </rPh>
    <rPh sb="69" eb="71">
      <t>モジ</t>
    </rPh>
    <rPh sb="71" eb="73">
      <t>ジョウホウ</t>
    </rPh>
    <rPh sb="73" eb="75">
      <t>セイサク</t>
    </rPh>
    <rPh sb="75" eb="76">
      <t>ギョウ</t>
    </rPh>
    <rPh sb="78" eb="79">
      <t>ハイ</t>
    </rPh>
    <rPh sb="229" eb="230">
      <t>ケタ</t>
    </rPh>
    <rPh sb="230" eb="231">
      <t>サイ</t>
    </rPh>
    <rPh sb="231" eb="233">
      <t>ヒンモク</t>
    </rPh>
    <rPh sb="251" eb="253">
      <t>シンブン</t>
    </rPh>
    <rPh sb="253" eb="254">
      <t>ギョウ</t>
    </rPh>
    <rPh sb="255" eb="257">
      <t>イッカツ</t>
    </rPh>
    <rPh sb="258" eb="261">
      <t>ジュウギョウイン</t>
    </rPh>
    <rPh sb="261" eb="262">
      <t>スウ</t>
    </rPh>
    <rPh sb="263" eb="265">
      <t>サイヨウ</t>
    </rPh>
    <rPh sb="268" eb="269">
      <t>キン</t>
    </rPh>
    <rPh sb="269" eb="270">
      <t>ケイ</t>
    </rPh>
    <rPh sb="270" eb="271">
      <t>キョク</t>
    </rPh>
    <rPh sb="272" eb="274">
      <t>ドウヨウ</t>
    </rPh>
    <rPh sb="280" eb="281">
      <t>ネン</t>
    </rPh>
    <rPh sb="281" eb="282">
      <t>ヒョウ</t>
    </rPh>
    <rPh sb="283" eb="285">
      <t>ドウヨウ</t>
    </rPh>
    <rPh sb="293" eb="294">
      <t>ネン</t>
    </rPh>
    <rPh sb="294" eb="295">
      <t>ヒョウ</t>
    </rPh>
    <rPh sb="298" eb="299">
      <t>クニ</t>
    </rPh>
    <rPh sb="302" eb="303">
      <t>サイ</t>
    </rPh>
    <rPh sb="303" eb="305">
      <t>ヒンモク</t>
    </rPh>
    <rPh sb="306" eb="308">
      <t>クブン</t>
    </rPh>
    <rPh sb="309" eb="311">
      <t>ヘンコウ</t>
    </rPh>
    <phoneticPr fontId="14"/>
  </si>
  <si>
    <t>　紙媒体の新聞（購読料収入（紙媒体の定期購読契約に基づくもの））</t>
    <phoneticPr fontId="5"/>
  </si>
  <si>
    <t>　紙媒体の新聞（購読料収入（定期購読契約以外のもの））</t>
    <phoneticPr fontId="5"/>
  </si>
  <si>
    <t>　オンライン新聞（購読料収入）</t>
    <phoneticPr fontId="5"/>
  </si>
  <si>
    <t>　紙媒体の新聞（広告収入）</t>
    <phoneticPr fontId="5"/>
  </si>
  <si>
    <t>　オンライン新聞（広告収入）</t>
    <phoneticPr fontId="5"/>
  </si>
  <si>
    <t>産連の小分類、中分類を見ると、この部門は「映像・音声・文字情報制作」に分類されている。また、経セン公式集計の表章においても、「映像・音声・文字情報制作業」に入っている。したがってマニュアルp98に記載があるように、従業者数按分するのだが、経セン組替表を用いるのか公式集計を用いるのかはっきりとは書かれていない。H26年度の近畿ブロック会議の議題１－２にあったように、「組替集計を用いろ」とはっきり書かれていない限りは、公式集計を用いるべきと考えた。しかし10桁細品目ごとには表章されていないため「414出版業」一括の従業員数を採用した。近経局も同様。　→H27年表も同様とした
→R2年表では、国CTの細品目の区分が変更になっており、経セン組み替え表の区分と一致していることから、経セン組み替え表の従業者数を按分指標として採用した。</t>
    <rPh sb="0" eb="1">
      <t>サン</t>
    </rPh>
    <rPh sb="1" eb="2">
      <t>レン</t>
    </rPh>
    <rPh sb="3" eb="6">
      <t>ショウブンルイ</t>
    </rPh>
    <rPh sb="7" eb="10">
      <t>チュウブンルイ</t>
    </rPh>
    <rPh sb="11" eb="12">
      <t>ミ</t>
    </rPh>
    <rPh sb="17" eb="19">
      <t>ブモン</t>
    </rPh>
    <rPh sb="21" eb="23">
      <t>エイゾウ</t>
    </rPh>
    <rPh sb="24" eb="26">
      <t>オンセイ</t>
    </rPh>
    <rPh sb="27" eb="29">
      <t>モジ</t>
    </rPh>
    <rPh sb="29" eb="31">
      <t>ジョウホウ</t>
    </rPh>
    <rPh sb="31" eb="33">
      <t>セイサク</t>
    </rPh>
    <rPh sb="35" eb="37">
      <t>ブンルイ</t>
    </rPh>
    <rPh sb="46" eb="47">
      <t>ケイ</t>
    </rPh>
    <rPh sb="49" eb="51">
      <t>コウシキ</t>
    </rPh>
    <rPh sb="51" eb="53">
      <t>シュウケイ</t>
    </rPh>
    <rPh sb="54" eb="55">
      <t>ヒョウ</t>
    </rPh>
    <rPh sb="55" eb="56">
      <t>ショウ</t>
    </rPh>
    <rPh sb="63" eb="65">
      <t>エイゾウ</t>
    </rPh>
    <rPh sb="66" eb="68">
      <t>オンセイ</t>
    </rPh>
    <rPh sb="69" eb="71">
      <t>モジ</t>
    </rPh>
    <rPh sb="71" eb="73">
      <t>ジョウホウ</t>
    </rPh>
    <rPh sb="73" eb="75">
      <t>セイサク</t>
    </rPh>
    <rPh sb="75" eb="76">
      <t>ギョウ</t>
    </rPh>
    <rPh sb="78" eb="79">
      <t>ハイ</t>
    </rPh>
    <rPh sb="229" eb="230">
      <t>ケタ</t>
    </rPh>
    <rPh sb="230" eb="231">
      <t>サイ</t>
    </rPh>
    <rPh sb="231" eb="233">
      <t>ヒンモク</t>
    </rPh>
    <rPh sb="251" eb="253">
      <t>シュッパン</t>
    </rPh>
    <rPh sb="253" eb="254">
      <t>ギョウ</t>
    </rPh>
    <rPh sb="255" eb="257">
      <t>イッカツ</t>
    </rPh>
    <rPh sb="258" eb="261">
      <t>ジュウギョウイン</t>
    </rPh>
    <rPh sb="261" eb="262">
      <t>スウ</t>
    </rPh>
    <rPh sb="263" eb="265">
      <t>サイヨウ</t>
    </rPh>
    <rPh sb="268" eb="269">
      <t>キン</t>
    </rPh>
    <rPh sb="269" eb="270">
      <t>ケイ</t>
    </rPh>
    <rPh sb="270" eb="271">
      <t>キョク</t>
    </rPh>
    <rPh sb="272" eb="274">
      <t>ドウヨウ</t>
    </rPh>
    <rPh sb="280" eb="281">
      <t>ネン</t>
    </rPh>
    <rPh sb="281" eb="282">
      <t>ヒョウ</t>
    </rPh>
    <rPh sb="283" eb="285">
      <t>ドウヨウ</t>
    </rPh>
    <rPh sb="292" eb="293">
      <t>ネン</t>
    </rPh>
    <rPh sb="293" eb="294">
      <t>ヒョウ</t>
    </rPh>
    <phoneticPr fontId="14"/>
  </si>
  <si>
    <t>　紙媒体の雑誌（購読料収入）</t>
    <phoneticPr fontId="5"/>
  </si>
  <si>
    <t>　オンライン雑誌（購読料収入）</t>
    <phoneticPr fontId="5"/>
  </si>
  <si>
    <t>　紙媒体の書籍</t>
    <phoneticPr fontId="5"/>
  </si>
  <si>
    <t>　オンライン書籍</t>
    <phoneticPr fontId="5"/>
  </si>
  <si>
    <t>　その他の出版物（購読料収入）</t>
    <phoneticPr fontId="5"/>
  </si>
  <si>
    <t>　紙媒体の雑誌（広告収入）</t>
    <phoneticPr fontId="5"/>
  </si>
  <si>
    <t>　オンライン雑誌（広告収入）</t>
    <phoneticPr fontId="5"/>
  </si>
  <si>
    <t>　その他の出版物（広告収入）</t>
    <phoneticPr fontId="5"/>
  </si>
  <si>
    <t>　書籍の娯楽作品原本</t>
    <phoneticPr fontId="5"/>
  </si>
  <si>
    <t>R2年表国CTからの新設項目。経セン組み替え表にはない項目なので、「紙媒体の書籍」＋「オンライン書籍」のCT値の県と国の比率を按分比率とした。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4" eb="35">
      <t>カミ</t>
    </rPh>
    <rPh sb="35" eb="37">
      <t>バイタイ</t>
    </rPh>
    <rPh sb="38" eb="40">
      <t>ショセキ</t>
    </rPh>
    <rPh sb="48" eb="50">
      <t>ショセキ</t>
    </rPh>
    <rPh sb="54" eb="55">
      <t>チ</t>
    </rPh>
    <rPh sb="56" eb="57">
      <t>ケン</t>
    </rPh>
    <rPh sb="58" eb="59">
      <t>クニ</t>
    </rPh>
    <rPh sb="60" eb="62">
      <t>ヒリツ</t>
    </rPh>
    <rPh sb="63" eb="65">
      <t>アンブン</t>
    </rPh>
    <rPh sb="65" eb="67">
      <t>ヒリツ</t>
    </rPh>
    <phoneticPr fontId="5"/>
  </si>
  <si>
    <t>R3経セン活動調査</t>
    <rPh sb="2" eb="3">
      <t>ケイ</t>
    </rPh>
    <rPh sb="5" eb="7">
      <t>カツドウ</t>
    </rPh>
    <rPh sb="7" eb="9">
      <t>チョウサ</t>
    </rPh>
    <phoneticPr fontId="14"/>
  </si>
  <si>
    <t>マニュアルでは、経センの数値を就業構造基本調査の伸び率を用いて補正するとあるが、R3経セン活動調査の従業者数はR3.6月時点の数値であり、R2年の数値とほぼ乖離がないと考えてR2年表ではそのまま使うことにする。</t>
    <rPh sb="8" eb="9">
      <t>ケイ</t>
    </rPh>
    <rPh sb="12" eb="14">
      <t>スウチ</t>
    </rPh>
    <rPh sb="15" eb="17">
      <t>シュウギョウ</t>
    </rPh>
    <rPh sb="17" eb="19">
      <t>コウゾウ</t>
    </rPh>
    <rPh sb="19" eb="21">
      <t>キホン</t>
    </rPh>
    <rPh sb="21" eb="23">
      <t>チョウサ</t>
    </rPh>
    <rPh sb="24" eb="25">
      <t>ノ</t>
    </rPh>
    <rPh sb="26" eb="27">
      <t>リツ</t>
    </rPh>
    <rPh sb="28" eb="29">
      <t>モチ</t>
    </rPh>
    <rPh sb="31" eb="33">
      <t>ホセイ</t>
    </rPh>
    <rPh sb="42" eb="43">
      <t>ケイ</t>
    </rPh>
    <rPh sb="45" eb="47">
      <t>カツドウ</t>
    </rPh>
    <rPh sb="47" eb="49">
      <t>チョウサ</t>
    </rPh>
    <rPh sb="50" eb="53">
      <t>ジュウギョウシャ</t>
    </rPh>
    <rPh sb="53" eb="54">
      <t>スウ</t>
    </rPh>
    <rPh sb="59" eb="60">
      <t>ガツ</t>
    </rPh>
    <rPh sb="60" eb="62">
      <t>ジテン</t>
    </rPh>
    <rPh sb="63" eb="65">
      <t>スウチ</t>
    </rPh>
    <rPh sb="71" eb="72">
      <t>ネン</t>
    </rPh>
    <rPh sb="73" eb="75">
      <t>スウチ</t>
    </rPh>
    <rPh sb="78" eb="80">
      <t>カイリ</t>
    </rPh>
    <rPh sb="84" eb="85">
      <t>カンガ</t>
    </rPh>
    <rPh sb="89" eb="90">
      <t>ネン</t>
    </rPh>
    <rPh sb="90" eb="91">
      <t>ヒョウ</t>
    </rPh>
    <rPh sb="97" eb="98">
      <t>ツカ</t>
    </rPh>
    <phoneticPr fontId="14"/>
  </si>
  <si>
    <t>R1、R2地方財政統計年報2-4-2、2-4-8表</t>
    <rPh sb="5" eb="7">
      <t>チホウ</t>
    </rPh>
    <rPh sb="7" eb="9">
      <t>ザイセイ</t>
    </rPh>
    <rPh sb="9" eb="11">
      <t>トウケイ</t>
    </rPh>
    <rPh sb="11" eb="13">
      <t>ネンポウ</t>
    </rPh>
    <rPh sb="24" eb="25">
      <t>ヒョウ</t>
    </rPh>
    <phoneticPr fontId="14"/>
  </si>
  <si>
    <t>「議会・総務・警察・消防」各費の県＋市町の暦年換算で按分（マニュアルどおり。別ファイルで推計）</t>
    <phoneticPr fontId="14"/>
  </si>
  <si>
    <t>前回表の際は、教育委員会等から入手した教育費、消費的支出などを按分指標としていたが、それらが妥当なのかわからないし、前回のマニュアルにもそのような方法は記載されていない。このため、今回のマニュアル記載の方法に改め、学生数按分することとした。従業者数はH27学校基本調査からとった。なお、総数ー民営＝国公立とした。→R2年表でも同様とする。</t>
    <rPh sb="107" eb="109">
      <t>ガクセイ</t>
    </rPh>
    <rPh sb="128" eb="130">
      <t>ガッコウ</t>
    </rPh>
    <rPh sb="130" eb="132">
      <t>キホン</t>
    </rPh>
    <rPh sb="132" eb="134">
      <t>チョウサ</t>
    </rPh>
    <rPh sb="143" eb="145">
      <t>ソウスウ</t>
    </rPh>
    <rPh sb="146" eb="148">
      <t>ミンエイ</t>
    </rPh>
    <rPh sb="149" eb="152">
      <t>コッコウリツ</t>
    </rPh>
    <rPh sb="159" eb="160">
      <t>ネン</t>
    </rPh>
    <rPh sb="160" eb="161">
      <t>ヒョウ</t>
    </rPh>
    <rPh sb="163" eb="165">
      <t>ドウヨウ</t>
    </rPh>
    <phoneticPr fontId="14"/>
  </si>
  <si>
    <t>R2年度学校基本調査</t>
    <rPh sb="2" eb="4">
      <t>ネンド</t>
    </rPh>
    <rPh sb="4" eb="6">
      <t>ガッコウ</t>
    </rPh>
    <rPh sb="6" eb="8">
      <t>キホン</t>
    </rPh>
    <rPh sb="8" eb="10">
      <t>チョウサ</t>
    </rPh>
    <phoneticPr fontId="14"/>
  </si>
  <si>
    <t>　義務教育学校</t>
    <rPh sb="1" eb="3">
      <t>ギム</t>
    </rPh>
    <rPh sb="3" eb="5">
      <t>キョウイク</t>
    </rPh>
    <rPh sb="5" eb="7">
      <t>ガッコウ</t>
    </rPh>
    <phoneticPr fontId="5"/>
  </si>
  <si>
    <t>全日・定時・通信の合計</t>
    <rPh sb="0" eb="1">
      <t>ゼン</t>
    </rPh>
    <rPh sb="1" eb="2">
      <t>ニチ</t>
    </rPh>
    <rPh sb="3" eb="5">
      <t>テイジ</t>
    </rPh>
    <rPh sb="6" eb="8">
      <t>ツウシン</t>
    </rPh>
    <rPh sb="9" eb="11">
      <t>ゴウケイ</t>
    </rPh>
    <phoneticPr fontId="14"/>
  </si>
  <si>
    <t>R1,2年度地方教育費調査</t>
    <rPh sb="4" eb="6">
      <t>ネンド</t>
    </rPh>
    <rPh sb="6" eb="8">
      <t>チホウ</t>
    </rPh>
    <rPh sb="8" eb="10">
      <t>キョウイク</t>
    </rPh>
    <rPh sb="10" eb="11">
      <t>ヒ</t>
    </rPh>
    <rPh sb="11" eb="13">
      <t>チョウサ</t>
    </rPh>
    <phoneticPr fontId="14"/>
  </si>
  <si>
    <t>前期・後期の合計→この方法で推計すると県値＝924となり、近畿値を超えてしまった。このため近経局と同様の方法を取ることとし、地方教育費調査の中等教育学校の教育費総額の対全国比で国値を按分した。　←このメモは23年表の記載。とりあえず前例踏襲。→R2値を前期・後期の合計で計算したら889となり、前回値を大幅に超えたため、H23,H27表と同様に地方教育費調査から按分値をとった。</t>
    <rPh sb="0" eb="2">
      <t>ゼンキ</t>
    </rPh>
    <rPh sb="3" eb="5">
      <t>コウキ</t>
    </rPh>
    <rPh sb="6" eb="8">
      <t>ゴウケイ</t>
    </rPh>
    <rPh sb="11" eb="13">
      <t>ホウホウ</t>
    </rPh>
    <rPh sb="14" eb="16">
      <t>スイケイ</t>
    </rPh>
    <rPh sb="19" eb="20">
      <t>ケン</t>
    </rPh>
    <rPh sb="20" eb="21">
      <t>チ</t>
    </rPh>
    <rPh sb="29" eb="31">
      <t>キンキ</t>
    </rPh>
    <rPh sb="31" eb="32">
      <t>チ</t>
    </rPh>
    <rPh sb="33" eb="34">
      <t>コ</t>
    </rPh>
    <rPh sb="45" eb="46">
      <t>キン</t>
    </rPh>
    <rPh sb="46" eb="47">
      <t>ケイ</t>
    </rPh>
    <rPh sb="47" eb="48">
      <t>キョク</t>
    </rPh>
    <rPh sb="49" eb="51">
      <t>ドウヨウ</t>
    </rPh>
    <rPh sb="52" eb="54">
      <t>ホウホウ</t>
    </rPh>
    <rPh sb="55" eb="56">
      <t>ト</t>
    </rPh>
    <rPh sb="62" eb="64">
      <t>チホウ</t>
    </rPh>
    <rPh sb="64" eb="67">
      <t>キョウイクヒ</t>
    </rPh>
    <rPh sb="67" eb="69">
      <t>チョウサ</t>
    </rPh>
    <rPh sb="70" eb="72">
      <t>チュウトウ</t>
    </rPh>
    <rPh sb="72" eb="74">
      <t>キョウイク</t>
    </rPh>
    <rPh sb="74" eb="76">
      <t>ガッコウ</t>
    </rPh>
    <rPh sb="77" eb="80">
      <t>キョウイクヒ</t>
    </rPh>
    <rPh sb="80" eb="82">
      <t>ソウガク</t>
    </rPh>
    <rPh sb="83" eb="84">
      <t>タイ</t>
    </rPh>
    <rPh sb="84" eb="86">
      <t>ゼンコク</t>
    </rPh>
    <rPh sb="86" eb="87">
      <t>ヒ</t>
    </rPh>
    <rPh sb="88" eb="90">
      <t>クニチ</t>
    </rPh>
    <rPh sb="91" eb="93">
      <t>アンブン</t>
    </rPh>
    <rPh sb="105" eb="106">
      <t>ネン</t>
    </rPh>
    <rPh sb="106" eb="107">
      <t>ヒョウ</t>
    </rPh>
    <rPh sb="108" eb="110">
      <t>キサイ</t>
    </rPh>
    <rPh sb="116" eb="118">
      <t>ゼンレイ</t>
    </rPh>
    <rPh sb="118" eb="120">
      <t>トウシュウ</t>
    </rPh>
    <rPh sb="124" eb="125">
      <t>チ</t>
    </rPh>
    <rPh sb="126" eb="128">
      <t>ゼンキ</t>
    </rPh>
    <rPh sb="129" eb="131">
      <t>コウキ</t>
    </rPh>
    <rPh sb="132" eb="134">
      <t>ゴウケイ</t>
    </rPh>
    <rPh sb="135" eb="137">
      <t>ケイサン</t>
    </rPh>
    <rPh sb="147" eb="149">
      <t>ゼンカイ</t>
    </rPh>
    <rPh sb="149" eb="150">
      <t>チ</t>
    </rPh>
    <rPh sb="151" eb="153">
      <t>オオハバ</t>
    </rPh>
    <rPh sb="154" eb="155">
      <t>コ</t>
    </rPh>
    <rPh sb="167" eb="168">
      <t>ヒョウ</t>
    </rPh>
    <rPh sb="169" eb="171">
      <t>ドウヨウ</t>
    </rPh>
    <rPh sb="172" eb="174">
      <t>チホウ</t>
    </rPh>
    <rPh sb="174" eb="177">
      <t>キョウイクヒ</t>
    </rPh>
    <rPh sb="177" eb="179">
      <t>チョウサ</t>
    </rPh>
    <rPh sb="181" eb="183">
      <t>アンブン</t>
    </rPh>
    <rPh sb="183" eb="184">
      <t>チ</t>
    </rPh>
    <phoneticPr fontId="14"/>
  </si>
  <si>
    <t>教育委員会総務課広報担当</t>
  </si>
  <si>
    <t>県の国公立０</t>
    <rPh sb="0" eb="1">
      <t>ケン</t>
    </rPh>
    <rPh sb="2" eb="5">
      <t>コッコウリツ</t>
    </rPh>
    <phoneticPr fontId="14"/>
  </si>
  <si>
    <t>マニュアルに合わせて、すべて私立の生徒数で按分した。</t>
  </si>
  <si>
    <t>県の私立０</t>
    <rPh sb="0" eb="1">
      <t>ケン</t>
    </rPh>
    <rPh sb="2" eb="4">
      <t>シリツ</t>
    </rPh>
    <phoneticPr fontId="14"/>
  </si>
  <si>
    <t>R3年度学校給食実施状況調査</t>
    <rPh sb="2" eb="4">
      <t>ネンド</t>
    </rPh>
    <rPh sb="4" eb="6">
      <t>ガッコウ</t>
    </rPh>
    <rPh sb="6" eb="8">
      <t>キュウショク</t>
    </rPh>
    <rPh sb="8" eb="10">
      <t>ジッシ</t>
    </rPh>
    <rPh sb="10" eb="12">
      <t>ジョウキョウ</t>
    </rPh>
    <rPh sb="12" eb="14">
      <t>チョウサ</t>
    </rPh>
    <phoneticPr fontId="14"/>
  </si>
  <si>
    <t>前回調査はH30年度のため、R3年度調査の数値を使用</t>
    <phoneticPr fontId="5"/>
  </si>
  <si>
    <t>学校基本調査</t>
    <rPh sb="0" eb="2">
      <t>ガッコウ</t>
    </rPh>
    <rPh sb="2" eb="4">
      <t>キホン</t>
    </rPh>
    <rPh sb="4" eb="6">
      <t>チョウサ</t>
    </rPh>
    <phoneticPr fontId="14"/>
  </si>
  <si>
    <t>給食のない私立学校もあるであろうし、単純に生徒数按分するのは疑問が残るが、前例踏襲。→R2年表も同様とする。</t>
    <rPh sb="0" eb="2">
      <t>キュウショク</t>
    </rPh>
    <rPh sb="5" eb="7">
      <t>シリツ</t>
    </rPh>
    <rPh sb="7" eb="9">
      <t>ガッコウ</t>
    </rPh>
    <rPh sb="18" eb="20">
      <t>タンジュン</t>
    </rPh>
    <rPh sb="21" eb="24">
      <t>セイトスウ</t>
    </rPh>
    <rPh sb="24" eb="26">
      <t>アンブン</t>
    </rPh>
    <rPh sb="30" eb="32">
      <t>ギモン</t>
    </rPh>
    <rPh sb="33" eb="34">
      <t>ノコ</t>
    </rPh>
    <rPh sb="37" eb="39">
      <t>ゼンレイ</t>
    </rPh>
    <rPh sb="39" eb="41">
      <t>トウシュウ</t>
    </rPh>
    <rPh sb="45" eb="46">
      <t>ネン</t>
    </rPh>
    <rPh sb="46" eb="47">
      <t>ヒョウ</t>
    </rPh>
    <rPh sb="48" eb="50">
      <t>ドウヨウ</t>
    </rPh>
    <phoneticPr fontId="14"/>
  </si>
  <si>
    <t>Ｈ２４経セン活動調査は公務は調査対象になっていないため、それを組み替えただけの組替集計にも当然含まれていない。このため、経セン組替集計は使えないので、やむを得ずH21経セン基礎調査の従業者数で按分している。H18事業所統計とH21経センはあくまで別調査であるため、この２つを使ったH23への補外推計は行わず、H21値固定とした。また総数－民営を便宜上の国公立分とした。（独立行政法人がもしかしたら民営に含まれてしまっているかもしれないが、はっきりとはわからない）　→27年表もこの考え方を踏襲　→R3経センでは公務が調査対象となっているため、そのまま数値を拾った。</t>
    <rPh sb="3" eb="4">
      <t>ケイ</t>
    </rPh>
    <rPh sb="6" eb="8">
      <t>カツドウ</t>
    </rPh>
    <rPh sb="8" eb="10">
      <t>チョウサ</t>
    </rPh>
    <rPh sb="11" eb="13">
      <t>コウム</t>
    </rPh>
    <rPh sb="14" eb="16">
      <t>チョウサ</t>
    </rPh>
    <rPh sb="16" eb="18">
      <t>タイショウ</t>
    </rPh>
    <rPh sb="31" eb="32">
      <t>ク</t>
    </rPh>
    <rPh sb="33" eb="34">
      <t>カ</t>
    </rPh>
    <rPh sb="39" eb="41">
      <t>クミカエ</t>
    </rPh>
    <rPh sb="41" eb="43">
      <t>シュウケイ</t>
    </rPh>
    <rPh sb="45" eb="47">
      <t>トウゼン</t>
    </rPh>
    <rPh sb="47" eb="48">
      <t>フク</t>
    </rPh>
    <rPh sb="60" eb="61">
      <t>ケイ</t>
    </rPh>
    <rPh sb="63" eb="65">
      <t>クミカエ</t>
    </rPh>
    <rPh sb="65" eb="67">
      <t>シュウケイ</t>
    </rPh>
    <rPh sb="68" eb="69">
      <t>ツカ</t>
    </rPh>
    <rPh sb="78" eb="79">
      <t>エ</t>
    </rPh>
    <rPh sb="83" eb="84">
      <t>ケイ</t>
    </rPh>
    <rPh sb="86" eb="88">
      <t>キソ</t>
    </rPh>
    <rPh sb="88" eb="90">
      <t>チョウサ</t>
    </rPh>
    <rPh sb="91" eb="92">
      <t>ジュウ</t>
    </rPh>
    <rPh sb="92" eb="95">
      <t>ギョウシャスウ</t>
    </rPh>
    <rPh sb="96" eb="98">
      <t>アンブン</t>
    </rPh>
    <rPh sb="106" eb="109">
      <t>ジギョウショ</t>
    </rPh>
    <rPh sb="109" eb="111">
      <t>トウケイ</t>
    </rPh>
    <rPh sb="115" eb="116">
      <t>ケイ</t>
    </rPh>
    <rPh sb="123" eb="124">
      <t>ベツ</t>
    </rPh>
    <rPh sb="124" eb="126">
      <t>チョウサ</t>
    </rPh>
    <rPh sb="137" eb="138">
      <t>ツカ</t>
    </rPh>
    <rPh sb="145" eb="146">
      <t>ホ</t>
    </rPh>
    <rPh sb="146" eb="147">
      <t>ガイ</t>
    </rPh>
    <rPh sb="147" eb="149">
      <t>スイケイ</t>
    </rPh>
    <rPh sb="150" eb="151">
      <t>オコナ</t>
    </rPh>
    <rPh sb="157" eb="158">
      <t>チ</t>
    </rPh>
    <rPh sb="158" eb="160">
      <t>コテイ</t>
    </rPh>
    <rPh sb="166" eb="168">
      <t>ソウスウ</t>
    </rPh>
    <rPh sb="169" eb="171">
      <t>ミンエイ</t>
    </rPh>
    <rPh sb="172" eb="174">
      <t>ベンギ</t>
    </rPh>
    <rPh sb="174" eb="175">
      <t>ジョウ</t>
    </rPh>
    <rPh sb="176" eb="179">
      <t>コッコウリツ</t>
    </rPh>
    <rPh sb="179" eb="180">
      <t>ブン</t>
    </rPh>
    <rPh sb="185" eb="187">
      <t>ドクリツ</t>
    </rPh>
    <rPh sb="187" eb="189">
      <t>ギョウセイ</t>
    </rPh>
    <rPh sb="189" eb="191">
      <t>ホウジン</t>
    </rPh>
    <rPh sb="198" eb="200">
      <t>ミンエイ</t>
    </rPh>
    <rPh sb="201" eb="202">
      <t>フク</t>
    </rPh>
    <rPh sb="235" eb="236">
      <t>ネン</t>
    </rPh>
    <rPh sb="236" eb="237">
      <t>ヒョウ</t>
    </rPh>
    <rPh sb="240" eb="241">
      <t>カンガ</t>
    </rPh>
    <rPh sb="242" eb="243">
      <t>カタ</t>
    </rPh>
    <rPh sb="244" eb="246">
      <t>トウシュウ</t>
    </rPh>
    <rPh sb="250" eb="251">
      <t>ケイ</t>
    </rPh>
    <rPh sb="255" eb="257">
      <t>コウム</t>
    </rPh>
    <rPh sb="258" eb="260">
      <t>チョウサ</t>
    </rPh>
    <rPh sb="260" eb="262">
      <t>タイショウ</t>
    </rPh>
    <rPh sb="275" eb="277">
      <t>スウチ</t>
    </rPh>
    <rPh sb="278" eb="279">
      <t>ヒロ</t>
    </rPh>
    <phoneticPr fontId="14"/>
  </si>
  <si>
    <t>「博物館、美術館」の従業者数</t>
    <rPh sb="10" eb="13">
      <t>ジュウギョウシャ</t>
    </rPh>
    <rPh sb="13" eb="14">
      <t>スウ</t>
    </rPh>
    <phoneticPr fontId="14"/>
  </si>
  <si>
    <t>「動物園、植物園、水族園」＋「社会通信教育」＋「その他の社会教育」の従業者数</t>
    <rPh sb="2" eb="3">
      <t>ブツ</t>
    </rPh>
    <rPh sb="3" eb="4">
      <t>エン</t>
    </rPh>
    <rPh sb="7" eb="8">
      <t>エン</t>
    </rPh>
    <rPh sb="9" eb="11">
      <t>スイゾク</t>
    </rPh>
    <rPh sb="15" eb="17">
      <t>シャカイ</t>
    </rPh>
    <rPh sb="17" eb="19">
      <t>ツウシン</t>
    </rPh>
    <rPh sb="19" eb="21">
      <t>キョウイク</t>
    </rPh>
    <rPh sb="34" eb="37">
      <t>ジュウギョウシャ</t>
    </rPh>
    <rPh sb="37" eb="38">
      <t>スウ</t>
    </rPh>
    <phoneticPr fontId="14"/>
  </si>
  <si>
    <t>マニュアルどおり経セン組替第19表の従業者数で按分。なお、Ｈ２６年度全国研究会議の資料１では、本部門は復元処理、副業加算を行っているが、そういう処理をされた国値を按分しているので、これらの処理は不要。</t>
    <rPh sb="8" eb="9">
      <t>ケイ</t>
    </rPh>
    <rPh sb="11" eb="13">
      <t>クミカエ</t>
    </rPh>
    <rPh sb="13" eb="14">
      <t>ダイ</t>
    </rPh>
    <rPh sb="16" eb="17">
      <t>ヒョウ</t>
    </rPh>
    <rPh sb="18" eb="19">
      <t>ジュウ</t>
    </rPh>
    <rPh sb="19" eb="22">
      <t>ギョウシャスウ</t>
    </rPh>
    <rPh sb="23" eb="25">
      <t>アンブン</t>
    </rPh>
    <rPh sb="32" eb="34">
      <t>ネンド</t>
    </rPh>
    <rPh sb="34" eb="36">
      <t>ゼンコク</t>
    </rPh>
    <rPh sb="36" eb="38">
      <t>ケンキュウ</t>
    </rPh>
    <rPh sb="38" eb="40">
      <t>カイギ</t>
    </rPh>
    <rPh sb="41" eb="43">
      <t>シリョウ</t>
    </rPh>
    <rPh sb="47" eb="49">
      <t>ホンブ</t>
    </rPh>
    <rPh sb="49" eb="50">
      <t>モン</t>
    </rPh>
    <rPh sb="51" eb="53">
      <t>フクゲン</t>
    </rPh>
    <rPh sb="53" eb="55">
      <t>ショリ</t>
    </rPh>
    <rPh sb="56" eb="58">
      <t>フクギョウ</t>
    </rPh>
    <rPh sb="58" eb="60">
      <t>カサン</t>
    </rPh>
    <rPh sb="61" eb="62">
      <t>オコナ</t>
    </rPh>
    <rPh sb="72" eb="74">
      <t>ショリ</t>
    </rPh>
    <rPh sb="78" eb="80">
      <t>クニチ</t>
    </rPh>
    <rPh sb="81" eb="83">
      <t>アンブン</t>
    </rPh>
    <rPh sb="94" eb="96">
      <t>ショリ</t>
    </rPh>
    <rPh sb="97" eb="99">
      <t>フヨウ</t>
    </rPh>
    <phoneticPr fontId="14"/>
  </si>
  <si>
    <t>経セン組替第19表で、従業者数が把握できるので、それを用いて按分指標とした。なお、★★の国公立機関は経セン組替表に含まれていないものが多いが、本項目だけはなぜか含まれている。（Ｈ２４経セン活動調査は公務は調査対象外のはずなのだが）。ただし、従業者数按分はマニュアルp100にも記載されている。なお、全国値は復元処理、副業加算を行っているが、県値は按分で出しているのでそういう処理は不要。また、細品目コード「1605その他の職業・教育支援施設」が複数部門に該当し、行「6312－04その他の教育訓練機関（産業）」に対応するようだが、明確に区分できないため、その他の教育訓練機関（国公立）の全数を取った。
→R2年表では、経セン組替表第19表は削除のため第01表で確認したが、6312-03に該当するものはなかった。R2国IO要綱では日本標準産業分類8221「職業訓練施設」の国・地方公共団体及び独立行政法人設置分と8222「職業訓練施設」の活動を範囲とするとあるため、R3経セン公式集計の「822職業・教育支援施設」の国及び地方公共団体分の従業者数の全国値及び県値を按分指標とする。</t>
    <rPh sb="0" eb="1">
      <t>ケイ</t>
    </rPh>
    <rPh sb="3" eb="5">
      <t>クミカエ</t>
    </rPh>
    <rPh sb="5" eb="6">
      <t>ダイ</t>
    </rPh>
    <rPh sb="8" eb="9">
      <t>ヒョウ</t>
    </rPh>
    <rPh sb="11" eb="14">
      <t>ジュウギョウシャ</t>
    </rPh>
    <rPh sb="14" eb="15">
      <t>スウ</t>
    </rPh>
    <rPh sb="16" eb="18">
      <t>ハアク</t>
    </rPh>
    <rPh sb="27" eb="28">
      <t>モチ</t>
    </rPh>
    <rPh sb="30" eb="32">
      <t>アンブン</t>
    </rPh>
    <rPh sb="32" eb="34">
      <t>シヒョウ</t>
    </rPh>
    <rPh sb="44" eb="47">
      <t>コッコウリツ</t>
    </rPh>
    <rPh sb="47" eb="49">
      <t>キカン</t>
    </rPh>
    <rPh sb="50" eb="51">
      <t>ケイ</t>
    </rPh>
    <rPh sb="53" eb="55">
      <t>クミカエ</t>
    </rPh>
    <rPh sb="55" eb="56">
      <t>ヒョウ</t>
    </rPh>
    <rPh sb="57" eb="58">
      <t>フク</t>
    </rPh>
    <rPh sb="67" eb="68">
      <t>オオ</t>
    </rPh>
    <rPh sb="71" eb="72">
      <t>ホン</t>
    </rPh>
    <rPh sb="72" eb="74">
      <t>コウモク</t>
    </rPh>
    <rPh sb="80" eb="81">
      <t>フク</t>
    </rPh>
    <rPh sb="91" eb="92">
      <t>ケイ</t>
    </rPh>
    <rPh sb="94" eb="96">
      <t>カツドウ</t>
    </rPh>
    <rPh sb="96" eb="98">
      <t>チョウサ</t>
    </rPh>
    <rPh sb="99" eb="101">
      <t>コウム</t>
    </rPh>
    <rPh sb="102" eb="104">
      <t>チョウサ</t>
    </rPh>
    <rPh sb="104" eb="107">
      <t>タイショウガイ</t>
    </rPh>
    <rPh sb="120" eb="121">
      <t>ジュウ</t>
    </rPh>
    <rPh sb="121" eb="124">
      <t>ギョウシャスウ</t>
    </rPh>
    <rPh sb="124" eb="126">
      <t>アンブン</t>
    </rPh>
    <rPh sb="138" eb="140">
      <t>キサイ</t>
    </rPh>
    <rPh sb="149" eb="151">
      <t>ゼンコク</t>
    </rPh>
    <rPh sb="151" eb="152">
      <t>チ</t>
    </rPh>
    <rPh sb="153" eb="155">
      <t>フクゲン</t>
    </rPh>
    <rPh sb="155" eb="157">
      <t>ショリ</t>
    </rPh>
    <rPh sb="158" eb="160">
      <t>フクギョウ</t>
    </rPh>
    <rPh sb="160" eb="162">
      <t>カサン</t>
    </rPh>
    <rPh sb="163" eb="164">
      <t>オコナ</t>
    </rPh>
    <rPh sb="170" eb="171">
      <t>ケン</t>
    </rPh>
    <rPh sb="171" eb="172">
      <t>チ</t>
    </rPh>
    <rPh sb="173" eb="175">
      <t>アンブン</t>
    </rPh>
    <rPh sb="176" eb="177">
      <t>ダ</t>
    </rPh>
    <rPh sb="187" eb="189">
      <t>ショリ</t>
    </rPh>
    <rPh sb="190" eb="192">
      <t>フヨウ</t>
    </rPh>
    <rPh sb="196" eb="197">
      <t>サイ</t>
    </rPh>
    <rPh sb="197" eb="199">
      <t>ヒンモク</t>
    </rPh>
    <rPh sb="209" eb="210">
      <t>タ</t>
    </rPh>
    <rPh sb="211" eb="213">
      <t>ショクギョウ</t>
    </rPh>
    <rPh sb="214" eb="216">
      <t>キョウイク</t>
    </rPh>
    <rPh sb="216" eb="218">
      <t>シエン</t>
    </rPh>
    <rPh sb="218" eb="220">
      <t>シセツ</t>
    </rPh>
    <rPh sb="222" eb="224">
      <t>フクスウ</t>
    </rPh>
    <rPh sb="224" eb="226">
      <t>ブモン</t>
    </rPh>
    <rPh sb="227" eb="229">
      <t>ガイトウ</t>
    </rPh>
    <rPh sb="231" eb="232">
      <t>ギョウ</t>
    </rPh>
    <rPh sb="242" eb="243">
      <t>タ</t>
    </rPh>
    <rPh sb="244" eb="246">
      <t>キョウイク</t>
    </rPh>
    <rPh sb="246" eb="248">
      <t>クンレン</t>
    </rPh>
    <rPh sb="248" eb="250">
      <t>キカン</t>
    </rPh>
    <rPh sb="251" eb="253">
      <t>サンギョウ</t>
    </rPh>
    <rPh sb="256" eb="258">
      <t>タイオウ</t>
    </rPh>
    <rPh sb="265" eb="267">
      <t>メイカク</t>
    </rPh>
    <rPh sb="268" eb="270">
      <t>クブン</t>
    </rPh>
    <rPh sb="279" eb="280">
      <t>タ</t>
    </rPh>
    <rPh sb="281" eb="283">
      <t>キョウイク</t>
    </rPh>
    <rPh sb="283" eb="285">
      <t>クンレン</t>
    </rPh>
    <rPh sb="285" eb="287">
      <t>キカン</t>
    </rPh>
    <rPh sb="288" eb="291">
      <t>コッコウリツ</t>
    </rPh>
    <rPh sb="293" eb="295">
      <t>ゼンスウ</t>
    </rPh>
    <rPh sb="296" eb="297">
      <t>ト</t>
    </rPh>
    <rPh sb="304" eb="305">
      <t>ネン</t>
    </rPh>
    <rPh sb="305" eb="306">
      <t>ヒョウ</t>
    </rPh>
    <rPh sb="358" eb="359">
      <t>クニ</t>
    </rPh>
    <rPh sb="361" eb="363">
      <t>ヨウコウ</t>
    </rPh>
    <rPh sb="365" eb="367">
      <t>ニホン</t>
    </rPh>
    <rPh sb="367" eb="369">
      <t>ヒョウジュン</t>
    </rPh>
    <rPh sb="369" eb="371">
      <t>サンギョウ</t>
    </rPh>
    <rPh sb="371" eb="373">
      <t>ブンルイ</t>
    </rPh>
    <rPh sb="378" eb="380">
      <t>ショクギョウ</t>
    </rPh>
    <rPh sb="380" eb="382">
      <t>クンレン</t>
    </rPh>
    <rPh sb="382" eb="384">
      <t>シセツ</t>
    </rPh>
    <rPh sb="386" eb="387">
      <t>クニ</t>
    </rPh>
    <rPh sb="388" eb="390">
      <t>チホウ</t>
    </rPh>
    <rPh sb="390" eb="392">
      <t>コウキョウ</t>
    </rPh>
    <rPh sb="392" eb="394">
      <t>ダンタイ</t>
    </rPh>
    <rPh sb="394" eb="395">
      <t>オヨ</t>
    </rPh>
    <rPh sb="396" eb="398">
      <t>ドクリツ</t>
    </rPh>
    <rPh sb="398" eb="400">
      <t>ギョウセイ</t>
    </rPh>
    <rPh sb="400" eb="402">
      <t>ホウジン</t>
    </rPh>
    <rPh sb="402" eb="404">
      <t>セッチ</t>
    </rPh>
    <rPh sb="404" eb="405">
      <t>ブン</t>
    </rPh>
    <rPh sb="411" eb="413">
      <t>ショクギョウ</t>
    </rPh>
    <rPh sb="413" eb="415">
      <t>クンレン</t>
    </rPh>
    <rPh sb="415" eb="417">
      <t>シセツ</t>
    </rPh>
    <rPh sb="419" eb="421">
      <t>カツドウ</t>
    </rPh>
    <rPh sb="422" eb="424">
      <t>ハンイ</t>
    </rPh>
    <rPh sb="447" eb="449">
      <t>ショクギョウ</t>
    </rPh>
    <rPh sb="450" eb="452">
      <t>キョウイク</t>
    </rPh>
    <rPh sb="452" eb="454">
      <t>シエン</t>
    </rPh>
    <rPh sb="454" eb="456">
      <t>シセツ</t>
    </rPh>
    <rPh sb="458" eb="459">
      <t>クニ</t>
    </rPh>
    <rPh sb="459" eb="460">
      <t>オヨ</t>
    </rPh>
    <rPh sb="461" eb="463">
      <t>チホウ</t>
    </rPh>
    <rPh sb="463" eb="465">
      <t>コウキョウ</t>
    </rPh>
    <rPh sb="465" eb="467">
      <t>ダンタイ</t>
    </rPh>
    <rPh sb="467" eb="468">
      <t>ブン</t>
    </rPh>
    <rPh sb="469" eb="472">
      <t>ジュウギョウシャ</t>
    </rPh>
    <rPh sb="472" eb="473">
      <t>スウ</t>
    </rPh>
    <rPh sb="474" eb="476">
      <t>ゼンコク</t>
    </rPh>
    <rPh sb="476" eb="477">
      <t>チ</t>
    </rPh>
    <rPh sb="477" eb="478">
      <t>オヨ</t>
    </rPh>
    <rPh sb="479" eb="480">
      <t>ケン</t>
    </rPh>
    <rPh sb="480" eb="481">
      <t>チ</t>
    </rPh>
    <rPh sb="482" eb="484">
      <t>アンブン</t>
    </rPh>
    <rPh sb="484" eb="486">
      <t>シヒョウ</t>
    </rPh>
    <phoneticPr fontId="14"/>
  </si>
  <si>
    <t>従業者数で按分。マニュアルどおり。復元処理、副業加算は上記の理由により不要。</t>
    <rPh sb="0" eb="3">
      <t>ジュウギョウシャ</t>
    </rPh>
    <rPh sb="3" eb="4">
      <t>スウ</t>
    </rPh>
    <rPh sb="5" eb="7">
      <t>アンブン</t>
    </rPh>
    <rPh sb="17" eb="19">
      <t>フクゲン</t>
    </rPh>
    <rPh sb="19" eb="21">
      <t>ショリ</t>
    </rPh>
    <rPh sb="22" eb="24">
      <t>フクギョウ</t>
    </rPh>
    <rPh sb="24" eb="26">
      <t>カサン</t>
    </rPh>
    <rPh sb="27" eb="29">
      <t>ジョウキ</t>
    </rPh>
    <rPh sb="30" eb="32">
      <t>リユウ</t>
    </rPh>
    <rPh sb="35" eb="37">
      <t>フヨウ</t>
    </rPh>
    <phoneticPr fontId="14"/>
  </si>
  <si>
    <t>6321-01</t>
    <phoneticPr fontId="5"/>
  </si>
  <si>
    <t>6321-011</t>
    <phoneticPr fontId="5"/>
  </si>
  <si>
    <t>　高等教育機関（国公立）(自然科学研究機関（国公立）★★)</t>
    <phoneticPr fontId="5"/>
  </si>
  <si>
    <t>経セン公式集計＞事業所集計＞産業横断的集計12表</t>
    <rPh sb="0" eb="1">
      <t>ケイ</t>
    </rPh>
    <rPh sb="3" eb="5">
      <t>コウシキ</t>
    </rPh>
    <rPh sb="5" eb="7">
      <t>シュウケイ</t>
    </rPh>
    <rPh sb="8" eb="11">
      <t>ジギョウショ</t>
    </rPh>
    <rPh sb="11" eb="13">
      <t>シュウケイ</t>
    </rPh>
    <rPh sb="14" eb="16">
      <t>サンギョウ</t>
    </rPh>
    <rPh sb="16" eb="19">
      <t>オウダンテキ</t>
    </rPh>
    <rPh sb="19" eb="21">
      <t>シュウケイ</t>
    </rPh>
    <rPh sb="23" eb="24">
      <t>ヒョウ</t>
    </rPh>
    <phoneticPr fontId="5"/>
  </si>
  <si>
    <t>Ｈ２４経セン活動調査は公務は調査対象になっていないため、それを組み替えただけの組替集計にも当然含まれていない。このため、経セン組替集計は使えないので、やむを得ずH21経セン基礎調査の自然科学研究所の従業者数で按分している。H18事業所統計とH21経センはあくまで別調査であるため、この２つを使ったH23への補外推計は行わず、H21値固定とした。また総数－民営を便宜上の国公立分とした。　→27年表も考え方を踏襲。なお、高等教育機関については人数を区分できないため使用していない。
→（R2表作成時）711「自然科学研究所」のうち（国＋地方公共団体）の従業者数</t>
    <rPh sb="244" eb="245">
      <t>ヒョウ</t>
    </rPh>
    <rPh sb="245" eb="247">
      <t>サクセイ</t>
    </rPh>
    <rPh sb="247" eb="248">
      <t>ジ</t>
    </rPh>
    <rPh sb="253" eb="255">
      <t>シゼン</t>
    </rPh>
    <rPh sb="255" eb="257">
      <t>カガク</t>
    </rPh>
    <rPh sb="257" eb="260">
      <t>ケンキュウショ</t>
    </rPh>
    <rPh sb="265" eb="266">
      <t>クニ</t>
    </rPh>
    <rPh sb="267" eb="269">
      <t>チホウ</t>
    </rPh>
    <rPh sb="269" eb="271">
      <t>コウキョウ</t>
    </rPh>
    <rPh sb="271" eb="273">
      <t>ダンタイ</t>
    </rPh>
    <rPh sb="275" eb="278">
      <t>ジュウギョウシャ</t>
    </rPh>
    <rPh sb="278" eb="279">
      <t>スウ</t>
    </rPh>
    <phoneticPr fontId="5"/>
  </si>
  <si>
    <t>　その他の研究機関（国公立）（自然科学研究機関（国公立）★★）</t>
    <phoneticPr fontId="5"/>
  </si>
  <si>
    <t>711「自然科学研究所」のうち（国＋地方公共団体）の従業者数
経セン公式集計上、上記の「高等教育機関（国公立）」との区分が不明なため、同じ按分比率を使った。</t>
    <rPh sb="4" eb="6">
      <t>シゼン</t>
    </rPh>
    <rPh sb="6" eb="8">
      <t>カガク</t>
    </rPh>
    <rPh sb="8" eb="11">
      <t>ケンキュウショ</t>
    </rPh>
    <rPh sb="16" eb="17">
      <t>クニ</t>
    </rPh>
    <rPh sb="18" eb="20">
      <t>チホウ</t>
    </rPh>
    <rPh sb="20" eb="22">
      <t>コウキョウ</t>
    </rPh>
    <rPh sb="22" eb="24">
      <t>ダンタイ</t>
    </rPh>
    <rPh sb="26" eb="29">
      <t>ジュウギョウシャ</t>
    </rPh>
    <rPh sb="29" eb="30">
      <t>スウ</t>
    </rPh>
    <rPh sb="31" eb="32">
      <t>ケイ</t>
    </rPh>
    <rPh sb="34" eb="36">
      <t>コウシキ</t>
    </rPh>
    <rPh sb="36" eb="38">
      <t>シュウケイ</t>
    </rPh>
    <rPh sb="38" eb="39">
      <t>ジョウ</t>
    </rPh>
    <rPh sb="40" eb="42">
      <t>ジョウキ</t>
    </rPh>
    <rPh sb="44" eb="46">
      <t>コウトウ</t>
    </rPh>
    <rPh sb="46" eb="48">
      <t>キョウイク</t>
    </rPh>
    <rPh sb="48" eb="50">
      <t>キカン</t>
    </rPh>
    <rPh sb="51" eb="54">
      <t>コッコウリツ</t>
    </rPh>
    <rPh sb="58" eb="60">
      <t>クブン</t>
    </rPh>
    <rPh sb="61" eb="63">
      <t>フメイ</t>
    </rPh>
    <rPh sb="67" eb="68">
      <t>オナ</t>
    </rPh>
    <rPh sb="69" eb="71">
      <t>アンブン</t>
    </rPh>
    <rPh sb="71" eb="73">
      <t>ヒリツ</t>
    </rPh>
    <rPh sb="74" eb="75">
      <t>ツカ</t>
    </rPh>
    <phoneticPr fontId="5"/>
  </si>
  <si>
    <t>6321-02</t>
    <phoneticPr fontId="5"/>
  </si>
  <si>
    <t>6321-021</t>
    <phoneticPr fontId="5"/>
  </si>
  <si>
    <t>人文・社会科学研究機関（国公立）★★</t>
  </si>
  <si>
    <t>　高等教育機関（国公立）(人文・社会科学研究機関（国公立）★★)</t>
    <phoneticPr fontId="5"/>
  </si>
  <si>
    <t>（H27表）H26経セン基礎調査の人文社会科学研究所の人数で按分
→（R2表作成時）712「人文・社会科学研究所」のうち（国＋地方公共団体）の従業者数</t>
    <rPh sb="4" eb="5">
      <t>ヒョウ</t>
    </rPh>
    <rPh sb="9" eb="10">
      <t>ケイ</t>
    </rPh>
    <rPh sb="12" eb="14">
      <t>キソ</t>
    </rPh>
    <rPh sb="14" eb="16">
      <t>チョウサ</t>
    </rPh>
    <rPh sb="17" eb="19">
      <t>ジンモン</t>
    </rPh>
    <rPh sb="19" eb="21">
      <t>シャカイ</t>
    </rPh>
    <rPh sb="21" eb="23">
      <t>カガク</t>
    </rPh>
    <rPh sb="23" eb="26">
      <t>ケンキュウショ</t>
    </rPh>
    <rPh sb="27" eb="29">
      <t>ニンズウ</t>
    </rPh>
    <rPh sb="30" eb="32">
      <t>アンブン</t>
    </rPh>
    <rPh sb="37" eb="38">
      <t>ヒョウ</t>
    </rPh>
    <rPh sb="38" eb="41">
      <t>サクセイジ</t>
    </rPh>
    <rPh sb="46" eb="48">
      <t>ジンブン</t>
    </rPh>
    <rPh sb="49" eb="51">
      <t>シャカイ</t>
    </rPh>
    <rPh sb="51" eb="53">
      <t>カガク</t>
    </rPh>
    <rPh sb="53" eb="56">
      <t>ケンキュウショ</t>
    </rPh>
    <rPh sb="61" eb="62">
      <t>クニ</t>
    </rPh>
    <rPh sb="63" eb="65">
      <t>チホウ</t>
    </rPh>
    <rPh sb="65" eb="67">
      <t>コウキョウ</t>
    </rPh>
    <rPh sb="67" eb="69">
      <t>ダンタイ</t>
    </rPh>
    <rPh sb="71" eb="74">
      <t>ジュウギョウシャ</t>
    </rPh>
    <rPh sb="74" eb="75">
      <t>スウ</t>
    </rPh>
    <phoneticPr fontId="5"/>
  </si>
  <si>
    <t>　その他の研究機関（国公立）（人文・社会科学研究機関（国公立）★★）</t>
    <phoneticPr fontId="5"/>
  </si>
  <si>
    <t>712「人文・社会科学研究所」のうち（国＋地方公共団体）の従業者数
経セン公式集計上、上記の「高等教育機関（国公立）」との区分が不明なため、同じ按分比率を使った。</t>
    <rPh sb="4" eb="6">
      <t>ジンブン</t>
    </rPh>
    <rPh sb="7" eb="9">
      <t>シャカイ</t>
    </rPh>
    <rPh sb="9" eb="11">
      <t>カガク</t>
    </rPh>
    <rPh sb="11" eb="14">
      <t>ケンキュウショ</t>
    </rPh>
    <rPh sb="19" eb="20">
      <t>クニ</t>
    </rPh>
    <rPh sb="21" eb="23">
      <t>チホウ</t>
    </rPh>
    <rPh sb="23" eb="25">
      <t>コウキョウ</t>
    </rPh>
    <rPh sb="25" eb="27">
      <t>ダンタイ</t>
    </rPh>
    <rPh sb="29" eb="32">
      <t>ジュウギョウシャ</t>
    </rPh>
    <rPh sb="32" eb="33">
      <t>スウ</t>
    </rPh>
    <phoneticPr fontId="5"/>
  </si>
  <si>
    <t>6321-03</t>
    <phoneticPr fontId="5"/>
  </si>
  <si>
    <t>6321-031</t>
    <phoneticPr fontId="5"/>
  </si>
  <si>
    <t>（H27表作成時）経セン組替19表は、自然科学の非営利・産業、人文科学の非営利・産業をすべて含んでいる(2014年4／30の国からの通知資料　別添３に記載。)ので、便宜上全て同じ数値を適用した。従業者数按分はマニュアルに記載の方法。公式集計の711自然科学研究所、712人文社会科学研究所は国公立の分も含んでいるのでそのまま使えない。
→（R2表作成時）711「自然科学研究所」のうち（会社以外の法人＋法人でない団体）の従業者数</t>
    <rPh sb="4" eb="5">
      <t>ヒョウ</t>
    </rPh>
    <rPh sb="5" eb="7">
      <t>サクセイ</t>
    </rPh>
    <rPh sb="7" eb="8">
      <t>ジ</t>
    </rPh>
    <rPh sb="172" eb="173">
      <t>ヒョウ</t>
    </rPh>
    <rPh sb="173" eb="175">
      <t>サクセイ</t>
    </rPh>
    <rPh sb="175" eb="176">
      <t>ジ</t>
    </rPh>
    <rPh sb="181" eb="183">
      <t>シゼン</t>
    </rPh>
    <rPh sb="183" eb="185">
      <t>カガク</t>
    </rPh>
    <rPh sb="185" eb="188">
      <t>ケンキュウショ</t>
    </rPh>
    <rPh sb="193" eb="195">
      <t>カイシャ</t>
    </rPh>
    <rPh sb="195" eb="197">
      <t>イガイ</t>
    </rPh>
    <rPh sb="198" eb="200">
      <t>ホウジン</t>
    </rPh>
    <rPh sb="201" eb="203">
      <t>ホウジン</t>
    </rPh>
    <rPh sb="206" eb="208">
      <t>ダンタイ</t>
    </rPh>
    <rPh sb="210" eb="213">
      <t>ジュウギョウシャ</t>
    </rPh>
    <rPh sb="213" eb="214">
      <t>スウ</t>
    </rPh>
    <phoneticPr fontId="5"/>
  </si>
  <si>
    <t>6321-04</t>
    <phoneticPr fontId="5"/>
  </si>
  <si>
    <t>6321-041</t>
    <phoneticPr fontId="5"/>
  </si>
  <si>
    <t>人文・社会科学研究機関（非営利）★</t>
  </si>
  <si>
    <t>712「人文・社会科学研究所」のうち（会社以外の法人＋法人でない団体）の従業者数</t>
    <rPh sb="4" eb="6">
      <t>ジンブン</t>
    </rPh>
    <rPh sb="7" eb="9">
      <t>シャカイ</t>
    </rPh>
    <rPh sb="9" eb="11">
      <t>カガク</t>
    </rPh>
    <rPh sb="11" eb="14">
      <t>ケンキュウショ</t>
    </rPh>
    <rPh sb="19" eb="21">
      <t>カイシャ</t>
    </rPh>
    <rPh sb="21" eb="23">
      <t>イガイ</t>
    </rPh>
    <rPh sb="24" eb="26">
      <t>ホウジン</t>
    </rPh>
    <rPh sb="27" eb="29">
      <t>ホウジン</t>
    </rPh>
    <rPh sb="32" eb="34">
      <t>ダンタイ</t>
    </rPh>
    <rPh sb="36" eb="39">
      <t>ジュウギョウシャ</t>
    </rPh>
    <rPh sb="39" eb="40">
      <t>スウ</t>
    </rPh>
    <phoneticPr fontId="5"/>
  </si>
  <si>
    <t>6321-05</t>
    <phoneticPr fontId="5"/>
  </si>
  <si>
    <t>6321-051</t>
    <phoneticPr fontId="5"/>
  </si>
  <si>
    <t>自然科学研究機関</t>
  </si>
  <si>
    <t>711「自然科学研究所」のうち（個人＋会社）の従業者数</t>
    <rPh sb="4" eb="6">
      <t>シゼン</t>
    </rPh>
    <rPh sb="6" eb="8">
      <t>カガク</t>
    </rPh>
    <rPh sb="8" eb="11">
      <t>ケンキュウショ</t>
    </rPh>
    <rPh sb="16" eb="18">
      <t>コジン</t>
    </rPh>
    <rPh sb="19" eb="21">
      <t>カイシャ</t>
    </rPh>
    <rPh sb="23" eb="26">
      <t>ジュウギョウシャ</t>
    </rPh>
    <rPh sb="26" eb="27">
      <t>スウ</t>
    </rPh>
    <phoneticPr fontId="5"/>
  </si>
  <si>
    <t>6321-06</t>
    <phoneticPr fontId="5"/>
  </si>
  <si>
    <t>6321-061</t>
    <phoneticPr fontId="5"/>
  </si>
  <si>
    <t>人文・社会科学研究機関</t>
  </si>
  <si>
    <t>712「人文・社会科学研究所」のうち（個人＋会社）の従業者数</t>
    <rPh sb="4" eb="6">
      <t>ジンモン</t>
    </rPh>
    <rPh sb="7" eb="9">
      <t>シャカイ</t>
    </rPh>
    <rPh sb="9" eb="11">
      <t>カガク</t>
    </rPh>
    <rPh sb="10" eb="12">
      <t>シャカイ</t>
    </rPh>
    <rPh sb="12" eb="14">
      <t>カガク</t>
    </rPh>
    <rPh sb="14" eb="17">
      <t>ケンキュウショ</t>
    </rPh>
    <rPh sb="22" eb="24">
      <t>コジン</t>
    </rPh>
    <rPh sb="25" eb="27">
      <t>カイシャジュウギョウシャスウ</t>
    </rPh>
    <phoneticPr fontId="5"/>
  </si>
  <si>
    <t>6322-01</t>
    <phoneticPr fontId="5"/>
  </si>
  <si>
    <t>6322-011</t>
    <phoneticPr fontId="5"/>
  </si>
  <si>
    <t>R2国勢調査抽出詳細集計20-4表</t>
    <rPh sb="2" eb="4">
      <t>コクセイ</t>
    </rPh>
    <rPh sb="4" eb="6">
      <t>チョウサ</t>
    </rPh>
    <rPh sb="6" eb="8">
      <t>チュウシュツ</t>
    </rPh>
    <rPh sb="8" eb="10">
      <t>ショウサイ</t>
    </rPh>
    <rPh sb="10" eb="12">
      <t>シュウケイ</t>
    </rPh>
    <rPh sb="16" eb="17">
      <t>ヒョウ</t>
    </rPh>
    <phoneticPr fontId="5"/>
  </si>
  <si>
    <t>（H27表作成時）国が推計に使った科学技術研究調査報告には、都道府県別の企業内研究者数が載っていないため、マニュアル記載の従業者数按分ができない。このため他の列部門の中の、本部門の割合を積上げてＣＴとする。
県の投入係数表を完成させた後でないと入力できないので当初は前回値仮置きしておく。
基本分類ベースの投入係数を確定させると、自動的に基本分類ベースの取引基本表も完成するので、H23年表までは、この取引基本表における各列部門の企業内研究開発部門への中間投入の合計を本品目のＣＴとしていたが、H27年表からは、研究開発の資本化により、中間投入がゼロになり、固定資本形成に計上されるため、その額をＣＴとした。
循環参照になってしまうので、手入力している。
（SNAと同様に国値を研究者・技術者の人数按分すると、12,323,579×(106,270/2,494,000)＝525,111となり、かけ離れた数値にはならないので、上記の方法で推計することとする。）
→（R2表作成時)R5国委託事業（R2神奈川県産業連関表作成支援）で案１として示されていた国勢調査の「研究者＋技術者数」（従業地ベース）で按分する方法を採用した。</t>
    <rPh sb="4" eb="5">
      <t>ヒョウ</t>
    </rPh>
    <rPh sb="5" eb="7">
      <t>サクセイ</t>
    </rPh>
    <rPh sb="7" eb="8">
      <t>ジ</t>
    </rPh>
    <rPh sb="9" eb="10">
      <t>クニ</t>
    </rPh>
    <rPh sb="11" eb="13">
      <t>スイケイ</t>
    </rPh>
    <rPh sb="14" eb="15">
      <t>ツカ</t>
    </rPh>
    <rPh sb="17" eb="19">
      <t>カガク</t>
    </rPh>
    <rPh sb="19" eb="21">
      <t>ギジュツ</t>
    </rPh>
    <rPh sb="21" eb="23">
      <t>ケンキュウ</t>
    </rPh>
    <rPh sb="23" eb="25">
      <t>チョウサ</t>
    </rPh>
    <rPh sb="25" eb="27">
      <t>ホウコク</t>
    </rPh>
    <rPh sb="30" eb="34">
      <t>トドウフケン</t>
    </rPh>
    <rPh sb="34" eb="35">
      <t>ベツ</t>
    </rPh>
    <rPh sb="36" eb="39">
      <t>キギョウナイ</t>
    </rPh>
    <rPh sb="39" eb="42">
      <t>ケンキュウシャ</t>
    </rPh>
    <rPh sb="42" eb="43">
      <t>スウ</t>
    </rPh>
    <rPh sb="44" eb="45">
      <t>ノ</t>
    </rPh>
    <rPh sb="58" eb="60">
      <t>キサイ</t>
    </rPh>
    <rPh sb="61" eb="62">
      <t>ジュウ</t>
    </rPh>
    <rPh sb="62" eb="65">
      <t>ギョウシャスウ</t>
    </rPh>
    <rPh sb="65" eb="67">
      <t>アンブン</t>
    </rPh>
    <rPh sb="77" eb="78">
      <t>タ</t>
    </rPh>
    <rPh sb="79" eb="80">
      <t>レツ</t>
    </rPh>
    <rPh sb="80" eb="82">
      <t>ブモン</t>
    </rPh>
    <rPh sb="83" eb="84">
      <t>ナカ</t>
    </rPh>
    <rPh sb="86" eb="88">
      <t>ホンブ</t>
    </rPh>
    <rPh sb="88" eb="89">
      <t>モン</t>
    </rPh>
    <rPh sb="90" eb="92">
      <t>ワリアイ</t>
    </rPh>
    <rPh sb="93" eb="95">
      <t>ツミア</t>
    </rPh>
    <rPh sb="104" eb="105">
      <t>ケン</t>
    </rPh>
    <rPh sb="106" eb="108">
      <t>トウニュウ</t>
    </rPh>
    <rPh sb="108" eb="110">
      <t>ケイスウ</t>
    </rPh>
    <rPh sb="110" eb="111">
      <t>ヒョウ</t>
    </rPh>
    <rPh sb="193" eb="194">
      <t>ネン</t>
    </rPh>
    <rPh sb="194" eb="195">
      <t>ヒョウ</t>
    </rPh>
    <rPh sb="215" eb="218">
      <t>キギョウナイ</t>
    </rPh>
    <rPh sb="218" eb="220">
      <t>ケンキュウ</t>
    </rPh>
    <rPh sb="220" eb="222">
      <t>カイハツ</t>
    </rPh>
    <rPh sb="250" eb="251">
      <t>ネン</t>
    </rPh>
    <rPh sb="251" eb="252">
      <t>ヒョウ</t>
    </rPh>
    <rPh sb="256" eb="258">
      <t>ケンキュウ</t>
    </rPh>
    <rPh sb="258" eb="260">
      <t>カイハツ</t>
    </rPh>
    <rPh sb="261" eb="264">
      <t>シホンカ</t>
    </rPh>
    <rPh sb="268" eb="270">
      <t>チュウカン</t>
    </rPh>
    <rPh sb="270" eb="272">
      <t>トウニュウ</t>
    </rPh>
    <rPh sb="279" eb="281">
      <t>コテイ</t>
    </rPh>
    <rPh sb="281" eb="283">
      <t>シホン</t>
    </rPh>
    <rPh sb="283" eb="285">
      <t>ケイセイ</t>
    </rPh>
    <rPh sb="286" eb="288">
      <t>ケイジョウ</t>
    </rPh>
    <rPh sb="296" eb="297">
      <t>ガク</t>
    </rPh>
    <rPh sb="435" eb="436">
      <t>ヒョウ</t>
    </rPh>
    <rPh sb="436" eb="439">
      <t>サクセイジ</t>
    </rPh>
    <rPh sb="442" eb="443">
      <t>クニ</t>
    </rPh>
    <rPh sb="443" eb="445">
      <t>イタク</t>
    </rPh>
    <rPh sb="445" eb="447">
      <t>ジギョウ</t>
    </rPh>
    <rPh sb="450" eb="454">
      <t>カナガワケン</t>
    </rPh>
    <rPh sb="454" eb="456">
      <t>サンギョウ</t>
    </rPh>
    <rPh sb="456" eb="459">
      <t>レンカンヒョウ</t>
    </rPh>
    <rPh sb="459" eb="461">
      <t>サクセイ</t>
    </rPh>
    <rPh sb="461" eb="463">
      <t>シエン</t>
    </rPh>
    <rPh sb="465" eb="466">
      <t>アン</t>
    </rPh>
    <rPh sb="470" eb="471">
      <t>シメ</t>
    </rPh>
    <rPh sb="476" eb="478">
      <t>コクセイ</t>
    </rPh>
    <rPh sb="478" eb="480">
      <t>チョウサ</t>
    </rPh>
    <rPh sb="482" eb="485">
      <t>ケンキュウシャ</t>
    </rPh>
    <rPh sb="486" eb="489">
      <t>ギジュツシャ</t>
    </rPh>
    <rPh sb="489" eb="490">
      <t>スウ</t>
    </rPh>
    <rPh sb="492" eb="494">
      <t>ジュウギョウ</t>
    </rPh>
    <rPh sb="494" eb="495">
      <t>チ</t>
    </rPh>
    <rPh sb="500" eb="502">
      <t>アンブン</t>
    </rPh>
    <rPh sb="504" eb="506">
      <t>ホウホウ</t>
    </rPh>
    <rPh sb="507" eb="509">
      <t>サイヨウ</t>
    </rPh>
    <phoneticPr fontId="14"/>
  </si>
  <si>
    <t>医療（病院）</t>
  </si>
  <si>
    <t>医療費の動向調査、医療施設調査</t>
    <rPh sb="0" eb="3">
      <t>イリョウヒ</t>
    </rPh>
    <rPh sb="4" eb="6">
      <t>ドウコウ</t>
    </rPh>
    <rPh sb="6" eb="8">
      <t>チョウサ</t>
    </rPh>
    <rPh sb="9" eb="11">
      <t>イリョウ</t>
    </rPh>
    <rPh sb="11" eb="13">
      <t>シセツ</t>
    </rPh>
    <rPh sb="13" eb="15">
      <t>チョウサ</t>
    </rPh>
    <phoneticPr fontId="14"/>
  </si>
  <si>
    <t>R2年表から全国表で区分変更あり。R5北海道・東北ブロック産業連関表研究会で紹介されていた北海道庁の推計方法案を参考に推計し直した。</t>
    <rPh sb="2" eb="3">
      <t>ネン</t>
    </rPh>
    <rPh sb="3" eb="4">
      <t>ヒョウ</t>
    </rPh>
    <rPh sb="6" eb="8">
      <t>ゼンコク</t>
    </rPh>
    <rPh sb="8" eb="9">
      <t>ヒョウ</t>
    </rPh>
    <rPh sb="10" eb="12">
      <t>クブン</t>
    </rPh>
    <rPh sb="12" eb="14">
      <t>ヘンコウ</t>
    </rPh>
    <rPh sb="19" eb="22">
      <t>ホッカイドウ</t>
    </rPh>
    <rPh sb="23" eb="25">
      <t>トウホク</t>
    </rPh>
    <rPh sb="29" eb="31">
      <t>サンギョウ</t>
    </rPh>
    <rPh sb="31" eb="33">
      <t>レンカン</t>
    </rPh>
    <rPh sb="33" eb="34">
      <t>ヒョウ</t>
    </rPh>
    <rPh sb="34" eb="37">
      <t>ケンキュウカイ</t>
    </rPh>
    <rPh sb="38" eb="40">
      <t>ショウカイ</t>
    </rPh>
    <rPh sb="45" eb="48">
      <t>ホッカイドウ</t>
    </rPh>
    <rPh sb="48" eb="49">
      <t>チョウ</t>
    </rPh>
    <rPh sb="50" eb="52">
      <t>スイケイ</t>
    </rPh>
    <rPh sb="52" eb="54">
      <t>ホウホウ</t>
    </rPh>
    <rPh sb="54" eb="55">
      <t>アン</t>
    </rPh>
    <rPh sb="56" eb="58">
      <t>サンコウ</t>
    </rPh>
    <rPh sb="59" eb="61">
      <t>スイケイ</t>
    </rPh>
    <rPh sb="62" eb="63">
      <t>ナオ</t>
    </rPh>
    <phoneticPr fontId="14"/>
  </si>
  <si>
    <t>医療（一般診療所）</t>
  </si>
  <si>
    <t>R1,R2年度医療費の動向調査</t>
    <rPh sb="5" eb="7">
      <t>ネンド</t>
    </rPh>
    <rPh sb="7" eb="10">
      <t>イリョウヒ</t>
    </rPh>
    <rPh sb="11" eb="13">
      <t>ドウコウ</t>
    </rPh>
    <rPh sb="13" eb="15">
      <t>チョウサ</t>
    </rPh>
    <phoneticPr fontId="14"/>
  </si>
  <si>
    <t>経セン組替表第01表</t>
    <rPh sb="0" eb="1">
      <t>キョウ</t>
    </rPh>
    <rPh sb="3" eb="5">
      <t>クミカエ</t>
    </rPh>
    <rPh sb="5" eb="6">
      <t>ヒョウ</t>
    </rPh>
    <rPh sb="6" eb="7">
      <t>ダイ</t>
    </rPh>
    <rPh sb="9" eb="10">
      <t>ヒョウ</t>
    </rPh>
    <phoneticPr fontId="14"/>
  </si>
  <si>
    <t>H28経セン活動調査公式集計の助産・看護業、療術業、医療附帯サービスの医業収入（保険診療＋保険外診療）の対全国比で按分。マニュアル通り。なお、全国値は復元処理、副業加算を行っているが、県値は按分のためこれらの処理は不要。
→R2年表では、前回表で使った公式集計と同様の表は公表されていないため、組み替え表の売り上げ金額で按分することとする。</t>
    <rPh sb="10" eb="12">
      <t>コウシキ</t>
    </rPh>
    <rPh sb="12" eb="14">
      <t>シュウケイ</t>
    </rPh>
    <rPh sb="15" eb="17">
      <t>ジョサン</t>
    </rPh>
    <rPh sb="18" eb="20">
      <t>カンゴ</t>
    </rPh>
    <rPh sb="20" eb="21">
      <t>ギョウ</t>
    </rPh>
    <rPh sb="22" eb="24">
      <t>リョウジュツ</t>
    </rPh>
    <rPh sb="24" eb="25">
      <t>ギョウ</t>
    </rPh>
    <rPh sb="26" eb="28">
      <t>イリョウ</t>
    </rPh>
    <rPh sb="28" eb="30">
      <t>フタイ</t>
    </rPh>
    <rPh sb="35" eb="37">
      <t>イギョウ</t>
    </rPh>
    <rPh sb="37" eb="39">
      <t>シュウニュウ</t>
    </rPh>
    <rPh sb="40" eb="42">
      <t>ホケン</t>
    </rPh>
    <rPh sb="42" eb="44">
      <t>シンリョウ</t>
    </rPh>
    <rPh sb="45" eb="47">
      <t>ホケン</t>
    </rPh>
    <rPh sb="47" eb="48">
      <t>ガイ</t>
    </rPh>
    <rPh sb="48" eb="50">
      <t>シンリョウ</t>
    </rPh>
    <rPh sb="52" eb="53">
      <t>タイ</t>
    </rPh>
    <rPh sb="53" eb="55">
      <t>ゼンコク</t>
    </rPh>
    <rPh sb="55" eb="56">
      <t>ヒ</t>
    </rPh>
    <rPh sb="57" eb="59">
      <t>アンブン</t>
    </rPh>
    <rPh sb="65" eb="66">
      <t>ドオ</t>
    </rPh>
    <rPh sb="71" eb="73">
      <t>ゼンコク</t>
    </rPh>
    <rPh sb="73" eb="74">
      <t>チ</t>
    </rPh>
    <rPh sb="75" eb="77">
      <t>フクゲン</t>
    </rPh>
    <rPh sb="77" eb="79">
      <t>ショリ</t>
    </rPh>
    <rPh sb="80" eb="82">
      <t>フクギョウ</t>
    </rPh>
    <rPh sb="82" eb="84">
      <t>カサン</t>
    </rPh>
    <rPh sb="85" eb="86">
      <t>オコナ</t>
    </rPh>
    <rPh sb="92" eb="93">
      <t>ケン</t>
    </rPh>
    <rPh sb="93" eb="94">
      <t>チ</t>
    </rPh>
    <rPh sb="95" eb="97">
      <t>アンブン</t>
    </rPh>
    <rPh sb="104" eb="106">
      <t>ショリ</t>
    </rPh>
    <rPh sb="107" eb="109">
      <t>フヨウ</t>
    </rPh>
    <rPh sb="114" eb="115">
      <t>ネン</t>
    </rPh>
    <rPh sb="115" eb="116">
      <t>ヒョウ</t>
    </rPh>
    <rPh sb="119" eb="121">
      <t>ゼンカイ</t>
    </rPh>
    <rPh sb="121" eb="122">
      <t>ヒョウ</t>
    </rPh>
    <rPh sb="123" eb="124">
      <t>ツカ</t>
    </rPh>
    <rPh sb="126" eb="128">
      <t>コウシキ</t>
    </rPh>
    <rPh sb="128" eb="130">
      <t>シュウケイ</t>
    </rPh>
    <rPh sb="131" eb="133">
      <t>ドウヨウ</t>
    </rPh>
    <rPh sb="134" eb="135">
      <t>ヒョウ</t>
    </rPh>
    <rPh sb="136" eb="138">
      <t>コウヒョウ</t>
    </rPh>
    <rPh sb="147" eb="148">
      <t>ク</t>
    </rPh>
    <rPh sb="149" eb="150">
      <t>カ</t>
    </rPh>
    <rPh sb="151" eb="152">
      <t>ヒョウ</t>
    </rPh>
    <rPh sb="153" eb="154">
      <t>ウ</t>
    </rPh>
    <rPh sb="155" eb="156">
      <t>ア</t>
    </rPh>
    <rPh sb="157" eb="159">
      <t>キンガク</t>
    </rPh>
    <rPh sb="160" eb="162">
      <t>アンブン</t>
    </rPh>
    <phoneticPr fontId="14"/>
  </si>
  <si>
    <t>R3経セン活動調査公式集計</t>
    <phoneticPr fontId="5"/>
  </si>
  <si>
    <t>左記資料の「841保健所」+「842健康相談施設」+「849その他の保健衛生」の経営組織「国、地方公共団体」の従業者数で按分。</t>
    <rPh sb="0" eb="2">
      <t>サキ</t>
    </rPh>
    <rPh sb="2" eb="4">
      <t>シリョウ</t>
    </rPh>
    <rPh sb="9" eb="12">
      <t>ホケンショ</t>
    </rPh>
    <rPh sb="18" eb="20">
      <t>ケンコウ</t>
    </rPh>
    <rPh sb="20" eb="22">
      <t>ソウダン</t>
    </rPh>
    <rPh sb="22" eb="24">
      <t>シセツ</t>
    </rPh>
    <rPh sb="32" eb="33">
      <t>タ</t>
    </rPh>
    <rPh sb="34" eb="36">
      <t>ホケン</t>
    </rPh>
    <rPh sb="36" eb="38">
      <t>エイセイ</t>
    </rPh>
    <rPh sb="40" eb="42">
      <t>ケイエイ</t>
    </rPh>
    <rPh sb="42" eb="44">
      <t>ソシキ</t>
    </rPh>
    <rPh sb="45" eb="46">
      <t>クニ</t>
    </rPh>
    <rPh sb="47" eb="49">
      <t>チホウ</t>
    </rPh>
    <rPh sb="49" eb="51">
      <t>コウキョウ</t>
    </rPh>
    <rPh sb="51" eb="53">
      <t>ダンタイ</t>
    </rPh>
    <rPh sb="55" eb="58">
      <t>ジュウギョウシャ</t>
    </rPh>
    <rPh sb="58" eb="59">
      <t>スウ</t>
    </rPh>
    <rPh sb="60" eb="62">
      <t>アンブン</t>
    </rPh>
    <phoneticPr fontId="14"/>
  </si>
  <si>
    <t>H26年度全国会議の資料１によると、国値は経セン組替集計の売上高をそのままＣＴとしているので、それに倣った。</t>
    <rPh sb="3" eb="5">
      <t>ネンド</t>
    </rPh>
    <rPh sb="5" eb="7">
      <t>ゼンコク</t>
    </rPh>
    <rPh sb="7" eb="9">
      <t>カイギ</t>
    </rPh>
    <rPh sb="10" eb="12">
      <t>シリョウ</t>
    </rPh>
    <rPh sb="18" eb="20">
      <t>クニチ</t>
    </rPh>
    <rPh sb="21" eb="22">
      <t>ケイ</t>
    </rPh>
    <rPh sb="24" eb="26">
      <t>クミカエ</t>
    </rPh>
    <rPh sb="26" eb="28">
      <t>シュウケイ</t>
    </rPh>
    <rPh sb="29" eb="31">
      <t>ウリアゲ</t>
    </rPh>
    <rPh sb="31" eb="32">
      <t>ダカ</t>
    </rPh>
    <rPh sb="50" eb="51">
      <t>ナラ</t>
    </rPh>
    <phoneticPr fontId="14"/>
  </si>
  <si>
    <t>R3経セン活動調査公式集計（産業横断）</t>
    <phoneticPr fontId="5"/>
  </si>
  <si>
    <t>マニュアルどおり公式集計の851社会保険事業団体の従業者数で按分。公式集計には産業横断集計と医療・福祉に特化したデータがあるが、カバレッジが広いのは産業横断の方のようなので、そちらの数値を採用。　→27年表も同様とした</t>
    <rPh sb="8" eb="10">
      <t>コウシキ</t>
    </rPh>
    <rPh sb="10" eb="12">
      <t>シュウケイ</t>
    </rPh>
    <rPh sb="16" eb="18">
      <t>シャカイ</t>
    </rPh>
    <rPh sb="18" eb="20">
      <t>ホケン</t>
    </rPh>
    <rPh sb="20" eb="22">
      <t>ジギョウ</t>
    </rPh>
    <rPh sb="22" eb="24">
      <t>ダンタイ</t>
    </rPh>
    <rPh sb="25" eb="28">
      <t>ジュウギョウシャ</t>
    </rPh>
    <rPh sb="28" eb="29">
      <t>スウ</t>
    </rPh>
    <rPh sb="30" eb="32">
      <t>アンブン</t>
    </rPh>
    <rPh sb="33" eb="35">
      <t>コウシキ</t>
    </rPh>
    <rPh sb="35" eb="37">
      <t>シュウケイ</t>
    </rPh>
    <rPh sb="39" eb="41">
      <t>サンギョウ</t>
    </rPh>
    <rPh sb="41" eb="43">
      <t>オウダン</t>
    </rPh>
    <rPh sb="43" eb="45">
      <t>シュウケイ</t>
    </rPh>
    <rPh sb="46" eb="48">
      <t>イリョウ</t>
    </rPh>
    <rPh sb="49" eb="51">
      <t>フクシ</t>
    </rPh>
    <rPh sb="52" eb="54">
      <t>トッカ</t>
    </rPh>
    <rPh sb="70" eb="71">
      <t>ヒロ</t>
    </rPh>
    <rPh sb="74" eb="76">
      <t>サンギョウ</t>
    </rPh>
    <rPh sb="76" eb="78">
      <t>オウダン</t>
    </rPh>
    <rPh sb="79" eb="80">
      <t>ホウ</t>
    </rPh>
    <rPh sb="91" eb="93">
      <t>スウチ</t>
    </rPh>
    <rPh sb="94" eb="96">
      <t>サイヨウ</t>
    </rPh>
    <rPh sb="101" eb="102">
      <t>ネン</t>
    </rPh>
    <rPh sb="102" eb="103">
      <t>ヒョウ</t>
    </rPh>
    <rPh sb="104" eb="106">
      <t>ドウヨウ</t>
    </rPh>
    <phoneticPr fontId="14"/>
  </si>
  <si>
    <t>「国公立以外」なのに★★である意味がよくわからないが、提供国値にこの項目があるのでとりあえず推計。</t>
    <rPh sb="1" eb="4">
      <t>コッコウリツ</t>
    </rPh>
    <rPh sb="4" eb="6">
      <t>イガイ</t>
    </rPh>
    <rPh sb="15" eb="17">
      <t>イミ</t>
    </rPh>
    <rPh sb="27" eb="29">
      <t>テイキョウ</t>
    </rPh>
    <rPh sb="29" eb="31">
      <t>クニチ</t>
    </rPh>
    <rPh sb="34" eb="36">
      <t>コウモク</t>
    </rPh>
    <rPh sb="46" eb="48">
      <t>スイケイ</t>
    </rPh>
    <phoneticPr fontId="14"/>
  </si>
  <si>
    <t>R2社会福祉施設等調査報告</t>
    <rPh sb="2" eb="4">
      <t>シャカイ</t>
    </rPh>
    <rPh sb="4" eb="6">
      <t>フクシ</t>
    </rPh>
    <rPh sb="6" eb="8">
      <t>シセツ</t>
    </rPh>
    <rPh sb="8" eb="9">
      <t>トウ</t>
    </rPh>
    <rPh sb="9" eb="11">
      <t>チョウサ</t>
    </rPh>
    <rPh sb="11" eb="13">
      <t>ホウコク</t>
    </rPh>
    <phoneticPr fontId="14"/>
  </si>
  <si>
    <t>社会福祉施設等数・定員の「公営定員数」で按分（県／全国）
マニュアルどおり</t>
    <rPh sb="0" eb="2">
      <t>シャカイ</t>
    </rPh>
    <rPh sb="2" eb="4">
      <t>フクシ</t>
    </rPh>
    <rPh sb="4" eb="6">
      <t>シセツ</t>
    </rPh>
    <rPh sb="6" eb="7">
      <t>トウ</t>
    </rPh>
    <rPh sb="7" eb="8">
      <t>スウ</t>
    </rPh>
    <rPh sb="9" eb="11">
      <t>テイイン</t>
    </rPh>
    <rPh sb="13" eb="15">
      <t>コウエイ</t>
    </rPh>
    <rPh sb="15" eb="17">
      <t>テイイン</t>
    </rPh>
    <rPh sb="17" eb="18">
      <t>スウ</t>
    </rPh>
    <rPh sb="20" eb="22">
      <t>アンブン</t>
    </rPh>
    <rPh sb="23" eb="24">
      <t>ケン</t>
    </rPh>
    <rPh sb="25" eb="27">
      <t>ゼンコク</t>
    </rPh>
    <phoneticPr fontId="14"/>
  </si>
  <si>
    <t>経セン組替01表、21表</t>
    <rPh sb="0" eb="1">
      <t>ケイ</t>
    </rPh>
    <rPh sb="3" eb="5">
      <t>クミカエ</t>
    </rPh>
    <rPh sb="7" eb="8">
      <t>ヒョウ</t>
    </rPh>
    <rPh sb="11" eb="12">
      <t>ヒョウ</t>
    </rPh>
    <phoneticPr fontId="14"/>
  </si>
  <si>
    <t>経セン組替集計１９表の「社会福祉（非営利）」は複数部門を含んでおり、国公立と産業の分も含まれている。このため、26年度全国会議　資料１で厚労省が示しているように、経セン組替19表の費用総額に、経セン公式集計から得られる会社以外の法人及び法人以外の団体の事業収入額の全体に占める割合を乗じてＣＴとした。
→H27年表まで経セン公式集計で得られていた数値がR3経センでは公表されなくなったため、経セン組替表21表を使用して割合を算定した。詳細は、「02_推計個別ファイル」フォルダの「社会福祉」フォルダ内ファイルを参照。</t>
    <rPh sb="57" eb="59">
      <t>ネンド</t>
    </rPh>
    <rPh sb="59" eb="61">
      <t>ゼンコク</t>
    </rPh>
    <rPh sb="61" eb="63">
      <t>カイギ</t>
    </rPh>
    <rPh sb="64" eb="66">
      <t>シリョウ</t>
    </rPh>
    <rPh sb="68" eb="71">
      <t>コウロウショウ</t>
    </rPh>
    <rPh sb="72" eb="73">
      <t>シメ</t>
    </rPh>
    <rPh sb="81" eb="82">
      <t>ケイ</t>
    </rPh>
    <rPh sb="84" eb="86">
      <t>クミカエ</t>
    </rPh>
    <rPh sb="88" eb="89">
      <t>ヒョウ</t>
    </rPh>
    <rPh sb="90" eb="92">
      <t>ヒヨウ</t>
    </rPh>
    <rPh sb="92" eb="94">
      <t>ソウガク</t>
    </rPh>
    <rPh sb="96" eb="97">
      <t>ケイ</t>
    </rPh>
    <rPh sb="99" eb="101">
      <t>コウシキ</t>
    </rPh>
    <rPh sb="101" eb="102">
      <t>シュウ</t>
    </rPh>
    <rPh sb="102" eb="103">
      <t>ケイ</t>
    </rPh>
    <rPh sb="105" eb="106">
      <t>エ</t>
    </rPh>
    <rPh sb="109" eb="111">
      <t>カイシャ</t>
    </rPh>
    <rPh sb="111" eb="113">
      <t>イガイ</t>
    </rPh>
    <rPh sb="114" eb="116">
      <t>ホウジン</t>
    </rPh>
    <rPh sb="116" eb="117">
      <t>オヨ</t>
    </rPh>
    <rPh sb="118" eb="120">
      <t>ホウジン</t>
    </rPh>
    <rPh sb="120" eb="122">
      <t>イガイ</t>
    </rPh>
    <rPh sb="123" eb="125">
      <t>ダンタイ</t>
    </rPh>
    <rPh sb="126" eb="128">
      <t>ジギョウ</t>
    </rPh>
    <rPh sb="128" eb="130">
      <t>シュウニュウ</t>
    </rPh>
    <rPh sb="130" eb="131">
      <t>ガク</t>
    </rPh>
    <rPh sb="132" eb="134">
      <t>ゼンタイ</t>
    </rPh>
    <rPh sb="135" eb="136">
      <t>シ</t>
    </rPh>
    <rPh sb="138" eb="140">
      <t>ワリアイ</t>
    </rPh>
    <rPh sb="141" eb="142">
      <t>ジョウ</t>
    </rPh>
    <rPh sb="155" eb="156">
      <t>ネン</t>
    </rPh>
    <rPh sb="156" eb="157">
      <t>ヒョウ</t>
    </rPh>
    <rPh sb="159" eb="160">
      <t>ケイ</t>
    </rPh>
    <rPh sb="162" eb="164">
      <t>コウシキ</t>
    </rPh>
    <rPh sb="164" eb="166">
      <t>シュウケイ</t>
    </rPh>
    <rPh sb="167" eb="168">
      <t>エ</t>
    </rPh>
    <rPh sb="173" eb="175">
      <t>スウチ</t>
    </rPh>
    <rPh sb="178" eb="179">
      <t>ケイ</t>
    </rPh>
    <rPh sb="183" eb="185">
      <t>コウヒョウ</t>
    </rPh>
    <rPh sb="195" eb="196">
      <t>ケイ</t>
    </rPh>
    <rPh sb="198" eb="200">
      <t>クミカエ</t>
    </rPh>
    <rPh sb="200" eb="201">
      <t>ヒョウ</t>
    </rPh>
    <rPh sb="203" eb="204">
      <t>ヒョウ</t>
    </rPh>
    <rPh sb="205" eb="207">
      <t>シヨウ</t>
    </rPh>
    <rPh sb="209" eb="211">
      <t>ワリアイ</t>
    </rPh>
    <rPh sb="212" eb="214">
      <t>サンテイ</t>
    </rPh>
    <rPh sb="217" eb="219">
      <t>ショウサイ</t>
    </rPh>
    <rPh sb="225" eb="227">
      <t>スイケイ</t>
    </rPh>
    <rPh sb="227" eb="229">
      <t>コベツ</t>
    </rPh>
    <rPh sb="240" eb="242">
      <t>シャカイ</t>
    </rPh>
    <rPh sb="242" eb="244">
      <t>フクシ</t>
    </rPh>
    <rPh sb="249" eb="250">
      <t>ナイ</t>
    </rPh>
    <rPh sb="255" eb="257">
      <t>サンショウ</t>
    </rPh>
    <phoneticPr fontId="14"/>
  </si>
  <si>
    <t>経セン組替集計19表の「社会福祉（非営利）」は複数部門を含んでおり、国公立と産業の分も含まれている。このため、26年度全国研究会議　資料１に厚労省が示しているとおり、経セン公式集計の会社及び個人の事業収入の全体に占める割合で按分したものをＣＴとする。
→H27年表まで経セン公式集計で得られていた数値がR3経センでは公表されなくなったため、経セン組替表21表を使用して割合を算定した。詳細は、「02_推計個別ファイル」フォルダの「社会福祉」フォルダ内ファイルを参照。</t>
    <rPh sb="0" eb="1">
      <t>ケイ</t>
    </rPh>
    <rPh sb="3" eb="5">
      <t>クミカエ</t>
    </rPh>
    <rPh sb="5" eb="7">
      <t>シュウケイ</t>
    </rPh>
    <rPh sb="9" eb="10">
      <t>ヒョウ</t>
    </rPh>
    <rPh sb="12" eb="14">
      <t>シャカイ</t>
    </rPh>
    <rPh sb="14" eb="16">
      <t>フクシ</t>
    </rPh>
    <rPh sb="17" eb="20">
      <t>ヒエイリ</t>
    </rPh>
    <rPh sb="23" eb="25">
      <t>フクスウ</t>
    </rPh>
    <rPh sb="25" eb="27">
      <t>ブモン</t>
    </rPh>
    <rPh sb="28" eb="29">
      <t>フク</t>
    </rPh>
    <rPh sb="34" eb="37">
      <t>コッコウリツ</t>
    </rPh>
    <rPh sb="38" eb="40">
      <t>サンギョウ</t>
    </rPh>
    <rPh sb="41" eb="42">
      <t>ブン</t>
    </rPh>
    <rPh sb="43" eb="44">
      <t>フク</t>
    </rPh>
    <rPh sb="57" eb="59">
      <t>ネンド</t>
    </rPh>
    <rPh sb="59" eb="61">
      <t>ゼンコク</t>
    </rPh>
    <rPh sb="61" eb="63">
      <t>ケンキュウ</t>
    </rPh>
    <rPh sb="63" eb="65">
      <t>カイギ</t>
    </rPh>
    <rPh sb="66" eb="68">
      <t>シリョウ</t>
    </rPh>
    <rPh sb="70" eb="73">
      <t>コウロウショウ</t>
    </rPh>
    <rPh sb="74" eb="75">
      <t>シメ</t>
    </rPh>
    <rPh sb="83" eb="84">
      <t>ケイ</t>
    </rPh>
    <rPh sb="86" eb="88">
      <t>コウシキ</t>
    </rPh>
    <rPh sb="88" eb="90">
      <t>シュウケイ</t>
    </rPh>
    <rPh sb="91" eb="93">
      <t>カイシャ</t>
    </rPh>
    <rPh sb="93" eb="94">
      <t>オヨ</t>
    </rPh>
    <rPh sb="95" eb="97">
      <t>コジン</t>
    </rPh>
    <rPh sb="98" eb="100">
      <t>ジギョウ</t>
    </rPh>
    <rPh sb="100" eb="102">
      <t>シュウニュウ</t>
    </rPh>
    <rPh sb="103" eb="105">
      <t>ゼンタイ</t>
    </rPh>
    <rPh sb="106" eb="107">
      <t>シ</t>
    </rPh>
    <rPh sb="109" eb="111">
      <t>ワリアイ</t>
    </rPh>
    <rPh sb="112" eb="114">
      <t>アンブン</t>
    </rPh>
    <phoneticPr fontId="14"/>
  </si>
  <si>
    <t>R2経セン活動調査公式集計（産業横断）</t>
    <phoneticPr fontId="5"/>
  </si>
  <si>
    <t>R2年度介護保険事業状況報告書</t>
    <rPh sb="2" eb="4">
      <t>ネンド</t>
    </rPh>
    <phoneticPr fontId="14"/>
  </si>
  <si>
    <t>マニュアルどおり。総数－施設介護サービスで計算</t>
    <rPh sb="9" eb="11">
      <t>ソウスウ</t>
    </rPh>
    <rPh sb="12" eb="14">
      <t>シセツ</t>
    </rPh>
    <rPh sb="14" eb="16">
      <t>カイゴ</t>
    </rPh>
    <rPh sb="21" eb="23">
      <t>ケイサン</t>
    </rPh>
    <phoneticPr fontId="14"/>
  </si>
  <si>
    <t>871農林水産業協同組合＋872事業協同組合＋931経済団体　の会社以外の法人及び法人でない団体　の従業者数で按分。</t>
    <rPh sb="3" eb="5">
      <t>ノウリン</t>
    </rPh>
    <rPh sb="5" eb="8">
      <t>スイサンギョウ</t>
    </rPh>
    <rPh sb="8" eb="10">
      <t>キョウドウ</t>
    </rPh>
    <rPh sb="16" eb="18">
      <t>ジギョウ</t>
    </rPh>
    <rPh sb="18" eb="20">
      <t>キョウドウ</t>
    </rPh>
    <rPh sb="20" eb="22">
      <t>クミアイ</t>
    </rPh>
    <rPh sb="32" eb="34">
      <t>カイシャ</t>
    </rPh>
    <rPh sb="34" eb="36">
      <t>イガイ</t>
    </rPh>
    <rPh sb="37" eb="39">
      <t>ホウジン</t>
    </rPh>
    <rPh sb="39" eb="40">
      <t>オヨ</t>
    </rPh>
    <rPh sb="41" eb="43">
      <t>ホウジン</t>
    </rPh>
    <rPh sb="46" eb="48">
      <t>ダンタイ</t>
    </rPh>
    <rPh sb="50" eb="51">
      <t>ジュウ</t>
    </rPh>
    <rPh sb="51" eb="54">
      <t>ギョウシャスウ</t>
    </rPh>
    <rPh sb="55" eb="57">
      <t>アンブン</t>
    </rPh>
    <phoneticPr fontId="14"/>
  </si>
  <si>
    <t>復元処理などは行わないこととされているので（26年度全国研究会議資料１）、国値を従業者数按分した。マニュアルp104の方法。経セン公式集計の該当項目は94宗教、932労働団体、933学術文化団体、934政治団体、939他に分類されない非営利団体、951集会所←Ｈ２６年度全国研究会議　内閣府提供資料より</t>
    <rPh sb="0" eb="2">
      <t>フクゲン</t>
    </rPh>
    <rPh sb="2" eb="4">
      <t>ショリ</t>
    </rPh>
    <rPh sb="7" eb="8">
      <t>オコナ</t>
    </rPh>
    <rPh sb="24" eb="26">
      <t>ネンド</t>
    </rPh>
    <rPh sb="26" eb="28">
      <t>ゼンコク</t>
    </rPh>
    <rPh sb="28" eb="30">
      <t>ケンキュウ</t>
    </rPh>
    <rPh sb="30" eb="32">
      <t>カイギ</t>
    </rPh>
    <rPh sb="32" eb="34">
      <t>シリョウ</t>
    </rPh>
    <rPh sb="37" eb="39">
      <t>クニチ</t>
    </rPh>
    <rPh sb="40" eb="41">
      <t>ジュウ</t>
    </rPh>
    <rPh sb="41" eb="44">
      <t>ギョウシャスウ</t>
    </rPh>
    <rPh sb="44" eb="46">
      <t>アンブン</t>
    </rPh>
    <rPh sb="59" eb="61">
      <t>ホウホウ</t>
    </rPh>
    <rPh sb="62" eb="63">
      <t>ケイ</t>
    </rPh>
    <rPh sb="65" eb="67">
      <t>コウシキ</t>
    </rPh>
    <rPh sb="67" eb="69">
      <t>シュウケイ</t>
    </rPh>
    <rPh sb="70" eb="72">
      <t>ガイトウ</t>
    </rPh>
    <rPh sb="72" eb="74">
      <t>コウモク</t>
    </rPh>
    <rPh sb="77" eb="79">
      <t>シュウキョウ</t>
    </rPh>
    <rPh sb="83" eb="85">
      <t>ロウドウ</t>
    </rPh>
    <rPh sb="85" eb="87">
      <t>ダンタイ</t>
    </rPh>
    <rPh sb="91" eb="93">
      <t>ガクジュツ</t>
    </rPh>
    <rPh sb="93" eb="95">
      <t>ブンカ</t>
    </rPh>
    <rPh sb="95" eb="97">
      <t>ダンタイ</t>
    </rPh>
    <rPh sb="101" eb="103">
      <t>セイジ</t>
    </rPh>
    <rPh sb="103" eb="105">
      <t>ダンタイ</t>
    </rPh>
    <rPh sb="109" eb="110">
      <t>タ</t>
    </rPh>
    <rPh sb="111" eb="113">
      <t>ブンルイ</t>
    </rPh>
    <rPh sb="117" eb="120">
      <t>ヒエイリ</t>
    </rPh>
    <rPh sb="120" eb="122">
      <t>ダンタイ</t>
    </rPh>
    <rPh sb="126" eb="128">
      <t>シュウカイ</t>
    </rPh>
    <rPh sb="128" eb="129">
      <t>ショ</t>
    </rPh>
    <rPh sb="133" eb="135">
      <t>ネンド</t>
    </rPh>
    <rPh sb="135" eb="137">
      <t>ゼンコク</t>
    </rPh>
    <rPh sb="137" eb="139">
      <t>ケンキュウ</t>
    </rPh>
    <rPh sb="139" eb="141">
      <t>カイギ</t>
    </rPh>
    <rPh sb="142" eb="144">
      <t>ナイカク</t>
    </rPh>
    <rPh sb="144" eb="145">
      <t>フ</t>
    </rPh>
    <rPh sb="145" eb="147">
      <t>テイキョウ</t>
    </rPh>
    <rPh sb="147" eb="149">
      <t>シリョウ</t>
    </rPh>
    <phoneticPr fontId="14"/>
  </si>
  <si>
    <t>経セン組替第01表</t>
    <rPh sb="3" eb="5">
      <t>クミカエ</t>
    </rPh>
    <phoneticPr fontId="14"/>
  </si>
  <si>
    <t>近経局は公式集計の第11表を使って按分しているが、秘匿が含まれているため使えないので、組替集計の第11表を使うこととした。「その他物品賃貸業」には、要綱に記載されている映画演劇用品、貸衣装の数値も含めている。→27年表も同様とする→R2年表では組替表第11表は全国値のみになったので、組替表第01表（売上金額）を使って按分することとした。</t>
    <rPh sb="0" eb="1">
      <t>キン</t>
    </rPh>
    <rPh sb="1" eb="2">
      <t>ケイ</t>
    </rPh>
    <rPh sb="2" eb="3">
      <t>キョク</t>
    </rPh>
    <rPh sb="4" eb="6">
      <t>コウシキ</t>
    </rPh>
    <rPh sb="6" eb="7">
      <t>シュウ</t>
    </rPh>
    <rPh sb="7" eb="8">
      <t>ケイ</t>
    </rPh>
    <rPh sb="9" eb="10">
      <t>ダイ</t>
    </rPh>
    <rPh sb="12" eb="13">
      <t>ヒョウ</t>
    </rPh>
    <rPh sb="14" eb="15">
      <t>ツカ</t>
    </rPh>
    <rPh sb="17" eb="19">
      <t>アンブン</t>
    </rPh>
    <rPh sb="25" eb="27">
      <t>ヒトク</t>
    </rPh>
    <rPh sb="28" eb="29">
      <t>フク</t>
    </rPh>
    <rPh sb="36" eb="37">
      <t>ツカ</t>
    </rPh>
    <rPh sb="43" eb="45">
      <t>クミカエ</t>
    </rPh>
    <rPh sb="45" eb="46">
      <t>シュウ</t>
    </rPh>
    <rPh sb="46" eb="47">
      <t>ケイ</t>
    </rPh>
    <rPh sb="48" eb="49">
      <t>ダイ</t>
    </rPh>
    <rPh sb="51" eb="52">
      <t>ヒョウ</t>
    </rPh>
    <rPh sb="53" eb="54">
      <t>ツカ</t>
    </rPh>
    <rPh sb="64" eb="65">
      <t>タ</t>
    </rPh>
    <rPh sb="65" eb="67">
      <t>ブッピン</t>
    </rPh>
    <rPh sb="67" eb="70">
      <t>チンタイギョウ</t>
    </rPh>
    <rPh sb="74" eb="76">
      <t>ヨウコウ</t>
    </rPh>
    <rPh sb="77" eb="79">
      <t>キサイ</t>
    </rPh>
    <rPh sb="84" eb="86">
      <t>エイガ</t>
    </rPh>
    <rPh sb="86" eb="88">
      <t>エンゲキ</t>
    </rPh>
    <rPh sb="88" eb="90">
      <t>ヨウヒン</t>
    </rPh>
    <rPh sb="91" eb="94">
      <t>カシイショウ</t>
    </rPh>
    <rPh sb="95" eb="97">
      <t>スウチ</t>
    </rPh>
    <rPh sb="98" eb="99">
      <t>フク</t>
    </rPh>
    <rPh sb="107" eb="108">
      <t>ネン</t>
    </rPh>
    <rPh sb="108" eb="109">
      <t>ヒョウ</t>
    </rPh>
    <rPh sb="110" eb="112">
      <t>ドウヨウ</t>
    </rPh>
    <rPh sb="118" eb="119">
      <t>ネン</t>
    </rPh>
    <rPh sb="119" eb="120">
      <t>ヒョウ</t>
    </rPh>
    <rPh sb="122" eb="124">
      <t>クミカエ</t>
    </rPh>
    <rPh sb="124" eb="125">
      <t>ヒョウ</t>
    </rPh>
    <rPh sb="125" eb="126">
      <t>ダイ</t>
    </rPh>
    <rPh sb="128" eb="129">
      <t>ヒョウ</t>
    </rPh>
    <rPh sb="130" eb="132">
      <t>ゼンコク</t>
    </rPh>
    <rPh sb="132" eb="133">
      <t>チ</t>
    </rPh>
    <rPh sb="142" eb="144">
      <t>クミカエ</t>
    </rPh>
    <rPh sb="144" eb="145">
      <t>ヒョウ</t>
    </rPh>
    <rPh sb="145" eb="146">
      <t>ダイ</t>
    </rPh>
    <rPh sb="148" eb="149">
      <t>ヒョウ</t>
    </rPh>
    <rPh sb="150" eb="152">
      <t>ウリア</t>
    </rPh>
    <rPh sb="152" eb="154">
      <t>キンガク</t>
    </rPh>
    <rPh sb="156" eb="157">
      <t>ツカ</t>
    </rPh>
    <rPh sb="159" eb="161">
      <t>アンブン</t>
    </rPh>
    <phoneticPr fontId="14"/>
  </si>
  <si>
    <t>産業機械賃貸業</t>
  </si>
  <si>
    <t xml:space="preserve">  ファイナンス・リース</t>
    <phoneticPr fontId="5"/>
  </si>
  <si>
    <t xml:space="preserve">  オペレーティング・リース</t>
    <phoneticPr fontId="5"/>
  </si>
  <si>
    <t>工作機械賃貸業</t>
  </si>
  <si>
    <t xml:space="preserve">  ファイナンス・リース</t>
  </si>
  <si>
    <t xml:space="preserve">  オペレーティング・リース</t>
  </si>
  <si>
    <t>医療用機器賃貸業</t>
  </si>
  <si>
    <t>商業用機械・設備賃貸業</t>
  </si>
  <si>
    <t>403</t>
    <phoneticPr fontId="14"/>
  </si>
  <si>
    <t>通信機器・同関連機器賃貸業</t>
  </si>
  <si>
    <t>503</t>
    <phoneticPr fontId="14"/>
  </si>
  <si>
    <t>サービス業用機械・設備賃貸業</t>
  </si>
  <si>
    <t>その他の産業用機械器具賃貸業</t>
  </si>
  <si>
    <t>702</t>
    <phoneticPr fontId="14"/>
  </si>
  <si>
    <t>6611-012</t>
    <phoneticPr fontId="5"/>
  </si>
  <si>
    <t>　スポーツ・娯楽用品賃貸業</t>
    <phoneticPr fontId="5"/>
  </si>
  <si>
    <t>　　ファイナンス・リース</t>
    <phoneticPr fontId="5"/>
  </si>
  <si>
    <t>　　オペレーティング・リース</t>
    <phoneticPr fontId="5"/>
  </si>
  <si>
    <t>　　レンタル</t>
    <phoneticPr fontId="14"/>
  </si>
  <si>
    <t>　福祉用具賃貸業</t>
    <phoneticPr fontId="5"/>
  </si>
  <si>
    <t>　その他の物品賃貸業</t>
    <phoneticPr fontId="5"/>
  </si>
  <si>
    <t>　　レンタル</t>
    <phoneticPr fontId="5"/>
  </si>
  <si>
    <t>H26年度全国研究会議の国交省の資料によると、本部門は経セン組替集計を使わず産業連関構造調査を用いて集計したとある。しかし、この資料は都道府県ごとの特性は把握できないと国交省が述べている（2014.3.10バーチャルフォーラム）。このため近経局と同様の方法で推計した。　→H27年表も同様とする。→R2年表では組替表第01表（売上金額）で按分した。</t>
    <rPh sb="3" eb="5">
      <t>ネンド</t>
    </rPh>
    <rPh sb="5" eb="7">
      <t>ゼンコク</t>
    </rPh>
    <rPh sb="30" eb="32">
      <t>クミカエ</t>
    </rPh>
    <rPh sb="32" eb="34">
      <t>シュウケイ</t>
    </rPh>
    <rPh sb="38" eb="40">
      <t>サンギョウ</t>
    </rPh>
    <rPh sb="40" eb="42">
      <t>レンカン</t>
    </rPh>
    <rPh sb="42" eb="44">
      <t>コウゾウ</t>
    </rPh>
    <rPh sb="44" eb="46">
      <t>チョウサ</t>
    </rPh>
    <rPh sb="47" eb="48">
      <t>モチ</t>
    </rPh>
    <rPh sb="50" eb="52">
      <t>シュウケイ</t>
    </rPh>
    <rPh sb="64" eb="66">
      <t>シリョウ</t>
    </rPh>
    <rPh sb="67" eb="71">
      <t>トドウフケン</t>
    </rPh>
    <rPh sb="74" eb="76">
      <t>トクセイ</t>
    </rPh>
    <rPh sb="77" eb="79">
      <t>ハアク</t>
    </rPh>
    <rPh sb="84" eb="87">
      <t>コッコウショウ</t>
    </rPh>
    <rPh sb="88" eb="89">
      <t>ノ</t>
    </rPh>
    <rPh sb="119" eb="120">
      <t>キン</t>
    </rPh>
    <rPh sb="120" eb="121">
      <t>ケイ</t>
    </rPh>
    <rPh sb="121" eb="122">
      <t>キョク</t>
    </rPh>
    <rPh sb="123" eb="125">
      <t>ドウヨウ</t>
    </rPh>
    <rPh sb="126" eb="128">
      <t>ホウホウ</t>
    </rPh>
    <rPh sb="129" eb="131">
      <t>スイケイ</t>
    </rPh>
    <rPh sb="139" eb="140">
      <t>ネン</t>
    </rPh>
    <rPh sb="140" eb="141">
      <t>ヒョウ</t>
    </rPh>
    <rPh sb="142" eb="144">
      <t>ドウヨウ</t>
    </rPh>
    <rPh sb="151" eb="152">
      <t>ネン</t>
    </rPh>
    <rPh sb="152" eb="153">
      <t>ヒョウ</t>
    </rPh>
    <rPh sb="155" eb="157">
      <t>クミカエ</t>
    </rPh>
    <rPh sb="157" eb="158">
      <t>ヒョウ</t>
    </rPh>
    <rPh sb="158" eb="159">
      <t>ダイ</t>
    </rPh>
    <rPh sb="161" eb="162">
      <t>ヒョウ</t>
    </rPh>
    <rPh sb="163" eb="165">
      <t>ウリアゲ</t>
    </rPh>
    <rPh sb="165" eb="167">
      <t>キンガク</t>
    </rPh>
    <rPh sb="169" eb="171">
      <t>アンブン</t>
    </rPh>
    <phoneticPr fontId="14"/>
  </si>
  <si>
    <t xml:space="preserve">  ファイナンス・リース（貸自動車業）</t>
    <phoneticPr fontId="5"/>
  </si>
  <si>
    <t xml:space="preserve">  オペレーティング・リース（貸自動車業）</t>
    <phoneticPr fontId="5"/>
  </si>
  <si>
    <t>　　〃</t>
  </si>
  <si>
    <t xml:space="preserve">  レンタル（貸自動車業）</t>
    <phoneticPr fontId="5"/>
  </si>
  <si>
    <t>国、近経局ともに経セン組替19表の売上金額をＣＴとしているのでそれに準じる。→R2年表では組替表第19表は削除されたので、組替表第01表の売上金額で国CTを按分した。</t>
    <rPh sb="0" eb="1">
      <t>クニ</t>
    </rPh>
    <rPh sb="2" eb="3">
      <t>キン</t>
    </rPh>
    <rPh sb="3" eb="4">
      <t>ケイ</t>
    </rPh>
    <rPh sb="4" eb="5">
      <t>キョク</t>
    </rPh>
    <rPh sb="8" eb="9">
      <t>ケイ</t>
    </rPh>
    <rPh sb="11" eb="13">
      <t>クミカエ</t>
    </rPh>
    <rPh sb="15" eb="16">
      <t>ヒョウ</t>
    </rPh>
    <rPh sb="17" eb="19">
      <t>ウリアゲ</t>
    </rPh>
    <rPh sb="19" eb="21">
      <t>キンガク</t>
    </rPh>
    <rPh sb="34" eb="35">
      <t>ジュン</t>
    </rPh>
    <rPh sb="41" eb="42">
      <t>ネン</t>
    </rPh>
    <rPh sb="42" eb="43">
      <t>ヒョウ</t>
    </rPh>
    <rPh sb="45" eb="47">
      <t>クミカエ</t>
    </rPh>
    <rPh sb="47" eb="48">
      <t>ヒョウ</t>
    </rPh>
    <rPh sb="48" eb="49">
      <t>ダイ</t>
    </rPh>
    <rPh sb="51" eb="52">
      <t>ヒョウ</t>
    </rPh>
    <rPh sb="53" eb="55">
      <t>サクジョ</t>
    </rPh>
    <rPh sb="61" eb="63">
      <t>クミカエ</t>
    </rPh>
    <rPh sb="63" eb="64">
      <t>ヒョウ</t>
    </rPh>
    <rPh sb="64" eb="65">
      <t>ダイ</t>
    </rPh>
    <rPh sb="67" eb="68">
      <t>ヒョウ</t>
    </rPh>
    <rPh sb="69" eb="70">
      <t>ウ</t>
    </rPh>
    <rPh sb="70" eb="71">
      <t>ア</t>
    </rPh>
    <rPh sb="71" eb="73">
      <t>キンガク</t>
    </rPh>
    <rPh sb="74" eb="75">
      <t>クニ</t>
    </rPh>
    <rPh sb="78" eb="80">
      <t>アンブン</t>
    </rPh>
    <phoneticPr fontId="14"/>
  </si>
  <si>
    <t xml:space="preserve">  テレビ・ラジオ広告サービス（広告主向け）</t>
    <phoneticPr fontId="5"/>
  </si>
  <si>
    <t xml:space="preserve">  テレビ・ラジオ広告サービス（広告主以外向け）</t>
    <phoneticPr fontId="5"/>
  </si>
  <si>
    <t xml:space="preserve">  新聞広告サービス（広告主向け）</t>
    <phoneticPr fontId="5"/>
  </si>
  <si>
    <t xml:space="preserve">  新聞広告サービス（広告主以外向け）</t>
    <phoneticPr fontId="5"/>
  </si>
  <si>
    <t xml:space="preserve">  雑誌広告サービス（広告主向け）</t>
    <phoneticPr fontId="5"/>
  </si>
  <si>
    <t xml:space="preserve">  雑誌広告サービス（広告主以外向け）</t>
    <phoneticPr fontId="5"/>
  </si>
  <si>
    <t xml:space="preserve">  インターネット広告サービス（広告主向け）</t>
    <phoneticPr fontId="5"/>
  </si>
  <si>
    <t xml:space="preserve">  インターネット広告サービス（広告主以外向け）</t>
    <phoneticPr fontId="5"/>
  </si>
  <si>
    <t xml:space="preserve">  交通広告サービス（広告主向け）</t>
    <phoneticPr fontId="5"/>
  </si>
  <si>
    <t xml:space="preserve">  交通広告サービス（広告主以外向け）</t>
    <phoneticPr fontId="5"/>
  </si>
  <si>
    <t xml:space="preserve">  その他の広告サービス（広告主向け）</t>
    <phoneticPr fontId="5"/>
  </si>
  <si>
    <t xml:space="preserve">  その他の広告サービス（広告主以外向け）</t>
    <phoneticPr fontId="5"/>
  </si>
  <si>
    <t>経セン組替第12表の「自動車整備」一括の事業収入
→（R2表作成時）経セン組替第12表は全国値のみの提供に変更になったので使えない。第01表の「自動車整備」のうち「自動車整備サービス」の従業者数の対全国値按分をすると数値が上がりすぎたので、売上高の対全国値按分とした。</t>
    <rPh sb="0" eb="1">
      <t>ケイ</t>
    </rPh>
    <rPh sb="3" eb="5">
      <t>クミカエ</t>
    </rPh>
    <rPh sb="5" eb="6">
      <t>ダイ</t>
    </rPh>
    <rPh sb="8" eb="9">
      <t>ヒョウ</t>
    </rPh>
    <rPh sb="11" eb="13">
      <t>ジドウ</t>
    </rPh>
    <rPh sb="13" eb="14">
      <t>シャ</t>
    </rPh>
    <rPh sb="14" eb="16">
      <t>セイビ</t>
    </rPh>
    <rPh sb="17" eb="19">
      <t>イッカツ</t>
    </rPh>
    <rPh sb="20" eb="22">
      <t>ジギョウ</t>
    </rPh>
    <rPh sb="22" eb="24">
      <t>シュウニュウ</t>
    </rPh>
    <rPh sb="29" eb="30">
      <t>ヒョウ</t>
    </rPh>
    <rPh sb="30" eb="32">
      <t>サクセイ</t>
    </rPh>
    <rPh sb="32" eb="33">
      <t>ジ</t>
    </rPh>
    <rPh sb="34" eb="35">
      <t>ケイ</t>
    </rPh>
    <rPh sb="37" eb="39">
      <t>クミカエ</t>
    </rPh>
    <rPh sb="39" eb="40">
      <t>ダイ</t>
    </rPh>
    <rPh sb="42" eb="43">
      <t>ヒョウ</t>
    </rPh>
    <rPh sb="44" eb="46">
      <t>ゼンコク</t>
    </rPh>
    <rPh sb="46" eb="47">
      <t>チ</t>
    </rPh>
    <rPh sb="50" eb="52">
      <t>テイキョウ</t>
    </rPh>
    <rPh sb="53" eb="55">
      <t>ヘンコウ</t>
    </rPh>
    <rPh sb="61" eb="62">
      <t>ツカ</t>
    </rPh>
    <rPh sb="66" eb="67">
      <t>ダイ</t>
    </rPh>
    <rPh sb="69" eb="70">
      <t>ヒョウ</t>
    </rPh>
    <rPh sb="72" eb="75">
      <t>ジドウシャ</t>
    </rPh>
    <rPh sb="75" eb="77">
      <t>セイビ</t>
    </rPh>
    <rPh sb="82" eb="85">
      <t>ジドウシャ</t>
    </rPh>
    <rPh sb="85" eb="87">
      <t>セイビ</t>
    </rPh>
    <rPh sb="93" eb="96">
      <t>ジュウギョウシャ</t>
    </rPh>
    <rPh sb="96" eb="97">
      <t>スウ</t>
    </rPh>
    <rPh sb="98" eb="99">
      <t>タイ</t>
    </rPh>
    <rPh sb="99" eb="101">
      <t>ゼンコク</t>
    </rPh>
    <rPh sb="101" eb="102">
      <t>チ</t>
    </rPh>
    <rPh sb="102" eb="104">
      <t>アンブン</t>
    </rPh>
    <rPh sb="108" eb="110">
      <t>スウチ</t>
    </rPh>
    <rPh sb="111" eb="112">
      <t>ア</t>
    </rPh>
    <rPh sb="120" eb="123">
      <t>ウリアゲダカ</t>
    </rPh>
    <rPh sb="124" eb="125">
      <t>タイ</t>
    </rPh>
    <rPh sb="125" eb="127">
      <t>ゼンコク</t>
    </rPh>
    <rPh sb="127" eb="128">
      <t>チ</t>
    </rPh>
    <rPh sb="128" eb="130">
      <t>アンブン</t>
    </rPh>
    <phoneticPr fontId="14"/>
  </si>
  <si>
    <t>自動車（新車）、自動車（中古）の修理料収入
→（R2表作成時）乗用車小売、トラック小売の修理料収入、またR2国要綱に「二輪自動車及び三輪自動車の整備は本部門に含める。」とあるので、自動車部分品小売、二輪自動車小売の修理料収入もここに含めることとする。</t>
    <rPh sb="0" eb="2">
      <t>ジドウ</t>
    </rPh>
    <rPh sb="2" eb="3">
      <t>シャ</t>
    </rPh>
    <rPh sb="4" eb="6">
      <t>シンシャ</t>
    </rPh>
    <rPh sb="8" eb="11">
      <t>ジドウシャ</t>
    </rPh>
    <rPh sb="12" eb="14">
      <t>チュウコ</t>
    </rPh>
    <rPh sb="16" eb="18">
      <t>シュウリ</t>
    </rPh>
    <rPh sb="18" eb="19">
      <t>リョウ</t>
    </rPh>
    <rPh sb="19" eb="21">
      <t>シュウニュウ</t>
    </rPh>
    <rPh sb="26" eb="27">
      <t>ヒョウ</t>
    </rPh>
    <rPh sb="27" eb="30">
      <t>サクセイジ</t>
    </rPh>
    <rPh sb="31" eb="34">
      <t>ジョウヨウシャ</t>
    </rPh>
    <rPh sb="34" eb="36">
      <t>コウ</t>
    </rPh>
    <rPh sb="41" eb="43">
      <t>コウ</t>
    </rPh>
    <rPh sb="44" eb="46">
      <t>シュウリ</t>
    </rPh>
    <rPh sb="46" eb="47">
      <t>リョウ</t>
    </rPh>
    <rPh sb="47" eb="49">
      <t>シュウニュウ</t>
    </rPh>
    <rPh sb="54" eb="55">
      <t>クニ</t>
    </rPh>
    <rPh sb="55" eb="57">
      <t>ヨウコウ</t>
    </rPh>
    <rPh sb="59" eb="61">
      <t>ニリン</t>
    </rPh>
    <rPh sb="61" eb="64">
      <t>ジドウシャ</t>
    </rPh>
    <rPh sb="64" eb="65">
      <t>オヨ</t>
    </rPh>
    <rPh sb="66" eb="68">
      <t>サンリン</t>
    </rPh>
    <rPh sb="68" eb="71">
      <t>ジドウシャ</t>
    </rPh>
    <rPh sb="72" eb="74">
      <t>セイビ</t>
    </rPh>
    <rPh sb="75" eb="76">
      <t>ホン</t>
    </rPh>
    <rPh sb="76" eb="78">
      <t>ブモン</t>
    </rPh>
    <rPh sb="79" eb="80">
      <t>フク</t>
    </rPh>
    <rPh sb="90" eb="93">
      <t>ジドウシャ</t>
    </rPh>
    <rPh sb="93" eb="95">
      <t>ブブン</t>
    </rPh>
    <rPh sb="95" eb="96">
      <t>ヒン</t>
    </rPh>
    <rPh sb="96" eb="98">
      <t>コウ</t>
    </rPh>
    <rPh sb="99" eb="101">
      <t>ニリン</t>
    </rPh>
    <rPh sb="101" eb="104">
      <t>ジドウシャ</t>
    </rPh>
    <rPh sb="104" eb="106">
      <t>コウ</t>
    </rPh>
    <rPh sb="107" eb="109">
      <t>シュウリ</t>
    </rPh>
    <rPh sb="109" eb="110">
      <t>リョウ</t>
    </rPh>
    <rPh sb="110" eb="112">
      <t>シュウニュウ</t>
    </rPh>
    <rPh sb="116" eb="117">
      <t>フク</t>
    </rPh>
    <phoneticPr fontId="14"/>
  </si>
  <si>
    <t>燃料（ガソリンスタンド）の修理料収入
→（R2表作成時）揮発油小売、軽油小売、重油小売の修理料収入</t>
    <rPh sb="0" eb="2">
      <t>ネンリョウ</t>
    </rPh>
    <rPh sb="13" eb="15">
      <t>シュウリ</t>
    </rPh>
    <rPh sb="15" eb="16">
      <t>リョウ</t>
    </rPh>
    <rPh sb="16" eb="18">
      <t>シュウニュウ</t>
    </rPh>
    <rPh sb="23" eb="24">
      <t>ヒョウ</t>
    </rPh>
    <rPh sb="24" eb="27">
      <t>サクセイジ</t>
    </rPh>
    <rPh sb="28" eb="31">
      <t>キハツユ</t>
    </rPh>
    <rPh sb="31" eb="33">
      <t>コウ</t>
    </rPh>
    <rPh sb="34" eb="36">
      <t>ケイユ</t>
    </rPh>
    <rPh sb="36" eb="38">
      <t>コウ</t>
    </rPh>
    <rPh sb="39" eb="41">
      <t>ジュウユ</t>
    </rPh>
    <rPh sb="41" eb="43">
      <t>コウ</t>
    </rPh>
    <rPh sb="44" eb="46">
      <t>シュウリ</t>
    </rPh>
    <rPh sb="46" eb="47">
      <t>リョウ</t>
    </rPh>
    <rPh sb="47" eb="49">
      <t>シュウニュウ</t>
    </rPh>
    <phoneticPr fontId="14"/>
  </si>
  <si>
    <t>　製造業による各種機械の保守・修理サービス</t>
    <phoneticPr fontId="14"/>
  </si>
  <si>
    <t>経産省提示の推計方法のとおり、経セン組替第５表の「建設用金属製品」から「電子計算機付属装置」まで（武器は除く）、及びがん具、楽器の修理料収入を積み上げたものをＣＴとする。→R2表も同様とする。</t>
    <rPh sb="0" eb="3">
      <t>ケイサンショウ</t>
    </rPh>
    <rPh sb="3" eb="5">
      <t>テイジ</t>
    </rPh>
    <rPh sb="6" eb="8">
      <t>スイケイ</t>
    </rPh>
    <rPh sb="8" eb="10">
      <t>ホウホウ</t>
    </rPh>
    <rPh sb="15" eb="16">
      <t>ケイ</t>
    </rPh>
    <rPh sb="18" eb="20">
      <t>クミカエ</t>
    </rPh>
    <rPh sb="20" eb="21">
      <t>ダイ</t>
    </rPh>
    <rPh sb="22" eb="23">
      <t>ヒョウ</t>
    </rPh>
    <rPh sb="25" eb="28">
      <t>ケンセツヨウ</t>
    </rPh>
    <rPh sb="28" eb="30">
      <t>キンゾク</t>
    </rPh>
    <rPh sb="30" eb="32">
      <t>セイヒン</t>
    </rPh>
    <rPh sb="36" eb="38">
      <t>デンシ</t>
    </rPh>
    <rPh sb="38" eb="41">
      <t>ケイサンキ</t>
    </rPh>
    <rPh sb="41" eb="43">
      <t>フゾク</t>
    </rPh>
    <rPh sb="43" eb="45">
      <t>ソウチ</t>
    </rPh>
    <rPh sb="49" eb="51">
      <t>ブキ</t>
    </rPh>
    <rPh sb="52" eb="53">
      <t>ノゾ</t>
    </rPh>
    <rPh sb="56" eb="57">
      <t>オヨ</t>
    </rPh>
    <rPh sb="60" eb="61">
      <t>グ</t>
    </rPh>
    <rPh sb="62" eb="64">
      <t>ガッキ</t>
    </rPh>
    <rPh sb="65" eb="67">
      <t>シュウリ</t>
    </rPh>
    <rPh sb="67" eb="68">
      <t>リョウ</t>
    </rPh>
    <rPh sb="68" eb="70">
      <t>シュウニュウ</t>
    </rPh>
    <rPh sb="71" eb="72">
      <t>ツ</t>
    </rPh>
    <rPh sb="73" eb="74">
      <t>ア</t>
    </rPh>
    <rPh sb="88" eb="89">
      <t>ヒョウ</t>
    </rPh>
    <rPh sb="90" eb="92">
      <t>ドウヨウ</t>
    </rPh>
    <phoneticPr fontId="14"/>
  </si>
  <si>
    <t>　機械器具卸売業による各種機械の保守・修理サービス</t>
    <rPh sb="1" eb="3">
      <t>キカイ</t>
    </rPh>
    <rPh sb="3" eb="5">
      <t>キグ</t>
    </rPh>
    <rPh sb="5" eb="8">
      <t>オロシウリギョウ</t>
    </rPh>
    <phoneticPr fontId="14"/>
  </si>
  <si>
    <t>左記資料の54機械器具卸売業の修理料収入を積み上げ。ただし自動車分は除く。経産省提示の方法
→(R2表作成時）同様にすると、あまりにも減りすぎたので、積み上げた修理料収入の対全国比率で国CTを按分した。</t>
    <rPh sb="0" eb="2">
      <t>サキ</t>
    </rPh>
    <rPh sb="2" eb="4">
      <t>シリョウ</t>
    </rPh>
    <rPh sb="7" eb="9">
      <t>キカイ</t>
    </rPh>
    <rPh sb="9" eb="11">
      <t>キグ</t>
    </rPh>
    <rPh sb="11" eb="14">
      <t>オロシウリギョウ</t>
    </rPh>
    <rPh sb="15" eb="17">
      <t>シュウリ</t>
    </rPh>
    <rPh sb="17" eb="18">
      <t>リョウ</t>
    </rPh>
    <rPh sb="18" eb="20">
      <t>シュウニュウ</t>
    </rPh>
    <rPh sb="21" eb="22">
      <t>ツ</t>
    </rPh>
    <rPh sb="23" eb="24">
      <t>ア</t>
    </rPh>
    <rPh sb="29" eb="31">
      <t>ジドウ</t>
    </rPh>
    <rPh sb="31" eb="32">
      <t>シャ</t>
    </rPh>
    <rPh sb="32" eb="33">
      <t>ブン</t>
    </rPh>
    <rPh sb="34" eb="35">
      <t>ノゾ</t>
    </rPh>
    <rPh sb="37" eb="40">
      <t>ケイサンショウ</t>
    </rPh>
    <rPh sb="40" eb="42">
      <t>テイジ</t>
    </rPh>
    <rPh sb="43" eb="45">
      <t>ホウホウ</t>
    </rPh>
    <rPh sb="50" eb="51">
      <t>ヒョウ</t>
    </rPh>
    <rPh sb="51" eb="53">
      <t>サクセイ</t>
    </rPh>
    <rPh sb="53" eb="54">
      <t>ジ</t>
    </rPh>
    <rPh sb="55" eb="57">
      <t>ドウヨウ</t>
    </rPh>
    <rPh sb="67" eb="68">
      <t>ヘ</t>
    </rPh>
    <rPh sb="75" eb="76">
      <t>ツ</t>
    </rPh>
    <rPh sb="77" eb="78">
      <t>ア</t>
    </rPh>
    <rPh sb="80" eb="82">
      <t>シュウリ</t>
    </rPh>
    <rPh sb="82" eb="83">
      <t>リョウ</t>
    </rPh>
    <rPh sb="83" eb="85">
      <t>シュウニュウ</t>
    </rPh>
    <rPh sb="86" eb="87">
      <t>タイ</t>
    </rPh>
    <rPh sb="87" eb="89">
      <t>ゼンコク</t>
    </rPh>
    <rPh sb="89" eb="91">
      <t>ヒリツ</t>
    </rPh>
    <rPh sb="92" eb="93">
      <t>クニ</t>
    </rPh>
    <rPh sb="96" eb="98">
      <t>アンブン</t>
    </rPh>
    <phoneticPr fontId="14"/>
  </si>
  <si>
    <t>　家庭用機械器具小売業による各種機械の保守・修理サービス</t>
    <rPh sb="1" eb="4">
      <t>カテイヨウ</t>
    </rPh>
    <rPh sb="4" eb="6">
      <t>キカイ</t>
    </rPh>
    <rPh sb="6" eb="8">
      <t>キグ</t>
    </rPh>
    <rPh sb="8" eb="11">
      <t>コウリギョウ</t>
    </rPh>
    <phoneticPr fontId="14"/>
  </si>
  <si>
    <t>左記資料の59機械器具小売業の修理料収入を積上げ。
→（R2表作成時）上記「6631-10自動車整備」の「ディーラー工場」の項目で経セン調査品目コード59111乗用車（新車小売）～59141二輪自動車小売の修理料収入を計上しているので、それを除いて計上した。</t>
    <rPh sb="0" eb="2">
      <t>サキ</t>
    </rPh>
    <rPh sb="2" eb="4">
      <t>シリョウ</t>
    </rPh>
    <rPh sb="7" eb="9">
      <t>キカイ</t>
    </rPh>
    <rPh sb="9" eb="11">
      <t>キグ</t>
    </rPh>
    <rPh sb="11" eb="14">
      <t>コウリギョウ</t>
    </rPh>
    <rPh sb="15" eb="17">
      <t>シュウリ</t>
    </rPh>
    <rPh sb="17" eb="18">
      <t>リョウ</t>
    </rPh>
    <rPh sb="18" eb="20">
      <t>シュウニュウ</t>
    </rPh>
    <rPh sb="21" eb="22">
      <t>ツ</t>
    </rPh>
    <rPh sb="22" eb="23">
      <t>ア</t>
    </rPh>
    <rPh sb="30" eb="31">
      <t>ヒョウ</t>
    </rPh>
    <rPh sb="31" eb="33">
      <t>サクセイ</t>
    </rPh>
    <rPh sb="33" eb="34">
      <t>ジ</t>
    </rPh>
    <rPh sb="35" eb="37">
      <t>ジョウキ</t>
    </rPh>
    <rPh sb="45" eb="48">
      <t>ジドウシャ</t>
    </rPh>
    <rPh sb="48" eb="50">
      <t>セイビ</t>
    </rPh>
    <rPh sb="58" eb="60">
      <t>コウジョウ</t>
    </rPh>
    <rPh sb="62" eb="64">
      <t>コウモク</t>
    </rPh>
    <rPh sb="65" eb="66">
      <t>ケイ</t>
    </rPh>
    <rPh sb="68" eb="70">
      <t>チョウサ</t>
    </rPh>
    <rPh sb="70" eb="72">
      <t>ヒンモク</t>
    </rPh>
    <rPh sb="80" eb="83">
      <t>ジョウヨウシャ</t>
    </rPh>
    <rPh sb="84" eb="86">
      <t>シンシャ</t>
    </rPh>
    <rPh sb="86" eb="88">
      <t>コウ</t>
    </rPh>
    <rPh sb="95" eb="97">
      <t>ニリン</t>
    </rPh>
    <rPh sb="97" eb="100">
      <t>ジドウシャ</t>
    </rPh>
    <rPh sb="100" eb="102">
      <t>コウ</t>
    </rPh>
    <rPh sb="103" eb="105">
      <t>シュウリ</t>
    </rPh>
    <rPh sb="105" eb="106">
      <t>リョウ</t>
    </rPh>
    <rPh sb="106" eb="108">
      <t>シュウニュウ</t>
    </rPh>
    <rPh sb="109" eb="111">
      <t>ケイジョウ</t>
    </rPh>
    <rPh sb="121" eb="122">
      <t>ノゾ</t>
    </rPh>
    <rPh sb="124" eb="126">
      <t>ケイジョウ</t>
    </rPh>
    <phoneticPr fontId="2"/>
  </si>
  <si>
    <t>　農耕用品小売業による各種機械の保守・修理サービス</t>
    <rPh sb="1" eb="3">
      <t>ノウコウ</t>
    </rPh>
    <rPh sb="3" eb="5">
      <t>ヨウヒン</t>
    </rPh>
    <rPh sb="5" eb="8">
      <t>コウリギョウ</t>
    </rPh>
    <phoneticPr fontId="14"/>
  </si>
  <si>
    <t>左記資料の6041農業用機械器具小売業の修理料収入を積上げ。→R2推計でも同様とする。</t>
    <rPh sb="0" eb="2">
      <t>サキ</t>
    </rPh>
    <rPh sb="2" eb="4">
      <t>シリョウ</t>
    </rPh>
    <rPh sb="9" eb="12">
      <t>ノウギョウヨウ</t>
    </rPh>
    <rPh sb="12" eb="14">
      <t>キカイ</t>
    </rPh>
    <rPh sb="14" eb="16">
      <t>キグ</t>
    </rPh>
    <rPh sb="16" eb="19">
      <t>コウリギョウ</t>
    </rPh>
    <rPh sb="20" eb="22">
      <t>シュウリ</t>
    </rPh>
    <rPh sb="22" eb="23">
      <t>リョウ</t>
    </rPh>
    <rPh sb="23" eb="25">
      <t>シュウニュウ</t>
    </rPh>
    <rPh sb="26" eb="27">
      <t>ツ</t>
    </rPh>
    <rPh sb="27" eb="28">
      <t>ア</t>
    </rPh>
    <rPh sb="33" eb="35">
      <t>スイケイ</t>
    </rPh>
    <rPh sb="37" eb="39">
      <t>ドウヨウ</t>
    </rPh>
    <phoneticPr fontId="14"/>
  </si>
  <si>
    <t>301～310</t>
    <phoneticPr fontId="5"/>
  </si>
  <si>
    <t>　サービス業による各種機械の保守・修理サービス</t>
    <phoneticPr fontId="14"/>
  </si>
  <si>
    <t>経セン公式集計（サービス関連産業）</t>
    <rPh sb="0" eb="1">
      <t>ケイ</t>
    </rPh>
    <rPh sb="3" eb="5">
      <t>コウシキ</t>
    </rPh>
    <rPh sb="5" eb="6">
      <t>シュウ</t>
    </rPh>
    <rPh sb="6" eb="7">
      <t>ケイ</t>
    </rPh>
    <rPh sb="12" eb="14">
      <t>カンレン</t>
    </rPh>
    <rPh sb="14" eb="16">
      <t>サンギョウ</t>
    </rPh>
    <phoneticPr fontId="14"/>
  </si>
  <si>
    <t>経産省提示の推計方法のとおり、左記資料の901機械修理業（電気機械器具除く）と902電気機械器具修理業の売上合計をサービス業のＣＴとする。なお、近経局は経セン組替12表を用いているが、左記資料では秘匿があるから使えないのではないかと思われる。
→R2年表も同様とする。</t>
    <rPh sb="0" eb="3">
      <t>ケイサンショウ</t>
    </rPh>
    <rPh sb="3" eb="5">
      <t>テイジ</t>
    </rPh>
    <rPh sb="6" eb="8">
      <t>スイケイ</t>
    </rPh>
    <rPh sb="8" eb="10">
      <t>ホウホウ</t>
    </rPh>
    <rPh sb="15" eb="17">
      <t>サキ</t>
    </rPh>
    <rPh sb="17" eb="19">
      <t>シリョウ</t>
    </rPh>
    <rPh sb="23" eb="25">
      <t>キカイ</t>
    </rPh>
    <rPh sb="25" eb="27">
      <t>シュウリ</t>
    </rPh>
    <rPh sb="27" eb="28">
      <t>ギョウ</t>
    </rPh>
    <rPh sb="29" eb="31">
      <t>デンキ</t>
    </rPh>
    <rPh sb="31" eb="33">
      <t>キカイ</t>
    </rPh>
    <rPh sb="33" eb="35">
      <t>キグ</t>
    </rPh>
    <rPh sb="35" eb="36">
      <t>ノゾ</t>
    </rPh>
    <rPh sb="42" eb="44">
      <t>デンキ</t>
    </rPh>
    <rPh sb="44" eb="46">
      <t>キカイ</t>
    </rPh>
    <rPh sb="46" eb="48">
      <t>キグ</t>
    </rPh>
    <rPh sb="48" eb="50">
      <t>シュウリ</t>
    </rPh>
    <rPh sb="50" eb="51">
      <t>ギョウ</t>
    </rPh>
    <rPh sb="52" eb="54">
      <t>ウリアゲ</t>
    </rPh>
    <rPh sb="54" eb="56">
      <t>ゴウケイ</t>
    </rPh>
    <rPh sb="61" eb="62">
      <t>ギョウ</t>
    </rPh>
    <rPh sb="72" eb="73">
      <t>キン</t>
    </rPh>
    <rPh sb="73" eb="74">
      <t>ケイ</t>
    </rPh>
    <rPh sb="74" eb="75">
      <t>キョク</t>
    </rPh>
    <rPh sb="76" eb="77">
      <t>ケイ</t>
    </rPh>
    <rPh sb="79" eb="81">
      <t>クミカエ</t>
    </rPh>
    <rPh sb="83" eb="84">
      <t>ヒョウ</t>
    </rPh>
    <rPh sb="85" eb="86">
      <t>モチ</t>
    </rPh>
    <rPh sb="92" eb="94">
      <t>サキ</t>
    </rPh>
    <rPh sb="94" eb="96">
      <t>シリョウ</t>
    </rPh>
    <rPh sb="98" eb="100">
      <t>ヒトク</t>
    </rPh>
    <rPh sb="105" eb="106">
      <t>ツカ</t>
    </rPh>
    <rPh sb="116" eb="117">
      <t>オモ</t>
    </rPh>
    <rPh sb="125" eb="126">
      <t>ネン</t>
    </rPh>
    <rPh sb="126" eb="127">
      <t>ヒョウ</t>
    </rPh>
    <rPh sb="128" eb="130">
      <t>ドウヨウ</t>
    </rPh>
    <phoneticPr fontId="14"/>
  </si>
  <si>
    <t>経セン組替01表</t>
    <phoneticPr fontId="14"/>
  </si>
  <si>
    <t>マニュアルに基づく方法。H26年度全国研究会議の財務省の資料では、副業はＯＮしないものの、復元は行うとするものと行わないとする二つの資料が混在している。全体のバランスを考慮し、復元処理しないこととした。　→27年表,R2年表も同様とする</t>
    <rPh sb="15" eb="17">
      <t>ネンド</t>
    </rPh>
    <rPh sb="17" eb="19">
      <t>ゼンコク</t>
    </rPh>
    <rPh sb="19" eb="21">
      <t>ケンキュウ</t>
    </rPh>
    <rPh sb="21" eb="23">
      <t>カイギ</t>
    </rPh>
    <rPh sb="24" eb="27">
      <t>ザイムショウ</t>
    </rPh>
    <rPh sb="28" eb="30">
      <t>シリョウ</t>
    </rPh>
    <rPh sb="33" eb="35">
      <t>フクギョウ</t>
    </rPh>
    <rPh sb="45" eb="47">
      <t>フクゲン</t>
    </rPh>
    <rPh sb="48" eb="49">
      <t>オコナ</t>
    </rPh>
    <rPh sb="56" eb="57">
      <t>オコナ</t>
    </rPh>
    <rPh sb="63" eb="64">
      <t>フタ</t>
    </rPh>
    <rPh sb="66" eb="68">
      <t>シリョウ</t>
    </rPh>
    <rPh sb="69" eb="71">
      <t>コンザイ</t>
    </rPh>
    <rPh sb="76" eb="78">
      <t>ゼンタイ</t>
    </rPh>
    <rPh sb="84" eb="86">
      <t>コウリョ</t>
    </rPh>
    <rPh sb="88" eb="90">
      <t>フクゲン</t>
    </rPh>
    <rPh sb="90" eb="92">
      <t>ショリ</t>
    </rPh>
    <rPh sb="105" eb="106">
      <t>ネン</t>
    </rPh>
    <rPh sb="106" eb="107">
      <t>ヒョウ</t>
    </rPh>
    <rPh sb="110" eb="111">
      <t>ネン</t>
    </rPh>
    <rPh sb="111" eb="112">
      <t>ヒョウ</t>
    </rPh>
    <rPh sb="113" eb="115">
      <t>ドウヨウ</t>
    </rPh>
    <phoneticPr fontId="14"/>
  </si>
  <si>
    <t>国のCTは1人当たり年間売上高×従業員数だと国交省が示している。経センから従業員数は取れるので、国ＣＴ値を国の従業者数で割ることにより1人当たり年間売上高を出し、それを県にも適用し、県の従業員数を掛けて算出。
→近経局同様、経セン組替集計19表を用いて復元する方法に変更。国交省提示のとおり副業は加算しない。→27年表も同様とする。
→【R2表作成時】組替表でサービス業も欠測値補完があらかじめされて提供されているのか不明。されていると予測し、復元処理を行わず、組替表第01表の売上高をそのまま使用する。</t>
    <rPh sb="0" eb="1">
      <t>クニ</t>
    </rPh>
    <rPh sb="5" eb="7">
      <t>ヒトリ</t>
    </rPh>
    <rPh sb="7" eb="8">
      <t>ア</t>
    </rPh>
    <rPh sb="10" eb="12">
      <t>ネンカン</t>
    </rPh>
    <rPh sb="12" eb="14">
      <t>ウリアゲ</t>
    </rPh>
    <rPh sb="14" eb="15">
      <t>ダカ</t>
    </rPh>
    <rPh sb="16" eb="19">
      <t>ジュウギョウイン</t>
    </rPh>
    <rPh sb="19" eb="20">
      <t>スウ</t>
    </rPh>
    <rPh sb="22" eb="25">
      <t>コッコウショウ</t>
    </rPh>
    <rPh sb="26" eb="27">
      <t>シメ</t>
    </rPh>
    <rPh sb="32" eb="33">
      <t>ケイ</t>
    </rPh>
    <rPh sb="37" eb="40">
      <t>ジュウギョウイン</t>
    </rPh>
    <rPh sb="40" eb="41">
      <t>スウ</t>
    </rPh>
    <rPh sb="42" eb="43">
      <t>ト</t>
    </rPh>
    <rPh sb="48" eb="49">
      <t>クニ</t>
    </rPh>
    <rPh sb="51" eb="52">
      <t>チ</t>
    </rPh>
    <rPh sb="53" eb="54">
      <t>クニ</t>
    </rPh>
    <rPh sb="55" eb="56">
      <t>ジュウ</t>
    </rPh>
    <rPh sb="56" eb="59">
      <t>ギョウシャスウ</t>
    </rPh>
    <rPh sb="60" eb="61">
      <t>ワ</t>
    </rPh>
    <rPh sb="67" eb="69">
      <t>ヒトリ</t>
    </rPh>
    <rPh sb="69" eb="70">
      <t>ア</t>
    </rPh>
    <rPh sb="72" eb="74">
      <t>ネンカン</t>
    </rPh>
    <rPh sb="74" eb="75">
      <t>ウ</t>
    </rPh>
    <rPh sb="75" eb="76">
      <t>ア</t>
    </rPh>
    <rPh sb="76" eb="77">
      <t>タカ</t>
    </rPh>
    <rPh sb="78" eb="79">
      <t>デ</t>
    </rPh>
    <rPh sb="84" eb="85">
      <t>ケン</t>
    </rPh>
    <rPh sb="87" eb="89">
      <t>テキヨウ</t>
    </rPh>
    <rPh sb="91" eb="92">
      <t>ケン</t>
    </rPh>
    <rPh sb="93" eb="96">
      <t>ジュウギョウイン</t>
    </rPh>
    <rPh sb="96" eb="97">
      <t>スウ</t>
    </rPh>
    <rPh sb="98" eb="99">
      <t>カ</t>
    </rPh>
    <rPh sb="101" eb="103">
      <t>サンシュツ</t>
    </rPh>
    <rPh sb="106" eb="107">
      <t>キン</t>
    </rPh>
    <rPh sb="107" eb="108">
      <t>ケイ</t>
    </rPh>
    <rPh sb="108" eb="109">
      <t>キョク</t>
    </rPh>
    <rPh sb="109" eb="111">
      <t>ドウヨウ</t>
    </rPh>
    <rPh sb="112" eb="113">
      <t>ケイ</t>
    </rPh>
    <rPh sb="115" eb="117">
      <t>クミカエ</t>
    </rPh>
    <rPh sb="117" eb="118">
      <t>シュウ</t>
    </rPh>
    <rPh sb="118" eb="119">
      <t>ケイ</t>
    </rPh>
    <rPh sb="121" eb="122">
      <t>ヒョウ</t>
    </rPh>
    <rPh sb="123" eb="124">
      <t>モチ</t>
    </rPh>
    <rPh sb="126" eb="128">
      <t>フクゲン</t>
    </rPh>
    <rPh sb="130" eb="132">
      <t>ホウホウ</t>
    </rPh>
    <rPh sb="133" eb="135">
      <t>ヘンコウ</t>
    </rPh>
    <rPh sb="136" eb="138">
      <t>コッコウ</t>
    </rPh>
    <rPh sb="138" eb="139">
      <t>ショウ</t>
    </rPh>
    <rPh sb="139" eb="141">
      <t>テイジ</t>
    </rPh>
    <rPh sb="145" eb="147">
      <t>フクギョウ</t>
    </rPh>
    <rPh sb="148" eb="150">
      <t>カサン</t>
    </rPh>
    <rPh sb="157" eb="158">
      <t>ネン</t>
    </rPh>
    <rPh sb="158" eb="159">
      <t>ヒョウ</t>
    </rPh>
    <rPh sb="160" eb="162">
      <t>ドウヨウ</t>
    </rPh>
    <rPh sb="171" eb="172">
      <t>ヒョウ</t>
    </rPh>
    <rPh sb="172" eb="174">
      <t>サクセイ</t>
    </rPh>
    <rPh sb="174" eb="175">
      <t>ジ</t>
    </rPh>
    <rPh sb="176" eb="178">
      <t>クミカエ</t>
    </rPh>
    <rPh sb="178" eb="179">
      <t>ヒョウ</t>
    </rPh>
    <rPh sb="184" eb="185">
      <t>ギョウ</t>
    </rPh>
    <rPh sb="186" eb="188">
      <t>ケッソク</t>
    </rPh>
    <rPh sb="188" eb="189">
      <t>チ</t>
    </rPh>
    <rPh sb="189" eb="191">
      <t>ホカン</t>
    </rPh>
    <rPh sb="200" eb="202">
      <t>テイキョウ</t>
    </rPh>
    <rPh sb="209" eb="211">
      <t>フメイ</t>
    </rPh>
    <rPh sb="218" eb="220">
      <t>ヨソク</t>
    </rPh>
    <rPh sb="222" eb="224">
      <t>フクゲン</t>
    </rPh>
    <rPh sb="224" eb="226">
      <t>ショリ</t>
    </rPh>
    <rPh sb="227" eb="228">
      <t>オコナ</t>
    </rPh>
    <rPh sb="231" eb="233">
      <t>クミカエ</t>
    </rPh>
    <rPh sb="233" eb="234">
      <t>ヒョウ</t>
    </rPh>
    <rPh sb="234" eb="235">
      <t>ダイ</t>
    </rPh>
    <rPh sb="237" eb="238">
      <t>ヒョウ</t>
    </rPh>
    <rPh sb="239" eb="242">
      <t>ウリアゲダカ</t>
    </rPh>
    <rPh sb="247" eb="249">
      <t>シヨウ</t>
    </rPh>
    <phoneticPr fontId="14"/>
  </si>
  <si>
    <t>H30年度、R2年度労働者派遣事業報告（厚労省）</t>
    <rPh sb="3" eb="5">
      <t>ネンド</t>
    </rPh>
    <rPh sb="8" eb="10">
      <t>ネンド</t>
    </rPh>
    <rPh sb="10" eb="13">
      <t>ロウドウシャ</t>
    </rPh>
    <rPh sb="13" eb="15">
      <t>ハケン</t>
    </rPh>
    <rPh sb="15" eb="17">
      <t>ジギョウ</t>
    </rPh>
    <rPh sb="17" eb="19">
      <t>ホウコク</t>
    </rPh>
    <rPh sb="20" eb="23">
      <t>コウロウショウ</t>
    </rPh>
    <phoneticPr fontId="14"/>
  </si>
  <si>
    <t>国同様、左記資料の売上高を取っている。経センは使わない。
→R2年表作成時、H30年度の左記報告書を最後に都道府県別売上高が公表されていないことから、国の伸び率でR2値を推計。推計個別ファイル参照。</t>
    <rPh sb="0" eb="1">
      <t>クニ</t>
    </rPh>
    <rPh sb="1" eb="3">
      <t>ドウヨウ</t>
    </rPh>
    <rPh sb="4" eb="6">
      <t>サキ</t>
    </rPh>
    <rPh sb="6" eb="8">
      <t>シリョウ</t>
    </rPh>
    <rPh sb="9" eb="11">
      <t>ウリアゲ</t>
    </rPh>
    <rPh sb="11" eb="12">
      <t>ダカ</t>
    </rPh>
    <rPh sb="13" eb="14">
      <t>ト</t>
    </rPh>
    <rPh sb="19" eb="20">
      <t>ケイ</t>
    </rPh>
    <rPh sb="23" eb="24">
      <t>ツカ</t>
    </rPh>
    <rPh sb="32" eb="33">
      <t>ネン</t>
    </rPh>
    <rPh sb="33" eb="34">
      <t>ヒョウ</t>
    </rPh>
    <rPh sb="34" eb="37">
      <t>サクセイジ</t>
    </rPh>
    <rPh sb="41" eb="43">
      <t>ネンド</t>
    </rPh>
    <rPh sb="44" eb="46">
      <t>サキ</t>
    </rPh>
    <rPh sb="46" eb="49">
      <t>ホウコクショ</t>
    </rPh>
    <rPh sb="50" eb="52">
      <t>サイゴ</t>
    </rPh>
    <rPh sb="53" eb="57">
      <t>トドウフケン</t>
    </rPh>
    <rPh sb="57" eb="58">
      <t>ベツ</t>
    </rPh>
    <rPh sb="58" eb="61">
      <t>ウリアゲダカ</t>
    </rPh>
    <rPh sb="62" eb="64">
      <t>コウヒョウ</t>
    </rPh>
    <rPh sb="75" eb="76">
      <t>クニ</t>
    </rPh>
    <rPh sb="77" eb="78">
      <t>ノ</t>
    </rPh>
    <rPh sb="79" eb="80">
      <t>リツ</t>
    </rPh>
    <rPh sb="83" eb="84">
      <t>チ</t>
    </rPh>
    <rPh sb="85" eb="87">
      <t>スイケイ</t>
    </rPh>
    <rPh sb="88" eb="90">
      <t>スイケイ</t>
    </rPh>
    <rPh sb="90" eb="92">
      <t>コベツ</t>
    </rPh>
    <rPh sb="96" eb="98">
      <t>サンショウ</t>
    </rPh>
    <phoneticPr fontId="14"/>
  </si>
  <si>
    <t>H26年度全国研究会議資料１のとおり、復元処理は行わず、経セン組替019表の売上高に副業（副業加算シートの数値）を加算して推計。→27年表も同様とする
→（R2表作成時）R3経センではサービス業は生産物分類で調査に変更になったため、副業加算は不要。</t>
    <rPh sb="3" eb="5">
      <t>ネンド</t>
    </rPh>
    <rPh sb="5" eb="7">
      <t>ゼンコク</t>
    </rPh>
    <rPh sb="7" eb="9">
      <t>ケンキュウ</t>
    </rPh>
    <rPh sb="9" eb="11">
      <t>カイギ</t>
    </rPh>
    <rPh sb="11" eb="13">
      <t>シリョウ</t>
    </rPh>
    <rPh sb="19" eb="21">
      <t>フクゲン</t>
    </rPh>
    <rPh sb="21" eb="23">
      <t>ショリ</t>
    </rPh>
    <rPh sb="24" eb="25">
      <t>オコナ</t>
    </rPh>
    <rPh sb="28" eb="29">
      <t>ケイ</t>
    </rPh>
    <rPh sb="31" eb="33">
      <t>クミカエ</t>
    </rPh>
    <rPh sb="36" eb="37">
      <t>ヒョウ</t>
    </rPh>
    <rPh sb="38" eb="40">
      <t>ウリアゲ</t>
    </rPh>
    <rPh sb="40" eb="41">
      <t>ダカ</t>
    </rPh>
    <rPh sb="42" eb="44">
      <t>フクギョウ</t>
    </rPh>
    <rPh sb="45" eb="47">
      <t>フクギョウ</t>
    </rPh>
    <rPh sb="47" eb="49">
      <t>カサン</t>
    </rPh>
    <rPh sb="53" eb="55">
      <t>スウチ</t>
    </rPh>
    <rPh sb="57" eb="59">
      <t>カサン</t>
    </rPh>
    <rPh sb="61" eb="63">
      <t>スイケイ</t>
    </rPh>
    <rPh sb="67" eb="68">
      <t>ネン</t>
    </rPh>
    <rPh sb="68" eb="69">
      <t>ヒョウ</t>
    </rPh>
    <rPh sb="70" eb="72">
      <t>ドウヨウ</t>
    </rPh>
    <rPh sb="80" eb="81">
      <t>ヒョウ</t>
    </rPh>
    <rPh sb="81" eb="84">
      <t>サクセイジ</t>
    </rPh>
    <rPh sb="87" eb="88">
      <t>ケイ</t>
    </rPh>
    <rPh sb="96" eb="97">
      <t>ギョウ</t>
    </rPh>
    <rPh sb="98" eb="101">
      <t>セイサンブツ</t>
    </rPh>
    <rPh sb="101" eb="103">
      <t>ブンルイ</t>
    </rPh>
    <rPh sb="104" eb="106">
      <t>チョウサ</t>
    </rPh>
    <rPh sb="107" eb="109">
      <t>ヘンコウ</t>
    </rPh>
    <rPh sb="116" eb="118">
      <t>フクギョウ</t>
    </rPh>
    <rPh sb="118" eb="120">
      <t>カサン</t>
    </rPh>
    <rPh sb="121" eb="123">
      <t>フヨウ</t>
    </rPh>
    <phoneticPr fontId="14"/>
  </si>
  <si>
    <t>　その他の建物維持管理サービス</t>
    <phoneticPr fontId="5"/>
  </si>
  <si>
    <t>国、近経局ともに経セン組替19表の売上金額をＣＴとしているのでそれに準じる。</t>
    <phoneticPr fontId="14"/>
  </si>
  <si>
    <t>6699-06</t>
    <phoneticPr fontId="14"/>
  </si>
  <si>
    <t>6699-061</t>
    <phoneticPr fontId="14"/>
  </si>
  <si>
    <t>と畜場(公営)★★</t>
  </si>
  <si>
    <t>と畜・食鳥検査等に関する実態調査結果（厚労省）</t>
    <rPh sb="1" eb="2">
      <t>チク</t>
    </rPh>
    <rPh sb="3" eb="4">
      <t>ショク</t>
    </rPh>
    <rPh sb="4" eb="5">
      <t>トリ</t>
    </rPh>
    <rPh sb="5" eb="7">
      <t>ケンサ</t>
    </rPh>
    <rPh sb="7" eb="8">
      <t>トウ</t>
    </rPh>
    <rPh sb="9" eb="10">
      <t>カン</t>
    </rPh>
    <rPh sb="12" eb="14">
      <t>ジッタイ</t>
    </rPh>
    <rPh sb="14" eb="16">
      <t>チョウサ</t>
    </rPh>
    <rPh sb="16" eb="18">
      <t>ケッカ</t>
    </rPh>
    <rPh sb="19" eb="22">
      <t>コウロウショウ</t>
    </rPh>
    <phoneticPr fontId="5"/>
  </si>
  <si>
    <t>R3新設項目。左記資料の全国のと畜場名簿のうち公営施設の許可件数（頭／日）の対全国比率で按分した。</t>
    <rPh sb="2" eb="4">
      <t>シンセツ</t>
    </rPh>
    <rPh sb="4" eb="6">
      <t>コウモク</t>
    </rPh>
    <rPh sb="7" eb="9">
      <t>サキ</t>
    </rPh>
    <rPh sb="9" eb="11">
      <t>シリョウ</t>
    </rPh>
    <rPh sb="12" eb="14">
      <t>ゼンコク</t>
    </rPh>
    <rPh sb="16" eb="17">
      <t>チク</t>
    </rPh>
    <rPh sb="17" eb="18">
      <t>ジョウ</t>
    </rPh>
    <rPh sb="18" eb="20">
      <t>メイボ</t>
    </rPh>
    <rPh sb="23" eb="25">
      <t>コウエイ</t>
    </rPh>
    <rPh sb="25" eb="27">
      <t>シセツ</t>
    </rPh>
    <rPh sb="28" eb="30">
      <t>キョカ</t>
    </rPh>
    <rPh sb="30" eb="32">
      <t>ケンスウ</t>
    </rPh>
    <rPh sb="33" eb="34">
      <t>トウ</t>
    </rPh>
    <rPh sb="35" eb="36">
      <t>ニチ</t>
    </rPh>
    <rPh sb="38" eb="39">
      <t>タイ</t>
    </rPh>
    <rPh sb="39" eb="41">
      <t>ゼンコク</t>
    </rPh>
    <rPh sb="41" eb="43">
      <t>ヒリツ</t>
    </rPh>
    <rPh sb="44" eb="46">
      <t>アンブン</t>
    </rPh>
    <phoneticPr fontId="5"/>
  </si>
  <si>
    <t>6699-07</t>
    <phoneticPr fontId="14"/>
  </si>
  <si>
    <t>6699-071</t>
    <phoneticPr fontId="14"/>
  </si>
  <si>
    <t>と畜場</t>
  </si>
  <si>
    <t>経セン組替01表</t>
    <rPh sb="0" eb="1">
      <t>ケイ</t>
    </rPh>
    <rPh sb="3" eb="5">
      <t>クミカエ</t>
    </rPh>
    <rPh sb="7" eb="8">
      <t>ヒョウ</t>
    </rPh>
    <phoneticPr fontId="5"/>
  </si>
  <si>
    <t>R2表新設項目。経セン組替表01表（県値）の売上金額からとった。</t>
    <rPh sb="2" eb="3">
      <t>ヒョウ</t>
    </rPh>
    <rPh sb="3" eb="5">
      <t>シンセツ</t>
    </rPh>
    <rPh sb="5" eb="7">
      <t>コウモク</t>
    </rPh>
    <rPh sb="8" eb="9">
      <t>ケイ</t>
    </rPh>
    <rPh sb="11" eb="13">
      <t>クミカエ</t>
    </rPh>
    <rPh sb="13" eb="14">
      <t>ヒョウ</t>
    </rPh>
    <rPh sb="16" eb="17">
      <t>ヒョウ</t>
    </rPh>
    <rPh sb="18" eb="19">
      <t>ケン</t>
    </rPh>
    <rPh sb="19" eb="20">
      <t>チ</t>
    </rPh>
    <rPh sb="22" eb="23">
      <t>ウ</t>
    </rPh>
    <rPh sb="23" eb="24">
      <t>ア</t>
    </rPh>
    <rPh sb="24" eb="26">
      <t>キンガク</t>
    </rPh>
    <phoneticPr fontId="5"/>
  </si>
  <si>
    <t>2015.3.13に経産省が提示した推計方法では、経センを使っての復元処理をしている部門とそうでない部門が混在しており、復元処理を行っている部門でもその他の要素を取り入れるなどかなり複雑な推計方法をとっている。このため、県値は国値按分で推計することとし、でマニュアルp103にあるように従業者数按分の方法をとった。経セン公式集計（産業横断）が最もカバレッジが広いため、その従業者数を用いたが、プラントエンジニアリングだけは公式集計になく組替集計にしか出てこないので、組替集計19表から引用した。経センと産連の部門の対応は上記経産相提供の資料を見ればわかる。
→前回表との乖離が大きいため近経局の方法を踏襲し、経セン組替19表から直接とった。それでも乖離が大きいため復元、副業加算はしない。
→経セン組替表01表の売上高を直接とった。</t>
    <rPh sb="10" eb="13">
      <t>ケイサンショウ</t>
    </rPh>
    <rPh sb="14" eb="16">
      <t>テイジ</t>
    </rPh>
    <rPh sb="18" eb="20">
      <t>スイケイ</t>
    </rPh>
    <rPh sb="20" eb="22">
      <t>ホウホウ</t>
    </rPh>
    <rPh sb="25" eb="26">
      <t>ケイ</t>
    </rPh>
    <rPh sb="29" eb="30">
      <t>ツカ</t>
    </rPh>
    <rPh sb="33" eb="35">
      <t>フクゲン</t>
    </rPh>
    <rPh sb="35" eb="37">
      <t>ショリ</t>
    </rPh>
    <rPh sb="42" eb="44">
      <t>ブモン</t>
    </rPh>
    <rPh sb="50" eb="52">
      <t>ブモン</t>
    </rPh>
    <rPh sb="53" eb="55">
      <t>コンザイ</t>
    </rPh>
    <rPh sb="60" eb="62">
      <t>フクゲン</t>
    </rPh>
    <rPh sb="62" eb="64">
      <t>ショリ</t>
    </rPh>
    <rPh sb="65" eb="66">
      <t>オコナ</t>
    </rPh>
    <rPh sb="70" eb="72">
      <t>ブモン</t>
    </rPh>
    <rPh sb="76" eb="77">
      <t>タ</t>
    </rPh>
    <rPh sb="78" eb="80">
      <t>ヨウソ</t>
    </rPh>
    <rPh sb="81" eb="82">
      <t>ト</t>
    </rPh>
    <rPh sb="83" eb="84">
      <t>イ</t>
    </rPh>
    <rPh sb="91" eb="93">
      <t>フクザツ</t>
    </rPh>
    <rPh sb="94" eb="96">
      <t>スイケイ</t>
    </rPh>
    <rPh sb="96" eb="98">
      <t>ホウホウ</t>
    </rPh>
    <rPh sb="110" eb="111">
      <t>ケン</t>
    </rPh>
    <rPh sb="111" eb="112">
      <t>チ</t>
    </rPh>
    <rPh sb="113" eb="115">
      <t>クニチ</t>
    </rPh>
    <rPh sb="115" eb="117">
      <t>アンブン</t>
    </rPh>
    <rPh sb="118" eb="120">
      <t>スイケイ</t>
    </rPh>
    <rPh sb="143" eb="144">
      <t>ジュウ</t>
    </rPh>
    <rPh sb="144" eb="147">
      <t>ギョウシャスウ</t>
    </rPh>
    <rPh sb="147" eb="149">
      <t>アンブン</t>
    </rPh>
    <rPh sb="150" eb="152">
      <t>ホウホウ</t>
    </rPh>
    <rPh sb="157" eb="158">
      <t>ケイ</t>
    </rPh>
    <rPh sb="160" eb="162">
      <t>コウシキ</t>
    </rPh>
    <rPh sb="162" eb="163">
      <t>シュウ</t>
    </rPh>
    <rPh sb="163" eb="164">
      <t>ケイ</t>
    </rPh>
    <rPh sb="165" eb="167">
      <t>サンギョウ</t>
    </rPh>
    <rPh sb="167" eb="169">
      <t>オウダン</t>
    </rPh>
    <rPh sb="171" eb="172">
      <t>モット</t>
    </rPh>
    <rPh sb="179" eb="180">
      <t>ヒロ</t>
    </rPh>
    <rPh sb="186" eb="187">
      <t>ジュウ</t>
    </rPh>
    <rPh sb="187" eb="190">
      <t>ギョウシャスウ</t>
    </rPh>
    <rPh sb="191" eb="192">
      <t>モチ</t>
    </rPh>
    <rPh sb="211" eb="213">
      <t>コウシキ</t>
    </rPh>
    <rPh sb="213" eb="215">
      <t>シュウケイ</t>
    </rPh>
    <rPh sb="218" eb="220">
      <t>クミカエ</t>
    </rPh>
    <rPh sb="220" eb="221">
      <t>シュウ</t>
    </rPh>
    <rPh sb="221" eb="222">
      <t>ケイ</t>
    </rPh>
    <rPh sb="225" eb="226">
      <t>デ</t>
    </rPh>
    <rPh sb="233" eb="235">
      <t>クミカエ</t>
    </rPh>
    <rPh sb="235" eb="236">
      <t>シュウ</t>
    </rPh>
    <rPh sb="236" eb="237">
      <t>ケイ</t>
    </rPh>
    <rPh sb="239" eb="240">
      <t>ヒョウ</t>
    </rPh>
    <rPh sb="242" eb="244">
      <t>インヨウ</t>
    </rPh>
    <rPh sb="247" eb="248">
      <t>ケイ</t>
    </rPh>
    <rPh sb="251" eb="252">
      <t>サン</t>
    </rPh>
    <rPh sb="252" eb="253">
      <t>レン</t>
    </rPh>
    <rPh sb="254" eb="256">
      <t>ブモン</t>
    </rPh>
    <rPh sb="257" eb="259">
      <t>タイオウ</t>
    </rPh>
    <rPh sb="260" eb="262">
      <t>ジョウキ</t>
    </rPh>
    <rPh sb="262" eb="265">
      <t>ケイサンショウ</t>
    </rPh>
    <rPh sb="265" eb="267">
      <t>テイキョウ</t>
    </rPh>
    <rPh sb="268" eb="270">
      <t>シリョウ</t>
    </rPh>
    <rPh sb="271" eb="272">
      <t>ミ</t>
    </rPh>
    <rPh sb="280" eb="282">
      <t>ゼンカイ</t>
    </rPh>
    <rPh sb="282" eb="283">
      <t>ヒョウ</t>
    </rPh>
    <rPh sb="285" eb="287">
      <t>カイリ</t>
    </rPh>
    <rPh sb="288" eb="289">
      <t>オオ</t>
    </rPh>
    <rPh sb="293" eb="294">
      <t>キン</t>
    </rPh>
    <rPh sb="294" eb="295">
      <t>ケイ</t>
    </rPh>
    <rPh sb="295" eb="296">
      <t>キョク</t>
    </rPh>
    <rPh sb="297" eb="299">
      <t>ホウホウ</t>
    </rPh>
    <rPh sb="300" eb="302">
      <t>トウシュウ</t>
    </rPh>
    <rPh sb="304" eb="305">
      <t>ケイ</t>
    </rPh>
    <rPh sb="307" eb="309">
      <t>クミカエ</t>
    </rPh>
    <rPh sb="311" eb="312">
      <t>ヒョウ</t>
    </rPh>
    <rPh sb="314" eb="316">
      <t>チョクセツ</t>
    </rPh>
    <rPh sb="324" eb="326">
      <t>カイリ</t>
    </rPh>
    <rPh sb="327" eb="328">
      <t>オオ</t>
    </rPh>
    <rPh sb="332" eb="334">
      <t>フクゲン</t>
    </rPh>
    <rPh sb="335" eb="337">
      <t>フクギョウ</t>
    </rPh>
    <rPh sb="337" eb="339">
      <t>カサン</t>
    </rPh>
    <rPh sb="346" eb="347">
      <t>ケイ</t>
    </rPh>
    <rPh sb="349" eb="351">
      <t>クミカエ</t>
    </rPh>
    <rPh sb="351" eb="352">
      <t>ヒョウ</t>
    </rPh>
    <rPh sb="354" eb="355">
      <t>ヒョウ</t>
    </rPh>
    <rPh sb="356" eb="359">
      <t>ウリアゲダカ</t>
    </rPh>
    <rPh sb="360" eb="362">
      <t>チョクセツ</t>
    </rPh>
    <phoneticPr fontId="14"/>
  </si>
  <si>
    <t>マニュアルに基づく方法。復元を行っている。別シートよりリンク。なお、復元に当たっては、QA第１報に基づき、国から提供されたワークシートでさらに別推計している。
H26年度全国研究会議　資料１に基づき、副業加算した。
→R2年表作成時、復元も副業加算も行わないことにした。</t>
    <rPh sb="34" eb="36">
      <t>フクゲン</t>
    </rPh>
    <rPh sb="37" eb="38">
      <t>ア</t>
    </rPh>
    <rPh sb="45" eb="46">
      <t>ダイ</t>
    </rPh>
    <rPh sb="47" eb="48">
      <t>ホウ</t>
    </rPh>
    <rPh sb="49" eb="50">
      <t>モト</t>
    </rPh>
    <rPh sb="53" eb="54">
      <t>クニ</t>
    </rPh>
    <rPh sb="56" eb="58">
      <t>テイキョウ</t>
    </rPh>
    <rPh sb="71" eb="72">
      <t>ベツ</t>
    </rPh>
    <rPh sb="72" eb="74">
      <t>スイケイ</t>
    </rPh>
    <rPh sb="85" eb="87">
      <t>ゼンコク</t>
    </rPh>
    <rPh sb="87" eb="89">
      <t>ケンキュウ</t>
    </rPh>
    <rPh sb="89" eb="91">
      <t>カイギ</t>
    </rPh>
    <rPh sb="92" eb="94">
      <t>シリョウ</t>
    </rPh>
    <rPh sb="96" eb="97">
      <t>モト</t>
    </rPh>
    <rPh sb="100" eb="102">
      <t>フクギョウ</t>
    </rPh>
    <rPh sb="102" eb="104">
      <t>カサン</t>
    </rPh>
    <rPh sb="111" eb="112">
      <t>ネン</t>
    </rPh>
    <rPh sb="112" eb="113">
      <t>ヒョウ</t>
    </rPh>
    <rPh sb="113" eb="116">
      <t>サクセイジ</t>
    </rPh>
    <rPh sb="117" eb="119">
      <t>フクゲン</t>
    </rPh>
    <rPh sb="120" eb="122">
      <t>フクギョウ</t>
    </rPh>
    <rPh sb="122" eb="124">
      <t>カサン</t>
    </rPh>
    <rPh sb="125" eb="126">
      <t>オコナ</t>
    </rPh>
    <phoneticPr fontId="14"/>
  </si>
  <si>
    <t>マニュアルに基づく方法。復元を行っている。別シートよりリンク。なお、復元に当たっては、QA第１報に基づき、国から提供されたワークシートでさらに別推計している。
H26年度全国研究会議　資料１に基づき、副業加算した。
→左記資料により推計すると副業が大幅に減少するため、副業部分について補正（H30年度全国会議資料６参照）。
→R2年表作成時、復元も副業加算も行わないことにした。</t>
    <rPh sb="34" eb="36">
      <t>フクゲン</t>
    </rPh>
    <rPh sb="37" eb="38">
      <t>ア</t>
    </rPh>
    <rPh sb="45" eb="46">
      <t>ダイ</t>
    </rPh>
    <rPh sb="47" eb="48">
      <t>ホウ</t>
    </rPh>
    <rPh sb="49" eb="50">
      <t>モト</t>
    </rPh>
    <rPh sb="53" eb="54">
      <t>クニ</t>
    </rPh>
    <rPh sb="56" eb="58">
      <t>テイキョウ</t>
    </rPh>
    <rPh sb="71" eb="72">
      <t>ベツ</t>
    </rPh>
    <rPh sb="72" eb="74">
      <t>スイケイ</t>
    </rPh>
    <rPh sb="83" eb="85">
      <t>ネンド</t>
    </rPh>
    <rPh sb="85" eb="87">
      <t>ゼンコク</t>
    </rPh>
    <rPh sb="87" eb="89">
      <t>ケンキュウ</t>
    </rPh>
    <rPh sb="89" eb="91">
      <t>カイギ</t>
    </rPh>
    <rPh sb="92" eb="94">
      <t>シリョウ</t>
    </rPh>
    <rPh sb="96" eb="97">
      <t>モト</t>
    </rPh>
    <rPh sb="100" eb="102">
      <t>フクギョウ</t>
    </rPh>
    <rPh sb="102" eb="104">
      <t>カサン</t>
    </rPh>
    <rPh sb="109" eb="111">
      <t>サキ</t>
    </rPh>
    <rPh sb="111" eb="113">
      <t>シリョウ</t>
    </rPh>
    <rPh sb="116" eb="118">
      <t>スイケイ</t>
    </rPh>
    <rPh sb="121" eb="123">
      <t>フクギョウ</t>
    </rPh>
    <rPh sb="124" eb="126">
      <t>オオハバ</t>
    </rPh>
    <rPh sb="127" eb="129">
      <t>ゲンショウ</t>
    </rPh>
    <rPh sb="134" eb="136">
      <t>フクギョウ</t>
    </rPh>
    <rPh sb="136" eb="138">
      <t>ブブン</t>
    </rPh>
    <rPh sb="142" eb="144">
      <t>ホセイ</t>
    </rPh>
    <rPh sb="148" eb="150">
      <t>ネンド</t>
    </rPh>
    <phoneticPr fontId="14"/>
  </si>
  <si>
    <t>同上
→同上</t>
    <rPh sb="0" eb="2">
      <t>ドウジョウ</t>
    </rPh>
    <rPh sb="4" eb="6">
      <t>ドウジョウ</t>
    </rPh>
    <phoneticPr fontId="5"/>
  </si>
  <si>
    <t>マニュアルに基づく方法。復元を行っている。別シートよりリンク。H26年度全国研究会議　資料１に基づき、副業加算した。
→R2年表作成時、復元も副業加算も行わないことにした。</t>
    <phoneticPr fontId="14"/>
  </si>
  <si>
    <t>マニュアルに基づく方法。復元を行っている。別シートよりリンク。Ｈ２６年度全国研究会議の資料１に基づき副業は加えない。
なお、経セン組替１９表の売上高は、映画館と下行の興行場・興行団の合計らしい。これを、経セン組替２１表の8011映画館と8021劇場～8025演芸・スポーツ等興行団の売上で按分するよう国からのQA第２報に記載があるのでそのように対応した。
なお、国値は経センを用いて推計しなかったようなので、国値の従業者按分等の方法でも良いのかもしれない。
→R2年表作成時、復元も副業加算も行わないことにした。</t>
    <rPh sb="34" eb="36">
      <t>ネンド</t>
    </rPh>
    <rPh sb="36" eb="38">
      <t>ゼンコク</t>
    </rPh>
    <rPh sb="38" eb="40">
      <t>ケンキュウ</t>
    </rPh>
    <rPh sb="40" eb="42">
      <t>カイギ</t>
    </rPh>
    <rPh sb="43" eb="45">
      <t>シリョウ</t>
    </rPh>
    <rPh sb="47" eb="48">
      <t>モト</t>
    </rPh>
    <rPh sb="62" eb="63">
      <t>ケイ</t>
    </rPh>
    <rPh sb="65" eb="67">
      <t>クミカエ</t>
    </rPh>
    <rPh sb="69" eb="70">
      <t>ヒョウ</t>
    </rPh>
    <rPh sb="71" eb="73">
      <t>ウリアゲ</t>
    </rPh>
    <rPh sb="73" eb="74">
      <t>ダカ</t>
    </rPh>
    <rPh sb="76" eb="79">
      <t>エイガカン</t>
    </rPh>
    <rPh sb="80" eb="81">
      <t>シタ</t>
    </rPh>
    <rPh sb="81" eb="82">
      <t>ギョウ</t>
    </rPh>
    <rPh sb="83" eb="86">
      <t>コウギョウジョウ</t>
    </rPh>
    <rPh sb="87" eb="89">
      <t>コウギョウ</t>
    </rPh>
    <rPh sb="89" eb="90">
      <t>ダン</t>
    </rPh>
    <rPh sb="91" eb="93">
      <t>ゴウケイ</t>
    </rPh>
    <rPh sb="101" eb="102">
      <t>ケイ</t>
    </rPh>
    <rPh sb="104" eb="106">
      <t>クミカエ</t>
    </rPh>
    <rPh sb="108" eb="109">
      <t>ヒョウ</t>
    </rPh>
    <rPh sb="114" eb="117">
      <t>エイガカン</t>
    </rPh>
    <rPh sb="122" eb="124">
      <t>ゲキジョウ</t>
    </rPh>
    <rPh sb="129" eb="131">
      <t>エンゲイ</t>
    </rPh>
    <rPh sb="136" eb="137">
      <t>トウ</t>
    </rPh>
    <rPh sb="137" eb="139">
      <t>コウギョウ</t>
    </rPh>
    <rPh sb="139" eb="140">
      <t>ダン</t>
    </rPh>
    <rPh sb="141" eb="143">
      <t>ウリアゲ</t>
    </rPh>
    <rPh sb="144" eb="146">
      <t>アンブン</t>
    </rPh>
    <rPh sb="150" eb="151">
      <t>クニ</t>
    </rPh>
    <rPh sb="156" eb="157">
      <t>ダイ</t>
    </rPh>
    <rPh sb="158" eb="159">
      <t>ホウ</t>
    </rPh>
    <rPh sb="160" eb="162">
      <t>キサイ</t>
    </rPh>
    <rPh sb="172" eb="174">
      <t>タイオウ</t>
    </rPh>
    <rPh sb="181" eb="182">
      <t>クニ</t>
    </rPh>
    <rPh sb="182" eb="183">
      <t>チ</t>
    </rPh>
    <rPh sb="184" eb="185">
      <t>ケイ</t>
    </rPh>
    <rPh sb="188" eb="189">
      <t>モチ</t>
    </rPh>
    <rPh sb="191" eb="193">
      <t>スイケイ</t>
    </rPh>
    <rPh sb="204" eb="206">
      <t>クニアタイ</t>
    </rPh>
    <rPh sb="207" eb="210">
      <t>ジュウギョウシャ</t>
    </rPh>
    <rPh sb="210" eb="212">
      <t>アンブン</t>
    </rPh>
    <rPh sb="212" eb="213">
      <t>トウ</t>
    </rPh>
    <rPh sb="214" eb="216">
      <t>ホウホウ</t>
    </rPh>
    <rPh sb="218" eb="219">
      <t>ヨ</t>
    </rPh>
    <phoneticPr fontId="14"/>
  </si>
  <si>
    <t>マニュアルに基づく方法。復元を行っている。別シートよりリンク。Ｈ２６年度全国研究会議の資料１に基づき副業は加えない。
なお、経セン組替１９表の売上高は、映画館と下行の興行場・興行団の合計らしい。復元にあたっては、これを、経セン組替２１表の8011映画館と8021劇場～8025演芸・スポーツ等興行団の売上で按分するよう国からのQA第２報に記載があるのでそのように対応した。
→R2年表作成時、復元も副業加算も行わないことにした。経セン組替表01表の売上金額を直接使った。</t>
    <rPh sb="97" eb="99">
      <t>フクゲン</t>
    </rPh>
    <rPh sb="214" eb="215">
      <t>ケイ</t>
    </rPh>
    <rPh sb="217" eb="219">
      <t>クミカエ</t>
    </rPh>
    <rPh sb="219" eb="220">
      <t>ヒョウ</t>
    </rPh>
    <rPh sb="222" eb="223">
      <t>ヒョウ</t>
    </rPh>
    <rPh sb="224" eb="226">
      <t>ウリアゲ</t>
    </rPh>
    <rPh sb="226" eb="228">
      <t>キンガク</t>
    </rPh>
    <rPh sb="229" eb="231">
      <t>チョクセツ</t>
    </rPh>
    <rPh sb="231" eb="232">
      <t>ツカ</t>
    </rPh>
    <phoneticPr fontId="14"/>
  </si>
  <si>
    <t>競馬、競輪、オートレース、競艇の売上金額で按分。国も経センは使っていない。
→前回表まで使用していた「民力2015」（資料室保存）は2015をもって廃刊。R2年表では経セン組替表第01表の売上金額をそのまま使用した。</t>
    <rPh sb="0" eb="2">
      <t>ケイバ</t>
    </rPh>
    <rPh sb="3" eb="5">
      <t>ケイリン</t>
    </rPh>
    <rPh sb="13" eb="15">
      <t>キョウテイ</t>
    </rPh>
    <rPh sb="16" eb="18">
      <t>ウリアゲ</t>
    </rPh>
    <rPh sb="18" eb="20">
      <t>キンガク</t>
    </rPh>
    <rPh sb="21" eb="23">
      <t>アンブン</t>
    </rPh>
    <rPh sb="24" eb="25">
      <t>クニ</t>
    </rPh>
    <rPh sb="26" eb="27">
      <t>ケイ</t>
    </rPh>
    <rPh sb="30" eb="31">
      <t>ツカ</t>
    </rPh>
    <rPh sb="39" eb="41">
      <t>ゼンカイ</t>
    </rPh>
    <rPh sb="41" eb="42">
      <t>ヒョウ</t>
    </rPh>
    <rPh sb="44" eb="46">
      <t>シヨウ</t>
    </rPh>
    <rPh sb="51" eb="53">
      <t>ミンリョク</t>
    </rPh>
    <rPh sb="59" eb="62">
      <t>シリョウシツ</t>
    </rPh>
    <rPh sb="62" eb="64">
      <t>ホゾン</t>
    </rPh>
    <rPh sb="74" eb="76">
      <t>ハイカン</t>
    </rPh>
    <rPh sb="79" eb="80">
      <t>ネン</t>
    </rPh>
    <rPh sb="80" eb="81">
      <t>ヒョウ</t>
    </rPh>
    <rPh sb="83" eb="84">
      <t>ケイ</t>
    </rPh>
    <rPh sb="86" eb="88">
      <t>クミカエ</t>
    </rPh>
    <rPh sb="88" eb="89">
      <t>ヒョウ</t>
    </rPh>
    <rPh sb="89" eb="90">
      <t>ダイ</t>
    </rPh>
    <rPh sb="92" eb="93">
      <t>ヒョウ</t>
    </rPh>
    <rPh sb="94" eb="96">
      <t>ウリアゲ</t>
    </rPh>
    <rPh sb="96" eb="98">
      <t>キンガク</t>
    </rPh>
    <rPh sb="103" eb="105">
      <t>シヨウ</t>
    </rPh>
    <phoneticPr fontId="14"/>
  </si>
  <si>
    <t>マニュアルに基づく方法。復元を行っている。別シートよりリンク。
ただし、経セン組替１９表では、産連の細分類ごとに表彰されていないので、経セン組替21表の売上高で按分し、細分類を作った。（Ｈ２６年度全国研究会議　内閣府資料に基づく）
Ｈ２６年度全国研究会議の資料１に基づき副業は加えない。
→R2年表作成時、復元も副業加算も行わないことにした。経セン組替表01表の売上金額を直接使った。</t>
    <rPh sb="36" eb="37">
      <t>ケイ</t>
    </rPh>
    <rPh sb="39" eb="41">
      <t>クミカエ</t>
    </rPh>
    <rPh sb="43" eb="44">
      <t>ヒョウ</t>
    </rPh>
    <rPh sb="47" eb="48">
      <t>サン</t>
    </rPh>
    <rPh sb="48" eb="49">
      <t>レン</t>
    </rPh>
    <rPh sb="50" eb="53">
      <t>サイブンルイ</t>
    </rPh>
    <rPh sb="56" eb="58">
      <t>ヒョウショウ</t>
    </rPh>
    <rPh sb="67" eb="68">
      <t>ケイ</t>
    </rPh>
    <rPh sb="70" eb="72">
      <t>クミカエ</t>
    </rPh>
    <rPh sb="76" eb="78">
      <t>ウリアゲ</t>
    </rPh>
    <rPh sb="78" eb="79">
      <t>ダカ</t>
    </rPh>
    <rPh sb="80" eb="82">
      <t>アンブン</t>
    </rPh>
    <rPh sb="84" eb="87">
      <t>サイブンルイ</t>
    </rPh>
    <rPh sb="88" eb="89">
      <t>ツク</t>
    </rPh>
    <rPh sb="96" eb="98">
      <t>ネンド</t>
    </rPh>
    <rPh sb="98" eb="100">
      <t>ゼンコク</t>
    </rPh>
    <rPh sb="100" eb="102">
      <t>ケンキュウ</t>
    </rPh>
    <rPh sb="102" eb="104">
      <t>カイギ</t>
    </rPh>
    <rPh sb="105" eb="107">
      <t>ナイカク</t>
    </rPh>
    <rPh sb="107" eb="108">
      <t>フ</t>
    </rPh>
    <rPh sb="108" eb="110">
      <t>シリョウ</t>
    </rPh>
    <rPh sb="111" eb="112">
      <t>モト</t>
    </rPh>
    <phoneticPr fontId="14"/>
  </si>
  <si>
    <t>6741-05</t>
    <phoneticPr fontId="15"/>
  </si>
  <si>
    <t>遊戯場・その他の娯楽</t>
  </si>
  <si>
    <t>（遊戯場）マニュアルp104中段に記載があるとおり、遊戯場は復元を行うよりも、国値按分するほうが適切であるとのことなので、カバレッジの広い経セン公式集計（産業横断）の従業者数を用いてそのように対応。（その他の娯楽）マニュアルに基づく方法。復元を行っている。別シートよりリンク。Ｈ２６年度全国研究会議の資料１に基づき副業は加えない。（その他の娯楽のうち「その他の娯楽業」）26年度全国研究会議で内閣府が示した推計方法に基づく。別ファイルよりリンク　→27年表も同様とする
→R2年表では、遊戯場とその他の娯楽が統一されて積み上げ項目も見直されている。前回までの推計方法を踏襲せず、経セン組替表の第01表の売上金額の対全国値比率で国CTを按分することにした。ただし、R7年表では国のR2表推計方法を参考に再検討した方が良いかもしれない。（今回は国の推計方法が不明なまま作成しているため。）</t>
    <rPh sb="1" eb="4">
      <t>ユウギジョウ</t>
    </rPh>
    <rPh sb="14" eb="16">
      <t>チュウダン</t>
    </rPh>
    <rPh sb="17" eb="19">
      <t>キサイ</t>
    </rPh>
    <rPh sb="26" eb="28">
      <t>ユウギ</t>
    </rPh>
    <rPh sb="28" eb="29">
      <t>ジョウ</t>
    </rPh>
    <rPh sb="30" eb="32">
      <t>フクゲン</t>
    </rPh>
    <rPh sb="33" eb="34">
      <t>オコナ</t>
    </rPh>
    <rPh sb="39" eb="41">
      <t>クニチ</t>
    </rPh>
    <rPh sb="41" eb="43">
      <t>アンブン</t>
    </rPh>
    <rPh sb="48" eb="50">
      <t>テキセツ</t>
    </rPh>
    <rPh sb="67" eb="68">
      <t>ヒロ</t>
    </rPh>
    <rPh sb="69" eb="70">
      <t>ケイ</t>
    </rPh>
    <rPh sb="72" eb="74">
      <t>コウシキ</t>
    </rPh>
    <rPh sb="74" eb="76">
      <t>シュウケイ</t>
    </rPh>
    <rPh sb="77" eb="79">
      <t>サンギョウ</t>
    </rPh>
    <rPh sb="79" eb="81">
      <t>オウダン</t>
    </rPh>
    <rPh sb="83" eb="84">
      <t>ジュウ</t>
    </rPh>
    <rPh sb="84" eb="87">
      <t>ギョウシャスウ</t>
    </rPh>
    <rPh sb="88" eb="89">
      <t>モチ</t>
    </rPh>
    <rPh sb="96" eb="98">
      <t>タイオウ</t>
    </rPh>
    <rPh sb="168" eb="169">
      <t>タ</t>
    </rPh>
    <rPh sb="170" eb="172">
      <t>ゴラク</t>
    </rPh>
    <rPh sb="178" eb="179">
      <t>タ</t>
    </rPh>
    <rPh sb="180" eb="183">
      <t>ゴラクギョウ</t>
    </rPh>
    <rPh sb="238" eb="239">
      <t>ネン</t>
    </rPh>
    <rPh sb="239" eb="240">
      <t>ヒョウ</t>
    </rPh>
    <rPh sb="243" eb="246">
      <t>ユウギジョウ</t>
    </rPh>
    <rPh sb="249" eb="250">
      <t>タ</t>
    </rPh>
    <rPh sb="251" eb="253">
      <t>ゴラク</t>
    </rPh>
    <rPh sb="254" eb="256">
      <t>トウイツ</t>
    </rPh>
    <rPh sb="259" eb="260">
      <t>ツ</t>
    </rPh>
    <rPh sb="261" eb="262">
      <t>ア</t>
    </rPh>
    <rPh sb="263" eb="265">
      <t>コウモク</t>
    </rPh>
    <rPh sb="266" eb="268">
      <t>ミナオ</t>
    </rPh>
    <rPh sb="274" eb="276">
      <t>ゼンカイ</t>
    </rPh>
    <rPh sb="279" eb="281">
      <t>スイケイ</t>
    </rPh>
    <rPh sb="281" eb="283">
      <t>ホウホウ</t>
    </rPh>
    <rPh sb="284" eb="286">
      <t>トウシュウ</t>
    </rPh>
    <rPh sb="289" eb="290">
      <t>ケイ</t>
    </rPh>
    <rPh sb="292" eb="294">
      <t>クミカエ</t>
    </rPh>
    <rPh sb="294" eb="295">
      <t>ヒョウ</t>
    </rPh>
    <rPh sb="296" eb="297">
      <t>ダイ</t>
    </rPh>
    <rPh sb="299" eb="300">
      <t>ヒョウ</t>
    </rPh>
    <rPh sb="301" eb="303">
      <t>ウリアゲ</t>
    </rPh>
    <rPh sb="303" eb="305">
      <t>キンガク</t>
    </rPh>
    <rPh sb="306" eb="307">
      <t>タイ</t>
    </rPh>
    <rPh sb="307" eb="309">
      <t>ゼンコク</t>
    </rPh>
    <rPh sb="309" eb="310">
      <t>チ</t>
    </rPh>
    <rPh sb="310" eb="312">
      <t>ヒリツ</t>
    </rPh>
    <rPh sb="313" eb="314">
      <t>クニ</t>
    </rPh>
    <rPh sb="317" eb="319">
      <t>アンブン</t>
    </rPh>
    <rPh sb="333" eb="334">
      <t>ネン</t>
    </rPh>
    <rPh sb="334" eb="335">
      <t>ヒョウ</t>
    </rPh>
    <rPh sb="337" eb="338">
      <t>クニ</t>
    </rPh>
    <rPh sb="341" eb="342">
      <t>ヒョウ</t>
    </rPh>
    <rPh sb="342" eb="344">
      <t>スイケイ</t>
    </rPh>
    <rPh sb="344" eb="346">
      <t>ホウホウ</t>
    </rPh>
    <rPh sb="347" eb="349">
      <t>サンコウ</t>
    </rPh>
    <rPh sb="350" eb="353">
      <t>サイケントウ</t>
    </rPh>
    <rPh sb="355" eb="356">
      <t>ホウ</t>
    </rPh>
    <rPh sb="357" eb="358">
      <t>ヨ</t>
    </rPh>
    <rPh sb="367" eb="369">
      <t>コンカイ</t>
    </rPh>
    <rPh sb="370" eb="371">
      <t>クニ</t>
    </rPh>
    <rPh sb="372" eb="374">
      <t>スイケイ</t>
    </rPh>
    <rPh sb="374" eb="376">
      <t>ホウホウ</t>
    </rPh>
    <rPh sb="377" eb="379">
      <t>フメイ</t>
    </rPh>
    <rPh sb="382" eb="384">
      <t>サクセイ</t>
    </rPh>
    <phoneticPr fontId="14"/>
  </si>
  <si>
    <t>　パチンコ・パチスロサービス</t>
    <phoneticPr fontId="5"/>
  </si>
  <si>
    <t>　ゲームセンター利用サービス</t>
    <phoneticPr fontId="5"/>
  </si>
  <si>
    <t>　カラオケボックス利用サービス</t>
    <phoneticPr fontId="5"/>
  </si>
  <si>
    <t>　インターネットカフェ利用サービス</t>
    <phoneticPr fontId="5"/>
  </si>
  <si>
    <t>　その他の娯楽施設利用サービス</t>
    <phoneticPr fontId="5"/>
  </si>
  <si>
    <t>　集会場賃貸サービス（遊戯場・その他の娯楽）</t>
    <phoneticPr fontId="5"/>
  </si>
  <si>
    <t>　著述家・芸術家の制作サービス</t>
    <phoneticPr fontId="5"/>
  </si>
  <si>
    <t>301～302</t>
    <phoneticPr fontId="5"/>
  </si>
  <si>
    <t>　プレイガイドサービス～他に分類されない娯楽サービス</t>
    <rPh sb="12" eb="13">
      <t>タ</t>
    </rPh>
    <rPh sb="14" eb="16">
      <t>ブンルイ</t>
    </rPh>
    <rPh sb="20" eb="22">
      <t>ゴラク</t>
    </rPh>
    <phoneticPr fontId="5"/>
  </si>
  <si>
    <t>　音楽の娯楽作品原本（遊戯場・その他の娯楽）</t>
    <phoneticPr fontId="5"/>
  </si>
  <si>
    <t>経セン組替表01表に項目がなかったため、上記の「カラオケボックス利用サービス」の比率を採用。</t>
    <rPh sb="0" eb="1">
      <t>ケイ</t>
    </rPh>
    <rPh sb="3" eb="5">
      <t>クミカエ</t>
    </rPh>
    <rPh sb="5" eb="6">
      <t>ヒョウ</t>
    </rPh>
    <rPh sb="8" eb="9">
      <t>ヒョウ</t>
    </rPh>
    <rPh sb="10" eb="12">
      <t>コウモク</t>
    </rPh>
    <rPh sb="20" eb="22">
      <t>ジョウキ</t>
    </rPh>
    <rPh sb="32" eb="34">
      <t>リヨウ</t>
    </rPh>
    <rPh sb="40" eb="42">
      <t>ヒリツ</t>
    </rPh>
    <rPh sb="43" eb="45">
      <t>サイヨウ</t>
    </rPh>
    <phoneticPr fontId="5"/>
  </si>
  <si>
    <t>　書籍の娯楽作品原本（遊戯場・その他の娯楽）</t>
    <phoneticPr fontId="5"/>
  </si>
  <si>
    <t>経セン組替表01表に項目がなかったため、上記の「インターネットカフェ利用サービス」の比率を採用。</t>
    <rPh sb="0" eb="1">
      <t>ケイ</t>
    </rPh>
    <rPh sb="3" eb="5">
      <t>クミカエ</t>
    </rPh>
    <rPh sb="5" eb="6">
      <t>ヒョウ</t>
    </rPh>
    <rPh sb="8" eb="9">
      <t>ヒョウ</t>
    </rPh>
    <rPh sb="10" eb="12">
      <t>コウモク</t>
    </rPh>
    <rPh sb="20" eb="22">
      <t>ジョウキ</t>
    </rPh>
    <rPh sb="34" eb="36">
      <t>リヨウ</t>
    </rPh>
    <rPh sb="42" eb="44">
      <t>ヒリツ</t>
    </rPh>
    <rPh sb="45" eb="47">
      <t>サイヨウ</t>
    </rPh>
    <phoneticPr fontId="5"/>
  </si>
  <si>
    <t>6751-01</t>
    <phoneticPr fontId="15"/>
  </si>
  <si>
    <t>6751-011</t>
    <phoneticPr fontId="5"/>
  </si>
  <si>
    <t>サービス業の復元推計を行っている。復元処理は別シートにて行い、この表へリンクさせている。なお、全国表では「産業動物向け」と「産業動物向け以外」の細品目分類が表章されているが、復元処理に用いる経セン（組替表も公式集計も）獣医業一本でしか表彰されていないので、それに合わせた。H26年度全国研究会議の資料１に基づき、副業は加えない。
→R2年表作成時、復元も副業加算も行わないことにした。</t>
    <rPh sb="4" eb="5">
      <t>ギョウ</t>
    </rPh>
    <rPh sb="6" eb="8">
      <t>フクゲン</t>
    </rPh>
    <rPh sb="8" eb="10">
      <t>スイケイ</t>
    </rPh>
    <rPh sb="11" eb="12">
      <t>オコナ</t>
    </rPh>
    <rPh sb="17" eb="19">
      <t>フクゲン</t>
    </rPh>
    <rPh sb="19" eb="21">
      <t>ショリ</t>
    </rPh>
    <rPh sb="22" eb="23">
      <t>ベツ</t>
    </rPh>
    <rPh sb="28" eb="29">
      <t>オコナ</t>
    </rPh>
    <rPh sb="33" eb="34">
      <t>ヒョウ</t>
    </rPh>
    <rPh sb="47" eb="49">
      <t>ゼンコク</t>
    </rPh>
    <rPh sb="49" eb="50">
      <t>ヒョウ</t>
    </rPh>
    <rPh sb="53" eb="55">
      <t>サンギョウ</t>
    </rPh>
    <rPh sb="55" eb="57">
      <t>ドウブツ</t>
    </rPh>
    <rPh sb="57" eb="58">
      <t>ム</t>
    </rPh>
    <rPh sb="62" eb="64">
      <t>サンギョウ</t>
    </rPh>
    <rPh sb="64" eb="66">
      <t>ドウブツ</t>
    </rPh>
    <rPh sb="66" eb="67">
      <t>ム</t>
    </rPh>
    <rPh sb="68" eb="70">
      <t>イガイ</t>
    </rPh>
    <rPh sb="72" eb="73">
      <t>サイ</t>
    </rPh>
    <rPh sb="73" eb="75">
      <t>ヒンモク</t>
    </rPh>
    <rPh sb="75" eb="77">
      <t>ブンルイ</t>
    </rPh>
    <rPh sb="78" eb="79">
      <t>ヒョウ</t>
    </rPh>
    <rPh sb="79" eb="80">
      <t>ショウ</t>
    </rPh>
    <rPh sb="87" eb="89">
      <t>フクゲン</t>
    </rPh>
    <rPh sb="89" eb="91">
      <t>ショリ</t>
    </rPh>
    <rPh sb="92" eb="93">
      <t>モチ</t>
    </rPh>
    <rPh sb="95" eb="96">
      <t>ケイ</t>
    </rPh>
    <rPh sb="99" eb="101">
      <t>クミカエ</t>
    </rPh>
    <rPh sb="101" eb="102">
      <t>ヒョウ</t>
    </rPh>
    <rPh sb="103" eb="105">
      <t>コウシキ</t>
    </rPh>
    <rPh sb="105" eb="107">
      <t>シュウケイ</t>
    </rPh>
    <rPh sb="109" eb="111">
      <t>ジュウイ</t>
    </rPh>
    <rPh sb="112" eb="114">
      <t>イッポン</t>
    </rPh>
    <rPh sb="117" eb="119">
      <t>ヒョウショウ</t>
    </rPh>
    <rPh sb="131" eb="132">
      <t>ア</t>
    </rPh>
    <rPh sb="139" eb="141">
      <t>ネンド</t>
    </rPh>
    <rPh sb="141" eb="143">
      <t>ゼンコク</t>
    </rPh>
    <rPh sb="143" eb="145">
      <t>ケンキュウ</t>
    </rPh>
    <rPh sb="145" eb="147">
      <t>カイギ</t>
    </rPh>
    <rPh sb="148" eb="150">
      <t>シリョウ</t>
    </rPh>
    <rPh sb="152" eb="153">
      <t>モト</t>
    </rPh>
    <rPh sb="156" eb="158">
      <t>フクギョウ</t>
    </rPh>
    <rPh sb="159" eb="160">
      <t>クワ</t>
    </rPh>
    <phoneticPr fontId="14"/>
  </si>
  <si>
    <t>マニュアルに基づく方法。復元を行っている。別シートよりリンク。Ｈ２６年度全国研究会議の資料１に基づき副業は加えない。
→R2年表作成時、復元も副業加算も行わないことにした。</t>
    <phoneticPr fontId="14"/>
  </si>
  <si>
    <t>経セン組替第01表</t>
    <rPh sb="5" eb="6">
      <t>ダイ</t>
    </rPh>
    <phoneticPr fontId="5"/>
  </si>
  <si>
    <t>マニュアルに基づく方法。復元を行っている。別シートよりリンク。Ｈ２６年度全国研究会議　資料１に基づき、副業加算した。
→R2年表作成時、復元も副業加算も行わないことにした。</t>
    <phoneticPr fontId="14"/>
  </si>
  <si>
    <t>　自転車駐輪場サービス</t>
    <phoneticPr fontId="5"/>
  </si>
  <si>
    <t>経セン組替表01表の売上額を直接計上した。</t>
    <rPh sb="0" eb="1">
      <t>ケイ</t>
    </rPh>
    <rPh sb="3" eb="5">
      <t>クミカエ</t>
    </rPh>
    <rPh sb="5" eb="6">
      <t>ヒョウ</t>
    </rPh>
    <rPh sb="8" eb="9">
      <t>ヒョウ</t>
    </rPh>
    <rPh sb="10" eb="13">
      <t>ウリアゲガク</t>
    </rPh>
    <rPh sb="14" eb="16">
      <t>チョクセツ</t>
    </rPh>
    <rPh sb="16" eb="18">
      <t>ケイジョウ</t>
    </rPh>
    <phoneticPr fontId="5"/>
  </si>
  <si>
    <t>　コインロッカー・一時荷物預かりサービス</t>
    <phoneticPr fontId="5"/>
  </si>
  <si>
    <t>マニュアルに基づく方法。復元を行っている。別シートよりリンク。Ｈ２６年度全国研究会議の資料１に基づき副業は加えない。
→R2表では復元は行わず売上額を直接計上した。</t>
    <rPh sb="62" eb="63">
      <t>ヒョウ</t>
    </rPh>
    <rPh sb="65" eb="67">
      <t>フクゲン</t>
    </rPh>
    <rPh sb="68" eb="69">
      <t>オコナ</t>
    </rPh>
    <rPh sb="71" eb="74">
      <t>ウリアゲガク</t>
    </rPh>
    <rPh sb="75" eb="77">
      <t>チョクセツ</t>
    </rPh>
    <rPh sb="77" eb="79">
      <t>ケイジョウ</t>
    </rPh>
    <phoneticPr fontId="5"/>
  </si>
  <si>
    <t>　動物に対する非医療・非保健サービス</t>
    <phoneticPr fontId="5"/>
  </si>
  <si>
    <t>　写真プリント・現像・焼付（ＤＰＥ）サービス</t>
    <phoneticPr fontId="5"/>
  </si>
  <si>
    <t>　金券買取販売サービス</t>
    <phoneticPr fontId="5"/>
  </si>
  <si>
    <t>　結婚相談・結婚式場紹介・結婚式プロデュースサービス</t>
    <phoneticPr fontId="5"/>
  </si>
  <si>
    <t>H27表までは復元を行っていたが、R2表では復元は行わず、売上額を直接計上した。</t>
    <rPh sb="3" eb="4">
      <t>ヒョウ</t>
    </rPh>
    <rPh sb="7" eb="9">
      <t>フクゲン</t>
    </rPh>
    <rPh sb="10" eb="11">
      <t>オコナ</t>
    </rPh>
    <rPh sb="19" eb="20">
      <t>ヒョウ</t>
    </rPh>
    <rPh sb="22" eb="24">
      <t>フクゲン</t>
    </rPh>
    <rPh sb="25" eb="26">
      <t>オコナ</t>
    </rPh>
    <rPh sb="29" eb="32">
      <t>ウリアゲガク</t>
    </rPh>
    <rPh sb="33" eb="35">
      <t>チョクセツ</t>
    </rPh>
    <rPh sb="35" eb="37">
      <t>ケイジョウ</t>
    </rPh>
    <phoneticPr fontId="5"/>
  </si>
  <si>
    <t>　造園・植木業（請負によるもの）</t>
    <phoneticPr fontId="5"/>
  </si>
  <si>
    <t>この項目は日本産業分類上、農業に分類されているため、経セン公式集計のサービス関連産業Ｂに出てこない。このため、復元推計をすることができないため（する必要がないとも言えるか）、経セン組替集計の売上高をもって生産額とする。これはH26年度全国研究会議における内閣府担当資料の方法に基づく。　→27年表、R2年表も同様とする。</t>
    <phoneticPr fontId="5"/>
  </si>
  <si>
    <t>　ハウスクリーニングサービス</t>
    <phoneticPr fontId="5"/>
  </si>
  <si>
    <t>　他に分類されない生活関連サービス</t>
    <phoneticPr fontId="5"/>
  </si>
  <si>
    <t>経セン組替01表、R2小規模事業所勤労統計調査（毎月勤労統計特別調査の代替調査）、R2国勢調査抽出詳細集計、R1,R2市町決算統計書</t>
    <rPh sb="11" eb="14">
      <t>ショウキボ</t>
    </rPh>
    <rPh sb="14" eb="17">
      <t>ジギョウショ</t>
    </rPh>
    <rPh sb="17" eb="19">
      <t>キンロウ</t>
    </rPh>
    <rPh sb="19" eb="21">
      <t>トウケイ</t>
    </rPh>
    <rPh sb="21" eb="23">
      <t>チョウサ</t>
    </rPh>
    <rPh sb="24" eb="26">
      <t>マイツキ</t>
    </rPh>
    <rPh sb="26" eb="28">
      <t>キンロウ</t>
    </rPh>
    <rPh sb="28" eb="30">
      <t>トウケイ</t>
    </rPh>
    <rPh sb="30" eb="32">
      <t>トクベツ</t>
    </rPh>
    <rPh sb="32" eb="34">
      <t>チョウサ</t>
    </rPh>
    <rPh sb="35" eb="37">
      <t>ダイタイ</t>
    </rPh>
    <rPh sb="37" eb="39">
      <t>チョウサ</t>
    </rPh>
    <rPh sb="43" eb="45">
      <t>コクセイ</t>
    </rPh>
    <rPh sb="45" eb="47">
      <t>チョウサ</t>
    </rPh>
    <rPh sb="47" eb="49">
      <t>チュウシュツ</t>
    </rPh>
    <rPh sb="49" eb="51">
      <t>ショウサイ</t>
    </rPh>
    <rPh sb="51" eb="53">
      <t>シュウケイ</t>
    </rPh>
    <rPh sb="59" eb="61">
      <t>シチョウ</t>
    </rPh>
    <rPh sb="61" eb="63">
      <t>ケッサン</t>
    </rPh>
    <rPh sb="63" eb="66">
      <t>トウケイショ</t>
    </rPh>
    <phoneticPr fontId="14"/>
  </si>
  <si>
    <t>H26年度全国研究会議の内閣府資料によると、この部門は①食品賃加工、②結婚相談・式場紹介、③その他の生活関連サービス、④家事サービス業、⑤宝くじ生産額から構成される。①～③は復元を行っている。④⑤は別ファイルで推計し、リンクしている。
→（R2表作成時）「02_推計個別ファイル」の「その他の対個人サービス」フォルダ内ファイル参照。復元はなしとした。①については組替表の分類からなくなっていることから、計上しなかった。</t>
    <rPh sb="3" eb="5">
      <t>ネンド</t>
    </rPh>
    <rPh sb="5" eb="7">
      <t>ゼンコク</t>
    </rPh>
    <rPh sb="7" eb="9">
      <t>ケンキュウ</t>
    </rPh>
    <rPh sb="9" eb="11">
      <t>カイギ</t>
    </rPh>
    <rPh sb="12" eb="14">
      <t>ナイカク</t>
    </rPh>
    <rPh sb="14" eb="15">
      <t>フ</t>
    </rPh>
    <rPh sb="15" eb="17">
      <t>シリョウ</t>
    </rPh>
    <rPh sb="24" eb="26">
      <t>ブモン</t>
    </rPh>
    <rPh sb="105" eb="107">
      <t>スイケイ</t>
    </rPh>
    <rPh sb="122" eb="123">
      <t>ヒョウ</t>
    </rPh>
    <rPh sb="123" eb="126">
      <t>サクセイジ</t>
    </rPh>
    <rPh sb="131" eb="133">
      <t>スイケイ</t>
    </rPh>
    <rPh sb="133" eb="135">
      <t>コベツ</t>
    </rPh>
    <rPh sb="144" eb="145">
      <t>タ</t>
    </rPh>
    <rPh sb="146" eb="147">
      <t>タイ</t>
    </rPh>
    <rPh sb="147" eb="149">
      <t>コジン</t>
    </rPh>
    <rPh sb="158" eb="159">
      <t>ナイ</t>
    </rPh>
    <rPh sb="163" eb="165">
      <t>サンショウ</t>
    </rPh>
    <rPh sb="166" eb="168">
      <t>フクゲン</t>
    </rPh>
    <rPh sb="181" eb="183">
      <t>クミカエ</t>
    </rPh>
    <rPh sb="183" eb="184">
      <t>ヒョウ</t>
    </rPh>
    <rPh sb="185" eb="187">
      <t>ブンルイ</t>
    </rPh>
    <rPh sb="201" eb="203">
      <t>ケイジョウ</t>
    </rPh>
    <phoneticPr fontId="14"/>
  </si>
  <si>
    <t>２次県取引基本表</t>
    <rPh sb="1" eb="2">
      <t>ジ</t>
    </rPh>
    <rPh sb="2" eb="3">
      <t>ケン</t>
    </rPh>
    <rPh sb="3" eb="5">
      <t>トリヒキ</t>
    </rPh>
    <rPh sb="5" eb="7">
      <t>キホン</t>
    </rPh>
    <rPh sb="7" eb="8">
      <t>ヒョウ</t>
    </rPh>
    <phoneticPr fontId="14"/>
  </si>
  <si>
    <t>県の投入係数表を完成させた後でないと入力できないので当初は前回値仮置きしておく。
基本分類ベースの投入係数を確定させると、自動的に基本分類ベースの取引基本表も完成する。
この取引基本表における各列部門の、事務用品部門への中間投入の合計を本品目のＣＴとする。
これは、3921再生資源回収・加工処理と同じ考え方なのだが、２次県取引基本表からリンクさせようとすると循環参照になってしまうので、手入力している。</t>
    <rPh sb="0" eb="1">
      <t>ケン</t>
    </rPh>
    <rPh sb="2" eb="4">
      <t>トウニュウ</t>
    </rPh>
    <rPh sb="4" eb="6">
      <t>ケイスウ</t>
    </rPh>
    <rPh sb="6" eb="7">
      <t>ヒョウ</t>
    </rPh>
    <rPh sb="8" eb="10">
      <t>カンセイ</t>
    </rPh>
    <rPh sb="13" eb="14">
      <t>アト</t>
    </rPh>
    <rPh sb="18" eb="20">
      <t>ニュウリョク</t>
    </rPh>
    <rPh sb="26" eb="28">
      <t>トウショ</t>
    </rPh>
    <rPh sb="29" eb="31">
      <t>ゼンカイ</t>
    </rPh>
    <rPh sb="31" eb="32">
      <t>チ</t>
    </rPh>
    <rPh sb="32" eb="33">
      <t>カリ</t>
    </rPh>
    <rPh sb="33" eb="34">
      <t>オ</t>
    </rPh>
    <rPh sb="41" eb="43">
      <t>キホン</t>
    </rPh>
    <rPh sb="43" eb="45">
      <t>ブンルイ</t>
    </rPh>
    <rPh sb="49" eb="51">
      <t>トウニュウ</t>
    </rPh>
    <rPh sb="51" eb="53">
      <t>ケイスウ</t>
    </rPh>
    <rPh sb="54" eb="56">
      <t>カクテイ</t>
    </rPh>
    <rPh sb="61" eb="64">
      <t>ジドウテキ</t>
    </rPh>
    <rPh sb="65" eb="67">
      <t>キホン</t>
    </rPh>
    <rPh sb="67" eb="69">
      <t>ブンルイ</t>
    </rPh>
    <rPh sb="73" eb="75">
      <t>トリヒキ</t>
    </rPh>
    <rPh sb="75" eb="77">
      <t>キホン</t>
    </rPh>
    <rPh sb="77" eb="78">
      <t>ヒョウ</t>
    </rPh>
    <rPh sb="79" eb="81">
      <t>カンセイ</t>
    </rPh>
    <rPh sb="87" eb="89">
      <t>トリヒキ</t>
    </rPh>
    <rPh sb="89" eb="91">
      <t>キホン</t>
    </rPh>
    <rPh sb="91" eb="92">
      <t>ヒョウ</t>
    </rPh>
    <rPh sb="96" eb="98">
      <t>カクレツ</t>
    </rPh>
    <rPh sb="98" eb="100">
      <t>ブモン</t>
    </rPh>
    <rPh sb="102" eb="104">
      <t>ジム</t>
    </rPh>
    <rPh sb="104" eb="106">
      <t>ヨウヒン</t>
    </rPh>
    <rPh sb="106" eb="108">
      <t>ブモン</t>
    </rPh>
    <rPh sb="110" eb="114">
      <t>チュウカントウニュウ</t>
    </rPh>
    <rPh sb="115" eb="117">
      <t>ゴウケイ</t>
    </rPh>
    <rPh sb="118" eb="119">
      <t>ホン</t>
    </rPh>
    <rPh sb="119" eb="121">
      <t>ヒンモク</t>
    </rPh>
    <rPh sb="137" eb="139">
      <t>サイセイ</t>
    </rPh>
    <rPh sb="139" eb="141">
      <t>シゲン</t>
    </rPh>
    <rPh sb="141" eb="143">
      <t>カイシュウ</t>
    </rPh>
    <rPh sb="144" eb="146">
      <t>カコウ</t>
    </rPh>
    <rPh sb="146" eb="148">
      <t>ショリ</t>
    </rPh>
    <rPh sb="149" eb="150">
      <t>オナ</t>
    </rPh>
    <rPh sb="151" eb="152">
      <t>カンガ</t>
    </rPh>
    <rPh sb="153" eb="154">
      <t>カタ</t>
    </rPh>
    <rPh sb="160" eb="161">
      <t>ジ</t>
    </rPh>
    <rPh sb="161" eb="162">
      <t>ケン</t>
    </rPh>
    <rPh sb="162" eb="164">
      <t>トリヒキ</t>
    </rPh>
    <rPh sb="164" eb="166">
      <t>キホン</t>
    </rPh>
    <rPh sb="166" eb="167">
      <t>ヒョウ</t>
    </rPh>
    <rPh sb="180" eb="182">
      <t>ジュンカン</t>
    </rPh>
    <rPh sb="182" eb="184">
      <t>サンショウ</t>
    </rPh>
    <rPh sb="194" eb="195">
      <t>テ</t>
    </rPh>
    <rPh sb="195" eb="197">
      <t>ニュウリョク</t>
    </rPh>
    <phoneticPr fontId="14"/>
  </si>
  <si>
    <t>県の投入係数表を完成させた後でないと入力できないので当初は前回値仮置きしておく。
基本分類ベースの投入係数を確定させると、自動的に基本分類ベースの取引基本表も完成する。
この取引基本表における各列部門の、分類不明部門への中間投入の合計を本品目のＣＴとする。
これは、3921再生資源回収・加工処理と同じ考え方なのだが、２次県取引基本表からリンクさせようとすると循環参照になってしまうので、手入力している。
またバランス調整時の調整部門でもあるので、再び数値は変わると思われる。</t>
    <rPh sb="0" eb="1">
      <t>ケン</t>
    </rPh>
    <rPh sb="2" eb="4">
      <t>トウニュウ</t>
    </rPh>
    <rPh sb="4" eb="6">
      <t>ケイスウ</t>
    </rPh>
    <rPh sb="6" eb="7">
      <t>ヒョウ</t>
    </rPh>
    <rPh sb="8" eb="10">
      <t>カンセイ</t>
    </rPh>
    <rPh sb="13" eb="14">
      <t>アト</t>
    </rPh>
    <rPh sb="18" eb="20">
      <t>ニュウリョク</t>
    </rPh>
    <rPh sb="26" eb="28">
      <t>トウショ</t>
    </rPh>
    <rPh sb="29" eb="31">
      <t>ゼンカイ</t>
    </rPh>
    <rPh sb="31" eb="32">
      <t>チ</t>
    </rPh>
    <rPh sb="32" eb="33">
      <t>カリ</t>
    </rPh>
    <rPh sb="33" eb="34">
      <t>オ</t>
    </rPh>
    <rPh sb="41" eb="43">
      <t>キホン</t>
    </rPh>
    <rPh sb="43" eb="45">
      <t>ブンルイ</t>
    </rPh>
    <rPh sb="49" eb="51">
      <t>トウニュウ</t>
    </rPh>
    <rPh sb="51" eb="53">
      <t>ケイスウ</t>
    </rPh>
    <rPh sb="54" eb="56">
      <t>カクテイ</t>
    </rPh>
    <rPh sb="61" eb="64">
      <t>ジドウテキ</t>
    </rPh>
    <rPh sb="65" eb="67">
      <t>キホン</t>
    </rPh>
    <rPh sb="67" eb="69">
      <t>ブンルイ</t>
    </rPh>
    <rPh sb="73" eb="75">
      <t>トリヒキ</t>
    </rPh>
    <rPh sb="75" eb="77">
      <t>キホン</t>
    </rPh>
    <rPh sb="77" eb="78">
      <t>ヒョウ</t>
    </rPh>
    <rPh sb="79" eb="81">
      <t>カンセイ</t>
    </rPh>
    <rPh sb="87" eb="89">
      <t>トリヒキ</t>
    </rPh>
    <rPh sb="89" eb="91">
      <t>キホン</t>
    </rPh>
    <rPh sb="91" eb="92">
      <t>ヒョウ</t>
    </rPh>
    <rPh sb="96" eb="98">
      <t>カクレツ</t>
    </rPh>
    <rPh sb="98" eb="100">
      <t>ブモン</t>
    </rPh>
    <rPh sb="102" eb="104">
      <t>ブンルイ</t>
    </rPh>
    <rPh sb="104" eb="106">
      <t>フメイ</t>
    </rPh>
    <rPh sb="106" eb="108">
      <t>ブモン</t>
    </rPh>
    <rPh sb="110" eb="114">
      <t>チュウカントウニュウ</t>
    </rPh>
    <rPh sb="115" eb="117">
      <t>ゴウケイ</t>
    </rPh>
    <rPh sb="118" eb="119">
      <t>ホン</t>
    </rPh>
    <rPh sb="119" eb="121">
      <t>ヒンモク</t>
    </rPh>
    <rPh sb="137" eb="139">
      <t>サイセイ</t>
    </rPh>
    <rPh sb="139" eb="141">
      <t>シゲン</t>
    </rPh>
    <rPh sb="141" eb="143">
      <t>カイシュウ</t>
    </rPh>
    <rPh sb="144" eb="146">
      <t>カコウ</t>
    </rPh>
    <rPh sb="146" eb="148">
      <t>ショリ</t>
    </rPh>
    <rPh sb="149" eb="150">
      <t>オナ</t>
    </rPh>
    <rPh sb="151" eb="152">
      <t>カンガ</t>
    </rPh>
    <rPh sb="153" eb="154">
      <t>カタ</t>
    </rPh>
    <rPh sb="160" eb="161">
      <t>ジ</t>
    </rPh>
    <rPh sb="161" eb="162">
      <t>ケン</t>
    </rPh>
    <rPh sb="162" eb="164">
      <t>トリヒキ</t>
    </rPh>
    <rPh sb="164" eb="166">
      <t>キホン</t>
    </rPh>
    <rPh sb="166" eb="167">
      <t>ヒョウ</t>
    </rPh>
    <rPh sb="180" eb="182">
      <t>ジュンカン</t>
    </rPh>
    <rPh sb="182" eb="184">
      <t>サンショウ</t>
    </rPh>
    <rPh sb="194" eb="195">
      <t>テ</t>
    </rPh>
    <rPh sb="195" eb="197">
      <t>ニュウリョク</t>
    </rPh>
    <rPh sb="209" eb="211">
      <t>チョウセイ</t>
    </rPh>
    <rPh sb="211" eb="212">
      <t>ジ</t>
    </rPh>
    <rPh sb="213" eb="215">
      <t>チョウセイ</t>
    </rPh>
    <rPh sb="215" eb="217">
      <t>ブモン</t>
    </rPh>
    <rPh sb="224" eb="225">
      <t>フタタ</t>
    </rPh>
    <rPh sb="226" eb="228">
      <t>スウチ</t>
    </rPh>
    <rPh sb="229" eb="230">
      <t>カ</t>
    </rPh>
    <rPh sb="233" eb="234">
      <t>オモ</t>
    </rPh>
    <phoneticPr fontId="14"/>
  </si>
  <si>
    <t>令和２年兵庫県産業連関表</t>
    <rPh sb="0" eb="2">
      <t>レイワ</t>
    </rPh>
    <phoneticPr fontId="33"/>
  </si>
  <si>
    <t>雇用表(付帯表）</t>
  </si>
  <si>
    <t>（単位：人）</t>
  </si>
  <si>
    <t>従業者総数</t>
    <phoneticPr fontId="33"/>
  </si>
  <si>
    <t>有給役員・
雇用者</t>
    <rPh sb="6" eb="9">
      <t>コヨウシャ</t>
    </rPh>
    <phoneticPr fontId="33"/>
  </si>
  <si>
    <t>正社員・
正職員</t>
    <rPh sb="5" eb="8">
      <t>セイショクイン</t>
    </rPh>
    <phoneticPr fontId="33"/>
  </si>
  <si>
    <t>正社員・
正職員以外</t>
    <phoneticPr fontId="33"/>
  </si>
  <si>
    <t>6751</t>
  </si>
  <si>
    <t>R3経セン活動調査公式集計、電力統計調査</t>
    <rPh sb="2" eb="3">
      <t>ケイ</t>
    </rPh>
    <rPh sb="5" eb="7">
      <t>カツドウ</t>
    </rPh>
    <rPh sb="7" eb="9">
      <t>チョウサ</t>
    </rPh>
    <rPh sb="9" eb="11">
      <t>コウシキ</t>
    </rPh>
    <rPh sb="11" eb="13">
      <t>シュウケイ</t>
    </rPh>
    <rPh sb="14" eb="16">
      <t>デンリョク</t>
    </rPh>
    <rPh sb="16" eb="18">
      <t>トウケイ</t>
    </rPh>
    <rPh sb="18" eb="20">
      <t>チョウサ</t>
    </rPh>
    <phoneticPr fontId="5"/>
  </si>
  <si>
    <t>雇用表(付帯表）統合中分類</t>
    <rPh sb="8" eb="10">
      <t>トウゴウ</t>
    </rPh>
    <rPh sb="10" eb="13">
      <t>チュウブンルイ</t>
    </rPh>
    <phoneticPr fontId="33"/>
  </si>
  <si>
    <t>自動計算</t>
    <rPh sb="0" eb="2">
      <t>ジドウ</t>
    </rPh>
    <rPh sb="2" eb="4">
      <t>ケイサン</t>
    </rPh>
    <phoneticPr fontId="33"/>
  </si>
  <si>
    <t>最終調整後</t>
    <rPh sb="0" eb="2">
      <t>サイシュウ</t>
    </rPh>
    <rPh sb="2" eb="4">
      <t>チョウセイ</t>
    </rPh>
    <rPh sb="4" eb="5">
      <t>アト</t>
    </rPh>
    <phoneticPr fontId="33"/>
  </si>
  <si>
    <t>基本分類（389部門）</t>
    <rPh sb="0" eb="2">
      <t>キホン</t>
    </rPh>
    <rPh sb="2" eb="4">
      <t>ブンルイ</t>
    </rPh>
    <rPh sb="3" eb="4">
      <t>タグイ</t>
    </rPh>
    <phoneticPr fontId="33"/>
  </si>
  <si>
    <t>小分類</t>
    <rPh sb="0" eb="3">
      <t>ショウブンルイ</t>
    </rPh>
    <phoneticPr fontId="33"/>
  </si>
  <si>
    <t>中分類</t>
    <rPh sb="0" eb="3">
      <t>チュウブンルイ</t>
    </rPh>
    <phoneticPr fontId="33"/>
  </si>
  <si>
    <t>大分類</t>
    <rPh sb="0" eb="1">
      <t>ダイ</t>
    </rPh>
    <rPh sb="1" eb="3">
      <t>ブンルイ</t>
    </rPh>
    <phoneticPr fontId="33"/>
  </si>
  <si>
    <t>コード</t>
    <phoneticPr fontId="33"/>
  </si>
  <si>
    <t>01</t>
  </si>
  <si>
    <t>02</t>
  </si>
  <si>
    <t>特用林産物（狩猟業を含む。）</t>
  </si>
  <si>
    <t>03</t>
  </si>
  <si>
    <t>内水面養殖業</t>
  </si>
  <si>
    <t>06</t>
  </si>
  <si>
    <t>その他の鉱業</t>
    <rPh sb="2" eb="3">
      <t>タ</t>
    </rPh>
    <rPh sb="4" eb="6">
      <t>コウギョウ</t>
    </rPh>
    <phoneticPr fontId="36"/>
  </si>
  <si>
    <t>食肉</t>
  </si>
  <si>
    <t>その他の畜産食料品</t>
  </si>
  <si>
    <t>その他の水産食料品</t>
  </si>
  <si>
    <t>動植物油脂</t>
  </si>
  <si>
    <t>飲料</t>
    <rPh sb="0" eb="2">
      <t>インリョウ</t>
    </rPh>
    <phoneticPr fontId="36"/>
  </si>
  <si>
    <t>ビール類</t>
  </si>
  <si>
    <t>ウイスキー類</t>
  </si>
  <si>
    <t>有機質肥料（別掲を除く。）</t>
  </si>
  <si>
    <t>綿・スフ織物（合繊短繊維織物を含む。）</t>
  </si>
  <si>
    <t>絹・人絹織物（合繊長繊維織物を含む。）</t>
  </si>
  <si>
    <t>その他の織物</t>
  </si>
  <si>
    <t>衣服・その他の繊維既製品</t>
    <rPh sb="9" eb="10">
      <t>スデ</t>
    </rPh>
    <phoneticPr fontId="36"/>
  </si>
  <si>
    <t>木材・木製品</t>
    <rPh sb="0" eb="2">
      <t>モクザイ</t>
    </rPh>
    <phoneticPr fontId="35"/>
  </si>
  <si>
    <t>合板・集成材</t>
  </si>
  <si>
    <t>木製家具</t>
  </si>
  <si>
    <t>金属製家具</t>
  </si>
  <si>
    <t>その他の家具・装備品</t>
  </si>
  <si>
    <t>その他のパルプ・紙・紙加工品</t>
  </si>
  <si>
    <t>印刷・製版・製本</t>
    <rPh sb="3" eb="5">
      <t>セイハン</t>
    </rPh>
    <rPh sb="6" eb="8">
      <t>セイホン</t>
    </rPh>
    <phoneticPr fontId="36"/>
  </si>
  <si>
    <t>無機化学工業製品</t>
    <rPh sb="4" eb="6">
      <t>コウギョウ</t>
    </rPh>
    <rPh sb="6" eb="8">
      <t>セイヒン</t>
    </rPh>
    <phoneticPr fontId="36"/>
  </si>
  <si>
    <t>石油化学系基礎製品</t>
    <rPh sb="0" eb="2">
      <t>セキユ</t>
    </rPh>
    <rPh sb="4" eb="5">
      <t>ケイ</t>
    </rPh>
    <rPh sb="7" eb="9">
      <t>セイヒン</t>
    </rPh>
    <phoneticPr fontId="36"/>
  </si>
  <si>
    <t>石油化学系芳香族製品</t>
  </si>
  <si>
    <t>有機化学工業製品（石油化学系基礎製品・合成樹脂を除く。）</t>
    <phoneticPr fontId="33"/>
  </si>
  <si>
    <t>環式中間物・合成染料・有機顔料</t>
  </si>
  <si>
    <t>医薬品</t>
    <rPh sb="0" eb="3">
      <t>イヤクヒン</t>
    </rPh>
    <phoneticPr fontId="36"/>
  </si>
  <si>
    <t>化学最終製品（医薬品を除く。）</t>
    <rPh sb="7" eb="9">
      <t>イヤク</t>
    </rPh>
    <rPh sb="9" eb="10">
      <t>ヒン</t>
    </rPh>
    <phoneticPr fontId="36"/>
  </si>
  <si>
    <t>なめし革・革製品・毛皮</t>
    <rPh sb="5" eb="8">
      <t>カワセイヒン</t>
    </rPh>
    <rPh sb="9" eb="11">
      <t>ケガワ</t>
    </rPh>
    <phoneticPr fontId="36"/>
  </si>
  <si>
    <t>その他の窯業・土石製品</t>
    <phoneticPr fontId="33"/>
  </si>
  <si>
    <t>鋳鍛造品（鉄）</t>
    <rPh sb="5" eb="6">
      <t>テツ</t>
    </rPh>
    <phoneticPr fontId="36"/>
  </si>
  <si>
    <t>鋳鉄品・鍛工品（鉄）</t>
  </si>
  <si>
    <t>その他の鉄鋼製品</t>
    <rPh sb="2" eb="3">
      <t>タ</t>
    </rPh>
    <rPh sb="4" eb="6">
      <t>テッコウ</t>
    </rPh>
    <rPh sb="6" eb="8">
      <t>セイヒン</t>
    </rPh>
    <phoneticPr fontId="36"/>
  </si>
  <si>
    <t>鉛・亜鉛（再生を含む。）</t>
  </si>
  <si>
    <t>アルミニウム（再生を含む。）</t>
  </si>
  <si>
    <t>建設用・建築用金属製品</t>
    <rPh sb="2" eb="3">
      <t>ヨウ</t>
    </rPh>
    <phoneticPr fontId="35"/>
  </si>
  <si>
    <t>ボルト・ナット・リベット・スプリング</t>
  </si>
  <si>
    <t>金属製容器・製缶板金製品</t>
  </si>
  <si>
    <t>配管工事附属品・粉末や金製品・道具類</t>
  </si>
  <si>
    <t>はん用機械</t>
    <rPh sb="2" eb="3">
      <t>ヨウ</t>
    </rPh>
    <rPh sb="3" eb="5">
      <t>キカイ</t>
    </rPh>
    <phoneticPr fontId="36"/>
  </si>
  <si>
    <t>生産用機械</t>
    <rPh sb="0" eb="2">
      <t>セイサン</t>
    </rPh>
    <rPh sb="2" eb="3">
      <t>ヨウ</t>
    </rPh>
    <rPh sb="3" eb="5">
      <t>キカイ</t>
    </rPh>
    <phoneticPr fontId="36"/>
  </si>
  <si>
    <t>鋳造装置・プラスチック加工機械</t>
  </si>
  <si>
    <t>真空装置・真空機器</t>
  </si>
  <si>
    <t>ロボット</t>
  </si>
  <si>
    <t>業務用機械</t>
    <rPh sb="0" eb="2">
      <t>ギョウム</t>
    </rPh>
    <rPh sb="2" eb="3">
      <t>ヨウ</t>
    </rPh>
    <rPh sb="3" eb="5">
      <t>キカイ</t>
    </rPh>
    <phoneticPr fontId="36"/>
  </si>
  <si>
    <t>サービス用・娯楽用機器　</t>
  </si>
  <si>
    <t>電子デバイス</t>
    <rPh sb="0" eb="2">
      <t>デンシ</t>
    </rPh>
    <phoneticPr fontId="36"/>
  </si>
  <si>
    <t>液晶パネル</t>
  </si>
  <si>
    <t>フラットパネル・電子管</t>
  </si>
  <si>
    <t>その他の電子部品</t>
    <rPh sb="2" eb="3">
      <t>タ</t>
    </rPh>
    <rPh sb="4" eb="6">
      <t>デンシ</t>
    </rPh>
    <rPh sb="6" eb="8">
      <t>ブヒン</t>
    </rPh>
    <phoneticPr fontId="36"/>
  </si>
  <si>
    <t>記録メディア</t>
  </si>
  <si>
    <t>電子回路</t>
  </si>
  <si>
    <t>産業用電気機器</t>
    <rPh sb="0" eb="3">
      <t>サンギョウヨウ</t>
    </rPh>
    <rPh sb="3" eb="5">
      <t>デンキ</t>
    </rPh>
    <rPh sb="5" eb="7">
      <t>キキ</t>
    </rPh>
    <phoneticPr fontId="36"/>
  </si>
  <si>
    <t>開閉制御装置・配電盤</t>
  </si>
  <si>
    <t>その他の産業用電気機器</t>
  </si>
  <si>
    <t>民生用電気機器</t>
    <rPh sb="5" eb="7">
      <t>キキ</t>
    </rPh>
    <phoneticPr fontId="36"/>
  </si>
  <si>
    <t>民生用電気機器（エアコンを除く。）</t>
  </si>
  <si>
    <t>電子応用装置・電気計測器</t>
    <rPh sb="0" eb="2">
      <t>デンシ</t>
    </rPh>
    <rPh sb="2" eb="4">
      <t>オウヨウ</t>
    </rPh>
    <rPh sb="4" eb="6">
      <t>ソウチ</t>
    </rPh>
    <rPh sb="7" eb="9">
      <t>デンキ</t>
    </rPh>
    <rPh sb="9" eb="12">
      <t>ケイソクキ</t>
    </rPh>
    <phoneticPr fontId="36"/>
  </si>
  <si>
    <t>その他の電気機械</t>
    <rPh sb="2" eb="3">
      <t>タ</t>
    </rPh>
    <rPh sb="4" eb="6">
      <t>デンキ</t>
    </rPh>
    <rPh sb="6" eb="8">
      <t>キカイ</t>
    </rPh>
    <phoneticPr fontId="36"/>
  </si>
  <si>
    <t>通信・映像・音響機器</t>
    <rPh sb="0" eb="2">
      <t>ツウシン</t>
    </rPh>
    <rPh sb="3" eb="5">
      <t>エイゾウ</t>
    </rPh>
    <rPh sb="6" eb="8">
      <t>オンキョウ</t>
    </rPh>
    <rPh sb="8" eb="10">
      <t>キキ</t>
    </rPh>
    <phoneticPr fontId="36"/>
  </si>
  <si>
    <t>無線電気通信機器（携帯電話機を除く。）</t>
  </si>
  <si>
    <t>ビデオ機器・デジタルカメラ</t>
  </si>
  <si>
    <t>電子計算機・同附属装置</t>
    <rPh sb="0" eb="2">
      <t>デンシ</t>
    </rPh>
    <rPh sb="2" eb="5">
      <t>ケイサンキ</t>
    </rPh>
    <rPh sb="6" eb="7">
      <t>ドウ</t>
    </rPh>
    <rPh sb="7" eb="9">
      <t>フゾク</t>
    </rPh>
    <rPh sb="9" eb="11">
      <t>ソウチ</t>
    </rPh>
    <phoneticPr fontId="36"/>
  </si>
  <si>
    <t>電子計算機本体（パソコンを除く。）</t>
  </si>
  <si>
    <t>電子計算機附属装置</t>
  </si>
  <si>
    <t>乗用車</t>
    <rPh sb="0" eb="3">
      <t>ジョウヨウシャ</t>
    </rPh>
    <phoneticPr fontId="36"/>
  </si>
  <si>
    <t>乗用車（ハイブリッド車）</t>
  </si>
  <si>
    <t>351102</t>
  </si>
  <si>
    <t>乗用車（ハイブリッド車を除く。）</t>
  </si>
  <si>
    <t>その他の自動車</t>
    <rPh sb="2" eb="3">
      <t>タ</t>
    </rPh>
    <rPh sb="4" eb="7">
      <t>ジドウシャ</t>
    </rPh>
    <phoneticPr fontId="36"/>
  </si>
  <si>
    <t>自動車用内燃機関</t>
  </si>
  <si>
    <t>がん具</t>
  </si>
  <si>
    <t>再生資源回収・加工処理</t>
    <rPh sb="0" eb="2">
      <t>サイセイ</t>
    </rPh>
    <rPh sb="2" eb="4">
      <t>シゲン</t>
    </rPh>
    <rPh sb="4" eb="6">
      <t>カイシュウ</t>
    </rPh>
    <rPh sb="7" eb="9">
      <t>カコウ</t>
    </rPh>
    <rPh sb="9" eb="11">
      <t>ショリ</t>
    </rPh>
    <phoneticPr fontId="36"/>
  </si>
  <si>
    <t>公共事業</t>
    <rPh sb="0" eb="2">
      <t>コウキョウ</t>
    </rPh>
    <rPh sb="2" eb="4">
      <t>ジギョウ</t>
    </rPh>
    <phoneticPr fontId="36"/>
  </si>
  <si>
    <t>その他の土木建設</t>
    <rPh sb="2" eb="3">
      <t>タ</t>
    </rPh>
    <rPh sb="4" eb="6">
      <t>ドボク</t>
    </rPh>
    <rPh sb="6" eb="8">
      <t>ケンセツ</t>
    </rPh>
    <phoneticPr fontId="36"/>
  </si>
  <si>
    <t>電気</t>
    <rPh sb="0" eb="2">
      <t>デンキ</t>
    </rPh>
    <phoneticPr fontId="35"/>
  </si>
  <si>
    <t>住宅賃貸料（帰属家賃）</t>
    <rPh sb="0" eb="2">
      <t>ジュウタク</t>
    </rPh>
    <rPh sb="2" eb="5">
      <t>チンタイリョウ</t>
    </rPh>
    <rPh sb="6" eb="8">
      <t>キゾク</t>
    </rPh>
    <rPh sb="8" eb="10">
      <t>ヤチン</t>
    </rPh>
    <phoneticPr fontId="36"/>
  </si>
  <si>
    <t>道路輸送（自家輸送を除く。）</t>
    <rPh sb="7" eb="9">
      <t>ユソウ</t>
    </rPh>
    <phoneticPr fontId="36"/>
  </si>
  <si>
    <t>貨物利用運送</t>
    <rPh sb="2" eb="4">
      <t>リヨウ</t>
    </rPh>
    <rPh sb="4" eb="6">
      <t>ウンソウ</t>
    </rPh>
    <phoneticPr fontId="36"/>
  </si>
  <si>
    <t>運輸附帯サービス</t>
    <rPh sb="2" eb="4">
      <t>フタイ</t>
    </rPh>
    <phoneticPr fontId="35"/>
  </si>
  <si>
    <t>水運施設管理（国公営）★★</t>
  </si>
  <si>
    <t>水運施設管理</t>
  </si>
  <si>
    <t>水運附帯サービス</t>
  </si>
  <si>
    <t>航空施設管理（公営）★★</t>
  </si>
  <si>
    <t>航空施設管理</t>
  </si>
  <si>
    <t>航空附帯サービス</t>
  </si>
  <si>
    <t>旅行・その他の運輸附帯サービス</t>
  </si>
  <si>
    <t>郵便・信書便</t>
    <rPh sb="3" eb="5">
      <t>シンショ</t>
    </rPh>
    <rPh sb="5" eb="6">
      <t>ビン</t>
    </rPh>
    <phoneticPr fontId="36"/>
  </si>
  <si>
    <t>通信</t>
    <rPh sb="0" eb="2">
      <t>ツウシン</t>
    </rPh>
    <phoneticPr fontId="36"/>
  </si>
  <si>
    <t>電気通信に附帯するサービス</t>
  </si>
  <si>
    <t>情報サービス</t>
    <rPh sb="0" eb="2">
      <t>ジョウホウ</t>
    </rPh>
    <phoneticPr fontId="36"/>
  </si>
  <si>
    <t>インターネット附随サービス</t>
    <rPh sb="7" eb="9">
      <t>フズイ</t>
    </rPh>
    <phoneticPr fontId="36"/>
  </si>
  <si>
    <t>映像・音声・文字情報制作</t>
    <rPh sb="0" eb="2">
      <t>エイゾウ</t>
    </rPh>
    <rPh sb="3" eb="5">
      <t>オンセイ</t>
    </rPh>
    <rPh sb="6" eb="8">
      <t>モジ</t>
    </rPh>
    <rPh sb="8" eb="10">
      <t>ジョウホウ</t>
    </rPh>
    <rPh sb="10" eb="12">
      <t>セイサク</t>
    </rPh>
    <phoneticPr fontId="36"/>
  </si>
  <si>
    <t>映像・音声・文字情報制作（新聞・出版を除く。）</t>
  </si>
  <si>
    <t>新聞</t>
  </si>
  <si>
    <t>出版</t>
  </si>
  <si>
    <t>その他の教育訓練機関</t>
  </si>
  <si>
    <t>医療</t>
    <rPh sb="0" eb="2">
      <t>イリョウ</t>
    </rPh>
    <phoneticPr fontId="36"/>
  </si>
  <si>
    <t>医療（歯科診療）</t>
  </si>
  <si>
    <t>医療（調剤）</t>
  </si>
  <si>
    <t>医療（その他の医療サービス）</t>
  </si>
  <si>
    <t>保健衛生</t>
    <rPh sb="0" eb="2">
      <t>ホケン</t>
    </rPh>
    <rPh sb="2" eb="4">
      <t>エイセイ</t>
    </rPh>
    <phoneticPr fontId="36"/>
  </si>
  <si>
    <t>社会保険・社会福祉</t>
    <rPh sb="0" eb="2">
      <t>シャカイ</t>
    </rPh>
    <rPh sb="2" eb="4">
      <t>ホケン</t>
    </rPh>
    <rPh sb="5" eb="7">
      <t>シャカイ</t>
    </rPh>
    <rPh sb="7" eb="9">
      <t>フクシ</t>
    </rPh>
    <phoneticPr fontId="36"/>
  </si>
  <si>
    <t>社会保険事業★★</t>
  </si>
  <si>
    <t>社会福祉</t>
  </si>
  <si>
    <t>保育所</t>
  </si>
  <si>
    <t>介護</t>
    <rPh sb="0" eb="2">
      <t>カイゴ</t>
    </rPh>
    <phoneticPr fontId="36"/>
  </si>
  <si>
    <t>介護（施設サービス）</t>
  </si>
  <si>
    <t>介護（施設サービスを除く。）</t>
  </si>
  <si>
    <t>他に分類されない会員制団体</t>
    <rPh sb="0" eb="1">
      <t>ホカ</t>
    </rPh>
    <rPh sb="2" eb="4">
      <t>ブンルイ</t>
    </rPh>
    <rPh sb="8" eb="11">
      <t>カイインセイ</t>
    </rPh>
    <rPh sb="11" eb="13">
      <t>ダンタイ</t>
    </rPh>
    <phoneticPr fontId="36"/>
  </si>
  <si>
    <t>会員制企業団体</t>
  </si>
  <si>
    <t>対家計民間非営利団体（別掲を除く。）★</t>
  </si>
  <si>
    <t>物品賃貸業（貸自動車を除く。）</t>
  </si>
  <si>
    <t>その他の対事業所サービス</t>
    <rPh sb="2" eb="3">
      <t>ホカ</t>
    </rPh>
    <rPh sb="4" eb="5">
      <t>タイ</t>
    </rPh>
    <rPh sb="5" eb="8">
      <t>ジギョウショ</t>
    </rPh>
    <phoneticPr fontId="36"/>
  </si>
  <si>
    <t>警備業</t>
  </si>
  <si>
    <t>669906</t>
  </si>
  <si>
    <t>と畜業（公営）★★</t>
  </si>
  <si>
    <t>669907</t>
  </si>
  <si>
    <t>と畜業</t>
  </si>
  <si>
    <t>宿泊業</t>
    <rPh sb="0" eb="2">
      <t>シュクハク</t>
    </rPh>
    <rPh sb="2" eb="3">
      <t>ギョウ</t>
    </rPh>
    <phoneticPr fontId="36"/>
  </si>
  <si>
    <t>飲食サービス</t>
    <rPh sb="0" eb="2">
      <t>インショク</t>
    </rPh>
    <phoneticPr fontId="36"/>
  </si>
  <si>
    <t>飲食店</t>
  </si>
  <si>
    <t>持ち帰り・配達飲食サービス</t>
  </si>
  <si>
    <t>洗濯・理容・美容・浴場業</t>
    <rPh sb="0" eb="2">
      <t>センタク</t>
    </rPh>
    <rPh sb="3" eb="5">
      <t>リヨウ</t>
    </rPh>
    <rPh sb="6" eb="8">
      <t>ビヨウ</t>
    </rPh>
    <rPh sb="9" eb="11">
      <t>ヨクジョウ</t>
    </rPh>
    <rPh sb="11" eb="12">
      <t>ギョウ</t>
    </rPh>
    <phoneticPr fontId="36"/>
  </si>
  <si>
    <t>洗濯業</t>
  </si>
  <si>
    <t>その他の洗濯・理容・美容・浴場業</t>
  </si>
  <si>
    <t>娯楽サービス</t>
    <rPh sb="0" eb="2">
      <t>ゴラク</t>
    </rPh>
    <phoneticPr fontId="36"/>
  </si>
  <si>
    <t>興行場（映画館を除く。）・興行団</t>
  </si>
  <si>
    <t>675</t>
  </si>
  <si>
    <t>獣医業</t>
    <rPh sb="0" eb="2">
      <t>ジュウイ</t>
    </rPh>
    <rPh sb="2" eb="3">
      <t>ギョウ</t>
    </rPh>
    <phoneticPr fontId="35"/>
  </si>
  <si>
    <t>675101</t>
  </si>
  <si>
    <t>個人教授業</t>
  </si>
  <si>
    <t>各種修理業（別掲を除く。）</t>
  </si>
  <si>
    <t>事務用品</t>
    <rPh sb="0" eb="2">
      <t>ジム</t>
    </rPh>
    <rPh sb="2" eb="4">
      <t>ヨウヒン</t>
    </rPh>
    <phoneticPr fontId="36"/>
  </si>
  <si>
    <t>681100P</t>
  </si>
  <si>
    <t>分類不明</t>
    <rPh sb="0" eb="2">
      <t>ブンルイ</t>
    </rPh>
    <rPh sb="2" eb="4">
      <t>フメイ</t>
    </rPh>
    <phoneticPr fontId="36"/>
  </si>
  <si>
    <t>700000</t>
  </si>
  <si>
    <t>県内生産額</t>
    <rPh sb="0" eb="2">
      <t>ケンナイ</t>
    </rPh>
    <rPh sb="2" eb="4">
      <t>セイサン</t>
    </rPh>
    <rPh sb="4" eb="5">
      <t>ガク</t>
    </rPh>
    <phoneticPr fontId="1"/>
  </si>
  <si>
    <t>2020年兵庫県産業連関表部門分類</t>
    <rPh sb="4" eb="5">
      <t>ネン</t>
    </rPh>
    <rPh sb="5" eb="8">
      <t>ヒョウゴケン</t>
    </rPh>
    <rPh sb="8" eb="10">
      <t>サンギョウ</t>
    </rPh>
    <rPh sb="10" eb="13">
      <t>レンカンヒョウ</t>
    </rPh>
    <rPh sb="13" eb="15">
      <t>ブモン</t>
    </rPh>
    <rPh sb="15" eb="17">
      <t>ブンルイ</t>
    </rPh>
    <phoneticPr fontId="15"/>
  </si>
  <si>
    <t>2020-2015</t>
    <phoneticPr fontId="1"/>
  </si>
  <si>
    <t>令和6年</t>
    <rPh sb="0" eb="2">
      <t>レイワ</t>
    </rPh>
    <rPh sb="3" eb="4">
      <t>ネン</t>
    </rPh>
    <phoneticPr fontId="1"/>
  </si>
  <si>
    <t>2020年兵庫県産業連関表</t>
    <phoneticPr fontId="33"/>
  </si>
  <si>
    <t>2024.1-12</t>
    <phoneticPr fontId="1"/>
  </si>
  <si>
    <t>2024年</t>
    <rPh sb="4" eb="5">
      <t>ネン</t>
    </rPh>
    <phoneticPr fontId="1"/>
  </si>
  <si>
    <t>2024試算値</t>
    <rPh sb="4" eb="7">
      <t>シサンチ</t>
    </rPh>
    <phoneticPr fontId="1"/>
  </si>
  <si>
    <t>2024生産額</t>
    <rPh sb="4" eb="7">
      <t>セイサンガク</t>
    </rPh>
    <phoneticPr fontId="1"/>
  </si>
  <si>
    <t>2020生産額2</t>
    <rPh sb="4" eb="7">
      <t>セイサンガク</t>
    </rPh>
    <phoneticPr fontId="1"/>
  </si>
  <si>
    <t>令和6年度</t>
    <rPh sb="0" eb="2">
      <t>レイワ</t>
    </rPh>
    <rPh sb="3" eb="5">
      <t>ネンド</t>
    </rPh>
    <rPh sb="4" eb="5">
      <t>ド</t>
    </rPh>
    <phoneticPr fontId="7"/>
  </si>
  <si>
    <t>平成18年度</t>
    <rPh sb="0" eb="2">
      <t>ヘイセイ</t>
    </rPh>
    <rPh sb="4" eb="6">
      <t>ネンド</t>
    </rPh>
    <phoneticPr fontId="5"/>
  </si>
  <si>
    <t>平成19年度</t>
    <rPh sb="0" eb="2">
      <t>ヘイセイ</t>
    </rPh>
    <rPh sb="4" eb="6">
      <t>ネンド</t>
    </rPh>
    <phoneticPr fontId="5"/>
  </si>
  <si>
    <t>平成20年度</t>
    <rPh sb="0" eb="2">
      <t>ヘイセイ</t>
    </rPh>
    <rPh sb="4" eb="6">
      <t>ネンド</t>
    </rPh>
    <phoneticPr fontId="5"/>
  </si>
  <si>
    <t>平成21年度</t>
    <phoneticPr fontId="5"/>
  </si>
  <si>
    <t>平成24年度</t>
    <phoneticPr fontId="5"/>
  </si>
  <si>
    <t>平成25年度</t>
    <phoneticPr fontId="5"/>
  </si>
  <si>
    <t>平成26年度</t>
    <phoneticPr fontId="5"/>
  </si>
  <si>
    <t>平成27年度</t>
    <phoneticPr fontId="5"/>
  </si>
  <si>
    <t>平成29年度</t>
    <phoneticPr fontId="5"/>
  </si>
  <si>
    <t>平成30年度</t>
    <phoneticPr fontId="5"/>
  </si>
  <si>
    <t>令和元年度</t>
    <rPh sb="0" eb="2">
      <t>レイワ</t>
    </rPh>
    <rPh sb="2" eb="3">
      <t>ゲン</t>
    </rPh>
    <phoneticPr fontId="5"/>
  </si>
  <si>
    <t>令和２年度</t>
    <rPh sb="0" eb="2">
      <t>レイワ</t>
    </rPh>
    <phoneticPr fontId="5"/>
  </si>
  <si>
    <t>令和３年度</t>
    <rPh sb="0" eb="2">
      <t>レイワ</t>
    </rPh>
    <phoneticPr fontId="5"/>
  </si>
  <si>
    <t>令和４年度</t>
    <rPh sb="0" eb="2">
      <t>レイワ</t>
    </rPh>
    <phoneticPr fontId="5"/>
  </si>
  <si>
    <t>令和５年度</t>
    <rPh sb="0" eb="2">
      <t>レイワ</t>
    </rPh>
    <phoneticPr fontId="5"/>
  </si>
  <si>
    <t>１　農林水産業</t>
    <rPh sb="2" eb="4">
      <t>ノウリン</t>
    </rPh>
    <rPh sb="4" eb="7">
      <t>スイサンギョウ</t>
    </rPh>
    <phoneticPr fontId="5"/>
  </si>
  <si>
    <t>（１）農業</t>
    <rPh sb="3" eb="5">
      <t>ノウギョウ</t>
    </rPh>
    <phoneticPr fontId="5"/>
  </si>
  <si>
    <t>（２）林業</t>
    <rPh sb="3" eb="5">
      <t>リンギョウ</t>
    </rPh>
    <phoneticPr fontId="5"/>
  </si>
  <si>
    <t>（３）水産業</t>
    <rPh sb="3" eb="6">
      <t>スイサンギョウ</t>
    </rPh>
    <phoneticPr fontId="5"/>
  </si>
  <si>
    <t>２　鉱業</t>
  </si>
  <si>
    <t>３　製造業</t>
  </si>
  <si>
    <t>（１）食料品</t>
  </si>
  <si>
    <t>（２）繊維製品</t>
    <rPh sb="5" eb="7">
      <t>セイヒン</t>
    </rPh>
    <phoneticPr fontId="5"/>
  </si>
  <si>
    <t>（３）パルプ･紙・紙加工品</t>
    <rPh sb="9" eb="10">
      <t>カミ</t>
    </rPh>
    <rPh sb="10" eb="13">
      <t>カコウヒン</t>
    </rPh>
    <phoneticPr fontId="5"/>
  </si>
  <si>
    <t>（４）化学</t>
  </si>
  <si>
    <t>（５）石油･石炭製品</t>
  </si>
  <si>
    <t>（６）窯業･土石製品</t>
  </si>
  <si>
    <t>（７）一次金属</t>
    <rPh sb="3" eb="5">
      <t>イチジ</t>
    </rPh>
    <rPh sb="5" eb="7">
      <t>キンゾク</t>
    </rPh>
    <phoneticPr fontId="5"/>
  </si>
  <si>
    <t>（８）金属製品</t>
  </si>
  <si>
    <t>（９）はん用・生産用・業務用機械</t>
    <rPh sb="5" eb="6">
      <t>ヨウ</t>
    </rPh>
    <rPh sb="7" eb="10">
      <t>セイサンヨウ</t>
    </rPh>
    <rPh sb="11" eb="14">
      <t>ギョウムヨウ</t>
    </rPh>
    <rPh sb="14" eb="16">
      <t>キカイ</t>
    </rPh>
    <phoneticPr fontId="5"/>
  </si>
  <si>
    <t>（10）電子部品・デバイス</t>
    <rPh sb="4" eb="6">
      <t>デンシ</t>
    </rPh>
    <rPh sb="6" eb="8">
      <t>ブヒン</t>
    </rPh>
    <phoneticPr fontId="5"/>
  </si>
  <si>
    <t>（11）電気機械</t>
  </si>
  <si>
    <t>（12）情報・通信機械</t>
    <rPh sb="4" eb="6">
      <t>ジョウホウ</t>
    </rPh>
    <rPh sb="7" eb="9">
      <t>ツウシン</t>
    </rPh>
    <rPh sb="9" eb="11">
      <t>キカイ</t>
    </rPh>
    <phoneticPr fontId="5"/>
  </si>
  <si>
    <t>（13）輸送用機械</t>
    <rPh sb="6" eb="7">
      <t>ヨウ</t>
    </rPh>
    <phoneticPr fontId="5"/>
  </si>
  <si>
    <t>（14）印刷業</t>
    <rPh sb="4" eb="7">
      <t>インサツギョウ</t>
    </rPh>
    <phoneticPr fontId="5"/>
  </si>
  <si>
    <t>（15）その他の製造業</t>
  </si>
  <si>
    <t>４　電気・ガス・水道・廃棄物処理業</t>
    <rPh sb="11" eb="14">
      <t>ハイキブツ</t>
    </rPh>
    <rPh sb="14" eb="16">
      <t>ショリ</t>
    </rPh>
    <phoneticPr fontId="5"/>
  </si>
  <si>
    <t>（１）電気業</t>
  </si>
  <si>
    <t>（２）ガス・水道・廃棄物処理業</t>
    <rPh sb="6" eb="8">
      <t>スイドウ</t>
    </rPh>
    <rPh sb="9" eb="12">
      <t>ハイキブツ</t>
    </rPh>
    <rPh sb="12" eb="14">
      <t>ショリ</t>
    </rPh>
    <rPh sb="14" eb="15">
      <t>ギョウ</t>
    </rPh>
    <phoneticPr fontId="5"/>
  </si>
  <si>
    <t>５　建設業</t>
  </si>
  <si>
    <t>６　卸売・小売業</t>
  </si>
  <si>
    <t>（１）卸売業</t>
  </si>
  <si>
    <t>（２）小売業</t>
  </si>
  <si>
    <t>７　運輸・郵便業</t>
    <rPh sb="2" eb="4">
      <t>ウンユ</t>
    </rPh>
    <rPh sb="5" eb="7">
      <t>ユウビン</t>
    </rPh>
    <rPh sb="7" eb="8">
      <t>ギョウ</t>
    </rPh>
    <phoneticPr fontId="5"/>
  </si>
  <si>
    <t>８　宿泊・飲食サービス業</t>
    <rPh sb="2" eb="4">
      <t>シュクハク</t>
    </rPh>
    <rPh sb="5" eb="7">
      <t>インショク</t>
    </rPh>
    <rPh sb="11" eb="12">
      <t>ギョウ</t>
    </rPh>
    <phoneticPr fontId="5"/>
  </si>
  <si>
    <t>９　情報通信業</t>
    <rPh sb="2" eb="4">
      <t>ジョウホウ</t>
    </rPh>
    <rPh sb="4" eb="7">
      <t>ツウシンギョウ</t>
    </rPh>
    <phoneticPr fontId="5"/>
  </si>
  <si>
    <t>（１）通信・放送業</t>
    <rPh sb="3" eb="5">
      <t>ツウシン</t>
    </rPh>
    <rPh sb="6" eb="9">
      <t>ホウソウギョウ</t>
    </rPh>
    <phoneticPr fontId="5"/>
  </si>
  <si>
    <t>（２）情報ｻｰﾋﾞｽ・映像音声文字情報制作業</t>
    <rPh sb="3" eb="5">
      <t>ジョウホウ</t>
    </rPh>
    <rPh sb="11" eb="13">
      <t>エイゾウ</t>
    </rPh>
    <rPh sb="13" eb="15">
      <t>オンセイ</t>
    </rPh>
    <rPh sb="15" eb="17">
      <t>モジ</t>
    </rPh>
    <rPh sb="17" eb="19">
      <t>ジョウホウ</t>
    </rPh>
    <rPh sb="20" eb="21">
      <t>ギョウ</t>
    </rPh>
    <phoneticPr fontId="5"/>
  </si>
  <si>
    <t>10　金融・保険業</t>
  </si>
  <si>
    <t>11　不動産業</t>
  </si>
  <si>
    <t>（１）住宅賃貸業</t>
    <rPh sb="3" eb="5">
      <t>ジュウタク</t>
    </rPh>
    <rPh sb="5" eb="8">
      <t>チンタイギョウ</t>
    </rPh>
    <phoneticPr fontId="5"/>
  </si>
  <si>
    <t>（２）その他の不動産業</t>
    <rPh sb="5" eb="6">
      <t>タ</t>
    </rPh>
    <rPh sb="7" eb="11">
      <t>フドウサンギョウ</t>
    </rPh>
    <phoneticPr fontId="5"/>
  </si>
  <si>
    <t>12　専門・科学技術、業務支援サービス業</t>
    <rPh sb="3" eb="5">
      <t>センモン</t>
    </rPh>
    <rPh sb="6" eb="8">
      <t>カガク</t>
    </rPh>
    <rPh sb="8" eb="10">
      <t>ギジュツ</t>
    </rPh>
    <rPh sb="11" eb="13">
      <t>ギョウム</t>
    </rPh>
    <rPh sb="13" eb="15">
      <t>シエン</t>
    </rPh>
    <rPh sb="19" eb="20">
      <t>ギョウ</t>
    </rPh>
    <phoneticPr fontId="5"/>
  </si>
  <si>
    <t>13　公務</t>
  </si>
  <si>
    <t>14　教育</t>
    <rPh sb="3" eb="5">
      <t>キョウイク</t>
    </rPh>
    <phoneticPr fontId="5"/>
  </si>
  <si>
    <t>15　保健衛生・社会事業</t>
    <rPh sb="3" eb="5">
      <t>ホケン</t>
    </rPh>
    <rPh sb="5" eb="7">
      <t>エイセイ</t>
    </rPh>
    <rPh sb="8" eb="10">
      <t>シャカイ</t>
    </rPh>
    <rPh sb="10" eb="12">
      <t>ジギョウ</t>
    </rPh>
    <phoneticPr fontId="5"/>
  </si>
  <si>
    <t>16　その他のサービス</t>
    <rPh sb="5" eb="6">
      <t>タ</t>
    </rPh>
    <phoneticPr fontId="5"/>
  </si>
  <si>
    <t>17　小計（１～16）</t>
    <rPh sb="3" eb="5">
      <t>ショウケイ</t>
    </rPh>
    <phoneticPr fontId="5"/>
  </si>
  <si>
    <t>18　輸入品に課される税・関税</t>
  </si>
  <si>
    <t>19   （控除）総資本形成に係る消費税</t>
    <rPh sb="6" eb="8">
      <t>コウジョ</t>
    </rPh>
    <rPh sb="9" eb="10">
      <t>ソウ</t>
    </rPh>
    <rPh sb="10" eb="12">
      <t>シホン</t>
    </rPh>
    <rPh sb="12" eb="14">
      <t>ケイセイ</t>
    </rPh>
    <rPh sb="15" eb="16">
      <t>カカ</t>
    </rPh>
    <rPh sb="17" eb="20">
      <t>ショウヒゼイ</t>
    </rPh>
    <phoneticPr fontId="5"/>
  </si>
  <si>
    <t>20　県内総生産（17＋18－19）</t>
  </si>
  <si>
    <t>令和6年度</t>
    <rPh sb="0" eb="2">
      <t>レイワ</t>
    </rPh>
    <phoneticPr fontId="5"/>
  </si>
  <si>
    <t>2025/1/22</t>
    <phoneticPr fontId="1"/>
  </si>
  <si>
    <t>四半期別兵庫県内産出額試算値（名目・原系列）</t>
    <rPh sb="0" eb="3">
      <t>シハンキ</t>
    </rPh>
    <rPh sb="3" eb="4">
      <t>ベツ</t>
    </rPh>
    <rPh sb="4" eb="6">
      <t>ヒョウゴ</t>
    </rPh>
    <rPh sb="6" eb="8">
      <t>ケンナイ</t>
    </rPh>
    <rPh sb="13" eb="14">
      <t>アタイ</t>
    </rPh>
    <rPh sb="15" eb="17">
      <t>メイモク</t>
    </rPh>
    <rPh sb="18" eb="19">
      <t>ゲン</t>
    </rPh>
    <rPh sb="19" eb="21">
      <t>ケイレツ</t>
    </rPh>
    <phoneticPr fontId="5"/>
  </si>
  <si>
    <t>兵庫県統計課「四半期別県内GDP速報」</t>
    <rPh sb="0" eb="3">
      <t>ヒョウゴケン</t>
    </rPh>
    <rPh sb="3" eb="5">
      <t>トウケイ</t>
    </rPh>
    <rPh sb="5" eb="6">
      <t>カ</t>
    </rPh>
    <rPh sb="7" eb="10">
      <t>シハンキ</t>
    </rPh>
    <rPh sb="10" eb="11">
      <t>ベツ</t>
    </rPh>
    <rPh sb="11" eb="13">
      <t>ケンナイ</t>
    </rPh>
    <rPh sb="16" eb="18">
      <t>ソクホウ</t>
    </rPh>
    <phoneticPr fontId="5"/>
  </si>
  <si>
    <t>　</t>
    <phoneticPr fontId="5"/>
  </si>
  <si>
    <t>窯業･土石
製品</t>
    <phoneticPr fontId="5"/>
  </si>
  <si>
    <t>宿泊・飲食
サービス業</t>
    <rPh sb="0" eb="2">
      <t>シュクハク</t>
    </rPh>
    <rPh sb="3" eb="5">
      <t>インショク</t>
    </rPh>
    <rPh sb="10" eb="11">
      <t>ギョウ</t>
    </rPh>
    <phoneticPr fontId="5"/>
  </si>
  <si>
    <t>対前年同期比</t>
    <rPh sb="0" eb="1">
      <t>タイ</t>
    </rPh>
    <rPh sb="1" eb="2">
      <t>マエ</t>
    </rPh>
    <rPh sb="2" eb="3">
      <t>ネン</t>
    </rPh>
    <rPh sb="3" eb="6">
      <t>ドウキヒ</t>
    </rPh>
    <phoneticPr fontId="5"/>
  </si>
  <si>
    <t>1～3月</t>
    <rPh sb="3" eb="4">
      <t>ガツ</t>
    </rPh>
    <phoneticPr fontId="5"/>
  </si>
  <si>
    <t>1～3月</t>
  </si>
  <si>
    <t>4～6月</t>
  </si>
  <si>
    <t>7～9月</t>
  </si>
  <si>
    <t>10～12月</t>
  </si>
  <si>
    <t>4～6月</t>
    <rPh sb="3" eb="4">
      <t>ガツ</t>
    </rPh>
    <phoneticPr fontId="2"/>
  </si>
  <si>
    <t>7～9月</t>
    <rPh sb="3" eb="4">
      <t>ガツ</t>
    </rPh>
    <phoneticPr fontId="2"/>
  </si>
  <si>
    <t>10～12月</t>
    <rPh sb="5" eb="6">
      <t>ガツ</t>
    </rPh>
    <phoneticPr fontId="2"/>
  </si>
  <si>
    <t>1～3月</t>
    <rPh sb="3" eb="4">
      <t>ガツ</t>
    </rPh>
    <phoneticPr fontId="2"/>
  </si>
  <si>
    <t>令和2年</t>
    <rPh sb="0" eb="2">
      <t>レイワ</t>
    </rPh>
    <rPh sb="3" eb="4">
      <t>ネン</t>
    </rPh>
    <phoneticPr fontId="2"/>
  </si>
  <si>
    <t>令和3年</t>
    <rPh sb="0" eb="2">
      <t>レイワ</t>
    </rPh>
    <rPh sb="3" eb="4">
      <t>ネン</t>
    </rPh>
    <phoneticPr fontId="2"/>
  </si>
  <si>
    <t>令和4年</t>
    <rPh sb="0" eb="2">
      <t>レイワ</t>
    </rPh>
    <rPh sb="3" eb="4">
      <t>ネン</t>
    </rPh>
    <phoneticPr fontId="2"/>
  </si>
  <si>
    <t>令和5年</t>
    <rPh sb="0" eb="2">
      <t>レイワ</t>
    </rPh>
    <rPh sb="3" eb="4">
      <t>ネン</t>
    </rPh>
    <phoneticPr fontId="2"/>
  </si>
  <si>
    <t>令和6年</t>
    <rPh sb="0" eb="2">
      <t>レイワ</t>
    </rPh>
    <rPh sb="3" eb="4">
      <t>ネン</t>
    </rPh>
    <phoneticPr fontId="2"/>
  </si>
  <si>
    <r>
      <t>平成1</t>
    </r>
    <r>
      <rPr>
        <sz val="11"/>
        <color theme="1"/>
        <rFont val="ＭＳ Ｐゴシック"/>
        <family val="3"/>
        <charset val="128"/>
      </rPr>
      <t>9年</t>
    </r>
    <rPh sb="0" eb="2">
      <t>ヘイセイ</t>
    </rPh>
    <rPh sb="4" eb="5">
      <t>ネン</t>
    </rPh>
    <phoneticPr fontId="2"/>
  </si>
  <si>
    <r>
      <t>平成2</t>
    </r>
    <r>
      <rPr>
        <sz val="11"/>
        <color theme="1"/>
        <rFont val="ＭＳ Ｐゴシック"/>
        <family val="3"/>
        <charset val="128"/>
      </rPr>
      <t>0年</t>
    </r>
    <rPh sb="0" eb="2">
      <t>ヘイセイ</t>
    </rPh>
    <rPh sb="4" eb="5">
      <t>ネン</t>
    </rPh>
    <phoneticPr fontId="2"/>
  </si>
  <si>
    <r>
      <t>平成2</t>
    </r>
    <r>
      <rPr>
        <sz val="11"/>
        <color theme="1"/>
        <rFont val="ＭＳ Ｐゴシック"/>
        <family val="3"/>
        <charset val="128"/>
      </rPr>
      <t>1年</t>
    </r>
    <rPh sb="0" eb="2">
      <t>ヘイセイ</t>
    </rPh>
    <rPh sb="4" eb="5">
      <t>ネン</t>
    </rPh>
    <phoneticPr fontId="2"/>
  </si>
  <si>
    <r>
      <t>平成2</t>
    </r>
    <r>
      <rPr>
        <sz val="11"/>
        <color theme="1"/>
        <rFont val="ＭＳ Ｐゴシック"/>
        <family val="3"/>
        <charset val="128"/>
      </rPr>
      <t>2年</t>
    </r>
    <rPh sb="0" eb="2">
      <t>ヘイセイ</t>
    </rPh>
    <rPh sb="4" eb="5">
      <t>ネン</t>
    </rPh>
    <phoneticPr fontId="2"/>
  </si>
  <si>
    <r>
      <t>平成2</t>
    </r>
    <r>
      <rPr>
        <sz val="11"/>
        <color theme="1"/>
        <rFont val="ＭＳ Ｐゴシック"/>
        <family val="3"/>
        <charset val="128"/>
      </rPr>
      <t>3年</t>
    </r>
    <rPh sb="0" eb="2">
      <t>ヘイセイ</t>
    </rPh>
    <rPh sb="4" eb="5">
      <t>ネン</t>
    </rPh>
    <phoneticPr fontId="2"/>
  </si>
  <si>
    <r>
      <t>平成2</t>
    </r>
    <r>
      <rPr>
        <sz val="11"/>
        <color theme="1"/>
        <rFont val="ＭＳ Ｐゴシック"/>
        <family val="3"/>
        <charset val="128"/>
      </rPr>
      <t>4年</t>
    </r>
    <rPh sb="0" eb="2">
      <t>ヘイセイ</t>
    </rPh>
    <rPh sb="4" eb="5">
      <t>ネン</t>
    </rPh>
    <phoneticPr fontId="2"/>
  </si>
  <si>
    <r>
      <t>平成2</t>
    </r>
    <r>
      <rPr>
        <sz val="11"/>
        <color theme="1"/>
        <rFont val="ＭＳ Ｐゴシック"/>
        <family val="3"/>
        <charset val="128"/>
      </rPr>
      <t>5年</t>
    </r>
    <rPh sb="0" eb="2">
      <t>ヘイセイ</t>
    </rPh>
    <rPh sb="4" eb="5">
      <t>ネン</t>
    </rPh>
    <phoneticPr fontId="2"/>
  </si>
  <si>
    <r>
      <t>平成2</t>
    </r>
    <r>
      <rPr>
        <sz val="11"/>
        <color theme="1"/>
        <rFont val="ＭＳ Ｐゴシック"/>
        <family val="3"/>
        <charset val="128"/>
      </rPr>
      <t>6年</t>
    </r>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</si>
  <si>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</si>
  <si>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</si>
  <si>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</si>
  <si>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平成30年</t>
    <rPh sb="0" eb="2">
      <t>ヘイセイ</t>
    </rPh>
    <rPh sb="4" eb="5">
      <t>ネン</t>
    </rPh>
    <phoneticPr fontId="2"/>
  </si>
  <si>
    <t>平成31年</t>
    <rPh sb="0" eb="2">
      <t>ヘイセイ</t>
    </rPh>
    <rPh sb="4" eb="5">
      <t>ネン</t>
    </rPh>
    <phoneticPr fontId="2"/>
  </si>
  <si>
    <t>IO県内生産額</t>
    <rPh sb="2" eb="4">
      <t>ケンナイ</t>
    </rPh>
    <rPh sb="4" eb="7">
      <t>セイサンガク</t>
    </rPh>
    <phoneticPr fontId="1"/>
  </si>
  <si>
    <t>経済活動別付加価値率</t>
    <rPh sb="0" eb="2">
      <t>ケイザイ</t>
    </rPh>
    <rPh sb="2" eb="5">
      <t>カツドウベツ</t>
    </rPh>
    <rPh sb="5" eb="10">
      <t>フカカチリツ</t>
    </rPh>
    <phoneticPr fontId="1"/>
  </si>
  <si>
    <t>令和4年度</t>
    <rPh sb="0" eb="2">
      <t>レイワ</t>
    </rPh>
    <rPh sb="3" eb="5">
      <t>ネンド</t>
    </rPh>
    <phoneticPr fontId="22"/>
  </si>
  <si>
    <t>2025生産額</t>
    <rPh sb="4" eb="7">
      <t>セイサンガク</t>
    </rPh>
    <phoneticPr fontId="1"/>
  </si>
  <si>
    <t>令和5年度</t>
    <rPh sb="0" eb="2">
      <t>レイワ</t>
    </rPh>
    <rPh sb="3" eb="5">
      <t>ネンド</t>
    </rPh>
    <phoneticPr fontId="22"/>
  </si>
  <si>
    <t>令和7年</t>
    <rPh sb="0" eb="2">
      <t>レイワ</t>
    </rPh>
    <rPh sb="3" eb="4">
      <t>ネン</t>
    </rPh>
    <phoneticPr fontId="1"/>
  </si>
  <si>
    <t>2025.1-12</t>
    <phoneticPr fontId="1"/>
  </si>
  <si>
    <t>2025年</t>
    <rPh sb="4" eb="5">
      <t>ネン</t>
    </rPh>
    <phoneticPr fontId="1"/>
  </si>
  <si>
    <t>2025試算値</t>
    <rPh sb="4" eb="7">
      <t>シサンチ</t>
    </rPh>
    <phoneticPr fontId="1"/>
  </si>
  <si>
    <t>経済活動別付加価値額</t>
  </si>
  <si>
    <t>Value Added by Economic Activity</t>
  </si>
  <si>
    <t>2025年４－６月期四半期別ＧＤＰ速報（２次速報値）に基づく推計値</t>
  </si>
  <si>
    <t>Based on Quarterly Estimates of GDP for April-June 2025 (The Second Preliminary Estimates)</t>
  </si>
  <si>
    <t>名目原系列</t>
  </si>
  <si>
    <t>＜参考＞</t>
  </si>
  <si>
    <t>（単位:10億円）</t>
  </si>
  <si>
    <t>Nominal, Original Series</t>
  </si>
  <si>
    <t>＜cf＞</t>
  </si>
  <si>
    <t>(Billions Yen)</t>
  </si>
  <si>
    <t>１．農林水産業</t>
  </si>
  <si>
    <t>２．鉱業</t>
  </si>
  <si>
    <t>３．製造業</t>
  </si>
  <si>
    <t>４．電気・ガス・水道・廃棄物処理業</t>
  </si>
  <si>
    <t>５．建設業</t>
  </si>
  <si>
    <t>６．卸売・小売業</t>
  </si>
  <si>
    <t>７．運輸・郵便業</t>
  </si>
  <si>
    <t>８．宿泊・飲食サービス業</t>
  </si>
  <si>
    <t>９．情報通信業</t>
  </si>
  <si>
    <t>１０．金融・保険業</t>
  </si>
  <si>
    <t>１１．不動産業</t>
  </si>
  <si>
    <t>１２．専門・科学技術、業務支援サービス業</t>
  </si>
  <si>
    <t>１３．公務</t>
  </si>
  <si>
    <t>１４．教育</t>
  </si>
  <si>
    <t>１５．保健衛生・社会事業</t>
  </si>
  <si>
    <t>１６．その他のサービス</t>
  </si>
  <si>
    <t>小計</t>
  </si>
  <si>
    <t>統計上の不突合</t>
  </si>
  <si>
    <t>国内総生産(支出側)</t>
  </si>
  <si>
    <t>1. Agriculture, forestry and fishing</t>
  </si>
  <si>
    <t>2. Mining</t>
  </si>
  <si>
    <t>3. Manufacturing</t>
  </si>
  <si>
    <t>4.  Electricity, gas and water supply, waste management service</t>
  </si>
  <si>
    <t>5.  Construction</t>
  </si>
  <si>
    <t>6.  Wholesale and retail trade</t>
  </si>
  <si>
    <t>7.  Transport and postal services</t>
  </si>
  <si>
    <t>8.  Accommodation and food service activities</t>
  </si>
  <si>
    <t>9.  Information and communications</t>
  </si>
  <si>
    <t>10. Finance and insurance</t>
  </si>
  <si>
    <t>11. Real estate</t>
  </si>
  <si>
    <t>12. Professional, scientific and technical activities</t>
  </si>
  <si>
    <t>13. Public administration</t>
  </si>
  <si>
    <t>14. Education</t>
  </si>
  <si>
    <t>15. Human health and social work activities</t>
  </si>
  <si>
    <t>16. Other service activities</t>
  </si>
  <si>
    <t>Sub-total</t>
  </si>
  <si>
    <t>Gross domestic product (not including statistical discrepancy)</t>
  </si>
  <si>
    <t>Statistical discrepancy</t>
  </si>
  <si>
    <t>Gross domestic product (Expenditure Approach)</t>
  </si>
  <si>
    <t>年</t>
  </si>
  <si>
    <t>期</t>
  </si>
  <si>
    <t>（２）繊維製品</t>
  </si>
  <si>
    <t>（３）パルプ・紙・紙加工品</t>
  </si>
  <si>
    <t>（５）石油・石炭製品</t>
  </si>
  <si>
    <t>（６）窯業・土石製品</t>
  </si>
  <si>
    <t>（７）一次金属</t>
  </si>
  <si>
    <t>（９）はん用・生産用・業務用機械</t>
  </si>
  <si>
    <t>（１０）電子部品・デバイス</t>
  </si>
  <si>
    <t>（１１）電気機械</t>
  </si>
  <si>
    <t>（１２）情報・通信機器</t>
  </si>
  <si>
    <t>（１３）輸送用機械</t>
  </si>
  <si>
    <t>（１４）その他の製造業</t>
  </si>
  <si>
    <t>第１次産業</t>
  </si>
  <si>
    <t>第２次産業</t>
  </si>
  <si>
    <t>第３次産業</t>
  </si>
  <si>
    <t>year</t>
  </si>
  <si>
    <t>quarter</t>
  </si>
  <si>
    <t>(1)Food products and beverages</t>
  </si>
  <si>
    <t>(2)Textile products</t>
  </si>
  <si>
    <t>(3)Pulp, paper and paper products</t>
  </si>
  <si>
    <t>(4)Chemicals</t>
  </si>
  <si>
    <t>(5)Petroleum and coal products</t>
  </si>
  <si>
    <t xml:space="preserve">(6)Non-metallic mineral products </t>
  </si>
  <si>
    <t>(7)Basic metal</t>
  </si>
  <si>
    <t>(8)Fabricated metal products</t>
  </si>
  <si>
    <t>(9)General-purpose, production and business oriented machinery</t>
  </si>
  <si>
    <t>(10)Electronic components and devices</t>
  </si>
  <si>
    <t>(11)Electrical machinery, equipment and supplies</t>
  </si>
  <si>
    <t>(12)Information and communication electronics equipment</t>
  </si>
  <si>
    <t>(13)Transport equipment</t>
  </si>
  <si>
    <t>(14)Other manufacturing</t>
  </si>
  <si>
    <t>Primary industries</t>
  </si>
  <si>
    <t>Secondary industries</t>
  </si>
  <si>
    <t>Tertiary industries</t>
  </si>
  <si>
    <t>Ⅰ</t>
  </si>
  <si>
    <t>1994Q1</t>
  </si>
  <si>
    <t>Ⅱ</t>
  </si>
  <si>
    <t>1994Q2</t>
  </si>
  <si>
    <t>Ⅲ</t>
  </si>
  <si>
    <t>1994Q3</t>
  </si>
  <si>
    <t>Ⅳ</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</si>
  <si>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</si>
  <si>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</si>
  <si>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</si>
  <si>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</si>
  <si>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</si>
  <si>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</si>
  <si>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</si>
  <si>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</si>
  <si>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</si>
  <si>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</si>
  <si>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</si>
  <si>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</si>
  <si>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</si>
  <si>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</si>
  <si>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</si>
  <si>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</si>
  <si>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</si>
  <si>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</si>
  <si>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</si>
  <si>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</si>
  <si>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</si>
  <si>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</si>
  <si>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</si>
  <si>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</si>
  <si>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</si>
  <si>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</si>
  <si>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</si>
  <si>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</si>
  <si>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</si>
  <si>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</si>
  <si>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</si>
  <si>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</si>
  <si>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</si>
  <si>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</si>
  <si>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</si>
  <si>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</si>
  <si>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</si>
  <si>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</si>
  <si>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</si>
  <si>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</si>
  <si>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</si>
  <si>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</si>
  <si>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</si>
  <si>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</si>
  <si>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</si>
  <si>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</si>
  <si>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</si>
  <si>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</si>
  <si>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</si>
  <si>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</si>
  <si>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</si>
  <si>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</si>
  <si>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</si>
  <si>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</si>
  <si>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</si>
  <si>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</si>
  <si>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</si>
  <si>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</si>
  <si>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</si>
  <si>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</si>
  <si>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</si>
  <si>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</si>
  <si>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</si>
  <si>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</si>
  <si>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</si>
  <si>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</si>
  <si>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</si>
  <si>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</si>
  <si>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</si>
  <si>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</si>
  <si>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</si>
  <si>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</si>
  <si>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</si>
  <si>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</si>
  <si>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</si>
  <si>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</si>
  <si>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</si>
  <si>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</si>
  <si>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</si>
  <si>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</si>
  <si>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</si>
  <si>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</si>
  <si>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</si>
  <si>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</si>
  <si>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</si>
  <si>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</si>
  <si>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</si>
  <si>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</si>
  <si>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</si>
  <si>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</si>
  <si>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</si>
  <si>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</si>
  <si>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</si>
  <si>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</si>
  <si>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</si>
  <si>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</si>
  <si>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</si>
  <si>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</si>
  <si>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</si>
  <si>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</si>
  <si>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</si>
  <si>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</si>
  <si>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</si>
  <si>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</si>
  <si>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</si>
  <si>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</si>
  <si>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</si>
  <si>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</si>
  <si>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</si>
  <si>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</si>
  <si>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</si>
  <si>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</si>
  <si>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</si>
  <si>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</si>
  <si>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</si>
  <si>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</si>
  <si>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</si>
  <si>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</si>
  <si>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</si>
  <si>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</si>
  <si>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</si>
  <si>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</si>
  <si>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</si>
  <si>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（備考）</t>
  </si>
  <si>
    <t>１．「統計上の不突合」は「国内総生産（支出側）」－「合計」により求めている。</t>
  </si>
  <si>
    <t>２．「合計」は、「小計」＋「輸入品に課される税・関税」－「総資本形成に係る消費税」により求めており、年次推計における「国内総生産（不突合を含まず）」に対応する。</t>
  </si>
  <si>
    <t>(note)</t>
  </si>
  <si>
    <t>1. "Statistical discrepancy" is calculated as "Gross domestic product (Expenditure Approach)" - "Gross domestic product (not including statistical discrepancy)."</t>
  </si>
  <si>
    <t>2. "Gross domestic product (not including statistical discrepancy)" includes Taxes and duties on imports less Consumption taxes for gross capital formation in addition to "Sub-total."</t>
  </si>
  <si>
    <t>経済活動別産出額</t>
  </si>
  <si>
    <t>Gross Output by Economic Activity</t>
  </si>
  <si>
    <t>Total</t>
  </si>
  <si>
    <t>「合計」は、「小計」＋「輸入品に課される税・関税」－「総資本形成に係る消費税」により求めており、一国全体の産出額に対応する。</t>
  </si>
  <si>
    <t>"Total" includes Taxes and duties on imports less Consumption taxes for gross capital formation in addition to "Sub-total."</t>
  </si>
  <si>
    <t>令和7年</t>
    <rPh sb="0" eb="2">
      <t>レイワ</t>
    </rPh>
    <rPh sb="3" eb="4">
      <t>ネン</t>
    </rPh>
    <phoneticPr fontId="2"/>
  </si>
  <si>
    <t>7年/1-3月</t>
    <phoneticPr fontId="1"/>
  </si>
  <si>
    <t>令和7年度</t>
    <rPh sb="0" eb="2">
      <t>レイワ</t>
    </rPh>
    <rPh sb="3" eb="5">
      <t>ネンド</t>
    </rPh>
    <rPh sb="4" eb="5">
      <t>ド</t>
    </rPh>
    <phoneticPr fontId="7"/>
  </si>
  <si>
    <t>8年/1-3月</t>
    <phoneticPr fontId="1"/>
  </si>
  <si>
    <t>令和7年度</t>
    <rPh sb="0" eb="2">
      <t>レイワ</t>
    </rPh>
    <phoneticPr fontId="5"/>
  </si>
  <si>
    <t>統計表3　2025年兵庫県スポーツＧＤＰの県内経済波及効果</t>
    <rPh sb="0" eb="2">
      <t>トウケイ</t>
    </rPh>
    <rPh sb="2" eb="3">
      <t>ヒョウ</t>
    </rPh>
    <rPh sb="9" eb="10">
      <t>ネン</t>
    </rPh>
    <rPh sb="10" eb="13">
      <t>ヒョウゴケン</t>
    </rPh>
    <phoneticPr fontId="5"/>
  </si>
  <si>
    <t>表 2025年スポーツ産業経済波及効果</t>
    <rPh sb="0" eb="1">
      <t>ヒョウ</t>
    </rPh>
    <rPh sb="6" eb="7">
      <t>ネン</t>
    </rPh>
    <rPh sb="11" eb="13">
      <t>サンギョウ</t>
    </rPh>
    <rPh sb="13" eb="15">
      <t>ケイザイ</t>
    </rPh>
    <rPh sb="15" eb="17">
      <t>ハキュウ</t>
    </rPh>
    <rPh sb="17" eb="19">
      <t>コウカ</t>
    </rPh>
    <phoneticPr fontId="5"/>
  </si>
  <si>
    <t>2025/2020</t>
    <phoneticPr fontId="1"/>
  </si>
  <si>
    <t>小計</t>
    <rPh sb="0" eb="2">
      <t>ショウケイ</t>
    </rPh>
    <phoneticPr fontId="1"/>
  </si>
  <si>
    <t>推計</t>
    <rPh sb="0" eb="2">
      <t>スイケイ</t>
    </rPh>
    <phoneticPr fontId="1"/>
  </si>
  <si>
    <t>速報</t>
    <rPh sb="0" eb="2">
      <t>ソクホウ</t>
    </rPh>
    <phoneticPr fontId="1"/>
  </si>
  <si>
    <t>(資料)兵庫県「令和2年兵庫県産業連関表」</t>
    <rPh sb="1" eb="3">
      <t>シリョウ</t>
    </rPh>
    <rPh sb="4" eb="7">
      <t>ヒョウゴケン</t>
    </rPh>
    <rPh sb="8" eb="10">
      <t>レイワ</t>
    </rPh>
    <rPh sb="11" eb="12">
      <t>ネン</t>
    </rPh>
    <rPh sb="12" eb="14">
      <t>ヒョウゴ</t>
    </rPh>
    <rPh sb="14" eb="15">
      <t>ケン</t>
    </rPh>
    <rPh sb="15" eb="17">
      <t>サンギョウ</t>
    </rPh>
    <rPh sb="17" eb="19">
      <t>レンカン</t>
    </rPh>
    <rPh sb="19" eb="20">
      <t>ヒョウ</t>
    </rPh>
    <phoneticPr fontId="1"/>
  </si>
  <si>
    <t>令和6年</t>
    <phoneticPr fontId="1"/>
  </si>
  <si>
    <t>2024年速報</t>
    <rPh sb="4" eb="5">
      <t>ネン</t>
    </rPh>
    <rPh sb="5" eb="7">
      <t>ソクホウ</t>
    </rPh>
    <phoneticPr fontId="1"/>
  </si>
  <si>
    <t>(資料）兵庫県統計課「四半期別兵庫県内GDP速報」</t>
    <rPh sb="1" eb="3">
      <t>シリョウ</t>
    </rPh>
    <rPh sb="4" eb="7">
      <t>ヒョウゴケン</t>
    </rPh>
    <rPh sb="7" eb="9">
      <t>トウケイ</t>
    </rPh>
    <rPh sb="9" eb="10">
      <t>カ</t>
    </rPh>
    <rPh sb="11" eb="15">
      <t>シハンキベツ</t>
    </rPh>
    <rPh sb="15" eb="19">
      <t>ヒョウゴケンナイ</t>
    </rPh>
    <rPh sb="22" eb="24">
      <t>ソクホウ</t>
    </rPh>
    <phoneticPr fontId="1"/>
  </si>
  <si>
    <t>　　　　(2025年12月推計）</t>
    <rPh sb="9" eb="10">
      <t>ネン</t>
    </rPh>
    <rPh sb="12" eb="13">
      <t>ガツ</t>
    </rPh>
    <rPh sb="13" eb="15">
      <t>スイケイ</t>
    </rPh>
    <phoneticPr fontId="1"/>
  </si>
  <si>
    <t>(出所）兵庫県統計課(2025)「令和2年兵庫県産業連関表」</t>
    <rPh sb="1" eb="3">
      <t>シュッショ</t>
    </rPh>
    <rPh sb="4" eb="6">
      <t>ヒョウゴ</t>
    </rPh>
    <rPh sb="6" eb="7">
      <t>ケン</t>
    </rPh>
    <rPh sb="7" eb="9">
      <t>トウケイ</t>
    </rPh>
    <rPh sb="9" eb="10">
      <t>カ</t>
    </rPh>
    <rPh sb="17" eb="19">
      <t>レイワ</t>
    </rPh>
    <rPh sb="20" eb="21">
      <t>ネン</t>
    </rPh>
    <rPh sb="21" eb="24">
      <t>ヒョウゴケン</t>
    </rPh>
    <rPh sb="24" eb="26">
      <t>サンギョウ</t>
    </rPh>
    <rPh sb="26" eb="28">
      <t>レンカン</t>
    </rPh>
    <rPh sb="28" eb="29">
      <t>ヒョウ</t>
    </rPh>
    <phoneticPr fontId="5"/>
  </si>
  <si>
    <t>(出所）兵庫県立大学地域経済指標研究会推計(2026)</t>
    <rPh sb="1" eb="3">
      <t>シュッショ</t>
    </rPh>
    <rPh sb="4" eb="6">
      <t>ヒョウゴ</t>
    </rPh>
    <rPh sb="6" eb="8">
      <t>ケンリツ</t>
    </rPh>
    <rPh sb="8" eb="10">
      <t>ダイガク</t>
    </rPh>
    <rPh sb="10" eb="12">
      <t>チイキ</t>
    </rPh>
    <rPh sb="12" eb="14">
      <t>ケイザイ</t>
    </rPh>
    <rPh sb="14" eb="16">
      <t>シヒョウ</t>
    </rPh>
    <rPh sb="16" eb="19">
      <t>ケンキュウカイ</t>
    </rPh>
    <rPh sb="19" eb="21">
      <t>スイケイ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</si>
</sst>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
    <numFmt numFmtId="177" formatCode="#,##0.0;[Red]\-#,##0.0"/>
    <numFmt numFmtId="178" formatCode="#,##0;&quot;▲ &quot;#,##0"/>
    <numFmt numFmtId="179" formatCode="#,##0_ "/>
    <numFmt numFmtId="180" formatCode="\(@\)"/>
    <numFmt numFmtId="181" formatCode="#,##0.0;&quot;▲ &quot;#,##0.0"/>
    <numFmt numFmtId="182" formatCode="0_ "/>
    <numFmt numFmtId="183" formatCode="0_);[Red]\(0\)"/>
    <numFmt numFmtId="184" formatCode="#,##0.0000_ ;[Red]\-#,##0.0000\ "/>
    <numFmt numFmtId="185" formatCode="#,##0.00000;[Red]\-#,##0.00000"/>
    <numFmt numFmtId="186" formatCode="#,##0.000000;&quot;▲ &quot;#,##0.000000"/>
    <numFmt numFmtId="187" formatCode="#,##0.00000;&quot;▲ &quot;#,##0.00000"/>
    <numFmt numFmtId="188" formatCode="#,##0_);[Red]\(#,##0\)"/>
    <numFmt numFmtId="189" formatCode="0_);\(0\)"/>
    <numFmt numFmtId="190" formatCode="0.0;&quot;▲ &quot;0.0"/>
    <numFmt numFmtId="191" formatCode="0.00;&quot;▲ &quot;0.00"/>
    <numFmt numFmtId="192" formatCode="#,##0.00;&quot;▲ &quot;#,##0.00"/>
    <numFmt numFmtId="193" formatCode="0.0"/>
    <numFmt numFmtId="194" formatCode="#,##0_ ;[Red]\-#,##0\ "/>
    <numFmt numFmtId="195" formatCode="#,##0.0_ ;[Red]\-#,##0.0\ "/>
    <numFmt numFmtId="196" formatCode="0.00000000"/>
    <numFmt numFmtId="197" formatCode="0.0000000"/>
    <numFmt numFmtId="198" formatCode="0;&quot;▲ &quot;0"/>
    <numFmt numFmtId="199" formatCode="0.000000_);[Red]\(0.000000\)"/>
  </numFmts>
  <fonts count="38">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sz val="11"/>
      <color theme="1"/>
      <name val="ＭＳ Ｐゴシック"/>
      <family val="3"/>
      <charset val="128"/>
    </font>
    <font>
      <sz val="10"/>
      <name val="ＭＳ Ｐゴシック"/>
      <family val="3"/>
      <charset val="128"/>
    </font>
    <font>
      <b/>
      <sz val="10"/>
      <name val="ＭＳ Ｐゴシック"/>
      <family val="3"/>
      <charset val="128"/>
    </font>
    <font>
      <sz val="10"/>
      <color indexed="8"/>
      <name val="ＭＳ Ｐゴシック"/>
      <family val="3"/>
      <charset val="128"/>
    </font>
    <font>
      <b/>
      <sz val="11"/>
      <color theme="1"/>
      <name val="ＭＳ Ｐゴシック"/>
      <family val="3"/>
      <charset val="128"/>
    </font>
    <font>
      <sz val="6"/>
      <name val="ＭＳ 明朝"/>
      <family val="2"/>
      <charset val="128"/>
    </font>
    <font>
      <sz val="10"/>
      <color theme="1"/>
      <name val="ＭＳ Ｐゴシック"/>
      <family val="3"/>
      <charset val="128"/>
    </font>
    <font>
      <sz val="6"/>
      <name val="ＭＳ Ｐゴシック"/>
      <family val="2"/>
      <charset val="128"/>
    </font>
    <font>
      <sz val="12"/>
      <name val="ＭＳ 明朝"/>
      <family val="1"/>
      <charset val="128"/>
    </font>
    <font>
      <sz val="6"/>
      <name val="ＭＳ Ｐ明朝"/>
      <family val="1"/>
      <charset val="128"/>
    </font>
    <font>
      <b/>
      <sz val="10"/>
      <name val="Arial"/>
      <family val="2"/>
    </font>
    <font>
      <sz val="9"/>
      <color indexed="81"/>
      <name val="ＭＳ Ｐゴシック"/>
      <family val="3"/>
      <charset val="128"/>
    </font>
    <font>
      <sz val="10"/>
      <color rgb="FFFF0000"/>
      <name val="ＭＳ Ｐゴシック"/>
      <family val="3"/>
      <charset val="128"/>
    </font>
    <font>
      <sz val="10"/>
      <color indexed="10"/>
      <name val="ＭＳ Ｐゴシック"/>
      <family val="3"/>
      <charset val="128"/>
    </font>
    <font>
      <u/>
      <sz val="11"/>
      <color indexed="12"/>
      <name val="ＭＳ Ｐゴシック"/>
      <family val="3"/>
      <charset val="128"/>
    </font>
    <font>
      <sz val="10"/>
      <color theme="1"/>
      <name val="MSゴシック"/>
      <family val="3"/>
      <charset val="128"/>
    </font>
    <font>
      <sz val="7"/>
      <name val="ＭＳ Ｐゴシック"/>
      <family val="3"/>
      <charset val="128"/>
    </font>
    <font>
      <sz val="10"/>
      <name val="ＭＳ 明朝"/>
      <family val="1"/>
      <charset val="128"/>
    </font>
    <font>
      <u/>
      <sz val="11"/>
      <color theme="10"/>
      <name val="游ゴシック"/>
      <family val="2"/>
      <charset val="128"/>
      <scheme val="minor"/>
    </font>
    <font>
      <u/>
      <sz val="11"/>
      <color theme="10"/>
      <name val="ＭＳ Ｐゴシック"/>
      <family val="3"/>
      <charset val="128"/>
    </font>
    <font>
      <sz val="11"/>
      <name val="ＭＳ 明朝"/>
      <family val="1"/>
      <charset val="128"/>
    </font>
    <font>
      <b/>
      <sz val="9"/>
      <color indexed="81"/>
      <name val="ＭＳ Ｐゴシック"/>
      <family val="3"/>
      <charset val="128"/>
    </font>
    <font>
      <sz val="9"/>
      <color indexed="81"/>
      <name val="MS P ゴシック"/>
      <family val="3"/>
      <charset val="128"/>
    </font>
    <font>
      <b/>
      <sz val="9"/>
      <color indexed="81"/>
      <name val="MS P ゴシック"/>
      <family val="3"/>
      <charset val="128"/>
    </font>
    <font>
      <b/>
      <sz val="8"/>
      <color indexed="81"/>
      <name val="ＭＳ Ｐゴシック"/>
      <family val="3"/>
      <charset val="128"/>
    </font>
    <font>
      <sz val="8"/>
      <color indexed="81"/>
      <name val="ＭＳ Ｐゴシック"/>
      <family val="3"/>
      <charset val="128"/>
    </font>
    <font>
      <b/>
      <sz val="10"/>
      <color theme="1"/>
      <name val="ＭＳ Ｐゴシック"/>
      <family val="3"/>
      <charset val="128"/>
    </font>
    <font>
      <sz val="6"/>
      <name val="游ゴシック"/>
      <family val="2"/>
      <charset val="128"/>
    </font>
    <font>
      <b/>
      <u/>
      <sz val="10"/>
      <color theme="1"/>
      <name val="ＭＳ Ｐゴシック"/>
      <family val="3"/>
      <charset val="128"/>
    </font>
    <font>
      <sz val="10"/>
      <color theme="1"/>
      <name val="游ゴシック"/>
      <family val="2"/>
      <charset val="128"/>
      <scheme val="minor"/>
    </font>
    <font>
      <sz val="10"/>
      <color rgb="FF0000FF"/>
      <name val="游ゴシック"/>
      <family val="2"/>
      <charset val="128"/>
      <scheme val="minor"/>
    </font>
    <font>
      <sz val="10"/>
      <name val="游ゴシック"/>
      <family val="2"/>
      <charset val="128"/>
    </font>
  </fonts>
  <fills count="2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rgb="FFFFFF99"/>
      </patternFill>
    </fill>
    <fill>
      <patternFill patternType="solid">
        <fgColor rgb="FFFFFFFF"/>
        <bgColor rgb="FF000000"/>
      </patternFill>
    </fill>
    <fill>
      <patternFill patternType="solid">
        <fgColor theme="7" tint="0.59999389629810485"/>
        <bgColor indexed="64"/>
      </patternFill>
    </fill>
    <fill>
      <patternFill patternType="solid">
        <fgColor rgb="FF99CCFF"/>
        <bgColor indexed="64"/>
      </patternFill>
    </fill>
    <fill>
      <patternFill patternType="solid">
        <fgColor rgb="FFFFFF00"/>
        <bgColor indexed="64"/>
      </patternFill>
    </fill>
    <fill>
      <patternFill patternType="solid">
        <fgColor rgb="FFFFFF00"/>
        <bgColor rgb="FFFFFF99"/>
      </patternFill>
    </fill>
    <fill>
      <patternFill patternType="solid">
        <fgColor rgb="FFFFFF00"/>
        <bgColor rgb="FFFFC000"/>
      </patternFill>
    </fill>
    <fill>
      <patternFill patternType="solid">
        <fgColor rgb="FFFFC000"/>
        <bgColor indexed="64"/>
      </patternFill>
    </fill>
    <fill>
      <patternFill patternType="solid">
        <fgColor theme="0" tint="-0.249977111117893"/>
        <bgColor indexed="64"/>
      </patternFill>
    </fill>
    <fill>
      <patternFill patternType="solid">
        <fgColor indexed="22"/>
        <bgColor indexed="64"/>
      </patternFill>
    </fill>
    <fill>
      <patternFill patternType="solid">
        <fgColor rgb="FF00B050"/>
        <bgColor indexed="64"/>
      </patternFill>
    </fill>
    <fill>
      <patternFill patternType="solid">
        <fgColor rgb="FF00B0F0"/>
        <bgColor indexed="64"/>
      </patternFill>
    </fill>
    <fill>
      <patternFill patternType="solid">
        <fgColor indexed="46"/>
        <bgColor indexed="64"/>
      </patternFill>
    </fill>
    <fill>
      <patternFill patternType="solid">
        <fgColor theme="8" tint="0.79998168889431442"/>
        <bgColor rgb="FF000000"/>
      </patternFill>
    </fill>
    <fill>
      <patternFill patternType="solid">
        <fgColor theme="8" tint="0.59999389629810485"/>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9" tint="0.39997558519241921"/>
        <bgColor indexed="64"/>
      </patternFill>
    </fill>
    <fill>
      <patternFill patternType="solid">
        <fgColor theme="0" tint="-4.9989318521683403E-2"/>
        <bgColor indexed="64"/>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8"/>
      </top>
      <bottom/>
      <diagonal/>
    </border>
    <border>
      <left/>
      <right/>
      <top style="thin">
        <color indexed="8"/>
      </top>
      <bottom/>
      <diagonal/>
    </border>
    <border>
      <left style="thin">
        <color indexed="8"/>
      </left>
      <right/>
      <top/>
      <bottom/>
      <diagonal/>
    </border>
    <border>
      <left style="thin">
        <color indexed="8"/>
      </left>
      <right style="thin">
        <color indexed="64"/>
      </right>
      <top/>
      <bottom/>
      <diagonal/>
    </border>
    <border>
      <left style="thin">
        <color auto="1"/>
      </left>
      <right/>
      <top/>
      <bottom/>
      <diagonal/>
    </border>
    <border>
      <left style="thin">
        <color auto="1"/>
      </left>
      <right style="thin">
        <color auto="1"/>
      </right>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xf numFmtId="0" fontId="14" fillId="0" borderId="0"/>
    <xf numFmtId="0" fontId="7" fillId="0" borderId="0"/>
    <xf numFmtId="0" fontId="7" fillId="0" borderId="0"/>
    <xf numFmtId="0" fontId="3" fillId="0" borderId="0">
      <alignment vertical="center"/>
    </xf>
    <xf numFmtId="0" fontId="24" fillId="0" borderId="0" applyNumberFormat="0" applyFill="0" applyBorder="0" applyAlignment="0" applyProtection="0">
      <alignment vertical="center"/>
    </xf>
  </cellStyleXfs>
  <cellXfs count="1786">
    <xf numFmtId="0" fontId="0" fillId="0" borderId="0" xfId="0">
      <alignment vertical="center"/>
    </xf>
    <xf numFmtId="0" fontId="4" fillId="2" borderId="0" xfId="2" applyFont="1" applyFill="1" applyAlignment="1">
      <alignment horizontal="left" vertical="center"/>
    </xf>
    <xf numFmtId="0" fontId="3" fillId="0" borderId="0" xfId="0" applyFont="1" applyAlignment="1"/>
    <xf numFmtId="38" fontId="3" fillId="0" borderId="2" xfId="1" applyFont="1" applyBorder="1" applyAlignment="1"/>
    <xf numFmtId="38" fontId="3" fillId="0" borderId="2" xfId="0" applyNumberFormat="1" applyFont="1" applyBorder="1" applyAlignment="1"/>
    <xf numFmtId="177" fontId="3" fillId="0" borderId="4" xfId="1" applyNumberFormat="1" applyFont="1" applyBorder="1" applyAlignment="1"/>
    <xf numFmtId="178" fontId="3" fillId="0" borderId="4" xfId="1" applyNumberFormat="1" applyFont="1" applyBorder="1" applyAlignment="1"/>
    <xf numFmtId="38" fontId="3" fillId="0" borderId="0" xfId="1" applyFont="1" applyBorder="1" applyAlignment="1"/>
    <xf numFmtId="38" fontId="3" fillId="0" borderId="0" xfId="0" applyNumberFormat="1" applyFont="1" applyAlignment="1"/>
    <xf numFmtId="177" fontId="3" fillId="0" borderId="9" xfId="1" applyNumberFormat="1" applyFont="1" applyBorder="1" applyAlignment="1"/>
    <xf numFmtId="178" fontId="3" fillId="0" borderId="9" xfId="1" applyNumberFormat="1" applyFont="1" applyBorder="1" applyAlignment="1"/>
    <xf numFmtId="38" fontId="3" fillId="0" borderId="6" xfId="1" applyFont="1" applyBorder="1" applyAlignment="1"/>
    <xf numFmtId="38" fontId="3" fillId="0" borderId="6" xfId="0" applyNumberFormat="1" applyFont="1" applyBorder="1" applyAlignment="1"/>
    <xf numFmtId="177" fontId="3" fillId="0" borderId="8" xfId="1" applyNumberFormat="1" applyFont="1" applyBorder="1" applyAlignment="1"/>
    <xf numFmtId="178" fontId="3" fillId="0" borderId="8" xfId="1" applyNumberFormat="1" applyFont="1" applyBorder="1" applyAlignment="1"/>
    <xf numFmtId="38" fontId="3" fillId="0" borderId="15" xfId="1" applyFont="1" applyBorder="1" applyAlignment="1"/>
    <xf numFmtId="38" fontId="3" fillId="0" borderId="15" xfId="0" applyNumberFormat="1" applyFont="1" applyBorder="1" applyAlignment="1"/>
    <xf numFmtId="177" fontId="3" fillId="0" borderId="16" xfId="1" applyNumberFormat="1" applyFont="1" applyBorder="1" applyAlignment="1"/>
    <xf numFmtId="178" fontId="3" fillId="0" borderId="16" xfId="1" applyNumberFormat="1" applyFont="1" applyBorder="1" applyAlignment="1"/>
    <xf numFmtId="179" fontId="3" fillId="0" borderId="0" xfId="0" applyNumberFormat="1" applyFont="1" applyAlignment="1"/>
    <xf numFmtId="179" fontId="3" fillId="3" borderId="2" xfId="0" applyNumberFormat="1" applyFont="1" applyFill="1" applyBorder="1" applyAlignment="1"/>
    <xf numFmtId="38" fontId="3" fillId="3" borderId="2" xfId="0" applyNumberFormat="1" applyFont="1" applyFill="1" applyBorder="1" applyAlignment="1"/>
    <xf numFmtId="179" fontId="3" fillId="3" borderId="0" xfId="0" applyNumberFormat="1" applyFont="1" applyFill="1" applyAlignment="1"/>
    <xf numFmtId="38" fontId="3" fillId="3" borderId="0" xfId="0" applyNumberFormat="1" applyFont="1" applyFill="1" applyAlignment="1"/>
    <xf numFmtId="179" fontId="3" fillId="0" borderId="6" xfId="0" applyNumberFormat="1" applyFont="1" applyBorder="1" applyAlignment="1"/>
    <xf numFmtId="179" fontId="3" fillId="0" borderId="2" xfId="0" applyNumberFormat="1" applyFont="1" applyBorder="1" applyAlignment="1"/>
    <xf numFmtId="179" fontId="3" fillId="0" borderId="15" xfId="0" applyNumberFormat="1" applyFont="1" applyBorder="1" applyAlignment="1"/>
    <xf numFmtId="179" fontId="3" fillId="3" borderId="15" xfId="0" applyNumberFormat="1" applyFont="1" applyFill="1" applyBorder="1" applyAlignment="1"/>
    <xf numFmtId="38" fontId="3" fillId="3" borderId="15" xfId="0" applyNumberFormat="1" applyFont="1" applyFill="1" applyBorder="1" applyAlignment="1"/>
    <xf numFmtId="0" fontId="3" fillId="3" borderId="0" xfId="0" applyFont="1" applyFill="1" applyAlignment="1"/>
    <xf numFmtId="179" fontId="3" fillId="3" borderId="6" xfId="0" applyNumberFormat="1" applyFont="1" applyFill="1" applyBorder="1" applyAlignment="1"/>
    <xf numFmtId="38" fontId="3" fillId="3" borderId="6" xfId="0" applyNumberFormat="1" applyFont="1" applyFill="1" applyBorder="1" applyAlignment="1"/>
    <xf numFmtId="179" fontId="3" fillId="2" borderId="2" xfId="0" applyNumberFormat="1" applyFont="1" applyFill="1" applyBorder="1" applyAlignment="1"/>
    <xf numFmtId="179" fontId="3" fillId="4" borderId="6" xfId="0" applyNumberFormat="1" applyFont="1" applyFill="1" applyBorder="1" applyAlignment="1"/>
    <xf numFmtId="179" fontId="3" fillId="4" borderId="0" xfId="0" applyNumberFormat="1" applyFont="1" applyFill="1" applyAlignment="1"/>
    <xf numFmtId="38" fontId="3" fillId="3" borderId="2" xfId="1" applyFont="1" applyFill="1" applyBorder="1" applyAlignment="1"/>
    <xf numFmtId="38" fontId="3" fillId="3" borderId="0" xfId="1" applyFont="1" applyFill="1" applyBorder="1" applyAlignment="1"/>
    <xf numFmtId="38" fontId="3" fillId="5" borderId="0" xfId="1" applyFont="1" applyFill="1" applyBorder="1" applyAlignment="1"/>
    <xf numFmtId="38" fontId="3" fillId="5" borderId="0" xfId="0" applyNumberFormat="1" applyFont="1" applyFill="1" applyAlignment="1"/>
    <xf numFmtId="179" fontId="3" fillId="0" borderId="14" xfId="0" applyNumberFormat="1" applyFont="1" applyBorder="1" applyAlignment="1"/>
    <xf numFmtId="38" fontId="3" fillId="0" borderId="0" xfId="1" applyFont="1" applyAlignment="1"/>
    <xf numFmtId="38" fontId="3" fillId="5" borderId="6" xfId="1" applyFont="1" applyFill="1" applyBorder="1" applyAlignment="1"/>
    <xf numFmtId="177" fontId="3" fillId="3" borderId="16" xfId="1" applyNumberFormat="1" applyFont="1" applyFill="1" applyBorder="1" applyAlignment="1"/>
    <xf numFmtId="178" fontId="3" fillId="3" borderId="9" xfId="1" applyNumberFormat="1" applyFont="1" applyFill="1" applyBorder="1" applyAlignment="1"/>
    <xf numFmtId="177" fontId="3" fillId="3" borderId="9" xfId="1" applyNumberFormat="1" applyFont="1" applyFill="1" applyBorder="1" applyAlignment="1"/>
    <xf numFmtId="178" fontId="3" fillId="3" borderId="16" xfId="1" applyNumberFormat="1" applyFont="1" applyFill="1" applyBorder="1" applyAlignment="1"/>
    <xf numFmtId="38" fontId="3" fillId="4" borderId="15" xfId="0" applyNumberFormat="1" applyFont="1" applyFill="1" applyBorder="1" applyAlignment="1"/>
    <xf numFmtId="177" fontId="3" fillId="4" borderId="16" xfId="1" applyNumberFormat="1" applyFont="1" applyFill="1" applyBorder="1" applyAlignment="1"/>
    <xf numFmtId="178" fontId="3" fillId="4" borderId="8" xfId="1" applyNumberFormat="1" applyFont="1" applyFill="1" applyBorder="1" applyAlignment="1"/>
    <xf numFmtId="177" fontId="3" fillId="0" borderId="0" xfId="1" applyNumberFormat="1" applyFont="1" applyAlignment="1"/>
    <xf numFmtId="0" fontId="3" fillId="2" borderId="0" xfId="2" applyFill="1" applyAlignment="1">
      <alignment vertical="center"/>
    </xf>
    <xf numFmtId="0" fontId="3" fillId="0" borderId="0" xfId="2" applyAlignment="1">
      <alignment horizontal="right" vertical="center"/>
    </xf>
    <xf numFmtId="0" fontId="6" fillId="0" borderId="0" xfId="0" applyFont="1" applyAlignment="1"/>
    <xf numFmtId="0" fontId="3" fillId="2" borderId="1" xfId="2" applyFill="1" applyBorder="1" applyAlignment="1">
      <alignment horizontal="left" vertical="center"/>
    </xf>
    <xf numFmtId="0" fontId="3" fillId="2" borderId="2" xfId="2" applyFill="1" applyBorder="1" applyAlignment="1">
      <alignment vertical="center"/>
    </xf>
    <xf numFmtId="0" fontId="3" fillId="2" borderId="3" xfId="2" applyFill="1" applyBorder="1" applyAlignment="1">
      <alignment vertical="center"/>
    </xf>
    <xf numFmtId="0" fontId="6" fillId="0" borderId="2" xfId="0" applyFont="1" applyBorder="1" applyAlignment="1">
      <alignment horizontal="center"/>
    </xf>
    <xf numFmtId="0" fontId="6" fillId="0" borderId="2" xfId="2" applyFont="1" applyBorder="1" applyAlignment="1">
      <alignment horizontal="center" vertical="center"/>
    </xf>
    <xf numFmtId="0" fontId="6" fillId="0" borderId="4" xfId="0" applyFont="1" applyBorder="1" applyAlignment="1"/>
    <xf numFmtId="0" fontId="6" fillId="0" borderId="4" xfId="0" applyFont="1" applyBorder="1" applyAlignment="1">
      <alignment horizontal="center"/>
    </xf>
    <xf numFmtId="0" fontId="3" fillId="2" borderId="7" xfId="2" applyFill="1" applyBorder="1" applyAlignment="1">
      <alignment vertical="center"/>
    </xf>
    <xf numFmtId="0" fontId="6" fillId="0" borderId="6" xfId="0" applyFont="1" applyBorder="1" applyAlignment="1">
      <alignment horizontal="center"/>
    </xf>
    <xf numFmtId="0" fontId="6" fillId="0" borderId="6" xfId="2" applyFont="1" applyBorder="1" applyAlignment="1">
      <alignment horizontal="center" vertical="center"/>
    </xf>
    <xf numFmtId="0" fontId="6" fillId="0" borderId="8" xfId="0" applyFont="1" applyBorder="1" applyAlignment="1">
      <alignment horizontal="center"/>
    </xf>
    <xf numFmtId="0" fontId="6" fillId="0" borderId="8" xfId="0" quotePrefix="1" applyFont="1" applyBorder="1" applyAlignment="1">
      <alignment horizontal="center"/>
    </xf>
    <xf numFmtId="0" fontId="6" fillId="0" borderId="8" xfId="0" applyFont="1" applyBorder="1" applyAlignment="1"/>
    <xf numFmtId="49" fontId="3" fillId="2" borderId="1" xfId="2" applyNumberFormat="1" applyFill="1" applyBorder="1" applyAlignment="1">
      <alignment horizontal="right" vertical="center" shrinkToFit="1"/>
    </xf>
    <xf numFmtId="176" fontId="3" fillId="2" borderId="2" xfId="2" applyNumberFormat="1" applyFill="1" applyBorder="1" applyAlignment="1">
      <alignment vertical="center" shrinkToFit="1"/>
    </xf>
    <xf numFmtId="0" fontId="3" fillId="2" borderId="4" xfId="2" applyFill="1" applyBorder="1" applyAlignment="1">
      <alignment vertical="center" shrinkToFit="1"/>
    </xf>
    <xf numFmtId="38" fontId="3" fillId="0" borderId="2" xfId="2" applyNumberFormat="1" applyBorder="1" applyAlignment="1">
      <alignment vertical="center" shrinkToFit="1"/>
    </xf>
    <xf numFmtId="0" fontId="6" fillId="0" borderId="9" xfId="0" applyFont="1" applyBorder="1" applyAlignment="1"/>
    <xf numFmtId="49" fontId="3" fillId="2" borderId="10" xfId="2" applyNumberFormat="1" applyFill="1" applyBorder="1" applyAlignment="1">
      <alignment horizontal="right" vertical="center" shrinkToFit="1"/>
    </xf>
    <xf numFmtId="176" fontId="3" fillId="2" borderId="0" xfId="2" applyNumberFormat="1" applyFill="1" applyAlignment="1">
      <alignment vertical="center" shrinkToFit="1"/>
    </xf>
    <xf numFmtId="0" fontId="3" fillId="2" borderId="11" xfId="2" applyFill="1" applyBorder="1" applyAlignment="1">
      <alignment vertical="center" shrinkToFit="1"/>
    </xf>
    <xf numFmtId="38" fontId="3" fillId="0" borderId="0" xfId="2" applyNumberFormat="1" applyAlignment="1">
      <alignment vertical="center" shrinkToFit="1"/>
    </xf>
    <xf numFmtId="0" fontId="3" fillId="2" borderId="9" xfId="2" applyFill="1" applyBorder="1" applyAlignment="1">
      <alignment vertical="center" shrinkToFit="1"/>
    </xf>
    <xf numFmtId="38" fontId="3" fillId="3" borderId="0" xfId="2" applyNumberFormat="1" applyFill="1" applyAlignment="1">
      <alignment vertical="center" shrinkToFit="1"/>
    </xf>
    <xf numFmtId="49" fontId="3" fillId="2" borderId="12" xfId="2" applyNumberFormat="1" applyFill="1" applyBorder="1" applyAlignment="1">
      <alignment horizontal="right" vertical="center" shrinkToFit="1"/>
    </xf>
    <xf numFmtId="176" fontId="3" fillId="2" borderId="13" xfId="2" applyNumberFormat="1" applyFill="1" applyBorder="1" applyAlignment="1">
      <alignment vertical="center" shrinkToFit="1"/>
    </xf>
    <xf numFmtId="49" fontId="3" fillId="2" borderId="5" xfId="2" applyNumberFormat="1" applyFill="1" applyBorder="1" applyAlignment="1">
      <alignment horizontal="right" vertical="center" shrinkToFit="1"/>
    </xf>
    <xf numFmtId="176" fontId="3" fillId="2" borderId="6" xfId="2" applyNumberFormat="1" applyFill="1" applyBorder="1" applyAlignment="1">
      <alignment vertical="center" shrinkToFit="1"/>
    </xf>
    <xf numFmtId="0" fontId="3" fillId="2" borderId="8" xfId="2" applyFill="1" applyBorder="1" applyAlignment="1">
      <alignment vertical="center" shrinkToFit="1"/>
    </xf>
    <xf numFmtId="38" fontId="3" fillId="0" borderId="6" xfId="2" applyNumberFormat="1" applyBorder="1" applyAlignment="1">
      <alignment vertical="center" shrinkToFit="1"/>
    </xf>
    <xf numFmtId="49" fontId="3" fillId="2" borderId="14" xfId="2" applyNumberFormat="1" applyFill="1" applyBorder="1" applyAlignment="1">
      <alignment horizontal="right" vertical="center" shrinkToFit="1"/>
    </xf>
    <xf numFmtId="176" fontId="3" fillId="2" borderId="15" xfId="2" applyNumberFormat="1" applyFill="1" applyBorder="1" applyAlignment="1">
      <alignment vertical="center" shrinkToFit="1"/>
    </xf>
    <xf numFmtId="0" fontId="3" fillId="2" borderId="16" xfId="2" applyFill="1" applyBorder="1" applyAlignment="1">
      <alignment vertical="center" shrinkToFit="1"/>
    </xf>
    <xf numFmtId="38" fontId="3" fillId="0" borderId="15" xfId="2" applyNumberFormat="1" applyBorder="1" applyAlignment="1">
      <alignment vertical="center" shrinkToFit="1"/>
    </xf>
    <xf numFmtId="49" fontId="3" fillId="2" borderId="17" xfId="2" applyNumberFormat="1" applyFill="1" applyBorder="1" applyAlignment="1">
      <alignment horizontal="right" vertical="center" shrinkToFit="1"/>
    </xf>
    <xf numFmtId="176" fontId="3" fillId="2" borderId="18" xfId="2" applyNumberFormat="1" applyFill="1" applyBorder="1" applyAlignment="1">
      <alignment vertical="center" shrinkToFit="1"/>
    </xf>
    <xf numFmtId="0" fontId="3" fillId="2" borderId="19" xfId="2" applyFill="1" applyBorder="1" applyAlignment="1">
      <alignment vertical="center" shrinkToFit="1"/>
    </xf>
    <xf numFmtId="38" fontId="3" fillId="3" borderId="2" xfId="2" applyNumberFormat="1" applyFill="1" applyBorder="1" applyAlignment="1">
      <alignment vertical="center" shrinkToFit="1"/>
    </xf>
    <xf numFmtId="177" fontId="6" fillId="0" borderId="4" xfId="1" applyNumberFormat="1" applyFont="1" applyBorder="1" applyAlignment="1"/>
    <xf numFmtId="177" fontId="6" fillId="0" borderId="9" xfId="1" applyNumberFormat="1" applyFont="1" applyBorder="1" applyAlignment="1"/>
    <xf numFmtId="49" fontId="3" fillId="2" borderId="20" xfId="2" applyNumberFormat="1" applyFill="1" applyBorder="1" applyAlignment="1">
      <alignment horizontal="right" vertical="center" shrinkToFit="1"/>
    </xf>
    <xf numFmtId="176" fontId="3" fillId="2" borderId="21" xfId="2" applyNumberFormat="1" applyFill="1" applyBorder="1" applyAlignment="1">
      <alignment vertical="center" shrinkToFit="1"/>
    </xf>
    <xf numFmtId="0" fontId="3" fillId="2" borderId="22" xfId="2" applyFill="1" applyBorder="1" applyAlignment="1">
      <alignment vertical="center" shrinkToFit="1"/>
    </xf>
    <xf numFmtId="0" fontId="3" fillId="2" borderId="23" xfId="2" applyFill="1" applyBorder="1" applyAlignment="1">
      <alignment vertical="center" shrinkToFit="1"/>
    </xf>
    <xf numFmtId="0" fontId="3" fillId="2" borderId="24" xfId="2" applyFill="1" applyBorder="1" applyAlignment="1">
      <alignment vertical="center" shrinkToFit="1"/>
    </xf>
    <xf numFmtId="176" fontId="3" fillId="2" borderId="3" xfId="2" applyNumberFormat="1" applyFill="1" applyBorder="1" applyAlignment="1">
      <alignment vertical="center" shrinkToFit="1"/>
    </xf>
    <xf numFmtId="49" fontId="3" fillId="2" borderId="25" xfId="2" applyNumberFormat="1" applyFill="1" applyBorder="1" applyAlignment="1">
      <alignment horizontal="right" vertical="center" shrinkToFit="1"/>
    </xf>
    <xf numFmtId="176" fontId="3" fillId="2" borderId="26" xfId="2" applyNumberFormat="1" applyFill="1" applyBorder="1" applyAlignment="1">
      <alignment vertical="center" shrinkToFit="1"/>
    </xf>
    <xf numFmtId="176" fontId="3" fillId="2" borderId="27" xfId="2" applyNumberFormat="1" applyFill="1" applyBorder="1" applyAlignment="1">
      <alignment vertical="center" shrinkToFit="1"/>
    </xf>
    <xf numFmtId="176" fontId="3" fillId="2" borderId="7" xfId="2" applyNumberFormat="1" applyFill="1" applyBorder="1" applyAlignment="1">
      <alignment vertical="center" shrinkToFit="1"/>
    </xf>
    <xf numFmtId="49" fontId="3" fillId="2" borderId="28" xfId="2" applyNumberFormat="1" applyFill="1" applyBorder="1" applyAlignment="1">
      <alignment horizontal="right" vertical="center" shrinkToFit="1"/>
    </xf>
    <xf numFmtId="176" fontId="3" fillId="2" borderId="29" xfId="2" applyNumberFormat="1" applyFill="1" applyBorder="1" applyAlignment="1">
      <alignment vertical="center" shrinkToFit="1"/>
    </xf>
    <xf numFmtId="38" fontId="3" fillId="3" borderId="15" xfId="2" applyNumberFormat="1" applyFill="1" applyBorder="1" applyAlignment="1">
      <alignment vertical="center" shrinkToFit="1"/>
    </xf>
    <xf numFmtId="177" fontId="6" fillId="0" borderId="16" xfId="1" applyNumberFormat="1" applyFont="1" applyBorder="1" applyAlignment="1"/>
    <xf numFmtId="179" fontId="6" fillId="0" borderId="6" xfId="0" applyNumberFormat="1" applyFont="1" applyBorder="1" applyAlignment="1"/>
    <xf numFmtId="177" fontId="6" fillId="0" borderId="8" xfId="1" applyNumberFormat="1" applyFont="1" applyBorder="1" applyAlignment="1"/>
    <xf numFmtId="0" fontId="6" fillId="0" borderId="16" xfId="0" applyFont="1" applyBorder="1" applyAlignment="1"/>
    <xf numFmtId="176" fontId="3" fillId="2" borderId="30" xfId="2" applyNumberFormat="1" applyFill="1" applyBorder="1" applyAlignment="1">
      <alignment vertical="center" shrinkToFit="1"/>
    </xf>
    <xf numFmtId="179" fontId="6" fillId="0" borderId="0" xfId="0" applyNumberFormat="1" applyFont="1" applyAlignment="1"/>
    <xf numFmtId="176" fontId="3" fillId="2" borderId="31" xfId="2" applyNumberFormat="1" applyFill="1" applyBorder="1" applyAlignment="1">
      <alignment vertical="center" shrinkToFit="1"/>
    </xf>
    <xf numFmtId="176" fontId="3" fillId="2" borderId="32" xfId="2" applyNumberFormat="1" applyFill="1" applyBorder="1" applyAlignment="1">
      <alignment vertical="center" shrinkToFit="1"/>
    </xf>
    <xf numFmtId="176" fontId="3" fillId="2" borderId="33" xfId="2" applyNumberFormat="1" applyFill="1" applyBorder="1" applyAlignment="1">
      <alignment vertical="center" shrinkToFit="1"/>
    </xf>
    <xf numFmtId="0" fontId="3" fillId="2" borderId="22" xfId="2" applyFill="1" applyBorder="1" applyAlignment="1">
      <alignment vertical="center"/>
    </xf>
    <xf numFmtId="38" fontId="3" fillId="0" borderId="0" xfId="2" applyNumberFormat="1" applyAlignment="1">
      <alignment vertical="center"/>
    </xf>
    <xf numFmtId="176" fontId="3" fillId="2" borderId="34" xfId="2" applyNumberFormat="1" applyFill="1" applyBorder="1" applyAlignment="1">
      <alignment vertical="center" shrinkToFit="1"/>
    </xf>
    <xf numFmtId="176" fontId="3" fillId="2" borderId="35" xfId="2" applyNumberFormat="1" applyFill="1" applyBorder="1" applyAlignment="1">
      <alignment vertical="center" shrinkToFit="1"/>
    </xf>
    <xf numFmtId="49" fontId="3" fillId="3" borderId="14" xfId="2" applyNumberFormat="1" applyFill="1" applyBorder="1" applyAlignment="1">
      <alignment horizontal="right" vertical="center" shrinkToFit="1"/>
    </xf>
    <xf numFmtId="176" fontId="3" fillId="3" borderId="15" xfId="2" applyNumberFormat="1" applyFill="1" applyBorder="1" applyAlignment="1">
      <alignment vertical="center" shrinkToFit="1"/>
    </xf>
    <xf numFmtId="0" fontId="3" fillId="3" borderId="16" xfId="2" applyFill="1" applyBorder="1" applyAlignment="1">
      <alignment vertical="center" shrinkToFit="1"/>
    </xf>
    <xf numFmtId="0" fontId="6" fillId="3" borderId="16" xfId="0" applyFont="1" applyFill="1" applyBorder="1" applyAlignment="1"/>
    <xf numFmtId="49" fontId="3" fillId="3" borderId="10" xfId="2" applyNumberFormat="1" applyFill="1" applyBorder="1" applyAlignment="1">
      <alignment horizontal="right" vertical="center" shrinkToFit="1"/>
    </xf>
    <xf numFmtId="176" fontId="3" fillId="3" borderId="0" xfId="2" applyNumberFormat="1" applyFill="1" applyAlignment="1">
      <alignment vertical="center" shrinkToFit="1"/>
    </xf>
    <xf numFmtId="0" fontId="3" fillId="3" borderId="9" xfId="2" applyFill="1" applyBorder="1" applyAlignment="1">
      <alignment vertical="center" shrinkToFit="1"/>
    </xf>
    <xf numFmtId="49" fontId="3" fillId="4" borderId="14" xfId="2" applyNumberFormat="1" applyFill="1" applyBorder="1" applyAlignment="1">
      <alignment horizontal="right" vertical="center" shrinkToFit="1"/>
    </xf>
    <xf numFmtId="176" fontId="3" fillId="4" borderId="15" xfId="2" applyNumberFormat="1" applyFill="1" applyBorder="1" applyAlignment="1">
      <alignment vertical="center" shrinkToFit="1"/>
    </xf>
    <xf numFmtId="0" fontId="3" fillId="4" borderId="16" xfId="2" applyFill="1" applyBorder="1" applyAlignment="1">
      <alignment vertical="center" shrinkToFit="1"/>
    </xf>
    <xf numFmtId="179" fontId="3" fillId="4" borderId="15" xfId="2" applyNumberFormat="1" applyFill="1" applyBorder="1" applyAlignment="1">
      <alignment vertical="center" shrinkToFit="1"/>
    </xf>
    <xf numFmtId="49" fontId="6" fillId="0" borderId="0" xfId="0" applyNumberFormat="1" applyFont="1" applyAlignment="1"/>
    <xf numFmtId="178" fontId="6" fillId="0" borderId="0" xfId="1" applyNumberFormat="1" applyFont="1" applyAlignment="1"/>
    <xf numFmtId="0" fontId="3" fillId="2" borderId="0" xfId="2" applyFill="1" applyAlignment="1">
      <alignment vertical="center" shrinkToFit="1"/>
    </xf>
    <xf numFmtId="0" fontId="6" fillId="0" borderId="0" xfId="0" applyFont="1">
      <alignment vertical="center"/>
    </xf>
    <xf numFmtId="0" fontId="10" fillId="2" borderId="0" xfId="0" applyFont="1" applyFill="1">
      <alignment vertical="center"/>
    </xf>
    <xf numFmtId="0" fontId="6" fillId="2" borderId="0" xfId="0" applyFont="1" applyFill="1">
      <alignment vertical="center"/>
    </xf>
    <xf numFmtId="0" fontId="6" fillId="0" borderId="1" xfId="0" applyFont="1" applyBorder="1">
      <alignment vertical="center"/>
    </xf>
    <xf numFmtId="0" fontId="6" fillId="0" borderId="2" xfId="0" applyFont="1" applyBorder="1">
      <alignment vertical="center"/>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 xfId="0" applyFont="1" applyBorder="1">
      <alignment vertical="center"/>
    </xf>
    <xf numFmtId="0" fontId="6" fillId="0" borderId="27"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4" borderId="14" xfId="0" applyFont="1" applyFill="1" applyBorder="1" applyAlignment="1">
      <alignment horizontal="center" vertical="center" wrapText="1"/>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vertical="center" shrinkToFit="1"/>
    </xf>
    <xf numFmtId="38" fontId="6" fillId="0" borderId="1" xfId="1" applyFont="1" applyBorder="1">
      <alignment vertical="center"/>
    </xf>
    <xf numFmtId="38" fontId="6" fillId="0" borderId="2" xfId="1" applyFont="1" applyBorder="1">
      <alignment vertical="center"/>
    </xf>
    <xf numFmtId="38" fontId="6" fillId="0" borderId="3" xfId="1" applyFont="1" applyBorder="1">
      <alignment vertical="center"/>
    </xf>
    <xf numFmtId="0" fontId="6" fillId="0" borderId="5" xfId="0" applyFont="1" applyBorder="1" applyAlignment="1">
      <alignment horizontal="center" vertical="center"/>
    </xf>
    <xf numFmtId="0" fontId="6" fillId="0" borderId="6" xfId="0" applyFont="1" applyBorder="1" applyAlignment="1">
      <alignment vertical="center" shrinkToFit="1"/>
    </xf>
    <xf numFmtId="38" fontId="6" fillId="0" borderId="5" xfId="1" applyFont="1" applyBorder="1">
      <alignment vertical="center"/>
    </xf>
    <xf numFmtId="38" fontId="6" fillId="0" borderId="6" xfId="1" applyFont="1" applyBorder="1">
      <alignment vertical="center"/>
    </xf>
    <xf numFmtId="38" fontId="6" fillId="0" borderId="7" xfId="1" applyFont="1" applyBorder="1">
      <alignment vertical="center"/>
    </xf>
    <xf numFmtId="0" fontId="6" fillId="0" borderId="10" xfId="0" applyFont="1" applyBorder="1" applyAlignment="1">
      <alignment horizontal="center" vertical="center"/>
    </xf>
    <xf numFmtId="0" fontId="6" fillId="0" borderId="0" xfId="0" applyFont="1" applyAlignment="1">
      <alignment vertical="center" shrinkToFit="1"/>
    </xf>
    <xf numFmtId="38" fontId="6" fillId="0" borderId="10" xfId="1" applyFont="1" applyBorder="1">
      <alignment vertical="center"/>
    </xf>
    <xf numFmtId="38" fontId="6" fillId="0" borderId="0" xfId="1" applyFont="1" applyBorder="1">
      <alignment vertical="center"/>
    </xf>
    <xf numFmtId="38" fontId="6" fillId="0" borderId="27" xfId="1" applyFont="1" applyBorder="1">
      <alignment vertical="center"/>
    </xf>
    <xf numFmtId="0" fontId="6" fillId="0" borderId="14" xfId="0" applyFont="1" applyBorder="1" applyAlignment="1">
      <alignment horizontal="center" vertical="center"/>
    </xf>
    <xf numFmtId="0" fontId="6" fillId="0" borderId="15" xfId="0" applyFont="1" applyBorder="1" applyAlignment="1">
      <alignment vertical="center" shrinkToFit="1"/>
    </xf>
    <xf numFmtId="38" fontId="6" fillId="0" borderId="14" xfId="1" applyFont="1" applyBorder="1">
      <alignment vertical="center"/>
    </xf>
    <xf numFmtId="38" fontId="6" fillId="0" borderId="15" xfId="1" applyFont="1" applyBorder="1">
      <alignment vertical="center"/>
    </xf>
    <xf numFmtId="38" fontId="6" fillId="0" borderId="32" xfId="1" applyFont="1" applyBorder="1">
      <alignment vertical="center"/>
    </xf>
    <xf numFmtId="0" fontId="6" fillId="4" borderId="10" xfId="0" applyFont="1" applyFill="1" applyBorder="1" applyAlignment="1">
      <alignment horizontal="center" vertical="center"/>
    </xf>
    <xf numFmtId="0" fontId="6" fillId="4" borderId="0" xfId="0" applyFont="1" applyFill="1" applyAlignment="1">
      <alignment vertical="center" shrinkToFit="1"/>
    </xf>
    <xf numFmtId="38" fontId="6" fillId="4" borderId="10" xfId="1" applyFont="1" applyFill="1" applyBorder="1">
      <alignment vertical="center"/>
    </xf>
    <xf numFmtId="38" fontId="6" fillId="4" borderId="2" xfId="1" applyFont="1" applyFill="1" applyBorder="1">
      <alignment vertical="center"/>
    </xf>
    <xf numFmtId="38" fontId="6" fillId="4" borderId="0" xfId="1" applyFont="1" applyFill="1" applyBorder="1">
      <alignment vertical="center"/>
    </xf>
    <xf numFmtId="38" fontId="6" fillId="4" borderId="3" xfId="1" applyFont="1" applyFill="1" applyBorder="1">
      <alignment vertical="center"/>
    </xf>
    <xf numFmtId="38" fontId="6" fillId="4" borderId="32" xfId="1" applyFont="1" applyFill="1" applyBorder="1">
      <alignment vertical="center"/>
    </xf>
    <xf numFmtId="38" fontId="6" fillId="4" borderId="27" xfId="1" applyFont="1" applyFill="1" applyBorder="1">
      <alignment vertical="center"/>
    </xf>
    <xf numFmtId="0" fontId="6" fillId="4" borderId="14" xfId="0" applyFont="1" applyFill="1" applyBorder="1" applyAlignment="1">
      <alignment horizontal="center" vertical="center"/>
    </xf>
    <xf numFmtId="0" fontId="6" fillId="4" borderId="15" xfId="0" applyFont="1" applyFill="1" applyBorder="1" applyAlignment="1">
      <alignment vertical="center" shrinkToFit="1"/>
    </xf>
    <xf numFmtId="38" fontId="6" fillId="4" borderId="14" xfId="1" applyFont="1" applyFill="1" applyBorder="1">
      <alignment vertical="center"/>
    </xf>
    <xf numFmtId="38" fontId="6" fillId="4" borderId="15" xfId="1" applyFont="1" applyFill="1" applyBorder="1">
      <alignment vertical="center"/>
    </xf>
    <xf numFmtId="0" fontId="6" fillId="4" borderId="5" xfId="0" applyFont="1" applyFill="1" applyBorder="1" applyAlignment="1">
      <alignment horizontal="center" vertical="center"/>
    </xf>
    <xf numFmtId="0" fontId="6" fillId="4" borderId="6" xfId="0" applyFont="1" applyFill="1" applyBorder="1" applyAlignment="1">
      <alignment vertical="center" shrinkToFit="1"/>
    </xf>
    <xf numFmtId="38" fontId="6" fillId="4" borderId="5" xfId="1" applyFont="1" applyFill="1" applyBorder="1">
      <alignment vertical="center"/>
    </xf>
    <xf numFmtId="38" fontId="6" fillId="4" borderId="6" xfId="1" applyFont="1" applyFill="1" applyBorder="1">
      <alignment vertical="center"/>
    </xf>
    <xf numFmtId="38" fontId="6" fillId="4" borderId="7" xfId="1" applyFont="1" applyFill="1" applyBorder="1">
      <alignment vertical="center"/>
    </xf>
    <xf numFmtId="0" fontId="6" fillId="2" borderId="0" xfId="0" applyFont="1" applyFill="1" applyAlignment="1">
      <alignment vertical="center" shrinkToFit="1"/>
    </xf>
    <xf numFmtId="38" fontId="6" fillId="2" borderId="10" xfId="1" applyFont="1" applyFill="1" applyBorder="1">
      <alignment vertical="center"/>
    </xf>
    <xf numFmtId="38" fontId="6" fillId="2" borderId="2" xfId="1" applyFont="1" applyFill="1" applyBorder="1">
      <alignment vertical="center"/>
    </xf>
    <xf numFmtId="38" fontId="6" fillId="2" borderId="0" xfId="1" applyFont="1" applyFill="1" applyBorder="1">
      <alignment vertical="center"/>
    </xf>
    <xf numFmtId="38" fontId="6" fillId="2" borderId="3" xfId="1" applyFont="1" applyFill="1" applyBorder="1">
      <alignment vertical="center"/>
    </xf>
    <xf numFmtId="38" fontId="6" fillId="2" borderId="27" xfId="1" applyFont="1" applyFill="1" applyBorder="1">
      <alignment vertical="center"/>
    </xf>
    <xf numFmtId="38" fontId="6" fillId="2" borderId="7" xfId="1" applyFont="1" applyFill="1" applyBorder="1">
      <alignment vertical="center"/>
    </xf>
    <xf numFmtId="0" fontId="6" fillId="0" borderId="14" xfId="0" applyFont="1" applyBorder="1">
      <alignment vertical="center"/>
    </xf>
    <xf numFmtId="0" fontId="6" fillId="2" borderId="32" xfId="0" applyFont="1" applyFill="1" applyBorder="1" applyAlignment="1">
      <alignment vertical="center" shrinkToFit="1"/>
    </xf>
    <xf numFmtId="38" fontId="6" fillId="2" borderId="14" xfId="1" applyFont="1" applyFill="1" applyBorder="1">
      <alignment vertical="center"/>
    </xf>
    <xf numFmtId="38" fontId="6" fillId="2" borderId="15" xfId="1" applyFont="1" applyFill="1" applyBorder="1">
      <alignment vertical="center"/>
    </xf>
    <xf numFmtId="38" fontId="6" fillId="2" borderId="32" xfId="1" applyFont="1" applyFill="1" applyBorder="1">
      <alignment vertical="center"/>
    </xf>
    <xf numFmtId="0" fontId="6" fillId="0" borderId="10" xfId="0" applyFont="1" applyBorder="1">
      <alignment vertical="center"/>
    </xf>
    <xf numFmtId="38" fontId="6" fillId="0" borderId="0" xfId="1" applyFont="1">
      <alignment vertical="center"/>
    </xf>
    <xf numFmtId="0" fontId="6" fillId="4" borderId="1" xfId="0" applyFont="1" applyFill="1" applyBorder="1">
      <alignment vertical="center"/>
    </xf>
    <xf numFmtId="0" fontId="7" fillId="4" borderId="3" xfId="0" applyFont="1" applyFill="1" applyBorder="1" applyAlignment="1"/>
    <xf numFmtId="38" fontId="6" fillId="4" borderId="1" xfId="0" applyNumberFormat="1" applyFont="1" applyFill="1" applyBorder="1">
      <alignment vertical="center"/>
    </xf>
    <xf numFmtId="38" fontId="6" fillId="4" borderId="2" xfId="0" applyNumberFormat="1" applyFont="1" applyFill="1" applyBorder="1">
      <alignment vertical="center"/>
    </xf>
    <xf numFmtId="38" fontId="6" fillId="4" borderId="3" xfId="0" applyNumberFormat="1" applyFont="1" applyFill="1" applyBorder="1">
      <alignment vertical="center"/>
    </xf>
    <xf numFmtId="0" fontId="6" fillId="4" borderId="5" xfId="0" applyFont="1" applyFill="1" applyBorder="1">
      <alignment vertical="center"/>
    </xf>
    <xf numFmtId="0" fontId="6" fillId="4" borderId="7" xfId="0" applyFont="1" applyFill="1" applyBorder="1">
      <alignment vertical="center"/>
    </xf>
    <xf numFmtId="177" fontId="6" fillId="4" borderId="5" xfId="1" applyNumberFormat="1" applyFont="1" applyFill="1" applyBorder="1">
      <alignment vertical="center"/>
    </xf>
    <xf numFmtId="177" fontId="6" fillId="4" borderId="6" xfId="1" applyNumberFormat="1" applyFont="1" applyFill="1" applyBorder="1">
      <alignment vertical="center"/>
    </xf>
    <xf numFmtId="177" fontId="6" fillId="4" borderId="7" xfId="1" applyNumberFormat="1" applyFont="1" applyFill="1" applyBorder="1">
      <alignment vertical="center"/>
    </xf>
    <xf numFmtId="38" fontId="6" fillId="0" borderId="0" xfId="0" applyNumberFormat="1" applyFo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0" fontId="12" fillId="7" borderId="0" xfId="0" applyFont="1" applyFill="1" applyAlignment="1">
      <alignment horizontal="center" vertical="center" wrapText="1"/>
    </xf>
    <xf numFmtId="0" fontId="12" fillId="0" borderId="0" xfId="0" applyFont="1">
      <alignment vertical="center"/>
    </xf>
    <xf numFmtId="0" fontId="6" fillId="7" borderId="5" xfId="0" applyFont="1" applyFill="1" applyBorder="1" applyAlignment="1">
      <alignment horizontal="center" vertical="center"/>
    </xf>
    <xf numFmtId="0" fontId="6" fillId="7" borderId="6" xfId="0" applyFont="1" applyFill="1" applyBorder="1" applyAlignment="1">
      <alignment vertical="center" shrinkToFit="1"/>
    </xf>
    <xf numFmtId="0" fontId="6" fillId="7" borderId="10" xfId="0" applyFont="1" applyFill="1" applyBorder="1" applyAlignment="1">
      <alignment horizontal="center" vertical="center"/>
    </xf>
    <xf numFmtId="0" fontId="6" fillId="7" borderId="0" xfId="0" applyFont="1" applyFill="1" applyAlignment="1">
      <alignment vertical="center" shrinkToFit="1"/>
    </xf>
    <xf numFmtId="49" fontId="3" fillId="7" borderId="10" xfId="2" applyNumberFormat="1" applyFill="1" applyBorder="1" applyAlignment="1">
      <alignment horizontal="right" vertical="center" shrinkToFit="1"/>
    </xf>
    <xf numFmtId="176" fontId="3" fillId="7" borderId="0" xfId="2" applyNumberFormat="1" applyFill="1" applyAlignment="1">
      <alignment vertical="center" shrinkToFit="1"/>
    </xf>
    <xf numFmtId="0" fontId="3" fillId="7" borderId="24" xfId="2" applyFill="1" applyBorder="1" applyAlignment="1">
      <alignment vertical="center" shrinkToFit="1"/>
    </xf>
    <xf numFmtId="179" fontId="3" fillId="7" borderId="0" xfId="0" applyNumberFormat="1" applyFont="1" applyFill="1" applyAlignment="1"/>
    <xf numFmtId="38" fontId="3" fillId="7" borderId="0" xfId="0" applyNumberFormat="1" applyFont="1" applyFill="1" applyAlignment="1"/>
    <xf numFmtId="38" fontId="3" fillId="7" borderId="0" xfId="2" applyNumberFormat="1" applyFill="1" applyAlignment="1">
      <alignment vertical="center" shrinkToFit="1"/>
    </xf>
    <xf numFmtId="49" fontId="3" fillId="7" borderId="20" xfId="2" applyNumberFormat="1" applyFill="1" applyBorder="1" applyAlignment="1">
      <alignment horizontal="right" vertical="center" shrinkToFit="1"/>
    </xf>
    <xf numFmtId="176" fontId="3" fillId="7" borderId="21" xfId="2" applyNumberFormat="1" applyFill="1" applyBorder="1" applyAlignment="1">
      <alignment vertical="center" shrinkToFit="1"/>
    </xf>
    <xf numFmtId="0" fontId="3" fillId="7" borderId="22" xfId="2" applyFill="1" applyBorder="1" applyAlignment="1">
      <alignment vertical="center" shrinkToFit="1"/>
    </xf>
    <xf numFmtId="49" fontId="3" fillId="7" borderId="1" xfId="2" applyNumberFormat="1" applyFill="1" applyBorder="1" applyAlignment="1">
      <alignment horizontal="right" vertical="center" shrinkToFit="1"/>
    </xf>
    <xf numFmtId="176" fontId="3" fillId="7" borderId="2" xfId="2" applyNumberFormat="1" applyFill="1" applyBorder="1" applyAlignment="1">
      <alignment vertical="center" shrinkToFit="1"/>
    </xf>
    <xf numFmtId="0" fontId="3" fillId="7" borderId="4" xfId="2" applyFill="1" applyBorder="1" applyAlignment="1">
      <alignment vertical="center" shrinkToFit="1"/>
    </xf>
    <xf numFmtId="179" fontId="3" fillId="7" borderId="2" xfId="0" applyNumberFormat="1" applyFont="1" applyFill="1" applyBorder="1" applyAlignment="1"/>
    <xf numFmtId="38" fontId="3" fillId="7" borderId="2" xfId="0" applyNumberFormat="1" applyFont="1" applyFill="1" applyBorder="1" applyAlignment="1"/>
    <xf numFmtId="38" fontId="3" fillId="7" borderId="2" xfId="2" applyNumberFormat="1" applyFill="1" applyBorder="1" applyAlignment="1">
      <alignment vertical="center" shrinkToFit="1"/>
    </xf>
    <xf numFmtId="49" fontId="12" fillId="0" borderId="0" xfId="0" applyNumberFormat="1" applyFont="1" applyAlignment="1">
      <alignment horizontal="left" vertical="top"/>
    </xf>
    <xf numFmtId="37" fontId="12" fillId="0" borderId="0" xfId="0" applyNumberFormat="1" applyFont="1" applyAlignment="1">
      <alignment horizontal="right"/>
    </xf>
    <xf numFmtId="0" fontId="12" fillId="0" borderId="0" xfId="0" applyFont="1" applyAlignment="1">
      <alignment horizontal="left" vertical="top"/>
    </xf>
    <xf numFmtId="37" fontId="12" fillId="0" borderId="0" xfId="0" quotePrefix="1" applyNumberFormat="1" applyFont="1" applyAlignment="1">
      <alignment horizontal="right"/>
    </xf>
    <xf numFmtId="49" fontId="12" fillId="2" borderId="49" xfId="0" applyNumberFormat="1" applyFont="1" applyFill="1" applyBorder="1" applyAlignment="1">
      <alignment horizontal="left" vertical="top"/>
    </xf>
    <xf numFmtId="49" fontId="12" fillId="2" borderId="41" xfId="0" applyNumberFormat="1" applyFont="1" applyFill="1" applyBorder="1" applyAlignment="1">
      <alignment horizontal="left" vertical="top"/>
    </xf>
    <xf numFmtId="49" fontId="12" fillId="2" borderId="4" xfId="0" applyNumberFormat="1" applyFont="1" applyFill="1" applyBorder="1" applyAlignment="1">
      <alignment horizontal="left" vertical="top"/>
    </xf>
    <xf numFmtId="49" fontId="12" fillId="2" borderId="45" xfId="0" applyNumberFormat="1" applyFont="1" applyFill="1" applyBorder="1" applyAlignment="1">
      <alignment horizontal="left" vertical="top"/>
    </xf>
    <xf numFmtId="49" fontId="12" fillId="2" borderId="37" xfId="0" applyNumberFormat="1" applyFont="1" applyFill="1" applyBorder="1" applyAlignment="1">
      <alignment horizontal="left" vertical="top"/>
    </xf>
    <xf numFmtId="49" fontId="12" fillId="2" borderId="9" xfId="0" applyNumberFormat="1" applyFont="1" applyFill="1" applyBorder="1" applyAlignment="1">
      <alignment horizontal="left" vertical="top"/>
    </xf>
    <xf numFmtId="49" fontId="12" fillId="2" borderId="43" xfId="0" applyNumberFormat="1" applyFont="1" applyFill="1" applyBorder="1" applyAlignment="1">
      <alignment horizontal="left" vertical="top"/>
    </xf>
    <xf numFmtId="49" fontId="12" fillId="2" borderId="44" xfId="0" applyNumberFormat="1" applyFont="1" applyFill="1" applyBorder="1" applyAlignment="1">
      <alignment horizontal="left" vertical="top"/>
    </xf>
    <xf numFmtId="49" fontId="12" fillId="2" borderId="56" xfId="0" applyNumberFormat="1" applyFont="1" applyFill="1" applyBorder="1" applyAlignment="1">
      <alignment horizontal="left" vertical="top"/>
    </xf>
    <xf numFmtId="49" fontId="12" fillId="2" borderId="57" xfId="0" applyNumberFormat="1" applyFont="1" applyFill="1" applyBorder="1" applyAlignment="1">
      <alignment horizontal="left" vertical="top"/>
    </xf>
    <xf numFmtId="49" fontId="12" fillId="2" borderId="46" xfId="0" applyNumberFormat="1" applyFont="1" applyFill="1" applyBorder="1" applyAlignment="1">
      <alignment horizontal="left" vertical="top" wrapText="1"/>
    </xf>
    <xf numFmtId="49" fontId="12" fillId="2" borderId="47" xfId="0" applyNumberFormat="1" applyFont="1" applyFill="1" applyBorder="1" applyAlignment="1">
      <alignment horizontal="left" vertical="top" wrapText="1"/>
    </xf>
    <xf numFmtId="49" fontId="12" fillId="2" borderId="48" xfId="0" applyNumberFormat="1" applyFont="1" applyFill="1" applyBorder="1" applyAlignment="1">
      <alignment horizontal="left" vertical="top" wrapText="1"/>
    </xf>
    <xf numFmtId="49" fontId="12" fillId="2" borderId="49" xfId="0" applyNumberFormat="1" applyFont="1" applyFill="1" applyBorder="1" applyAlignment="1">
      <alignment horizontal="left" vertical="top" wrapText="1"/>
    </xf>
    <xf numFmtId="49" fontId="12" fillId="2" borderId="50" xfId="0" applyNumberFormat="1" applyFont="1" applyFill="1" applyBorder="1" applyAlignment="1">
      <alignment horizontal="left" vertical="top" wrapText="1"/>
    </xf>
    <xf numFmtId="49" fontId="12" fillId="2" borderId="16" xfId="0" applyNumberFormat="1" applyFont="1" applyFill="1" applyBorder="1" applyAlignment="1">
      <alignment horizontal="left" vertical="top" wrapText="1"/>
    </xf>
    <xf numFmtId="49" fontId="12" fillId="2" borderId="52" xfId="0" applyNumberFormat="1" applyFont="1" applyFill="1" applyBorder="1" applyAlignment="1">
      <alignment horizontal="left" vertical="top" wrapText="1"/>
    </xf>
    <xf numFmtId="180" fontId="12" fillId="2" borderId="53" xfId="0" applyNumberFormat="1" applyFont="1" applyFill="1" applyBorder="1" applyAlignment="1">
      <alignment horizontal="left" vertical="top" wrapText="1"/>
    </xf>
    <xf numFmtId="180" fontId="12" fillId="2" borderId="54" xfId="0" applyNumberFormat="1" applyFont="1" applyFill="1" applyBorder="1" applyAlignment="1">
      <alignment horizontal="left" vertical="top" wrapText="1"/>
    </xf>
    <xf numFmtId="180" fontId="12" fillId="2" borderId="55" xfId="0" applyNumberFormat="1" applyFont="1" applyFill="1" applyBorder="1" applyAlignment="1">
      <alignment horizontal="left" vertical="top" wrapText="1"/>
    </xf>
    <xf numFmtId="49" fontId="12" fillId="2" borderId="32" xfId="0" applyNumberFormat="1" applyFont="1" applyFill="1" applyBorder="1" applyAlignment="1">
      <alignment horizontal="left" vertical="top"/>
    </xf>
    <xf numFmtId="49" fontId="12" fillId="2" borderId="16" xfId="0" applyNumberFormat="1" applyFont="1" applyFill="1" applyBorder="1" applyAlignment="1">
      <alignment horizontal="left" vertical="top"/>
    </xf>
    <xf numFmtId="49" fontId="12" fillId="2" borderId="39" xfId="0" applyNumberFormat="1" applyFont="1" applyFill="1" applyBorder="1" applyAlignment="1">
      <alignment horizontal="left" vertical="top"/>
    </xf>
    <xf numFmtId="49" fontId="12" fillId="2" borderId="8" xfId="0" applyNumberFormat="1" applyFont="1" applyFill="1" applyBorder="1" applyAlignment="1">
      <alignment horizontal="left" vertical="top"/>
    </xf>
    <xf numFmtId="49" fontId="12" fillId="0" borderId="2" xfId="0" applyNumberFormat="1" applyFont="1" applyBorder="1" applyAlignment="1">
      <alignment horizontal="left" vertical="top"/>
    </xf>
    <xf numFmtId="49" fontId="12" fillId="0" borderId="42" xfId="0" applyNumberFormat="1" applyFont="1" applyBorder="1" applyAlignment="1">
      <alignment horizontal="left" vertical="top"/>
    </xf>
    <xf numFmtId="49" fontId="12" fillId="0" borderId="38" xfId="0" applyNumberFormat="1" applyFont="1" applyBorder="1" applyAlignment="1">
      <alignment horizontal="left" vertical="top"/>
    </xf>
    <xf numFmtId="49" fontId="12" fillId="0" borderId="6" xfId="0" applyNumberFormat="1" applyFont="1" applyBorder="1" applyAlignment="1">
      <alignment horizontal="left" vertical="top"/>
    </xf>
    <xf numFmtId="49" fontId="12" fillId="0" borderId="40" xfId="0" applyNumberFormat="1" applyFont="1" applyBorder="1" applyAlignment="1">
      <alignment horizontal="left" vertical="top"/>
    </xf>
    <xf numFmtId="49" fontId="12" fillId="7" borderId="51" xfId="0" applyNumberFormat="1" applyFont="1" applyFill="1" applyBorder="1" applyAlignment="1">
      <alignment horizontal="left" vertical="top" wrapText="1"/>
    </xf>
    <xf numFmtId="49" fontId="12" fillId="7" borderId="16" xfId="0" applyNumberFormat="1" applyFont="1" applyFill="1" applyBorder="1" applyAlignment="1">
      <alignment horizontal="left" vertical="top" wrapText="1"/>
    </xf>
    <xf numFmtId="180" fontId="12" fillId="7" borderId="36" xfId="0" applyNumberFormat="1" applyFont="1" applyFill="1" applyBorder="1" applyAlignment="1">
      <alignment horizontal="left" vertical="top" wrapText="1"/>
    </xf>
    <xf numFmtId="180" fontId="12" fillId="7" borderId="54" xfId="0" applyNumberFormat="1" applyFont="1" applyFill="1" applyBorder="1" applyAlignment="1">
      <alignment horizontal="left" vertical="top" wrapText="1"/>
    </xf>
    <xf numFmtId="49" fontId="12" fillId="7" borderId="0" xfId="0" applyNumberFormat="1" applyFont="1" applyFill="1" applyAlignment="1">
      <alignment horizontal="left" vertical="top"/>
    </xf>
    <xf numFmtId="49" fontId="12" fillId="7" borderId="9" xfId="0" applyNumberFormat="1" applyFont="1" applyFill="1" applyBorder="1" applyAlignment="1">
      <alignment horizontal="left" vertical="top"/>
    </xf>
    <xf numFmtId="37" fontId="12" fillId="7" borderId="0" xfId="0" applyNumberFormat="1" applyFont="1" applyFill="1" applyAlignment="1">
      <alignment horizontal="right"/>
    </xf>
    <xf numFmtId="181" fontId="12" fillId="0" borderId="0" xfId="1" applyNumberFormat="1" applyFont="1" applyAlignment="1">
      <alignment horizontal="right" vertical="top"/>
    </xf>
    <xf numFmtId="37" fontId="12" fillId="2" borderId="0" xfId="0" applyNumberFormat="1" applyFont="1" applyFill="1" applyAlignment="1">
      <alignment horizontal="right"/>
    </xf>
    <xf numFmtId="0" fontId="12" fillId="7" borderId="0" xfId="0" applyFont="1" applyFill="1" applyAlignment="1">
      <alignment horizontal="left" vertical="top"/>
    </xf>
    <xf numFmtId="178" fontId="12" fillId="7" borderId="0" xfId="0" applyNumberFormat="1" applyFont="1" applyFill="1" applyAlignment="1">
      <alignment horizontal="right" vertical="top"/>
    </xf>
    <xf numFmtId="49" fontId="12" fillId="2" borderId="0" xfId="0" applyNumberFormat="1" applyFont="1" applyFill="1" applyAlignment="1">
      <alignment horizontal="left" vertical="top"/>
    </xf>
    <xf numFmtId="180" fontId="12" fillId="2" borderId="16" xfId="0" applyNumberFormat="1" applyFont="1" applyFill="1" applyBorder="1" applyAlignment="1">
      <alignment horizontal="left" vertical="top" wrapText="1"/>
    </xf>
    <xf numFmtId="37" fontId="12" fillId="0" borderId="0" xfId="0" applyNumberFormat="1" applyFont="1" applyAlignment="1">
      <alignment horizontal="right" vertical="top"/>
    </xf>
    <xf numFmtId="37" fontId="12" fillId="0" borderId="0" xfId="0" quotePrefix="1" applyNumberFormat="1" applyFont="1" applyAlignment="1">
      <alignment horizontal="right" vertical="top"/>
    </xf>
    <xf numFmtId="0" fontId="12" fillId="7" borderId="0" xfId="0" applyFont="1" applyFill="1">
      <alignment vertical="center"/>
    </xf>
    <xf numFmtId="49" fontId="12" fillId="7" borderId="0" xfId="0" applyNumberFormat="1" applyFont="1" applyFill="1" applyAlignment="1">
      <alignment horizontal="center" vertical="top" wrapText="1"/>
    </xf>
    <xf numFmtId="49" fontId="12" fillId="7" borderId="0" xfId="0" applyNumberFormat="1" applyFont="1" applyFill="1" applyAlignment="1">
      <alignment horizontal="left" vertical="top" wrapText="1"/>
    </xf>
    <xf numFmtId="180" fontId="12" fillId="7" borderId="16" xfId="0" applyNumberFormat="1" applyFont="1" applyFill="1" applyBorder="1" applyAlignment="1">
      <alignment horizontal="left" vertical="top" wrapText="1"/>
    </xf>
    <xf numFmtId="180" fontId="12" fillId="7" borderId="0" xfId="0" applyNumberFormat="1" applyFont="1" applyFill="1" applyAlignment="1">
      <alignment horizontal="left" vertical="top" wrapText="1"/>
    </xf>
    <xf numFmtId="49" fontId="12" fillId="7" borderId="16" xfId="0" applyNumberFormat="1" applyFont="1" applyFill="1" applyBorder="1" applyAlignment="1">
      <alignment horizontal="left" vertical="top"/>
    </xf>
    <xf numFmtId="38" fontId="12" fillId="0" borderId="0" xfId="1" applyFont="1">
      <alignment vertical="center"/>
    </xf>
    <xf numFmtId="177" fontId="12" fillId="0" borderId="0" xfId="1" applyNumberFormat="1" applyFont="1" applyAlignment="1">
      <alignment horizontal="right" vertical="top"/>
    </xf>
    <xf numFmtId="37" fontId="12" fillId="8" borderId="0" xfId="0" applyNumberFormat="1" applyFont="1" applyFill="1" applyAlignment="1">
      <alignment horizontal="right" vertical="top"/>
    </xf>
    <xf numFmtId="177" fontId="12" fillId="8" borderId="0" xfId="1" applyNumberFormat="1" applyFont="1" applyFill="1" applyAlignment="1">
      <alignment horizontal="right" vertical="top"/>
    </xf>
    <xf numFmtId="0" fontId="12" fillId="2" borderId="0" xfId="0" applyFont="1" applyFill="1">
      <alignment vertical="center"/>
    </xf>
    <xf numFmtId="37" fontId="12" fillId="2" borderId="0" xfId="0" applyNumberFormat="1" applyFont="1" applyFill="1" applyAlignment="1">
      <alignment horizontal="right" vertical="top"/>
    </xf>
    <xf numFmtId="177" fontId="12" fillId="2" borderId="0" xfId="1" applyNumberFormat="1" applyFont="1" applyFill="1" applyAlignment="1">
      <alignment horizontal="right" vertical="top"/>
    </xf>
    <xf numFmtId="38" fontId="12" fillId="2" borderId="0" xfId="1" applyFont="1" applyFill="1">
      <alignment vertical="center"/>
    </xf>
    <xf numFmtId="38" fontId="12" fillId="7" borderId="0" xfId="1" applyFont="1" applyFill="1">
      <alignment vertical="center"/>
    </xf>
    <xf numFmtId="37" fontId="12" fillId="7" borderId="0" xfId="0" applyNumberFormat="1" applyFont="1" applyFill="1" applyAlignment="1">
      <alignment horizontal="right" vertical="top"/>
    </xf>
    <xf numFmtId="177" fontId="12" fillId="7" borderId="0" xfId="1" applyNumberFormat="1" applyFont="1" applyFill="1" applyAlignment="1">
      <alignment horizontal="right" vertical="top"/>
    </xf>
    <xf numFmtId="177" fontId="12" fillId="0" borderId="0" xfId="1" applyNumberFormat="1" applyFont="1">
      <alignment vertical="center"/>
    </xf>
    <xf numFmtId="49" fontId="12" fillId="9" borderId="9" xfId="0" applyNumberFormat="1" applyFont="1" applyFill="1" applyBorder="1" applyAlignment="1">
      <alignment horizontal="left" vertical="top"/>
    </xf>
    <xf numFmtId="0" fontId="6" fillId="2" borderId="15" xfId="0" applyFont="1" applyFill="1" applyBorder="1">
      <alignment vertical="center"/>
    </xf>
    <xf numFmtId="0" fontId="6" fillId="2" borderId="15" xfId="0" applyFont="1" applyFill="1" applyBorder="1" applyAlignment="1">
      <alignment horizontal="center" vertical="center"/>
    </xf>
    <xf numFmtId="38" fontId="6" fillId="2" borderId="0" xfId="1" applyFont="1" applyFill="1">
      <alignment vertical="center"/>
    </xf>
    <xf numFmtId="49" fontId="7" fillId="2" borderId="10" xfId="3" applyNumberFormat="1" applyFont="1" applyFill="1" applyBorder="1" applyAlignment="1">
      <alignment vertical="center"/>
    </xf>
    <xf numFmtId="182" fontId="7" fillId="2" borderId="0" xfId="3" applyNumberFormat="1" applyFont="1" applyFill="1" applyAlignment="1">
      <alignment vertical="center"/>
    </xf>
    <xf numFmtId="0" fontId="7" fillId="2" borderId="0" xfId="3" applyFont="1" applyFill="1" applyAlignment="1">
      <alignment horizontal="centerContinuous" vertical="center"/>
    </xf>
    <xf numFmtId="0" fontId="7" fillId="2" borderId="6" xfId="3" applyFont="1" applyFill="1" applyBorder="1" applyAlignment="1">
      <alignment horizontal="centerContinuous" vertical="center"/>
    </xf>
    <xf numFmtId="183" fontId="7" fillId="2" borderId="6" xfId="3" applyNumberFormat="1" applyFont="1" applyFill="1" applyBorder="1" applyAlignment="1">
      <alignment horizontal="centerContinuous" vertical="center"/>
    </xf>
    <xf numFmtId="49" fontId="7" fillId="2" borderId="6" xfId="3" applyNumberFormat="1" applyFont="1" applyFill="1" applyBorder="1" applyAlignment="1">
      <alignment horizontal="centerContinuous" vertical="center"/>
    </xf>
    <xf numFmtId="49" fontId="7" fillId="2" borderId="58" xfId="3" applyNumberFormat="1" applyFont="1" applyFill="1" applyBorder="1" applyAlignment="1">
      <alignment horizontal="center"/>
    </xf>
    <xf numFmtId="182" fontId="7" fillId="2" borderId="59" xfId="3" applyNumberFormat="1" applyFont="1" applyFill="1" applyBorder="1" applyAlignment="1">
      <alignment horizontal="center"/>
    </xf>
    <xf numFmtId="0" fontId="7" fillId="2" borderId="59" xfId="3" applyFont="1" applyFill="1" applyBorder="1" applyAlignment="1">
      <alignment horizontal="center"/>
    </xf>
    <xf numFmtId="0" fontId="7" fillId="2" borderId="0" xfId="3" applyFont="1" applyFill="1" applyAlignment="1">
      <alignment horizontal="center"/>
    </xf>
    <xf numFmtId="183" fontId="7" fillId="2" borderId="0" xfId="3" applyNumberFormat="1" applyFont="1" applyFill="1" applyAlignment="1">
      <alignment horizontal="center"/>
    </xf>
    <xf numFmtId="49" fontId="7" fillId="2" borderId="0" xfId="3" applyNumberFormat="1" applyFont="1" applyFill="1" applyAlignment="1">
      <alignment horizontal="center"/>
    </xf>
    <xf numFmtId="0" fontId="7" fillId="2" borderId="4" xfId="3" applyFont="1" applyFill="1" applyBorder="1" applyAlignment="1">
      <alignment horizontal="center"/>
    </xf>
    <xf numFmtId="49" fontId="7" fillId="2" borderId="5" xfId="3" applyNumberFormat="1" applyFont="1" applyFill="1" applyBorder="1" applyAlignment="1">
      <alignment horizontal="center"/>
    </xf>
    <xf numFmtId="182" fontId="7" fillId="2" borderId="6" xfId="3" applyNumberFormat="1" applyFont="1" applyFill="1" applyBorder="1" applyAlignment="1">
      <alignment horizontal="center"/>
    </xf>
    <xf numFmtId="0" fontId="7" fillId="2" borderId="6" xfId="3" applyFont="1" applyFill="1" applyBorder="1" applyAlignment="1">
      <alignment horizontal="center"/>
    </xf>
    <xf numFmtId="183" fontId="7" fillId="2" borderId="6" xfId="3" applyNumberFormat="1" applyFont="1" applyFill="1" applyBorder="1" applyAlignment="1">
      <alignment horizontal="center"/>
    </xf>
    <xf numFmtId="49" fontId="7" fillId="2" borderId="6" xfId="3" applyNumberFormat="1" applyFont="1" applyFill="1" applyBorder="1" applyAlignment="1">
      <alignment horizontal="center"/>
    </xf>
    <xf numFmtId="0" fontId="7" fillId="2" borderId="8" xfId="3" applyFont="1" applyFill="1" applyBorder="1"/>
    <xf numFmtId="49" fontId="7" fillId="2" borderId="1" xfId="3" applyNumberFormat="1" applyFont="1" applyFill="1" applyBorder="1"/>
    <xf numFmtId="182" fontId="7" fillId="2" borderId="2" xfId="3" applyNumberFormat="1" applyFont="1" applyFill="1" applyBorder="1"/>
    <xf numFmtId="0" fontId="7" fillId="2" borderId="2" xfId="3" applyFont="1" applyFill="1" applyBorder="1"/>
    <xf numFmtId="0" fontId="7" fillId="2" borderId="4" xfId="3" applyFont="1" applyFill="1" applyBorder="1"/>
    <xf numFmtId="49" fontId="7" fillId="2" borderId="10" xfId="3" applyNumberFormat="1" applyFont="1" applyFill="1" applyBorder="1"/>
    <xf numFmtId="182" fontId="7" fillId="2" borderId="0" xfId="3" applyNumberFormat="1" applyFont="1" applyFill="1"/>
    <xf numFmtId="0" fontId="7" fillId="2" borderId="0" xfId="3" applyFont="1" applyFill="1"/>
    <xf numFmtId="0" fontId="7" fillId="2" borderId="9" xfId="3" applyFont="1" applyFill="1" applyBorder="1"/>
    <xf numFmtId="49" fontId="7" fillId="2" borderId="5" xfId="3" applyNumberFormat="1" applyFont="1" applyFill="1" applyBorder="1"/>
    <xf numFmtId="182" fontId="7" fillId="2" borderId="6" xfId="3" applyNumberFormat="1" applyFont="1" applyFill="1" applyBorder="1"/>
    <xf numFmtId="0" fontId="7" fillId="2" borderId="6" xfId="3" applyFont="1" applyFill="1" applyBorder="1"/>
    <xf numFmtId="49" fontId="7" fillId="2" borderId="6" xfId="3" applyNumberFormat="1" applyFont="1" applyFill="1" applyBorder="1"/>
    <xf numFmtId="0" fontId="7" fillId="2" borderId="9" xfId="3" applyFont="1" applyFill="1" applyBorder="1" applyAlignment="1">
      <alignment wrapText="1"/>
    </xf>
    <xf numFmtId="49" fontId="7" fillId="2" borderId="0" xfId="3" applyNumberFormat="1" applyFont="1" applyFill="1"/>
    <xf numFmtId="49" fontId="18" fillId="2" borderId="10" xfId="3" applyNumberFormat="1" applyFont="1" applyFill="1" applyBorder="1"/>
    <xf numFmtId="182" fontId="18" fillId="2" borderId="0" xfId="3" applyNumberFormat="1" applyFont="1" applyFill="1"/>
    <xf numFmtId="0" fontId="18" fillId="2" borderId="0" xfId="3" applyFont="1" applyFill="1"/>
    <xf numFmtId="49" fontId="7" fillId="2" borderId="14" xfId="3" applyNumberFormat="1" applyFont="1" applyFill="1" applyBorder="1"/>
    <xf numFmtId="182" fontId="7" fillId="2" borderId="15" xfId="3" applyNumberFormat="1" applyFont="1" applyFill="1" applyBorder="1"/>
    <xf numFmtId="0" fontId="7" fillId="2" borderId="15" xfId="3" applyFont="1" applyFill="1" applyBorder="1"/>
    <xf numFmtId="0" fontId="7" fillId="2" borderId="16" xfId="3" applyFont="1" applyFill="1" applyBorder="1"/>
    <xf numFmtId="0" fontId="7" fillId="2" borderId="4" xfId="3" applyFont="1" applyFill="1" applyBorder="1" applyAlignment="1">
      <alignment wrapText="1"/>
    </xf>
    <xf numFmtId="0" fontId="7" fillId="2" borderId="16" xfId="3" applyFont="1" applyFill="1" applyBorder="1" applyAlignment="1">
      <alignment wrapText="1"/>
    </xf>
    <xf numFmtId="0" fontId="7" fillId="2" borderId="8" xfId="3" applyFont="1" applyFill="1" applyBorder="1" applyAlignment="1">
      <alignment wrapText="1"/>
    </xf>
    <xf numFmtId="0" fontId="7" fillId="2" borderId="0" xfId="3" applyFont="1" applyFill="1" applyProtection="1">
      <protection locked="0"/>
    </xf>
    <xf numFmtId="49" fontId="7" fillId="2" borderId="5" xfId="3" quotePrefix="1" applyNumberFormat="1" applyFont="1" applyFill="1" applyBorder="1"/>
    <xf numFmtId="49" fontId="7" fillId="2" borderId="10" xfId="3" quotePrefix="1" applyNumberFormat="1" applyFont="1" applyFill="1" applyBorder="1"/>
    <xf numFmtId="49" fontId="7" fillId="2" borderId="1" xfId="3" quotePrefix="1" applyNumberFormat="1" applyFont="1" applyFill="1" applyBorder="1"/>
    <xf numFmtId="49" fontId="7" fillId="2" borderId="14" xfId="3" quotePrefix="1" applyNumberFormat="1" applyFont="1" applyFill="1" applyBorder="1"/>
    <xf numFmtId="49" fontId="7" fillId="2" borderId="15" xfId="3" applyNumberFormat="1" applyFont="1" applyFill="1" applyBorder="1"/>
    <xf numFmtId="0" fontId="19" fillId="2" borderId="0" xfId="3" applyFont="1" applyFill="1"/>
    <xf numFmtId="38" fontId="7" fillId="2" borderId="9" xfId="3" applyNumberFormat="1" applyFont="1" applyFill="1" applyBorder="1"/>
    <xf numFmtId="17" fontId="7" fillId="2" borderId="2" xfId="3" applyNumberFormat="1" applyFont="1" applyFill="1" applyBorder="1"/>
    <xf numFmtId="17" fontId="7" fillId="2" borderId="0" xfId="3" applyNumberFormat="1" applyFont="1" applyFill="1"/>
    <xf numFmtId="17" fontId="7" fillId="2" borderId="6" xfId="3" applyNumberFormat="1" applyFont="1" applyFill="1" applyBorder="1"/>
    <xf numFmtId="17" fontId="7" fillId="2" borderId="15" xfId="3" applyNumberFormat="1" applyFont="1" applyFill="1" applyBorder="1"/>
    <xf numFmtId="0" fontId="7" fillId="2" borderId="10" xfId="3" applyFont="1" applyFill="1" applyBorder="1"/>
    <xf numFmtId="49" fontId="8" fillId="2" borderId="0" xfId="3" applyNumberFormat="1" applyFont="1" applyFill="1"/>
    <xf numFmtId="183" fontId="7" fillId="2" borderId="0" xfId="3" applyNumberFormat="1" applyFont="1" applyFill="1"/>
    <xf numFmtId="49" fontId="7" fillId="2" borderId="1" xfId="3" applyNumberFormat="1" applyFont="1" applyFill="1" applyBorder="1" applyAlignment="1">
      <alignment vertical="center"/>
    </xf>
    <xf numFmtId="182" fontId="7" fillId="2" borderId="2" xfId="3" applyNumberFormat="1" applyFont="1" applyFill="1" applyBorder="1" applyAlignment="1">
      <alignment vertical="center"/>
    </xf>
    <xf numFmtId="0" fontId="7" fillId="2" borderId="2" xfId="3" applyFont="1" applyFill="1" applyBorder="1" applyAlignment="1">
      <alignment vertical="center"/>
    </xf>
    <xf numFmtId="183" fontId="7" fillId="2" borderId="2" xfId="3" applyNumberFormat="1" applyFont="1" applyFill="1" applyBorder="1" applyAlignment="1">
      <alignment vertical="center"/>
    </xf>
    <xf numFmtId="49" fontId="7" fillId="2" borderId="2" xfId="3" applyNumberFormat="1" applyFont="1" applyFill="1" applyBorder="1" applyAlignment="1">
      <alignment vertical="center"/>
    </xf>
    <xf numFmtId="183" fontId="7" fillId="2" borderId="2" xfId="3" applyNumberFormat="1" applyFont="1" applyFill="1" applyBorder="1"/>
    <xf numFmtId="49" fontId="7" fillId="2" borderId="2" xfId="3" applyNumberFormat="1" applyFont="1" applyFill="1" applyBorder="1"/>
    <xf numFmtId="183" fontId="7" fillId="2" borderId="6" xfId="3" applyNumberFormat="1" applyFont="1" applyFill="1" applyBorder="1"/>
    <xf numFmtId="0" fontId="7" fillId="2" borderId="9" xfId="3" applyFont="1" applyFill="1" applyBorder="1" applyAlignment="1">
      <alignment wrapText="1" shrinkToFit="1"/>
    </xf>
    <xf numFmtId="183" fontId="7" fillId="2" borderId="15" xfId="3" applyNumberFormat="1" applyFont="1" applyFill="1" applyBorder="1"/>
    <xf numFmtId="49" fontId="9" fillId="2" borderId="0" xfId="3" applyNumberFormat="1" applyFont="1" applyFill="1"/>
    <xf numFmtId="38" fontId="7" fillId="2" borderId="0" xfId="1" applyFont="1" applyFill="1" applyAlignment="1"/>
    <xf numFmtId="38" fontId="7" fillId="2" borderId="2" xfId="1" applyFont="1" applyFill="1" applyBorder="1" applyAlignment="1"/>
    <xf numFmtId="38" fontId="7" fillId="2" borderId="0" xfId="1" applyFont="1" applyFill="1" applyBorder="1" applyAlignment="1">
      <alignment horizontal="centerContinuous" vertical="center"/>
    </xf>
    <xf numFmtId="38" fontId="7" fillId="2" borderId="8" xfId="1" applyFont="1" applyFill="1" applyBorder="1" applyAlignment="1"/>
    <xf numFmtId="38" fontId="7" fillId="2" borderId="5" xfId="1" applyFont="1" applyFill="1" applyBorder="1" applyAlignment="1"/>
    <xf numFmtId="178" fontId="7" fillId="2" borderId="4" xfId="1" applyNumberFormat="1" applyFont="1" applyFill="1" applyBorder="1" applyAlignment="1"/>
    <xf numFmtId="178" fontId="7" fillId="2" borderId="1" xfId="1" applyNumberFormat="1" applyFont="1" applyFill="1" applyBorder="1" applyAlignment="1"/>
    <xf numFmtId="178" fontId="7" fillId="2" borderId="9" xfId="1" applyNumberFormat="1" applyFont="1" applyFill="1" applyBorder="1" applyAlignment="1"/>
    <xf numFmtId="178" fontId="7" fillId="2" borderId="10" xfId="1" applyNumberFormat="1" applyFont="1" applyFill="1" applyBorder="1" applyAlignment="1"/>
    <xf numFmtId="178" fontId="7" fillId="10" borderId="10" xfId="1" applyNumberFormat="1" applyFont="1" applyFill="1" applyBorder="1" applyAlignment="1"/>
    <xf numFmtId="178" fontId="7" fillId="2" borderId="5" xfId="1" applyNumberFormat="1" applyFont="1" applyFill="1" applyBorder="1" applyAlignment="1"/>
    <xf numFmtId="178" fontId="7" fillId="10" borderId="5" xfId="1" applyNumberFormat="1" applyFont="1" applyFill="1" applyBorder="1" applyAlignment="1"/>
    <xf numFmtId="178" fontId="7" fillId="2" borderId="14" xfId="1" applyNumberFormat="1" applyFont="1" applyFill="1" applyBorder="1" applyAlignment="1"/>
    <xf numFmtId="178" fontId="7" fillId="2" borderId="8" xfId="1" applyNumberFormat="1" applyFont="1" applyFill="1" applyBorder="1" applyAlignment="1"/>
    <xf numFmtId="178" fontId="7" fillId="2" borderId="16" xfId="1" applyNumberFormat="1" applyFont="1" applyFill="1" applyBorder="1" applyAlignment="1"/>
    <xf numFmtId="178" fontId="9" fillId="2" borderId="10" xfId="1" applyNumberFormat="1" applyFont="1" applyFill="1" applyBorder="1" applyAlignment="1"/>
    <xf numFmtId="0" fontId="7" fillId="2" borderId="6" xfId="3" applyFont="1" applyFill="1" applyBorder="1" applyProtection="1">
      <protection locked="0"/>
    </xf>
    <xf numFmtId="183" fontId="7" fillId="7" borderId="0" xfId="3" applyNumberFormat="1" applyFont="1" applyFill="1"/>
    <xf numFmtId="49" fontId="7" fillId="7" borderId="0" xfId="3" applyNumberFormat="1" applyFont="1" applyFill="1"/>
    <xf numFmtId="0" fontId="7" fillId="7" borderId="0" xfId="3" applyFont="1" applyFill="1"/>
    <xf numFmtId="0" fontId="7" fillId="7" borderId="9" xfId="3" applyFont="1" applyFill="1" applyBorder="1" applyAlignment="1">
      <alignment horizontal="left" wrapText="1"/>
    </xf>
    <xf numFmtId="178" fontId="7" fillId="7" borderId="10" xfId="1" applyNumberFormat="1" applyFont="1" applyFill="1" applyBorder="1" applyAlignment="1"/>
    <xf numFmtId="38" fontId="7" fillId="2" borderId="4" xfId="1" applyFont="1" applyFill="1" applyBorder="1" applyAlignment="1">
      <alignment horizontal="center"/>
    </xf>
    <xf numFmtId="38" fontId="7" fillId="2" borderId="1" xfId="1" applyFont="1" applyFill="1" applyBorder="1" applyAlignment="1">
      <alignment horizontal="center"/>
    </xf>
    <xf numFmtId="0" fontId="7" fillId="7" borderId="16" xfId="3" applyFont="1" applyFill="1" applyBorder="1"/>
    <xf numFmtId="178" fontId="7" fillId="7" borderId="16" xfId="1" applyNumberFormat="1" applyFont="1" applyFill="1" applyBorder="1" applyAlignment="1"/>
    <xf numFmtId="178" fontId="7" fillId="7" borderId="14" xfId="1" applyNumberFormat="1" applyFont="1" applyFill="1" applyBorder="1" applyAlignment="1"/>
    <xf numFmtId="49" fontId="7" fillId="7" borderId="14" xfId="3" applyNumberFormat="1" applyFont="1" applyFill="1" applyBorder="1"/>
    <xf numFmtId="182" fontId="7" fillId="7" borderId="15" xfId="3" applyNumberFormat="1" applyFont="1" applyFill="1" applyBorder="1"/>
    <xf numFmtId="0" fontId="7" fillId="7" borderId="15" xfId="3" applyFont="1" applyFill="1" applyBorder="1"/>
    <xf numFmtId="183" fontId="7" fillId="7" borderId="15" xfId="3" applyNumberFormat="1" applyFont="1" applyFill="1" applyBorder="1"/>
    <xf numFmtId="49" fontId="7" fillId="7" borderId="15" xfId="3" applyNumberFormat="1" applyFont="1" applyFill="1" applyBorder="1"/>
    <xf numFmtId="0" fontId="7" fillId="7" borderId="9" xfId="3" applyFont="1" applyFill="1" applyBorder="1"/>
    <xf numFmtId="0" fontId="7" fillId="7" borderId="16" xfId="3" applyFont="1" applyFill="1" applyBorder="1" applyAlignment="1">
      <alignment wrapText="1"/>
    </xf>
    <xf numFmtId="0" fontId="7" fillId="7" borderId="9" xfId="3" applyFont="1" applyFill="1" applyBorder="1" applyAlignment="1">
      <alignment wrapText="1"/>
    </xf>
    <xf numFmtId="49" fontId="7" fillId="7" borderId="1" xfId="3" applyNumberFormat="1" applyFont="1" applyFill="1" applyBorder="1"/>
    <xf numFmtId="182" fontId="7" fillId="7" borderId="2" xfId="3" applyNumberFormat="1" applyFont="1" applyFill="1" applyBorder="1"/>
    <xf numFmtId="0" fontId="7" fillId="7" borderId="2" xfId="3" applyFont="1" applyFill="1" applyBorder="1"/>
    <xf numFmtId="183" fontId="7" fillId="7" borderId="2" xfId="3" applyNumberFormat="1" applyFont="1" applyFill="1" applyBorder="1"/>
    <xf numFmtId="49" fontId="7" fillId="7" borderId="2" xfId="3" applyNumberFormat="1" applyFont="1" applyFill="1" applyBorder="1"/>
    <xf numFmtId="0" fontId="7" fillId="7" borderId="4" xfId="3" applyFont="1" applyFill="1" applyBorder="1"/>
    <xf numFmtId="14" fontId="7" fillId="7" borderId="0" xfId="3" applyNumberFormat="1" applyFont="1" applyFill="1" applyProtection="1">
      <protection locked="0"/>
    </xf>
    <xf numFmtId="178" fontId="7" fillId="7" borderId="9" xfId="1" applyNumberFormat="1" applyFont="1" applyFill="1" applyBorder="1" applyAlignment="1"/>
    <xf numFmtId="178" fontId="9" fillId="2" borderId="9" xfId="1" applyNumberFormat="1" applyFont="1" applyFill="1" applyBorder="1" applyAlignment="1"/>
    <xf numFmtId="0" fontId="7" fillId="2" borderId="4" xfId="3" applyFont="1" applyFill="1" applyBorder="1" applyAlignment="1" applyProtection="1">
      <alignment horizontal="center"/>
      <protection locked="0"/>
    </xf>
    <xf numFmtId="0" fontId="7" fillId="2" borderId="8" xfId="3" applyFont="1" applyFill="1" applyBorder="1" applyProtection="1">
      <protection locked="0"/>
    </xf>
    <xf numFmtId="0" fontId="7" fillId="2" borderId="9" xfId="3" applyFont="1" applyFill="1" applyBorder="1" applyProtection="1">
      <protection locked="0"/>
    </xf>
    <xf numFmtId="0" fontId="7" fillId="2" borderId="16" xfId="3" applyFont="1" applyFill="1" applyBorder="1" applyProtection="1">
      <protection locked="0"/>
    </xf>
    <xf numFmtId="182" fontId="7" fillId="7" borderId="0" xfId="3" applyNumberFormat="1" applyFont="1" applyFill="1"/>
    <xf numFmtId="49" fontId="7" fillId="3" borderId="10" xfId="3" applyNumberFormat="1" applyFont="1" applyFill="1" applyBorder="1"/>
    <xf numFmtId="182" fontId="7" fillId="3" borderId="0" xfId="3" applyNumberFormat="1" applyFont="1" applyFill="1"/>
    <xf numFmtId="0" fontId="7" fillId="3" borderId="0" xfId="3" applyFont="1" applyFill="1"/>
    <xf numFmtId="183" fontId="7" fillId="3" borderId="0" xfId="3" applyNumberFormat="1" applyFont="1" applyFill="1"/>
    <xf numFmtId="49" fontId="7" fillId="3" borderId="0" xfId="3" applyNumberFormat="1" applyFont="1" applyFill="1"/>
    <xf numFmtId="0" fontId="7" fillId="3" borderId="9" xfId="3" applyFont="1" applyFill="1" applyBorder="1"/>
    <xf numFmtId="178" fontId="7" fillId="3" borderId="9" xfId="1" applyNumberFormat="1" applyFont="1" applyFill="1" applyBorder="1" applyAlignment="1"/>
    <xf numFmtId="178" fontId="7" fillId="3" borderId="10" xfId="1" applyNumberFormat="1" applyFont="1" applyFill="1" applyBorder="1" applyAlignment="1"/>
    <xf numFmtId="0" fontId="7" fillId="3" borderId="9" xfId="3" applyFont="1" applyFill="1" applyBorder="1" applyProtection="1">
      <protection locked="0"/>
    </xf>
    <xf numFmtId="49" fontId="7" fillId="3" borderId="1" xfId="3" applyNumberFormat="1" applyFont="1" applyFill="1" applyBorder="1"/>
    <xf numFmtId="182" fontId="7" fillId="3" borderId="2" xfId="3" applyNumberFormat="1" applyFont="1" applyFill="1" applyBorder="1"/>
    <xf numFmtId="0" fontId="7" fillId="3" borderId="2" xfId="3" applyFont="1" applyFill="1" applyBorder="1"/>
    <xf numFmtId="183" fontId="7" fillId="3" borderId="2" xfId="3" applyNumberFormat="1" applyFont="1" applyFill="1" applyBorder="1"/>
    <xf numFmtId="49" fontId="7" fillId="3" borderId="2" xfId="3" applyNumberFormat="1" applyFont="1" applyFill="1" applyBorder="1"/>
    <xf numFmtId="0" fontId="7" fillId="3" borderId="4" xfId="3" applyFont="1" applyFill="1" applyBorder="1"/>
    <xf numFmtId="178" fontId="7" fillId="3" borderId="4" xfId="1" applyNumberFormat="1" applyFont="1" applyFill="1" applyBorder="1" applyAlignment="1"/>
    <xf numFmtId="183" fontId="7" fillId="9" borderId="0" xfId="3" applyNumberFormat="1" applyFont="1" applyFill="1"/>
    <xf numFmtId="49" fontId="7" fillId="9" borderId="0" xfId="3" applyNumberFormat="1" applyFont="1" applyFill="1"/>
    <xf numFmtId="0" fontId="7" fillId="9" borderId="9" xfId="3" applyFont="1" applyFill="1" applyBorder="1"/>
    <xf numFmtId="178" fontId="7" fillId="9" borderId="9" xfId="1" applyNumberFormat="1" applyFont="1" applyFill="1" applyBorder="1" applyAlignment="1"/>
    <xf numFmtId="178" fontId="7" fillId="9" borderId="10" xfId="1" applyNumberFormat="1" applyFont="1" applyFill="1" applyBorder="1" applyAlignment="1"/>
    <xf numFmtId="183" fontId="7" fillId="9" borderId="6" xfId="3" applyNumberFormat="1" applyFont="1" applyFill="1" applyBorder="1"/>
    <xf numFmtId="49" fontId="7" fillId="9" borderId="6" xfId="3" applyNumberFormat="1" applyFont="1" applyFill="1" applyBorder="1"/>
    <xf numFmtId="0" fontId="7" fillId="9" borderId="6" xfId="3" applyFont="1" applyFill="1" applyBorder="1"/>
    <xf numFmtId="0" fontId="7" fillId="9" borderId="8" xfId="3" applyFont="1" applyFill="1" applyBorder="1"/>
    <xf numFmtId="178" fontId="7" fillId="9" borderId="8" xfId="1" applyNumberFormat="1" applyFont="1" applyFill="1" applyBorder="1" applyAlignment="1"/>
    <xf numFmtId="178" fontId="7" fillId="9" borderId="5" xfId="1" applyNumberFormat="1" applyFont="1" applyFill="1" applyBorder="1" applyAlignment="1"/>
    <xf numFmtId="49" fontId="7" fillId="9" borderId="14" xfId="3" applyNumberFormat="1" applyFont="1" applyFill="1" applyBorder="1"/>
    <xf numFmtId="182" fontId="7" fillId="9" borderId="15" xfId="3" applyNumberFormat="1" applyFont="1" applyFill="1" applyBorder="1"/>
    <xf numFmtId="0" fontId="7" fillId="9" borderId="15" xfId="3" applyFont="1" applyFill="1" applyBorder="1"/>
    <xf numFmtId="183" fontId="7" fillId="9" borderId="15" xfId="3" applyNumberFormat="1" applyFont="1" applyFill="1" applyBorder="1"/>
    <xf numFmtId="49" fontId="7" fillId="9" borderId="15" xfId="3" applyNumberFormat="1" applyFont="1" applyFill="1" applyBorder="1"/>
    <xf numFmtId="0" fontId="7" fillId="9" borderId="16" xfId="3" applyFont="1" applyFill="1" applyBorder="1"/>
    <xf numFmtId="178" fontId="7" fillId="9" borderId="16" xfId="1" applyNumberFormat="1" applyFont="1" applyFill="1" applyBorder="1" applyAlignment="1"/>
    <xf numFmtId="178" fontId="7" fillId="9" borderId="14" xfId="1" applyNumberFormat="1" applyFont="1" applyFill="1" applyBorder="1" applyAlignment="1"/>
    <xf numFmtId="0" fontId="7" fillId="9" borderId="0" xfId="3" applyFont="1" applyFill="1"/>
    <xf numFmtId="182" fontId="7" fillId="9" borderId="0" xfId="3" applyNumberFormat="1" applyFont="1" applyFill="1"/>
    <xf numFmtId="49" fontId="7" fillId="9" borderId="10" xfId="3" applyNumberFormat="1" applyFont="1" applyFill="1" applyBorder="1"/>
    <xf numFmtId="0" fontId="7" fillId="9" borderId="16" xfId="3" applyFont="1" applyFill="1" applyBorder="1" applyAlignment="1">
      <alignment wrapText="1"/>
    </xf>
    <xf numFmtId="177" fontId="7" fillId="2" borderId="9" xfId="1" applyNumberFormat="1" applyFont="1" applyFill="1" applyBorder="1" applyAlignment="1" applyProtection="1">
      <alignment horizontal="right"/>
      <protection locked="0"/>
    </xf>
    <xf numFmtId="38" fontId="7" fillId="2" borderId="9" xfId="1" applyFont="1" applyFill="1" applyBorder="1" applyAlignment="1" applyProtection="1">
      <alignment horizontal="right"/>
      <protection locked="0"/>
    </xf>
    <xf numFmtId="177" fontId="7" fillId="2" borderId="9" xfId="1" applyNumberFormat="1" applyFont="1" applyFill="1" applyBorder="1" applyAlignment="1">
      <alignment horizontal="right"/>
    </xf>
    <xf numFmtId="38" fontId="7" fillId="2" borderId="9" xfId="1" applyFont="1" applyFill="1" applyBorder="1" applyAlignment="1">
      <alignment horizontal="right"/>
    </xf>
    <xf numFmtId="177" fontId="7" fillId="7" borderId="9" xfId="1" applyNumberFormat="1" applyFont="1" applyFill="1" applyBorder="1" applyAlignment="1" applyProtection="1">
      <alignment horizontal="right"/>
      <protection locked="0"/>
    </xf>
    <xf numFmtId="38" fontId="7" fillId="7" borderId="9" xfId="1" applyFont="1" applyFill="1" applyBorder="1" applyAlignment="1" applyProtection="1">
      <alignment horizontal="right"/>
      <protection locked="0"/>
    </xf>
    <xf numFmtId="38" fontId="7" fillId="2" borderId="8" xfId="1" applyFont="1" applyFill="1" applyBorder="1" applyAlignment="1" applyProtection="1">
      <alignment horizontal="right"/>
      <protection locked="0"/>
    </xf>
    <xf numFmtId="177" fontId="7" fillId="9" borderId="9" xfId="1" applyNumberFormat="1" applyFont="1" applyFill="1" applyBorder="1" applyAlignment="1" applyProtection="1">
      <alignment horizontal="right"/>
      <protection locked="0"/>
    </xf>
    <xf numFmtId="38" fontId="7" fillId="9" borderId="9" xfId="1" applyFont="1" applyFill="1" applyBorder="1" applyAlignment="1" applyProtection="1">
      <alignment horizontal="right"/>
      <protection locked="0"/>
    </xf>
    <xf numFmtId="177" fontId="7" fillId="3" borderId="9" xfId="1" applyNumberFormat="1" applyFont="1" applyFill="1" applyBorder="1" applyAlignment="1" applyProtection="1">
      <alignment horizontal="right"/>
      <protection locked="0"/>
    </xf>
    <xf numFmtId="38" fontId="7" fillId="3" borderId="9" xfId="1" applyFont="1" applyFill="1" applyBorder="1" applyAlignment="1" applyProtection="1">
      <alignment horizontal="right"/>
      <protection locked="0"/>
    </xf>
    <xf numFmtId="177" fontId="7" fillId="2" borderId="8" xfId="1" applyNumberFormat="1" applyFont="1" applyFill="1" applyBorder="1" applyAlignment="1" applyProtection="1">
      <alignment horizontal="right"/>
      <protection locked="0"/>
    </xf>
    <xf numFmtId="38" fontId="7" fillId="7" borderId="16" xfId="1" applyFont="1" applyFill="1" applyBorder="1" applyAlignment="1" applyProtection="1">
      <alignment horizontal="right"/>
      <protection locked="0"/>
    </xf>
    <xf numFmtId="0" fontId="7" fillId="2" borderId="0" xfId="3" applyFont="1" applyFill="1" applyAlignment="1" applyProtection="1">
      <alignment horizontal="right"/>
      <protection locked="0"/>
    </xf>
    <xf numFmtId="49" fontId="7" fillId="9" borderId="1" xfId="3" applyNumberFormat="1" applyFont="1" applyFill="1" applyBorder="1"/>
    <xf numFmtId="182" fontId="7" fillId="9" borderId="2" xfId="3" applyNumberFormat="1" applyFont="1" applyFill="1" applyBorder="1"/>
    <xf numFmtId="0" fontId="7" fillId="9" borderId="2" xfId="3" applyFont="1" applyFill="1" applyBorder="1"/>
    <xf numFmtId="49" fontId="7" fillId="9" borderId="2" xfId="3" applyNumberFormat="1" applyFont="1" applyFill="1" applyBorder="1"/>
    <xf numFmtId="178" fontId="7" fillId="9" borderId="4" xfId="1" applyNumberFormat="1" applyFont="1" applyFill="1" applyBorder="1" applyAlignment="1"/>
    <xf numFmtId="178" fontId="7" fillId="9" borderId="1" xfId="1" applyNumberFormat="1" applyFont="1" applyFill="1" applyBorder="1" applyAlignment="1"/>
    <xf numFmtId="17" fontId="7" fillId="9" borderId="0" xfId="3" applyNumberFormat="1" applyFont="1" applyFill="1"/>
    <xf numFmtId="178" fontId="7" fillId="7" borderId="4" xfId="1" applyNumberFormat="1" applyFont="1" applyFill="1" applyBorder="1" applyAlignment="1"/>
    <xf numFmtId="178" fontId="7" fillId="7" borderId="1" xfId="1" applyNumberFormat="1" applyFont="1" applyFill="1" applyBorder="1" applyAlignment="1"/>
    <xf numFmtId="0" fontId="9" fillId="2" borderId="0" xfId="3" applyFont="1" applyFill="1"/>
    <xf numFmtId="0" fontId="7" fillId="2" borderId="9" xfId="0" applyFont="1" applyFill="1" applyBorder="1" applyAlignment="1">
      <alignment horizontal="left" vertical="center"/>
    </xf>
    <xf numFmtId="0" fontId="7" fillId="2" borderId="9" xfId="0" applyFont="1" applyFill="1" applyBorder="1" applyAlignment="1"/>
    <xf numFmtId="0" fontId="7" fillId="9" borderId="4" xfId="3" applyFont="1" applyFill="1" applyBorder="1"/>
    <xf numFmtId="0" fontId="7" fillId="7" borderId="4" xfId="3" applyFont="1" applyFill="1" applyBorder="1" applyAlignment="1" applyProtection="1">
      <alignment horizontal="center"/>
      <protection locked="0"/>
    </xf>
    <xf numFmtId="0" fontId="7" fillId="7" borderId="8" xfId="3" applyFont="1" applyFill="1" applyBorder="1" applyAlignment="1" applyProtection="1">
      <alignment horizontal="center"/>
      <protection locked="0"/>
    </xf>
    <xf numFmtId="49" fontId="7" fillId="7" borderId="5" xfId="3" applyNumberFormat="1" applyFont="1" applyFill="1" applyBorder="1"/>
    <xf numFmtId="182" fontId="7" fillId="7" borderId="6" xfId="3" applyNumberFormat="1" applyFont="1" applyFill="1" applyBorder="1"/>
    <xf numFmtId="0" fontId="7" fillId="7" borderId="6" xfId="3" applyFont="1" applyFill="1" applyBorder="1"/>
    <xf numFmtId="183" fontId="7" fillId="7" borderId="6" xfId="3" applyNumberFormat="1" applyFont="1" applyFill="1" applyBorder="1"/>
    <xf numFmtId="49" fontId="7" fillId="7" borderId="6" xfId="3" applyNumberFormat="1" applyFont="1" applyFill="1" applyBorder="1"/>
    <xf numFmtId="0" fontId="7" fillId="7" borderId="8" xfId="3" applyFont="1" applyFill="1" applyBorder="1"/>
    <xf numFmtId="178" fontId="7" fillId="7" borderId="8" xfId="1" applyNumberFormat="1" applyFont="1" applyFill="1" applyBorder="1" applyAlignment="1"/>
    <xf numFmtId="178" fontId="7" fillId="7" borderId="5" xfId="1" applyNumberFormat="1" applyFont="1" applyFill="1" applyBorder="1" applyAlignment="1"/>
    <xf numFmtId="49" fontId="7" fillId="7" borderId="10" xfId="3" applyNumberFormat="1" applyFont="1" applyFill="1" applyBorder="1"/>
    <xf numFmtId="38" fontId="3" fillId="0" borderId="4" xfId="2" applyNumberFormat="1" applyBorder="1" applyAlignment="1">
      <alignment vertical="center" shrinkToFit="1"/>
    </xf>
    <xf numFmtId="38" fontId="3" fillId="0" borderId="9" xfId="2" applyNumberFormat="1" applyBorder="1" applyAlignment="1">
      <alignment vertical="center" shrinkToFit="1"/>
    </xf>
    <xf numFmtId="38" fontId="3" fillId="3" borderId="9" xfId="2" applyNumberFormat="1" applyFill="1" applyBorder="1" applyAlignment="1">
      <alignment vertical="center" shrinkToFit="1"/>
    </xf>
    <xf numFmtId="38" fontId="3" fillId="0" borderId="8" xfId="2" applyNumberFormat="1" applyBorder="1" applyAlignment="1">
      <alignment vertical="center" shrinkToFit="1"/>
    </xf>
    <xf numFmtId="38" fontId="3" fillId="0" borderId="16" xfId="2" applyNumberFormat="1" applyBorder="1" applyAlignment="1">
      <alignment vertical="center" shrinkToFit="1"/>
    </xf>
    <xf numFmtId="38" fontId="3" fillId="3" borderId="4" xfId="2" applyNumberFormat="1" applyFill="1" applyBorder="1" applyAlignment="1">
      <alignment vertical="center" shrinkToFit="1"/>
    </xf>
    <xf numFmtId="38" fontId="3" fillId="0" borderId="9" xfId="1" applyFont="1" applyBorder="1" applyAlignment="1"/>
    <xf numFmtId="38" fontId="3" fillId="3" borderId="16" xfId="2" applyNumberFormat="1" applyFill="1" applyBorder="1" applyAlignment="1">
      <alignment vertical="center" shrinkToFit="1"/>
    </xf>
    <xf numFmtId="38" fontId="3" fillId="0" borderId="9" xfId="2" applyNumberFormat="1" applyBorder="1" applyAlignment="1">
      <alignment vertical="center"/>
    </xf>
    <xf numFmtId="38" fontId="3" fillId="7" borderId="9" xfId="2" applyNumberFormat="1" applyFill="1" applyBorder="1" applyAlignment="1">
      <alignment vertical="center" shrinkToFit="1"/>
    </xf>
    <xf numFmtId="0" fontId="4" fillId="0" borderId="0" xfId="0" applyFont="1" applyAlignment="1"/>
    <xf numFmtId="38" fontId="3" fillId="0" borderId="16" xfId="1" applyFont="1" applyFill="1" applyBorder="1" applyAlignment="1">
      <alignment horizontal="center" vertical="center" wrapText="1"/>
    </xf>
    <xf numFmtId="38" fontId="3" fillId="0" borderId="7" xfId="1" applyFont="1" applyFill="1" applyBorder="1" applyAlignment="1">
      <alignment horizontal="center"/>
    </xf>
    <xf numFmtId="38" fontId="3" fillId="0" borderId="8" xfId="1" applyFont="1" applyFill="1" applyBorder="1" applyAlignment="1">
      <alignment horizontal="center"/>
    </xf>
    <xf numFmtId="0" fontId="6" fillId="0" borderId="1" xfId="0" applyFont="1" applyBorder="1" applyAlignment="1">
      <alignment vertical="top" textRotation="255" wrapText="1"/>
    </xf>
    <xf numFmtId="0" fontId="6" fillId="0" borderId="16" xfId="0" applyFont="1" applyBorder="1" applyAlignment="1">
      <alignment horizontal="center" vertical="center" wrapText="1"/>
    </xf>
    <xf numFmtId="0" fontId="6" fillId="0" borderId="5" xfId="0" applyFont="1" applyBorder="1" applyAlignment="1"/>
    <xf numFmtId="38" fontId="6" fillId="0" borderId="15" xfId="1" applyFont="1" applyBorder="1" applyAlignment="1"/>
    <xf numFmtId="0" fontId="6" fillId="0" borderId="2" xfId="0" applyFont="1" applyBorder="1" applyAlignment="1"/>
    <xf numFmtId="0" fontId="6" fillId="0" borderId="6" xfId="0" applyFont="1" applyBorder="1" applyAlignment="1"/>
    <xf numFmtId="184" fontId="3" fillId="6" borderId="2" xfId="0" applyNumberFormat="1" applyFont="1" applyFill="1" applyBorder="1" applyAlignment="1"/>
    <xf numFmtId="184" fontId="3" fillId="6" borderId="0" xfId="0" applyNumberFormat="1" applyFont="1" applyFill="1" applyAlignment="1"/>
    <xf numFmtId="38" fontId="6" fillId="0" borderId="0" xfId="1" applyFont="1" applyBorder="1" applyAlignment="1"/>
    <xf numFmtId="0" fontId="6" fillId="0" borderId="15" xfId="0" applyFont="1" applyBorder="1">
      <alignment vertical="center"/>
    </xf>
    <xf numFmtId="38" fontId="3" fillId="0" borderId="4" xfId="1" applyFont="1" applyBorder="1" applyAlignment="1"/>
    <xf numFmtId="38" fontId="6" fillId="0" borderId="9" xfId="1" applyFont="1" applyBorder="1" applyAlignment="1"/>
    <xf numFmtId="38" fontId="6" fillId="0" borderId="16" xfId="1" applyFont="1" applyBorder="1" applyAlignment="1"/>
    <xf numFmtId="38" fontId="3" fillId="0" borderId="5" xfId="1" applyFont="1" applyFill="1" applyBorder="1" applyAlignment="1">
      <alignment horizontal="center"/>
    </xf>
    <xf numFmtId="184" fontId="3" fillId="6" borderId="4" xfId="0" applyNumberFormat="1" applyFont="1" applyFill="1" applyBorder="1" applyAlignment="1"/>
    <xf numFmtId="184" fontId="3" fillId="6" borderId="9" xfId="0" applyNumberFormat="1" applyFont="1" applyFill="1" applyBorder="1" applyAlignment="1"/>
    <xf numFmtId="184" fontId="3" fillId="6" borderId="16" xfId="0" applyNumberFormat="1" applyFont="1" applyFill="1" applyBorder="1" applyAlignment="1"/>
    <xf numFmtId="0" fontId="6" fillId="0" borderId="6" xfId="0" applyFont="1" applyBorder="1" applyAlignment="1">
      <alignment horizontal="center" vertical="center"/>
    </xf>
    <xf numFmtId="185" fontId="6" fillId="0" borderId="0" xfId="1" applyNumberFormat="1" applyFont="1">
      <alignment vertical="center"/>
    </xf>
    <xf numFmtId="0" fontId="12" fillId="0" borderId="2" xfId="0" applyFont="1" applyBorder="1">
      <alignment vertical="center"/>
    </xf>
    <xf numFmtId="0" fontId="6" fillId="2" borderId="0" xfId="0" applyFont="1" applyFill="1" applyAlignment="1">
      <alignment horizontal="center"/>
    </xf>
    <xf numFmtId="184" fontId="3" fillId="2" borderId="0" xfId="0" applyNumberFormat="1" applyFont="1" applyFill="1" applyAlignment="1"/>
    <xf numFmtId="184" fontId="3" fillId="6" borderId="15" xfId="0" applyNumberFormat="1" applyFont="1" applyFill="1" applyBorder="1" applyAlignment="1"/>
    <xf numFmtId="0" fontId="6" fillId="2" borderId="0" xfId="0" applyFont="1" applyFill="1" applyAlignment="1">
      <alignment horizontal="center" vertical="center" wrapText="1"/>
    </xf>
    <xf numFmtId="177" fontId="3" fillId="0" borderId="3" xfId="1" applyNumberFormat="1" applyFont="1" applyBorder="1" applyAlignment="1"/>
    <xf numFmtId="177" fontId="3" fillId="0" borderId="27" xfId="1" applyNumberFormat="1" applyFont="1" applyBorder="1" applyAlignment="1"/>
    <xf numFmtId="0" fontId="12" fillId="0" borderId="2" xfId="0" applyFont="1" applyBorder="1" applyAlignment="1">
      <alignment horizontal="center" vertical="center"/>
    </xf>
    <xf numFmtId="38" fontId="6" fillId="7" borderId="15" xfId="1" applyFont="1" applyFill="1" applyBorder="1">
      <alignment vertical="center"/>
    </xf>
    <xf numFmtId="185" fontId="6" fillId="0" borderId="15" xfId="1" applyNumberFormat="1" applyFont="1" applyBorder="1">
      <alignment vertical="center"/>
    </xf>
    <xf numFmtId="185" fontId="6" fillId="7" borderId="15" xfId="1" applyNumberFormat="1" applyFont="1" applyFill="1" applyBorder="1">
      <alignment vertical="center"/>
    </xf>
    <xf numFmtId="0" fontId="6" fillId="0" borderId="0" xfId="0" applyFont="1" applyAlignment="1">
      <alignment horizontal="right" vertical="center"/>
    </xf>
    <xf numFmtId="182" fontId="7" fillId="9" borderId="6" xfId="3" applyNumberFormat="1" applyFont="1" applyFill="1" applyBorder="1"/>
    <xf numFmtId="0" fontId="7" fillId="9" borderId="8" xfId="3" applyFont="1" applyFill="1" applyBorder="1" applyAlignment="1">
      <alignment wrapText="1"/>
    </xf>
    <xf numFmtId="179" fontId="3" fillId="4" borderId="16" xfId="2" applyNumberFormat="1" applyFill="1" applyBorder="1" applyAlignment="1">
      <alignment vertical="center" shrinkToFit="1"/>
    </xf>
    <xf numFmtId="49" fontId="7" fillId="9" borderId="5" xfId="3" applyNumberFormat="1" applyFont="1" applyFill="1" applyBorder="1"/>
    <xf numFmtId="38" fontId="3" fillId="7" borderId="16" xfId="2" applyNumberFormat="1" applyFill="1" applyBorder="1" applyAlignment="1">
      <alignment vertical="center" shrinkToFit="1"/>
    </xf>
    <xf numFmtId="0" fontId="6" fillId="2" borderId="0" xfId="0" applyFont="1" applyFill="1" applyAlignment="1">
      <alignment horizontal="right" vertical="center"/>
    </xf>
    <xf numFmtId="0" fontId="6" fillId="2" borderId="0" xfId="0" applyFont="1" applyFill="1" applyAlignment="1">
      <alignment horizontal="center" vertical="center"/>
    </xf>
    <xf numFmtId="38" fontId="3" fillId="2" borderId="6" xfId="2" applyNumberFormat="1" applyFill="1" applyBorder="1" applyAlignment="1">
      <alignment vertical="center" shrinkToFit="1"/>
    </xf>
    <xf numFmtId="38" fontId="3" fillId="2" borderId="8" xfId="2" applyNumberFormat="1" applyFill="1" applyBorder="1" applyAlignment="1">
      <alignment vertical="center" shrinkToFit="1"/>
    </xf>
    <xf numFmtId="38" fontId="3" fillId="2" borderId="0" xfId="2" applyNumberFormat="1" applyFill="1" applyAlignment="1">
      <alignment vertical="center" shrinkToFit="1"/>
    </xf>
    <xf numFmtId="38" fontId="3" fillId="2" borderId="9" xfId="2" applyNumberFormat="1" applyFill="1" applyBorder="1" applyAlignment="1">
      <alignment vertical="center" shrinkToFit="1"/>
    </xf>
    <xf numFmtId="38" fontId="3" fillId="2" borderId="2" xfId="2" applyNumberFormat="1" applyFill="1" applyBorder="1" applyAlignment="1">
      <alignment vertical="center" shrinkToFit="1"/>
    </xf>
    <xf numFmtId="38" fontId="3" fillId="2" borderId="4" xfId="2" applyNumberFormat="1" applyFill="1" applyBorder="1" applyAlignment="1">
      <alignment vertical="center" shrinkToFit="1"/>
    </xf>
    <xf numFmtId="38" fontId="3" fillId="2" borderId="15" xfId="2" applyNumberFormat="1" applyFill="1" applyBorder="1" applyAlignment="1">
      <alignment vertical="center" shrinkToFit="1"/>
    </xf>
    <xf numFmtId="38" fontId="3" fillId="2" borderId="16" xfId="2" applyNumberFormat="1" applyFill="1" applyBorder="1" applyAlignment="1">
      <alignment vertical="center" shrinkToFit="1"/>
    </xf>
    <xf numFmtId="40" fontId="3" fillId="7" borderId="0" xfId="1" applyNumberFormat="1" applyFont="1" applyFill="1" applyAlignment="1"/>
    <xf numFmtId="38" fontId="7" fillId="8" borderId="9" xfId="1" applyFont="1" applyFill="1" applyBorder="1" applyAlignment="1" applyProtection="1">
      <alignment horizontal="right"/>
      <protection locked="0"/>
    </xf>
    <xf numFmtId="14" fontId="6" fillId="0" borderId="0" xfId="0" applyNumberFormat="1" applyFont="1">
      <alignment vertical="center"/>
    </xf>
    <xf numFmtId="38" fontId="3" fillId="7" borderId="15" xfId="1" applyFont="1" applyFill="1" applyBorder="1" applyAlignment="1">
      <alignment horizontal="center" vertical="center" wrapText="1"/>
    </xf>
    <xf numFmtId="38" fontId="3" fillId="7" borderId="14" xfId="1" applyFont="1" applyFill="1" applyBorder="1" applyAlignment="1">
      <alignment horizontal="center" vertical="center" wrapText="1"/>
    </xf>
    <xf numFmtId="38" fontId="6" fillId="7" borderId="0" xfId="1" applyFont="1" applyFill="1" applyBorder="1" applyAlignment="1"/>
    <xf numFmtId="0" fontId="12" fillId="7" borderId="4" xfId="2" applyFont="1" applyFill="1" applyBorder="1" applyAlignment="1">
      <alignment horizontal="center" vertical="center"/>
    </xf>
    <xf numFmtId="0" fontId="12" fillId="7" borderId="8" xfId="2" applyFont="1" applyFill="1" applyBorder="1" applyAlignment="1">
      <alignment horizontal="center" vertical="center"/>
    </xf>
    <xf numFmtId="0" fontId="3" fillId="0" borderId="0" xfId="2" applyAlignment="1">
      <alignment horizontal="center" vertical="center"/>
    </xf>
    <xf numFmtId="0" fontId="7" fillId="0" borderId="0" xfId="0" applyFont="1" applyAlignment="1"/>
    <xf numFmtId="49" fontId="7" fillId="0" borderId="0" xfId="0" applyNumberFormat="1" applyFont="1" applyAlignment="1"/>
    <xf numFmtId="0" fontId="7" fillId="0" borderId="1" xfId="0" applyFont="1" applyBorder="1" applyAlignment="1"/>
    <xf numFmtId="49" fontId="7" fillId="0" borderId="2" xfId="0" applyNumberFormat="1" applyFont="1" applyBorder="1" applyAlignment="1"/>
    <xf numFmtId="0" fontId="7" fillId="0" borderId="3" xfId="0" applyFont="1" applyBorder="1" applyAlignment="1"/>
    <xf numFmtId="0" fontId="7" fillId="0" borderId="15" xfId="0" applyFont="1" applyBorder="1" applyAlignment="1"/>
    <xf numFmtId="0" fontId="7" fillId="0" borderId="10" xfId="0" applyFont="1" applyBorder="1" applyAlignment="1"/>
    <xf numFmtId="0" fontId="7" fillId="0" borderId="27" xfId="0" applyFont="1" applyBorder="1" applyAlignment="1"/>
    <xf numFmtId="0" fontId="7" fillId="0" borderId="9" xfId="0" applyFont="1" applyBorder="1" applyAlignment="1"/>
    <xf numFmtId="0" fontId="7" fillId="0" borderId="0" xfId="0" applyFont="1" applyAlignment="1">
      <alignment vertical="top" wrapText="1"/>
    </xf>
    <xf numFmtId="0" fontId="7" fillId="0" borderId="9" xfId="0" applyFont="1" applyBorder="1" applyAlignment="1">
      <alignment vertical="top" wrapText="1"/>
    </xf>
    <xf numFmtId="49" fontId="7" fillId="0" borderId="9" xfId="0" applyNumberFormat="1" applyFont="1" applyBorder="1" applyAlignment="1"/>
    <xf numFmtId="186" fontId="7" fillId="0" borderId="0" xfId="1" applyNumberFormat="1" applyFont="1" applyBorder="1" applyAlignment="1"/>
    <xf numFmtId="186" fontId="7" fillId="0" borderId="9" xfId="1" applyNumberFormat="1" applyFont="1" applyBorder="1" applyAlignment="1"/>
    <xf numFmtId="49" fontId="7" fillId="0" borderId="16" xfId="0" applyNumberFormat="1" applyFont="1" applyBorder="1" applyAlignment="1"/>
    <xf numFmtId="0" fontId="7" fillId="0" borderId="32" xfId="0" applyFont="1" applyBorder="1" applyAlignment="1"/>
    <xf numFmtId="186" fontId="7" fillId="0" borderId="15" xfId="1" applyNumberFormat="1" applyFont="1" applyBorder="1" applyAlignment="1"/>
    <xf numFmtId="186" fontId="7" fillId="0" borderId="16" xfId="1" applyNumberFormat="1" applyFont="1" applyBorder="1" applyAlignment="1"/>
    <xf numFmtId="49" fontId="7" fillId="0" borderId="4" xfId="0" applyNumberFormat="1" applyFont="1" applyBorder="1" applyAlignment="1"/>
    <xf numFmtId="187" fontId="7" fillId="0" borderId="2" xfId="1" applyNumberFormat="1" applyFont="1" applyBorder="1" applyAlignment="1"/>
    <xf numFmtId="187" fontId="7" fillId="0" borderId="4" xfId="1" applyNumberFormat="1" applyFont="1" applyBorder="1" applyAlignment="1"/>
    <xf numFmtId="187" fontId="7" fillId="0" borderId="0" xfId="1" applyNumberFormat="1" applyFont="1" applyBorder="1" applyAlignment="1"/>
    <xf numFmtId="187" fontId="7" fillId="0" borderId="9" xfId="1" applyNumberFormat="1" applyFont="1" applyBorder="1" applyAlignment="1"/>
    <xf numFmtId="187" fontId="7" fillId="0" borderId="15" xfId="1" applyNumberFormat="1" applyFont="1" applyBorder="1" applyAlignment="1"/>
    <xf numFmtId="187" fontId="7" fillId="0" borderId="16" xfId="1" applyNumberFormat="1" applyFont="1" applyBorder="1" applyAlignment="1"/>
    <xf numFmtId="49" fontId="7" fillId="0" borderId="8" xfId="0" applyNumberFormat="1" applyFont="1" applyBorder="1" applyAlignment="1"/>
    <xf numFmtId="0" fontId="7" fillId="0" borderId="7" xfId="0" applyFont="1" applyBorder="1" applyAlignment="1"/>
    <xf numFmtId="187" fontId="7" fillId="0" borderId="6" xfId="1" applyNumberFormat="1" applyFont="1" applyBorder="1" applyAlignment="1"/>
    <xf numFmtId="187" fontId="7" fillId="0" borderId="8" xfId="1" applyNumberFormat="1" applyFont="1" applyBorder="1" applyAlignment="1"/>
    <xf numFmtId="0" fontId="7" fillId="8" borderId="10" xfId="0" applyFont="1" applyFill="1" applyBorder="1" applyAlignment="1"/>
    <xf numFmtId="49" fontId="7" fillId="8" borderId="9" xfId="0" applyNumberFormat="1" applyFont="1" applyFill="1" applyBorder="1" applyAlignment="1"/>
    <xf numFmtId="0" fontId="7" fillId="8" borderId="27" xfId="0" applyFont="1" applyFill="1" applyBorder="1" applyAlignment="1"/>
    <xf numFmtId="186" fontId="7" fillId="8" borderId="0" xfId="1" applyNumberFormat="1" applyFont="1" applyFill="1" applyBorder="1" applyAlignment="1"/>
    <xf numFmtId="186" fontId="7" fillId="8" borderId="9" xfId="1" applyNumberFormat="1" applyFont="1" applyFill="1" applyBorder="1" applyAlignment="1"/>
    <xf numFmtId="49" fontId="7" fillId="0" borderId="0" xfId="0" applyNumberFormat="1" applyFont="1" applyAlignment="1">
      <alignment vertical="top" wrapText="1"/>
    </xf>
    <xf numFmtId="0" fontId="7" fillId="0" borderId="27" xfId="0" applyFont="1" applyBorder="1" applyAlignment="1">
      <alignment vertical="top" wrapText="1"/>
    </xf>
    <xf numFmtId="186" fontId="7" fillId="0" borderId="10" xfId="1" applyNumberFormat="1" applyFont="1" applyBorder="1" applyAlignment="1"/>
    <xf numFmtId="0" fontId="7" fillId="9" borderId="14" xfId="0" applyFont="1" applyFill="1" applyBorder="1" applyAlignment="1"/>
    <xf numFmtId="49" fontId="7" fillId="9" borderId="15" xfId="0" applyNumberFormat="1" applyFont="1" applyFill="1" applyBorder="1" applyAlignment="1">
      <alignment vertical="top" wrapText="1"/>
    </xf>
    <xf numFmtId="0" fontId="7" fillId="9" borderId="32" xfId="0" applyFont="1" applyFill="1" applyBorder="1" applyAlignment="1">
      <alignmen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6" fillId="2" borderId="14" xfId="0" applyFont="1" applyFill="1" applyBorder="1">
      <alignment vertical="center"/>
    </xf>
    <xf numFmtId="0" fontId="6" fillId="2" borderId="10" xfId="0" applyFont="1" applyFill="1" applyBorder="1">
      <alignment vertical="center"/>
    </xf>
    <xf numFmtId="0" fontId="6" fillId="2" borderId="32" xfId="0" applyFont="1" applyFill="1" applyBorder="1">
      <alignment vertical="center"/>
    </xf>
    <xf numFmtId="0" fontId="6" fillId="2" borderId="16" xfId="0" applyFont="1" applyFill="1" applyBorder="1" applyAlignment="1">
      <alignment horizontal="center" vertical="center"/>
    </xf>
    <xf numFmtId="38" fontId="6" fillId="2" borderId="9" xfId="1" applyFont="1" applyFill="1" applyBorder="1">
      <alignment vertical="center"/>
    </xf>
    <xf numFmtId="38" fontId="6" fillId="2" borderId="16" xfId="1" applyFont="1" applyFill="1" applyBorder="1">
      <alignment vertical="center"/>
    </xf>
    <xf numFmtId="0" fontId="6" fillId="2" borderId="16" xfId="0" applyFont="1" applyFill="1" applyBorder="1">
      <alignment vertical="center"/>
    </xf>
    <xf numFmtId="38" fontId="6" fillId="0" borderId="15" xfId="0" applyNumberFormat="1" applyFont="1" applyBorder="1">
      <alignment vertical="center"/>
    </xf>
    <xf numFmtId="0" fontId="6" fillId="0" borderId="32" xfId="0" applyFont="1" applyBorder="1">
      <alignment vertical="center"/>
    </xf>
    <xf numFmtId="0" fontId="3" fillId="0" borderId="1" xfId="0" applyFont="1" applyBorder="1" applyAlignment="1"/>
    <xf numFmtId="0" fontId="3" fillId="0" borderId="3" xfId="0" applyFont="1" applyBorder="1" applyAlignment="1"/>
    <xf numFmtId="0" fontId="3" fillId="0" borderId="5" xfId="0" applyFont="1" applyBorder="1" applyAlignment="1">
      <alignment vertical="top"/>
    </xf>
    <xf numFmtId="0" fontId="3" fillId="0" borderId="7" xfId="0" applyFont="1" applyBorder="1" applyAlignment="1">
      <alignment vertical="top"/>
    </xf>
    <xf numFmtId="0" fontId="3" fillId="0" borderId="10" xfId="0" applyFont="1" applyBorder="1" applyAlignment="1"/>
    <xf numFmtId="0" fontId="3" fillId="0" borderId="27" xfId="0" applyFont="1" applyBorder="1" applyAlignment="1"/>
    <xf numFmtId="0" fontId="3" fillId="11" borderId="27" xfId="0" applyFont="1" applyFill="1" applyBorder="1" applyAlignment="1"/>
    <xf numFmtId="0" fontId="3" fillId="0" borderId="10" xfId="0" applyFont="1" applyBorder="1" applyAlignment="1">
      <alignment horizontal="left"/>
    </xf>
    <xf numFmtId="0" fontId="3" fillId="7" borderId="14" xfId="0" applyFont="1" applyFill="1" applyBorder="1" applyAlignment="1">
      <alignment horizontal="left"/>
    </xf>
    <xf numFmtId="0" fontId="3" fillId="7" borderId="32" xfId="0" applyFont="1" applyFill="1" applyBorder="1" applyAlignment="1"/>
    <xf numFmtId="38" fontId="6" fillId="0" borderId="9" xfId="1" applyFont="1" applyBorder="1">
      <alignment vertical="center"/>
    </xf>
    <xf numFmtId="38" fontId="6" fillId="12" borderId="9" xfId="1" applyFont="1" applyFill="1" applyBorder="1">
      <alignment vertical="center"/>
    </xf>
    <xf numFmtId="38" fontId="6" fillId="7" borderId="16" xfId="1" applyFont="1" applyFill="1" applyBorder="1">
      <alignment vertical="center"/>
    </xf>
    <xf numFmtId="40" fontId="6" fillId="7" borderId="16" xfId="1" applyNumberFormat="1" applyFont="1" applyFill="1" applyBorder="1">
      <alignment vertical="center"/>
    </xf>
    <xf numFmtId="0" fontId="6" fillId="7" borderId="4" xfId="0" applyFont="1" applyFill="1" applyBorder="1">
      <alignment vertical="center"/>
    </xf>
    <xf numFmtId="0" fontId="6" fillId="7" borderId="8" xfId="0" applyFont="1" applyFill="1" applyBorder="1" applyAlignment="1">
      <alignment horizontal="center" vertical="center"/>
    </xf>
    <xf numFmtId="38" fontId="6" fillId="7" borderId="9" xfId="1" applyFont="1" applyFill="1" applyBorder="1">
      <alignment vertical="center"/>
    </xf>
    <xf numFmtId="3" fontId="6" fillId="0" borderId="16" xfId="0" applyNumberFormat="1" applyFont="1" applyBorder="1">
      <alignment vertical="center"/>
    </xf>
    <xf numFmtId="0" fontId="6" fillId="0" borderId="4" xfId="0" applyFont="1" applyBorder="1" applyAlignment="1">
      <alignment horizontal="center" vertical="center"/>
    </xf>
    <xf numFmtId="0" fontId="6" fillId="0" borderId="9" xfId="0" applyFont="1" applyBorder="1">
      <alignment vertical="center"/>
    </xf>
    <xf numFmtId="0" fontId="3" fillId="0" borderId="4" xfId="0" applyFont="1" applyBorder="1" applyAlignment="1"/>
    <xf numFmtId="0" fontId="3" fillId="0" borderId="8" xfId="0" applyFont="1" applyBorder="1" applyAlignment="1"/>
    <xf numFmtId="0" fontId="6" fillId="7" borderId="9" xfId="0" applyFont="1" applyFill="1" applyBorder="1">
      <alignment vertical="center"/>
    </xf>
    <xf numFmtId="0" fontId="6" fillId="7" borderId="8" xfId="0" applyFont="1" applyFill="1" applyBorder="1">
      <alignment vertical="center"/>
    </xf>
    <xf numFmtId="0" fontId="3" fillId="0" borderId="16" xfId="0" applyFont="1" applyBorder="1" applyAlignment="1"/>
    <xf numFmtId="31" fontId="12" fillId="0" borderId="8" xfId="0" applyNumberFormat="1" applyFont="1" applyBorder="1" applyAlignment="1">
      <alignment horizontal="center" vertical="center"/>
    </xf>
    <xf numFmtId="38" fontId="6" fillId="0" borderId="8" xfId="1" applyFont="1" applyBorder="1">
      <alignment vertical="center"/>
    </xf>
    <xf numFmtId="38" fontId="3" fillId="0" borderId="16" xfId="0" applyNumberFormat="1" applyFont="1" applyBorder="1" applyAlignment="1"/>
    <xf numFmtId="0" fontId="6" fillId="0" borderId="7" xfId="0" applyFont="1" applyBorder="1">
      <alignment vertical="center"/>
    </xf>
    <xf numFmtId="40" fontId="7" fillId="12" borderId="0" xfId="1" applyNumberFormat="1" applyFont="1" applyFill="1" applyAlignment="1" applyProtection="1">
      <alignment horizontal="right"/>
      <protection locked="0"/>
    </xf>
    <xf numFmtId="49" fontId="21" fillId="0" borderId="0" xfId="0" applyNumberFormat="1" applyFont="1" applyAlignment="1">
      <alignment horizontal="left" vertical="top"/>
    </xf>
    <xf numFmtId="49" fontId="21" fillId="13" borderId="46" xfId="0" applyNumberFormat="1" applyFont="1" applyFill="1" applyBorder="1" applyAlignment="1">
      <alignment horizontal="left" vertical="top" wrapText="1"/>
    </xf>
    <xf numFmtId="49" fontId="21" fillId="13" borderId="47" xfId="0" applyNumberFormat="1" applyFont="1" applyFill="1" applyBorder="1" applyAlignment="1">
      <alignment horizontal="left" vertical="top" wrapText="1"/>
    </xf>
    <xf numFmtId="49" fontId="21" fillId="13" borderId="48" xfId="0" applyNumberFormat="1" applyFont="1" applyFill="1" applyBorder="1" applyAlignment="1">
      <alignment horizontal="left" vertical="top" wrapText="1"/>
    </xf>
    <xf numFmtId="49" fontId="21" fillId="13" borderId="50" xfId="0" applyNumberFormat="1" applyFont="1" applyFill="1" applyBorder="1" applyAlignment="1">
      <alignment horizontal="left" vertical="top" wrapText="1"/>
    </xf>
    <xf numFmtId="49" fontId="21" fillId="13" borderId="51" xfId="0" applyNumberFormat="1" applyFont="1" applyFill="1" applyBorder="1" applyAlignment="1">
      <alignment horizontal="left" vertical="top" wrapText="1"/>
    </xf>
    <xf numFmtId="49" fontId="21" fillId="13" borderId="16" xfId="0" applyNumberFormat="1" applyFont="1" applyFill="1" applyBorder="1" applyAlignment="1">
      <alignment horizontal="left" vertical="top" wrapText="1"/>
    </xf>
    <xf numFmtId="180" fontId="21" fillId="13" borderId="53" xfId="0" applyNumberFormat="1" applyFont="1" applyFill="1" applyBorder="1" applyAlignment="1">
      <alignment horizontal="left" vertical="top" wrapText="1"/>
    </xf>
    <xf numFmtId="180" fontId="21" fillId="13" borderId="36" xfId="0" applyNumberFormat="1" applyFont="1" applyFill="1" applyBorder="1" applyAlignment="1">
      <alignment horizontal="left" vertical="top" wrapText="1"/>
    </xf>
    <xf numFmtId="180" fontId="21" fillId="13" borderId="54" xfId="0" applyNumberFormat="1" applyFont="1" applyFill="1" applyBorder="1" applyAlignment="1">
      <alignment horizontal="left" vertical="top" wrapText="1"/>
    </xf>
    <xf numFmtId="49" fontId="21" fillId="13" borderId="47" xfId="0" applyNumberFormat="1" applyFont="1" applyFill="1" applyBorder="1" applyAlignment="1">
      <alignment horizontal="left" vertical="top"/>
    </xf>
    <xf numFmtId="49" fontId="21" fillId="13" borderId="49" xfId="0" applyNumberFormat="1" applyFont="1" applyFill="1" applyBorder="1" applyAlignment="1">
      <alignment horizontal="left" vertical="top"/>
    </xf>
    <xf numFmtId="49" fontId="21" fillId="13" borderId="32" xfId="0" applyNumberFormat="1" applyFont="1" applyFill="1" applyBorder="1" applyAlignment="1">
      <alignment horizontal="left" vertical="top"/>
    </xf>
    <xf numFmtId="49" fontId="21" fillId="13" borderId="16" xfId="0" applyNumberFormat="1" applyFont="1" applyFill="1" applyBorder="1" applyAlignment="1">
      <alignment horizontal="left" vertical="top"/>
    </xf>
    <xf numFmtId="49" fontId="21" fillId="13" borderId="41" xfId="0" applyNumberFormat="1" applyFont="1" applyFill="1" applyBorder="1" applyAlignment="1">
      <alignment horizontal="left" vertical="top"/>
    </xf>
    <xf numFmtId="49" fontId="21" fillId="13" borderId="45" xfId="0" applyNumberFormat="1" applyFont="1" applyFill="1" applyBorder="1" applyAlignment="1">
      <alignment horizontal="left" vertical="top"/>
    </xf>
    <xf numFmtId="37" fontId="21" fillId="0" borderId="0" xfId="0" applyNumberFormat="1" applyFont="1" applyAlignment="1">
      <alignment horizontal="right"/>
    </xf>
    <xf numFmtId="37" fontId="21" fillId="0" borderId="0" xfId="0" quotePrefix="1" applyNumberFormat="1" applyFont="1" applyAlignment="1">
      <alignment horizontal="right"/>
    </xf>
    <xf numFmtId="0" fontId="21" fillId="0" borderId="0" xfId="0" applyFont="1" applyAlignment="1">
      <alignment horizontal="left" vertical="top"/>
    </xf>
    <xf numFmtId="49" fontId="21" fillId="13" borderId="37" xfId="0" applyNumberFormat="1" applyFont="1" applyFill="1" applyBorder="1" applyAlignment="1">
      <alignment horizontal="left" vertical="top"/>
    </xf>
    <xf numFmtId="49" fontId="21" fillId="13" borderId="43" xfId="0" applyNumberFormat="1" applyFont="1" applyFill="1" applyBorder="1" applyAlignment="1">
      <alignment horizontal="left" vertical="top"/>
    </xf>
    <xf numFmtId="49" fontId="21" fillId="13" borderId="44" xfId="0" applyNumberFormat="1" applyFont="1" applyFill="1" applyBorder="1" applyAlignment="1">
      <alignment horizontal="left" vertical="top"/>
    </xf>
    <xf numFmtId="49" fontId="21" fillId="13" borderId="57" xfId="0" applyNumberFormat="1" applyFont="1" applyFill="1" applyBorder="1" applyAlignment="1">
      <alignment horizontal="left" vertical="top"/>
    </xf>
    <xf numFmtId="49" fontId="21" fillId="12" borderId="37" xfId="0" applyNumberFormat="1" applyFont="1" applyFill="1" applyBorder="1" applyAlignment="1">
      <alignment horizontal="left" vertical="top"/>
    </xf>
    <xf numFmtId="49" fontId="21" fillId="12" borderId="43" xfId="0" applyNumberFormat="1" applyFont="1" applyFill="1" applyBorder="1" applyAlignment="1">
      <alignment horizontal="left" vertical="top"/>
    </xf>
    <xf numFmtId="37" fontId="21" fillId="12" borderId="0" xfId="0" applyNumberFormat="1" applyFont="1" applyFill="1" applyAlignment="1">
      <alignment horizontal="right"/>
    </xf>
    <xf numFmtId="37" fontId="21" fillId="12" borderId="0" xfId="0" quotePrefix="1" applyNumberFormat="1" applyFont="1" applyFill="1" applyAlignment="1">
      <alignment horizontal="right"/>
    </xf>
    <xf numFmtId="0" fontId="21" fillId="12" borderId="0" xfId="0" applyFont="1" applyFill="1" applyAlignment="1">
      <alignment horizontal="left" vertical="top"/>
    </xf>
    <xf numFmtId="177" fontId="21" fillId="12" borderId="0" xfId="1" applyNumberFormat="1" applyFont="1" applyFill="1" applyAlignment="1">
      <alignment horizontal="right" vertical="top"/>
    </xf>
    <xf numFmtId="49" fontId="21" fillId="3" borderId="48" xfId="0" applyNumberFormat="1" applyFont="1" applyFill="1" applyBorder="1" applyAlignment="1">
      <alignment horizontal="left" vertical="top" wrapText="1"/>
    </xf>
    <xf numFmtId="49" fontId="21" fillId="3" borderId="16" xfId="0" applyNumberFormat="1" applyFont="1" applyFill="1" applyBorder="1" applyAlignment="1">
      <alignment horizontal="left" vertical="top" wrapText="1"/>
    </xf>
    <xf numFmtId="180" fontId="21" fillId="3" borderId="54" xfId="0" applyNumberFormat="1" applyFont="1" applyFill="1" applyBorder="1" applyAlignment="1">
      <alignment horizontal="left" vertical="top" wrapText="1"/>
    </xf>
    <xf numFmtId="49" fontId="21" fillId="3" borderId="16" xfId="0" applyNumberFormat="1" applyFont="1" applyFill="1" applyBorder="1" applyAlignment="1">
      <alignment horizontal="left" vertical="top"/>
    </xf>
    <xf numFmtId="37" fontId="21" fillId="3" borderId="0" xfId="0" quotePrefix="1" applyNumberFormat="1" applyFont="1" applyFill="1" applyAlignment="1">
      <alignment horizontal="right"/>
    </xf>
    <xf numFmtId="0" fontId="21" fillId="3" borderId="0" xfId="0" applyFont="1" applyFill="1" applyAlignment="1">
      <alignment horizontal="left" vertical="top"/>
    </xf>
    <xf numFmtId="177" fontId="21" fillId="3" borderId="0" xfId="1" applyNumberFormat="1" applyFont="1" applyFill="1" applyAlignment="1">
      <alignment horizontal="right" vertical="top"/>
    </xf>
    <xf numFmtId="49" fontId="21" fillId="3" borderId="49" xfId="0" applyNumberFormat="1" applyFont="1" applyFill="1" applyBorder="1" applyAlignment="1">
      <alignment horizontal="left" vertical="top" wrapText="1"/>
    </xf>
    <xf numFmtId="49" fontId="21" fillId="3" borderId="52" xfId="0" applyNumberFormat="1" applyFont="1" applyFill="1" applyBorder="1" applyAlignment="1">
      <alignment horizontal="left" vertical="top" wrapText="1"/>
    </xf>
    <xf numFmtId="180" fontId="21" fillId="3" borderId="55" xfId="0" applyNumberFormat="1" applyFont="1" applyFill="1" applyBorder="1" applyAlignment="1">
      <alignment horizontal="left" vertical="top" wrapText="1"/>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38" fontId="6" fillId="0" borderId="0" xfId="0" applyNumberFormat="1" applyFont="1" applyAlignment="1"/>
    <xf numFmtId="38" fontId="6" fillId="0" borderId="0" xfId="0" quotePrefix="1" applyNumberFormat="1" applyFont="1" applyAlignment="1"/>
    <xf numFmtId="38" fontId="6" fillId="0" borderId="15" xfId="0" applyNumberFormat="1" applyFont="1" applyBorder="1" applyAlignment="1"/>
    <xf numFmtId="38" fontId="6" fillId="0" borderId="2" xfId="0" applyNumberFormat="1" applyFont="1" applyBorder="1" applyAlignment="1"/>
    <xf numFmtId="38" fontId="6" fillId="0" borderId="6" xfId="0" applyNumberFormat="1" applyFont="1" applyBorder="1" applyAlignment="1"/>
    <xf numFmtId="38" fontId="6" fillId="2" borderId="0" xfId="0" applyNumberFormat="1" applyFont="1" applyFill="1" applyAlignment="1"/>
    <xf numFmtId="38" fontId="6" fillId="2" borderId="6" xfId="0" applyNumberFormat="1" applyFont="1" applyFill="1" applyBorder="1" applyAlignment="1"/>
    <xf numFmtId="38" fontId="6" fillId="2" borderId="15" xfId="0" applyNumberFormat="1" applyFont="1" applyFill="1" applyBorder="1" applyAlignment="1"/>
    <xf numFmtId="38" fontId="3" fillId="2" borderId="0" xfId="0" applyNumberFormat="1" applyFont="1" applyFill="1" applyAlignment="1"/>
    <xf numFmtId="38" fontId="3" fillId="2" borderId="6" xfId="0" applyNumberFormat="1" applyFont="1" applyFill="1" applyBorder="1" applyAlignment="1"/>
    <xf numFmtId="38" fontId="6" fillId="2" borderId="2" xfId="0" applyNumberFormat="1" applyFont="1" applyFill="1" applyBorder="1" applyAlignment="1"/>
    <xf numFmtId="38" fontId="3" fillId="2" borderId="2" xfId="0" applyNumberFormat="1" applyFont="1" applyFill="1" applyBorder="1" applyAlignment="1"/>
    <xf numFmtId="38" fontId="6" fillId="9" borderId="6" xfId="0" applyNumberFormat="1" applyFont="1" applyFill="1" applyBorder="1" applyAlignment="1"/>
    <xf numFmtId="38" fontId="6" fillId="9" borderId="0" xfId="0" applyNumberFormat="1" applyFont="1" applyFill="1" applyAlignment="1"/>
    <xf numFmtId="38" fontId="3" fillId="9" borderId="0" xfId="0" applyNumberFormat="1" applyFont="1" applyFill="1" applyAlignment="1"/>
    <xf numFmtId="38" fontId="3" fillId="9" borderId="6" xfId="0" applyNumberFormat="1" applyFont="1" applyFill="1" applyBorder="1" applyAlignment="1"/>
    <xf numFmtId="0" fontId="6" fillId="9" borderId="2" xfId="0" applyFont="1" applyFill="1" applyBorder="1" applyAlignment="1">
      <alignment horizontal="center"/>
    </xf>
    <xf numFmtId="0" fontId="6" fillId="9" borderId="6" xfId="0" applyFont="1" applyFill="1" applyBorder="1" applyAlignment="1">
      <alignment horizontal="center"/>
    </xf>
    <xf numFmtId="38" fontId="6" fillId="9" borderId="15" xfId="0" applyNumberFormat="1" applyFont="1" applyFill="1" applyBorder="1" applyAlignment="1"/>
    <xf numFmtId="38" fontId="3" fillId="9" borderId="2" xfId="0" applyNumberFormat="1" applyFont="1" applyFill="1" applyBorder="1" applyAlignment="1"/>
    <xf numFmtId="0" fontId="6" fillId="2" borderId="8" xfId="0" applyFont="1" applyFill="1" applyBorder="1" applyAlignment="1">
      <alignment horizontal="center" vertical="center"/>
    </xf>
    <xf numFmtId="40" fontId="6" fillId="2" borderId="16" xfId="1" applyNumberFormat="1" applyFont="1" applyFill="1" applyBorder="1">
      <alignment vertical="center"/>
    </xf>
    <xf numFmtId="0" fontId="6" fillId="2" borderId="4" xfId="0" applyFont="1" applyFill="1" applyBorder="1" applyAlignment="1">
      <alignment horizontal="center" vertical="center"/>
    </xf>
    <xf numFmtId="0" fontId="6" fillId="0" borderId="8" xfId="0" applyFont="1" applyBorder="1" applyAlignment="1">
      <alignment horizontal="center" vertical="center"/>
    </xf>
    <xf numFmtId="0" fontId="6" fillId="0" borderId="15" xfId="0" applyFont="1" applyBorder="1" applyAlignment="1">
      <alignment horizontal="center" vertical="center"/>
    </xf>
    <xf numFmtId="14" fontId="6" fillId="0" borderId="0" xfId="0" applyNumberFormat="1" applyFont="1" applyAlignment="1">
      <alignment horizontal="right" vertical="center"/>
    </xf>
    <xf numFmtId="0" fontId="12" fillId="9" borderId="4" xfId="0" applyFont="1" applyFill="1" applyBorder="1" applyAlignment="1">
      <alignment horizontal="center" vertical="center"/>
    </xf>
    <xf numFmtId="0" fontId="12" fillId="9" borderId="8" xfId="0" applyFont="1" applyFill="1" applyBorder="1" applyAlignment="1">
      <alignment horizontal="center" vertical="center"/>
    </xf>
    <xf numFmtId="14" fontId="6" fillId="9" borderId="0" xfId="0" applyNumberFormat="1" applyFont="1" applyFill="1" applyAlignment="1">
      <alignment horizontal="right" vertical="center"/>
    </xf>
    <xf numFmtId="0" fontId="12" fillId="0" borderId="9" xfId="0" applyFont="1" applyBorder="1">
      <alignment vertical="center"/>
    </xf>
    <xf numFmtId="0" fontId="12" fillId="0" borderId="16" xfId="0" applyFont="1" applyBorder="1">
      <alignment vertical="center"/>
    </xf>
    <xf numFmtId="40" fontId="6" fillId="9" borderId="16" xfId="1" applyNumberFormat="1" applyFont="1" applyFill="1" applyBorder="1">
      <alignment vertical="center"/>
    </xf>
    <xf numFmtId="38" fontId="6" fillId="0" borderId="16" xfId="1" applyFont="1" applyBorder="1">
      <alignment vertical="center"/>
    </xf>
    <xf numFmtId="0" fontId="6" fillId="7" borderId="9" xfId="0" applyFont="1" applyFill="1" applyBorder="1" applyAlignment="1">
      <alignment horizontal="center" vertical="center"/>
    </xf>
    <xf numFmtId="177" fontId="6" fillId="0" borderId="9" xfId="1" applyNumberFormat="1" applyFont="1" applyBorder="1">
      <alignment vertical="center"/>
    </xf>
    <xf numFmtId="177" fontId="6" fillId="0" borderId="16" xfId="1" applyNumberFormat="1" applyFont="1" applyBorder="1">
      <alignment vertical="center"/>
    </xf>
    <xf numFmtId="38" fontId="6" fillId="2" borderId="2" xfId="0" applyNumberFormat="1" applyFont="1" applyFill="1" applyBorder="1">
      <alignment vertical="center"/>
    </xf>
    <xf numFmtId="0" fontId="6" fillId="2" borderId="4" xfId="0" applyFont="1" applyFill="1" applyBorder="1">
      <alignment vertical="center"/>
    </xf>
    <xf numFmtId="0" fontId="6" fillId="2" borderId="8" xfId="0" applyFont="1" applyFill="1" applyBorder="1">
      <alignment vertical="center"/>
    </xf>
    <xf numFmtId="38" fontId="6" fillId="2" borderId="15" xfId="0" applyNumberFormat="1" applyFont="1" applyFill="1" applyBorder="1">
      <alignment vertical="center"/>
    </xf>
    <xf numFmtId="38" fontId="6" fillId="2" borderId="4" xfId="0" applyNumberFormat="1" applyFont="1" applyFill="1" applyBorder="1">
      <alignment vertical="center"/>
    </xf>
    <xf numFmtId="3" fontId="6" fillId="2" borderId="16" xfId="0" applyNumberFormat="1" applyFont="1" applyFill="1" applyBorder="1">
      <alignment vertical="center"/>
    </xf>
    <xf numFmtId="0" fontId="6" fillId="7" borderId="16" xfId="0" applyFont="1" applyFill="1" applyBorder="1">
      <alignment vertical="center"/>
    </xf>
    <xf numFmtId="38" fontId="6" fillId="7" borderId="16" xfId="0" applyNumberFormat="1" applyFont="1" applyFill="1" applyBorder="1">
      <alignment vertical="center"/>
    </xf>
    <xf numFmtId="38" fontId="6" fillId="7" borderId="15" xfId="0" applyNumberFormat="1" applyFont="1" applyFill="1" applyBorder="1">
      <alignment vertical="center"/>
    </xf>
    <xf numFmtId="177" fontId="6" fillId="2" borderId="0" xfId="1" applyNumberFormat="1" applyFont="1" applyFill="1" applyBorder="1">
      <alignment vertical="center"/>
    </xf>
    <xf numFmtId="38" fontId="6" fillId="0" borderId="8" xfId="1" applyFont="1" applyBorder="1" applyAlignment="1">
      <alignment horizontal="center" vertical="center"/>
    </xf>
    <xf numFmtId="0" fontId="7" fillId="7" borderId="8" xfId="3" applyFont="1" applyFill="1" applyBorder="1" applyAlignment="1">
      <alignment wrapText="1"/>
    </xf>
    <xf numFmtId="14" fontId="6" fillId="2" borderId="0" xfId="0" applyNumberFormat="1" applyFont="1" applyFill="1" applyAlignment="1">
      <alignment horizontal="right" vertical="center"/>
    </xf>
    <xf numFmtId="0" fontId="4" fillId="0" borderId="0" xfId="0" applyFont="1">
      <alignment vertical="center"/>
    </xf>
    <xf numFmtId="0" fontId="3" fillId="0" borderId="6" xfId="0" applyFont="1" applyBorder="1">
      <alignment vertical="center"/>
    </xf>
    <xf numFmtId="0" fontId="3" fillId="0" borderId="0" xfId="0" applyFont="1">
      <alignment vertical="center"/>
    </xf>
    <xf numFmtId="0" fontId="3" fillId="0" borderId="16" xfId="0" applyFont="1" applyBorder="1">
      <alignment vertical="center"/>
    </xf>
    <xf numFmtId="177" fontId="3" fillId="0" borderId="0" xfId="1" applyNumberFormat="1" applyFont="1" applyBorder="1">
      <alignment vertical="center"/>
    </xf>
    <xf numFmtId="0" fontId="3" fillId="0" borderId="9" xfId="0" applyFont="1" applyBorder="1">
      <alignment vertical="center"/>
    </xf>
    <xf numFmtId="0" fontId="6" fillId="0" borderId="16" xfId="0" applyFont="1" applyBorder="1" applyAlignment="1">
      <alignment horizontal="center" vertical="center"/>
    </xf>
    <xf numFmtId="0" fontId="6" fillId="0" borderId="4" xfId="0" applyFont="1" applyBorder="1" applyAlignment="1">
      <alignment horizontal="center" vertical="center" wrapText="1"/>
    </xf>
    <xf numFmtId="0" fontId="3" fillId="2" borderId="0" xfId="0" applyFont="1" applyFill="1">
      <alignment vertical="center"/>
    </xf>
    <xf numFmtId="0" fontId="6" fillId="2" borderId="9" xfId="0" applyFont="1" applyFill="1" applyBorder="1">
      <alignment vertical="center"/>
    </xf>
    <xf numFmtId="0" fontId="6" fillId="7" borderId="4" xfId="0" applyFont="1" applyFill="1" applyBorder="1" applyAlignment="1">
      <alignment horizontal="center" vertical="center"/>
    </xf>
    <xf numFmtId="38" fontId="6" fillId="2" borderId="16" xfId="0" applyNumberFormat="1" applyFont="1" applyFill="1" applyBorder="1">
      <alignment vertical="center"/>
    </xf>
    <xf numFmtId="3" fontId="23" fillId="0" borderId="0" xfId="0" applyNumberFormat="1" applyFont="1" applyAlignment="1"/>
    <xf numFmtId="40" fontId="6" fillId="7" borderId="8" xfId="1" applyNumberFormat="1" applyFont="1" applyFill="1" applyBorder="1">
      <alignment vertical="center"/>
    </xf>
    <xf numFmtId="40" fontId="6" fillId="7" borderId="6" xfId="1" applyNumberFormat="1" applyFont="1" applyFill="1" applyBorder="1">
      <alignment vertical="center"/>
    </xf>
    <xf numFmtId="0" fontId="6" fillId="7" borderId="16" xfId="0" applyFont="1" applyFill="1" applyBorder="1" applyAlignment="1">
      <alignment horizontal="center" vertical="center"/>
    </xf>
    <xf numFmtId="38" fontId="6" fillId="7" borderId="4" xfId="0" applyNumberFormat="1" applyFont="1" applyFill="1" applyBorder="1">
      <alignment vertical="center"/>
    </xf>
    <xf numFmtId="0" fontId="4" fillId="2" borderId="0" xfId="0" applyFont="1" applyFill="1">
      <alignment vertical="center"/>
    </xf>
    <xf numFmtId="14" fontId="6" fillId="2" borderId="0" xfId="0" applyNumberFormat="1" applyFont="1" applyFill="1">
      <alignment vertical="center"/>
    </xf>
    <xf numFmtId="178" fontId="10" fillId="2" borderId="0" xfId="0" applyNumberFormat="1" applyFont="1" applyFill="1" applyAlignment="1"/>
    <xf numFmtId="178" fontId="6" fillId="2" borderId="0" xfId="0" applyNumberFormat="1" applyFont="1" applyFill="1">
      <alignment vertical="center"/>
    </xf>
    <xf numFmtId="178" fontId="6" fillId="2" borderId="0" xfId="0" applyNumberFormat="1" applyFont="1" applyFill="1" applyAlignment="1">
      <alignment horizontal="right"/>
    </xf>
    <xf numFmtId="178" fontId="6" fillId="0" borderId="0" xfId="0" applyNumberFormat="1" applyFont="1">
      <alignment vertical="center"/>
    </xf>
    <xf numFmtId="178" fontId="7" fillId="2" borderId="1" xfId="0" applyNumberFormat="1" applyFont="1" applyFill="1" applyBorder="1" applyAlignment="1"/>
    <xf numFmtId="178" fontId="7" fillId="2" borderId="2" xfId="0" applyNumberFormat="1" applyFont="1" applyFill="1" applyBorder="1" applyAlignment="1"/>
    <xf numFmtId="178" fontId="7" fillId="2" borderId="4" xfId="0" applyNumberFormat="1" applyFont="1" applyFill="1" applyBorder="1" applyAlignment="1">
      <alignment horizontal="center" vertical="center" wrapText="1"/>
    </xf>
    <xf numFmtId="178" fontId="7" fillId="2" borderId="1" xfId="0" applyNumberFormat="1" applyFont="1" applyFill="1" applyBorder="1" applyAlignment="1">
      <alignment horizontal="center" vertical="center" wrapText="1"/>
    </xf>
    <xf numFmtId="178" fontId="7" fillId="2" borderId="2" xfId="0" applyNumberFormat="1" applyFont="1" applyFill="1" applyBorder="1" applyAlignment="1">
      <alignment horizontal="center" vertical="center" wrapText="1"/>
    </xf>
    <xf numFmtId="182" fontId="3" fillId="2" borderId="1" xfId="0" applyNumberFormat="1" applyFont="1" applyFill="1" applyBorder="1" applyAlignment="1">
      <alignment horizontal="center"/>
    </xf>
    <xf numFmtId="178" fontId="3" fillId="2" borderId="4" xfId="1" applyNumberFormat="1" applyFont="1" applyFill="1" applyBorder="1" applyAlignment="1"/>
    <xf numFmtId="178" fontId="3" fillId="2" borderId="2" xfId="1" applyNumberFormat="1" applyFont="1" applyFill="1" applyBorder="1" applyAlignment="1"/>
    <xf numFmtId="182" fontId="3" fillId="2" borderId="10" xfId="0" applyNumberFormat="1" applyFont="1" applyFill="1" applyBorder="1" applyAlignment="1">
      <alignment horizontal="center"/>
    </xf>
    <xf numFmtId="178" fontId="7" fillId="2" borderId="0" xfId="0" applyNumberFormat="1" applyFont="1" applyFill="1" applyAlignment="1"/>
    <xf numFmtId="178" fontId="3" fillId="2" borderId="9" xfId="1" applyNumberFormat="1" applyFont="1" applyFill="1" applyBorder="1" applyAlignment="1"/>
    <xf numFmtId="178" fontId="3" fillId="2" borderId="0" xfId="1" applyNumberFormat="1" applyFont="1" applyFill="1" applyBorder="1" applyAlignment="1"/>
    <xf numFmtId="182" fontId="3" fillId="2" borderId="5" xfId="0" applyNumberFormat="1" applyFont="1" applyFill="1" applyBorder="1" applyAlignment="1">
      <alignment horizontal="center"/>
    </xf>
    <xf numFmtId="178" fontId="7" fillId="2" borderId="6" xfId="0" applyNumberFormat="1" applyFont="1" applyFill="1" applyBorder="1" applyAlignment="1"/>
    <xf numFmtId="178" fontId="3" fillId="2" borderId="8" xfId="1" applyNumberFormat="1" applyFont="1" applyFill="1" applyBorder="1" applyAlignment="1"/>
    <xf numFmtId="178" fontId="3" fillId="2" borderId="6" xfId="1" applyNumberFormat="1" applyFont="1" applyFill="1" applyBorder="1" applyAlignment="1"/>
    <xf numFmtId="178" fontId="12" fillId="2" borderId="0" xfId="0" applyNumberFormat="1" applyFont="1" applyFill="1">
      <alignment vertical="center"/>
    </xf>
    <xf numFmtId="178" fontId="12" fillId="2" borderId="0" xfId="0" applyNumberFormat="1" applyFont="1" applyFill="1" applyAlignment="1">
      <alignment horizontal="center" vertical="center"/>
    </xf>
    <xf numFmtId="178" fontId="6" fillId="0" borderId="0" xfId="1" applyNumberFormat="1" applyFont="1">
      <alignment vertical="center"/>
    </xf>
    <xf numFmtId="178" fontId="3" fillId="2" borderId="0" xfId="0" applyNumberFormat="1" applyFont="1" applyFill="1" applyAlignment="1"/>
    <xf numFmtId="182" fontId="3" fillId="9" borderId="14" xfId="0" applyNumberFormat="1" applyFont="1" applyFill="1" applyBorder="1" applyAlignment="1">
      <alignment horizontal="center"/>
    </xf>
    <xf numFmtId="0" fontId="6" fillId="2" borderId="2" xfId="0" applyFont="1" applyFill="1" applyBorder="1" applyAlignment="1">
      <alignment horizontal="center" vertical="center"/>
    </xf>
    <xf numFmtId="182" fontId="3" fillId="2" borderId="14" xfId="0" applyNumberFormat="1" applyFont="1" applyFill="1" applyBorder="1" applyAlignment="1">
      <alignment horizontal="center"/>
    </xf>
    <xf numFmtId="38" fontId="6" fillId="0" borderId="4" xfId="1" applyFont="1" applyBorder="1">
      <alignment vertical="center"/>
    </xf>
    <xf numFmtId="38" fontId="6" fillId="2" borderId="4" xfId="1" applyFont="1" applyFill="1" applyBorder="1">
      <alignment vertical="center"/>
    </xf>
    <xf numFmtId="0" fontId="12" fillId="0" borderId="4" xfId="0" applyFont="1" applyBorder="1">
      <alignment vertical="center"/>
    </xf>
    <xf numFmtId="185" fontId="6" fillId="0" borderId="2" xfId="1" applyNumberFormat="1" applyFont="1" applyBorder="1">
      <alignment vertical="center"/>
    </xf>
    <xf numFmtId="38" fontId="6" fillId="7" borderId="4" xfId="1" applyFont="1" applyFill="1" applyBorder="1">
      <alignment vertical="center"/>
    </xf>
    <xf numFmtId="185" fontId="6" fillId="0" borderId="0" xfId="1" applyNumberFormat="1" applyFont="1" applyBorder="1">
      <alignment vertical="center"/>
    </xf>
    <xf numFmtId="0" fontId="3" fillId="0" borderId="5" xfId="0" applyFont="1" applyBorder="1" applyAlignment="1"/>
    <xf numFmtId="0" fontId="3" fillId="0" borderId="7" xfId="0" applyFont="1" applyBorder="1" applyAlignment="1"/>
    <xf numFmtId="38" fontId="6" fillId="2" borderId="8" xfId="1" applyFont="1" applyFill="1" applyBorder="1">
      <alignment vertical="center"/>
    </xf>
    <xf numFmtId="0" fontId="12" fillId="0" borderId="8" xfId="0" applyFont="1" applyBorder="1">
      <alignment vertical="center"/>
    </xf>
    <xf numFmtId="185" fontId="6" fillId="0" borderId="6" xfId="1" applyNumberFormat="1" applyFont="1" applyBorder="1">
      <alignment vertical="center"/>
    </xf>
    <xf numFmtId="38" fontId="6" fillId="7" borderId="8" xfId="1" applyFont="1" applyFill="1" applyBorder="1">
      <alignment vertical="center"/>
    </xf>
    <xf numFmtId="38" fontId="6" fillId="2" borderId="6" xfId="1" applyFont="1" applyFill="1" applyBorder="1">
      <alignment vertical="center"/>
    </xf>
    <xf numFmtId="182" fontId="3" fillId="3" borderId="10" xfId="0" applyNumberFormat="1" applyFont="1" applyFill="1" applyBorder="1" applyAlignment="1">
      <alignment horizontal="center"/>
    </xf>
    <xf numFmtId="38" fontId="6" fillId="3" borderId="0" xfId="1" applyFont="1" applyFill="1">
      <alignment vertical="center"/>
    </xf>
    <xf numFmtId="178" fontId="7" fillId="9" borderId="15" xfId="0" applyNumberFormat="1" applyFont="1" applyFill="1" applyBorder="1" applyAlignment="1"/>
    <xf numFmtId="178" fontId="3" fillId="9" borderId="8" xfId="1" applyNumberFormat="1" applyFont="1" applyFill="1" applyBorder="1" applyAlignment="1"/>
    <xf numFmtId="178" fontId="3" fillId="9" borderId="15" xfId="1" applyNumberFormat="1" applyFont="1" applyFill="1" applyBorder="1" applyAlignment="1"/>
    <xf numFmtId="178" fontId="3" fillId="9" borderId="16" xfId="1" applyNumberFormat="1" applyFont="1" applyFill="1" applyBorder="1" applyAlignment="1"/>
    <xf numFmtId="178" fontId="7" fillId="9" borderId="4" xfId="0" applyNumberFormat="1" applyFont="1" applyFill="1" applyBorder="1" applyAlignment="1">
      <alignment horizontal="center" vertical="center" wrapText="1"/>
    </xf>
    <xf numFmtId="178" fontId="3" fillId="9" borderId="4" xfId="1" applyNumberFormat="1" applyFont="1" applyFill="1" applyBorder="1" applyAlignment="1"/>
    <xf numFmtId="178" fontId="3" fillId="9" borderId="9" xfId="1" applyNumberFormat="1" applyFont="1" applyFill="1" applyBorder="1" applyAlignment="1"/>
    <xf numFmtId="178" fontId="3" fillId="2" borderId="6" xfId="0" applyNumberFormat="1" applyFont="1" applyFill="1" applyBorder="1" applyAlignment="1">
      <alignment horizontal="center"/>
    </xf>
    <xf numFmtId="177" fontId="7" fillId="8" borderId="9" xfId="1" applyNumberFormat="1" applyFont="1" applyFill="1" applyBorder="1" applyAlignment="1" applyProtection="1">
      <alignment horizontal="right"/>
      <protection locked="0"/>
    </xf>
    <xf numFmtId="183" fontId="7" fillId="8" borderId="0" xfId="3" applyNumberFormat="1" applyFont="1" applyFill="1"/>
    <xf numFmtId="49" fontId="7" fillId="8" borderId="0" xfId="3" applyNumberFormat="1" applyFont="1" applyFill="1"/>
    <xf numFmtId="0" fontId="7" fillId="8" borderId="0" xfId="3" applyFont="1" applyFill="1"/>
    <xf numFmtId="0" fontId="7" fillId="8" borderId="9" xfId="3" applyFont="1" applyFill="1" applyBorder="1"/>
    <xf numFmtId="178" fontId="7" fillId="8" borderId="9" xfId="1" applyNumberFormat="1" applyFont="1" applyFill="1" applyBorder="1" applyAlignment="1"/>
    <xf numFmtId="178" fontId="7" fillId="8" borderId="10" xfId="1" applyNumberFormat="1" applyFont="1" applyFill="1" applyBorder="1" applyAlignment="1"/>
    <xf numFmtId="0" fontId="7" fillId="8" borderId="9" xfId="3" applyFont="1" applyFill="1" applyBorder="1" applyAlignment="1">
      <alignment wrapText="1"/>
    </xf>
    <xf numFmtId="38" fontId="3" fillId="9" borderId="9" xfId="2" applyNumberFormat="1" applyFill="1" applyBorder="1" applyAlignment="1">
      <alignment vertical="center" shrinkToFit="1"/>
    </xf>
    <xf numFmtId="0" fontId="7" fillId="8" borderId="15" xfId="3" applyFont="1" applyFill="1" applyBorder="1"/>
    <xf numFmtId="182" fontId="7" fillId="8" borderId="15" xfId="3" applyNumberFormat="1" applyFont="1" applyFill="1" applyBorder="1"/>
    <xf numFmtId="183" fontId="7" fillId="8" borderId="15" xfId="3" applyNumberFormat="1" applyFont="1" applyFill="1" applyBorder="1"/>
    <xf numFmtId="49" fontId="7" fillId="8" borderId="15" xfId="3" applyNumberFormat="1" applyFont="1" applyFill="1" applyBorder="1"/>
    <xf numFmtId="0" fontId="7" fillId="8" borderId="16" xfId="3" applyFont="1" applyFill="1" applyBorder="1"/>
    <xf numFmtId="178" fontId="7" fillId="8" borderId="16" xfId="1" applyNumberFormat="1" applyFont="1" applyFill="1" applyBorder="1" applyAlignment="1"/>
    <xf numFmtId="178" fontId="7" fillId="8" borderId="14" xfId="1" applyNumberFormat="1" applyFont="1" applyFill="1" applyBorder="1" applyAlignment="1"/>
    <xf numFmtId="0" fontId="6" fillId="9" borderId="4" xfId="0" applyFont="1" applyFill="1" applyBorder="1" applyAlignment="1">
      <alignment horizontal="center" vertical="center"/>
    </xf>
    <xf numFmtId="0" fontId="6" fillId="9" borderId="8" xfId="0" applyFont="1" applyFill="1" applyBorder="1" applyAlignment="1">
      <alignment horizontal="center" vertical="center"/>
    </xf>
    <xf numFmtId="38" fontId="6" fillId="8" borderId="9" xfId="1" applyFont="1" applyFill="1" applyBorder="1">
      <alignment vertical="center"/>
    </xf>
    <xf numFmtId="0" fontId="12" fillId="7" borderId="4" xfId="0" applyFont="1" applyFill="1" applyBorder="1" applyAlignment="1">
      <alignment horizontal="center" vertical="center"/>
    </xf>
    <xf numFmtId="0" fontId="12" fillId="7" borderId="8" xfId="0" applyFont="1" applyFill="1" applyBorder="1" applyAlignment="1">
      <alignment horizontal="center" vertical="center"/>
    </xf>
    <xf numFmtId="178" fontId="10" fillId="2" borderId="1" xfId="0" applyNumberFormat="1" applyFont="1" applyFill="1" applyBorder="1" applyAlignment="1"/>
    <xf numFmtId="178" fontId="6" fillId="2" borderId="3" xfId="0" applyNumberFormat="1" applyFont="1" applyFill="1" applyBorder="1">
      <alignment vertical="center"/>
    </xf>
    <xf numFmtId="178" fontId="3" fillId="2" borderId="5" xfId="0" applyNumberFormat="1" applyFont="1" applyFill="1" applyBorder="1" applyAlignment="1"/>
    <xf numFmtId="178" fontId="3" fillId="2" borderId="7" xfId="0" applyNumberFormat="1" applyFont="1" applyFill="1" applyBorder="1" applyAlignment="1"/>
    <xf numFmtId="178" fontId="3" fillId="2" borderId="27" xfId="0" applyNumberFormat="1" applyFont="1" applyFill="1" applyBorder="1" applyAlignment="1"/>
    <xf numFmtId="178" fontId="3" fillId="2" borderId="3" xfId="0" applyNumberFormat="1" applyFont="1" applyFill="1" applyBorder="1" applyAlignment="1"/>
    <xf numFmtId="178" fontId="3" fillId="3" borderId="27" xfId="0" applyNumberFormat="1" applyFont="1" applyFill="1" applyBorder="1" applyAlignment="1"/>
    <xf numFmtId="178" fontId="3" fillId="2" borderId="32" xfId="0" applyNumberFormat="1" applyFont="1" applyFill="1" applyBorder="1" applyAlignment="1"/>
    <xf numFmtId="0" fontId="6" fillId="3" borderId="9" xfId="0" applyFont="1" applyFill="1" applyBorder="1">
      <alignment vertical="center"/>
    </xf>
    <xf numFmtId="182" fontId="3" fillId="3" borderId="1" xfId="0" applyNumberFormat="1" applyFont="1" applyFill="1" applyBorder="1" applyAlignment="1">
      <alignment horizontal="center"/>
    </xf>
    <xf numFmtId="178" fontId="3" fillId="3" borderId="3" xfId="0" applyNumberFormat="1" applyFont="1" applyFill="1" applyBorder="1" applyAlignment="1"/>
    <xf numFmtId="38" fontId="6" fillId="3" borderId="2" xfId="1" applyFont="1" applyFill="1" applyBorder="1">
      <alignment vertical="center"/>
    </xf>
    <xf numFmtId="182" fontId="3" fillId="3" borderId="5" xfId="0" applyNumberFormat="1" applyFont="1" applyFill="1" applyBorder="1" applyAlignment="1">
      <alignment horizontal="center"/>
    </xf>
    <xf numFmtId="178" fontId="3" fillId="3" borderId="7" xfId="0" applyNumberFormat="1" applyFont="1" applyFill="1" applyBorder="1" applyAlignment="1"/>
    <xf numFmtId="38" fontId="6" fillId="3" borderId="6" xfId="1" applyFont="1" applyFill="1" applyBorder="1">
      <alignment vertical="center"/>
    </xf>
    <xf numFmtId="0" fontId="10" fillId="0" borderId="0" xfId="0" applyFont="1">
      <alignment vertical="center"/>
    </xf>
    <xf numFmtId="0" fontId="6" fillId="0" borderId="8" xfId="0" applyFont="1" applyBorder="1">
      <alignment vertical="center"/>
    </xf>
    <xf numFmtId="0" fontId="12" fillId="0" borderId="27" xfId="0" applyFont="1" applyBorder="1">
      <alignment vertical="center"/>
    </xf>
    <xf numFmtId="0" fontId="6" fillId="2" borderId="1" xfId="0" applyFont="1" applyFill="1" applyBorder="1">
      <alignment vertical="center"/>
    </xf>
    <xf numFmtId="0" fontId="25" fillId="2" borderId="3" xfId="7" applyFont="1" applyFill="1" applyBorder="1">
      <alignment vertical="center"/>
    </xf>
    <xf numFmtId="0" fontId="25" fillId="2" borderId="27" xfId="7" applyFont="1" applyFill="1" applyBorder="1">
      <alignment vertical="center"/>
    </xf>
    <xf numFmtId="0" fontId="6" fillId="2" borderId="5" xfId="0" applyFont="1" applyFill="1" applyBorder="1">
      <alignment vertical="center"/>
    </xf>
    <xf numFmtId="0" fontId="25" fillId="2" borderId="7" xfId="7" applyFont="1" applyFill="1" applyBorder="1">
      <alignment vertical="center"/>
    </xf>
    <xf numFmtId="0" fontId="6" fillId="9" borderId="10" xfId="0" applyFont="1" applyFill="1" applyBorder="1">
      <alignment vertical="center"/>
    </xf>
    <xf numFmtId="0" fontId="6" fillId="9" borderId="1" xfId="0" applyFont="1" applyFill="1" applyBorder="1">
      <alignment vertical="center"/>
    </xf>
    <xf numFmtId="0" fontId="6" fillId="9" borderId="5" xfId="0" applyFont="1" applyFill="1" applyBorder="1">
      <alignment vertical="center"/>
    </xf>
    <xf numFmtId="0" fontId="4" fillId="2" borderId="14" xfId="0" applyFont="1" applyFill="1" applyBorder="1">
      <alignment vertical="center"/>
    </xf>
    <xf numFmtId="0" fontId="6" fillId="9" borderId="0" xfId="0" applyFont="1" applyFill="1">
      <alignment vertical="center"/>
    </xf>
    <xf numFmtId="0" fontId="6" fillId="9" borderId="2" xfId="0" applyFont="1" applyFill="1" applyBorder="1">
      <alignment vertical="center"/>
    </xf>
    <xf numFmtId="0" fontId="6" fillId="2" borderId="2" xfId="0" applyFont="1" applyFill="1" applyBorder="1">
      <alignment vertical="center"/>
    </xf>
    <xf numFmtId="0" fontId="6" fillId="9" borderId="6" xfId="0" applyFont="1" applyFill="1" applyBorder="1">
      <alignment vertical="center"/>
    </xf>
    <xf numFmtId="38" fontId="6" fillId="9" borderId="8" xfId="1" applyFont="1" applyFill="1" applyBorder="1">
      <alignment vertical="center"/>
    </xf>
    <xf numFmtId="38" fontId="6" fillId="9" borderId="4" xfId="1" applyFont="1" applyFill="1" applyBorder="1" applyAlignment="1">
      <alignment horizontal="right" vertical="center"/>
    </xf>
    <xf numFmtId="38" fontId="6" fillId="2" borderId="16" xfId="1" applyFont="1" applyFill="1" applyBorder="1" applyAlignment="1">
      <alignment horizontal="right" vertical="center"/>
    </xf>
    <xf numFmtId="177" fontId="6" fillId="2" borderId="9" xfId="1" applyNumberFormat="1" applyFont="1" applyFill="1" applyBorder="1">
      <alignment vertical="center"/>
    </xf>
    <xf numFmtId="38" fontId="6" fillId="9" borderId="16" xfId="1" applyFont="1" applyFill="1" applyBorder="1">
      <alignment vertical="center"/>
    </xf>
    <xf numFmtId="0" fontId="6" fillId="0" borderId="3" xfId="0" applyFont="1" applyBorder="1" applyAlignment="1">
      <alignment horizontal="center" vertical="center"/>
    </xf>
    <xf numFmtId="0" fontId="6" fillId="0" borderId="6" xfId="0" applyFont="1" applyBorder="1" applyAlignment="1">
      <alignment horizontal="right" vertical="center"/>
    </xf>
    <xf numFmtId="38" fontId="3" fillId="0" borderId="0" xfId="1" applyFont="1">
      <alignment vertical="center"/>
    </xf>
    <xf numFmtId="0" fontId="7" fillId="0" borderId="0" xfId="0" applyFont="1">
      <alignment vertical="center"/>
    </xf>
    <xf numFmtId="0" fontId="10" fillId="2" borderId="0" xfId="0" applyFont="1" applyFill="1" applyAlignment="1">
      <alignment horizontal="left" vertical="center"/>
    </xf>
    <xf numFmtId="38" fontId="6" fillId="2" borderId="0" xfId="0" applyNumberFormat="1" applyFont="1" applyFill="1">
      <alignment vertical="center"/>
    </xf>
    <xf numFmtId="0" fontId="3" fillId="0" borderId="27" xfId="0" applyFont="1" applyBorder="1" applyAlignment="1">
      <alignment horizontal="center"/>
    </xf>
    <xf numFmtId="0" fontId="3" fillId="0" borderId="9" xfId="0" applyFont="1" applyBorder="1" applyAlignment="1">
      <alignment horizontal="center"/>
    </xf>
    <xf numFmtId="38" fontId="12" fillId="0" borderId="5" xfId="1" applyFont="1" applyFill="1" applyBorder="1" applyAlignment="1"/>
    <xf numFmtId="38" fontId="12" fillId="0" borderId="10" xfId="1" applyFont="1" applyFill="1" applyBorder="1" applyAlignment="1"/>
    <xf numFmtId="38" fontId="12" fillId="0" borderId="0" xfId="1" applyFont="1" applyAlignment="1"/>
    <xf numFmtId="38" fontId="12" fillId="0" borderId="0" xfId="1" applyFont="1" applyFill="1" applyAlignment="1"/>
    <xf numFmtId="38" fontId="12" fillId="0" borderId="2" xfId="1" applyFont="1" applyBorder="1" applyAlignment="1"/>
    <xf numFmtId="38" fontId="32" fillId="0" borderId="2" xfId="1" applyFont="1" applyBorder="1" applyAlignment="1"/>
    <xf numFmtId="38" fontId="12" fillId="0" borderId="0" xfId="1" applyFont="1" applyBorder="1" applyAlignment="1">
      <alignment horizontal="centerContinuous" vertical="center"/>
    </xf>
    <xf numFmtId="38" fontId="32" fillId="0" borderId="0" xfId="1" applyFont="1" applyFill="1" applyBorder="1" applyAlignment="1">
      <alignment horizontal="center" vertical="center"/>
    </xf>
    <xf numFmtId="38" fontId="12" fillId="0" borderId="4" xfId="1" applyFont="1" applyBorder="1" applyAlignment="1"/>
    <xf numFmtId="38" fontId="32" fillId="0" borderId="1" xfId="1" applyFont="1" applyBorder="1" applyAlignment="1"/>
    <xf numFmtId="38" fontId="12" fillId="0" borderId="9" xfId="1" applyFont="1" applyBorder="1" applyAlignment="1"/>
    <xf numFmtId="38" fontId="32" fillId="0" borderId="10" xfId="1" applyFont="1" applyFill="1" applyBorder="1" applyAlignment="1"/>
    <xf numFmtId="38" fontId="12" fillId="14" borderId="9" xfId="1" applyFont="1" applyFill="1" applyBorder="1" applyAlignment="1"/>
    <xf numFmtId="38" fontId="12" fillId="15" borderId="9" xfId="1" applyFont="1" applyFill="1" applyBorder="1" applyAlignment="1"/>
    <xf numFmtId="38" fontId="12" fillId="0" borderId="10" xfId="1" applyFont="1" applyBorder="1" applyAlignment="1"/>
    <xf numFmtId="38" fontId="12" fillId="0" borderId="9" xfId="1" applyFont="1" applyFill="1" applyBorder="1" applyAlignment="1"/>
    <xf numFmtId="38" fontId="32" fillId="0" borderId="5" xfId="1" applyFont="1" applyBorder="1" applyAlignment="1"/>
    <xf numFmtId="38" fontId="12" fillId="0" borderId="1" xfId="1" applyFont="1" applyBorder="1" applyAlignment="1"/>
    <xf numFmtId="38" fontId="12" fillId="14" borderId="10" xfId="1" applyFont="1" applyFill="1" applyBorder="1" applyAlignment="1"/>
    <xf numFmtId="38" fontId="12" fillId="16" borderId="10" xfId="1" applyFont="1" applyFill="1" applyBorder="1" applyAlignment="1"/>
    <xf numFmtId="38" fontId="12" fillId="15" borderId="10" xfId="1" applyFont="1" applyFill="1" applyBorder="1" applyAlignment="1"/>
    <xf numFmtId="38" fontId="12" fillId="0" borderId="5" xfId="1" applyFont="1" applyBorder="1" applyAlignment="1"/>
    <xf numFmtId="38" fontId="32" fillId="0" borderId="1" xfId="1" applyFont="1" applyFill="1" applyBorder="1" applyAlignment="1"/>
    <xf numFmtId="38" fontId="12" fillId="14" borderId="5" xfId="1" applyFont="1" applyFill="1" applyBorder="1" applyAlignment="1"/>
    <xf numFmtId="38" fontId="32" fillId="0" borderId="10" xfId="1" applyFont="1" applyBorder="1" applyAlignment="1"/>
    <xf numFmtId="38" fontId="12" fillId="0" borderId="1" xfId="1" applyFont="1" applyFill="1" applyBorder="1" applyAlignment="1"/>
    <xf numFmtId="194" fontId="12" fillId="14" borderId="10" xfId="1" applyNumberFormat="1" applyFont="1" applyFill="1" applyBorder="1" applyAlignment="1"/>
    <xf numFmtId="195" fontId="12" fillId="0" borderId="5" xfId="1" applyNumberFormat="1" applyFont="1" applyFill="1" applyBorder="1" applyAlignment="1"/>
    <xf numFmtId="38" fontId="12" fillId="0" borderId="8" xfId="1" applyFont="1" applyBorder="1" applyAlignment="1"/>
    <xf numFmtId="194" fontId="12" fillId="0" borderId="10" xfId="1" applyNumberFormat="1" applyFont="1" applyBorder="1" applyAlignment="1"/>
    <xf numFmtId="194" fontId="12" fillId="14" borderId="10" xfId="1" applyNumberFormat="1" applyFont="1" applyFill="1" applyBorder="1" applyAlignment="1">
      <alignment horizontal="right"/>
    </xf>
    <xf numFmtId="194" fontId="12" fillId="14" borderId="5" xfId="1" applyNumberFormat="1" applyFont="1" applyFill="1" applyBorder="1" applyAlignment="1"/>
    <xf numFmtId="194" fontId="12" fillId="14" borderId="5" xfId="1" applyNumberFormat="1" applyFont="1" applyFill="1" applyBorder="1" applyAlignment="1">
      <alignment horizontal="right"/>
    </xf>
    <xf numFmtId="38" fontId="12" fillId="14" borderId="8" xfId="1" applyFont="1" applyFill="1" applyBorder="1" applyAlignment="1"/>
    <xf numFmtId="38" fontId="32" fillId="0" borderId="9" xfId="1" applyFont="1" applyBorder="1" applyAlignment="1"/>
    <xf numFmtId="38" fontId="32" fillId="0" borderId="4" xfId="1" applyFont="1" applyBorder="1" applyAlignment="1"/>
    <xf numFmtId="38" fontId="12" fillId="0" borderId="8" xfId="1" applyFont="1" applyFill="1" applyBorder="1" applyAlignment="1"/>
    <xf numFmtId="38" fontId="32" fillId="0" borderId="9" xfId="1" applyFont="1" applyFill="1" applyBorder="1" applyAlignment="1"/>
    <xf numFmtId="38" fontId="12" fillId="17" borderId="10" xfId="1" applyFont="1" applyFill="1" applyBorder="1" applyAlignment="1"/>
    <xf numFmtId="38" fontId="32" fillId="14" borderId="1" xfId="1" applyFont="1" applyFill="1" applyBorder="1" applyAlignment="1"/>
    <xf numFmtId="38" fontId="12" fillId="0" borderId="14" xfId="1" applyFont="1" applyBorder="1" applyAlignment="1"/>
    <xf numFmtId="38" fontId="12" fillId="0" borderId="14" xfId="1" applyFont="1" applyFill="1" applyBorder="1" applyAlignment="1"/>
    <xf numFmtId="38" fontId="32" fillId="0" borderId="14" xfId="1" applyFont="1" applyBorder="1" applyAlignment="1"/>
    <xf numFmtId="38" fontId="12" fillId="0" borderId="4" xfId="1" applyFont="1" applyFill="1" applyBorder="1" applyAlignment="1"/>
    <xf numFmtId="38" fontId="12" fillId="0" borderId="16" xfId="1" applyFont="1" applyFill="1" applyBorder="1" applyAlignment="1"/>
    <xf numFmtId="38" fontId="12" fillId="0" borderId="27" xfId="1" applyFont="1" applyFill="1" applyBorder="1" applyAlignment="1"/>
    <xf numFmtId="38" fontId="12" fillId="0" borderId="6" xfId="1" applyFont="1" applyBorder="1" applyAlignment="1"/>
    <xf numFmtId="38" fontId="32" fillId="0" borderId="8" xfId="1" applyFont="1" applyBorder="1" applyAlignment="1"/>
    <xf numFmtId="38" fontId="12" fillId="18" borderId="5" xfId="1" applyFont="1" applyFill="1" applyBorder="1" applyAlignment="1"/>
    <xf numFmtId="38" fontId="12" fillId="0" borderId="0" xfId="1" applyFont="1" applyBorder="1" applyAlignment="1"/>
    <xf numFmtId="38" fontId="32" fillId="0" borderId="16" xfId="1" applyFont="1" applyBorder="1" applyAlignment="1"/>
    <xf numFmtId="38" fontId="12" fillId="14" borderId="1" xfId="1" applyFont="1" applyFill="1" applyBorder="1" applyAlignment="1"/>
    <xf numFmtId="38" fontId="32" fillId="0" borderId="4" xfId="1" applyFont="1" applyFill="1" applyBorder="1" applyAlignment="1"/>
    <xf numFmtId="38" fontId="12" fillId="18" borderId="10" xfId="1" applyFont="1" applyFill="1" applyBorder="1" applyAlignment="1"/>
    <xf numFmtId="38" fontId="12" fillId="18" borderId="62" xfId="1" applyFont="1" applyFill="1" applyBorder="1" applyAlignment="1"/>
    <xf numFmtId="38" fontId="32" fillId="0" borderId="16" xfId="1" applyFont="1" applyFill="1" applyBorder="1" applyAlignment="1"/>
    <xf numFmtId="38" fontId="12" fillId="18" borderId="9" xfId="1" applyFont="1" applyFill="1" applyBorder="1" applyAlignment="1"/>
    <xf numFmtId="38" fontId="12" fillId="0" borderId="16" xfId="1" applyFont="1" applyBorder="1" applyAlignment="1"/>
    <xf numFmtId="38" fontId="12" fillId="14" borderId="14" xfId="1" applyFont="1" applyFill="1" applyBorder="1" applyAlignment="1"/>
    <xf numFmtId="38" fontId="32" fillId="0" borderId="14" xfId="1" applyFont="1" applyFill="1" applyBorder="1" applyAlignment="1"/>
    <xf numFmtId="185" fontId="12" fillId="0" borderId="10" xfId="1" applyNumberFormat="1" applyFont="1" applyBorder="1" applyAlignment="1"/>
    <xf numFmtId="185" fontId="12" fillId="0" borderId="5" xfId="1" applyNumberFormat="1" applyFont="1" applyBorder="1" applyAlignment="1"/>
    <xf numFmtId="38" fontId="12" fillId="18" borderId="4" xfId="1" applyFont="1" applyFill="1" applyBorder="1" applyAlignment="1"/>
    <xf numFmtId="38" fontId="12" fillId="14" borderId="14" xfId="1" applyFont="1" applyFill="1" applyBorder="1" applyAlignment="1">
      <alignment horizontal="right"/>
    </xf>
    <xf numFmtId="38" fontId="12" fillId="14" borderId="4" xfId="1" applyFont="1" applyFill="1" applyBorder="1" applyAlignment="1"/>
    <xf numFmtId="3" fontId="12" fillId="14" borderId="1" xfId="1" applyNumberFormat="1" applyFont="1" applyFill="1" applyBorder="1" applyAlignment="1"/>
    <xf numFmtId="3" fontId="12" fillId="14" borderId="14" xfId="1" applyNumberFormat="1" applyFont="1" applyFill="1" applyBorder="1" applyAlignment="1"/>
    <xf numFmtId="38" fontId="32" fillId="0" borderId="5" xfId="1" applyFont="1" applyFill="1" applyBorder="1" applyAlignment="1"/>
    <xf numFmtId="0" fontId="7" fillId="0" borderId="6" xfId="0" applyFont="1" applyBorder="1">
      <alignment vertical="center"/>
    </xf>
    <xf numFmtId="0" fontId="7" fillId="0" borderId="0" xfId="0" applyFont="1" applyAlignment="1">
      <alignment horizontal="right" vertical="center"/>
    </xf>
    <xf numFmtId="178" fontId="7" fillId="0" borderId="9" xfId="0" applyNumberFormat="1" applyFont="1" applyBorder="1">
      <alignment vertical="center"/>
    </xf>
    <xf numFmtId="178" fontId="7" fillId="0" borderId="8" xfId="0" applyNumberFormat="1" applyFont="1" applyBorder="1">
      <alignment vertical="center"/>
    </xf>
    <xf numFmtId="0" fontId="12" fillId="0" borderId="0" xfId="3" applyFont="1"/>
    <xf numFmtId="0" fontId="12" fillId="0" borderId="0" xfId="3" applyFont="1" applyAlignment="1">
      <alignment wrapText="1"/>
    </xf>
    <xf numFmtId="38" fontId="34" fillId="0" borderId="2" xfId="1" applyFont="1" applyBorder="1" applyAlignment="1"/>
    <xf numFmtId="0" fontId="12" fillId="0" borderId="2" xfId="3" applyFont="1" applyBorder="1"/>
    <xf numFmtId="0" fontId="12" fillId="0" borderId="3" xfId="3" applyFont="1" applyBorder="1" applyAlignment="1">
      <alignment wrapText="1"/>
    </xf>
    <xf numFmtId="49" fontId="12" fillId="0" borderId="10" xfId="3" applyNumberFormat="1" applyFont="1" applyBorder="1" applyAlignment="1">
      <alignment vertical="center"/>
    </xf>
    <xf numFmtId="182" fontId="12" fillId="0" borderId="0" xfId="3" applyNumberFormat="1" applyFont="1" applyAlignment="1">
      <alignment vertical="center"/>
    </xf>
    <xf numFmtId="0" fontId="12" fillId="0" borderId="0" xfId="3" applyFont="1" applyAlignment="1">
      <alignment horizontal="centerContinuous" vertical="center"/>
    </xf>
    <xf numFmtId="0" fontId="12" fillId="0" borderId="6" xfId="3" applyFont="1" applyBorder="1" applyAlignment="1">
      <alignment horizontal="centerContinuous" vertical="center"/>
    </xf>
    <xf numFmtId="183" fontId="12" fillId="0" borderId="6" xfId="3" applyNumberFormat="1" applyFont="1" applyBorder="1" applyAlignment="1">
      <alignment horizontal="centerContinuous" vertical="center"/>
    </xf>
    <xf numFmtId="49" fontId="12" fillId="0" borderId="6" xfId="3" applyNumberFormat="1" applyFont="1" applyBorder="1" applyAlignment="1">
      <alignment horizontal="centerContinuous" vertical="center"/>
    </xf>
    <xf numFmtId="0" fontId="12" fillId="0" borderId="0" xfId="3" applyFont="1" applyAlignment="1">
      <alignment horizontal="left" vertical="center"/>
    </xf>
    <xf numFmtId="0" fontId="12" fillId="0" borderId="27" xfId="3" applyFont="1" applyBorder="1" applyAlignment="1">
      <alignment horizontal="centerContinuous" vertical="center" wrapText="1"/>
    </xf>
    <xf numFmtId="49" fontId="12" fillId="0" borderId="58" xfId="3" applyNumberFormat="1" applyFont="1" applyBorder="1" applyAlignment="1">
      <alignment horizontal="center"/>
    </xf>
    <xf numFmtId="182" fontId="12" fillId="0" borderId="59" xfId="3" applyNumberFormat="1" applyFont="1" applyBorder="1" applyAlignment="1">
      <alignment horizontal="center"/>
    </xf>
    <xf numFmtId="0" fontId="12" fillId="0" borderId="59" xfId="3" applyFont="1" applyBorder="1" applyAlignment="1">
      <alignment horizontal="center"/>
    </xf>
    <xf numFmtId="0" fontId="12" fillId="0" borderId="0" xfId="3" applyFont="1" applyAlignment="1">
      <alignment horizontal="center"/>
    </xf>
    <xf numFmtId="183" fontId="12" fillId="0" borderId="0" xfId="3" applyNumberFormat="1" applyFont="1" applyAlignment="1">
      <alignment horizontal="center"/>
    </xf>
    <xf numFmtId="49" fontId="12" fillId="0" borderId="0" xfId="3" applyNumberFormat="1" applyFont="1" applyAlignment="1">
      <alignment horizontal="center"/>
    </xf>
    <xf numFmtId="0" fontId="12" fillId="0" borderId="4" xfId="3" applyFont="1" applyBorder="1" applyAlignment="1">
      <alignment horizontal="center"/>
    </xf>
    <xf numFmtId="0" fontId="12" fillId="0" borderId="4" xfId="0" applyFont="1" applyBorder="1" applyAlignment="1"/>
    <xf numFmtId="0" fontId="12" fillId="0" borderId="4" xfId="0" applyFont="1" applyBorder="1" applyAlignment="1">
      <alignment wrapText="1"/>
    </xf>
    <xf numFmtId="49" fontId="12" fillId="0" borderId="10" xfId="3" applyNumberFormat="1" applyFont="1" applyBorder="1" applyAlignment="1">
      <alignment horizontal="center"/>
    </xf>
    <xf numFmtId="182" fontId="12" fillId="0" borderId="0" xfId="3" applyNumberFormat="1" applyFont="1" applyAlignment="1">
      <alignment horizontal="center"/>
    </xf>
    <xf numFmtId="0" fontId="12" fillId="0" borderId="9" xfId="3" applyFont="1" applyBorder="1" applyAlignment="1">
      <alignment horizontal="center"/>
    </xf>
    <xf numFmtId="38" fontId="12" fillId="0" borderId="9" xfId="1" applyFont="1" applyBorder="1" applyAlignment="1">
      <alignment horizontal="center"/>
    </xf>
    <xf numFmtId="38" fontId="12" fillId="0" borderId="0" xfId="1" applyFont="1" applyBorder="1" applyAlignment="1">
      <alignment horizontal="center"/>
    </xf>
    <xf numFmtId="0" fontId="12" fillId="0" borderId="9" xfId="0" applyFont="1" applyBorder="1" applyAlignment="1"/>
    <xf numFmtId="0" fontId="12" fillId="0" borderId="9" xfId="0" applyFont="1" applyBorder="1" applyAlignment="1">
      <alignment wrapText="1"/>
    </xf>
    <xf numFmtId="49" fontId="12" fillId="0" borderId="5" xfId="3" applyNumberFormat="1" applyFont="1" applyBorder="1" applyAlignment="1">
      <alignment horizontal="center"/>
    </xf>
    <xf numFmtId="182" fontId="12" fillId="0" borderId="6" xfId="3" applyNumberFormat="1" applyFont="1" applyBorder="1" applyAlignment="1">
      <alignment horizontal="center"/>
    </xf>
    <xf numFmtId="0" fontId="12" fillId="0" borderId="6" xfId="3" applyFont="1" applyBorder="1" applyAlignment="1">
      <alignment horizontal="center"/>
    </xf>
    <xf numFmtId="183" fontId="12" fillId="0" borderId="6" xfId="3" applyNumberFormat="1" applyFont="1" applyBorder="1" applyAlignment="1">
      <alignment horizontal="center"/>
    </xf>
    <xf numFmtId="49" fontId="12" fillId="0" borderId="6" xfId="3" applyNumberFormat="1" applyFont="1" applyBorder="1" applyAlignment="1">
      <alignment horizontal="center"/>
    </xf>
    <xf numFmtId="0" fontId="12" fillId="0" borderId="8" xfId="3" applyFont="1" applyBorder="1"/>
    <xf numFmtId="0" fontId="12" fillId="0" borderId="8" xfId="0" applyFont="1" applyBorder="1" applyAlignment="1"/>
    <xf numFmtId="0" fontId="12" fillId="0" borderId="8" xfId="0" applyFont="1" applyBorder="1" applyAlignment="1">
      <alignment wrapText="1"/>
    </xf>
    <xf numFmtId="49" fontId="32" fillId="0" borderId="1" xfId="3" applyNumberFormat="1" applyFont="1" applyBorder="1"/>
    <xf numFmtId="182" fontId="12" fillId="0" borderId="2" xfId="3" applyNumberFormat="1" applyFont="1" applyBorder="1"/>
    <xf numFmtId="0" fontId="32" fillId="0" borderId="2" xfId="3" applyFont="1" applyBorder="1"/>
    <xf numFmtId="0" fontId="32" fillId="0" borderId="4" xfId="3" applyFont="1" applyBorder="1"/>
    <xf numFmtId="0" fontId="12" fillId="0" borderId="4" xfId="3" applyFont="1" applyBorder="1"/>
    <xf numFmtId="0" fontId="12" fillId="0" borderId="4" xfId="3" applyFont="1" applyBorder="1" applyAlignment="1">
      <alignment wrapText="1"/>
    </xf>
    <xf numFmtId="49" fontId="12" fillId="0" borderId="10" xfId="3" applyNumberFormat="1" applyFont="1" applyBorder="1"/>
    <xf numFmtId="182" fontId="12" fillId="0" borderId="0" xfId="3" applyNumberFormat="1" applyFont="1"/>
    <xf numFmtId="0" fontId="32" fillId="0" borderId="0" xfId="3" applyFont="1"/>
    <xf numFmtId="0" fontId="32" fillId="0" borderId="9" xfId="3" applyFont="1" applyBorder="1"/>
    <xf numFmtId="0" fontId="12" fillId="0" borderId="9" xfId="3" applyFont="1" applyBorder="1"/>
    <xf numFmtId="0" fontId="12" fillId="0" borderId="9" xfId="3" applyFont="1" applyBorder="1" applyAlignment="1">
      <alignment wrapText="1"/>
    </xf>
    <xf numFmtId="0" fontId="12" fillId="0" borderId="1" xfId="3" applyFont="1" applyBorder="1"/>
    <xf numFmtId="49" fontId="32" fillId="0" borderId="10" xfId="3" applyNumberFormat="1" applyFont="1" applyBorder="1"/>
    <xf numFmtId="182" fontId="32" fillId="0" borderId="0" xfId="3" applyNumberFormat="1" applyFont="1"/>
    <xf numFmtId="0" fontId="12" fillId="0" borderId="10" xfId="3" applyFont="1" applyBorder="1"/>
    <xf numFmtId="0" fontId="12" fillId="0" borderId="9" xfId="3" applyFont="1" applyBorder="1" applyAlignment="1">
      <alignment horizontal="left" vertical="center" wrapText="1"/>
    </xf>
    <xf numFmtId="49" fontId="12" fillId="0" borderId="5" xfId="3" applyNumberFormat="1" applyFont="1" applyBorder="1"/>
    <xf numFmtId="182" fontId="12" fillId="0" borderId="6" xfId="3" applyNumberFormat="1" applyFont="1" applyBorder="1"/>
    <xf numFmtId="0" fontId="32" fillId="0" borderId="6" xfId="3" applyFont="1" applyBorder="1"/>
    <xf numFmtId="38" fontId="12" fillId="0" borderId="9" xfId="1" applyFont="1" applyBorder="1" applyAlignment="1">
      <alignment wrapText="1"/>
    </xf>
    <xf numFmtId="0" fontId="12" fillId="0" borderId="6" xfId="3" applyFont="1" applyBorder="1"/>
    <xf numFmtId="0" fontId="12" fillId="0" borderId="8" xfId="3" applyFont="1" applyBorder="1" applyAlignment="1">
      <alignment wrapText="1"/>
    </xf>
    <xf numFmtId="38" fontId="12" fillId="0" borderId="4" xfId="1" applyFont="1" applyBorder="1" applyAlignment="1">
      <alignment wrapText="1"/>
    </xf>
    <xf numFmtId="49" fontId="12" fillId="0" borderId="6" xfId="3" applyNumberFormat="1" applyFont="1" applyBorder="1"/>
    <xf numFmtId="0" fontId="12" fillId="0" borderId="5" xfId="3" applyFont="1" applyBorder="1"/>
    <xf numFmtId="0" fontId="12" fillId="0" borderId="5" xfId="3" applyFont="1" applyBorder="1" applyAlignment="1">
      <alignment wrapText="1"/>
    </xf>
    <xf numFmtId="38" fontId="12" fillId="0" borderId="9" xfId="1" quotePrefix="1" applyFont="1" applyBorder="1" applyAlignment="1">
      <alignment horizontal="center"/>
    </xf>
    <xf numFmtId="0" fontId="12" fillId="0" borderId="9" xfId="3" applyFont="1" applyBorder="1" applyAlignment="1">
      <alignment vertical="center" wrapText="1"/>
    </xf>
    <xf numFmtId="0" fontId="12" fillId="0" borderId="10" xfId="3" applyFont="1" applyBorder="1" applyAlignment="1">
      <alignment wrapText="1"/>
    </xf>
    <xf numFmtId="0" fontId="12" fillId="0" borderId="10" xfId="3" applyFont="1" applyBorder="1" applyAlignment="1">
      <alignment horizontal="left"/>
    </xf>
    <xf numFmtId="0" fontId="12" fillId="0" borderId="8" xfId="3" applyFont="1" applyBorder="1" applyAlignment="1">
      <alignment horizontal="left" vertical="top" wrapText="1"/>
    </xf>
    <xf numFmtId="0" fontId="32" fillId="0" borderId="9" xfId="3" applyFont="1" applyBorder="1" applyAlignment="1">
      <alignment wrapText="1"/>
    </xf>
    <xf numFmtId="0" fontId="12" fillId="0" borderId="9" xfId="7" applyNumberFormat="1" applyFont="1" applyBorder="1" applyAlignment="1" applyProtection="1">
      <alignment wrapText="1"/>
    </xf>
    <xf numFmtId="49" fontId="32" fillId="0" borderId="5" xfId="3" applyNumberFormat="1" applyFont="1" applyBorder="1"/>
    <xf numFmtId="49" fontId="12" fillId="0" borderId="0" xfId="3" applyNumberFormat="1" applyFont="1"/>
    <xf numFmtId="182" fontId="32" fillId="0" borderId="2" xfId="3" applyNumberFormat="1" applyFont="1" applyBorder="1"/>
    <xf numFmtId="182" fontId="32" fillId="0" borderId="6" xfId="3" applyNumberFormat="1" applyFont="1" applyBorder="1"/>
    <xf numFmtId="0" fontId="12" fillId="0" borderId="27" xfId="3" applyFont="1" applyBorder="1" applyAlignment="1">
      <alignment wrapText="1"/>
    </xf>
    <xf numFmtId="38" fontId="12" fillId="0" borderId="8" xfId="1" applyFont="1" applyBorder="1" applyAlignment="1">
      <alignment wrapText="1"/>
    </xf>
    <xf numFmtId="0" fontId="12" fillId="0" borderId="9" xfId="3" applyFont="1" applyBorder="1" applyAlignment="1">
      <alignment vertical="top" wrapText="1"/>
    </xf>
    <xf numFmtId="0" fontId="12" fillId="0" borderId="14" xfId="3" applyFont="1" applyBorder="1"/>
    <xf numFmtId="49" fontId="32" fillId="0" borderId="14" xfId="3" applyNumberFormat="1" applyFont="1" applyBorder="1"/>
    <xf numFmtId="182" fontId="12" fillId="0" borderId="15" xfId="3" applyNumberFormat="1" applyFont="1" applyBorder="1"/>
    <xf numFmtId="0" fontId="32" fillId="0" borderId="15" xfId="3" applyFont="1" applyBorder="1"/>
    <xf numFmtId="0" fontId="32" fillId="0" borderId="16" xfId="3" applyFont="1" applyBorder="1"/>
    <xf numFmtId="0" fontId="12" fillId="0" borderId="16" xfId="3" applyFont="1" applyBorder="1" applyAlignment="1">
      <alignment wrapText="1"/>
    </xf>
    <xf numFmtId="0" fontId="32" fillId="0" borderId="4" xfId="3" applyFont="1" applyBorder="1" applyAlignment="1">
      <alignment wrapText="1"/>
    </xf>
    <xf numFmtId="38" fontId="12" fillId="0" borderId="16" xfId="1" applyFont="1" applyBorder="1" applyAlignment="1">
      <alignment wrapText="1"/>
    </xf>
    <xf numFmtId="0" fontId="32" fillId="0" borderId="8" xfId="3" applyFont="1" applyBorder="1"/>
    <xf numFmtId="0" fontId="12" fillId="0" borderId="16" xfId="3" applyFont="1" applyBorder="1"/>
    <xf numFmtId="38" fontId="12" fillId="0" borderId="27" xfId="1" applyFont="1" applyBorder="1" applyAlignment="1"/>
    <xf numFmtId="0" fontId="12" fillId="0" borderId="27" xfId="3" applyFont="1" applyBorder="1"/>
    <xf numFmtId="0" fontId="12" fillId="0" borderId="0" xfId="3" applyFont="1" applyProtection="1">
      <protection locked="0"/>
    </xf>
    <xf numFmtId="0" fontId="32" fillId="0" borderId="8" xfId="3" applyFont="1" applyBorder="1" applyAlignment="1">
      <alignment wrapText="1"/>
    </xf>
    <xf numFmtId="49" fontId="32" fillId="0" borderId="5" xfId="3" quotePrefix="1" applyNumberFormat="1" applyFont="1" applyBorder="1"/>
    <xf numFmtId="49" fontId="32" fillId="0" borderId="10" xfId="3" quotePrefix="1" applyNumberFormat="1" applyFont="1" applyBorder="1"/>
    <xf numFmtId="0" fontId="32" fillId="7" borderId="9" xfId="3" applyFont="1" applyFill="1" applyBorder="1"/>
    <xf numFmtId="0" fontId="12" fillId="7" borderId="9" xfId="3" applyFont="1" applyFill="1" applyBorder="1"/>
    <xf numFmtId="49" fontId="32" fillId="0" borderId="1" xfId="3" quotePrefix="1" applyNumberFormat="1" applyFont="1" applyBorder="1"/>
    <xf numFmtId="0" fontId="32" fillId="7" borderId="4" xfId="3" applyFont="1" applyFill="1" applyBorder="1"/>
    <xf numFmtId="49" fontId="32" fillId="0" borderId="14" xfId="3" quotePrefix="1" applyNumberFormat="1" applyFont="1" applyBorder="1"/>
    <xf numFmtId="0" fontId="32" fillId="7" borderId="16" xfId="3" applyFont="1" applyFill="1" applyBorder="1"/>
    <xf numFmtId="49" fontId="12" fillId="0" borderId="10" xfId="3" quotePrefix="1" applyNumberFormat="1" applyFont="1" applyBorder="1"/>
    <xf numFmtId="0" fontId="12" fillId="18" borderId="5" xfId="3" applyFont="1" applyFill="1" applyBorder="1"/>
    <xf numFmtId="0" fontId="12" fillId="19" borderId="8" xfId="3" applyFont="1" applyFill="1" applyBorder="1" applyAlignment="1">
      <alignment wrapText="1"/>
    </xf>
    <xf numFmtId="0" fontId="32" fillId="0" borderId="27" xfId="3" applyFont="1" applyBorder="1"/>
    <xf numFmtId="0" fontId="12" fillId="0" borderId="9" xfId="3" applyFont="1" applyBorder="1" applyAlignment="1">
      <alignment vertical="center" shrinkToFit="1"/>
    </xf>
    <xf numFmtId="49" fontId="12" fillId="18" borderId="10" xfId="3" applyNumberFormat="1" applyFont="1" applyFill="1" applyBorder="1"/>
    <xf numFmtId="182" fontId="12" fillId="18" borderId="0" xfId="3" applyNumberFormat="1" applyFont="1" applyFill="1"/>
    <xf numFmtId="0" fontId="12" fillId="18" borderId="0" xfId="3" applyFont="1" applyFill="1"/>
    <xf numFmtId="0" fontId="12" fillId="18" borderId="10" xfId="3" applyFont="1" applyFill="1" applyBorder="1"/>
    <xf numFmtId="0" fontId="12" fillId="18" borderId="9" xfId="3" applyFont="1" applyFill="1" applyBorder="1" applyAlignment="1">
      <alignment wrapText="1"/>
    </xf>
    <xf numFmtId="49" fontId="12" fillId="18" borderId="5" xfId="3" applyNumberFormat="1" applyFont="1" applyFill="1" applyBorder="1"/>
    <xf numFmtId="182" fontId="12" fillId="18" borderId="6" xfId="3" applyNumberFormat="1" applyFont="1" applyFill="1" applyBorder="1"/>
    <xf numFmtId="0" fontId="12" fillId="18" borderId="6" xfId="3" applyFont="1" applyFill="1" applyBorder="1"/>
    <xf numFmtId="38" fontId="12" fillId="18" borderId="8" xfId="1" applyFont="1" applyFill="1" applyBorder="1" applyAlignment="1"/>
    <xf numFmtId="0" fontId="12" fillId="18" borderId="8" xfId="3" applyFont="1" applyFill="1" applyBorder="1" applyAlignment="1">
      <alignment wrapText="1"/>
    </xf>
    <xf numFmtId="49" fontId="12" fillId="18" borderId="62" xfId="3" applyNumberFormat="1" applyFont="1" applyFill="1" applyBorder="1"/>
    <xf numFmtId="38" fontId="12" fillId="18" borderId="63" xfId="1" applyFont="1" applyFill="1" applyBorder="1" applyAlignment="1"/>
    <xf numFmtId="0" fontId="12" fillId="18" borderId="62" xfId="3" applyFont="1" applyFill="1" applyBorder="1"/>
    <xf numFmtId="0" fontId="12" fillId="18" borderId="63" xfId="3" applyFont="1" applyFill="1" applyBorder="1" applyAlignment="1">
      <alignment wrapText="1"/>
    </xf>
    <xf numFmtId="0" fontId="32" fillId="0" borderId="16" xfId="3" applyFont="1" applyBorder="1" applyAlignment="1">
      <alignment wrapText="1"/>
    </xf>
    <xf numFmtId="49" fontId="32" fillId="0" borderId="15" xfId="3" applyNumberFormat="1" applyFont="1" applyBorder="1"/>
    <xf numFmtId="0" fontId="12" fillId="0" borderId="1" xfId="3" applyFont="1" applyBorder="1" applyAlignment="1">
      <alignment wrapText="1"/>
    </xf>
    <xf numFmtId="49" fontId="32" fillId="18" borderId="10" xfId="3" applyNumberFormat="1" applyFont="1" applyFill="1" applyBorder="1"/>
    <xf numFmtId="182" fontId="32" fillId="18" borderId="0" xfId="3" applyNumberFormat="1" applyFont="1" applyFill="1"/>
    <xf numFmtId="0" fontId="32" fillId="18" borderId="0" xfId="3" applyFont="1" applyFill="1"/>
    <xf numFmtId="0" fontId="12" fillId="0" borderId="0" xfId="0" applyFont="1" applyAlignment="1"/>
    <xf numFmtId="0" fontId="12" fillId="21" borderId="14" xfId="3" applyFont="1" applyFill="1" applyBorder="1" applyAlignment="1">
      <alignment wrapText="1"/>
    </xf>
    <xf numFmtId="0" fontId="12" fillId="0" borderId="4" xfId="3" applyFont="1" applyBorder="1" applyAlignment="1">
      <alignment vertical="center" wrapText="1"/>
    </xf>
    <xf numFmtId="0" fontId="12" fillId="0" borderId="8" xfId="3" applyFont="1" applyBorder="1" applyAlignment="1">
      <alignment vertical="center" wrapText="1"/>
    </xf>
    <xf numFmtId="0" fontId="12" fillId="0" borderId="1" xfId="3" applyFont="1" applyBorder="1" applyAlignment="1">
      <alignment shrinkToFit="1"/>
    </xf>
    <xf numFmtId="0" fontId="12" fillId="18" borderId="10" xfId="3" applyFont="1" applyFill="1" applyBorder="1" applyAlignment="1">
      <alignment wrapText="1"/>
    </xf>
    <xf numFmtId="0" fontId="12" fillId="0" borderId="16" xfId="3" applyFont="1" applyBorder="1" applyAlignment="1">
      <alignment vertical="top" wrapText="1"/>
    </xf>
    <xf numFmtId="0" fontId="12" fillId="0" borderId="16" xfId="3" applyFont="1" applyBorder="1" applyAlignment="1">
      <alignment wrapText="1" shrinkToFit="1"/>
    </xf>
    <xf numFmtId="0" fontId="12" fillId="0" borderId="14" xfId="3" applyFont="1" applyBorder="1" applyAlignment="1">
      <alignment wrapText="1"/>
    </xf>
    <xf numFmtId="3" fontId="12" fillId="0" borderId="9" xfId="3" applyNumberFormat="1" applyFont="1" applyBorder="1" applyAlignment="1">
      <alignment wrapText="1"/>
    </xf>
    <xf numFmtId="196" fontId="12" fillId="0" borderId="10" xfId="3" applyNumberFormat="1" applyFont="1" applyBorder="1"/>
    <xf numFmtId="196" fontId="12" fillId="0" borderId="1" xfId="3" applyNumberFormat="1" applyFont="1" applyBorder="1"/>
    <xf numFmtId="0" fontId="32" fillId="18" borderId="9" xfId="3" applyFont="1" applyFill="1" applyBorder="1"/>
    <xf numFmtId="49" fontId="32" fillId="18" borderId="1" xfId="3" applyNumberFormat="1" applyFont="1" applyFill="1" applyBorder="1"/>
    <xf numFmtId="182" fontId="12" fillId="18" borderId="2" xfId="3" applyNumberFormat="1" applyFont="1" applyFill="1" applyBorder="1"/>
    <xf numFmtId="0" fontId="32" fillId="18" borderId="2" xfId="3" applyFont="1" applyFill="1" applyBorder="1"/>
    <xf numFmtId="0" fontId="32" fillId="18" borderId="4" xfId="3" applyFont="1" applyFill="1" applyBorder="1"/>
    <xf numFmtId="56" fontId="12" fillId="0" borderId="8" xfId="3" applyNumberFormat="1" applyFont="1" applyBorder="1" applyAlignment="1">
      <alignment wrapText="1"/>
    </xf>
    <xf numFmtId="38" fontId="32" fillId="0" borderId="9" xfId="3" applyNumberFormat="1" applyFont="1" applyBorder="1"/>
    <xf numFmtId="197" fontId="12" fillId="0" borderId="10" xfId="3" applyNumberFormat="1" applyFont="1" applyBorder="1"/>
    <xf numFmtId="0" fontId="12" fillId="0" borderId="10" xfId="3" quotePrefix="1" applyFont="1" applyBorder="1"/>
    <xf numFmtId="0" fontId="12" fillId="0" borderId="16" xfId="3" applyFont="1" applyBorder="1" applyAlignment="1">
      <alignment vertical="center" wrapText="1"/>
    </xf>
    <xf numFmtId="17" fontId="32" fillId="0" borderId="2" xfId="3" applyNumberFormat="1" applyFont="1" applyBorder="1"/>
    <xf numFmtId="17" fontId="32" fillId="0" borderId="0" xfId="3" applyNumberFormat="1" applyFont="1"/>
    <xf numFmtId="17" fontId="32" fillId="0" borderId="6" xfId="3" applyNumberFormat="1" applyFont="1" applyBorder="1"/>
    <xf numFmtId="49" fontId="32" fillId="0" borderId="0" xfId="3" applyNumberFormat="1" applyFont="1"/>
    <xf numFmtId="183" fontId="12" fillId="0" borderId="0" xfId="3" applyNumberFormat="1" applyFont="1"/>
    <xf numFmtId="49" fontId="12" fillId="0" borderId="1" xfId="3" applyNumberFormat="1" applyFont="1" applyBorder="1" applyAlignment="1">
      <alignment vertical="center"/>
    </xf>
    <xf numFmtId="182" fontId="12" fillId="0" borderId="2" xfId="3" applyNumberFormat="1" applyFont="1" applyBorder="1" applyAlignment="1">
      <alignment vertical="center"/>
    </xf>
    <xf numFmtId="0" fontId="12" fillId="0" borderId="2" xfId="3" applyFont="1" applyBorder="1" applyAlignment="1">
      <alignment vertical="center"/>
    </xf>
    <xf numFmtId="183" fontId="12" fillId="0" borderId="2" xfId="3" applyNumberFormat="1" applyFont="1" applyBorder="1" applyAlignment="1">
      <alignment vertical="center"/>
    </xf>
    <xf numFmtId="49" fontId="12" fillId="0" borderId="2" xfId="3" applyNumberFormat="1" applyFont="1" applyBorder="1" applyAlignment="1">
      <alignment vertical="center"/>
    </xf>
    <xf numFmtId="183" fontId="32" fillId="0" borderId="2" xfId="3" applyNumberFormat="1" applyFont="1" applyBorder="1"/>
    <xf numFmtId="49" fontId="12" fillId="0" borderId="2" xfId="3" applyNumberFormat="1" applyFont="1" applyBorder="1"/>
    <xf numFmtId="183" fontId="12" fillId="0" borderId="2" xfId="3" applyNumberFormat="1" applyFont="1" applyBorder="1"/>
    <xf numFmtId="183" fontId="12" fillId="0" borderId="6" xfId="3" applyNumberFormat="1" applyFont="1" applyBorder="1"/>
    <xf numFmtId="0" fontId="12" fillId="0" borderId="10" xfId="3" applyFont="1" applyBorder="1" applyProtection="1">
      <protection locked="0"/>
    </xf>
    <xf numFmtId="183" fontId="32" fillId="0" borderId="0" xfId="3" applyNumberFormat="1" applyFont="1"/>
    <xf numFmtId="0" fontId="12" fillId="0" borderId="9" xfId="3" applyFont="1" applyBorder="1" applyAlignment="1">
      <alignment wrapText="1" shrinkToFit="1"/>
    </xf>
    <xf numFmtId="0" fontId="12" fillId="0" borderId="9" xfId="3" applyFont="1" applyBorder="1" applyAlignment="1">
      <alignment horizontal="left" wrapText="1"/>
    </xf>
    <xf numFmtId="0" fontId="12" fillId="0" borderId="7" xfId="3" applyFont="1" applyBorder="1"/>
    <xf numFmtId="0" fontId="12" fillId="0" borderId="6" xfId="0" applyFont="1" applyBorder="1" applyAlignment="1"/>
    <xf numFmtId="183" fontId="12" fillId="0" borderId="15" xfId="3" applyNumberFormat="1" applyFont="1" applyBorder="1"/>
    <xf numFmtId="49" fontId="12" fillId="0" borderId="15" xfId="3" applyNumberFormat="1" applyFont="1" applyBorder="1"/>
    <xf numFmtId="0" fontId="12" fillId="0" borderId="15" xfId="3" applyFont="1" applyBorder="1"/>
    <xf numFmtId="49" fontId="12" fillId="0" borderId="0" xfId="3" applyNumberFormat="1" applyFont="1" applyAlignment="1">
      <alignment wrapText="1"/>
    </xf>
    <xf numFmtId="183" fontId="32" fillId="0" borderId="6" xfId="3" applyNumberFormat="1" applyFont="1" applyBorder="1"/>
    <xf numFmtId="0" fontId="12" fillId="18" borderId="8" xfId="3" applyFont="1" applyFill="1" applyBorder="1"/>
    <xf numFmtId="0" fontId="12" fillId="0" borderId="27" xfId="0" applyFont="1" applyBorder="1" applyAlignment="1">
      <alignment horizontal="left" vertical="center"/>
    </xf>
    <xf numFmtId="0" fontId="12" fillId="18" borderId="0" xfId="0" applyFont="1" applyFill="1" applyAlignment="1"/>
    <xf numFmtId="183" fontId="12" fillId="18" borderId="0" xfId="3" applyNumberFormat="1" applyFont="1" applyFill="1"/>
    <xf numFmtId="49" fontId="12" fillId="18" borderId="0" xfId="3" applyNumberFormat="1" applyFont="1" applyFill="1"/>
    <xf numFmtId="0" fontId="12" fillId="18" borderId="9" xfId="3" applyFont="1" applyFill="1" applyBorder="1"/>
    <xf numFmtId="0" fontId="12" fillId="18" borderId="0" xfId="3" applyFont="1" applyFill="1" applyProtection="1">
      <protection locked="0"/>
    </xf>
    <xf numFmtId="0" fontId="12" fillId="18" borderId="6" xfId="0" applyFont="1" applyFill="1" applyBorder="1" applyAlignment="1"/>
    <xf numFmtId="183" fontId="12" fillId="18" borderId="6" xfId="3" applyNumberFormat="1" applyFont="1" applyFill="1" applyBorder="1"/>
    <xf numFmtId="49" fontId="12" fillId="18" borderId="6" xfId="3" applyNumberFormat="1" applyFont="1" applyFill="1" applyBorder="1"/>
    <xf numFmtId="0" fontId="12" fillId="18" borderId="6" xfId="3" applyFont="1" applyFill="1" applyBorder="1" applyProtection="1">
      <protection locked="0"/>
    </xf>
    <xf numFmtId="49" fontId="12" fillId="0" borderId="10" xfId="3" applyNumberFormat="1" applyFont="1" applyBorder="1" applyAlignment="1">
      <alignment horizontal="center" vertical="center"/>
    </xf>
    <xf numFmtId="0" fontId="12" fillId="0" borderId="60" xfId="3" applyFont="1" applyBorder="1" applyAlignment="1">
      <alignment vertical="center"/>
    </xf>
    <xf numFmtId="0" fontId="12" fillId="0" borderId="60" xfId="3" applyFont="1" applyBorder="1" applyAlignment="1">
      <alignment horizontal="center" vertical="center"/>
    </xf>
    <xf numFmtId="49" fontId="12" fillId="0" borderId="60" xfId="3" applyNumberFormat="1" applyFont="1" applyBorder="1" applyAlignment="1">
      <alignment vertical="center"/>
    </xf>
    <xf numFmtId="0" fontId="12" fillId="0" borderId="61" xfId="3" applyFont="1" applyBorder="1" applyAlignment="1">
      <alignment vertical="center"/>
    </xf>
    <xf numFmtId="0" fontId="12" fillId="18" borderId="63" xfId="3" applyFont="1" applyFill="1" applyBorder="1"/>
    <xf numFmtId="0" fontId="12" fillId="0" borderId="2" xfId="0" applyFont="1" applyBorder="1" applyAlignment="1"/>
    <xf numFmtId="0" fontId="12" fillId="0" borderId="16" xfId="0" applyFont="1" applyBorder="1" applyAlignment="1">
      <alignment vertical="center" wrapText="1"/>
    </xf>
    <xf numFmtId="0" fontId="12" fillId="0" borderId="0" xfId="0" applyFont="1" applyAlignment="1">
      <alignment horizontal="left" vertical="center"/>
    </xf>
    <xf numFmtId="183" fontId="32" fillId="18" borderId="0" xfId="3" applyNumberFormat="1" applyFont="1" applyFill="1"/>
    <xf numFmtId="0" fontId="12" fillId="0" borderId="27" xfId="0" applyFont="1" applyBorder="1" applyAlignment="1"/>
    <xf numFmtId="183" fontId="12" fillId="17" borderId="0" xfId="3" applyNumberFormat="1" applyFont="1" applyFill="1"/>
    <xf numFmtId="183" fontId="12" fillId="17" borderId="6" xfId="3" applyNumberFormat="1" applyFont="1" applyFill="1" applyBorder="1"/>
    <xf numFmtId="0" fontId="12" fillId="0" borderId="15" xfId="0" applyFont="1" applyBorder="1" applyAlignment="1"/>
    <xf numFmtId="0" fontId="12" fillId="0" borderId="3" xfId="3" applyFont="1" applyBorder="1"/>
    <xf numFmtId="183" fontId="12" fillId="18" borderId="2" xfId="3" applyNumberFormat="1" applyFont="1" applyFill="1" applyBorder="1"/>
    <xf numFmtId="49" fontId="12" fillId="18" borderId="2" xfId="3" applyNumberFormat="1" applyFont="1" applyFill="1" applyBorder="1"/>
    <xf numFmtId="0" fontId="12" fillId="18" borderId="2" xfId="3" applyFont="1" applyFill="1" applyBorder="1"/>
    <xf numFmtId="0" fontId="12" fillId="0" borderId="10" xfId="0" applyFont="1" applyBorder="1" applyAlignment="1"/>
    <xf numFmtId="49" fontId="12" fillId="0" borderId="6" xfId="3" applyNumberFormat="1" applyFont="1" applyBorder="1" applyAlignment="1">
      <alignment wrapText="1"/>
    </xf>
    <xf numFmtId="0" fontId="12" fillId="0" borderId="32" xfId="3" applyFont="1" applyBorder="1"/>
    <xf numFmtId="0" fontId="12" fillId="22" borderId="0" xfId="0" applyFont="1" applyFill="1" applyAlignment="1"/>
    <xf numFmtId="0" fontId="12" fillId="0" borderId="6" xfId="3" applyFont="1" applyBorder="1" applyProtection="1">
      <protection locked="0"/>
    </xf>
    <xf numFmtId="0" fontId="12" fillId="0" borderId="2" xfId="3" applyFont="1" applyBorder="1" applyProtection="1">
      <protection locked="0"/>
    </xf>
    <xf numFmtId="49" fontId="12" fillId="0" borderId="2" xfId="3" applyNumberFormat="1" applyFont="1" applyBorder="1" applyAlignment="1">
      <alignment wrapText="1"/>
    </xf>
    <xf numFmtId="49" fontId="32" fillId="0" borderId="6" xfId="3" applyNumberFormat="1" applyFont="1" applyBorder="1"/>
    <xf numFmtId="0" fontId="32" fillId="0" borderId="7" xfId="3" applyFont="1" applyBorder="1"/>
    <xf numFmtId="178" fontId="12" fillId="0" borderId="0" xfId="1" applyNumberFormat="1" applyFont="1" applyAlignment="1"/>
    <xf numFmtId="178" fontId="12" fillId="0" borderId="2" xfId="1" applyNumberFormat="1" applyFont="1" applyBorder="1" applyAlignment="1"/>
    <xf numFmtId="178" fontId="12" fillId="0" borderId="0" xfId="1" applyNumberFormat="1" applyFont="1" applyBorder="1" applyAlignment="1">
      <alignment horizontal="centerContinuous" vertical="center"/>
    </xf>
    <xf numFmtId="178" fontId="12" fillId="7" borderId="1" xfId="1" applyNumberFormat="1" applyFont="1" applyFill="1" applyBorder="1" applyAlignment="1"/>
    <xf numFmtId="178" fontId="12" fillId="7" borderId="10" xfId="1" applyNumberFormat="1" applyFont="1" applyFill="1" applyBorder="1" applyAlignment="1"/>
    <xf numFmtId="178" fontId="12" fillId="7" borderId="5" xfId="1" applyNumberFormat="1" applyFont="1" applyFill="1" applyBorder="1" applyAlignment="1"/>
    <xf numFmtId="178" fontId="32" fillId="0" borderId="1" xfId="1" applyNumberFormat="1" applyFont="1" applyBorder="1" applyAlignment="1"/>
    <xf numFmtId="178" fontId="32" fillId="0" borderId="10" xfId="1" applyNumberFormat="1" applyFont="1" applyFill="1" applyBorder="1" applyAlignment="1"/>
    <xf numFmtId="178" fontId="12" fillId="0" borderId="10" xfId="1" applyNumberFormat="1" applyFont="1" applyBorder="1" applyAlignment="1"/>
    <xf numFmtId="178" fontId="12" fillId="15" borderId="9" xfId="1" applyNumberFormat="1" applyFont="1" applyFill="1" applyBorder="1" applyAlignment="1"/>
    <xf numFmtId="178" fontId="32" fillId="0" borderId="5" xfId="1" applyNumberFormat="1" applyFont="1" applyBorder="1" applyAlignment="1"/>
    <xf numFmtId="178" fontId="12" fillId="0" borderId="10" xfId="1" applyNumberFormat="1" applyFont="1" applyFill="1" applyBorder="1" applyAlignment="1"/>
    <xf numFmtId="178" fontId="12" fillId="15" borderId="10" xfId="1" applyNumberFormat="1" applyFont="1" applyFill="1" applyBorder="1" applyAlignment="1"/>
    <xf numFmtId="178" fontId="12" fillId="14" borderId="10" xfId="1" applyNumberFormat="1" applyFont="1" applyFill="1" applyBorder="1" applyAlignment="1"/>
    <xf numFmtId="178" fontId="12" fillId="15" borderId="5" xfId="1" applyNumberFormat="1" applyFont="1" applyFill="1" applyBorder="1" applyAlignment="1"/>
    <xf numFmtId="178" fontId="32" fillId="0" borderId="1" xfId="1" applyNumberFormat="1" applyFont="1" applyFill="1" applyBorder="1" applyAlignment="1"/>
    <xf numFmtId="178" fontId="12" fillId="14" borderId="5" xfId="1" applyNumberFormat="1" applyFont="1" applyFill="1" applyBorder="1" applyAlignment="1"/>
    <xf numFmtId="178" fontId="32" fillId="0" borderId="10" xfId="1" applyNumberFormat="1" applyFont="1" applyBorder="1" applyAlignment="1"/>
    <xf numFmtId="178" fontId="12" fillId="0" borderId="9" xfId="1" applyNumberFormat="1" applyFont="1" applyBorder="1" applyAlignment="1"/>
    <xf numFmtId="178" fontId="12" fillId="0" borderId="5" xfId="1" applyNumberFormat="1" applyFont="1" applyFill="1" applyBorder="1" applyAlignment="1"/>
    <xf numFmtId="178" fontId="32" fillId="14" borderId="10" xfId="1" applyNumberFormat="1" applyFont="1" applyFill="1" applyBorder="1" applyAlignment="1"/>
    <xf numFmtId="178" fontId="12" fillId="0" borderId="8" xfId="1" applyNumberFormat="1" applyFont="1" applyBorder="1" applyAlignment="1"/>
    <xf numFmtId="178" fontId="12" fillId="0" borderId="5" xfId="1" applyNumberFormat="1" applyFont="1" applyBorder="1" applyAlignment="1"/>
    <xf numFmtId="178" fontId="12" fillId="14" borderId="8" xfId="1" applyNumberFormat="1" applyFont="1" applyFill="1" applyBorder="1" applyAlignment="1"/>
    <xf numFmtId="178" fontId="12" fillId="14" borderId="0" xfId="1" applyNumberFormat="1" applyFont="1" applyFill="1" applyBorder="1" applyAlignment="1"/>
    <xf numFmtId="178" fontId="12" fillId="14" borderId="6" xfId="1" applyNumberFormat="1" applyFont="1" applyFill="1" applyBorder="1" applyAlignment="1"/>
    <xf numFmtId="178" fontId="32" fillId="0" borderId="9" xfId="1" applyNumberFormat="1" applyFont="1" applyFill="1" applyBorder="1" applyAlignment="1"/>
    <xf numFmtId="178" fontId="12" fillId="0" borderId="9" xfId="1" applyNumberFormat="1" applyFont="1" applyFill="1" applyBorder="1" applyAlignment="1"/>
    <xf numFmtId="178" fontId="12" fillId="14" borderId="9" xfId="1" applyNumberFormat="1" applyFont="1" applyFill="1" applyBorder="1" applyAlignment="1"/>
    <xf numFmtId="178" fontId="32" fillId="14" borderId="8" xfId="1" applyNumberFormat="1" applyFont="1" applyFill="1" applyBorder="1" applyAlignment="1"/>
    <xf numFmtId="178" fontId="32" fillId="0" borderId="4" xfId="1" applyNumberFormat="1" applyFont="1" applyBorder="1" applyAlignment="1"/>
    <xf numFmtId="178" fontId="32" fillId="14" borderId="1" xfId="1" applyNumberFormat="1" applyFont="1" applyFill="1" applyBorder="1" applyAlignment="1"/>
    <xf numFmtId="178" fontId="32" fillId="14" borderId="14" xfId="1" applyNumberFormat="1" applyFont="1" applyFill="1" applyBorder="1" applyAlignment="1"/>
    <xf numFmtId="178" fontId="32" fillId="14" borderId="5" xfId="1" applyNumberFormat="1" applyFont="1" applyFill="1" applyBorder="1" applyAlignment="1"/>
    <xf numFmtId="178" fontId="12" fillId="14" borderId="27" xfId="1" applyNumberFormat="1" applyFont="1" applyFill="1" applyBorder="1" applyAlignment="1"/>
    <xf numFmtId="178" fontId="32" fillId="14" borderId="9" xfId="1" applyNumberFormat="1" applyFont="1" applyFill="1" applyBorder="1" applyAlignment="1"/>
    <xf numFmtId="178" fontId="12" fillId="18" borderId="5" xfId="1" applyNumberFormat="1" applyFont="1" applyFill="1" applyBorder="1" applyAlignment="1"/>
    <xf numFmtId="178" fontId="32" fillId="14" borderId="16" xfId="1" applyNumberFormat="1" applyFont="1" applyFill="1" applyBorder="1" applyAlignment="1"/>
    <xf numFmtId="178" fontId="32" fillId="0" borderId="4" xfId="1" applyNumberFormat="1" applyFont="1" applyFill="1" applyBorder="1" applyAlignment="1"/>
    <xf numFmtId="178" fontId="12" fillId="18" borderId="10" xfId="1" applyNumberFormat="1" applyFont="1" applyFill="1" applyBorder="1" applyAlignment="1"/>
    <xf numFmtId="178" fontId="12" fillId="18" borderId="62" xfId="1" applyNumberFormat="1" applyFont="1" applyFill="1" applyBorder="1" applyAlignment="1"/>
    <xf numFmtId="178" fontId="32" fillId="18" borderId="10" xfId="1" applyNumberFormat="1" applyFont="1" applyFill="1" applyBorder="1" applyAlignment="1"/>
    <xf numFmtId="178" fontId="12" fillId="18" borderId="9" xfId="1" applyNumberFormat="1" applyFont="1" applyFill="1" applyBorder="1" applyAlignment="1"/>
    <xf numFmtId="178" fontId="32" fillId="20" borderId="14" xfId="1" applyNumberFormat="1" applyFont="1" applyFill="1" applyBorder="1" applyAlignment="1"/>
    <xf numFmtId="178" fontId="32" fillId="0" borderId="14" xfId="1" applyNumberFormat="1" applyFont="1" applyBorder="1" applyAlignment="1"/>
    <xf numFmtId="178" fontId="12" fillId="0" borderId="8" xfId="1" applyNumberFormat="1" applyFont="1" applyFill="1" applyBorder="1" applyAlignment="1"/>
    <xf numFmtId="178" fontId="32" fillId="0" borderId="14" xfId="1" applyNumberFormat="1" applyFont="1" applyFill="1" applyBorder="1" applyAlignment="1"/>
    <xf numFmtId="178" fontId="32" fillId="0" borderId="9" xfId="1" applyNumberFormat="1" applyFont="1" applyBorder="1" applyAlignment="1"/>
    <xf numFmtId="178" fontId="32" fillId="0" borderId="8" xfId="1" applyNumberFormat="1" applyFont="1" applyBorder="1" applyAlignment="1"/>
    <xf numFmtId="178" fontId="12" fillId="0" borderId="1" xfId="1" applyNumberFormat="1" applyFont="1" applyFill="1" applyBorder="1" applyAlignment="1"/>
    <xf numFmtId="178" fontId="32" fillId="20" borderId="5" xfId="1" applyNumberFormat="1" applyFont="1" applyFill="1" applyBorder="1" applyAlignment="1"/>
    <xf numFmtId="0" fontId="32" fillId="8" borderId="16" xfId="3" applyFont="1" applyFill="1" applyBorder="1"/>
    <xf numFmtId="38" fontId="12" fillId="8" borderId="14" xfId="1" applyFont="1" applyFill="1" applyBorder="1" applyAlignment="1"/>
    <xf numFmtId="38" fontId="32" fillId="8" borderId="14" xfId="1" applyFont="1" applyFill="1" applyBorder="1" applyAlignment="1"/>
    <xf numFmtId="178" fontId="32" fillId="8" borderId="14" xfId="1" applyNumberFormat="1" applyFont="1" applyFill="1" applyBorder="1" applyAlignment="1"/>
    <xf numFmtId="0" fontId="12" fillId="8" borderId="9" xfId="3" applyFont="1" applyFill="1" applyBorder="1" applyAlignment="1">
      <alignment wrapText="1"/>
    </xf>
    <xf numFmtId="38" fontId="12" fillId="8" borderId="10" xfId="1" applyFont="1" applyFill="1" applyBorder="1" applyAlignment="1"/>
    <xf numFmtId="178" fontId="32" fillId="8" borderId="10" xfId="1" applyNumberFormat="1" applyFont="1" applyFill="1" applyBorder="1" applyAlignment="1"/>
    <xf numFmtId="0" fontId="32" fillId="8" borderId="9" xfId="3" applyFont="1" applyFill="1" applyBorder="1" applyAlignment="1">
      <alignment wrapText="1"/>
    </xf>
    <xf numFmtId="178" fontId="7" fillId="0" borderId="4" xfId="0" applyNumberFormat="1" applyFont="1" applyBorder="1">
      <alignment vertical="center"/>
    </xf>
    <xf numFmtId="178" fontId="7" fillId="17" borderId="9" xfId="0" applyNumberFormat="1" applyFont="1" applyFill="1" applyBorder="1">
      <alignment vertical="center"/>
    </xf>
    <xf numFmtId="178" fontId="7" fillId="0" borderId="16" xfId="0" applyNumberFormat="1" applyFont="1" applyBorder="1">
      <alignment vertical="center"/>
    </xf>
    <xf numFmtId="178" fontId="7" fillId="17" borderId="8" xfId="0" applyNumberFormat="1" applyFont="1" applyFill="1" applyBorder="1">
      <alignment vertical="center"/>
    </xf>
    <xf numFmtId="178" fontId="7" fillId="27" borderId="9" xfId="0" applyNumberFormat="1" applyFont="1" applyFill="1" applyBorder="1">
      <alignment vertical="center"/>
    </xf>
    <xf numFmtId="178" fontId="7" fillId="27" borderId="8" xfId="0" applyNumberFormat="1" applyFont="1" applyFill="1" applyBorder="1">
      <alignment vertical="center"/>
    </xf>
    <xf numFmtId="178" fontId="7" fillId="27" borderId="4" xfId="0" applyNumberFormat="1" applyFont="1" applyFill="1" applyBorder="1">
      <alignment vertical="center"/>
    </xf>
    <xf numFmtId="178" fontId="7" fillId="8" borderId="9" xfId="0" applyNumberFormat="1" applyFont="1" applyFill="1" applyBorder="1">
      <alignment vertical="center"/>
    </xf>
    <xf numFmtId="0" fontId="37" fillId="0" borderId="0" xfId="0" applyFont="1">
      <alignment vertical="center"/>
    </xf>
    <xf numFmtId="0" fontId="7" fillId="0" borderId="5" xfId="0" applyFont="1" applyBorder="1" applyAlignment="1">
      <alignment horizontal="center" vertical="center" wrapText="1"/>
    </xf>
    <xf numFmtId="0" fontId="7" fillId="25" borderId="15"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7" fillId="25"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0" xfId="0" applyFont="1" applyAlignment="1">
      <alignment horizontal="center" vertical="center"/>
    </xf>
    <xf numFmtId="178" fontId="7" fillId="0" borderId="0" xfId="0" applyNumberFormat="1" applyFont="1">
      <alignment vertical="center"/>
    </xf>
    <xf numFmtId="0" fontId="7" fillId="0" borderId="1"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62" xfId="0" applyFont="1" applyBorder="1" applyAlignment="1">
      <alignment horizontal="center" vertical="center"/>
    </xf>
    <xf numFmtId="0" fontId="7" fillId="0" borderId="27" xfId="0" applyFont="1" applyBorder="1">
      <alignment vertical="center"/>
    </xf>
    <xf numFmtId="0" fontId="7" fillId="0" borderId="6" xfId="0" applyFont="1" applyBorder="1" applyAlignment="1">
      <alignment horizontal="center" vertical="center"/>
    </xf>
    <xf numFmtId="0" fontId="7" fillId="0" borderId="2" xfId="0" applyFont="1" applyBorder="1" applyAlignment="1">
      <alignment horizontal="center" vertical="center"/>
    </xf>
    <xf numFmtId="178" fontId="7" fillId="0" borderId="2" xfId="0" applyNumberFormat="1" applyFont="1" applyBorder="1">
      <alignment vertical="center"/>
    </xf>
    <xf numFmtId="178" fontId="7" fillId="0" borderId="6" xfId="0" applyNumberFormat="1" applyFont="1" applyBorder="1">
      <alignment vertical="center"/>
    </xf>
    <xf numFmtId="0" fontId="7" fillId="0" borderId="5" xfId="0" applyFont="1" applyBorder="1" applyAlignment="1">
      <alignment horizontal="center" vertical="center"/>
    </xf>
    <xf numFmtId="0" fontId="7" fillId="0" borderId="7" xfId="0" applyFont="1"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178" fontId="7" fillId="0" borderId="15" xfId="0" applyNumberFormat="1" applyFont="1" applyBorder="1">
      <alignment vertical="center"/>
    </xf>
    <xf numFmtId="0" fontId="7" fillId="0" borderId="14" xfId="0" applyFont="1" applyBorder="1" applyAlignment="1">
      <alignment horizontal="center" vertical="center"/>
    </xf>
    <xf numFmtId="0" fontId="7" fillId="0" borderId="32" xfId="0" applyFont="1" applyBorder="1">
      <alignment vertical="center"/>
    </xf>
    <xf numFmtId="0" fontId="7" fillId="8" borderId="62" xfId="0" applyFont="1" applyFill="1" applyBorder="1" applyAlignment="1">
      <alignment horizontal="center" vertical="center"/>
    </xf>
    <xf numFmtId="0" fontId="7" fillId="8" borderId="0" xfId="0" applyFont="1" applyFill="1">
      <alignment vertical="center"/>
    </xf>
    <xf numFmtId="0" fontId="7" fillId="8" borderId="27" xfId="0" applyFont="1" applyFill="1" applyBorder="1">
      <alignment vertical="center"/>
    </xf>
    <xf numFmtId="0" fontId="12" fillId="8" borderId="9" xfId="3" applyFont="1" applyFill="1" applyBorder="1"/>
    <xf numFmtId="178" fontId="12" fillId="8" borderId="10" xfId="1" applyNumberFormat="1" applyFont="1" applyFill="1" applyBorder="1" applyAlignment="1"/>
    <xf numFmtId="38" fontId="12" fillId="0" borderId="63" xfId="1" applyFont="1" applyBorder="1" applyAlignment="1"/>
    <xf numFmtId="38" fontId="12" fillId="0" borderId="63" xfId="1" applyFont="1" applyBorder="1" applyAlignment="1">
      <alignment wrapText="1"/>
    </xf>
    <xf numFmtId="38" fontId="12" fillId="0" borderId="63" xfId="1" applyFont="1" applyFill="1" applyBorder="1" applyAlignment="1"/>
    <xf numFmtId="38" fontId="12" fillId="8" borderId="8" xfId="1" applyFont="1" applyFill="1" applyBorder="1" applyAlignment="1">
      <alignment horizontal="center"/>
    </xf>
    <xf numFmtId="38" fontId="12" fillId="0" borderId="1" xfId="1" applyFont="1" applyBorder="1" applyAlignment="1">
      <alignment horizontal="center"/>
    </xf>
    <xf numFmtId="38" fontId="12" fillId="0" borderId="62" xfId="1" applyFont="1" applyBorder="1" applyAlignment="1">
      <alignment horizontal="left" wrapText="1"/>
    </xf>
    <xf numFmtId="38" fontId="12" fillId="7" borderId="8" xfId="1" applyFont="1" applyFill="1" applyBorder="1" applyAlignment="1"/>
    <xf numFmtId="49" fontId="12" fillId="7" borderId="0" xfId="0" applyNumberFormat="1" applyFont="1" applyFill="1" applyAlignment="1">
      <alignment horizontal="center" vertical="center"/>
    </xf>
    <xf numFmtId="38" fontId="12" fillId="7" borderId="1" xfId="1" applyFont="1" applyFill="1" applyBorder="1" applyAlignment="1">
      <alignment horizontal="center"/>
    </xf>
    <xf numFmtId="0" fontId="7" fillId="7" borderId="62" xfId="3" applyFont="1" applyFill="1" applyBorder="1" applyAlignment="1" applyProtection="1">
      <alignment horizontal="center"/>
      <protection locked="0"/>
    </xf>
    <xf numFmtId="38" fontId="12" fillId="7" borderId="5" xfId="1" applyFont="1" applyFill="1" applyBorder="1" applyAlignment="1"/>
    <xf numFmtId="38" fontId="12" fillId="8" borderId="4" xfId="1" applyFont="1" applyFill="1" applyBorder="1" applyAlignment="1">
      <alignment horizontal="center"/>
    </xf>
    <xf numFmtId="38" fontId="12" fillId="8" borderId="63" xfId="1" applyFont="1" applyFill="1" applyBorder="1" applyAlignment="1">
      <alignment horizontal="center" wrapText="1"/>
    </xf>
    <xf numFmtId="38" fontId="12" fillId="0" borderId="63" xfId="1" quotePrefix="1" applyFont="1" applyBorder="1" applyAlignment="1">
      <alignment horizontal="center"/>
    </xf>
    <xf numFmtId="198" fontId="12" fillId="7" borderId="0" xfId="1" applyNumberFormat="1" applyFont="1" applyFill="1" applyBorder="1" applyAlignment="1"/>
    <xf numFmtId="177" fontId="12" fillId="0" borderId="62" xfId="1" applyNumberFormat="1" applyFont="1" applyBorder="1" applyAlignment="1"/>
    <xf numFmtId="177" fontId="12" fillId="0" borderId="1" xfId="1" applyNumberFormat="1" applyFont="1" applyBorder="1" applyAlignment="1"/>
    <xf numFmtId="177" fontId="12" fillId="0" borderId="62" xfId="1" applyNumberFormat="1" applyFont="1" applyBorder="1" applyAlignment="1">
      <alignment wrapText="1"/>
    </xf>
    <xf numFmtId="177" fontId="12" fillId="0" borderId="5" xfId="1" applyNumberFormat="1" applyFont="1" applyBorder="1" applyAlignment="1"/>
    <xf numFmtId="177" fontId="12" fillId="0" borderId="62" xfId="1" applyNumberFormat="1" applyFont="1" applyFill="1" applyBorder="1" applyAlignment="1"/>
    <xf numFmtId="177" fontId="12" fillId="0" borderId="1" xfId="1" applyNumberFormat="1" applyFont="1" applyBorder="1" applyAlignment="1">
      <alignment wrapText="1"/>
    </xf>
    <xf numFmtId="177" fontId="12" fillId="0" borderId="6" xfId="1" applyNumberFormat="1" applyFont="1" applyBorder="1" applyAlignment="1"/>
    <xf numFmtId="177" fontId="12" fillId="0" borderId="62" xfId="1" quotePrefix="1" applyNumberFormat="1" applyFont="1" applyBorder="1" applyAlignment="1">
      <alignment horizontal="center"/>
    </xf>
    <xf numFmtId="177" fontId="12" fillId="0" borderId="5" xfId="1" applyNumberFormat="1" applyFont="1" applyFill="1" applyBorder="1" applyAlignment="1"/>
    <xf numFmtId="177" fontId="12" fillId="0" borderId="5" xfId="1" applyNumberFormat="1" applyFont="1" applyBorder="1" applyAlignment="1">
      <alignment wrapText="1"/>
    </xf>
    <xf numFmtId="177" fontId="12" fillId="0" borderId="1" xfId="1" applyNumberFormat="1" applyFont="1" applyFill="1" applyBorder="1" applyAlignment="1"/>
    <xf numFmtId="177" fontId="12" fillId="0" borderId="14" xfId="1" applyNumberFormat="1" applyFont="1" applyBorder="1" applyAlignment="1"/>
    <xf numFmtId="177" fontId="12" fillId="0" borderId="14" xfId="1" applyNumberFormat="1" applyFont="1" applyBorder="1" applyAlignment="1">
      <alignment wrapText="1"/>
    </xf>
    <xf numFmtId="177" fontId="12" fillId="0" borderId="0" xfId="1" applyNumberFormat="1" applyFont="1" applyBorder="1" applyAlignment="1"/>
    <xf numFmtId="177" fontId="12" fillId="18" borderId="62" xfId="1" applyNumberFormat="1" applyFont="1" applyFill="1" applyBorder="1" applyAlignment="1"/>
    <xf numFmtId="177" fontId="12" fillId="18" borderId="5" xfId="1" applyNumberFormat="1" applyFont="1" applyFill="1" applyBorder="1" applyAlignment="1"/>
    <xf numFmtId="177" fontId="12" fillId="0" borderId="14" xfId="1" applyNumberFormat="1" applyFont="1" applyFill="1" applyBorder="1" applyAlignment="1"/>
    <xf numFmtId="177" fontId="12" fillId="0" borderId="0" xfId="1" applyNumberFormat="1" applyFont="1" applyAlignment="1" applyProtection="1">
      <protection locked="0"/>
    </xf>
    <xf numFmtId="177" fontId="12" fillId="7" borderId="62" xfId="1" applyNumberFormat="1" applyFont="1" applyFill="1" applyBorder="1" applyAlignment="1"/>
    <xf numFmtId="177" fontId="12" fillId="7" borderId="16" xfId="1" applyNumberFormat="1" applyFont="1" applyFill="1" applyBorder="1" applyAlignment="1"/>
    <xf numFmtId="177" fontId="12" fillId="7" borderId="14" xfId="1" applyNumberFormat="1" applyFont="1" applyFill="1" applyBorder="1" applyAlignment="1"/>
    <xf numFmtId="177" fontId="12" fillId="7" borderId="1" xfId="1" applyNumberFormat="1" applyFont="1" applyFill="1" applyBorder="1" applyAlignment="1"/>
    <xf numFmtId="177" fontId="12" fillId="7" borderId="5" xfId="1" applyNumberFormat="1" applyFont="1" applyFill="1" applyBorder="1" applyAlignment="1"/>
    <xf numFmtId="178" fontId="3" fillId="0" borderId="63" xfId="1" applyNumberFormat="1" applyFont="1" applyBorder="1" applyAlignment="1"/>
    <xf numFmtId="178" fontId="3" fillId="3" borderId="63" xfId="1" applyNumberFormat="1" applyFont="1" applyFill="1" applyBorder="1" applyAlignment="1"/>
    <xf numFmtId="0" fontId="12" fillId="2" borderId="4" xfId="2" applyFont="1" applyFill="1" applyBorder="1" applyAlignment="1">
      <alignment horizontal="center" vertical="center"/>
    </xf>
    <xf numFmtId="0" fontId="12" fillId="2" borderId="8" xfId="2" applyFont="1" applyFill="1" applyBorder="1" applyAlignment="1">
      <alignment horizontal="center" vertical="center"/>
    </xf>
    <xf numFmtId="38" fontId="12" fillId="8" borderId="16" xfId="1" applyFont="1" applyFill="1" applyBorder="1" applyAlignment="1"/>
    <xf numFmtId="178" fontId="3" fillId="4" borderId="16" xfId="2" applyNumberFormat="1" applyFill="1" applyBorder="1" applyAlignment="1">
      <alignment vertical="center" shrinkToFit="1"/>
    </xf>
    <xf numFmtId="0" fontId="3" fillId="0" borderId="4" xfId="0" applyFont="1" applyBorder="1" applyAlignment="1">
      <alignment vertical="center" wrapText="1"/>
    </xf>
    <xf numFmtId="0" fontId="3" fillId="0" borderId="3" xfId="0" applyFont="1" applyBorder="1" applyAlignment="1">
      <alignment vertical="center" wrapText="1"/>
    </xf>
    <xf numFmtId="0" fontId="3" fillId="0" borderId="4" xfId="0" applyFont="1" applyBorder="1">
      <alignment vertical="center"/>
    </xf>
    <xf numFmtId="0" fontId="3" fillId="0" borderId="7" xfId="0" applyFont="1" applyBorder="1">
      <alignment vertical="center"/>
    </xf>
    <xf numFmtId="0" fontId="3" fillId="0" borderId="8" xfId="0" applyFont="1" applyBorder="1" applyAlignment="1">
      <alignment vertical="top" wrapText="1"/>
    </xf>
    <xf numFmtId="178" fontId="3" fillId="0" borderId="0" xfId="1" applyNumberFormat="1" applyFont="1" applyFill="1" applyBorder="1">
      <alignment vertical="center"/>
    </xf>
    <xf numFmtId="0" fontId="4" fillId="0" borderId="0" xfId="4" applyFont="1"/>
    <xf numFmtId="0" fontId="3" fillId="0" borderId="0" xfId="4" applyFont="1"/>
    <xf numFmtId="0" fontId="3" fillId="0" borderId="0" xfId="0" applyFont="1" applyAlignment="1">
      <alignment horizontal="right" vertical="center"/>
    </xf>
    <xf numFmtId="0" fontId="3" fillId="0" borderId="1" xfId="4" applyFont="1" applyBorder="1"/>
    <xf numFmtId="0" fontId="3" fillId="0" borderId="3" xfId="4" applyFont="1" applyBorder="1"/>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10" xfId="5" applyFont="1" applyBorder="1" applyAlignment="1">
      <alignment horizontal="center"/>
    </xf>
    <xf numFmtId="0" fontId="3" fillId="0" borderId="27" xfId="4" applyFont="1" applyBorder="1" applyAlignment="1">
      <alignment horizontal="center"/>
    </xf>
    <xf numFmtId="0" fontId="3" fillId="0" borderId="10"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center" vertical="center" wrapText="1"/>
    </xf>
    <xf numFmtId="0" fontId="3" fillId="0" borderId="4" xfId="0" applyFont="1" applyBorder="1" applyAlignment="1">
      <alignment horizontal="center" vertical="top" wrapText="1"/>
    </xf>
    <xf numFmtId="0" fontId="3" fillId="0" borderId="27"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wrapText="1"/>
    </xf>
    <xf numFmtId="0" fontId="3" fillId="0" borderId="9" xfId="0" applyFont="1" applyBorder="1" applyAlignment="1">
      <alignment horizontal="center" vertical="top" wrapText="1"/>
    </xf>
    <xf numFmtId="0" fontId="3" fillId="0" borderId="4" xfId="0" applyFont="1" applyBorder="1" applyAlignment="1">
      <alignment horizontal="center" vertical="center" shrinkToFit="1"/>
    </xf>
    <xf numFmtId="0" fontId="3" fillId="0" borderId="5" xfId="5" applyFont="1" applyBorder="1" applyAlignment="1">
      <alignment horizontal="center"/>
    </xf>
    <xf numFmtId="0" fontId="3" fillId="0" borderId="7" xfId="4" applyFont="1" applyBorder="1" applyAlignment="1">
      <alignment horizont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189" fontId="3" fillId="0" borderId="1" xfId="4" applyNumberFormat="1" applyFont="1" applyBorder="1"/>
    <xf numFmtId="56" fontId="3" fillId="0" borderId="3" xfId="4" quotePrefix="1" applyNumberFormat="1" applyFont="1" applyBorder="1"/>
    <xf numFmtId="178" fontId="3" fillId="0" borderId="1" xfId="0" applyNumberFormat="1" applyFont="1" applyBorder="1">
      <alignment vertical="center"/>
    </xf>
    <xf numFmtId="178" fontId="3" fillId="0" borderId="2" xfId="0" applyNumberFormat="1" applyFont="1" applyBorder="1">
      <alignment vertical="center"/>
    </xf>
    <xf numFmtId="178" fontId="3" fillId="0" borderId="3" xfId="0" applyNumberFormat="1" applyFont="1" applyBorder="1">
      <alignment vertical="center"/>
    </xf>
    <xf numFmtId="190" fontId="3" fillId="0" borderId="3" xfId="0" applyNumberFormat="1" applyFont="1" applyBorder="1" applyAlignment="1">
      <alignment horizontal="center" vertical="center"/>
    </xf>
    <xf numFmtId="178" fontId="3" fillId="0" borderId="4" xfId="0" applyNumberFormat="1" applyFont="1" applyBorder="1" applyAlignment="1">
      <alignment horizontal="right" vertical="center"/>
    </xf>
    <xf numFmtId="181" fontId="3" fillId="0" borderId="3" xfId="0" applyNumberFormat="1" applyFont="1" applyBorder="1" applyAlignment="1">
      <alignment horizontal="center" vertical="center"/>
    </xf>
    <xf numFmtId="178" fontId="3" fillId="0" borderId="3" xfId="0" applyNumberFormat="1" applyFont="1" applyBorder="1" applyAlignment="1">
      <alignment horizontal="right" vertical="center"/>
    </xf>
    <xf numFmtId="191" fontId="3" fillId="0" borderId="3" xfId="0" applyNumberFormat="1" applyFont="1" applyBorder="1" applyAlignment="1">
      <alignment horizontal="center" vertical="center"/>
    </xf>
    <xf numFmtId="191" fontId="3" fillId="0" borderId="4" xfId="0" applyNumberFormat="1" applyFont="1" applyBorder="1" applyAlignment="1">
      <alignment horizontal="center" vertical="center"/>
    </xf>
    <xf numFmtId="189" fontId="3" fillId="0" borderId="10" xfId="4" applyNumberFormat="1" applyFont="1" applyBorder="1" applyAlignment="1">
      <alignment horizontal="center"/>
    </xf>
    <xf numFmtId="0" fontId="3" fillId="0" borderId="27" xfId="4" quotePrefix="1" applyFont="1" applyBorder="1"/>
    <xf numFmtId="178" fontId="3" fillId="0" borderId="10" xfId="0" applyNumberFormat="1" applyFont="1" applyBorder="1">
      <alignment vertical="center"/>
    </xf>
    <xf numFmtId="178" fontId="3" fillId="0" borderId="0" xfId="0" applyNumberFormat="1" applyFont="1">
      <alignment vertical="center"/>
    </xf>
    <xf numFmtId="178" fontId="3" fillId="0" borderId="27" xfId="0" applyNumberFormat="1" applyFont="1" applyBorder="1">
      <alignment vertical="center"/>
    </xf>
    <xf numFmtId="190" fontId="3" fillId="0" borderId="27" xfId="0" applyNumberFormat="1" applyFont="1" applyBorder="1" applyAlignment="1">
      <alignment horizontal="center" vertical="center"/>
    </xf>
    <xf numFmtId="178" fontId="3" fillId="0" borderId="9" xfId="0" applyNumberFormat="1" applyFont="1" applyBorder="1" applyAlignment="1">
      <alignment horizontal="right" vertical="center"/>
    </xf>
    <xf numFmtId="181" fontId="3" fillId="0" borderId="27" xfId="0" applyNumberFormat="1" applyFont="1" applyBorder="1" applyAlignment="1">
      <alignment horizontal="center" vertical="center"/>
    </xf>
    <xf numFmtId="178" fontId="3" fillId="0" borderId="27" xfId="0" applyNumberFormat="1" applyFont="1" applyBorder="1" applyAlignment="1">
      <alignment horizontal="right" vertical="center"/>
    </xf>
    <xf numFmtId="191" fontId="3" fillId="0" borderId="27" xfId="0" applyNumberFormat="1" applyFont="1" applyBorder="1" applyAlignment="1">
      <alignment horizontal="center" vertical="center"/>
    </xf>
    <xf numFmtId="191" fontId="3" fillId="0" borderId="9" xfId="0" applyNumberFormat="1" applyFont="1" applyBorder="1" applyAlignment="1">
      <alignment horizontal="center" vertical="center"/>
    </xf>
    <xf numFmtId="189" fontId="3" fillId="0" borderId="10" xfId="4" applyNumberFormat="1" applyFont="1" applyBorder="1"/>
    <xf numFmtId="0" fontId="3" fillId="0" borderId="5" xfId="4" applyFont="1" applyBorder="1"/>
    <xf numFmtId="0" fontId="3" fillId="0" borderId="7" xfId="4" applyFont="1" applyBorder="1"/>
    <xf numFmtId="178" fontId="3" fillId="0" borderId="5" xfId="0" applyNumberFormat="1" applyFont="1" applyBorder="1">
      <alignment vertical="center"/>
    </xf>
    <xf numFmtId="178" fontId="3" fillId="0" borderId="6" xfId="0" applyNumberFormat="1" applyFont="1" applyBorder="1">
      <alignment vertical="center"/>
    </xf>
    <xf numFmtId="178" fontId="3" fillId="0" borderId="7" xfId="0" applyNumberFormat="1" applyFont="1" applyBorder="1">
      <alignment vertical="center"/>
    </xf>
    <xf numFmtId="190" fontId="3" fillId="0" borderId="7" xfId="0" applyNumberFormat="1" applyFont="1" applyBorder="1" applyAlignment="1">
      <alignment horizontal="center" vertical="center"/>
    </xf>
    <xf numFmtId="178" fontId="3" fillId="0" borderId="8" xfId="0" applyNumberFormat="1" applyFont="1" applyBorder="1" applyAlignment="1">
      <alignment horizontal="right" vertical="center"/>
    </xf>
    <xf numFmtId="181" fontId="3" fillId="0" borderId="7" xfId="0" applyNumberFormat="1" applyFont="1" applyBorder="1" applyAlignment="1">
      <alignment horizontal="center" vertical="center"/>
    </xf>
    <xf numFmtId="178" fontId="3" fillId="0" borderId="7" xfId="0" applyNumberFormat="1" applyFont="1" applyBorder="1" applyAlignment="1">
      <alignment horizontal="right" vertical="center"/>
    </xf>
    <xf numFmtId="191" fontId="3" fillId="0" borderId="7" xfId="0" applyNumberFormat="1" applyFont="1" applyBorder="1" applyAlignment="1">
      <alignment horizontal="center" vertical="center"/>
    </xf>
    <xf numFmtId="191" fontId="3" fillId="0" borderId="8" xfId="0" applyNumberFormat="1" applyFont="1" applyBorder="1" applyAlignment="1">
      <alignment horizontal="center" vertical="center"/>
    </xf>
    <xf numFmtId="190" fontId="3" fillId="0" borderId="27" xfId="0" applyNumberFormat="1" applyFont="1" applyBorder="1" applyAlignment="1">
      <alignment horizontal="right" vertical="center"/>
    </xf>
    <xf numFmtId="181" fontId="3" fillId="0" borderId="27" xfId="0" applyNumberFormat="1" applyFont="1" applyBorder="1" applyAlignment="1">
      <alignment horizontal="right" vertical="center"/>
    </xf>
    <xf numFmtId="191" fontId="3" fillId="0" borderId="27" xfId="0" applyNumberFormat="1" applyFont="1" applyBorder="1" applyAlignment="1">
      <alignment horizontal="right" vertical="center"/>
    </xf>
    <xf numFmtId="192" fontId="3" fillId="0" borderId="9" xfId="0" applyNumberFormat="1" applyFont="1" applyBorder="1" applyAlignment="1">
      <alignment horizontal="right" vertical="center"/>
    </xf>
    <xf numFmtId="190" fontId="3" fillId="0" borderId="3" xfId="0" applyNumberFormat="1" applyFont="1" applyBorder="1" applyAlignment="1">
      <alignment horizontal="right" vertical="center"/>
    </xf>
    <xf numFmtId="181" fontId="3" fillId="0" borderId="3" xfId="0" applyNumberFormat="1" applyFont="1" applyBorder="1" applyAlignment="1">
      <alignment horizontal="right" vertical="center"/>
    </xf>
    <xf numFmtId="191" fontId="3" fillId="0" borderId="3" xfId="0" applyNumberFormat="1" applyFont="1" applyBorder="1" applyAlignment="1">
      <alignment horizontal="right" vertical="center"/>
    </xf>
    <xf numFmtId="192" fontId="3" fillId="0" borderId="4" xfId="0" applyNumberFormat="1" applyFont="1" applyBorder="1" applyAlignment="1">
      <alignment horizontal="right" vertical="center"/>
    </xf>
    <xf numFmtId="190" fontId="3" fillId="0" borderId="7" xfId="0" applyNumberFormat="1" applyFont="1" applyBorder="1" applyAlignment="1">
      <alignment horizontal="right" vertical="center"/>
    </xf>
    <xf numFmtId="181" fontId="3" fillId="0" borderId="7" xfId="0" applyNumberFormat="1" applyFont="1" applyBorder="1" applyAlignment="1">
      <alignment horizontal="right" vertical="center"/>
    </xf>
    <xf numFmtId="191" fontId="3" fillId="0" borderId="7" xfId="0" applyNumberFormat="1" applyFont="1" applyBorder="1" applyAlignment="1">
      <alignment horizontal="right" vertical="center"/>
    </xf>
    <xf numFmtId="192" fontId="3" fillId="0" borderId="8" xfId="0" applyNumberFormat="1" applyFont="1" applyBorder="1" applyAlignment="1">
      <alignment horizontal="right" vertical="center"/>
    </xf>
    <xf numFmtId="178" fontId="3" fillId="0" borderId="4" xfId="0" applyNumberFormat="1" applyFont="1" applyBorder="1">
      <alignment vertical="center"/>
    </xf>
    <xf numFmtId="190" fontId="3" fillId="0" borderId="4" xfId="0" applyNumberFormat="1" applyFont="1" applyBorder="1" applyAlignment="1">
      <alignment horizontal="right" vertical="center"/>
    </xf>
    <xf numFmtId="181" fontId="3" fillId="0" borderId="4" xfId="0" applyNumberFormat="1" applyFont="1" applyBorder="1" applyAlignment="1">
      <alignment horizontal="right" vertical="center"/>
    </xf>
    <xf numFmtId="191" fontId="3" fillId="0" borderId="4" xfId="0" applyNumberFormat="1" applyFont="1" applyBorder="1" applyAlignment="1">
      <alignment horizontal="right" vertical="center"/>
    </xf>
    <xf numFmtId="178" fontId="3" fillId="0" borderId="9" xfId="0" applyNumberFormat="1" applyFont="1" applyBorder="1">
      <alignment vertical="center"/>
    </xf>
    <xf numFmtId="190" fontId="3" fillId="0" borderId="9" xfId="0" applyNumberFormat="1" applyFont="1" applyBorder="1" applyAlignment="1">
      <alignment horizontal="right" vertical="center"/>
    </xf>
    <xf numFmtId="181" fontId="3" fillId="0" borderId="9" xfId="0" applyNumberFormat="1" applyFont="1" applyBorder="1" applyAlignment="1">
      <alignment horizontal="right" vertical="center"/>
    </xf>
    <xf numFmtId="191" fontId="3" fillId="0" borderId="9" xfId="0" applyNumberFormat="1" applyFont="1" applyBorder="1" applyAlignment="1">
      <alignment horizontal="right" vertical="center"/>
    </xf>
    <xf numFmtId="178" fontId="3" fillId="0" borderId="8" xfId="0" applyNumberFormat="1" applyFont="1" applyBorder="1">
      <alignment vertical="center"/>
    </xf>
    <xf numFmtId="190" fontId="3" fillId="0" borderId="8" xfId="0" applyNumberFormat="1" applyFont="1" applyBorder="1" applyAlignment="1">
      <alignment horizontal="right" vertical="center"/>
    </xf>
    <xf numFmtId="181" fontId="3" fillId="0" borderId="8" xfId="0" applyNumberFormat="1" applyFont="1" applyBorder="1" applyAlignment="1">
      <alignment horizontal="right" vertical="center"/>
    </xf>
    <xf numFmtId="191" fontId="3" fillId="0" borderId="8" xfId="0" applyNumberFormat="1" applyFont="1" applyBorder="1" applyAlignment="1">
      <alignment horizontal="right" vertical="center"/>
    </xf>
    <xf numFmtId="56" fontId="3" fillId="0" borderId="2" xfId="4" quotePrefix="1" applyNumberFormat="1" applyFont="1" applyBorder="1"/>
    <xf numFmtId="0" fontId="3" fillId="0" borderId="0" xfId="4" quotePrefix="1" applyFont="1"/>
    <xf numFmtId="0" fontId="3" fillId="0" borderId="6" xfId="4" applyFont="1" applyBorder="1"/>
    <xf numFmtId="181" fontId="3" fillId="0" borderId="0" xfId="0" applyNumberFormat="1" applyFont="1" applyAlignment="1">
      <alignment horizontal="right" vertical="center"/>
    </xf>
    <xf numFmtId="191" fontId="3" fillId="0" borderId="0" xfId="0" applyNumberFormat="1" applyFont="1" applyAlignment="1">
      <alignment horizontal="right" vertical="center"/>
    </xf>
    <xf numFmtId="181" fontId="3" fillId="0" borderId="10" xfId="0" applyNumberFormat="1" applyFont="1" applyBorder="1" applyAlignment="1">
      <alignment horizontal="right" vertical="center"/>
    </xf>
    <xf numFmtId="181" fontId="3" fillId="0" borderId="5" xfId="0" applyNumberFormat="1" applyFont="1" applyBorder="1" applyAlignment="1">
      <alignment horizontal="right" vertical="center"/>
    </xf>
    <xf numFmtId="181" fontId="3" fillId="0" borderId="6" xfId="0" applyNumberFormat="1" applyFont="1" applyBorder="1" applyAlignment="1">
      <alignment horizontal="right" vertical="center"/>
    </xf>
    <xf numFmtId="191" fontId="3" fillId="0" borderId="6" xfId="0" applyNumberFormat="1" applyFont="1" applyBorder="1" applyAlignment="1">
      <alignment horizontal="right" vertical="center"/>
    </xf>
    <xf numFmtId="178" fontId="3" fillId="0" borderId="0" xfId="0" applyNumberFormat="1" applyFont="1" applyAlignment="1">
      <alignment horizontal="right" vertical="center"/>
    </xf>
    <xf numFmtId="178" fontId="3" fillId="0" borderId="5" xfId="0" applyNumberFormat="1" applyFont="1" applyBorder="1" applyAlignment="1">
      <alignment horizontal="right" vertical="center"/>
    </xf>
    <xf numFmtId="178" fontId="3" fillId="0" borderId="6" xfId="0" applyNumberFormat="1" applyFont="1" applyBorder="1" applyAlignment="1">
      <alignment horizontal="right" vertical="center"/>
    </xf>
    <xf numFmtId="38" fontId="3" fillId="0" borderId="4" xfId="1" applyFont="1" applyFill="1" applyBorder="1">
      <alignment vertical="center"/>
    </xf>
    <xf numFmtId="38" fontId="3" fillId="0" borderId="1" xfId="1" applyFont="1" applyFill="1" applyBorder="1">
      <alignment vertical="center"/>
    </xf>
    <xf numFmtId="38" fontId="3" fillId="0" borderId="2" xfId="1" applyFont="1" applyFill="1" applyBorder="1">
      <alignment vertical="center"/>
    </xf>
    <xf numFmtId="38" fontId="3" fillId="0" borderId="3" xfId="1" applyFont="1" applyFill="1" applyBorder="1">
      <alignment vertical="center"/>
    </xf>
    <xf numFmtId="193" fontId="3" fillId="0" borderId="3" xfId="0" applyNumberFormat="1" applyFont="1" applyBorder="1" applyAlignment="1">
      <alignment horizontal="right" vertical="center"/>
    </xf>
    <xf numFmtId="38" fontId="3" fillId="0" borderId="1" xfId="1" applyFont="1" applyFill="1" applyBorder="1" applyAlignment="1">
      <alignment horizontal="right" vertical="center"/>
    </xf>
    <xf numFmtId="38" fontId="3" fillId="0" borderId="2" xfId="1" applyFont="1" applyFill="1" applyBorder="1" applyAlignment="1">
      <alignment horizontal="right" vertical="center"/>
    </xf>
    <xf numFmtId="191" fontId="3" fillId="0" borderId="2" xfId="0" applyNumberFormat="1" applyFont="1" applyBorder="1" applyAlignment="1">
      <alignment horizontal="right" vertical="center"/>
    </xf>
    <xf numFmtId="0" fontId="3" fillId="0" borderId="27" xfId="4" applyFont="1" applyBorder="1"/>
    <xf numFmtId="38" fontId="3" fillId="0" borderId="9" xfId="1" applyFont="1" applyFill="1" applyBorder="1">
      <alignment vertical="center"/>
    </xf>
    <xf numFmtId="38" fontId="3" fillId="0" borderId="10" xfId="1" applyFont="1" applyFill="1" applyBorder="1">
      <alignment vertical="center"/>
    </xf>
    <xf numFmtId="38" fontId="3" fillId="0" borderId="0" xfId="1" applyFont="1" applyFill="1" applyBorder="1">
      <alignment vertical="center"/>
    </xf>
    <xf numFmtId="38" fontId="3" fillId="0" borderId="27" xfId="1" applyFont="1" applyFill="1" applyBorder="1">
      <alignment vertical="center"/>
    </xf>
    <xf numFmtId="193" fontId="3" fillId="0" borderId="27" xfId="0" applyNumberFormat="1" applyFont="1" applyBorder="1" applyAlignment="1">
      <alignment horizontal="right" vertical="center"/>
    </xf>
    <xf numFmtId="38" fontId="3" fillId="0" borderId="10" xfId="1" applyFont="1" applyFill="1" applyBorder="1" applyAlignment="1">
      <alignment horizontal="right" vertical="center"/>
    </xf>
    <xf numFmtId="38" fontId="3" fillId="0" borderId="0" xfId="1" applyFont="1" applyFill="1" applyBorder="1" applyAlignment="1">
      <alignment horizontal="right" vertical="center"/>
    </xf>
    <xf numFmtId="189" fontId="3" fillId="0" borderId="5" xfId="4" applyNumberFormat="1" applyFont="1" applyBorder="1" applyAlignment="1">
      <alignment horizontal="center"/>
    </xf>
    <xf numFmtId="38" fontId="3" fillId="0" borderId="8" xfId="1" applyFont="1" applyFill="1" applyBorder="1">
      <alignment vertical="center"/>
    </xf>
    <xf numFmtId="38" fontId="3" fillId="0" borderId="5" xfId="1" applyFont="1" applyFill="1" applyBorder="1">
      <alignment vertical="center"/>
    </xf>
    <xf numFmtId="38" fontId="3" fillId="0" borderId="6" xfId="1" applyFont="1" applyFill="1" applyBorder="1">
      <alignment vertical="center"/>
    </xf>
    <xf numFmtId="38" fontId="3" fillId="0" borderId="7" xfId="1" applyFont="1" applyFill="1" applyBorder="1">
      <alignment vertical="center"/>
    </xf>
    <xf numFmtId="38" fontId="3" fillId="0" borderId="5" xfId="1" applyFont="1" applyFill="1" applyBorder="1" applyAlignment="1">
      <alignment horizontal="right" vertical="center"/>
    </xf>
    <xf numFmtId="38" fontId="3" fillId="0" borderId="6" xfId="1" applyFont="1" applyFill="1" applyBorder="1" applyAlignment="1">
      <alignment horizontal="right" vertical="center"/>
    </xf>
    <xf numFmtId="0" fontId="3" fillId="0" borderId="10" xfId="4" applyFont="1" applyBorder="1"/>
    <xf numFmtId="181" fontId="3" fillId="0" borderId="10" xfId="0" applyNumberFormat="1" applyFont="1" applyBorder="1">
      <alignment vertical="center"/>
    </xf>
    <xf numFmtId="181" fontId="3" fillId="0" borderId="0" xfId="0" applyNumberFormat="1" applyFont="1">
      <alignment vertical="center"/>
    </xf>
    <xf numFmtId="191" fontId="3" fillId="0" borderId="9" xfId="0" applyNumberFormat="1" applyFont="1" applyBorder="1">
      <alignment vertical="center"/>
    </xf>
    <xf numFmtId="191" fontId="3" fillId="0" borderId="0" xfId="0" applyNumberFormat="1" applyFont="1">
      <alignment vertical="center"/>
    </xf>
    <xf numFmtId="192" fontId="3" fillId="0" borderId="9" xfId="0" applyNumberFormat="1" applyFont="1" applyBorder="1">
      <alignment vertical="center"/>
    </xf>
    <xf numFmtId="181" fontId="3" fillId="0" borderId="5" xfId="0" applyNumberFormat="1" applyFont="1" applyBorder="1">
      <alignment vertical="center"/>
    </xf>
    <xf numFmtId="181" fontId="3" fillId="0" borderId="6" xfId="0" applyNumberFormat="1" applyFont="1" applyBorder="1">
      <alignment vertical="center"/>
    </xf>
    <xf numFmtId="191" fontId="3" fillId="0" borderId="8" xfId="0" applyNumberFormat="1" applyFont="1" applyBorder="1">
      <alignment vertical="center"/>
    </xf>
    <xf numFmtId="191" fontId="3" fillId="0" borderId="6" xfId="0" applyNumberFormat="1" applyFont="1" applyBorder="1">
      <alignment vertical="center"/>
    </xf>
    <xf numFmtId="181" fontId="3" fillId="0" borderId="7" xfId="0" applyNumberFormat="1" applyFont="1" applyBorder="1">
      <alignment vertical="center"/>
    </xf>
    <xf numFmtId="189" fontId="3" fillId="0" borderId="0" xfId="4" applyNumberFormat="1" applyFont="1" applyAlignment="1">
      <alignment horizontal="center"/>
    </xf>
    <xf numFmtId="190" fontId="3" fillId="0" borderId="0" xfId="0" applyNumberFormat="1" applyFont="1">
      <alignment vertical="center"/>
    </xf>
    <xf numFmtId="0" fontId="3" fillId="0" borderId="1" xfId="0" applyFont="1" applyBorder="1" applyAlignment="1">
      <alignment horizontal="center" vertical="center" wrapText="1"/>
    </xf>
    <xf numFmtId="0" fontId="3" fillId="0" borderId="3" xfId="0" applyFont="1" applyBorder="1" applyAlignment="1">
      <alignment horizontal="center" vertical="top" wrapText="1"/>
    </xf>
    <xf numFmtId="0" fontId="3" fillId="0" borderId="10" xfId="0" applyFont="1" applyBorder="1" applyAlignment="1">
      <alignment horizontal="center" vertical="center" wrapText="1"/>
    </xf>
    <xf numFmtId="0" fontId="3" fillId="0" borderId="27" xfId="0" applyFont="1" applyBorder="1" applyAlignment="1">
      <alignment horizontal="center" vertical="top" wrapText="1"/>
    </xf>
    <xf numFmtId="0" fontId="3" fillId="0" borderId="7" xfId="0" applyFont="1" applyBorder="1" applyAlignment="1">
      <alignment vertical="top" wrapText="1"/>
    </xf>
    <xf numFmtId="189" fontId="3" fillId="0" borderId="27" xfId="4" applyNumberFormat="1" applyFont="1" applyBorder="1" applyAlignment="1">
      <alignment horizontal="center"/>
    </xf>
    <xf numFmtId="190" fontId="3" fillId="0" borderId="9" xfId="0" applyNumberFormat="1" applyFont="1" applyBorder="1" applyAlignment="1">
      <alignment horizontal="center" vertical="center"/>
    </xf>
    <xf numFmtId="181" fontId="3" fillId="0" borderId="0" xfId="0" applyNumberFormat="1" applyFont="1" applyAlignment="1">
      <alignment horizontal="center" vertical="center"/>
    </xf>
    <xf numFmtId="191" fontId="3" fillId="0" borderId="0" xfId="0" applyNumberFormat="1" applyFont="1" applyAlignment="1">
      <alignment horizontal="center" vertical="center"/>
    </xf>
    <xf numFmtId="181" fontId="3" fillId="0" borderId="9" xfId="0" applyNumberFormat="1" applyFont="1" applyBorder="1" applyAlignment="1">
      <alignment horizontal="center" vertical="center"/>
    </xf>
    <xf numFmtId="190" fontId="3" fillId="0" borderId="9" xfId="0" applyNumberFormat="1" applyFont="1" applyBorder="1">
      <alignment vertical="center"/>
    </xf>
    <xf numFmtId="178" fontId="3" fillId="0" borderId="10" xfId="0" applyNumberFormat="1" applyFont="1" applyBorder="1" applyAlignment="1">
      <alignment horizontal="right" vertical="center"/>
    </xf>
    <xf numFmtId="0" fontId="3" fillId="0" borderId="10" xfId="0" applyFont="1" applyBorder="1" applyAlignment="1">
      <alignment horizontal="right" vertical="center"/>
    </xf>
    <xf numFmtId="191" fontId="3" fillId="0" borderId="10" xfId="0" applyNumberFormat="1" applyFont="1" applyBorder="1" applyAlignment="1">
      <alignment horizontal="right" vertical="center"/>
    </xf>
    <xf numFmtId="38" fontId="3" fillId="0" borderId="9" xfId="1" applyFont="1" applyFill="1" applyBorder="1" applyAlignment="1">
      <alignment horizontal="right" vertical="center"/>
    </xf>
    <xf numFmtId="178" fontId="3" fillId="0" borderId="9" xfId="6" applyNumberFormat="1" applyBorder="1">
      <alignment vertical="center"/>
    </xf>
    <xf numFmtId="178" fontId="3" fillId="0" borderId="10" xfId="6" applyNumberFormat="1" applyBorder="1">
      <alignment vertical="center"/>
    </xf>
    <xf numFmtId="178" fontId="3" fillId="0" borderId="0" xfId="6" applyNumberFormat="1">
      <alignment vertical="center"/>
    </xf>
    <xf numFmtId="178" fontId="3" fillId="0" borderId="27" xfId="6" applyNumberFormat="1" applyBorder="1">
      <alignment vertical="center"/>
    </xf>
    <xf numFmtId="190" fontId="3" fillId="0" borderId="9" xfId="6" applyNumberFormat="1" applyBorder="1">
      <alignment vertical="center"/>
    </xf>
    <xf numFmtId="0" fontId="3" fillId="0" borderId="0" xfId="6">
      <alignment vertical="center"/>
    </xf>
    <xf numFmtId="178" fontId="3" fillId="0" borderId="9" xfId="6" applyNumberFormat="1" applyBorder="1" applyAlignment="1">
      <alignment horizontal="right" vertical="center"/>
    </xf>
    <xf numFmtId="181" fontId="3" fillId="0" borderId="9" xfId="6" applyNumberFormat="1" applyBorder="1" applyAlignment="1">
      <alignment horizontal="right" vertical="center"/>
    </xf>
    <xf numFmtId="181" fontId="3" fillId="0" borderId="27" xfId="6" applyNumberFormat="1" applyBorder="1" applyAlignment="1">
      <alignment horizontal="right" vertical="center"/>
    </xf>
    <xf numFmtId="191" fontId="3" fillId="0" borderId="9" xfId="6" applyNumberFormat="1" applyBorder="1" applyAlignment="1">
      <alignment horizontal="right" vertical="center"/>
    </xf>
    <xf numFmtId="191" fontId="3" fillId="0" borderId="27" xfId="6" applyNumberFormat="1" applyBorder="1" applyAlignment="1">
      <alignment horizontal="right" vertical="center"/>
    </xf>
    <xf numFmtId="0" fontId="3" fillId="0" borderId="9" xfId="6" applyBorder="1">
      <alignment vertical="center"/>
    </xf>
    <xf numFmtId="181" fontId="3" fillId="0" borderId="10" xfId="6" applyNumberFormat="1" applyBorder="1" applyAlignment="1">
      <alignment horizontal="right" vertical="center"/>
    </xf>
    <xf numFmtId="190" fontId="3" fillId="0" borderId="10" xfId="6" applyNumberFormat="1" applyBorder="1">
      <alignment vertical="center"/>
    </xf>
    <xf numFmtId="0" fontId="3" fillId="0" borderId="10" xfId="6" applyBorder="1">
      <alignment vertical="center"/>
    </xf>
    <xf numFmtId="191" fontId="3" fillId="0" borderId="0" xfId="6" applyNumberFormat="1" applyAlignment="1">
      <alignment horizontal="right" vertical="center"/>
    </xf>
    <xf numFmtId="189" fontId="3" fillId="0" borderId="7" xfId="4" applyNumberFormat="1" applyFont="1" applyBorder="1" applyAlignment="1">
      <alignment horizontal="center"/>
    </xf>
    <xf numFmtId="178" fontId="3" fillId="0" borderId="8" xfId="6" applyNumberFormat="1" applyBorder="1">
      <alignment vertical="center"/>
    </xf>
    <xf numFmtId="178" fontId="3" fillId="0" borderId="5" xfId="6" applyNumberFormat="1" applyBorder="1">
      <alignment vertical="center"/>
    </xf>
    <xf numFmtId="178" fontId="3" fillId="0" borderId="6" xfId="6" applyNumberFormat="1" applyBorder="1">
      <alignment vertical="center"/>
    </xf>
    <xf numFmtId="178" fontId="3" fillId="0" borderId="8" xfId="6" applyNumberFormat="1" applyBorder="1" applyAlignment="1">
      <alignment horizontal="right" vertical="center"/>
    </xf>
    <xf numFmtId="181" fontId="3" fillId="0" borderId="8" xfId="6" applyNumberFormat="1" applyBorder="1" applyAlignment="1">
      <alignment horizontal="right" vertical="center"/>
    </xf>
    <xf numFmtId="191" fontId="3" fillId="0" borderId="8" xfId="6" applyNumberFormat="1" applyBorder="1" applyAlignment="1">
      <alignment horizontal="right" vertical="center"/>
    </xf>
    <xf numFmtId="189" fontId="3" fillId="0" borderId="2" xfId="4" applyNumberFormat="1" applyFont="1" applyBorder="1" applyAlignment="1">
      <alignment horizontal="center"/>
    </xf>
    <xf numFmtId="0" fontId="3" fillId="0" borderId="2" xfId="0" applyFont="1" applyBorder="1">
      <alignment vertical="center"/>
    </xf>
    <xf numFmtId="0" fontId="3" fillId="9" borderId="1" xfId="0" applyFont="1" applyFill="1" applyBorder="1" applyAlignment="1">
      <alignment horizontal="center" vertical="center"/>
    </xf>
    <xf numFmtId="0" fontId="3" fillId="9" borderId="10" xfId="0" applyFont="1" applyFill="1" applyBorder="1" applyAlignment="1">
      <alignment horizontal="center" vertical="center"/>
    </xf>
    <xf numFmtId="0" fontId="3" fillId="9" borderId="5" xfId="0" applyFont="1" applyFill="1" applyBorder="1" applyAlignment="1">
      <alignment horizontal="center" vertical="center"/>
    </xf>
    <xf numFmtId="178" fontId="3" fillId="9" borderId="9" xfId="0" applyNumberFormat="1" applyFont="1" applyFill="1" applyBorder="1">
      <alignment vertical="center"/>
    </xf>
    <xf numFmtId="181" fontId="3" fillId="0" borderId="9" xfId="0" applyNumberFormat="1" applyFont="1" applyBorder="1">
      <alignment vertical="center"/>
    </xf>
    <xf numFmtId="0" fontId="3" fillId="0" borderId="10" xfId="0" applyFont="1" applyBorder="1">
      <alignment vertical="center"/>
    </xf>
    <xf numFmtId="178" fontId="3" fillId="9" borderId="8" xfId="0" applyNumberFormat="1" applyFont="1" applyFill="1" applyBorder="1">
      <alignment vertical="center"/>
    </xf>
    <xf numFmtId="181" fontId="3" fillId="0" borderId="8" xfId="0" applyNumberFormat="1" applyFont="1" applyBorder="1">
      <alignment vertical="center"/>
    </xf>
    <xf numFmtId="181" fontId="6" fillId="0" borderId="0" xfId="1" applyNumberFormat="1" applyFont="1" applyAlignment="1"/>
    <xf numFmtId="38" fontId="12" fillId="7" borderId="9" xfId="1" applyFont="1" applyFill="1" applyBorder="1" applyAlignment="1"/>
    <xf numFmtId="178" fontId="3" fillId="7" borderId="63" xfId="1" applyNumberFormat="1" applyFont="1" applyFill="1" applyBorder="1" applyAlignment="1"/>
    <xf numFmtId="14" fontId="7" fillId="9" borderId="0" xfId="0" applyNumberFormat="1" applyFont="1" applyFill="1">
      <alignment vertical="center"/>
    </xf>
    <xf numFmtId="0" fontId="6" fillId="9" borderId="2" xfId="0" applyFont="1" applyFill="1" applyBorder="1" applyAlignment="1">
      <alignment horizontal="center" vertical="center"/>
    </xf>
    <xf numFmtId="178" fontId="3" fillId="9" borderId="6" xfId="0" applyNumberFormat="1" applyFont="1" applyFill="1" applyBorder="1" applyAlignment="1">
      <alignment horizontal="center"/>
    </xf>
    <xf numFmtId="38" fontId="6" fillId="9" borderId="0" xfId="1" applyFont="1" applyFill="1">
      <alignment vertical="center"/>
    </xf>
    <xf numFmtId="38" fontId="6" fillId="9" borderId="2" xfId="1" applyFont="1" applyFill="1" applyBorder="1">
      <alignment vertical="center"/>
    </xf>
    <xf numFmtId="38" fontId="6" fillId="9" borderId="0" xfId="1" applyFont="1" applyFill="1" applyBorder="1">
      <alignment vertical="center"/>
    </xf>
    <xf numFmtId="38" fontId="6" fillId="9" borderId="6" xfId="1" applyFont="1" applyFill="1" applyBorder="1">
      <alignment vertical="center"/>
    </xf>
    <xf numFmtId="38" fontId="6" fillId="9" borderId="15" xfId="1" applyFont="1" applyFill="1" applyBorder="1">
      <alignment vertical="center"/>
    </xf>
    <xf numFmtId="0" fontId="6" fillId="3" borderId="2" xfId="0" applyFont="1" applyFill="1" applyBorder="1" applyAlignment="1">
      <alignment horizontal="center" vertical="center"/>
    </xf>
    <xf numFmtId="178" fontId="3" fillId="3" borderId="6" xfId="0" applyNumberFormat="1" applyFont="1" applyFill="1" applyBorder="1" applyAlignment="1">
      <alignment horizontal="center"/>
    </xf>
    <xf numFmtId="38" fontId="6" fillId="3" borderId="9" xfId="1" applyFont="1" applyFill="1" applyBorder="1">
      <alignment vertical="center"/>
    </xf>
    <xf numFmtId="38" fontId="6" fillId="3" borderId="16" xfId="1" applyFont="1" applyFill="1" applyBorder="1">
      <alignment vertical="center"/>
    </xf>
    <xf numFmtId="0" fontId="6" fillId="3" borderId="8"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8" xfId="0" applyFont="1" applyFill="1" applyBorder="1" applyAlignment="1">
      <alignment horizontal="center" vertical="center"/>
    </xf>
    <xf numFmtId="0" fontId="6" fillId="3" borderId="4" xfId="0" applyFont="1" applyFill="1" applyBorder="1" applyAlignment="1">
      <alignment horizontal="center" vertical="center"/>
    </xf>
    <xf numFmtId="38" fontId="6" fillId="2" borderId="63" xfId="1" applyFont="1" applyFill="1" applyBorder="1">
      <alignment vertical="center"/>
    </xf>
    <xf numFmtId="38" fontId="6" fillId="0" borderId="63" xfId="1" applyFont="1" applyBorder="1">
      <alignment vertical="center"/>
    </xf>
    <xf numFmtId="0" fontId="7" fillId="0" borderId="62" xfId="4" applyBorder="1"/>
    <xf numFmtId="0" fontId="7" fillId="0" borderId="0" xfId="4"/>
    <xf numFmtId="189" fontId="7" fillId="0" borderId="10" xfId="4" applyNumberFormat="1" applyBorder="1" applyAlignment="1">
      <alignment horizontal="center"/>
    </xf>
    <xf numFmtId="0" fontId="7" fillId="0" borderId="0" xfId="4" quotePrefix="1"/>
    <xf numFmtId="189" fontId="7" fillId="0" borderId="62" xfId="4" applyNumberFormat="1" applyBorder="1" applyAlignment="1">
      <alignment horizontal="center"/>
    </xf>
    <xf numFmtId="0" fontId="7" fillId="0" borderId="6" xfId="4" applyBorder="1"/>
    <xf numFmtId="0" fontId="7" fillId="0" borderId="2" xfId="4" applyBorder="1"/>
    <xf numFmtId="0" fontId="3" fillId="0" borderId="62" xfId="0" applyFont="1" applyBorder="1" applyAlignment="1"/>
    <xf numFmtId="38" fontId="6" fillId="7" borderId="63" xfId="1" applyFont="1" applyFill="1" applyBorder="1">
      <alignment vertical="center"/>
    </xf>
    <xf numFmtId="38" fontId="6" fillId="3" borderId="63" xfId="1" applyFont="1" applyFill="1" applyBorder="1">
      <alignment vertical="center"/>
    </xf>
    <xf numFmtId="0" fontId="12" fillId="0" borderId="63" xfId="0" applyFont="1" applyBorder="1">
      <alignment vertical="center"/>
    </xf>
    <xf numFmtId="177" fontId="6" fillId="0" borderId="63" xfId="1" applyNumberFormat="1" applyFont="1" applyBorder="1">
      <alignment vertical="center"/>
    </xf>
    <xf numFmtId="0" fontId="3" fillId="11" borderId="62" xfId="0" applyFont="1" applyFill="1" applyBorder="1" applyAlignment="1"/>
    <xf numFmtId="199" fontId="3" fillId="0" borderId="0" xfId="1" applyNumberFormat="1" applyFont="1" applyFill="1">
      <alignment vertical="center"/>
    </xf>
    <xf numFmtId="199" fontId="3" fillId="0" borderId="9" xfId="1" applyNumberFormat="1" applyFont="1" applyFill="1" applyBorder="1">
      <alignment vertical="center"/>
    </xf>
    <xf numFmtId="199" fontId="3" fillId="0" borderId="9" xfId="0" applyNumberFormat="1" applyFont="1" applyBorder="1">
      <alignment vertical="center"/>
    </xf>
    <xf numFmtId="199" fontId="3" fillId="0" borderId="0" xfId="1" applyNumberFormat="1" applyFont="1" applyFill="1" applyBorder="1">
      <alignment vertical="center"/>
    </xf>
    <xf numFmtId="199" fontId="3" fillId="0" borderId="0" xfId="1" applyNumberFormat="1" applyFont="1" applyFill="1" applyBorder="1" applyAlignment="1"/>
    <xf numFmtId="199" fontId="3" fillId="0" borderId="9" xfId="1" applyNumberFormat="1" applyFont="1" applyFill="1" applyBorder="1" applyAlignment="1"/>
    <xf numFmtId="0" fontId="6" fillId="2" borderId="6" xfId="0" applyFont="1" applyFill="1" applyBorder="1" applyAlignment="1">
      <alignment horizontal="center" vertical="center"/>
    </xf>
    <xf numFmtId="185" fontId="6" fillId="2" borderId="0" xfId="1" applyNumberFormat="1" applyFont="1" applyFill="1">
      <alignment vertical="center"/>
    </xf>
    <xf numFmtId="185" fontId="6" fillId="2" borderId="2" xfId="1" applyNumberFormat="1" applyFont="1" applyFill="1" applyBorder="1">
      <alignment vertical="center"/>
    </xf>
    <xf numFmtId="185" fontId="6" fillId="2" borderId="0" xfId="1" applyNumberFormat="1" applyFont="1" applyFill="1" applyBorder="1">
      <alignment vertical="center"/>
    </xf>
    <xf numFmtId="185" fontId="6" fillId="2" borderId="6" xfId="1" applyNumberFormat="1" applyFont="1" applyFill="1" applyBorder="1">
      <alignment vertical="center"/>
    </xf>
    <xf numFmtId="185" fontId="6" fillId="2" borderId="15" xfId="1" applyNumberFormat="1" applyFont="1" applyFill="1" applyBorder="1">
      <alignment vertical="center"/>
    </xf>
    <xf numFmtId="0" fontId="6" fillId="0" borderId="4" xfId="0" applyFont="1" applyBorder="1">
      <alignment vertical="center"/>
    </xf>
    <xf numFmtId="0" fontId="3" fillId="0" borderId="0" xfId="0" applyFont="1" applyAlignment="1">
      <alignment horizontal="center" vertical="center"/>
    </xf>
    <xf numFmtId="38" fontId="3" fillId="0" borderId="9" xfId="1" applyFont="1" applyBorder="1">
      <alignment vertical="center"/>
    </xf>
    <xf numFmtId="0" fontId="3" fillId="7" borderId="9" xfId="0" applyFont="1" applyFill="1" applyBorder="1" applyAlignment="1">
      <alignment horizontal="center" vertical="center"/>
    </xf>
    <xf numFmtId="0" fontId="3" fillId="7" borderId="6" xfId="0" applyFont="1" applyFill="1" applyBorder="1">
      <alignment vertical="center"/>
    </xf>
    <xf numFmtId="0" fontId="6" fillId="7" borderId="2" xfId="0" applyFont="1" applyFill="1" applyBorder="1" applyAlignment="1">
      <alignment horizontal="center" vertical="center"/>
    </xf>
    <xf numFmtId="0" fontId="6" fillId="7" borderId="6" xfId="0" applyFont="1" applyFill="1" applyBorder="1" applyAlignment="1">
      <alignment horizontal="center" vertical="center"/>
    </xf>
    <xf numFmtId="185" fontId="6" fillId="7" borderId="0" xfId="1" applyNumberFormat="1" applyFont="1" applyFill="1">
      <alignment vertical="center"/>
    </xf>
    <xf numFmtId="185" fontId="6" fillId="7" borderId="2" xfId="1" applyNumberFormat="1" applyFont="1" applyFill="1" applyBorder="1">
      <alignment vertical="center"/>
    </xf>
    <xf numFmtId="185" fontId="6" fillId="7" borderId="0" xfId="1" applyNumberFormat="1" applyFont="1" applyFill="1" applyBorder="1">
      <alignment vertical="center"/>
    </xf>
    <xf numFmtId="185" fontId="6" fillId="7" borderId="6" xfId="1" applyNumberFormat="1" applyFont="1" applyFill="1" applyBorder="1">
      <alignment vertical="center"/>
    </xf>
    <xf numFmtId="0" fontId="3" fillId="0" borderId="62" xfId="0" applyFont="1" applyBorder="1" applyAlignment="1">
      <alignment horizontal="center" vertical="center"/>
    </xf>
    <xf numFmtId="0" fontId="6" fillId="0" borderId="62" xfId="0" applyFont="1" applyBorder="1">
      <alignment vertical="center"/>
    </xf>
    <xf numFmtId="0" fontId="3" fillId="0" borderId="63" xfId="0" applyFont="1" applyBorder="1" applyAlignment="1">
      <alignment horizontal="center" vertical="center"/>
    </xf>
    <xf numFmtId="0" fontId="3" fillId="0" borderId="8" xfId="0" applyFont="1" applyBorder="1">
      <alignment vertical="center"/>
    </xf>
    <xf numFmtId="0" fontId="6" fillId="0" borderId="63" xfId="0" applyFont="1" applyBorder="1">
      <alignment vertical="center"/>
    </xf>
    <xf numFmtId="185" fontId="6" fillId="3" borderId="0" xfId="1" applyNumberFormat="1" applyFont="1" applyFill="1">
      <alignment vertical="center"/>
    </xf>
    <xf numFmtId="185" fontId="6" fillId="3" borderId="0" xfId="1" applyNumberFormat="1" applyFont="1" applyFill="1" applyBorder="1">
      <alignment vertical="center"/>
    </xf>
    <xf numFmtId="0" fontId="3" fillId="0" borderId="16" xfId="0" applyFont="1" applyBorder="1" applyAlignment="1">
      <alignment horizontal="center" vertical="center" wrapText="1"/>
    </xf>
    <xf numFmtId="0" fontId="3" fillId="7" borderId="4"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3"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center" vertical="center"/>
    </xf>
    <xf numFmtId="38" fontId="6" fillId="2" borderId="63" xfId="0" applyNumberFormat="1" applyFont="1" applyFill="1" applyBorder="1" applyAlignment="1">
      <alignment horizontal="center" vertical="center" wrapText="1"/>
    </xf>
    <xf numFmtId="38" fontId="3" fillId="2" borderId="63" xfId="0" applyNumberFormat="1"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 xfId="1" applyNumberFormat="1" applyFont="1" applyFill="1" applyBorder="1">
      <alignment vertical="center"/>
    </xf>
    <xf numFmtId="0" fontId="6" fillId="2" borderId="3" xfId="0" applyFont="1" applyFill="1" applyBorder="1">
      <alignment vertical="center"/>
    </xf>
    <xf numFmtId="188" fontId="6" fillId="2" borderId="4" xfId="0" applyNumberFormat="1" applyFont="1" applyFill="1" applyBorder="1">
      <alignment vertical="center"/>
    </xf>
    <xf numFmtId="179" fontId="6" fillId="2" borderId="4" xfId="0" applyNumberFormat="1" applyFont="1" applyFill="1" applyBorder="1">
      <alignment vertical="center"/>
    </xf>
    <xf numFmtId="0" fontId="3" fillId="2" borderId="62" xfId="1" applyNumberFormat="1" applyFont="1" applyFill="1" applyBorder="1">
      <alignment vertical="center"/>
    </xf>
    <xf numFmtId="0" fontId="6" fillId="2" borderId="27" xfId="0" applyFont="1" applyFill="1" applyBorder="1">
      <alignment vertical="center"/>
    </xf>
    <xf numFmtId="188" fontId="6" fillId="2" borderId="63" xfId="0" applyNumberFormat="1" applyFont="1" applyFill="1" applyBorder="1">
      <alignment vertical="center"/>
    </xf>
    <xf numFmtId="179" fontId="6" fillId="2" borderId="63" xfId="0" applyNumberFormat="1" applyFont="1" applyFill="1" applyBorder="1">
      <alignment vertical="center"/>
    </xf>
    <xf numFmtId="0" fontId="3" fillId="2" borderId="5" xfId="1" applyNumberFormat="1" applyFont="1" applyFill="1" applyBorder="1">
      <alignment vertical="center"/>
    </xf>
    <xf numFmtId="0" fontId="6" fillId="2" borderId="7" xfId="0" applyFont="1" applyFill="1" applyBorder="1">
      <alignment vertical="center"/>
    </xf>
    <xf numFmtId="188" fontId="6" fillId="2" borderId="8" xfId="0" applyNumberFormat="1" applyFont="1" applyFill="1" applyBorder="1">
      <alignment vertical="center"/>
    </xf>
    <xf numFmtId="179" fontId="6" fillId="2" borderId="8" xfId="0" applyNumberFormat="1" applyFont="1" applyFill="1" applyBorder="1">
      <alignment vertical="center"/>
    </xf>
    <xf numFmtId="0" fontId="6" fillId="2" borderId="1" xfId="1" applyNumberFormat="1" applyFont="1" applyFill="1" applyBorder="1">
      <alignment vertical="center"/>
    </xf>
    <xf numFmtId="0" fontId="6" fillId="2" borderId="62" xfId="1" applyNumberFormat="1" applyFont="1" applyFill="1" applyBorder="1">
      <alignment vertical="center"/>
    </xf>
    <xf numFmtId="0" fontId="6" fillId="2" borderId="5" xfId="1" applyNumberFormat="1" applyFont="1" applyFill="1" applyBorder="1">
      <alignment vertical="center"/>
    </xf>
    <xf numFmtId="177" fontId="6" fillId="2" borderId="4" xfId="1" applyNumberFormat="1" applyFont="1" applyFill="1" applyBorder="1">
      <alignment vertical="center"/>
    </xf>
    <xf numFmtId="177" fontId="6" fillId="2" borderId="63" xfId="1" applyNumberFormat="1" applyFont="1" applyFill="1" applyBorder="1">
      <alignment vertical="center"/>
    </xf>
    <xf numFmtId="177" fontId="6" fillId="2" borderId="8" xfId="1" applyNumberFormat="1" applyFont="1" applyFill="1" applyBorder="1">
      <alignment vertical="center"/>
    </xf>
    <xf numFmtId="0" fontId="6" fillId="7" borderId="5" xfId="1" applyNumberFormat="1" applyFont="1" applyFill="1" applyBorder="1">
      <alignment vertical="center"/>
    </xf>
    <xf numFmtId="0" fontId="6" fillId="7" borderId="7" xfId="0" applyFont="1" applyFill="1" applyBorder="1">
      <alignment vertical="center"/>
    </xf>
    <xf numFmtId="188" fontId="6" fillId="7" borderId="8" xfId="0" applyNumberFormat="1" applyFont="1" applyFill="1" applyBorder="1">
      <alignment vertical="center"/>
    </xf>
    <xf numFmtId="38" fontId="3" fillId="2" borderId="4" xfId="1" applyFont="1" applyFill="1" applyBorder="1">
      <alignment vertical="center"/>
    </xf>
    <xf numFmtId="38" fontId="3" fillId="2" borderId="63" xfId="1" applyFont="1" applyFill="1" applyBorder="1">
      <alignment vertical="center"/>
    </xf>
    <xf numFmtId="38" fontId="3" fillId="2" borderId="8" xfId="1" applyFont="1" applyFill="1" applyBorder="1">
      <alignment vertical="center"/>
    </xf>
    <xf numFmtId="188" fontId="6" fillId="9" borderId="4" xfId="0" applyNumberFormat="1" applyFont="1" applyFill="1" applyBorder="1">
      <alignment vertical="center"/>
    </xf>
    <xf numFmtId="0" fontId="3" fillId="0" borderId="1" xfId="0" applyFont="1" applyBorder="1">
      <alignment vertical="center"/>
    </xf>
    <xf numFmtId="177" fontId="3" fillId="2" borderId="4" xfId="1" applyNumberFormat="1" applyFont="1" applyFill="1" applyBorder="1">
      <alignment vertical="center"/>
    </xf>
    <xf numFmtId="0" fontId="3" fillId="0" borderId="62" xfId="0" applyFont="1" applyBorder="1">
      <alignment vertical="center"/>
    </xf>
    <xf numFmtId="0" fontId="3" fillId="0" borderId="63" xfId="0" applyFont="1" applyBorder="1">
      <alignment vertical="center"/>
    </xf>
    <xf numFmtId="177" fontId="3" fillId="2" borderId="63" xfId="1" applyNumberFormat="1" applyFont="1" applyFill="1" applyBorder="1">
      <alignment vertical="center"/>
    </xf>
    <xf numFmtId="0" fontId="3" fillId="7" borderId="62" xfId="0" applyFont="1" applyFill="1" applyBorder="1">
      <alignment vertical="center"/>
    </xf>
    <xf numFmtId="0" fontId="6" fillId="7" borderId="63" xfId="0" applyFont="1" applyFill="1" applyBorder="1">
      <alignment vertical="center"/>
    </xf>
    <xf numFmtId="0" fontId="3" fillId="9" borderId="62" xfId="0" applyFont="1" applyFill="1" applyBorder="1">
      <alignment vertical="center"/>
    </xf>
    <xf numFmtId="0" fontId="6" fillId="9" borderId="63" xfId="0" applyFont="1" applyFill="1" applyBorder="1">
      <alignment vertical="center"/>
    </xf>
    <xf numFmtId="0" fontId="3" fillId="2" borderId="62" xfId="0" applyFont="1" applyFill="1" applyBorder="1">
      <alignment vertical="center"/>
    </xf>
    <xf numFmtId="0" fontId="6" fillId="2" borderId="63" xfId="0" applyFont="1" applyFill="1" applyBorder="1">
      <alignment vertical="center"/>
    </xf>
    <xf numFmtId="0" fontId="3" fillId="3" borderId="5" xfId="0" applyFont="1" applyFill="1" applyBorder="1">
      <alignment vertical="center"/>
    </xf>
    <xf numFmtId="0" fontId="3" fillId="3" borderId="6" xfId="0" applyFont="1" applyFill="1" applyBorder="1">
      <alignment vertical="center"/>
    </xf>
    <xf numFmtId="177" fontId="3" fillId="2" borderId="8" xfId="1" applyNumberFormat="1" applyFont="1" applyFill="1" applyBorder="1">
      <alignment vertical="center"/>
    </xf>
    <xf numFmtId="38" fontId="3" fillId="2" borderId="1" xfId="1" applyFont="1" applyFill="1" applyBorder="1">
      <alignment vertical="center"/>
    </xf>
    <xf numFmtId="38" fontId="3" fillId="2" borderId="62" xfId="1" applyFont="1" applyFill="1" applyBorder="1">
      <alignment vertical="center"/>
    </xf>
    <xf numFmtId="38" fontId="3" fillId="2" borderId="5" xfId="1" applyFont="1" applyFill="1" applyBorder="1">
      <alignment vertical="center"/>
    </xf>
    <xf numFmtId="199" fontId="3" fillId="9" borderId="9" xfId="0" applyNumberFormat="1" applyFont="1" applyFill="1" applyBorder="1">
      <alignment vertical="center"/>
    </xf>
    <xf numFmtId="199" fontId="3" fillId="9" borderId="62" xfId="0" applyNumberFormat="1" applyFont="1" applyFill="1" applyBorder="1">
      <alignment vertical="center"/>
    </xf>
    <xf numFmtId="199" fontId="6" fillId="9" borderId="63" xfId="0" applyNumberFormat="1" applyFont="1" applyFill="1" applyBorder="1">
      <alignment vertical="center"/>
    </xf>
    <xf numFmtId="199" fontId="3" fillId="9" borderId="0" xfId="0" applyNumberFormat="1" applyFont="1" applyFill="1">
      <alignment vertical="center"/>
    </xf>
    <xf numFmtId="199" fontId="3" fillId="9" borderId="63" xfId="0" applyNumberFormat="1" applyFont="1" applyFill="1" applyBorder="1">
      <alignment vertical="center"/>
    </xf>
    <xf numFmtId="199" fontId="3" fillId="2" borderId="9" xfId="0" applyNumberFormat="1" applyFont="1" applyFill="1" applyBorder="1">
      <alignment vertical="center"/>
    </xf>
    <xf numFmtId="199" fontId="3" fillId="2" borderId="62" xfId="0" applyNumberFormat="1" applyFont="1" applyFill="1" applyBorder="1">
      <alignment vertical="center"/>
    </xf>
    <xf numFmtId="199" fontId="6" fillId="2" borderId="63" xfId="0" applyNumberFormat="1" applyFont="1" applyFill="1" applyBorder="1">
      <alignment vertical="center"/>
    </xf>
    <xf numFmtId="199" fontId="3" fillId="2" borderId="0" xfId="0" applyNumberFormat="1" applyFont="1" applyFill="1">
      <alignment vertical="center"/>
    </xf>
    <xf numFmtId="199" fontId="3" fillId="2" borderId="63" xfId="0" applyNumberFormat="1" applyFont="1" applyFill="1" applyBorder="1">
      <alignment vertical="center"/>
    </xf>
    <xf numFmtId="0" fontId="3" fillId="2" borderId="63" xfId="0" applyFont="1" applyFill="1" applyBorder="1" applyAlignment="1">
      <alignment horizontal="center" vertical="center"/>
    </xf>
    <xf numFmtId="0" fontId="3" fillId="2" borderId="8" xfId="0" applyFont="1" applyFill="1" applyBorder="1">
      <alignment vertical="center"/>
    </xf>
    <xf numFmtId="178" fontId="3" fillId="9" borderId="63" xfId="1" applyNumberFormat="1" applyFont="1" applyFill="1" applyBorder="1" applyAlignment="1"/>
    <xf numFmtId="38" fontId="6" fillId="0" borderId="0" xfId="1" applyFont="1" applyAlignment="1"/>
    <xf numFmtId="177" fontId="6" fillId="0" borderId="0" xfId="1" applyNumberFormat="1" applyFont="1">
      <alignment vertical="center"/>
    </xf>
    <xf numFmtId="189" fontId="7" fillId="0" borderId="0" xfId="4" applyNumberFormat="1" applyAlignment="1">
      <alignment horizontal="center"/>
    </xf>
    <xf numFmtId="0" fontId="7" fillId="7" borderId="0" xfId="4" quotePrefix="1" applyFill="1"/>
    <xf numFmtId="189" fontId="7" fillId="0" borderId="6" xfId="4" applyNumberFormat="1" applyBorder="1" applyAlignment="1">
      <alignment horizontal="center"/>
    </xf>
    <xf numFmtId="178" fontId="10" fillId="9" borderId="0" xfId="0" applyNumberFormat="1" applyFont="1" applyFill="1" applyAlignment="1"/>
    <xf numFmtId="178" fontId="6" fillId="9" borderId="0" xfId="0" applyNumberFormat="1" applyFont="1" applyFill="1">
      <alignment vertical="center"/>
    </xf>
    <xf numFmtId="0" fontId="4" fillId="9" borderId="0" xfId="0" applyFont="1" applyFill="1" applyAlignment="1"/>
    <xf numFmtId="0" fontId="6" fillId="9" borderId="0" xfId="0" applyFont="1" applyFill="1" applyAlignment="1"/>
    <xf numFmtId="38" fontId="7" fillId="0" borderId="4" xfId="1" applyFont="1" applyBorder="1">
      <alignment vertical="center"/>
    </xf>
    <xf numFmtId="38" fontId="7" fillId="0" borderId="1" xfId="1" applyFont="1" applyBorder="1">
      <alignment vertical="center"/>
    </xf>
    <xf numFmtId="38" fontId="7" fillId="0" borderId="2" xfId="1" applyFont="1" applyBorder="1">
      <alignment vertical="center"/>
    </xf>
    <xf numFmtId="38" fontId="7" fillId="0" borderId="3" xfId="1" applyFont="1" applyBorder="1">
      <alignment vertical="center"/>
    </xf>
    <xf numFmtId="38" fontId="7" fillId="0" borderId="9" xfId="1" applyFont="1" applyBorder="1">
      <alignment vertical="center"/>
    </xf>
    <xf numFmtId="38" fontId="7" fillId="0" borderId="62" xfId="1" applyFont="1" applyBorder="1">
      <alignment vertical="center"/>
    </xf>
    <xf numFmtId="38" fontId="7" fillId="0" borderId="0" xfId="1" applyFont="1">
      <alignment vertical="center"/>
    </xf>
    <xf numFmtId="38" fontId="7" fillId="0" borderId="27" xfId="1" applyFont="1" applyBorder="1">
      <alignment vertical="center"/>
    </xf>
    <xf numFmtId="38" fontId="7" fillId="0" borderId="63" xfId="1" applyFont="1" applyBorder="1">
      <alignment vertical="center"/>
    </xf>
    <xf numFmtId="38" fontId="7" fillId="28" borderId="0" xfId="1" applyFont="1" applyFill="1">
      <alignment vertical="center"/>
    </xf>
    <xf numFmtId="177" fontId="7" fillId="0" borderId="4" xfId="1" applyNumberFormat="1" applyFont="1" applyBorder="1" applyAlignment="1">
      <alignment horizontal="right" vertical="center"/>
    </xf>
    <xf numFmtId="177" fontId="7" fillId="0" borderId="9" xfId="1" applyNumberFormat="1" applyFont="1" applyBorder="1" applyAlignment="1">
      <alignment horizontal="right" vertical="center"/>
    </xf>
    <xf numFmtId="177" fontId="7" fillId="0" borderId="63" xfId="1" applyNumberFormat="1" applyFont="1" applyBorder="1" applyAlignment="1">
      <alignment horizontal="right" vertical="center"/>
    </xf>
    <xf numFmtId="177" fontId="7" fillId="0" borderId="2" xfId="1" applyNumberFormat="1" applyFont="1" applyBorder="1" applyAlignment="1">
      <alignment horizontal="right" vertical="center"/>
    </xf>
    <xf numFmtId="177" fontId="7" fillId="0" borderId="0" xfId="1" applyNumberFormat="1" applyFont="1" applyAlignment="1">
      <alignment horizontal="right" vertical="center"/>
    </xf>
    <xf numFmtId="177" fontId="6" fillId="0" borderId="2" xfId="1" applyNumberFormat="1" applyFont="1" applyBorder="1">
      <alignment vertical="center"/>
    </xf>
    <xf numFmtId="177" fontId="6" fillId="0" borderId="6" xfId="1" applyNumberFormat="1" applyFont="1" applyBorder="1">
      <alignment vertical="center"/>
    </xf>
    <xf numFmtId="38" fontId="3" fillId="0" borderId="0" xfId="0" applyNumberFormat="1" applyFont="1">
      <alignment vertical="center"/>
    </xf>
    <xf numFmtId="0" fontId="3" fillId="0" borderId="15" xfId="0" applyFont="1" applyBorder="1">
      <alignment vertical="center"/>
    </xf>
    <xf numFmtId="0" fontId="3" fillId="0" borderId="32" xfId="0" applyFont="1" applyBorder="1">
      <alignment vertical="center"/>
    </xf>
    <xf numFmtId="0" fontId="3" fillId="9" borderId="15" xfId="0" applyFont="1" applyFill="1" applyBorder="1">
      <alignment vertical="center"/>
    </xf>
    <xf numFmtId="189" fontId="3" fillId="9" borderId="32" xfId="4" applyNumberFormat="1" applyFont="1" applyFill="1" applyBorder="1" applyAlignment="1">
      <alignment horizontal="center"/>
    </xf>
    <xf numFmtId="178" fontId="6" fillId="9" borderId="15" xfId="0" applyNumberFormat="1" applyFont="1" applyFill="1" applyBorder="1">
      <alignment vertical="center"/>
    </xf>
    <xf numFmtId="0" fontId="6" fillId="9" borderId="4" xfId="0" applyFont="1" applyFill="1" applyBorder="1">
      <alignment vertical="center"/>
    </xf>
    <xf numFmtId="0" fontId="3" fillId="9" borderId="63" xfId="0" applyFont="1" applyFill="1" applyBorder="1" applyAlignment="1">
      <alignment horizontal="center" vertical="center"/>
    </xf>
    <xf numFmtId="0" fontId="3" fillId="9" borderId="8" xfId="0" applyFont="1" applyFill="1" applyBorder="1">
      <alignment vertical="center"/>
    </xf>
    <xf numFmtId="0" fontId="6" fillId="2" borderId="3" xfId="0" applyFont="1" applyFill="1" applyBorder="1" applyAlignment="1">
      <alignment horizontal="center" vertical="center"/>
    </xf>
    <xf numFmtId="0" fontId="6" fillId="2" borderId="27" xfId="0" applyFont="1" applyFill="1" applyBorder="1" applyAlignment="1">
      <alignment horizontal="center" vertical="center"/>
    </xf>
    <xf numFmtId="185" fontId="3" fillId="2" borderId="0" xfId="1" applyNumberFormat="1" applyFont="1" applyFill="1" applyBorder="1">
      <alignment vertical="center"/>
    </xf>
    <xf numFmtId="185" fontId="3" fillId="2" borderId="2" xfId="1" applyNumberFormat="1" applyFont="1" applyFill="1" applyBorder="1">
      <alignment vertical="center"/>
    </xf>
    <xf numFmtId="185" fontId="3" fillId="2" borderId="6" xfId="1" applyNumberFormat="1" applyFont="1" applyFill="1" applyBorder="1">
      <alignment vertical="center"/>
    </xf>
    <xf numFmtId="0" fontId="6" fillId="7" borderId="0" xfId="0" applyFont="1" applyFill="1">
      <alignment vertical="center"/>
    </xf>
    <xf numFmtId="38" fontId="3" fillId="9" borderId="16" xfId="1" applyFont="1" applyFill="1" applyBorder="1">
      <alignment vertical="center"/>
    </xf>
    <xf numFmtId="0" fontId="3" fillId="7" borderId="5" xfId="0" applyFont="1" applyFill="1" applyBorder="1">
      <alignment vertical="center"/>
    </xf>
    <xf numFmtId="0" fontId="3" fillId="0" borderId="3" xfId="0" applyFont="1" applyBorder="1" applyAlignment="1">
      <alignment horizontal="center" vertical="center" wrapText="1"/>
    </xf>
    <xf numFmtId="0" fontId="3" fillId="0" borderId="27" xfId="0" applyFont="1" applyBorder="1">
      <alignment vertical="center"/>
    </xf>
    <xf numFmtId="0" fontId="3" fillId="7" borderId="10" xfId="0" applyFont="1" applyFill="1" applyBorder="1">
      <alignment vertical="center"/>
    </xf>
    <xf numFmtId="0" fontId="6" fillId="7" borderId="27" xfId="0" applyFont="1" applyFill="1" applyBorder="1">
      <alignment vertical="center"/>
    </xf>
    <xf numFmtId="0" fontId="3" fillId="7" borderId="27" xfId="0" applyFont="1" applyFill="1" applyBorder="1">
      <alignment vertical="center"/>
    </xf>
    <xf numFmtId="0" fontId="3" fillId="7" borderId="7" xfId="0" applyFont="1" applyFill="1" applyBorder="1">
      <alignment vertical="center"/>
    </xf>
    <xf numFmtId="0" fontId="3" fillId="0" borderId="14" xfId="0" applyFont="1" applyBorder="1">
      <alignment vertical="center"/>
    </xf>
    <xf numFmtId="0" fontId="3" fillId="9" borderId="9" xfId="0" applyFont="1" applyFill="1" applyBorder="1" applyAlignment="1">
      <alignment horizontal="center" vertical="center"/>
    </xf>
    <xf numFmtId="0" fontId="3" fillId="9" borderId="8" xfId="0" applyFont="1" applyFill="1" applyBorder="1" applyAlignment="1">
      <alignment horizontal="center" vertical="center"/>
    </xf>
    <xf numFmtId="178" fontId="3" fillId="9" borderId="0" xfId="0" applyNumberFormat="1" applyFont="1" applyFill="1">
      <alignment vertical="center"/>
    </xf>
    <xf numFmtId="178" fontId="3" fillId="9" borderId="6" xfId="0" applyNumberFormat="1" applyFont="1" applyFill="1" applyBorder="1">
      <alignment vertical="center"/>
    </xf>
    <xf numFmtId="199" fontId="3" fillId="0" borderId="2" xfId="1" applyNumberFormat="1" applyFont="1" applyFill="1" applyBorder="1">
      <alignment vertical="center"/>
    </xf>
    <xf numFmtId="199" fontId="3" fillId="0" borderId="4" xfId="1" applyNumberFormat="1" applyFont="1" applyFill="1" applyBorder="1">
      <alignment vertical="center"/>
    </xf>
    <xf numFmtId="199" fontId="3" fillId="0" borderId="4" xfId="0" applyNumberFormat="1" applyFont="1" applyBorder="1">
      <alignment vertical="center"/>
    </xf>
    <xf numFmtId="199" fontId="3" fillId="9" borderId="4" xfId="0" applyNumberFormat="1" applyFont="1" applyFill="1" applyBorder="1">
      <alignment vertical="center"/>
    </xf>
    <xf numFmtId="199" fontId="3" fillId="9" borderId="1" xfId="0" applyNumberFormat="1" applyFont="1" applyFill="1" applyBorder="1">
      <alignment vertical="center"/>
    </xf>
    <xf numFmtId="199" fontId="6" fillId="9" borderId="4" xfId="0" applyNumberFormat="1" applyFont="1" applyFill="1" applyBorder="1">
      <alignment vertical="center"/>
    </xf>
    <xf numFmtId="199" fontId="3" fillId="9" borderId="2" xfId="0" applyNumberFormat="1" applyFont="1" applyFill="1" applyBorder="1">
      <alignment vertical="center"/>
    </xf>
    <xf numFmtId="199" fontId="3" fillId="9" borderId="10" xfId="0" applyNumberFormat="1" applyFont="1" applyFill="1" applyBorder="1">
      <alignment vertical="center"/>
    </xf>
    <xf numFmtId="199" fontId="6" fillId="9" borderId="9" xfId="0" applyNumberFormat="1" applyFont="1" applyFill="1" applyBorder="1">
      <alignment vertical="center"/>
    </xf>
    <xf numFmtId="199" fontId="3" fillId="0" borderId="6" xfId="1" applyNumberFormat="1" applyFont="1" applyFill="1" applyBorder="1">
      <alignment vertical="center"/>
    </xf>
    <xf numFmtId="199" fontId="3" fillId="0" borderId="8" xfId="1" applyNumberFormat="1" applyFont="1" applyFill="1" applyBorder="1">
      <alignment vertical="center"/>
    </xf>
    <xf numFmtId="199" fontId="3" fillId="0" borderId="8" xfId="0" applyNumberFormat="1" applyFont="1" applyBorder="1">
      <alignment vertical="center"/>
    </xf>
    <xf numFmtId="199" fontId="3" fillId="9" borderId="8" xfId="0" applyNumberFormat="1" applyFont="1" applyFill="1" applyBorder="1">
      <alignment vertical="center"/>
    </xf>
    <xf numFmtId="199" fontId="3" fillId="9" borderId="5" xfId="0" applyNumberFormat="1" applyFont="1" applyFill="1" applyBorder="1">
      <alignment vertical="center"/>
    </xf>
    <xf numFmtId="199" fontId="6" fillId="9" borderId="8" xfId="0" applyNumberFormat="1" applyFont="1" applyFill="1" applyBorder="1">
      <alignment vertical="center"/>
    </xf>
    <xf numFmtId="199" fontId="3" fillId="9" borderId="6" xfId="0" applyNumberFormat="1" applyFont="1" applyFill="1" applyBorder="1">
      <alignment vertical="center"/>
    </xf>
    <xf numFmtId="0" fontId="6" fillId="9" borderId="4" xfId="0" applyFont="1" applyFill="1" applyBorder="1" applyAlignment="1">
      <alignment horizontal="center" vertical="center" wrapText="1"/>
    </xf>
    <xf numFmtId="0" fontId="3" fillId="9" borderId="4" xfId="0" applyFont="1" applyFill="1" applyBorder="1" applyAlignment="1">
      <alignment horizontal="center" vertical="center" wrapText="1"/>
    </xf>
    <xf numFmtId="199" fontId="3" fillId="0" borderId="15" xfId="1" applyNumberFormat="1" applyFont="1" applyFill="1" applyBorder="1">
      <alignment vertical="center"/>
    </xf>
    <xf numFmtId="199" fontId="3" fillId="0" borderId="16" xfId="1" applyNumberFormat="1" applyFont="1" applyFill="1" applyBorder="1">
      <alignment vertical="center"/>
    </xf>
    <xf numFmtId="199" fontId="3" fillId="0" borderId="16" xfId="0" applyNumberFormat="1" applyFont="1" applyBorder="1">
      <alignment vertical="center"/>
    </xf>
    <xf numFmtId="199" fontId="3" fillId="9" borderId="16" xfId="0" applyNumberFormat="1" applyFont="1" applyFill="1" applyBorder="1">
      <alignment vertical="center"/>
    </xf>
    <xf numFmtId="199" fontId="3" fillId="9" borderId="14" xfId="0" applyNumberFormat="1" applyFont="1" applyFill="1" applyBorder="1">
      <alignment vertical="center"/>
    </xf>
    <xf numFmtId="199" fontId="6" fillId="9" borderId="16" xfId="0" applyNumberFormat="1" applyFont="1" applyFill="1" applyBorder="1">
      <alignment vertical="center"/>
    </xf>
    <xf numFmtId="199" fontId="3" fillId="9" borderId="15" xfId="0" applyNumberFormat="1" applyFont="1" applyFill="1" applyBorder="1">
      <alignment vertical="center"/>
    </xf>
    <xf numFmtId="199" fontId="3" fillId="3" borderId="4" xfId="0" applyNumberFormat="1" applyFont="1" applyFill="1" applyBorder="1">
      <alignment vertical="center"/>
    </xf>
    <xf numFmtId="199" fontId="3" fillId="3" borderId="1" xfId="0" applyNumberFormat="1" applyFont="1" applyFill="1" applyBorder="1">
      <alignment vertical="center"/>
    </xf>
    <xf numFmtId="199" fontId="6" fillId="3" borderId="4" xfId="0" applyNumberFormat="1" applyFont="1" applyFill="1" applyBorder="1">
      <alignment vertical="center"/>
    </xf>
    <xf numFmtId="199" fontId="3" fillId="3" borderId="2" xfId="0" applyNumberFormat="1" applyFont="1" applyFill="1" applyBorder="1">
      <alignment vertical="center"/>
    </xf>
    <xf numFmtId="199" fontId="3" fillId="3" borderId="8" xfId="0" applyNumberFormat="1" applyFont="1" applyFill="1" applyBorder="1">
      <alignment vertical="center"/>
    </xf>
    <xf numFmtId="199" fontId="3" fillId="3" borderId="5" xfId="0" applyNumberFormat="1" applyFont="1" applyFill="1" applyBorder="1">
      <alignment vertical="center"/>
    </xf>
    <xf numFmtId="199" fontId="6" fillId="3" borderId="8" xfId="0" applyNumberFormat="1" applyFont="1" applyFill="1" applyBorder="1">
      <alignment vertical="center"/>
    </xf>
    <xf numFmtId="199" fontId="3" fillId="3" borderId="6" xfId="0" applyNumberFormat="1" applyFont="1" applyFill="1" applyBorder="1">
      <alignment vertical="center"/>
    </xf>
    <xf numFmtId="0" fontId="3" fillId="9" borderId="14" xfId="0" applyFont="1" applyFill="1" applyBorder="1" applyAlignment="1">
      <alignment horizontal="center" vertical="center"/>
    </xf>
    <xf numFmtId="0" fontId="6" fillId="3" borderId="0" xfId="0" applyFont="1" applyFill="1">
      <alignment vertical="center"/>
    </xf>
    <xf numFmtId="38" fontId="3" fillId="3" borderId="0" xfId="1" applyFont="1" applyFill="1" applyBorder="1">
      <alignment vertical="center"/>
    </xf>
    <xf numFmtId="38" fontId="3" fillId="3" borderId="9" xfId="1" applyFont="1" applyFill="1" applyBorder="1">
      <alignment vertical="center"/>
    </xf>
    <xf numFmtId="0" fontId="6" fillId="3" borderId="62" xfId="0" applyFont="1" applyFill="1" applyBorder="1">
      <alignment vertical="center"/>
    </xf>
    <xf numFmtId="0" fontId="6" fillId="3" borderId="63" xfId="0" applyFont="1" applyFill="1" applyBorder="1">
      <alignment vertical="center"/>
    </xf>
    <xf numFmtId="0" fontId="6" fillId="3" borderId="8" xfId="0" applyFont="1" applyFill="1" applyBorder="1">
      <alignment vertical="center"/>
    </xf>
    <xf numFmtId="0" fontId="6" fillId="3" borderId="5" xfId="0" applyFont="1" applyFill="1" applyBorder="1">
      <alignment vertical="center"/>
    </xf>
    <xf numFmtId="0" fontId="6" fillId="3" borderId="6" xfId="0" applyFont="1" applyFill="1" applyBorder="1">
      <alignment vertical="center"/>
    </xf>
    <xf numFmtId="0" fontId="4" fillId="0" borderId="0" xfId="0" applyFont="1" applyAlignment="1"/>
    <xf numFmtId="0" fontId="3" fillId="0" borderId="14" xfId="0" applyFont="1" applyBorder="1" applyAlignment="1"/>
    <xf numFmtId="0" fontId="3" fillId="0" borderId="32" xfId="0" applyFont="1" applyBorder="1" applyAlignment="1"/>
    <xf numFmtId="49" fontId="3" fillId="2" borderId="5" xfId="2" applyNumberFormat="1" applyFill="1" applyBorder="1" applyAlignment="1">
      <alignment horizontal="center" vertical="center" wrapText="1"/>
    </xf>
    <xf numFmtId="0" fontId="3" fillId="2" borderId="6" xfId="2" applyFill="1" applyBorder="1" applyAlignment="1">
      <alignment horizontal="center" vertical="center" wrapText="1"/>
    </xf>
    <xf numFmtId="0" fontId="3"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27"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9" xfId="0" applyFont="1" applyFill="1" applyBorder="1" applyAlignment="1">
      <alignment horizontal="center" vertical="center"/>
    </xf>
    <xf numFmtId="0" fontId="7" fillId="24" borderId="8" xfId="0" applyFont="1" applyFill="1" applyBorder="1" applyAlignment="1">
      <alignment horizontal="center" vertical="center"/>
    </xf>
    <xf numFmtId="0" fontId="7" fillId="25" borderId="1" xfId="0" applyFont="1" applyFill="1" applyBorder="1" applyAlignment="1">
      <alignment horizontal="center" vertical="center"/>
    </xf>
    <xf numFmtId="0" fontId="7" fillId="25" borderId="2" xfId="0" applyFont="1" applyFill="1" applyBorder="1" applyAlignment="1">
      <alignment horizontal="center" vertical="center"/>
    </xf>
    <xf numFmtId="0" fontId="7" fillId="25" borderId="3" xfId="0" applyFont="1" applyFill="1" applyBorder="1" applyAlignment="1">
      <alignment horizontal="center" vertical="center"/>
    </xf>
    <xf numFmtId="0" fontId="7" fillId="25" borderId="62" xfId="0" applyFont="1" applyFill="1" applyBorder="1" applyAlignment="1">
      <alignment horizontal="center" vertical="center"/>
    </xf>
    <xf numFmtId="0" fontId="7" fillId="25" borderId="0" xfId="0" applyFont="1" applyFill="1" applyAlignment="1">
      <alignment horizontal="center" vertical="center"/>
    </xf>
    <xf numFmtId="0" fontId="7" fillId="25" borderId="27" xfId="0" applyFont="1" applyFill="1" applyBorder="1" applyAlignment="1">
      <alignment horizontal="center"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4"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8" xfId="0" applyFont="1" applyFill="1" applyBorder="1" applyAlignment="1">
      <alignment horizontal="center" vertical="center"/>
    </xf>
    <xf numFmtId="0" fontId="7" fillId="26" borderId="4" xfId="0" applyFont="1" applyFill="1" applyBorder="1" applyAlignment="1">
      <alignment horizontal="center" vertical="center"/>
    </xf>
    <xf numFmtId="0" fontId="7" fillId="26" borderId="9" xfId="0" applyFont="1" applyFill="1" applyBorder="1" applyAlignment="1">
      <alignment horizontal="center" vertical="center"/>
    </xf>
    <xf numFmtId="0" fontId="7" fillId="26" borderId="8"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62" xfId="0" applyFont="1" applyFill="1" applyBorder="1" applyAlignment="1">
      <alignment horizontal="center" vertical="center"/>
    </xf>
    <xf numFmtId="0" fontId="7" fillId="3" borderId="5" xfId="0" applyFont="1" applyFill="1" applyBorder="1" applyAlignment="1">
      <alignment horizontal="center" vertical="center"/>
    </xf>
    <xf numFmtId="0" fontId="7" fillId="24" borderId="4" xfId="0" applyFont="1" applyFill="1" applyBorder="1" applyAlignment="1">
      <alignment horizontal="center" vertical="center" wrapText="1"/>
    </xf>
    <xf numFmtId="0" fontId="7" fillId="24" borderId="9" xfId="0" applyFont="1" applyFill="1" applyBorder="1" applyAlignment="1">
      <alignment horizontal="center" vertical="center" wrapText="1"/>
    </xf>
    <xf numFmtId="0" fontId="7" fillId="24" borderId="8" xfId="0" applyFont="1" applyFill="1" applyBorder="1" applyAlignment="1">
      <alignment horizontal="center" vertical="center" wrapText="1"/>
    </xf>
    <xf numFmtId="0" fontId="7" fillId="26" borderId="4" xfId="0" applyFont="1" applyFill="1" applyBorder="1" applyAlignment="1">
      <alignment horizontal="center" vertical="center" wrapText="1"/>
    </xf>
    <xf numFmtId="0" fontId="7" fillId="26" borderId="9"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7" fillId="25" borderId="62" xfId="0" applyFont="1" applyFill="1" applyBorder="1" applyAlignment="1">
      <alignment horizontal="center" vertical="center" wrapText="1"/>
    </xf>
    <xf numFmtId="0" fontId="7" fillId="25" borderId="5" xfId="0" applyFont="1" applyFill="1" applyBorder="1" applyAlignment="1">
      <alignment horizontal="center" vertical="center" wrapText="1"/>
    </xf>
    <xf numFmtId="0" fontId="7" fillId="0" borderId="6" xfId="0" applyFont="1" applyBorder="1">
      <alignment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0" xfId="0" applyFont="1" applyFill="1" applyAlignment="1">
      <alignment horizontal="center" vertical="center"/>
    </xf>
    <xf numFmtId="0" fontId="7" fillId="3" borderId="27"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23" borderId="4" xfId="0" applyFont="1" applyFill="1" applyBorder="1" applyAlignment="1">
      <alignment horizontal="center" vertical="center" wrapText="1"/>
    </xf>
    <xf numFmtId="0" fontId="7" fillId="23" borderId="9" xfId="0" applyFont="1" applyFill="1" applyBorder="1" applyAlignment="1">
      <alignment horizontal="center" vertical="center" wrapText="1"/>
    </xf>
    <xf numFmtId="0" fontId="7" fillId="23" borderId="8"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4"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8" xfId="0" applyFont="1" applyFill="1" applyBorder="1" applyAlignment="1">
      <alignment horizontal="center" vertical="center"/>
    </xf>
    <xf numFmtId="0" fontId="7" fillId="23" borderId="4" xfId="0" applyFont="1" applyFill="1" applyBorder="1" applyAlignment="1">
      <alignment horizontal="center" vertical="center"/>
    </xf>
    <xf numFmtId="0" fontId="7" fillId="23" borderId="9" xfId="0" applyFont="1" applyFill="1" applyBorder="1" applyAlignment="1">
      <alignment horizontal="center" vertical="center"/>
    </xf>
    <xf numFmtId="0" fontId="7" fillId="23" borderId="8"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5" xfId="0" applyFont="1" applyBorder="1" applyAlignment="1">
      <alignment horizontal="center" vertical="center" wrapText="1"/>
    </xf>
    <xf numFmtId="0" fontId="6" fillId="4" borderId="4"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0" borderId="10" xfId="0" applyFont="1" applyBorder="1">
      <alignment vertical="center"/>
    </xf>
    <xf numFmtId="0" fontId="6" fillId="0" borderId="0" xfId="0" applyFont="1">
      <alignment vertical="center"/>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3" fillId="0" borderId="63" xfId="0" applyFont="1" applyBorder="1" applyAlignment="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3" fillId="0" borderId="9" xfId="0" applyFont="1" applyBorder="1" applyAlignment="1"/>
    <xf numFmtId="38" fontId="3" fillId="9" borderId="3" xfId="1" applyFont="1" applyFill="1" applyBorder="1" applyAlignment="1"/>
    <xf numFmtId="38" fontId="3" fillId="9" borderId="27" xfId="1" applyFont="1" applyFill="1" applyBorder="1" applyAlignment="1"/>
    <xf numFmtId="38" fontId="6" fillId="9" borderId="7" xfId="1" applyFont="1" applyFill="1" applyBorder="1">
      <alignment vertical="center"/>
    </xf>
  </cellXfs>
  <cellStyles count="8">
    <cellStyle name="ハイパーリンク" xfId="7" builtinId="8"/>
    <cellStyle name="桁区切り" xfId="1" builtinId="6"/>
    <cellStyle name="標準" xfId="0" builtinId="0"/>
    <cellStyle name="標準 2 2 2" xfId="2" xr:uid="{C7EFA666-D33D-4FB0-8020-4797289F36BF}"/>
    <cellStyle name="標準_H12年表部門分類表" xfId="3" xr:uid="{610C8272-AF4C-406D-849B-06061BB52D86}"/>
    <cellStyle name="標準_季節調整(実質)" xfId="5" xr:uid="{DDE7A546-91C9-4851-BC2D-71B64207FDF8}"/>
    <cellStyle name="標準_産出額推計WS（兵庫県）" xfId="6" xr:uid="{E7A863CF-2221-43A1-801E-E049BFE2FBF9}"/>
    <cellStyle name="標準_四半期予測" xfId="4" xr:uid="{EF85C566-4C78-433A-8806-35918B3FAFC2}"/>
  </cellStyles>
  <dxfs count="16">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22</xdr:col>
      <xdr:colOff>123826</xdr:colOff>
      <xdr:row>0</xdr:row>
      <xdr:rowOff>47625</xdr:rowOff>
    </xdr:from>
    <xdr:to>
      <xdr:col>22</xdr:col>
      <xdr:colOff>1533525</xdr:colOff>
      <xdr:row>4</xdr:row>
      <xdr:rowOff>66675</xdr:rowOff>
    </xdr:to>
    <xdr:sp macro="" textlink="">
      <xdr:nvSpPr>
        <xdr:cNvPr id="2" name="テキスト ボックス 1">
          <a:extLst>
            <a:ext uri="{FF2B5EF4-FFF2-40B4-BE49-F238E27FC236}">
              <a16:creationId xmlns:a16="http://schemas.microsoft.com/office/drawing/2014/main" id="{73B222A3-4393-4952-AE4B-8DF8FB1B7DEF}"/>
            </a:ext>
          </a:extLst>
        </xdr:cNvPr>
        <xdr:cNvSpPr txBox="1"/>
      </xdr:nvSpPr>
      <xdr:spPr>
        <a:xfrm>
          <a:off x="15586076" y="47625"/>
          <a:ext cx="1409699" cy="69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▲と</a:t>
          </a:r>
          <a:r>
            <a:rPr kumimoji="1" lang="en-US" altLang="ja-JP" sz="1100"/>
            <a:t>#DIV/0!</a:t>
          </a:r>
          <a:r>
            <a:rPr kumimoji="1" lang="ja-JP" altLang="en-US" sz="1100"/>
            <a:t>が出た所を手動で調整</a:t>
          </a:r>
        </a:p>
      </xdr:txBody>
    </xdr:sp>
    <xdr:clientData/>
  </xdr:twoCellAnchor>
  <xdr:twoCellAnchor>
    <xdr:from>
      <xdr:col>22</xdr:col>
      <xdr:colOff>571500</xdr:colOff>
      <xdr:row>4</xdr:row>
      <xdr:rowOff>0</xdr:rowOff>
    </xdr:from>
    <xdr:to>
      <xdr:col>22</xdr:col>
      <xdr:colOff>1314450</xdr:colOff>
      <xdr:row>6</xdr:row>
      <xdr:rowOff>180975</xdr:rowOff>
    </xdr:to>
    <xdr:sp macro="" textlink="">
      <xdr:nvSpPr>
        <xdr:cNvPr id="3" name="矢印: ストライプ 2">
          <a:extLst>
            <a:ext uri="{FF2B5EF4-FFF2-40B4-BE49-F238E27FC236}">
              <a16:creationId xmlns:a16="http://schemas.microsoft.com/office/drawing/2014/main" id="{767B9635-3E02-4554-BC5C-3AFB773D212D}"/>
            </a:ext>
          </a:extLst>
        </xdr:cNvPr>
        <xdr:cNvSpPr/>
      </xdr:nvSpPr>
      <xdr:spPr>
        <a:xfrm>
          <a:off x="16033750" y="673100"/>
          <a:ext cx="742950" cy="517525"/>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wner\Desktop\2020&#20853;&#24235;IO39WS2025_5.xlsx" TargetMode="External"/><Relationship Id="rId1" Type="http://schemas.openxmlformats.org/officeDocument/2006/relationships/externalLinkPath" Target="2020&#20853;&#24235;IO39WS2025_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S目次"/>
      <sheetName val="利用上の注意"/>
      <sheetName val="データ入力"/>
      <sheetName val="波及効果（全部門計）"/>
      <sheetName val="波及効果（部門別）"/>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分析係数表"/>
      <sheetName val="取引基本表"/>
      <sheetName val="投入係数表"/>
      <sheetName val="逆行列係数表"/>
      <sheetName val="雇用表"/>
    </sheetNames>
    <sheetDataSet>
      <sheetData sheetId="0" refreshError="1"/>
      <sheetData sheetId="1" refreshError="1"/>
      <sheetData sheetId="2" refreshError="1"/>
      <sheetData sheetId="3" refreshError="1"/>
      <sheetData sheetId="4">
        <row r="6">
          <cell r="D6">
            <v>1605.2510413879895</v>
          </cell>
          <cell r="E6">
            <v>685.77991101717225</v>
          </cell>
          <cell r="F6">
            <v>518</v>
          </cell>
          <cell r="G6">
            <v>196</v>
          </cell>
        </row>
        <row r="7">
          <cell r="D7">
            <v>157.21334326797933</v>
          </cell>
          <cell r="E7">
            <v>100.59738143137538</v>
          </cell>
          <cell r="F7">
            <v>45</v>
          </cell>
          <cell r="G7">
            <v>41</v>
          </cell>
        </row>
        <row r="8">
          <cell r="D8">
            <v>152.45893148314426</v>
          </cell>
          <cell r="E8">
            <v>72.237085380384201</v>
          </cell>
          <cell r="F8">
            <v>14</v>
          </cell>
          <cell r="G8">
            <v>6</v>
          </cell>
        </row>
        <row r="9">
          <cell r="D9">
            <v>51.9671858113783</v>
          </cell>
          <cell r="E9">
            <v>28.249397004754723</v>
          </cell>
          <cell r="F9">
            <v>1</v>
          </cell>
          <cell r="G9">
            <v>1</v>
          </cell>
        </row>
        <row r="10">
          <cell r="D10">
            <v>20967.985396582109</v>
          </cell>
          <cell r="E10">
            <v>7056.0490256353078</v>
          </cell>
          <cell r="F10">
            <v>723</v>
          </cell>
          <cell r="G10">
            <v>698</v>
          </cell>
        </row>
        <row r="11">
          <cell r="D11">
            <v>1599.9915551775719</v>
          </cell>
          <cell r="E11">
            <v>625.23143473102357</v>
          </cell>
          <cell r="F11">
            <v>203</v>
          </cell>
          <cell r="G11">
            <v>150</v>
          </cell>
        </row>
        <row r="12">
          <cell r="D12">
            <v>2777.5737864028438</v>
          </cell>
          <cell r="E12">
            <v>988.77882030021328</v>
          </cell>
          <cell r="F12">
            <v>121</v>
          </cell>
          <cell r="G12">
            <v>107</v>
          </cell>
        </row>
        <row r="13">
          <cell r="D13">
            <v>8574.0677787477762</v>
          </cell>
          <cell r="E13">
            <v>3073.1315081126299</v>
          </cell>
          <cell r="F13">
            <v>133</v>
          </cell>
          <cell r="G13">
            <v>133</v>
          </cell>
        </row>
        <row r="14">
          <cell r="D14">
            <v>1248.0866698734333</v>
          </cell>
          <cell r="E14">
            <v>327.95900362604471</v>
          </cell>
          <cell r="F14">
            <v>11</v>
          </cell>
          <cell r="G14">
            <v>11</v>
          </cell>
        </row>
        <row r="15">
          <cell r="D15">
            <v>1950.6672723807967</v>
          </cell>
          <cell r="E15">
            <v>835.38627240829908</v>
          </cell>
          <cell r="F15">
            <v>100</v>
          </cell>
          <cell r="G15">
            <v>95</v>
          </cell>
        </row>
        <row r="16">
          <cell r="D16">
            <v>745.2571048073529</v>
          </cell>
          <cell r="E16">
            <v>365.15507634170285</v>
          </cell>
          <cell r="F16">
            <v>27</v>
          </cell>
          <cell r="G16">
            <v>26</v>
          </cell>
        </row>
        <row r="17">
          <cell r="D17">
            <v>1300.50522710476</v>
          </cell>
          <cell r="E17">
            <v>277.41209555984892</v>
          </cell>
          <cell r="F17">
            <v>15</v>
          </cell>
          <cell r="G17">
            <v>15</v>
          </cell>
        </row>
        <row r="18">
          <cell r="D18">
            <v>92.239891470141586</v>
          </cell>
          <cell r="E18">
            <v>19.45877683402275</v>
          </cell>
          <cell r="F18">
            <v>2</v>
          </cell>
          <cell r="G18">
            <v>2</v>
          </cell>
        </row>
        <row r="19">
          <cell r="D19">
            <v>1091.9317755996378</v>
          </cell>
          <cell r="E19">
            <v>500.00808609470198</v>
          </cell>
          <cell r="F19">
            <v>67</v>
          </cell>
          <cell r="G19">
            <v>60</v>
          </cell>
        </row>
        <row r="20">
          <cell r="D20">
            <v>197.30203829671891</v>
          </cell>
          <cell r="E20">
            <v>84.984417139341957</v>
          </cell>
          <cell r="F20">
            <v>2</v>
          </cell>
          <cell r="G20">
            <v>2</v>
          </cell>
        </row>
        <row r="21">
          <cell r="D21">
            <v>200.04723721753948</v>
          </cell>
          <cell r="E21">
            <v>87.549563081386196</v>
          </cell>
          <cell r="F21">
            <v>7</v>
          </cell>
          <cell r="G21">
            <v>7</v>
          </cell>
        </row>
        <row r="22">
          <cell r="D22">
            <v>3340.2088059341377</v>
          </cell>
          <cell r="E22">
            <v>1226.5702603126751</v>
          </cell>
          <cell r="F22">
            <v>130</v>
          </cell>
          <cell r="G22">
            <v>128</v>
          </cell>
        </row>
        <row r="23">
          <cell r="D23">
            <v>207.57832227474881</v>
          </cell>
          <cell r="E23">
            <v>69.162364987857202</v>
          </cell>
          <cell r="F23">
            <v>8</v>
          </cell>
          <cell r="G23">
            <v>8</v>
          </cell>
        </row>
        <row r="24">
          <cell r="D24">
            <v>292.49004656081058</v>
          </cell>
          <cell r="E24">
            <v>98.895464231944956</v>
          </cell>
          <cell r="F24">
            <v>8</v>
          </cell>
          <cell r="G24">
            <v>8</v>
          </cell>
        </row>
        <row r="25">
          <cell r="D25">
            <v>575.30831935383083</v>
          </cell>
          <cell r="E25">
            <v>169.92856818344697</v>
          </cell>
          <cell r="F25">
            <v>9</v>
          </cell>
          <cell r="G25">
            <v>9</v>
          </cell>
        </row>
        <row r="26">
          <cell r="D26">
            <v>3221.6653262268369</v>
          </cell>
          <cell r="E26">
            <v>954.54104114029815</v>
          </cell>
          <cell r="F26">
            <v>97</v>
          </cell>
          <cell r="G26">
            <v>95</v>
          </cell>
        </row>
        <row r="27">
          <cell r="D27">
            <v>60134.622580168143</v>
          </cell>
          <cell r="E27">
            <v>24175.430693850318</v>
          </cell>
          <cell r="F27">
            <v>4761</v>
          </cell>
          <cell r="G27">
            <v>3966</v>
          </cell>
        </row>
        <row r="28">
          <cell r="D28">
            <v>9373.4263958714728</v>
          </cell>
          <cell r="E28">
            <v>4345.7165152685384</v>
          </cell>
          <cell r="F28">
            <v>694</v>
          </cell>
          <cell r="G28">
            <v>534</v>
          </cell>
        </row>
        <row r="29">
          <cell r="D29">
            <v>18344.285555138813</v>
          </cell>
          <cell r="E29">
            <v>7328.2747626384134</v>
          </cell>
          <cell r="F29">
            <v>52</v>
          </cell>
          <cell r="G29">
            <v>52</v>
          </cell>
        </row>
        <row r="30">
          <cell r="D30">
            <v>4305.1670186009414</v>
          </cell>
          <cell r="E30">
            <v>1906.0124210114429</v>
          </cell>
          <cell r="F30">
            <v>89</v>
          </cell>
          <cell r="G30">
            <v>89</v>
          </cell>
        </row>
        <row r="31">
          <cell r="D31">
            <v>5922.7716084977028</v>
          </cell>
          <cell r="E31">
            <v>3747.852285212095</v>
          </cell>
          <cell r="F31">
            <v>519</v>
          </cell>
          <cell r="G31">
            <v>499</v>
          </cell>
        </row>
        <row r="32">
          <cell r="D32">
            <v>52224.134094080269</v>
          </cell>
          <cell r="E32">
            <v>35535.519196857567</v>
          </cell>
          <cell r="F32">
            <v>8036</v>
          </cell>
          <cell r="G32">
            <v>7483</v>
          </cell>
        </row>
        <row r="33">
          <cell r="D33">
            <v>16366.802716295962</v>
          </cell>
          <cell r="E33">
            <v>9909.9175123884961</v>
          </cell>
          <cell r="F33">
            <v>661</v>
          </cell>
          <cell r="G33">
            <v>642</v>
          </cell>
        </row>
        <row r="34">
          <cell r="D34">
            <v>46492.285953681356</v>
          </cell>
          <cell r="E34">
            <v>37801.259304601626</v>
          </cell>
          <cell r="F34">
            <v>733</v>
          </cell>
          <cell r="G34">
            <v>614</v>
          </cell>
        </row>
        <row r="35">
          <cell r="D35">
            <v>22750.670792627418</v>
          </cell>
          <cell r="E35">
            <v>14424.769096572931</v>
          </cell>
          <cell r="F35">
            <v>1802</v>
          </cell>
          <cell r="G35">
            <v>1674</v>
          </cell>
        </row>
        <row r="36">
          <cell r="D36">
            <v>25297.769797656052</v>
          </cell>
          <cell r="E36">
            <v>12641.801081881013</v>
          </cell>
          <cell r="F36">
            <v>900</v>
          </cell>
          <cell r="G36">
            <v>783</v>
          </cell>
        </row>
        <row r="37">
          <cell r="D37">
            <v>2180.3281198686991</v>
          </cell>
          <cell r="E37">
            <v>1544.9717047214399</v>
          </cell>
          <cell r="F37">
            <v>105</v>
          </cell>
          <cell r="G37">
            <v>105</v>
          </cell>
        </row>
        <row r="38">
          <cell r="D38">
            <v>103156.92661247177</v>
          </cell>
          <cell r="E38">
            <v>72853.341254340441</v>
          </cell>
          <cell r="F38">
            <v>9355</v>
          </cell>
          <cell r="G38">
            <v>9341</v>
          </cell>
        </row>
        <row r="39">
          <cell r="D39">
            <v>20681.977654618804</v>
          </cell>
          <cell r="E39">
            <v>12022.867784810602</v>
          </cell>
          <cell r="F39">
            <v>2512</v>
          </cell>
          <cell r="G39">
            <v>2431</v>
          </cell>
        </row>
        <row r="40">
          <cell r="D40">
            <v>16882.407835719347</v>
          </cell>
          <cell r="E40">
            <v>9911.1328814515582</v>
          </cell>
          <cell r="F40">
            <v>2117</v>
          </cell>
          <cell r="G40">
            <v>1986</v>
          </cell>
        </row>
        <row r="41">
          <cell r="D41">
            <v>41441.149151994498</v>
          </cell>
          <cell r="E41">
            <v>25793.313136579771</v>
          </cell>
          <cell r="F41">
            <v>5407</v>
          </cell>
          <cell r="G41">
            <v>4678</v>
          </cell>
        </row>
        <row r="42">
          <cell r="D42">
            <v>183071.38500641994</v>
          </cell>
          <cell r="E42">
            <v>97836.63824138022</v>
          </cell>
          <cell r="F42">
            <v>36315</v>
          </cell>
          <cell r="G42">
            <v>29713</v>
          </cell>
        </row>
        <row r="43">
          <cell r="D43">
            <v>1329.2035866232955</v>
          </cell>
          <cell r="E43">
            <v>0</v>
          </cell>
          <cell r="F43">
            <v>0</v>
          </cell>
          <cell r="G43">
            <v>0</v>
          </cell>
        </row>
        <row r="44">
          <cell r="D44">
            <v>2028.7813498560761</v>
          </cell>
          <cell r="E44">
            <v>1313.4416944683367</v>
          </cell>
          <cell r="F44">
            <v>7</v>
          </cell>
          <cell r="G44">
            <v>7</v>
          </cell>
        </row>
        <row r="45">
          <cell r="D45">
            <v>682333.89288615214</v>
          </cell>
          <cell r="E45">
            <v>390739.32512158924</v>
          </cell>
          <cell r="F45">
            <v>76306</v>
          </cell>
          <cell r="G45">
            <v>66395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7288-B408-427E-9C9C-5A5B2A68980D}">
  <sheetPr>
    <tabColor theme="7" tint="0.79998168889431442"/>
  </sheetPr>
  <dimension ref="A1:D11"/>
  <sheetViews>
    <sheetView tabSelected="1" workbookViewId="0">
      <pane xSplit="2" ySplit="2" topLeftCell="C3" activePane="bottomRight" state="frozen"/>
      <selection pane="topRight" activeCell="C1" sqref="C1"/>
      <selection pane="bottomLeft" activeCell="A4" sqref="A4"/>
      <selection pane="bottomRight" activeCell="A11" sqref="A11"/>
    </sheetView>
  </sheetViews>
  <sheetFormatPr defaultColWidth="9" defaultRowHeight="13"/>
  <cols>
    <col min="1" max="1" width="4.33203125" style="133" customWidth="1"/>
    <col min="2" max="2" width="22.75" style="133" customWidth="1"/>
    <col min="3" max="3" width="27.83203125" style="133" customWidth="1"/>
    <col min="4" max="16384" width="9" style="133"/>
  </cols>
  <sheetData>
    <row r="1" spans="1:4" ht="15.75" customHeight="1">
      <c r="A1" s="134" t="s">
        <v>10033</v>
      </c>
      <c r="B1" s="135"/>
      <c r="C1" s="756">
        <v>46048</v>
      </c>
      <c r="D1" s="135"/>
    </row>
    <row r="2" spans="1:4" ht="15.75" customHeight="1">
      <c r="A2" s="608"/>
      <c r="B2" s="610" t="s">
        <v>10039</v>
      </c>
      <c r="C2" s="614" t="s">
        <v>10040</v>
      </c>
      <c r="D2" s="135"/>
    </row>
    <row r="3" spans="1:4" ht="15.75" customHeight="1">
      <c r="A3" s="846">
        <v>1</v>
      </c>
      <c r="B3" s="847" t="s">
        <v>10034</v>
      </c>
      <c r="C3" s="726"/>
      <c r="D3" s="135"/>
    </row>
    <row r="4" spans="1:4" ht="15.75" customHeight="1">
      <c r="A4" s="609">
        <v>2</v>
      </c>
      <c r="B4" s="848" t="s">
        <v>10042</v>
      </c>
      <c r="C4" s="747" t="s">
        <v>10045</v>
      </c>
      <c r="D4" s="135"/>
    </row>
    <row r="5" spans="1:4" ht="15.75" customHeight="1">
      <c r="A5" s="609">
        <v>3</v>
      </c>
      <c r="B5" s="848" t="s">
        <v>10041</v>
      </c>
      <c r="C5" s="747" t="s">
        <v>10045</v>
      </c>
      <c r="D5" s="135"/>
    </row>
    <row r="6" spans="1:4" ht="15.75" customHeight="1">
      <c r="A6" s="609">
        <v>4</v>
      </c>
      <c r="B6" s="848" t="s">
        <v>10035</v>
      </c>
      <c r="C6" s="747" t="s">
        <v>10045</v>
      </c>
      <c r="D6" s="135"/>
    </row>
    <row r="7" spans="1:4" ht="15.75" customHeight="1">
      <c r="A7" s="609">
        <v>5</v>
      </c>
      <c r="B7" s="848" t="s">
        <v>10036</v>
      </c>
      <c r="C7" s="747" t="s">
        <v>10046</v>
      </c>
      <c r="D7" s="135"/>
    </row>
    <row r="8" spans="1:4" ht="15.75" customHeight="1">
      <c r="A8" s="609">
        <v>6</v>
      </c>
      <c r="B8" s="848" t="s">
        <v>10037</v>
      </c>
      <c r="C8" s="747" t="s">
        <v>10044</v>
      </c>
      <c r="D8" s="135"/>
    </row>
    <row r="9" spans="1:4" ht="15.75" customHeight="1">
      <c r="A9" s="849">
        <v>7</v>
      </c>
      <c r="B9" s="850" t="s">
        <v>10038</v>
      </c>
      <c r="C9" s="727" t="s">
        <v>10043</v>
      </c>
      <c r="D9" s="135"/>
    </row>
    <row r="10" spans="1:4" ht="15.75" customHeight="1">
      <c r="A10" s="135" t="s">
        <v>12104</v>
      </c>
      <c r="B10" s="135"/>
      <c r="C10" s="135"/>
      <c r="D10" s="135"/>
    </row>
    <row r="11" spans="1:4">
      <c r="A11" s="135"/>
      <c r="B11" s="135"/>
      <c r="C11" s="135"/>
      <c r="D11" s="135"/>
    </row>
  </sheetData>
  <phoneticPr fontId="1"/>
  <hyperlinks>
    <hyperlink ref="B3" location="概要表!A1" display="概要表" xr:uid="{0137F169-160E-4ABB-BFF0-6C7146B12A6D}"/>
    <hyperlink ref="B4" location="表1SGDP39!A1" display="スポーツ産業県内産出額" xr:uid="{3A9DE12C-CC73-4C03-BA2B-AB44AD22E79F}"/>
    <hyperlink ref="B5" location="表2SGDP39_2!A1" display="スポーツ産業県内総生産" xr:uid="{C5116B80-BB77-4816-B372-98638537E551}"/>
    <hyperlink ref="B6" location="表3経済効果!A1" display="経済波及効果" xr:uid="{79D6D708-C3D8-4B5A-A594-3D5462ACE94C}"/>
    <hyperlink ref="B7" location="'4推計WS106'!A1" display="推計ワークシート" xr:uid="{243BCEFF-A187-47A0-960B-1E4A0A61D5F8}"/>
    <hyperlink ref="B8" location="'5従業者数2021'!A1" display="従業者数" xr:uid="{763B2E0F-537C-4E10-B766-7131A2732577}"/>
    <hyperlink ref="B9" location="'6統計定義'!A1" display="統計定義" xr:uid="{4D24784B-522C-4485-87A5-1C6C10DE4DA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5003-8AEB-41C9-837F-1E8583882437}">
  <sheetPr>
    <tabColor theme="7" tint="0.79998168889431442"/>
  </sheetPr>
  <dimension ref="A1:D30"/>
  <sheetViews>
    <sheetView workbookViewId="0">
      <selection activeCell="F21" sqref="F21"/>
    </sheetView>
  </sheetViews>
  <sheetFormatPr defaultColWidth="8.58203125" defaultRowHeight="13"/>
  <cols>
    <col min="1" max="1" width="4.08203125" style="133" customWidth="1"/>
    <col min="2" max="2" width="7" style="133" customWidth="1"/>
    <col min="3" max="3" width="40.33203125" style="133" customWidth="1"/>
    <col min="4" max="5" width="12.08203125" style="133" customWidth="1"/>
    <col min="6" max="16384" width="8.58203125" style="133"/>
  </cols>
  <sheetData>
    <row r="1" spans="1:4">
      <c r="B1" s="843" t="s">
        <v>10050</v>
      </c>
    </row>
    <row r="2" spans="1:4">
      <c r="A2" s="136"/>
      <c r="B2" s="537" t="s">
        <v>10047</v>
      </c>
      <c r="C2" s="864" t="s">
        <v>10048</v>
      </c>
      <c r="D2" s="635" t="s">
        <v>10049</v>
      </c>
    </row>
    <row r="3" spans="1:4">
      <c r="A3" s="143"/>
      <c r="B3" s="144"/>
      <c r="C3" s="645"/>
      <c r="D3" s="844"/>
    </row>
    <row r="4" spans="1:4">
      <c r="A4" s="196">
        <v>1</v>
      </c>
      <c r="B4" s="541">
        <v>1165</v>
      </c>
      <c r="C4" s="142" t="s">
        <v>10003</v>
      </c>
      <c r="D4" s="636"/>
    </row>
    <row r="5" spans="1:4">
      <c r="A5" s="196">
        <v>2</v>
      </c>
      <c r="B5" s="541">
        <v>8022</v>
      </c>
      <c r="C5" s="142" t="s">
        <v>10004</v>
      </c>
      <c r="D5" s="636"/>
    </row>
    <row r="6" spans="1:4">
      <c r="A6" s="196">
        <v>3</v>
      </c>
      <c r="B6" s="541">
        <v>8025</v>
      </c>
      <c r="C6" s="142" t="s">
        <v>10005</v>
      </c>
      <c r="D6" s="636"/>
    </row>
    <row r="7" spans="1:4">
      <c r="A7" s="196">
        <v>4</v>
      </c>
      <c r="B7" s="541">
        <v>8031</v>
      </c>
      <c r="C7" s="142" t="s">
        <v>10006</v>
      </c>
      <c r="D7" s="636"/>
    </row>
    <row r="8" spans="1:4">
      <c r="A8" s="196">
        <v>5</v>
      </c>
      <c r="B8" s="541">
        <v>8032</v>
      </c>
      <c r="C8" s="142" t="s">
        <v>10007</v>
      </c>
      <c r="D8" s="636"/>
    </row>
    <row r="9" spans="1:4">
      <c r="A9" s="196">
        <v>6</v>
      </c>
      <c r="B9" s="541">
        <v>8033</v>
      </c>
      <c r="C9" s="142" t="s">
        <v>10008</v>
      </c>
      <c r="D9" s="636"/>
    </row>
    <row r="10" spans="1:4">
      <c r="A10" s="196">
        <v>7</v>
      </c>
      <c r="B10" s="541">
        <v>8034</v>
      </c>
      <c r="C10" s="142" t="s">
        <v>10009</v>
      </c>
      <c r="D10" s="636"/>
    </row>
    <row r="11" spans="1:4">
      <c r="A11" s="196">
        <v>8</v>
      </c>
      <c r="B11" s="541">
        <v>8035</v>
      </c>
      <c r="C11" s="142" t="s">
        <v>10010</v>
      </c>
      <c r="D11" s="636"/>
    </row>
    <row r="12" spans="1:4">
      <c r="A12" s="196">
        <v>9</v>
      </c>
      <c r="B12" s="541">
        <v>8036</v>
      </c>
      <c r="C12" s="845" t="s">
        <v>10011</v>
      </c>
      <c r="D12" s="636"/>
    </row>
    <row r="13" spans="1:4">
      <c r="A13" s="196">
        <v>10</v>
      </c>
      <c r="B13" s="541" t="s">
        <v>10012</v>
      </c>
      <c r="C13" s="142" t="s">
        <v>10013</v>
      </c>
      <c r="D13" s="636"/>
    </row>
    <row r="14" spans="1:4">
      <c r="A14" s="196">
        <v>11</v>
      </c>
      <c r="B14" s="541">
        <v>8041</v>
      </c>
      <c r="C14" s="142" t="s">
        <v>10014</v>
      </c>
      <c r="D14" s="636"/>
    </row>
    <row r="15" spans="1:4">
      <c r="A15" s="196">
        <v>12</v>
      </c>
      <c r="B15" s="541">
        <v>8042</v>
      </c>
      <c r="C15" s="142" t="s">
        <v>10015</v>
      </c>
      <c r="D15" s="636"/>
    </row>
    <row r="16" spans="1:4">
      <c r="A16" s="196">
        <v>13</v>
      </c>
      <c r="B16" s="541">
        <v>8043</v>
      </c>
      <c r="C16" s="142" t="s">
        <v>10016</v>
      </c>
      <c r="D16" s="636"/>
    </row>
    <row r="17" spans="1:4">
      <c r="A17" s="196">
        <v>14</v>
      </c>
      <c r="B17" s="541">
        <v>8044</v>
      </c>
      <c r="C17" s="142" t="s">
        <v>10017</v>
      </c>
      <c r="D17" s="636"/>
    </row>
    <row r="18" spans="1:4">
      <c r="A18" s="196">
        <v>15</v>
      </c>
      <c r="B18" s="541">
        <v>8045</v>
      </c>
      <c r="C18" s="142" t="s">
        <v>10018</v>
      </c>
      <c r="D18" s="636"/>
    </row>
    <row r="19" spans="1:4">
      <c r="A19" s="196">
        <v>16</v>
      </c>
      <c r="B19" s="541">
        <v>8046</v>
      </c>
      <c r="C19" s="142" t="s">
        <v>10019</v>
      </c>
      <c r="D19" s="636"/>
    </row>
    <row r="20" spans="1:4">
      <c r="A20" s="196">
        <v>17</v>
      </c>
      <c r="B20" s="541">
        <v>8047</v>
      </c>
      <c r="C20" s="142" t="s">
        <v>10020</v>
      </c>
      <c r="D20" s="636"/>
    </row>
    <row r="21" spans="1:4">
      <c r="A21" s="196">
        <v>18</v>
      </c>
      <c r="B21" s="541">
        <v>8048</v>
      </c>
      <c r="C21" s="142" t="s">
        <v>10021</v>
      </c>
      <c r="D21" s="636"/>
    </row>
    <row r="22" spans="1:4">
      <c r="A22" s="196">
        <v>19</v>
      </c>
      <c r="B22" s="541" t="s">
        <v>10022</v>
      </c>
      <c r="C22" s="142" t="s">
        <v>10023</v>
      </c>
      <c r="D22" s="636"/>
    </row>
    <row r="23" spans="1:4">
      <c r="A23" s="196">
        <v>20</v>
      </c>
      <c r="B23" s="541">
        <v>8062</v>
      </c>
      <c r="C23" s="142" t="s">
        <v>10024</v>
      </c>
      <c r="D23" s="636"/>
    </row>
    <row r="24" spans="1:4">
      <c r="A24" s="196">
        <v>21</v>
      </c>
      <c r="B24" s="541">
        <v>8063</v>
      </c>
      <c r="C24" s="142" t="s">
        <v>10025</v>
      </c>
      <c r="D24" s="636"/>
    </row>
    <row r="25" spans="1:4">
      <c r="A25" s="196">
        <v>22</v>
      </c>
      <c r="B25" s="541">
        <v>8091</v>
      </c>
      <c r="C25" s="142" t="s">
        <v>10026</v>
      </c>
      <c r="D25" s="636"/>
    </row>
    <row r="26" spans="1:4">
      <c r="A26" s="196">
        <v>23</v>
      </c>
      <c r="B26" s="541">
        <v>8092</v>
      </c>
      <c r="C26" s="142" t="s">
        <v>10027</v>
      </c>
      <c r="D26" s="636"/>
    </row>
    <row r="27" spans="1:4">
      <c r="A27" s="196">
        <v>24</v>
      </c>
      <c r="B27" s="541">
        <v>8093</v>
      </c>
      <c r="C27" s="142" t="s">
        <v>10028</v>
      </c>
      <c r="D27" s="636"/>
    </row>
    <row r="28" spans="1:4">
      <c r="A28" s="196">
        <v>25</v>
      </c>
      <c r="B28" s="541">
        <v>8099</v>
      </c>
      <c r="C28" s="142" t="s">
        <v>10029</v>
      </c>
      <c r="D28" s="636"/>
    </row>
    <row r="29" spans="1:4">
      <c r="A29" s="196">
        <v>26</v>
      </c>
      <c r="B29" s="541">
        <v>8215</v>
      </c>
      <c r="C29" s="142" t="s">
        <v>10030</v>
      </c>
      <c r="D29" s="636"/>
    </row>
    <row r="30" spans="1:4">
      <c r="A30" s="143">
        <v>27</v>
      </c>
      <c r="B30" s="865">
        <v>8246</v>
      </c>
      <c r="C30" s="645" t="s">
        <v>10031</v>
      </c>
      <c r="D30" s="844"/>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C882C-21AC-4404-B236-C837790B61D4}">
  <sheetPr>
    <tabColor theme="0"/>
  </sheetPr>
  <dimension ref="A1:AG28"/>
  <sheetViews>
    <sheetView workbookViewId="0">
      <pane xSplit="3" ySplit="3" topLeftCell="D11" activePane="bottomRight" state="frozen"/>
      <selection pane="topRight" activeCell="D1" sqref="D1"/>
      <selection pane="bottomLeft" activeCell="A4" sqref="A4"/>
      <selection pane="bottomRight" activeCell="G26" sqref="G26"/>
    </sheetView>
  </sheetViews>
  <sheetFormatPr defaultColWidth="8.25" defaultRowHeight="13"/>
  <cols>
    <col min="1" max="1" width="5.58203125" style="2" customWidth="1"/>
    <col min="2" max="2" width="5.75" style="2" customWidth="1"/>
    <col min="3" max="3" width="29.08203125" style="2" customWidth="1"/>
    <col min="4" max="9" width="12.25" style="2" customWidth="1"/>
    <col min="10" max="11" width="12.25" style="52" customWidth="1"/>
    <col min="12" max="33" width="8" style="52" customWidth="1"/>
    <col min="34" max="256" width="8.25" style="2"/>
    <col min="257" max="257" width="5.58203125" style="2" customWidth="1"/>
    <col min="258" max="258" width="5.75" style="2" customWidth="1"/>
    <col min="259" max="259" width="22.08203125" style="2" customWidth="1"/>
    <col min="260" max="264" width="10.58203125" style="2" customWidth="1"/>
    <col min="265" max="265" width="9.75" style="2" customWidth="1"/>
    <col min="266" max="266" width="10.75" style="2" customWidth="1"/>
    <col min="267" max="267" width="22.33203125" style="2" customWidth="1"/>
    <col min="268" max="289" width="8" style="2" customWidth="1"/>
    <col min="290" max="512" width="8.25" style="2"/>
    <col min="513" max="513" width="5.58203125" style="2" customWidth="1"/>
    <col min="514" max="514" width="5.75" style="2" customWidth="1"/>
    <col min="515" max="515" width="22.08203125" style="2" customWidth="1"/>
    <col min="516" max="520" width="10.58203125" style="2" customWidth="1"/>
    <col min="521" max="521" width="9.75" style="2" customWidth="1"/>
    <col min="522" max="522" width="10.75" style="2" customWidth="1"/>
    <col min="523" max="523" width="22.33203125" style="2" customWidth="1"/>
    <col min="524" max="545" width="8" style="2" customWidth="1"/>
    <col min="546" max="768" width="8.25" style="2"/>
    <col min="769" max="769" width="5.58203125" style="2" customWidth="1"/>
    <col min="770" max="770" width="5.75" style="2" customWidth="1"/>
    <col min="771" max="771" width="22.08203125" style="2" customWidth="1"/>
    <col min="772" max="776" width="10.58203125" style="2" customWidth="1"/>
    <col min="777" max="777" width="9.75" style="2" customWidth="1"/>
    <col min="778" max="778" width="10.75" style="2" customWidth="1"/>
    <col min="779" max="779" width="22.33203125" style="2" customWidth="1"/>
    <col min="780" max="801" width="8" style="2" customWidth="1"/>
    <col min="802" max="1024" width="8.25" style="2"/>
    <col min="1025" max="1025" width="5.58203125" style="2" customWidth="1"/>
    <col min="1026" max="1026" width="5.75" style="2" customWidth="1"/>
    <col min="1027" max="1027" width="22.08203125" style="2" customWidth="1"/>
    <col min="1028" max="1032" width="10.58203125" style="2" customWidth="1"/>
    <col min="1033" max="1033" width="9.75" style="2" customWidth="1"/>
    <col min="1034" max="1034" width="10.75" style="2" customWidth="1"/>
    <col min="1035" max="1035" width="22.33203125" style="2" customWidth="1"/>
    <col min="1036" max="1057" width="8" style="2" customWidth="1"/>
    <col min="1058" max="1280" width="8.25" style="2"/>
    <col min="1281" max="1281" width="5.58203125" style="2" customWidth="1"/>
    <col min="1282" max="1282" width="5.75" style="2" customWidth="1"/>
    <col min="1283" max="1283" width="22.08203125" style="2" customWidth="1"/>
    <col min="1284" max="1288" width="10.58203125" style="2" customWidth="1"/>
    <col min="1289" max="1289" width="9.75" style="2" customWidth="1"/>
    <col min="1290" max="1290" width="10.75" style="2" customWidth="1"/>
    <col min="1291" max="1291" width="22.33203125" style="2" customWidth="1"/>
    <col min="1292" max="1313" width="8" style="2" customWidth="1"/>
    <col min="1314" max="1536" width="8.25" style="2"/>
    <col min="1537" max="1537" width="5.58203125" style="2" customWidth="1"/>
    <col min="1538" max="1538" width="5.75" style="2" customWidth="1"/>
    <col min="1539" max="1539" width="22.08203125" style="2" customWidth="1"/>
    <col min="1540" max="1544" width="10.58203125" style="2" customWidth="1"/>
    <col min="1545" max="1545" width="9.75" style="2" customWidth="1"/>
    <col min="1546" max="1546" width="10.75" style="2" customWidth="1"/>
    <col min="1547" max="1547" width="22.33203125" style="2" customWidth="1"/>
    <col min="1548" max="1569" width="8" style="2" customWidth="1"/>
    <col min="1570" max="1792" width="8.25" style="2"/>
    <col min="1793" max="1793" width="5.58203125" style="2" customWidth="1"/>
    <col min="1794" max="1794" width="5.75" style="2" customWidth="1"/>
    <col min="1795" max="1795" width="22.08203125" style="2" customWidth="1"/>
    <col min="1796" max="1800" width="10.58203125" style="2" customWidth="1"/>
    <col min="1801" max="1801" width="9.75" style="2" customWidth="1"/>
    <col min="1802" max="1802" width="10.75" style="2" customWidth="1"/>
    <col min="1803" max="1803" width="22.33203125" style="2" customWidth="1"/>
    <col min="1804" max="1825" width="8" style="2" customWidth="1"/>
    <col min="1826" max="2048" width="8.25" style="2"/>
    <col min="2049" max="2049" width="5.58203125" style="2" customWidth="1"/>
    <col min="2050" max="2050" width="5.75" style="2" customWidth="1"/>
    <col min="2051" max="2051" width="22.08203125" style="2" customWidth="1"/>
    <col min="2052" max="2056" width="10.58203125" style="2" customWidth="1"/>
    <col min="2057" max="2057" width="9.75" style="2" customWidth="1"/>
    <col min="2058" max="2058" width="10.75" style="2" customWidth="1"/>
    <col min="2059" max="2059" width="22.33203125" style="2" customWidth="1"/>
    <col min="2060" max="2081" width="8" style="2" customWidth="1"/>
    <col min="2082" max="2304" width="8.25" style="2"/>
    <col min="2305" max="2305" width="5.58203125" style="2" customWidth="1"/>
    <col min="2306" max="2306" width="5.75" style="2" customWidth="1"/>
    <col min="2307" max="2307" width="22.08203125" style="2" customWidth="1"/>
    <col min="2308" max="2312" width="10.58203125" style="2" customWidth="1"/>
    <col min="2313" max="2313" width="9.75" style="2" customWidth="1"/>
    <col min="2314" max="2314" width="10.75" style="2" customWidth="1"/>
    <col min="2315" max="2315" width="22.33203125" style="2" customWidth="1"/>
    <col min="2316" max="2337" width="8" style="2" customWidth="1"/>
    <col min="2338" max="2560" width="8.25" style="2"/>
    <col min="2561" max="2561" width="5.58203125" style="2" customWidth="1"/>
    <col min="2562" max="2562" width="5.75" style="2" customWidth="1"/>
    <col min="2563" max="2563" width="22.08203125" style="2" customWidth="1"/>
    <col min="2564" max="2568" width="10.58203125" style="2" customWidth="1"/>
    <col min="2569" max="2569" width="9.75" style="2" customWidth="1"/>
    <col min="2570" max="2570" width="10.75" style="2" customWidth="1"/>
    <col min="2571" max="2571" width="22.33203125" style="2" customWidth="1"/>
    <col min="2572" max="2593" width="8" style="2" customWidth="1"/>
    <col min="2594" max="2816" width="8.25" style="2"/>
    <col min="2817" max="2817" width="5.58203125" style="2" customWidth="1"/>
    <col min="2818" max="2818" width="5.75" style="2" customWidth="1"/>
    <col min="2819" max="2819" width="22.08203125" style="2" customWidth="1"/>
    <col min="2820" max="2824" width="10.58203125" style="2" customWidth="1"/>
    <col min="2825" max="2825" width="9.75" style="2" customWidth="1"/>
    <col min="2826" max="2826" width="10.75" style="2" customWidth="1"/>
    <col min="2827" max="2827" width="22.33203125" style="2" customWidth="1"/>
    <col min="2828" max="2849" width="8" style="2" customWidth="1"/>
    <col min="2850" max="3072" width="8.25" style="2"/>
    <col min="3073" max="3073" width="5.58203125" style="2" customWidth="1"/>
    <col min="3074" max="3074" width="5.75" style="2" customWidth="1"/>
    <col min="3075" max="3075" width="22.08203125" style="2" customWidth="1"/>
    <col min="3076" max="3080" width="10.58203125" style="2" customWidth="1"/>
    <col min="3081" max="3081" width="9.75" style="2" customWidth="1"/>
    <col min="3082" max="3082" width="10.75" style="2" customWidth="1"/>
    <col min="3083" max="3083" width="22.33203125" style="2" customWidth="1"/>
    <col min="3084" max="3105" width="8" style="2" customWidth="1"/>
    <col min="3106" max="3328" width="8.25" style="2"/>
    <col min="3329" max="3329" width="5.58203125" style="2" customWidth="1"/>
    <col min="3330" max="3330" width="5.75" style="2" customWidth="1"/>
    <col min="3331" max="3331" width="22.08203125" style="2" customWidth="1"/>
    <col min="3332" max="3336" width="10.58203125" style="2" customWidth="1"/>
    <col min="3337" max="3337" width="9.75" style="2" customWidth="1"/>
    <col min="3338" max="3338" width="10.75" style="2" customWidth="1"/>
    <col min="3339" max="3339" width="22.33203125" style="2" customWidth="1"/>
    <col min="3340" max="3361" width="8" style="2" customWidth="1"/>
    <col min="3362" max="3584" width="8.25" style="2"/>
    <col min="3585" max="3585" width="5.58203125" style="2" customWidth="1"/>
    <col min="3586" max="3586" width="5.75" style="2" customWidth="1"/>
    <col min="3587" max="3587" width="22.08203125" style="2" customWidth="1"/>
    <col min="3588" max="3592" width="10.58203125" style="2" customWidth="1"/>
    <col min="3593" max="3593" width="9.75" style="2" customWidth="1"/>
    <col min="3594" max="3594" width="10.75" style="2" customWidth="1"/>
    <col min="3595" max="3595" width="22.33203125" style="2" customWidth="1"/>
    <col min="3596" max="3617" width="8" style="2" customWidth="1"/>
    <col min="3618" max="3840" width="8.25" style="2"/>
    <col min="3841" max="3841" width="5.58203125" style="2" customWidth="1"/>
    <col min="3842" max="3842" width="5.75" style="2" customWidth="1"/>
    <col min="3843" max="3843" width="22.08203125" style="2" customWidth="1"/>
    <col min="3844" max="3848" width="10.58203125" style="2" customWidth="1"/>
    <col min="3849" max="3849" width="9.75" style="2" customWidth="1"/>
    <col min="3850" max="3850" width="10.75" style="2" customWidth="1"/>
    <col min="3851" max="3851" width="22.33203125" style="2" customWidth="1"/>
    <col min="3852" max="3873" width="8" style="2" customWidth="1"/>
    <col min="3874" max="4096" width="8.25" style="2"/>
    <col min="4097" max="4097" width="5.58203125" style="2" customWidth="1"/>
    <col min="4098" max="4098" width="5.75" style="2" customWidth="1"/>
    <col min="4099" max="4099" width="22.08203125" style="2" customWidth="1"/>
    <col min="4100" max="4104" width="10.58203125" style="2" customWidth="1"/>
    <col min="4105" max="4105" width="9.75" style="2" customWidth="1"/>
    <col min="4106" max="4106" width="10.75" style="2" customWidth="1"/>
    <col min="4107" max="4107" width="22.33203125" style="2" customWidth="1"/>
    <col min="4108" max="4129" width="8" style="2" customWidth="1"/>
    <col min="4130" max="4352" width="8.25" style="2"/>
    <col min="4353" max="4353" width="5.58203125" style="2" customWidth="1"/>
    <col min="4354" max="4354" width="5.75" style="2" customWidth="1"/>
    <col min="4355" max="4355" width="22.08203125" style="2" customWidth="1"/>
    <col min="4356" max="4360" width="10.58203125" style="2" customWidth="1"/>
    <col min="4361" max="4361" width="9.75" style="2" customWidth="1"/>
    <col min="4362" max="4362" width="10.75" style="2" customWidth="1"/>
    <col min="4363" max="4363" width="22.33203125" style="2" customWidth="1"/>
    <col min="4364" max="4385" width="8" style="2" customWidth="1"/>
    <col min="4386" max="4608" width="8.25" style="2"/>
    <col min="4609" max="4609" width="5.58203125" style="2" customWidth="1"/>
    <col min="4610" max="4610" width="5.75" style="2" customWidth="1"/>
    <col min="4611" max="4611" width="22.08203125" style="2" customWidth="1"/>
    <col min="4612" max="4616" width="10.58203125" style="2" customWidth="1"/>
    <col min="4617" max="4617" width="9.75" style="2" customWidth="1"/>
    <col min="4618" max="4618" width="10.75" style="2" customWidth="1"/>
    <col min="4619" max="4619" width="22.33203125" style="2" customWidth="1"/>
    <col min="4620" max="4641" width="8" style="2" customWidth="1"/>
    <col min="4642" max="4864" width="8.25" style="2"/>
    <col min="4865" max="4865" width="5.58203125" style="2" customWidth="1"/>
    <col min="4866" max="4866" width="5.75" style="2" customWidth="1"/>
    <col min="4867" max="4867" width="22.08203125" style="2" customWidth="1"/>
    <col min="4868" max="4872" width="10.58203125" style="2" customWidth="1"/>
    <col min="4873" max="4873" width="9.75" style="2" customWidth="1"/>
    <col min="4874" max="4874" width="10.75" style="2" customWidth="1"/>
    <col min="4875" max="4875" width="22.33203125" style="2" customWidth="1"/>
    <col min="4876" max="4897" width="8" style="2" customWidth="1"/>
    <col min="4898" max="5120" width="8.25" style="2"/>
    <col min="5121" max="5121" width="5.58203125" style="2" customWidth="1"/>
    <col min="5122" max="5122" width="5.75" style="2" customWidth="1"/>
    <col min="5123" max="5123" width="22.08203125" style="2" customWidth="1"/>
    <col min="5124" max="5128" width="10.58203125" style="2" customWidth="1"/>
    <col min="5129" max="5129" width="9.75" style="2" customWidth="1"/>
    <col min="5130" max="5130" width="10.75" style="2" customWidth="1"/>
    <col min="5131" max="5131" width="22.33203125" style="2" customWidth="1"/>
    <col min="5132" max="5153" width="8" style="2" customWidth="1"/>
    <col min="5154" max="5376" width="8.25" style="2"/>
    <col min="5377" max="5377" width="5.58203125" style="2" customWidth="1"/>
    <col min="5378" max="5378" width="5.75" style="2" customWidth="1"/>
    <col min="5379" max="5379" width="22.08203125" style="2" customWidth="1"/>
    <col min="5380" max="5384" width="10.58203125" style="2" customWidth="1"/>
    <col min="5385" max="5385" width="9.75" style="2" customWidth="1"/>
    <col min="5386" max="5386" width="10.75" style="2" customWidth="1"/>
    <col min="5387" max="5387" width="22.33203125" style="2" customWidth="1"/>
    <col min="5388" max="5409" width="8" style="2" customWidth="1"/>
    <col min="5410" max="5632" width="8.25" style="2"/>
    <col min="5633" max="5633" width="5.58203125" style="2" customWidth="1"/>
    <col min="5634" max="5634" width="5.75" style="2" customWidth="1"/>
    <col min="5635" max="5635" width="22.08203125" style="2" customWidth="1"/>
    <col min="5636" max="5640" width="10.58203125" style="2" customWidth="1"/>
    <col min="5641" max="5641" width="9.75" style="2" customWidth="1"/>
    <col min="5642" max="5642" width="10.75" style="2" customWidth="1"/>
    <col min="5643" max="5643" width="22.33203125" style="2" customWidth="1"/>
    <col min="5644" max="5665" width="8" style="2" customWidth="1"/>
    <col min="5666" max="5888" width="8.25" style="2"/>
    <col min="5889" max="5889" width="5.58203125" style="2" customWidth="1"/>
    <col min="5890" max="5890" width="5.75" style="2" customWidth="1"/>
    <col min="5891" max="5891" width="22.08203125" style="2" customWidth="1"/>
    <col min="5892" max="5896" width="10.58203125" style="2" customWidth="1"/>
    <col min="5897" max="5897" width="9.75" style="2" customWidth="1"/>
    <col min="5898" max="5898" width="10.75" style="2" customWidth="1"/>
    <col min="5899" max="5899" width="22.33203125" style="2" customWidth="1"/>
    <col min="5900" max="5921" width="8" style="2" customWidth="1"/>
    <col min="5922" max="6144" width="8.25" style="2"/>
    <col min="6145" max="6145" width="5.58203125" style="2" customWidth="1"/>
    <col min="6146" max="6146" width="5.75" style="2" customWidth="1"/>
    <col min="6147" max="6147" width="22.08203125" style="2" customWidth="1"/>
    <col min="6148" max="6152" width="10.58203125" style="2" customWidth="1"/>
    <col min="6153" max="6153" width="9.75" style="2" customWidth="1"/>
    <col min="6154" max="6154" width="10.75" style="2" customWidth="1"/>
    <col min="6155" max="6155" width="22.33203125" style="2" customWidth="1"/>
    <col min="6156" max="6177" width="8" style="2" customWidth="1"/>
    <col min="6178" max="6400" width="8.25" style="2"/>
    <col min="6401" max="6401" width="5.58203125" style="2" customWidth="1"/>
    <col min="6402" max="6402" width="5.75" style="2" customWidth="1"/>
    <col min="6403" max="6403" width="22.08203125" style="2" customWidth="1"/>
    <col min="6404" max="6408" width="10.58203125" style="2" customWidth="1"/>
    <col min="6409" max="6409" width="9.75" style="2" customWidth="1"/>
    <col min="6410" max="6410" width="10.75" style="2" customWidth="1"/>
    <col min="6411" max="6411" width="22.33203125" style="2" customWidth="1"/>
    <col min="6412" max="6433" width="8" style="2" customWidth="1"/>
    <col min="6434" max="6656" width="8.25" style="2"/>
    <col min="6657" max="6657" width="5.58203125" style="2" customWidth="1"/>
    <col min="6658" max="6658" width="5.75" style="2" customWidth="1"/>
    <col min="6659" max="6659" width="22.08203125" style="2" customWidth="1"/>
    <col min="6660" max="6664" width="10.58203125" style="2" customWidth="1"/>
    <col min="6665" max="6665" width="9.75" style="2" customWidth="1"/>
    <col min="6666" max="6666" width="10.75" style="2" customWidth="1"/>
    <col min="6667" max="6667" width="22.33203125" style="2" customWidth="1"/>
    <col min="6668" max="6689" width="8" style="2" customWidth="1"/>
    <col min="6690" max="6912" width="8.25" style="2"/>
    <col min="6913" max="6913" width="5.58203125" style="2" customWidth="1"/>
    <col min="6914" max="6914" width="5.75" style="2" customWidth="1"/>
    <col min="6915" max="6915" width="22.08203125" style="2" customWidth="1"/>
    <col min="6916" max="6920" width="10.58203125" style="2" customWidth="1"/>
    <col min="6921" max="6921" width="9.75" style="2" customWidth="1"/>
    <col min="6922" max="6922" width="10.75" style="2" customWidth="1"/>
    <col min="6923" max="6923" width="22.33203125" style="2" customWidth="1"/>
    <col min="6924" max="6945" width="8" style="2" customWidth="1"/>
    <col min="6946" max="7168" width="8.25" style="2"/>
    <col min="7169" max="7169" width="5.58203125" style="2" customWidth="1"/>
    <col min="7170" max="7170" width="5.75" style="2" customWidth="1"/>
    <col min="7171" max="7171" width="22.08203125" style="2" customWidth="1"/>
    <col min="7172" max="7176" width="10.58203125" style="2" customWidth="1"/>
    <col min="7177" max="7177" width="9.75" style="2" customWidth="1"/>
    <col min="7178" max="7178" width="10.75" style="2" customWidth="1"/>
    <col min="7179" max="7179" width="22.33203125" style="2" customWidth="1"/>
    <col min="7180" max="7201" width="8" style="2" customWidth="1"/>
    <col min="7202" max="7424" width="8.25" style="2"/>
    <col min="7425" max="7425" width="5.58203125" style="2" customWidth="1"/>
    <col min="7426" max="7426" width="5.75" style="2" customWidth="1"/>
    <col min="7427" max="7427" width="22.08203125" style="2" customWidth="1"/>
    <col min="7428" max="7432" width="10.58203125" style="2" customWidth="1"/>
    <col min="7433" max="7433" width="9.75" style="2" customWidth="1"/>
    <col min="7434" max="7434" width="10.75" style="2" customWidth="1"/>
    <col min="7435" max="7435" width="22.33203125" style="2" customWidth="1"/>
    <col min="7436" max="7457" width="8" style="2" customWidth="1"/>
    <col min="7458" max="7680" width="8.25" style="2"/>
    <col min="7681" max="7681" width="5.58203125" style="2" customWidth="1"/>
    <col min="7682" max="7682" width="5.75" style="2" customWidth="1"/>
    <col min="7683" max="7683" width="22.08203125" style="2" customWidth="1"/>
    <col min="7684" max="7688" width="10.58203125" style="2" customWidth="1"/>
    <col min="7689" max="7689" width="9.75" style="2" customWidth="1"/>
    <col min="7690" max="7690" width="10.75" style="2" customWidth="1"/>
    <col min="7691" max="7691" width="22.33203125" style="2" customWidth="1"/>
    <col min="7692" max="7713" width="8" style="2" customWidth="1"/>
    <col min="7714" max="7936" width="8.25" style="2"/>
    <col min="7937" max="7937" width="5.58203125" style="2" customWidth="1"/>
    <col min="7938" max="7938" width="5.75" style="2" customWidth="1"/>
    <col min="7939" max="7939" width="22.08203125" style="2" customWidth="1"/>
    <col min="7940" max="7944" width="10.58203125" style="2" customWidth="1"/>
    <col min="7945" max="7945" width="9.75" style="2" customWidth="1"/>
    <col min="7946" max="7946" width="10.75" style="2" customWidth="1"/>
    <col min="7947" max="7947" width="22.33203125" style="2" customWidth="1"/>
    <col min="7948" max="7969" width="8" style="2" customWidth="1"/>
    <col min="7970" max="8192" width="8.25" style="2"/>
    <col min="8193" max="8193" width="5.58203125" style="2" customWidth="1"/>
    <col min="8194" max="8194" width="5.75" style="2" customWidth="1"/>
    <col min="8195" max="8195" width="22.08203125" style="2" customWidth="1"/>
    <col min="8196" max="8200" width="10.58203125" style="2" customWidth="1"/>
    <col min="8201" max="8201" width="9.75" style="2" customWidth="1"/>
    <col min="8202" max="8202" width="10.75" style="2" customWidth="1"/>
    <col min="8203" max="8203" width="22.33203125" style="2" customWidth="1"/>
    <col min="8204" max="8225" width="8" style="2" customWidth="1"/>
    <col min="8226" max="8448" width="8.25" style="2"/>
    <col min="8449" max="8449" width="5.58203125" style="2" customWidth="1"/>
    <col min="8450" max="8450" width="5.75" style="2" customWidth="1"/>
    <col min="8451" max="8451" width="22.08203125" style="2" customWidth="1"/>
    <col min="8452" max="8456" width="10.58203125" style="2" customWidth="1"/>
    <col min="8457" max="8457" width="9.75" style="2" customWidth="1"/>
    <col min="8458" max="8458" width="10.75" style="2" customWidth="1"/>
    <col min="8459" max="8459" width="22.33203125" style="2" customWidth="1"/>
    <col min="8460" max="8481" width="8" style="2" customWidth="1"/>
    <col min="8482" max="8704" width="8.25" style="2"/>
    <col min="8705" max="8705" width="5.58203125" style="2" customWidth="1"/>
    <col min="8706" max="8706" width="5.75" style="2" customWidth="1"/>
    <col min="8707" max="8707" width="22.08203125" style="2" customWidth="1"/>
    <col min="8708" max="8712" width="10.58203125" style="2" customWidth="1"/>
    <col min="8713" max="8713" width="9.75" style="2" customWidth="1"/>
    <col min="8714" max="8714" width="10.75" style="2" customWidth="1"/>
    <col min="8715" max="8715" width="22.33203125" style="2" customWidth="1"/>
    <col min="8716" max="8737" width="8" style="2" customWidth="1"/>
    <col min="8738" max="8960" width="8.25" style="2"/>
    <col min="8961" max="8961" width="5.58203125" style="2" customWidth="1"/>
    <col min="8962" max="8962" width="5.75" style="2" customWidth="1"/>
    <col min="8963" max="8963" width="22.08203125" style="2" customWidth="1"/>
    <col min="8964" max="8968" width="10.58203125" style="2" customWidth="1"/>
    <col min="8969" max="8969" width="9.75" style="2" customWidth="1"/>
    <col min="8970" max="8970" width="10.75" style="2" customWidth="1"/>
    <col min="8971" max="8971" width="22.33203125" style="2" customWidth="1"/>
    <col min="8972" max="8993" width="8" style="2" customWidth="1"/>
    <col min="8994" max="9216" width="8.25" style="2"/>
    <col min="9217" max="9217" width="5.58203125" style="2" customWidth="1"/>
    <col min="9218" max="9218" width="5.75" style="2" customWidth="1"/>
    <col min="9219" max="9219" width="22.08203125" style="2" customWidth="1"/>
    <col min="9220" max="9224" width="10.58203125" style="2" customWidth="1"/>
    <col min="9225" max="9225" width="9.75" style="2" customWidth="1"/>
    <col min="9226" max="9226" width="10.75" style="2" customWidth="1"/>
    <col min="9227" max="9227" width="22.33203125" style="2" customWidth="1"/>
    <col min="9228" max="9249" width="8" style="2" customWidth="1"/>
    <col min="9250" max="9472" width="8.25" style="2"/>
    <col min="9473" max="9473" width="5.58203125" style="2" customWidth="1"/>
    <col min="9474" max="9474" width="5.75" style="2" customWidth="1"/>
    <col min="9475" max="9475" width="22.08203125" style="2" customWidth="1"/>
    <col min="9476" max="9480" width="10.58203125" style="2" customWidth="1"/>
    <col min="9481" max="9481" width="9.75" style="2" customWidth="1"/>
    <col min="9482" max="9482" width="10.75" style="2" customWidth="1"/>
    <col min="9483" max="9483" width="22.33203125" style="2" customWidth="1"/>
    <col min="9484" max="9505" width="8" style="2" customWidth="1"/>
    <col min="9506" max="9728" width="8.25" style="2"/>
    <col min="9729" max="9729" width="5.58203125" style="2" customWidth="1"/>
    <col min="9730" max="9730" width="5.75" style="2" customWidth="1"/>
    <col min="9731" max="9731" width="22.08203125" style="2" customWidth="1"/>
    <col min="9732" max="9736" width="10.58203125" style="2" customWidth="1"/>
    <col min="9737" max="9737" width="9.75" style="2" customWidth="1"/>
    <col min="9738" max="9738" width="10.75" style="2" customWidth="1"/>
    <col min="9739" max="9739" width="22.33203125" style="2" customWidth="1"/>
    <col min="9740" max="9761" width="8" style="2" customWidth="1"/>
    <col min="9762" max="9984" width="8.25" style="2"/>
    <col min="9985" max="9985" width="5.58203125" style="2" customWidth="1"/>
    <col min="9986" max="9986" width="5.75" style="2" customWidth="1"/>
    <col min="9987" max="9987" width="22.08203125" style="2" customWidth="1"/>
    <col min="9988" max="9992" width="10.58203125" style="2" customWidth="1"/>
    <col min="9993" max="9993" width="9.75" style="2" customWidth="1"/>
    <col min="9994" max="9994" width="10.75" style="2" customWidth="1"/>
    <col min="9995" max="9995" width="22.33203125" style="2" customWidth="1"/>
    <col min="9996" max="10017" width="8" style="2" customWidth="1"/>
    <col min="10018" max="10240" width="8.25" style="2"/>
    <col min="10241" max="10241" width="5.58203125" style="2" customWidth="1"/>
    <col min="10242" max="10242" width="5.75" style="2" customWidth="1"/>
    <col min="10243" max="10243" width="22.08203125" style="2" customWidth="1"/>
    <col min="10244" max="10248" width="10.58203125" style="2" customWidth="1"/>
    <col min="10249" max="10249" width="9.75" style="2" customWidth="1"/>
    <col min="10250" max="10250" width="10.75" style="2" customWidth="1"/>
    <col min="10251" max="10251" width="22.33203125" style="2" customWidth="1"/>
    <col min="10252" max="10273" width="8" style="2" customWidth="1"/>
    <col min="10274" max="10496" width="8.25" style="2"/>
    <col min="10497" max="10497" width="5.58203125" style="2" customWidth="1"/>
    <col min="10498" max="10498" width="5.75" style="2" customWidth="1"/>
    <col min="10499" max="10499" width="22.08203125" style="2" customWidth="1"/>
    <col min="10500" max="10504" width="10.58203125" style="2" customWidth="1"/>
    <col min="10505" max="10505" width="9.75" style="2" customWidth="1"/>
    <col min="10506" max="10506" width="10.75" style="2" customWidth="1"/>
    <col min="10507" max="10507" width="22.33203125" style="2" customWidth="1"/>
    <col min="10508" max="10529" width="8" style="2" customWidth="1"/>
    <col min="10530" max="10752" width="8.25" style="2"/>
    <col min="10753" max="10753" width="5.58203125" style="2" customWidth="1"/>
    <col min="10754" max="10754" width="5.75" style="2" customWidth="1"/>
    <col min="10755" max="10755" width="22.08203125" style="2" customWidth="1"/>
    <col min="10756" max="10760" width="10.58203125" style="2" customWidth="1"/>
    <col min="10761" max="10761" width="9.75" style="2" customWidth="1"/>
    <col min="10762" max="10762" width="10.75" style="2" customWidth="1"/>
    <col min="10763" max="10763" width="22.33203125" style="2" customWidth="1"/>
    <col min="10764" max="10785" width="8" style="2" customWidth="1"/>
    <col min="10786" max="11008" width="8.25" style="2"/>
    <col min="11009" max="11009" width="5.58203125" style="2" customWidth="1"/>
    <col min="11010" max="11010" width="5.75" style="2" customWidth="1"/>
    <col min="11011" max="11011" width="22.08203125" style="2" customWidth="1"/>
    <col min="11012" max="11016" width="10.58203125" style="2" customWidth="1"/>
    <col min="11017" max="11017" width="9.75" style="2" customWidth="1"/>
    <col min="11018" max="11018" width="10.75" style="2" customWidth="1"/>
    <col min="11019" max="11019" width="22.33203125" style="2" customWidth="1"/>
    <col min="11020" max="11041" width="8" style="2" customWidth="1"/>
    <col min="11042" max="11264" width="8.25" style="2"/>
    <col min="11265" max="11265" width="5.58203125" style="2" customWidth="1"/>
    <col min="11266" max="11266" width="5.75" style="2" customWidth="1"/>
    <col min="11267" max="11267" width="22.08203125" style="2" customWidth="1"/>
    <col min="11268" max="11272" width="10.58203125" style="2" customWidth="1"/>
    <col min="11273" max="11273" width="9.75" style="2" customWidth="1"/>
    <col min="11274" max="11274" width="10.75" style="2" customWidth="1"/>
    <col min="11275" max="11275" width="22.33203125" style="2" customWidth="1"/>
    <col min="11276" max="11297" width="8" style="2" customWidth="1"/>
    <col min="11298" max="11520" width="8.25" style="2"/>
    <col min="11521" max="11521" width="5.58203125" style="2" customWidth="1"/>
    <col min="11522" max="11522" width="5.75" style="2" customWidth="1"/>
    <col min="11523" max="11523" width="22.08203125" style="2" customWidth="1"/>
    <col min="11524" max="11528" width="10.58203125" style="2" customWidth="1"/>
    <col min="11529" max="11529" width="9.75" style="2" customWidth="1"/>
    <col min="11530" max="11530" width="10.75" style="2" customWidth="1"/>
    <col min="11531" max="11531" width="22.33203125" style="2" customWidth="1"/>
    <col min="11532" max="11553" width="8" style="2" customWidth="1"/>
    <col min="11554" max="11776" width="8.25" style="2"/>
    <col min="11777" max="11777" width="5.58203125" style="2" customWidth="1"/>
    <col min="11778" max="11778" width="5.75" style="2" customWidth="1"/>
    <col min="11779" max="11779" width="22.08203125" style="2" customWidth="1"/>
    <col min="11780" max="11784" width="10.58203125" style="2" customWidth="1"/>
    <col min="11785" max="11785" width="9.75" style="2" customWidth="1"/>
    <col min="11786" max="11786" width="10.75" style="2" customWidth="1"/>
    <col min="11787" max="11787" width="22.33203125" style="2" customWidth="1"/>
    <col min="11788" max="11809" width="8" style="2" customWidth="1"/>
    <col min="11810" max="12032" width="8.25" style="2"/>
    <col min="12033" max="12033" width="5.58203125" style="2" customWidth="1"/>
    <col min="12034" max="12034" width="5.75" style="2" customWidth="1"/>
    <col min="12035" max="12035" width="22.08203125" style="2" customWidth="1"/>
    <col min="12036" max="12040" width="10.58203125" style="2" customWidth="1"/>
    <col min="12041" max="12041" width="9.75" style="2" customWidth="1"/>
    <col min="12042" max="12042" width="10.75" style="2" customWidth="1"/>
    <col min="12043" max="12043" width="22.33203125" style="2" customWidth="1"/>
    <col min="12044" max="12065" width="8" style="2" customWidth="1"/>
    <col min="12066" max="12288" width="8.25" style="2"/>
    <col min="12289" max="12289" width="5.58203125" style="2" customWidth="1"/>
    <col min="12290" max="12290" width="5.75" style="2" customWidth="1"/>
    <col min="12291" max="12291" width="22.08203125" style="2" customWidth="1"/>
    <col min="12292" max="12296" width="10.58203125" style="2" customWidth="1"/>
    <col min="12297" max="12297" width="9.75" style="2" customWidth="1"/>
    <col min="12298" max="12298" width="10.75" style="2" customWidth="1"/>
    <col min="12299" max="12299" width="22.33203125" style="2" customWidth="1"/>
    <col min="12300" max="12321" width="8" style="2" customWidth="1"/>
    <col min="12322" max="12544" width="8.25" style="2"/>
    <col min="12545" max="12545" width="5.58203125" style="2" customWidth="1"/>
    <col min="12546" max="12546" width="5.75" style="2" customWidth="1"/>
    <col min="12547" max="12547" width="22.08203125" style="2" customWidth="1"/>
    <col min="12548" max="12552" width="10.58203125" style="2" customWidth="1"/>
    <col min="12553" max="12553" width="9.75" style="2" customWidth="1"/>
    <col min="12554" max="12554" width="10.75" style="2" customWidth="1"/>
    <col min="12555" max="12555" width="22.33203125" style="2" customWidth="1"/>
    <col min="12556" max="12577" width="8" style="2" customWidth="1"/>
    <col min="12578" max="12800" width="8.25" style="2"/>
    <col min="12801" max="12801" width="5.58203125" style="2" customWidth="1"/>
    <col min="12802" max="12802" width="5.75" style="2" customWidth="1"/>
    <col min="12803" max="12803" width="22.08203125" style="2" customWidth="1"/>
    <col min="12804" max="12808" width="10.58203125" style="2" customWidth="1"/>
    <col min="12809" max="12809" width="9.75" style="2" customWidth="1"/>
    <col min="12810" max="12810" width="10.75" style="2" customWidth="1"/>
    <col min="12811" max="12811" width="22.33203125" style="2" customWidth="1"/>
    <col min="12812" max="12833" width="8" style="2" customWidth="1"/>
    <col min="12834" max="13056" width="8.25" style="2"/>
    <col min="13057" max="13057" width="5.58203125" style="2" customWidth="1"/>
    <col min="13058" max="13058" width="5.75" style="2" customWidth="1"/>
    <col min="13059" max="13059" width="22.08203125" style="2" customWidth="1"/>
    <col min="13060" max="13064" width="10.58203125" style="2" customWidth="1"/>
    <col min="13065" max="13065" width="9.75" style="2" customWidth="1"/>
    <col min="13066" max="13066" width="10.75" style="2" customWidth="1"/>
    <col min="13067" max="13067" width="22.33203125" style="2" customWidth="1"/>
    <col min="13068" max="13089" width="8" style="2" customWidth="1"/>
    <col min="13090" max="13312" width="8.25" style="2"/>
    <col min="13313" max="13313" width="5.58203125" style="2" customWidth="1"/>
    <col min="13314" max="13314" width="5.75" style="2" customWidth="1"/>
    <col min="13315" max="13315" width="22.08203125" style="2" customWidth="1"/>
    <col min="13316" max="13320" width="10.58203125" style="2" customWidth="1"/>
    <col min="13321" max="13321" width="9.75" style="2" customWidth="1"/>
    <col min="13322" max="13322" width="10.75" style="2" customWidth="1"/>
    <col min="13323" max="13323" width="22.33203125" style="2" customWidth="1"/>
    <col min="13324" max="13345" width="8" style="2" customWidth="1"/>
    <col min="13346" max="13568" width="8.25" style="2"/>
    <col min="13569" max="13569" width="5.58203125" style="2" customWidth="1"/>
    <col min="13570" max="13570" width="5.75" style="2" customWidth="1"/>
    <col min="13571" max="13571" width="22.08203125" style="2" customWidth="1"/>
    <col min="13572" max="13576" width="10.58203125" style="2" customWidth="1"/>
    <col min="13577" max="13577" width="9.75" style="2" customWidth="1"/>
    <col min="13578" max="13578" width="10.75" style="2" customWidth="1"/>
    <col min="13579" max="13579" width="22.33203125" style="2" customWidth="1"/>
    <col min="13580" max="13601" width="8" style="2" customWidth="1"/>
    <col min="13602" max="13824" width="8.25" style="2"/>
    <col min="13825" max="13825" width="5.58203125" style="2" customWidth="1"/>
    <col min="13826" max="13826" width="5.75" style="2" customWidth="1"/>
    <col min="13827" max="13827" width="22.08203125" style="2" customWidth="1"/>
    <col min="13828" max="13832" width="10.58203125" style="2" customWidth="1"/>
    <col min="13833" max="13833" width="9.75" style="2" customWidth="1"/>
    <col min="13834" max="13834" width="10.75" style="2" customWidth="1"/>
    <col min="13835" max="13835" width="22.33203125" style="2" customWidth="1"/>
    <col min="13836" max="13857" width="8" style="2" customWidth="1"/>
    <col min="13858" max="14080" width="8.25" style="2"/>
    <col min="14081" max="14081" width="5.58203125" style="2" customWidth="1"/>
    <col min="14082" max="14082" width="5.75" style="2" customWidth="1"/>
    <col min="14083" max="14083" width="22.08203125" style="2" customWidth="1"/>
    <col min="14084" max="14088" width="10.58203125" style="2" customWidth="1"/>
    <col min="14089" max="14089" width="9.75" style="2" customWidth="1"/>
    <col min="14090" max="14090" width="10.75" style="2" customWidth="1"/>
    <col min="14091" max="14091" width="22.33203125" style="2" customWidth="1"/>
    <col min="14092" max="14113" width="8" style="2" customWidth="1"/>
    <col min="14114" max="14336" width="8.25" style="2"/>
    <col min="14337" max="14337" width="5.58203125" style="2" customWidth="1"/>
    <col min="14338" max="14338" width="5.75" style="2" customWidth="1"/>
    <col min="14339" max="14339" width="22.08203125" style="2" customWidth="1"/>
    <col min="14340" max="14344" width="10.58203125" style="2" customWidth="1"/>
    <col min="14345" max="14345" width="9.75" style="2" customWidth="1"/>
    <col min="14346" max="14346" width="10.75" style="2" customWidth="1"/>
    <col min="14347" max="14347" width="22.33203125" style="2" customWidth="1"/>
    <col min="14348" max="14369" width="8" style="2" customWidth="1"/>
    <col min="14370" max="14592" width="8.25" style="2"/>
    <col min="14593" max="14593" width="5.58203125" style="2" customWidth="1"/>
    <col min="14594" max="14594" width="5.75" style="2" customWidth="1"/>
    <col min="14595" max="14595" width="22.08203125" style="2" customWidth="1"/>
    <col min="14596" max="14600" width="10.58203125" style="2" customWidth="1"/>
    <col min="14601" max="14601" width="9.75" style="2" customWidth="1"/>
    <col min="14602" max="14602" width="10.75" style="2" customWidth="1"/>
    <col min="14603" max="14603" width="22.33203125" style="2" customWidth="1"/>
    <col min="14604" max="14625" width="8" style="2" customWidth="1"/>
    <col min="14626" max="14848" width="8.25" style="2"/>
    <col min="14849" max="14849" width="5.58203125" style="2" customWidth="1"/>
    <col min="14850" max="14850" width="5.75" style="2" customWidth="1"/>
    <col min="14851" max="14851" width="22.08203125" style="2" customWidth="1"/>
    <col min="14852" max="14856" width="10.58203125" style="2" customWidth="1"/>
    <col min="14857" max="14857" width="9.75" style="2" customWidth="1"/>
    <col min="14858" max="14858" width="10.75" style="2" customWidth="1"/>
    <col min="14859" max="14859" width="22.33203125" style="2" customWidth="1"/>
    <col min="14860" max="14881" width="8" style="2" customWidth="1"/>
    <col min="14882" max="15104" width="8.25" style="2"/>
    <col min="15105" max="15105" width="5.58203125" style="2" customWidth="1"/>
    <col min="15106" max="15106" width="5.75" style="2" customWidth="1"/>
    <col min="15107" max="15107" width="22.08203125" style="2" customWidth="1"/>
    <col min="15108" max="15112" width="10.58203125" style="2" customWidth="1"/>
    <col min="15113" max="15113" width="9.75" style="2" customWidth="1"/>
    <col min="15114" max="15114" width="10.75" style="2" customWidth="1"/>
    <col min="15115" max="15115" width="22.33203125" style="2" customWidth="1"/>
    <col min="15116" max="15137" width="8" style="2" customWidth="1"/>
    <col min="15138" max="15360" width="8.25" style="2"/>
    <col min="15361" max="15361" width="5.58203125" style="2" customWidth="1"/>
    <col min="15362" max="15362" width="5.75" style="2" customWidth="1"/>
    <col min="15363" max="15363" width="22.08203125" style="2" customWidth="1"/>
    <col min="15364" max="15368" width="10.58203125" style="2" customWidth="1"/>
    <col min="15369" max="15369" width="9.75" style="2" customWidth="1"/>
    <col min="15370" max="15370" width="10.75" style="2" customWidth="1"/>
    <col min="15371" max="15371" width="22.33203125" style="2" customWidth="1"/>
    <col min="15372" max="15393" width="8" style="2" customWidth="1"/>
    <col min="15394" max="15616" width="8.25" style="2"/>
    <col min="15617" max="15617" width="5.58203125" style="2" customWidth="1"/>
    <col min="15618" max="15618" width="5.75" style="2" customWidth="1"/>
    <col min="15619" max="15619" width="22.08203125" style="2" customWidth="1"/>
    <col min="15620" max="15624" width="10.58203125" style="2" customWidth="1"/>
    <col min="15625" max="15625" width="9.75" style="2" customWidth="1"/>
    <col min="15626" max="15626" width="10.75" style="2" customWidth="1"/>
    <col min="15627" max="15627" width="22.33203125" style="2" customWidth="1"/>
    <col min="15628" max="15649" width="8" style="2" customWidth="1"/>
    <col min="15650" max="15872" width="8.25" style="2"/>
    <col min="15873" max="15873" width="5.58203125" style="2" customWidth="1"/>
    <col min="15874" max="15874" width="5.75" style="2" customWidth="1"/>
    <col min="15875" max="15875" width="22.08203125" style="2" customWidth="1"/>
    <col min="15876" max="15880" width="10.58203125" style="2" customWidth="1"/>
    <col min="15881" max="15881" width="9.75" style="2" customWidth="1"/>
    <col min="15882" max="15882" width="10.75" style="2" customWidth="1"/>
    <col min="15883" max="15883" width="22.33203125" style="2" customWidth="1"/>
    <col min="15884" max="15905" width="8" style="2" customWidth="1"/>
    <col min="15906" max="16128" width="8.25" style="2"/>
    <col min="16129" max="16129" width="5.58203125" style="2" customWidth="1"/>
    <col min="16130" max="16130" width="5.75" style="2" customWidth="1"/>
    <col min="16131" max="16131" width="22.08203125" style="2" customWidth="1"/>
    <col min="16132" max="16136" width="10.58203125" style="2" customWidth="1"/>
    <col min="16137" max="16137" width="9.75" style="2" customWidth="1"/>
    <col min="16138" max="16138" width="10.75" style="2" customWidth="1"/>
    <col min="16139" max="16139" width="22.33203125" style="2" customWidth="1"/>
    <col min="16140" max="16161" width="8" style="2" customWidth="1"/>
    <col min="16162" max="16384" width="8.25" style="2"/>
  </cols>
  <sheetData>
    <row r="1" spans="1:11" ht="15" customHeight="1">
      <c r="A1" s="1" t="s">
        <v>0</v>
      </c>
      <c r="B1" s="50"/>
      <c r="C1" s="50"/>
      <c r="H1" s="51" t="s">
        <v>1</v>
      </c>
      <c r="I1" s="51"/>
    </row>
    <row r="2" spans="1:11" ht="15" customHeight="1">
      <c r="A2" s="53"/>
      <c r="B2" s="54"/>
      <c r="C2" s="55"/>
      <c r="D2" s="56" t="s">
        <v>2</v>
      </c>
      <c r="E2" s="56" t="s">
        <v>3</v>
      </c>
      <c r="F2" s="56" t="s">
        <v>4</v>
      </c>
      <c r="G2" s="56" t="s">
        <v>5</v>
      </c>
      <c r="H2" s="57" t="s">
        <v>6</v>
      </c>
      <c r="I2" s="57" t="s">
        <v>3136</v>
      </c>
      <c r="J2" s="58"/>
      <c r="K2" s="58"/>
    </row>
    <row r="3" spans="1:11" ht="15" customHeight="1">
      <c r="A3" s="1714" t="s">
        <v>8</v>
      </c>
      <c r="B3" s="1715"/>
      <c r="C3" s="60" t="s">
        <v>9</v>
      </c>
      <c r="D3" s="61" t="s">
        <v>10</v>
      </c>
      <c r="E3" s="61" t="s">
        <v>11</v>
      </c>
      <c r="F3" s="61" t="s">
        <v>12</v>
      </c>
      <c r="G3" s="61" t="s">
        <v>13</v>
      </c>
      <c r="H3" s="62" t="s">
        <v>14</v>
      </c>
      <c r="I3" s="62" t="s">
        <v>3137</v>
      </c>
      <c r="J3" s="63" t="s">
        <v>15</v>
      </c>
      <c r="K3" s="64" t="s">
        <v>16</v>
      </c>
    </row>
    <row r="4" spans="1:11" ht="15" customHeight="1">
      <c r="A4" s="226" t="s">
        <v>587</v>
      </c>
      <c r="B4" s="227" t="s">
        <v>24</v>
      </c>
      <c r="C4" s="228" t="s">
        <v>589</v>
      </c>
      <c r="D4" s="229">
        <v>70256</v>
      </c>
      <c r="E4" s="229">
        <v>81027</v>
      </c>
      <c r="F4" s="229">
        <v>87189</v>
      </c>
      <c r="G4" s="230">
        <v>35592</v>
      </c>
      <c r="H4" s="231">
        <v>58157</v>
      </c>
      <c r="I4" s="231">
        <f>CT作業分類比較!D363</f>
        <v>70256</v>
      </c>
      <c r="J4" s="5">
        <f>H4/D4*100</f>
        <v>82.778695058073339</v>
      </c>
      <c r="K4" s="6">
        <f>H4-D4</f>
        <v>-12099</v>
      </c>
    </row>
    <row r="5" spans="1:11" ht="15" customHeight="1">
      <c r="A5" s="93" t="s">
        <v>808</v>
      </c>
      <c r="B5" s="94" t="s">
        <v>24</v>
      </c>
      <c r="C5" s="95" t="s">
        <v>810</v>
      </c>
      <c r="D5" s="19">
        <v>9768</v>
      </c>
      <c r="E5" s="19">
        <v>13563</v>
      </c>
      <c r="F5" s="19">
        <v>23279</v>
      </c>
      <c r="G5" s="8">
        <v>26514</v>
      </c>
      <c r="H5" s="74">
        <v>61314</v>
      </c>
      <c r="I5" s="74">
        <f>雇用表!C382</f>
        <v>3976</v>
      </c>
      <c r="J5" s="9">
        <f>H5/D5*100</f>
        <v>627.70270270270271</v>
      </c>
      <c r="K5" s="10">
        <f>H5-D5</f>
        <v>51546</v>
      </c>
    </row>
    <row r="6" spans="1:11" ht="15" customHeight="1">
      <c r="A6" s="223" t="s">
        <v>808</v>
      </c>
      <c r="B6" s="224" t="s">
        <v>67</v>
      </c>
      <c r="C6" s="225" t="s">
        <v>811</v>
      </c>
      <c r="D6" s="220">
        <v>184265</v>
      </c>
      <c r="E6" s="220">
        <v>155977</v>
      </c>
      <c r="F6" s="220">
        <v>167414</v>
      </c>
      <c r="G6" s="221">
        <v>67795</v>
      </c>
      <c r="H6" s="222">
        <v>60573</v>
      </c>
      <c r="I6" s="222">
        <f>雇用表!C383</f>
        <v>1700</v>
      </c>
      <c r="J6" s="9">
        <f>H6/D6*100</f>
        <v>32.872764768132853</v>
      </c>
      <c r="K6" s="10">
        <f>H6-D6</f>
        <v>-123692</v>
      </c>
    </row>
    <row r="7" spans="1:11" ht="15" customHeight="1">
      <c r="A7" s="223" t="s">
        <v>808</v>
      </c>
      <c r="B7" s="224" t="s">
        <v>69</v>
      </c>
      <c r="C7" s="225" t="s">
        <v>812</v>
      </c>
      <c r="D7" s="220">
        <v>175954</v>
      </c>
      <c r="E7" s="220">
        <v>201477</v>
      </c>
      <c r="F7" s="220">
        <v>147819</v>
      </c>
      <c r="G7" s="221">
        <v>148031</v>
      </c>
      <c r="H7" s="222">
        <v>142976</v>
      </c>
      <c r="I7" s="222">
        <f>雇用表!C384</f>
        <v>19297</v>
      </c>
      <c r="J7" s="9">
        <f>H7/D7*100</f>
        <v>81.257601418552568</v>
      </c>
      <c r="K7" s="10">
        <f>H7-D7</f>
        <v>-32978</v>
      </c>
    </row>
    <row r="8" spans="1:11" ht="15" customHeight="1">
      <c r="A8" s="99" t="s">
        <v>808</v>
      </c>
      <c r="B8" s="100" t="s">
        <v>71</v>
      </c>
      <c r="C8" s="96" t="s">
        <v>813</v>
      </c>
      <c r="D8" s="24">
        <v>171696</v>
      </c>
      <c r="E8" s="24">
        <v>130323</v>
      </c>
      <c r="F8" s="24">
        <v>115020</v>
      </c>
      <c r="G8" s="12">
        <v>122532</v>
      </c>
      <c r="H8" s="82">
        <v>111376</v>
      </c>
      <c r="I8" s="82">
        <f>雇用表!C385</f>
        <v>6275</v>
      </c>
      <c r="J8" s="13">
        <f>H8/D8*100</f>
        <v>64.868139036436489</v>
      </c>
      <c r="K8" s="14">
        <f>H8-D8</f>
        <v>-60320</v>
      </c>
    </row>
    <row r="9" spans="1:11">
      <c r="A9" s="130" t="s">
        <v>830</v>
      </c>
      <c r="D9" s="8"/>
      <c r="E9" s="8"/>
      <c r="F9" s="8"/>
      <c r="G9" s="8"/>
      <c r="K9" s="131" t="s">
        <v>42</v>
      </c>
    </row>
    <row r="11" spans="1:11">
      <c r="C11" s="2" t="s">
        <v>3970</v>
      </c>
    </row>
    <row r="12" spans="1:11">
      <c r="C12" s="637"/>
      <c r="D12" s="635" t="s">
        <v>3136</v>
      </c>
    </row>
    <row r="13" spans="1:11">
      <c r="C13" s="638"/>
      <c r="D13" s="642">
        <v>44348</v>
      </c>
    </row>
    <row r="14" spans="1:11">
      <c r="C14" s="639" t="s">
        <v>3434</v>
      </c>
      <c r="D14" s="627">
        <v>146</v>
      </c>
    </row>
    <row r="15" spans="1:11">
      <c r="C15" s="639" t="s">
        <v>3618</v>
      </c>
      <c r="D15" s="627">
        <v>557</v>
      </c>
    </row>
    <row r="16" spans="1:11">
      <c r="C16" s="639" t="s">
        <v>3801</v>
      </c>
      <c r="D16" s="627">
        <v>98</v>
      </c>
    </row>
    <row r="17" spans="3:4">
      <c r="C17" s="639" t="s">
        <v>3802</v>
      </c>
      <c r="D17" s="627">
        <v>45</v>
      </c>
    </row>
    <row r="18" spans="3:4">
      <c r="C18" s="639" t="s">
        <v>3803</v>
      </c>
      <c r="D18" s="627">
        <v>904</v>
      </c>
    </row>
    <row r="19" spans="3:4">
      <c r="C19" s="639" t="s">
        <v>3804</v>
      </c>
      <c r="D19" s="627">
        <v>183</v>
      </c>
    </row>
    <row r="20" spans="3:4">
      <c r="C20" s="639" t="s">
        <v>3805</v>
      </c>
      <c r="D20" s="627">
        <v>73</v>
      </c>
    </row>
    <row r="21" spans="3:4">
      <c r="C21" s="639" t="s">
        <v>3806</v>
      </c>
      <c r="D21" s="627">
        <v>141</v>
      </c>
    </row>
    <row r="22" spans="3:4">
      <c r="C22" s="639" t="s">
        <v>3807</v>
      </c>
      <c r="D22" s="627">
        <v>117</v>
      </c>
    </row>
    <row r="23" spans="3:4">
      <c r="C23" s="639" t="s">
        <v>3808</v>
      </c>
      <c r="D23" s="627">
        <v>16</v>
      </c>
    </row>
    <row r="24" spans="3:4">
      <c r="C24" s="639" t="s">
        <v>3809</v>
      </c>
      <c r="D24" s="627">
        <v>27</v>
      </c>
    </row>
    <row r="25" spans="3:4">
      <c r="C25" s="639" t="s">
        <v>3810</v>
      </c>
      <c r="D25" s="627">
        <v>26</v>
      </c>
    </row>
    <row r="26" spans="3:4">
      <c r="C26" s="640" t="s">
        <v>3811</v>
      </c>
      <c r="D26" s="643">
        <v>321</v>
      </c>
    </row>
    <row r="27" spans="3:4">
      <c r="C27" s="639" t="s">
        <v>3858</v>
      </c>
      <c r="D27" s="627">
        <v>547</v>
      </c>
    </row>
    <row r="28" spans="3:4">
      <c r="C28" s="641" t="s">
        <v>1588</v>
      </c>
      <c r="D28" s="644">
        <f>SUM(D14:D27)</f>
        <v>3201</v>
      </c>
    </row>
  </sheetData>
  <mergeCells count="1">
    <mergeCell ref="A3:B3"/>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DD82-7F59-4BF2-ABAF-47157CD8A382}">
  <dimension ref="A1:BF141"/>
  <sheetViews>
    <sheetView topLeftCell="A105" workbookViewId="0">
      <pane xSplit="2" ySplit="5" topLeftCell="AC122" activePane="bottomRight" state="frozen"/>
      <selection activeCell="A105" sqref="A105"/>
      <selection pane="topRight" activeCell="C105" sqref="C105"/>
      <selection pane="bottomLeft" activeCell="A110" sqref="A110"/>
      <selection pane="bottomRight" activeCell="AM128" sqref="AM128"/>
    </sheetView>
  </sheetViews>
  <sheetFormatPr defaultRowHeight="13"/>
  <cols>
    <col min="1" max="1" width="9.5" style="133" customWidth="1"/>
    <col min="2" max="3" width="10.58203125" style="133" customWidth="1"/>
    <col min="4" max="36" width="9.5" style="133" customWidth="1"/>
    <col min="37" max="37" width="10.58203125" style="133" customWidth="1"/>
    <col min="38" max="40" width="9.5" style="133" customWidth="1"/>
    <col min="41" max="41" width="9.08203125" style="133" bestFit="1" customWidth="1"/>
    <col min="42" max="42" width="9.33203125" style="133" customWidth="1"/>
    <col min="43" max="43" width="9.08203125" style="133" bestFit="1" customWidth="1"/>
    <col min="44" max="44" width="9.33203125" style="133" customWidth="1"/>
    <col min="45" max="45" width="9.08203125" style="133" bestFit="1" customWidth="1"/>
    <col min="46" max="46" width="10.5" style="133" customWidth="1"/>
    <col min="47" max="48" width="9.08203125" style="133" bestFit="1" customWidth="1"/>
    <col min="49" max="49" width="9" style="133"/>
    <col min="50" max="50" width="10.58203125" style="133" bestFit="1" customWidth="1"/>
    <col min="51" max="51" width="9.08203125" style="133" bestFit="1" customWidth="1"/>
    <col min="52" max="52" width="10" style="133" customWidth="1"/>
    <col min="53" max="53" width="9.08203125" style="133" bestFit="1" customWidth="1"/>
    <col min="54" max="54" width="10.5" style="133" customWidth="1"/>
    <col min="55" max="55" width="9.08203125" style="133" bestFit="1" customWidth="1"/>
    <col min="56" max="257" width="9" style="133"/>
    <col min="258" max="258" width="9.5" style="133" customWidth="1"/>
    <col min="259" max="260" width="10.58203125" style="133" customWidth="1"/>
    <col min="261" max="293" width="9.5" style="133" customWidth="1"/>
    <col min="294" max="294" width="10.58203125" style="133" customWidth="1"/>
    <col min="295" max="296" width="9.5" style="133" customWidth="1"/>
    <col min="297" max="297" width="9.08203125" style="133" bestFit="1" customWidth="1"/>
    <col min="298" max="298" width="9.33203125" style="133" customWidth="1"/>
    <col min="299" max="299" width="9.08203125" style="133" bestFit="1" customWidth="1"/>
    <col min="300" max="300" width="9.33203125" style="133" customWidth="1"/>
    <col min="301" max="301" width="9.08203125" style="133" bestFit="1" customWidth="1"/>
    <col min="302" max="302" width="10.5" style="133" customWidth="1"/>
    <col min="303" max="304" width="9.08203125" style="133" bestFit="1" customWidth="1"/>
    <col min="305" max="305" width="9" style="133"/>
    <col min="306" max="306" width="10.58203125" style="133" bestFit="1" customWidth="1"/>
    <col min="307" max="307" width="9.08203125" style="133" bestFit="1" customWidth="1"/>
    <col min="308" max="308" width="10" style="133" customWidth="1"/>
    <col min="309" max="309" width="9.08203125" style="133" bestFit="1" customWidth="1"/>
    <col min="310" max="310" width="10.5" style="133" customWidth="1"/>
    <col min="311" max="311" width="9.08203125" style="133" bestFit="1" customWidth="1"/>
    <col min="312" max="513" width="9" style="133"/>
    <col min="514" max="514" width="9.5" style="133" customWidth="1"/>
    <col min="515" max="516" width="10.58203125" style="133" customWidth="1"/>
    <col min="517" max="549" width="9.5" style="133" customWidth="1"/>
    <col min="550" max="550" width="10.58203125" style="133" customWidth="1"/>
    <col min="551" max="552" width="9.5" style="133" customWidth="1"/>
    <col min="553" max="553" width="9.08203125" style="133" bestFit="1" customWidth="1"/>
    <col min="554" max="554" width="9.33203125" style="133" customWidth="1"/>
    <col min="555" max="555" width="9.08203125" style="133" bestFit="1" customWidth="1"/>
    <col min="556" max="556" width="9.33203125" style="133" customWidth="1"/>
    <col min="557" max="557" width="9.08203125" style="133" bestFit="1" customWidth="1"/>
    <col min="558" max="558" width="10.5" style="133" customWidth="1"/>
    <col min="559" max="560" width="9.08203125" style="133" bestFit="1" customWidth="1"/>
    <col min="561" max="561" width="9" style="133"/>
    <col min="562" max="562" width="10.58203125" style="133" bestFit="1" customWidth="1"/>
    <col min="563" max="563" width="9.08203125" style="133" bestFit="1" customWidth="1"/>
    <col min="564" max="564" width="10" style="133" customWidth="1"/>
    <col min="565" max="565" width="9.08203125" style="133" bestFit="1" customWidth="1"/>
    <col min="566" max="566" width="10.5" style="133" customWidth="1"/>
    <col min="567" max="567" width="9.08203125" style="133" bestFit="1" customWidth="1"/>
    <col min="568" max="769" width="9" style="133"/>
    <col min="770" max="770" width="9.5" style="133" customWidth="1"/>
    <col min="771" max="772" width="10.58203125" style="133" customWidth="1"/>
    <col min="773" max="805" width="9.5" style="133" customWidth="1"/>
    <col min="806" max="806" width="10.58203125" style="133" customWidth="1"/>
    <col min="807" max="808" width="9.5" style="133" customWidth="1"/>
    <col min="809" max="809" width="9.08203125" style="133" bestFit="1" customWidth="1"/>
    <col min="810" max="810" width="9.33203125" style="133" customWidth="1"/>
    <col min="811" max="811" width="9.08203125" style="133" bestFit="1" customWidth="1"/>
    <col min="812" max="812" width="9.33203125" style="133" customWidth="1"/>
    <col min="813" max="813" width="9.08203125" style="133" bestFit="1" customWidth="1"/>
    <col min="814" max="814" width="10.5" style="133" customWidth="1"/>
    <col min="815" max="816" width="9.08203125" style="133" bestFit="1" customWidth="1"/>
    <col min="817" max="817" width="9" style="133"/>
    <col min="818" max="818" width="10.58203125" style="133" bestFit="1" customWidth="1"/>
    <col min="819" max="819" width="9.08203125" style="133" bestFit="1" customWidth="1"/>
    <col min="820" max="820" width="10" style="133" customWidth="1"/>
    <col min="821" max="821" width="9.08203125" style="133" bestFit="1" customWidth="1"/>
    <col min="822" max="822" width="10.5" style="133" customWidth="1"/>
    <col min="823" max="823" width="9.08203125" style="133" bestFit="1" customWidth="1"/>
    <col min="824" max="1025" width="9" style="133"/>
    <col min="1026" max="1026" width="9.5" style="133" customWidth="1"/>
    <col min="1027" max="1028" width="10.58203125" style="133" customWidth="1"/>
    <col min="1029" max="1061" width="9.5" style="133" customWidth="1"/>
    <col min="1062" max="1062" width="10.58203125" style="133" customWidth="1"/>
    <col min="1063" max="1064" width="9.5" style="133" customWidth="1"/>
    <col min="1065" max="1065" width="9.08203125" style="133" bestFit="1" customWidth="1"/>
    <col min="1066" max="1066" width="9.33203125" style="133" customWidth="1"/>
    <col min="1067" max="1067" width="9.08203125" style="133" bestFit="1" customWidth="1"/>
    <col min="1068" max="1068" width="9.33203125" style="133" customWidth="1"/>
    <col min="1069" max="1069" width="9.08203125" style="133" bestFit="1" customWidth="1"/>
    <col min="1070" max="1070" width="10.5" style="133" customWidth="1"/>
    <col min="1071" max="1072" width="9.08203125" style="133" bestFit="1" customWidth="1"/>
    <col min="1073" max="1073" width="9" style="133"/>
    <col min="1074" max="1074" width="10.58203125" style="133" bestFit="1" customWidth="1"/>
    <col min="1075" max="1075" width="9.08203125" style="133" bestFit="1" customWidth="1"/>
    <col min="1076" max="1076" width="10" style="133" customWidth="1"/>
    <col min="1077" max="1077" width="9.08203125" style="133" bestFit="1" customWidth="1"/>
    <col min="1078" max="1078" width="10.5" style="133" customWidth="1"/>
    <col min="1079" max="1079" width="9.08203125" style="133" bestFit="1" customWidth="1"/>
    <col min="1080" max="1281" width="9" style="133"/>
    <col min="1282" max="1282" width="9.5" style="133" customWidth="1"/>
    <col min="1283" max="1284" width="10.58203125" style="133" customWidth="1"/>
    <col min="1285" max="1317" width="9.5" style="133" customWidth="1"/>
    <col min="1318" max="1318" width="10.58203125" style="133" customWidth="1"/>
    <col min="1319" max="1320" width="9.5" style="133" customWidth="1"/>
    <col min="1321" max="1321" width="9.08203125" style="133" bestFit="1" customWidth="1"/>
    <col min="1322" max="1322" width="9.33203125" style="133" customWidth="1"/>
    <col min="1323" max="1323" width="9.08203125" style="133" bestFit="1" customWidth="1"/>
    <col min="1324" max="1324" width="9.33203125" style="133" customWidth="1"/>
    <col min="1325" max="1325" width="9.08203125" style="133" bestFit="1" customWidth="1"/>
    <col min="1326" max="1326" width="10.5" style="133" customWidth="1"/>
    <col min="1327" max="1328" width="9.08203125" style="133" bestFit="1" customWidth="1"/>
    <col min="1329" max="1329" width="9" style="133"/>
    <col min="1330" max="1330" width="10.58203125" style="133" bestFit="1" customWidth="1"/>
    <col min="1331" max="1331" width="9.08203125" style="133" bestFit="1" customWidth="1"/>
    <col min="1332" max="1332" width="10" style="133" customWidth="1"/>
    <col min="1333" max="1333" width="9.08203125" style="133" bestFit="1" customWidth="1"/>
    <col min="1334" max="1334" width="10.5" style="133" customWidth="1"/>
    <col min="1335" max="1335" width="9.08203125" style="133" bestFit="1" customWidth="1"/>
    <col min="1336" max="1537" width="9" style="133"/>
    <col min="1538" max="1538" width="9.5" style="133" customWidth="1"/>
    <col min="1539" max="1540" width="10.58203125" style="133" customWidth="1"/>
    <col min="1541" max="1573" width="9.5" style="133" customWidth="1"/>
    <col min="1574" max="1574" width="10.58203125" style="133" customWidth="1"/>
    <col min="1575" max="1576" width="9.5" style="133" customWidth="1"/>
    <col min="1577" max="1577" width="9.08203125" style="133" bestFit="1" customWidth="1"/>
    <col min="1578" max="1578" width="9.33203125" style="133" customWidth="1"/>
    <col min="1579" max="1579" width="9.08203125" style="133" bestFit="1" customWidth="1"/>
    <col min="1580" max="1580" width="9.33203125" style="133" customWidth="1"/>
    <col min="1581" max="1581" width="9.08203125" style="133" bestFit="1" customWidth="1"/>
    <col min="1582" max="1582" width="10.5" style="133" customWidth="1"/>
    <col min="1583" max="1584" width="9.08203125" style="133" bestFit="1" customWidth="1"/>
    <col min="1585" max="1585" width="9" style="133"/>
    <col min="1586" max="1586" width="10.58203125" style="133" bestFit="1" customWidth="1"/>
    <col min="1587" max="1587" width="9.08203125" style="133" bestFit="1" customWidth="1"/>
    <col min="1588" max="1588" width="10" style="133" customWidth="1"/>
    <col min="1589" max="1589" width="9.08203125" style="133" bestFit="1" customWidth="1"/>
    <col min="1590" max="1590" width="10.5" style="133" customWidth="1"/>
    <col min="1591" max="1591" width="9.08203125" style="133" bestFit="1" customWidth="1"/>
    <col min="1592" max="1793" width="9" style="133"/>
    <col min="1794" max="1794" width="9.5" style="133" customWidth="1"/>
    <col min="1795" max="1796" width="10.58203125" style="133" customWidth="1"/>
    <col min="1797" max="1829" width="9.5" style="133" customWidth="1"/>
    <col min="1830" max="1830" width="10.58203125" style="133" customWidth="1"/>
    <col min="1831" max="1832" width="9.5" style="133" customWidth="1"/>
    <col min="1833" max="1833" width="9.08203125" style="133" bestFit="1" customWidth="1"/>
    <col min="1834" max="1834" width="9.33203125" style="133" customWidth="1"/>
    <col min="1835" max="1835" width="9.08203125" style="133" bestFit="1" customWidth="1"/>
    <col min="1836" max="1836" width="9.33203125" style="133" customWidth="1"/>
    <col min="1837" max="1837" width="9.08203125" style="133" bestFit="1" customWidth="1"/>
    <col min="1838" max="1838" width="10.5" style="133" customWidth="1"/>
    <col min="1839" max="1840" width="9.08203125" style="133" bestFit="1" customWidth="1"/>
    <col min="1841" max="1841" width="9" style="133"/>
    <col min="1842" max="1842" width="10.58203125" style="133" bestFit="1" customWidth="1"/>
    <col min="1843" max="1843" width="9.08203125" style="133" bestFit="1" customWidth="1"/>
    <col min="1844" max="1844" width="10" style="133" customWidth="1"/>
    <col min="1845" max="1845" width="9.08203125" style="133" bestFit="1" customWidth="1"/>
    <col min="1846" max="1846" width="10.5" style="133" customWidth="1"/>
    <col min="1847" max="1847" width="9.08203125" style="133" bestFit="1" customWidth="1"/>
    <col min="1848" max="2049" width="9" style="133"/>
    <col min="2050" max="2050" width="9.5" style="133" customWidth="1"/>
    <col min="2051" max="2052" width="10.58203125" style="133" customWidth="1"/>
    <col min="2053" max="2085" width="9.5" style="133" customWidth="1"/>
    <col min="2086" max="2086" width="10.58203125" style="133" customWidth="1"/>
    <col min="2087" max="2088" width="9.5" style="133" customWidth="1"/>
    <col min="2089" max="2089" width="9.08203125" style="133" bestFit="1" customWidth="1"/>
    <col min="2090" max="2090" width="9.33203125" style="133" customWidth="1"/>
    <col min="2091" max="2091" width="9.08203125" style="133" bestFit="1" customWidth="1"/>
    <col min="2092" max="2092" width="9.33203125" style="133" customWidth="1"/>
    <col min="2093" max="2093" width="9.08203125" style="133" bestFit="1" customWidth="1"/>
    <col min="2094" max="2094" width="10.5" style="133" customWidth="1"/>
    <col min="2095" max="2096" width="9.08203125" style="133" bestFit="1" customWidth="1"/>
    <col min="2097" max="2097" width="9" style="133"/>
    <col min="2098" max="2098" width="10.58203125" style="133" bestFit="1" customWidth="1"/>
    <col min="2099" max="2099" width="9.08203125" style="133" bestFit="1" customWidth="1"/>
    <col min="2100" max="2100" width="10" style="133" customWidth="1"/>
    <col min="2101" max="2101" width="9.08203125" style="133" bestFit="1" customWidth="1"/>
    <col min="2102" max="2102" width="10.5" style="133" customWidth="1"/>
    <col min="2103" max="2103" width="9.08203125" style="133" bestFit="1" customWidth="1"/>
    <col min="2104" max="2305" width="9" style="133"/>
    <col min="2306" max="2306" width="9.5" style="133" customWidth="1"/>
    <col min="2307" max="2308" width="10.58203125" style="133" customWidth="1"/>
    <col min="2309" max="2341" width="9.5" style="133" customWidth="1"/>
    <col min="2342" max="2342" width="10.58203125" style="133" customWidth="1"/>
    <col min="2343" max="2344" width="9.5" style="133" customWidth="1"/>
    <col min="2345" max="2345" width="9.08203125" style="133" bestFit="1" customWidth="1"/>
    <col min="2346" max="2346" width="9.33203125" style="133" customWidth="1"/>
    <col min="2347" max="2347" width="9.08203125" style="133" bestFit="1" customWidth="1"/>
    <col min="2348" max="2348" width="9.33203125" style="133" customWidth="1"/>
    <col min="2349" max="2349" width="9.08203125" style="133" bestFit="1" customWidth="1"/>
    <col min="2350" max="2350" width="10.5" style="133" customWidth="1"/>
    <col min="2351" max="2352" width="9.08203125" style="133" bestFit="1" customWidth="1"/>
    <col min="2353" max="2353" width="9" style="133"/>
    <col min="2354" max="2354" width="10.58203125" style="133" bestFit="1" customWidth="1"/>
    <col min="2355" max="2355" width="9.08203125" style="133" bestFit="1" customWidth="1"/>
    <col min="2356" max="2356" width="10" style="133" customWidth="1"/>
    <col min="2357" max="2357" width="9.08203125" style="133" bestFit="1" customWidth="1"/>
    <col min="2358" max="2358" width="10.5" style="133" customWidth="1"/>
    <col min="2359" max="2359" width="9.08203125" style="133" bestFit="1" customWidth="1"/>
    <col min="2360" max="2561" width="9" style="133"/>
    <col min="2562" max="2562" width="9.5" style="133" customWidth="1"/>
    <col min="2563" max="2564" width="10.58203125" style="133" customWidth="1"/>
    <col min="2565" max="2597" width="9.5" style="133" customWidth="1"/>
    <col min="2598" max="2598" width="10.58203125" style="133" customWidth="1"/>
    <col min="2599" max="2600" width="9.5" style="133" customWidth="1"/>
    <col min="2601" max="2601" width="9.08203125" style="133" bestFit="1" customWidth="1"/>
    <col min="2602" max="2602" width="9.33203125" style="133" customWidth="1"/>
    <col min="2603" max="2603" width="9.08203125" style="133" bestFit="1" customWidth="1"/>
    <col min="2604" max="2604" width="9.33203125" style="133" customWidth="1"/>
    <col min="2605" max="2605" width="9.08203125" style="133" bestFit="1" customWidth="1"/>
    <col min="2606" max="2606" width="10.5" style="133" customWidth="1"/>
    <col min="2607" max="2608" width="9.08203125" style="133" bestFit="1" customWidth="1"/>
    <col min="2609" max="2609" width="9" style="133"/>
    <col min="2610" max="2610" width="10.58203125" style="133" bestFit="1" customWidth="1"/>
    <col min="2611" max="2611" width="9.08203125" style="133" bestFit="1" customWidth="1"/>
    <col min="2612" max="2612" width="10" style="133" customWidth="1"/>
    <col min="2613" max="2613" width="9.08203125" style="133" bestFit="1" customWidth="1"/>
    <col min="2614" max="2614" width="10.5" style="133" customWidth="1"/>
    <col min="2615" max="2615" width="9.08203125" style="133" bestFit="1" customWidth="1"/>
    <col min="2616" max="2817" width="9" style="133"/>
    <col min="2818" max="2818" width="9.5" style="133" customWidth="1"/>
    <col min="2819" max="2820" width="10.58203125" style="133" customWidth="1"/>
    <col min="2821" max="2853" width="9.5" style="133" customWidth="1"/>
    <col min="2854" max="2854" width="10.58203125" style="133" customWidth="1"/>
    <col min="2855" max="2856" width="9.5" style="133" customWidth="1"/>
    <col min="2857" max="2857" width="9.08203125" style="133" bestFit="1" customWidth="1"/>
    <col min="2858" max="2858" width="9.33203125" style="133" customWidth="1"/>
    <col min="2859" max="2859" width="9.08203125" style="133" bestFit="1" customWidth="1"/>
    <col min="2860" max="2860" width="9.33203125" style="133" customWidth="1"/>
    <col min="2861" max="2861" width="9.08203125" style="133" bestFit="1" customWidth="1"/>
    <col min="2862" max="2862" width="10.5" style="133" customWidth="1"/>
    <col min="2863" max="2864" width="9.08203125" style="133" bestFit="1" customWidth="1"/>
    <col min="2865" max="2865" width="9" style="133"/>
    <col min="2866" max="2866" width="10.58203125" style="133" bestFit="1" customWidth="1"/>
    <col min="2867" max="2867" width="9.08203125" style="133" bestFit="1" customWidth="1"/>
    <col min="2868" max="2868" width="10" style="133" customWidth="1"/>
    <col min="2869" max="2869" width="9.08203125" style="133" bestFit="1" customWidth="1"/>
    <col min="2870" max="2870" width="10.5" style="133" customWidth="1"/>
    <col min="2871" max="2871" width="9.08203125" style="133" bestFit="1" customWidth="1"/>
    <col min="2872" max="3073" width="9" style="133"/>
    <col min="3074" max="3074" width="9.5" style="133" customWidth="1"/>
    <col min="3075" max="3076" width="10.58203125" style="133" customWidth="1"/>
    <col min="3077" max="3109" width="9.5" style="133" customWidth="1"/>
    <col min="3110" max="3110" width="10.58203125" style="133" customWidth="1"/>
    <col min="3111" max="3112" width="9.5" style="133" customWidth="1"/>
    <col min="3113" max="3113" width="9.08203125" style="133" bestFit="1" customWidth="1"/>
    <col min="3114" max="3114" width="9.33203125" style="133" customWidth="1"/>
    <col min="3115" max="3115" width="9.08203125" style="133" bestFit="1" customWidth="1"/>
    <col min="3116" max="3116" width="9.33203125" style="133" customWidth="1"/>
    <col min="3117" max="3117" width="9.08203125" style="133" bestFit="1" customWidth="1"/>
    <col min="3118" max="3118" width="10.5" style="133" customWidth="1"/>
    <col min="3119" max="3120" width="9.08203125" style="133" bestFit="1" customWidth="1"/>
    <col min="3121" max="3121" width="9" style="133"/>
    <col min="3122" max="3122" width="10.58203125" style="133" bestFit="1" customWidth="1"/>
    <col min="3123" max="3123" width="9.08203125" style="133" bestFit="1" customWidth="1"/>
    <col min="3124" max="3124" width="10" style="133" customWidth="1"/>
    <col min="3125" max="3125" width="9.08203125" style="133" bestFit="1" customWidth="1"/>
    <col min="3126" max="3126" width="10.5" style="133" customWidth="1"/>
    <col min="3127" max="3127" width="9.08203125" style="133" bestFit="1" customWidth="1"/>
    <col min="3128" max="3329" width="9" style="133"/>
    <col min="3330" max="3330" width="9.5" style="133" customWidth="1"/>
    <col min="3331" max="3332" width="10.58203125" style="133" customWidth="1"/>
    <col min="3333" max="3365" width="9.5" style="133" customWidth="1"/>
    <col min="3366" max="3366" width="10.58203125" style="133" customWidth="1"/>
    <col min="3367" max="3368" width="9.5" style="133" customWidth="1"/>
    <col min="3369" max="3369" width="9.08203125" style="133" bestFit="1" customWidth="1"/>
    <col min="3370" max="3370" width="9.33203125" style="133" customWidth="1"/>
    <col min="3371" max="3371" width="9.08203125" style="133" bestFit="1" customWidth="1"/>
    <col min="3372" max="3372" width="9.33203125" style="133" customWidth="1"/>
    <col min="3373" max="3373" width="9.08203125" style="133" bestFit="1" customWidth="1"/>
    <col min="3374" max="3374" width="10.5" style="133" customWidth="1"/>
    <col min="3375" max="3376" width="9.08203125" style="133" bestFit="1" customWidth="1"/>
    <col min="3377" max="3377" width="9" style="133"/>
    <col min="3378" max="3378" width="10.58203125" style="133" bestFit="1" customWidth="1"/>
    <col min="3379" max="3379" width="9.08203125" style="133" bestFit="1" customWidth="1"/>
    <col min="3380" max="3380" width="10" style="133" customWidth="1"/>
    <col min="3381" max="3381" width="9.08203125" style="133" bestFit="1" customWidth="1"/>
    <col min="3382" max="3382" width="10.5" style="133" customWidth="1"/>
    <col min="3383" max="3383" width="9.08203125" style="133" bestFit="1" customWidth="1"/>
    <col min="3384" max="3585" width="9" style="133"/>
    <col min="3586" max="3586" width="9.5" style="133" customWidth="1"/>
    <col min="3587" max="3588" width="10.58203125" style="133" customWidth="1"/>
    <col min="3589" max="3621" width="9.5" style="133" customWidth="1"/>
    <col min="3622" max="3622" width="10.58203125" style="133" customWidth="1"/>
    <col min="3623" max="3624" width="9.5" style="133" customWidth="1"/>
    <col min="3625" max="3625" width="9.08203125" style="133" bestFit="1" customWidth="1"/>
    <col min="3626" max="3626" width="9.33203125" style="133" customWidth="1"/>
    <col min="3627" max="3627" width="9.08203125" style="133" bestFit="1" customWidth="1"/>
    <col min="3628" max="3628" width="9.33203125" style="133" customWidth="1"/>
    <col min="3629" max="3629" width="9.08203125" style="133" bestFit="1" customWidth="1"/>
    <col min="3630" max="3630" width="10.5" style="133" customWidth="1"/>
    <col min="3631" max="3632" width="9.08203125" style="133" bestFit="1" customWidth="1"/>
    <col min="3633" max="3633" width="9" style="133"/>
    <col min="3634" max="3634" width="10.58203125" style="133" bestFit="1" customWidth="1"/>
    <col min="3635" max="3635" width="9.08203125" style="133" bestFit="1" customWidth="1"/>
    <col min="3636" max="3636" width="10" style="133" customWidth="1"/>
    <col min="3637" max="3637" width="9.08203125" style="133" bestFit="1" customWidth="1"/>
    <col min="3638" max="3638" width="10.5" style="133" customWidth="1"/>
    <col min="3639" max="3639" width="9.08203125" style="133" bestFit="1" customWidth="1"/>
    <col min="3640" max="3841" width="9" style="133"/>
    <col min="3842" max="3842" width="9.5" style="133" customWidth="1"/>
    <col min="3843" max="3844" width="10.58203125" style="133" customWidth="1"/>
    <col min="3845" max="3877" width="9.5" style="133" customWidth="1"/>
    <col min="3878" max="3878" width="10.58203125" style="133" customWidth="1"/>
    <col min="3879" max="3880" width="9.5" style="133" customWidth="1"/>
    <col min="3881" max="3881" width="9.08203125" style="133" bestFit="1" customWidth="1"/>
    <col min="3882" max="3882" width="9.33203125" style="133" customWidth="1"/>
    <col min="3883" max="3883" width="9.08203125" style="133" bestFit="1" customWidth="1"/>
    <col min="3884" max="3884" width="9.33203125" style="133" customWidth="1"/>
    <col min="3885" max="3885" width="9.08203125" style="133" bestFit="1" customWidth="1"/>
    <col min="3886" max="3886" width="10.5" style="133" customWidth="1"/>
    <col min="3887" max="3888" width="9.08203125" style="133" bestFit="1" customWidth="1"/>
    <col min="3889" max="3889" width="9" style="133"/>
    <col min="3890" max="3890" width="10.58203125" style="133" bestFit="1" customWidth="1"/>
    <col min="3891" max="3891" width="9.08203125" style="133" bestFit="1" customWidth="1"/>
    <col min="3892" max="3892" width="10" style="133" customWidth="1"/>
    <col min="3893" max="3893" width="9.08203125" style="133" bestFit="1" customWidth="1"/>
    <col min="3894" max="3894" width="10.5" style="133" customWidth="1"/>
    <col min="3895" max="3895" width="9.08203125" style="133" bestFit="1" customWidth="1"/>
    <col min="3896" max="4097" width="9" style="133"/>
    <col min="4098" max="4098" width="9.5" style="133" customWidth="1"/>
    <col min="4099" max="4100" width="10.58203125" style="133" customWidth="1"/>
    <col min="4101" max="4133" width="9.5" style="133" customWidth="1"/>
    <col min="4134" max="4134" width="10.58203125" style="133" customWidth="1"/>
    <col min="4135" max="4136" width="9.5" style="133" customWidth="1"/>
    <col min="4137" max="4137" width="9.08203125" style="133" bestFit="1" customWidth="1"/>
    <col min="4138" max="4138" width="9.33203125" style="133" customWidth="1"/>
    <col min="4139" max="4139" width="9.08203125" style="133" bestFit="1" customWidth="1"/>
    <col min="4140" max="4140" width="9.33203125" style="133" customWidth="1"/>
    <col min="4141" max="4141" width="9.08203125" style="133" bestFit="1" customWidth="1"/>
    <col min="4142" max="4142" width="10.5" style="133" customWidth="1"/>
    <col min="4143" max="4144" width="9.08203125" style="133" bestFit="1" customWidth="1"/>
    <col min="4145" max="4145" width="9" style="133"/>
    <col min="4146" max="4146" width="10.58203125" style="133" bestFit="1" customWidth="1"/>
    <col min="4147" max="4147" width="9.08203125" style="133" bestFit="1" customWidth="1"/>
    <col min="4148" max="4148" width="10" style="133" customWidth="1"/>
    <col min="4149" max="4149" width="9.08203125" style="133" bestFit="1" customWidth="1"/>
    <col min="4150" max="4150" width="10.5" style="133" customWidth="1"/>
    <col min="4151" max="4151" width="9.08203125" style="133" bestFit="1" customWidth="1"/>
    <col min="4152" max="4353" width="9" style="133"/>
    <col min="4354" max="4354" width="9.5" style="133" customWidth="1"/>
    <col min="4355" max="4356" width="10.58203125" style="133" customWidth="1"/>
    <col min="4357" max="4389" width="9.5" style="133" customWidth="1"/>
    <col min="4390" max="4390" width="10.58203125" style="133" customWidth="1"/>
    <col min="4391" max="4392" width="9.5" style="133" customWidth="1"/>
    <col min="4393" max="4393" width="9.08203125" style="133" bestFit="1" customWidth="1"/>
    <col min="4394" max="4394" width="9.33203125" style="133" customWidth="1"/>
    <col min="4395" max="4395" width="9.08203125" style="133" bestFit="1" customWidth="1"/>
    <col min="4396" max="4396" width="9.33203125" style="133" customWidth="1"/>
    <col min="4397" max="4397" width="9.08203125" style="133" bestFit="1" customWidth="1"/>
    <col min="4398" max="4398" width="10.5" style="133" customWidth="1"/>
    <col min="4399" max="4400" width="9.08203125" style="133" bestFit="1" customWidth="1"/>
    <col min="4401" max="4401" width="9" style="133"/>
    <col min="4402" max="4402" width="10.58203125" style="133" bestFit="1" customWidth="1"/>
    <col min="4403" max="4403" width="9.08203125" style="133" bestFit="1" customWidth="1"/>
    <col min="4404" max="4404" width="10" style="133" customWidth="1"/>
    <col min="4405" max="4405" width="9.08203125" style="133" bestFit="1" customWidth="1"/>
    <col min="4406" max="4406" width="10.5" style="133" customWidth="1"/>
    <col min="4407" max="4407" width="9.08203125" style="133" bestFit="1" customWidth="1"/>
    <col min="4408" max="4609" width="9" style="133"/>
    <col min="4610" max="4610" width="9.5" style="133" customWidth="1"/>
    <col min="4611" max="4612" width="10.58203125" style="133" customWidth="1"/>
    <col min="4613" max="4645" width="9.5" style="133" customWidth="1"/>
    <col min="4646" max="4646" width="10.58203125" style="133" customWidth="1"/>
    <col min="4647" max="4648" width="9.5" style="133" customWidth="1"/>
    <col min="4649" max="4649" width="9.08203125" style="133" bestFit="1" customWidth="1"/>
    <col min="4650" max="4650" width="9.33203125" style="133" customWidth="1"/>
    <col min="4651" max="4651" width="9.08203125" style="133" bestFit="1" customWidth="1"/>
    <col min="4652" max="4652" width="9.33203125" style="133" customWidth="1"/>
    <col min="4653" max="4653" width="9.08203125" style="133" bestFit="1" customWidth="1"/>
    <col min="4654" max="4654" width="10.5" style="133" customWidth="1"/>
    <col min="4655" max="4656" width="9.08203125" style="133" bestFit="1" customWidth="1"/>
    <col min="4657" max="4657" width="9" style="133"/>
    <col min="4658" max="4658" width="10.58203125" style="133" bestFit="1" customWidth="1"/>
    <col min="4659" max="4659" width="9.08203125" style="133" bestFit="1" customWidth="1"/>
    <col min="4660" max="4660" width="10" style="133" customWidth="1"/>
    <col min="4661" max="4661" width="9.08203125" style="133" bestFit="1" customWidth="1"/>
    <col min="4662" max="4662" width="10.5" style="133" customWidth="1"/>
    <col min="4663" max="4663" width="9.08203125" style="133" bestFit="1" customWidth="1"/>
    <col min="4664" max="4865" width="9" style="133"/>
    <col min="4866" max="4866" width="9.5" style="133" customWidth="1"/>
    <col min="4867" max="4868" width="10.58203125" style="133" customWidth="1"/>
    <col min="4869" max="4901" width="9.5" style="133" customWidth="1"/>
    <col min="4902" max="4902" width="10.58203125" style="133" customWidth="1"/>
    <col min="4903" max="4904" width="9.5" style="133" customWidth="1"/>
    <col min="4905" max="4905" width="9.08203125" style="133" bestFit="1" customWidth="1"/>
    <col min="4906" max="4906" width="9.33203125" style="133" customWidth="1"/>
    <col min="4907" max="4907" width="9.08203125" style="133" bestFit="1" customWidth="1"/>
    <col min="4908" max="4908" width="9.33203125" style="133" customWidth="1"/>
    <col min="4909" max="4909" width="9.08203125" style="133" bestFit="1" customWidth="1"/>
    <col min="4910" max="4910" width="10.5" style="133" customWidth="1"/>
    <col min="4911" max="4912" width="9.08203125" style="133" bestFit="1" customWidth="1"/>
    <col min="4913" max="4913" width="9" style="133"/>
    <col min="4914" max="4914" width="10.58203125" style="133" bestFit="1" customWidth="1"/>
    <col min="4915" max="4915" width="9.08203125" style="133" bestFit="1" customWidth="1"/>
    <col min="4916" max="4916" width="10" style="133" customWidth="1"/>
    <col min="4917" max="4917" width="9.08203125" style="133" bestFit="1" customWidth="1"/>
    <col min="4918" max="4918" width="10.5" style="133" customWidth="1"/>
    <col min="4919" max="4919" width="9.08203125" style="133" bestFit="1" customWidth="1"/>
    <col min="4920" max="5121" width="9" style="133"/>
    <col min="5122" max="5122" width="9.5" style="133" customWidth="1"/>
    <col min="5123" max="5124" width="10.58203125" style="133" customWidth="1"/>
    <col min="5125" max="5157" width="9.5" style="133" customWidth="1"/>
    <col min="5158" max="5158" width="10.58203125" style="133" customWidth="1"/>
    <col min="5159" max="5160" width="9.5" style="133" customWidth="1"/>
    <col min="5161" max="5161" width="9.08203125" style="133" bestFit="1" customWidth="1"/>
    <col min="5162" max="5162" width="9.33203125" style="133" customWidth="1"/>
    <col min="5163" max="5163" width="9.08203125" style="133" bestFit="1" customWidth="1"/>
    <col min="5164" max="5164" width="9.33203125" style="133" customWidth="1"/>
    <col min="5165" max="5165" width="9.08203125" style="133" bestFit="1" customWidth="1"/>
    <col min="5166" max="5166" width="10.5" style="133" customWidth="1"/>
    <col min="5167" max="5168" width="9.08203125" style="133" bestFit="1" customWidth="1"/>
    <col min="5169" max="5169" width="9" style="133"/>
    <col min="5170" max="5170" width="10.58203125" style="133" bestFit="1" customWidth="1"/>
    <col min="5171" max="5171" width="9.08203125" style="133" bestFit="1" customWidth="1"/>
    <col min="5172" max="5172" width="10" style="133" customWidth="1"/>
    <col min="5173" max="5173" width="9.08203125" style="133" bestFit="1" customWidth="1"/>
    <col min="5174" max="5174" width="10.5" style="133" customWidth="1"/>
    <col min="5175" max="5175" width="9.08203125" style="133" bestFit="1" customWidth="1"/>
    <col min="5176" max="5377" width="9" style="133"/>
    <col min="5378" max="5378" width="9.5" style="133" customWidth="1"/>
    <col min="5379" max="5380" width="10.58203125" style="133" customWidth="1"/>
    <col min="5381" max="5413" width="9.5" style="133" customWidth="1"/>
    <col min="5414" max="5414" width="10.58203125" style="133" customWidth="1"/>
    <col min="5415" max="5416" width="9.5" style="133" customWidth="1"/>
    <col min="5417" max="5417" width="9.08203125" style="133" bestFit="1" customWidth="1"/>
    <col min="5418" max="5418" width="9.33203125" style="133" customWidth="1"/>
    <col min="5419" max="5419" width="9.08203125" style="133" bestFit="1" customWidth="1"/>
    <col min="5420" max="5420" width="9.33203125" style="133" customWidth="1"/>
    <col min="5421" max="5421" width="9.08203125" style="133" bestFit="1" customWidth="1"/>
    <col min="5422" max="5422" width="10.5" style="133" customWidth="1"/>
    <col min="5423" max="5424" width="9.08203125" style="133" bestFit="1" customWidth="1"/>
    <col min="5425" max="5425" width="9" style="133"/>
    <col min="5426" max="5426" width="10.58203125" style="133" bestFit="1" customWidth="1"/>
    <col min="5427" max="5427" width="9.08203125" style="133" bestFit="1" customWidth="1"/>
    <col min="5428" max="5428" width="10" style="133" customWidth="1"/>
    <col min="5429" max="5429" width="9.08203125" style="133" bestFit="1" customWidth="1"/>
    <col min="5430" max="5430" width="10.5" style="133" customWidth="1"/>
    <col min="5431" max="5431" width="9.08203125" style="133" bestFit="1" customWidth="1"/>
    <col min="5432" max="5633" width="9" style="133"/>
    <col min="5634" max="5634" width="9.5" style="133" customWidth="1"/>
    <col min="5635" max="5636" width="10.58203125" style="133" customWidth="1"/>
    <col min="5637" max="5669" width="9.5" style="133" customWidth="1"/>
    <col min="5670" max="5670" width="10.58203125" style="133" customWidth="1"/>
    <col min="5671" max="5672" width="9.5" style="133" customWidth="1"/>
    <col min="5673" max="5673" width="9.08203125" style="133" bestFit="1" customWidth="1"/>
    <col min="5674" max="5674" width="9.33203125" style="133" customWidth="1"/>
    <col min="5675" max="5675" width="9.08203125" style="133" bestFit="1" customWidth="1"/>
    <col min="5676" max="5676" width="9.33203125" style="133" customWidth="1"/>
    <col min="5677" max="5677" width="9.08203125" style="133" bestFit="1" customWidth="1"/>
    <col min="5678" max="5678" width="10.5" style="133" customWidth="1"/>
    <col min="5679" max="5680" width="9.08203125" style="133" bestFit="1" customWidth="1"/>
    <col min="5681" max="5681" width="9" style="133"/>
    <col min="5682" max="5682" width="10.58203125" style="133" bestFit="1" customWidth="1"/>
    <col min="5683" max="5683" width="9.08203125" style="133" bestFit="1" customWidth="1"/>
    <col min="5684" max="5684" width="10" style="133" customWidth="1"/>
    <col min="5685" max="5685" width="9.08203125" style="133" bestFit="1" customWidth="1"/>
    <col min="5686" max="5686" width="10.5" style="133" customWidth="1"/>
    <col min="5687" max="5687" width="9.08203125" style="133" bestFit="1" customWidth="1"/>
    <col min="5688" max="5889" width="9" style="133"/>
    <col min="5890" max="5890" width="9.5" style="133" customWidth="1"/>
    <col min="5891" max="5892" width="10.58203125" style="133" customWidth="1"/>
    <col min="5893" max="5925" width="9.5" style="133" customWidth="1"/>
    <col min="5926" max="5926" width="10.58203125" style="133" customWidth="1"/>
    <col min="5927" max="5928" width="9.5" style="133" customWidth="1"/>
    <col min="5929" max="5929" width="9.08203125" style="133" bestFit="1" customWidth="1"/>
    <col min="5930" max="5930" width="9.33203125" style="133" customWidth="1"/>
    <col min="5931" max="5931" width="9.08203125" style="133" bestFit="1" customWidth="1"/>
    <col min="5932" max="5932" width="9.33203125" style="133" customWidth="1"/>
    <col min="5933" max="5933" width="9.08203125" style="133" bestFit="1" customWidth="1"/>
    <col min="5934" max="5934" width="10.5" style="133" customWidth="1"/>
    <col min="5935" max="5936" width="9.08203125" style="133" bestFit="1" customWidth="1"/>
    <col min="5937" max="5937" width="9" style="133"/>
    <col min="5938" max="5938" width="10.58203125" style="133" bestFit="1" customWidth="1"/>
    <col min="5939" max="5939" width="9.08203125" style="133" bestFit="1" customWidth="1"/>
    <col min="5940" max="5940" width="10" style="133" customWidth="1"/>
    <col min="5941" max="5941" width="9.08203125" style="133" bestFit="1" customWidth="1"/>
    <col min="5942" max="5942" width="10.5" style="133" customWidth="1"/>
    <col min="5943" max="5943" width="9.08203125" style="133" bestFit="1" customWidth="1"/>
    <col min="5944" max="6145" width="9" style="133"/>
    <col min="6146" max="6146" width="9.5" style="133" customWidth="1"/>
    <col min="6147" max="6148" width="10.58203125" style="133" customWidth="1"/>
    <col min="6149" max="6181" width="9.5" style="133" customWidth="1"/>
    <col min="6182" max="6182" width="10.58203125" style="133" customWidth="1"/>
    <col min="6183" max="6184" width="9.5" style="133" customWidth="1"/>
    <col min="6185" max="6185" width="9.08203125" style="133" bestFit="1" customWidth="1"/>
    <col min="6186" max="6186" width="9.33203125" style="133" customWidth="1"/>
    <col min="6187" max="6187" width="9.08203125" style="133" bestFit="1" customWidth="1"/>
    <col min="6188" max="6188" width="9.33203125" style="133" customWidth="1"/>
    <col min="6189" max="6189" width="9.08203125" style="133" bestFit="1" customWidth="1"/>
    <col min="6190" max="6190" width="10.5" style="133" customWidth="1"/>
    <col min="6191" max="6192" width="9.08203125" style="133" bestFit="1" customWidth="1"/>
    <col min="6193" max="6193" width="9" style="133"/>
    <col min="6194" max="6194" width="10.58203125" style="133" bestFit="1" customWidth="1"/>
    <col min="6195" max="6195" width="9.08203125" style="133" bestFit="1" customWidth="1"/>
    <col min="6196" max="6196" width="10" style="133" customWidth="1"/>
    <col min="6197" max="6197" width="9.08203125" style="133" bestFit="1" customWidth="1"/>
    <col min="6198" max="6198" width="10.5" style="133" customWidth="1"/>
    <col min="6199" max="6199" width="9.08203125" style="133" bestFit="1" customWidth="1"/>
    <col min="6200" max="6401" width="9" style="133"/>
    <col min="6402" max="6402" width="9.5" style="133" customWidth="1"/>
    <col min="6403" max="6404" width="10.58203125" style="133" customWidth="1"/>
    <col min="6405" max="6437" width="9.5" style="133" customWidth="1"/>
    <col min="6438" max="6438" width="10.58203125" style="133" customWidth="1"/>
    <col min="6439" max="6440" width="9.5" style="133" customWidth="1"/>
    <col min="6441" max="6441" width="9.08203125" style="133" bestFit="1" customWidth="1"/>
    <col min="6442" max="6442" width="9.33203125" style="133" customWidth="1"/>
    <col min="6443" max="6443" width="9.08203125" style="133" bestFit="1" customWidth="1"/>
    <col min="6444" max="6444" width="9.33203125" style="133" customWidth="1"/>
    <col min="6445" max="6445" width="9.08203125" style="133" bestFit="1" customWidth="1"/>
    <col min="6446" max="6446" width="10.5" style="133" customWidth="1"/>
    <col min="6447" max="6448" width="9.08203125" style="133" bestFit="1" customWidth="1"/>
    <col min="6449" max="6449" width="9" style="133"/>
    <col min="6450" max="6450" width="10.58203125" style="133" bestFit="1" customWidth="1"/>
    <col min="6451" max="6451" width="9.08203125" style="133" bestFit="1" customWidth="1"/>
    <col min="6452" max="6452" width="10" style="133" customWidth="1"/>
    <col min="6453" max="6453" width="9.08203125" style="133" bestFit="1" customWidth="1"/>
    <col min="6454" max="6454" width="10.5" style="133" customWidth="1"/>
    <col min="6455" max="6455" width="9.08203125" style="133" bestFit="1" customWidth="1"/>
    <col min="6456" max="6657" width="9" style="133"/>
    <col min="6658" max="6658" width="9.5" style="133" customWidth="1"/>
    <col min="6659" max="6660" width="10.58203125" style="133" customWidth="1"/>
    <col min="6661" max="6693" width="9.5" style="133" customWidth="1"/>
    <col min="6694" max="6694" width="10.58203125" style="133" customWidth="1"/>
    <col min="6695" max="6696" width="9.5" style="133" customWidth="1"/>
    <col min="6697" max="6697" width="9.08203125" style="133" bestFit="1" customWidth="1"/>
    <col min="6698" max="6698" width="9.33203125" style="133" customWidth="1"/>
    <col min="6699" max="6699" width="9.08203125" style="133" bestFit="1" customWidth="1"/>
    <col min="6700" max="6700" width="9.33203125" style="133" customWidth="1"/>
    <col min="6701" max="6701" width="9.08203125" style="133" bestFit="1" customWidth="1"/>
    <col min="6702" max="6702" width="10.5" style="133" customWidth="1"/>
    <col min="6703" max="6704" width="9.08203125" style="133" bestFit="1" customWidth="1"/>
    <col min="6705" max="6705" width="9" style="133"/>
    <col min="6706" max="6706" width="10.58203125" style="133" bestFit="1" customWidth="1"/>
    <col min="6707" max="6707" width="9.08203125" style="133" bestFit="1" customWidth="1"/>
    <col min="6708" max="6708" width="10" style="133" customWidth="1"/>
    <col min="6709" max="6709" width="9.08203125" style="133" bestFit="1" customWidth="1"/>
    <col min="6710" max="6710" width="10.5" style="133" customWidth="1"/>
    <col min="6711" max="6711" width="9.08203125" style="133" bestFit="1" customWidth="1"/>
    <col min="6712" max="6913" width="9" style="133"/>
    <col min="6914" max="6914" width="9.5" style="133" customWidth="1"/>
    <col min="6915" max="6916" width="10.58203125" style="133" customWidth="1"/>
    <col min="6917" max="6949" width="9.5" style="133" customWidth="1"/>
    <col min="6950" max="6950" width="10.58203125" style="133" customWidth="1"/>
    <col min="6951" max="6952" width="9.5" style="133" customWidth="1"/>
    <col min="6953" max="6953" width="9.08203125" style="133" bestFit="1" customWidth="1"/>
    <col min="6954" max="6954" width="9.33203125" style="133" customWidth="1"/>
    <col min="6955" max="6955" width="9.08203125" style="133" bestFit="1" customWidth="1"/>
    <col min="6956" max="6956" width="9.33203125" style="133" customWidth="1"/>
    <col min="6957" max="6957" width="9.08203125" style="133" bestFit="1" customWidth="1"/>
    <col min="6958" max="6958" width="10.5" style="133" customWidth="1"/>
    <col min="6959" max="6960" width="9.08203125" style="133" bestFit="1" customWidth="1"/>
    <col min="6961" max="6961" width="9" style="133"/>
    <col min="6962" max="6962" width="10.58203125" style="133" bestFit="1" customWidth="1"/>
    <col min="6963" max="6963" width="9.08203125" style="133" bestFit="1" customWidth="1"/>
    <col min="6964" max="6964" width="10" style="133" customWidth="1"/>
    <col min="6965" max="6965" width="9.08203125" style="133" bestFit="1" customWidth="1"/>
    <col min="6966" max="6966" width="10.5" style="133" customWidth="1"/>
    <col min="6967" max="6967" width="9.08203125" style="133" bestFit="1" customWidth="1"/>
    <col min="6968" max="7169" width="9" style="133"/>
    <col min="7170" max="7170" width="9.5" style="133" customWidth="1"/>
    <col min="7171" max="7172" width="10.58203125" style="133" customWidth="1"/>
    <col min="7173" max="7205" width="9.5" style="133" customWidth="1"/>
    <col min="7206" max="7206" width="10.58203125" style="133" customWidth="1"/>
    <col min="7207" max="7208" width="9.5" style="133" customWidth="1"/>
    <col min="7209" max="7209" width="9.08203125" style="133" bestFit="1" customWidth="1"/>
    <col min="7210" max="7210" width="9.33203125" style="133" customWidth="1"/>
    <col min="7211" max="7211" width="9.08203125" style="133" bestFit="1" customWidth="1"/>
    <col min="7212" max="7212" width="9.33203125" style="133" customWidth="1"/>
    <col min="7213" max="7213" width="9.08203125" style="133" bestFit="1" customWidth="1"/>
    <col min="7214" max="7214" width="10.5" style="133" customWidth="1"/>
    <col min="7215" max="7216" width="9.08203125" style="133" bestFit="1" customWidth="1"/>
    <col min="7217" max="7217" width="9" style="133"/>
    <col min="7218" max="7218" width="10.58203125" style="133" bestFit="1" customWidth="1"/>
    <col min="7219" max="7219" width="9.08203125" style="133" bestFit="1" customWidth="1"/>
    <col min="7220" max="7220" width="10" style="133" customWidth="1"/>
    <col min="7221" max="7221" width="9.08203125" style="133" bestFit="1" customWidth="1"/>
    <col min="7222" max="7222" width="10.5" style="133" customWidth="1"/>
    <col min="7223" max="7223" width="9.08203125" style="133" bestFit="1" customWidth="1"/>
    <col min="7224" max="7425" width="9" style="133"/>
    <col min="7426" max="7426" width="9.5" style="133" customWidth="1"/>
    <col min="7427" max="7428" width="10.58203125" style="133" customWidth="1"/>
    <col min="7429" max="7461" width="9.5" style="133" customWidth="1"/>
    <col min="7462" max="7462" width="10.58203125" style="133" customWidth="1"/>
    <col min="7463" max="7464" width="9.5" style="133" customWidth="1"/>
    <col min="7465" max="7465" width="9.08203125" style="133" bestFit="1" customWidth="1"/>
    <col min="7466" max="7466" width="9.33203125" style="133" customWidth="1"/>
    <col min="7467" max="7467" width="9.08203125" style="133" bestFit="1" customWidth="1"/>
    <col min="7468" max="7468" width="9.33203125" style="133" customWidth="1"/>
    <col min="7469" max="7469" width="9.08203125" style="133" bestFit="1" customWidth="1"/>
    <col min="7470" max="7470" width="10.5" style="133" customWidth="1"/>
    <col min="7471" max="7472" width="9.08203125" style="133" bestFit="1" customWidth="1"/>
    <col min="7473" max="7473" width="9" style="133"/>
    <col min="7474" max="7474" width="10.58203125" style="133" bestFit="1" customWidth="1"/>
    <col min="7475" max="7475" width="9.08203125" style="133" bestFit="1" customWidth="1"/>
    <col min="7476" max="7476" width="10" style="133" customWidth="1"/>
    <col min="7477" max="7477" width="9.08203125" style="133" bestFit="1" customWidth="1"/>
    <col min="7478" max="7478" width="10.5" style="133" customWidth="1"/>
    <col min="7479" max="7479" width="9.08203125" style="133" bestFit="1" customWidth="1"/>
    <col min="7480" max="7681" width="9" style="133"/>
    <col min="7682" max="7682" width="9.5" style="133" customWidth="1"/>
    <col min="7683" max="7684" width="10.58203125" style="133" customWidth="1"/>
    <col min="7685" max="7717" width="9.5" style="133" customWidth="1"/>
    <col min="7718" max="7718" width="10.58203125" style="133" customWidth="1"/>
    <col min="7719" max="7720" width="9.5" style="133" customWidth="1"/>
    <col min="7721" max="7721" width="9.08203125" style="133" bestFit="1" customWidth="1"/>
    <col min="7722" max="7722" width="9.33203125" style="133" customWidth="1"/>
    <col min="7723" max="7723" width="9.08203125" style="133" bestFit="1" customWidth="1"/>
    <col min="7724" max="7724" width="9.33203125" style="133" customWidth="1"/>
    <col min="7725" max="7725" width="9.08203125" style="133" bestFit="1" customWidth="1"/>
    <col min="7726" max="7726" width="10.5" style="133" customWidth="1"/>
    <col min="7727" max="7728" width="9.08203125" style="133" bestFit="1" customWidth="1"/>
    <col min="7729" max="7729" width="9" style="133"/>
    <col min="7730" max="7730" width="10.58203125" style="133" bestFit="1" customWidth="1"/>
    <col min="7731" max="7731" width="9.08203125" style="133" bestFit="1" customWidth="1"/>
    <col min="7732" max="7732" width="10" style="133" customWidth="1"/>
    <col min="7733" max="7733" width="9.08203125" style="133" bestFit="1" customWidth="1"/>
    <col min="7734" max="7734" width="10.5" style="133" customWidth="1"/>
    <col min="7735" max="7735" width="9.08203125" style="133" bestFit="1" customWidth="1"/>
    <col min="7736" max="7937" width="9" style="133"/>
    <col min="7938" max="7938" width="9.5" style="133" customWidth="1"/>
    <col min="7939" max="7940" width="10.58203125" style="133" customWidth="1"/>
    <col min="7941" max="7973" width="9.5" style="133" customWidth="1"/>
    <col min="7974" max="7974" width="10.58203125" style="133" customWidth="1"/>
    <col min="7975" max="7976" width="9.5" style="133" customWidth="1"/>
    <col min="7977" max="7977" width="9.08203125" style="133" bestFit="1" customWidth="1"/>
    <col min="7978" max="7978" width="9.33203125" style="133" customWidth="1"/>
    <col min="7979" max="7979" width="9.08203125" style="133" bestFit="1" customWidth="1"/>
    <col min="7980" max="7980" width="9.33203125" style="133" customWidth="1"/>
    <col min="7981" max="7981" width="9.08203125" style="133" bestFit="1" customWidth="1"/>
    <col min="7982" max="7982" width="10.5" style="133" customWidth="1"/>
    <col min="7983" max="7984" width="9.08203125" style="133" bestFit="1" customWidth="1"/>
    <col min="7985" max="7985" width="9" style="133"/>
    <col min="7986" max="7986" width="10.58203125" style="133" bestFit="1" customWidth="1"/>
    <col min="7987" max="7987" width="9.08203125" style="133" bestFit="1" customWidth="1"/>
    <col min="7988" max="7988" width="10" style="133" customWidth="1"/>
    <col min="7989" max="7989" width="9.08203125" style="133" bestFit="1" customWidth="1"/>
    <col min="7990" max="7990" width="10.5" style="133" customWidth="1"/>
    <col min="7991" max="7991" width="9.08203125" style="133" bestFit="1" customWidth="1"/>
    <col min="7992" max="8193" width="9" style="133"/>
    <col min="8194" max="8194" width="9.5" style="133" customWidth="1"/>
    <col min="8195" max="8196" width="10.58203125" style="133" customWidth="1"/>
    <col min="8197" max="8229" width="9.5" style="133" customWidth="1"/>
    <col min="8230" max="8230" width="10.58203125" style="133" customWidth="1"/>
    <col min="8231" max="8232" width="9.5" style="133" customWidth="1"/>
    <col min="8233" max="8233" width="9.08203125" style="133" bestFit="1" customWidth="1"/>
    <col min="8234" max="8234" width="9.33203125" style="133" customWidth="1"/>
    <col min="8235" max="8235" width="9.08203125" style="133" bestFit="1" customWidth="1"/>
    <col min="8236" max="8236" width="9.33203125" style="133" customWidth="1"/>
    <col min="8237" max="8237" width="9.08203125" style="133" bestFit="1" customWidth="1"/>
    <col min="8238" max="8238" width="10.5" style="133" customWidth="1"/>
    <col min="8239" max="8240" width="9.08203125" style="133" bestFit="1" customWidth="1"/>
    <col min="8241" max="8241" width="9" style="133"/>
    <col min="8242" max="8242" width="10.58203125" style="133" bestFit="1" customWidth="1"/>
    <col min="8243" max="8243" width="9.08203125" style="133" bestFit="1" customWidth="1"/>
    <col min="8244" max="8244" width="10" style="133" customWidth="1"/>
    <col min="8245" max="8245" width="9.08203125" style="133" bestFit="1" customWidth="1"/>
    <col min="8246" max="8246" width="10.5" style="133" customWidth="1"/>
    <col min="8247" max="8247" width="9.08203125" style="133" bestFit="1" customWidth="1"/>
    <col min="8248" max="8449" width="9" style="133"/>
    <col min="8450" max="8450" width="9.5" style="133" customWidth="1"/>
    <col min="8451" max="8452" width="10.58203125" style="133" customWidth="1"/>
    <col min="8453" max="8485" width="9.5" style="133" customWidth="1"/>
    <col min="8486" max="8486" width="10.58203125" style="133" customWidth="1"/>
    <col min="8487" max="8488" width="9.5" style="133" customWidth="1"/>
    <col min="8489" max="8489" width="9.08203125" style="133" bestFit="1" customWidth="1"/>
    <col min="8490" max="8490" width="9.33203125" style="133" customWidth="1"/>
    <col min="8491" max="8491" width="9.08203125" style="133" bestFit="1" customWidth="1"/>
    <col min="8492" max="8492" width="9.33203125" style="133" customWidth="1"/>
    <col min="8493" max="8493" width="9.08203125" style="133" bestFit="1" customWidth="1"/>
    <col min="8494" max="8494" width="10.5" style="133" customWidth="1"/>
    <col min="8495" max="8496" width="9.08203125" style="133" bestFit="1" customWidth="1"/>
    <col min="8497" max="8497" width="9" style="133"/>
    <col min="8498" max="8498" width="10.58203125" style="133" bestFit="1" customWidth="1"/>
    <col min="8499" max="8499" width="9.08203125" style="133" bestFit="1" customWidth="1"/>
    <col min="8500" max="8500" width="10" style="133" customWidth="1"/>
    <col min="8501" max="8501" width="9.08203125" style="133" bestFit="1" customWidth="1"/>
    <col min="8502" max="8502" width="10.5" style="133" customWidth="1"/>
    <col min="8503" max="8503" width="9.08203125" style="133" bestFit="1" customWidth="1"/>
    <col min="8504" max="8705" width="9" style="133"/>
    <col min="8706" max="8706" width="9.5" style="133" customWidth="1"/>
    <col min="8707" max="8708" width="10.58203125" style="133" customWidth="1"/>
    <col min="8709" max="8741" width="9.5" style="133" customWidth="1"/>
    <col min="8742" max="8742" width="10.58203125" style="133" customWidth="1"/>
    <col min="8743" max="8744" width="9.5" style="133" customWidth="1"/>
    <col min="8745" max="8745" width="9.08203125" style="133" bestFit="1" customWidth="1"/>
    <col min="8746" max="8746" width="9.33203125" style="133" customWidth="1"/>
    <col min="8747" max="8747" width="9.08203125" style="133" bestFit="1" customWidth="1"/>
    <col min="8748" max="8748" width="9.33203125" style="133" customWidth="1"/>
    <col min="8749" max="8749" width="9.08203125" style="133" bestFit="1" customWidth="1"/>
    <col min="8750" max="8750" width="10.5" style="133" customWidth="1"/>
    <col min="8751" max="8752" width="9.08203125" style="133" bestFit="1" customWidth="1"/>
    <col min="8753" max="8753" width="9" style="133"/>
    <col min="8754" max="8754" width="10.58203125" style="133" bestFit="1" customWidth="1"/>
    <col min="8755" max="8755" width="9.08203125" style="133" bestFit="1" customWidth="1"/>
    <col min="8756" max="8756" width="10" style="133" customWidth="1"/>
    <col min="8757" max="8757" width="9.08203125" style="133" bestFit="1" customWidth="1"/>
    <col min="8758" max="8758" width="10.5" style="133" customWidth="1"/>
    <col min="8759" max="8759" width="9.08203125" style="133" bestFit="1" customWidth="1"/>
    <col min="8760" max="8961" width="9" style="133"/>
    <col min="8962" max="8962" width="9.5" style="133" customWidth="1"/>
    <col min="8963" max="8964" width="10.58203125" style="133" customWidth="1"/>
    <col min="8965" max="8997" width="9.5" style="133" customWidth="1"/>
    <col min="8998" max="8998" width="10.58203125" style="133" customWidth="1"/>
    <col min="8999" max="9000" width="9.5" style="133" customWidth="1"/>
    <col min="9001" max="9001" width="9.08203125" style="133" bestFit="1" customWidth="1"/>
    <col min="9002" max="9002" width="9.33203125" style="133" customWidth="1"/>
    <col min="9003" max="9003" width="9.08203125" style="133" bestFit="1" customWidth="1"/>
    <col min="9004" max="9004" width="9.33203125" style="133" customWidth="1"/>
    <col min="9005" max="9005" width="9.08203125" style="133" bestFit="1" customWidth="1"/>
    <col min="9006" max="9006" width="10.5" style="133" customWidth="1"/>
    <col min="9007" max="9008" width="9.08203125" style="133" bestFit="1" customWidth="1"/>
    <col min="9009" max="9009" width="9" style="133"/>
    <col min="9010" max="9010" width="10.58203125" style="133" bestFit="1" customWidth="1"/>
    <col min="9011" max="9011" width="9.08203125" style="133" bestFit="1" customWidth="1"/>
    <col min="9012" max="9012" width="10" style="133" customWidth="1"/>
    <col min="9013" max="9013" width="9.08203125" style="133" bestFit="1" customWidth="1"/>
    <col min="9014" max="9014" width="10.5" style="133" customWidth="1"/>
    <col min="9015" max="9015" width="9.08203125" style="133" bestFit="1" customWidth="1"/>
    <col min="9016" max="9217" width="9" style="133"/>
    <col min="9218" max="9218" width="9.5" style="133" customWidth="1"/>
    <col min="9219" max="9220" width="10.58203125" style="133" customWidth="1"/>
    <col min="9221" max="9253" width="9.5" style="133" customWidth="1"/>
    <col min="9254" max="9254" width="10.58203125" style="133" customWidth="1"/>
    <col min="9255" max="9256" width="9.5" style="133" customWidth="1"/>
    <col min="9257" max="9257" width="9.08203125" style="133" bestFit="1" customWidth="1"/>
    <col min="9258" max="9258" width="9.33203125" style="133" customWidth="1"/>
    <col min="9259" max="9259" width="9.08203125" style="133" bestFit="1" customWidth="1"/>
    <col min="9260" max="9260" width="9.33203125" style="133" customWidth="1"/>
    <col min="9261" max="9261" width="9.08203125" style="133" bestFit="1" customWidth="1"/>
    <col min="9262" max="9262" width="10.5" style="133" customWidth="1"/>
    <col min="9263" max="9264" width="9.08203125" style="133" bestFit="1" customWidth="1"/>
    <col min="9265" max="9265" width="9" style="133"/>
    <col min="9266" max="9266" width="10.58203125" style="133" bestFit="1" customWidth="1"/>
    <col min="9267" max="9267" width="9.08203125" style="133" bestFit="1" customWidth="1"/>
    <col min="9268" max="9268" width="10" style="133" customWidth="1"/>
    <col min="9269" max="9269" width="9.08203125" style="133" bestFit="1" customWidth="1"/>
    <col min="9270" max="9270" width="10.5" style="133" customWidth="1"/>
    <col min="9271" max="9271" width="9.08203125" style="133" bestFit="1" customWidth="1"/>
    <col min="9272" max="9473" width="9" style="133"/>
    <col min="9474" max="9474" width="9.5" style="133" customWidth="1"/>
    <col min="9475" max="9476" width="10.58203125" style="133" customWidth="1"/>
    <col min="9477" max="9509" width="9.5" style="133" customWidth="1"/>
    <col min="9510" max="9510" width="10.58203125" style="133" customWidth="1"/>
    <col min="9511" max="9512" width="9.5" style="133" customWidth="1"/>
    <col min="9513" max="9513" width="9.08203125" style="133" bestFit="1" customWidth="1"/>
    <col min="9514" max="9514" width="9.33203125" style="133" customWidth="1"/>
    <col min="9515" max="9515" width="9.08203125" style="133" bestFit="1" customWidth="1"/>
    <col min="9516" max="9516" width="9.33203125" style="133" customWidth="1"/>
    <col min="9517" max="9517" width="9.08203125" style="133" bestFit="1" customWidth="1"/>
    <col min="9518" max="9518" width="10.5" style="133" customWidth="1"/>
    <col min="9519" max="9520" width="9.08203125" style="133" bestFit="1" customWidth="1"/>
    <col min="9521" max="9521" width="9" style="133"/>
    <col min="9522" max="9522" width="10.58203125" style="133" bestFit="1" customWidth="1"/>
    <col min="9523" max="9523" width="9.08203125" style="133" bestFit="1" customWidth="1"/>
    <col min="9524" max="9524" width="10" style="133" customWidth="1"/>
    <col min="9525" max="9525" width="9.08203125" style="133" bestFit="1" customWidth="1"/>
    <col min="9526" max="9526" width="10.5" style="133" customWidth="1"/>
    <col min="9527" max="9527" width="9.08203125" style="133" bestFit="1" customWidth="1"/>
    <col min="9528" max="9729" width="9" style="133"/>
    <col min="9730" max="9730" width="9.5" style="133" customWidth="1"/>
    <col min="9731" max="9732" width="10.58203125" style="133" customWidth="1"/>
    <col min="9733" max="9765" width="9.5" style="133" customWidth="1"/>
    <col min="9766" max="9766" width="10.58203125" style="133" customWidth="1"/>
    <col min="9767" max="9768" width="9.5" style="133" customWidth="1"/>
    <col min="9769" max="9769" width="9.08203125" style="133" bestFit="1" customWidth="1"/>
    <col min="9770" max="9770" width="9.33203125" style="133" customWidth="1"/>
    <col min="9771" max="9771" width="9.08203125" style="133" bestFit="1" customWidth="1"/>
    <col min="9772" max="9772" width="9.33203125" style="133" customWidth="1"/>
    <col min="9773" max="9773" width="9.08203125" style="133" bestFit="1" customWidth="1"/>
    <col min="9774" max="9774" width="10.5" style="133" customWidth="1"/>
    <col min="9775" max="9776" width="9.08203125" style="133" bestFit="1" customWidth="1"/>
    <col min="9777" max="9777" width="9" style="133"/>
    <col min="9778" max="9778" width="10.58203125" style="133" bestFit="1" customWidth="1"/>
    <col min="9779" max="9779" width="9.08203125" style="133" bestFit="1" customWidth="1"/>
    <col min="9780" max="9780" width="10" style="133" customWidth="1"/>
    <col min="9781" max="9781" width="9.08203125" style="133" bestFit="1" customWidth="1"/>
    <col min="9782" max="9782" width="10.5" style="133" customWidth="1"/>
    <col min="9783" max="9783" width="9.08203125" style="133" bestFit="1" customWidth="1"/>
    <col min="9784" max="9985" width="9" style="133"/>
    <col min="9986" max="9986" width="9.5" style="133" customWidth="1"/>
    <col min="9987" max="9988" width="10.58203125" style="133" customWidth="1"/>
    <col min="9989" max="10021" width="9.5" style="133" customWidth="1"/>
    <col min="10022" max="10022" width="10.58203125" style="133" customWidth="1"/>
    <col min="10023" max="10024" width="9.5" style="133" customWidth="1"/>
    <col min="10025" max="10025" width="9.08203125" style="133" bestFit="1" customWidth="1"/>
    <col min="10026" max="10026" width="9.33203125" style="133" customWidth="1"/>
    <col min="10027" max="10027" width="9.08203125" style="133" bestFit="1" customWidth="1"/>
    <col min="10028" max="10028" width="9.33203125" style="133" customWidth="1"/>
    <col min="10029" max="10029" width="9.08203125" style="133" bestFit="1" customWidth="1"/>
    <col min="10030" max="10030" width="10.5" style="133" customWidth="1"/>
    <col min="10031" max="10032" width="9.08203125" style="133" bestFit="1" customWidth="1"/>
    <col min="10033" max="10033" width="9" style="133"/>
    <col min="10034" max="10034" width="10.58203125" style="133" bestFit="1" customWidth="1"/>
    <col min="10035" max="10035" width="9.08203125" style="133" bestFit="1" customWidth="1"/>
    <col min="10036" max="10036" width="10" style="133" customWidth="1"/>
    <col min="10037" max="10037" width="9.08203125" style="133" bestFit="1" customWidth="1"/>
    <col min="10038" max="10038" width="10.5" style="133" customWidth="1"/>
    <col min="10039" max="10039" width="9.08203125" style="133" bestFit="1" customWidth="1"/>
    <col min="10040" max="10241" width="9" style="133"/>
    <col min="10242" max="10242" width="9.5" style="133" customWidth="1"/>
    <col min="10243" max="10244" width="10.58203125" style="133" customWidth="1"/>
    <col min="10245" max="10277" width="9.5" style="133" customWidth="1"/>
    <col min="10278" max="10278" width="10.58203125" style="133" customWidth="1"/>
    <col min="10279" max="10280" width="9.5" style="133" customWidth="1"/>
    <col min="10281" max="10281" width="9.08203125" style="133" bestFit="1" customWidth="1"/>
    <col min="10282" max="10282" width="9.33203125" style="133" customWidth="1"/>
    <col min="10283" max="10283" width="9.08203125" style="133" bestFit="1" customWidth="1"/>
    <col min="10284" max="10284" width="9.33203125" style="133" customWidth="1"/>
    <col min="10285" max="10285" width="9.08203125" style="133" bestFit="1" customWidth="1"/>
    <col min="10286" max="10286" width="10.5" style="133" customWidth="1"/>
    <col min="10287" max="10288" width="9.08203125" style="133" bestFit="1" customWidth="1"/>
    <col min="10289" max="10289" width="9" style="133"/>
    <col min="10290" max="10290" width="10.58203125" style="133" bestFit="1" customWidth="1"/>
    <col min="10291" max="10291" width="9.08203125" style="133" bestFit="1" customWidth="1"/>
    <col min="10292" max="10292" width="10" style="133" customWidth="1"/>
    <col min="10293" max="10293" width="9.08203125" style="133" bestFit="1" customWidth="1"/>
    <col min="10294" max="10294" width="10.5" style="133" customWidth="1"/>
    <col min="10295" max="10295" width="9.08203125" style="133" bestFit="1" customWidth="1"/>
    <col min="10296" max="10497" width="9" style="133"/>
    <col min="10498" max="10498" width="9.5" style="133" customWidth="1"/>
    <col min="10499" max="10500" width="10.58203125" style="133" customWidth="1"/>
    <col min="10501" max="10533" width="9.5" style="133" customWidth="1"/>
    <col min="10534" max="10534" width="10.58203125" style="133" customWidth="1"/>
    <col min="10535" max="10536" width="9.5" style="133" customWidth="1"/>
    <col min="10537" max="10537" width="9.08203125" style="133" bestFit="1" customWidth="1"/>
    <col min="10538" max="10538" width="9.33203125" style="133" customWidth="1"/>
    <col min="10539" max="10539" width="9.08203125" style="133" bestFit="1" customWidth="1"/>
    <col min="10540" max="10540" width="9.33203125" style="133" customWidth="1"/>
    <col min="10541" max="10541" width="9.08203125" style="133" bestFit="1" customWidth="1"/>
    <col min="10542" max="10542" width="10.5" style="133" customWidth="1"/>
    <col min="10543" max="10544" width="9.08203125" style="133" bestFit="1" customWidth="1"/>
    <col min="10545" max="10545" width="9" style="133"/>
    <col min="10546" max="10546" width="10.58203125" style="133" bestFit="1" customWidth="1"/>
    <col min="10547" max="10547" width="9.08203125" style="133" bestFit="1" customWidth="1"/>
    <col min="10548" max="10548" width="10" style="133" customWidth="1"/>
    <col min="10549" max="10549" width="9.08203125" style="133" bestFit="1" customWidth="1"/>
    <col min="10550" max="10550" width="10.5" style="133" customWidth="1"/>
    <col min="10551" max="10551" width="9.08203125" style="133" bestFit="1" customWidth="1"/>
    <col min="10552" max="10753" width="9" style="133"/>
    <col min="10754" max="10754" width="9.5" style="133" customWidth="1"/>
    <col min="10755" max="10756" width="10.58203125" style="133" customWidth="1"/>
    <col min="10757" max="10789" width="9.5" style="133" customWidth="1"/>
    <col min="10790" max="10790" width="10.58203125" style="133" customWidth="1"/>
    <col min="10791" max="10792" width="9.5" style="133" customWidth="1"/>
    <col min="10793" max="10793" width="9.08203125" style="133" bestFit="1" customWidth="1"/>
    <col min="10794" max="10794" width="9.33203125" style="133" customWidth="1"/>
    <col min="10795" max="10795" width="9.08203125" style="133" bestFit="1" customWidth="1"/>
    <col min="10796" max="10796" width="9.33203125" style="133" customWidth="1"/>
    <col min="10797" max="10797" width="9.08203125" style="133" bestFit="1" customWidth="1"/>
    <col min="10798" max="10798" width="10.5" style="133" customWidth="1"/>
    <col min="10799" max="10800" width="9.08203125" style="133" bestFit="1" customWidth="1"/>
    <col min="10801" max="10801" width="9" style="133"/>
    <col min="10802" max="10802" width="10.58203125" style="133" bestFit="1" customWidth="1"/>
    <col min="10803" max="10803" width="9.08203125" style="133" bestFit="1" customWidth="1"/>
    <col min="10804" max="10804" width="10" style="133" customWidth="1"/>
    <col min="10805" max="10805" width="9.08203125" style="133" bestFit="1" customWidth="1"/>
    <col min="10806" max="10806" width="10.5" style="133" customWidth="1"/>
    <col min="10807" max="10807" width="9.08203125" style="133" bestFit="1" customWidth="1"/>
    <col min="10808" max="11009" width="9" style="133"/>
    <col min="11010" max="11010" width="9.5" style="133" customWidth="1"/>
    <col min="11011" max="11012" width="10.58203125" style="133" customWidth="1"/>
    <col min="11013" max="11045" width="9.5" style="133" customWidth="1"/>
    <col min="11046" max="11046" width="10.58203125" style="133" customWidth="1"/>
    <col min="11047" max="11048" width="9.5" style="133" customWidth="1"/>
    <col min="11049" max="11049" width="9.08203125" style="133" bestFit="1" customWidth="1"/>
    <col min="11050" max="11050" width="9.33203125" style="133" customWidth="1"/>
    <col min="11051" max="11051" width="9.08203125" style="133" bestFit="1" customWidth="1"/>
    <col min="11052" max="11052" width="9.33203125" style="133" customWidth="1"/>
    <col min="11053" max="11053" width="9.08203125" style="133" bestFit="1" customWidth="1"/>
    <col min="11054" max="11054" width="10.5" style="133" customWidth="1"/>
    <col min="11055" max="11056" width="9.08203125" style="133" bestFit="1" customWidth="1"/>
    <col min="11057" max="11057" width="9" style="133"/>
    <col min="11058" max="11058" width="10.58203125" style="133" bestFit="1" customWidth="1"/>
    <col min="11059" max="11059" width="9.08203125" style="133" bestFit="1" customWidth="1"/>
    <col min="11060" max="11060" width="10" style="133" customWidth="1"/>
    <col min="11061" max="11061" width="9.08203125" style="133" bestFit="1" customWidth="1"/>
    <col min="11062" max="11062" width="10.5" style="133" customWidth="1"/>
    <col min="11063" max="11063" width="9.08203125" style="133" bestFit="1" customWidth="1"/>
    <col min="11064" max="11265" width="9" style="133"/>
    <col min="11266" max="11266" width="9.5" style="133" customWidth="1"/>
    <col min="11267" max="11268" width="10.58203125" style="133" customWidth="1"/>
    <col min="11269" max="11301" width="9.5" style="133" customWidth="1"/>
    <col min="11302" max="11302" width="10.58203125" style="133" customWidth="1"/>
    <col min="11303" max="11304" width="9.5" style="133" customWidth="1"/>
    <col min="11305" max="11305" width="9.08203125" style="133" bestFit="1" customWidth="1"/>
    <col min="11306" max="11306" width="9.33203125" style="133" customWidth="1"/>
    <col min="11307" max="11307" width="9.08203125" style="133" bestFit="1" customWidth="1"/>
    <col min="11308" max="11308" width="9.33203125" style="133" customWidth="1"/>
    <col min="11309" max="11309" width="9.08203125" style="133" bestFit="1" customWidth="1"/>
    <col min="11310" max="11310" width="10.5" style="133" customWidth="1"/>
    <col min="11311" max="11312" width="9.08203125" style="133" bestFit="1" customWidth="1"/>
    <col min="11313" max="11313" width="9" style="133"/>
    <col min="11314" max="11314" width="10.58203125" style="133" bestFit="1" customWidth="1"/>
    <col min="11315" max="11315" width="9.08203125" style="133" bestFit="1" customWidth="1"/>
    <col min="11316" max="11316" width="10" style="133" customWidth="1"/>
    <col min="11317" max="11317" width="9.08203125" style="133" bestFit="1" customWidth="1"/>
    <col min="11318" max="11318" width="10.5" style="133" customWidth="1"/>
    <col min="11319" max="11319" width="9.08203125" style="133" bestFit="1" customWidth="1"/>
    <col min="11320" max="11521" width="9" style="133"/>
    <col min="11522" max="11522" width="9.5" style="133" customWidth="1"/>
    <col min="11523" max="11524" width="10.58203125" style="133" customWidth="1"/>
    <col min="11525" max="11557" width="9.5" style="133" customWidth="1"/>
    <col min="11558" max="11558" width="10.58203125" style="133" customWidth="1"/>
    <col min="11559" max="11560" width="9.5" style="133" customWidth="1"/>
    <col min="11561" max="11561" width="9.08203125" style="133" bestFit="1" customWidth="1"/>
    <col min="11562" max="11562" width="9.33203125" style="133" customWidth="1"/>
    <col min="11563" max="11563" width="9.08203125" style="133" bestFit="1" customWidth="1"/>
    <col min="11564" max="11564" width="9.33203125" style="133" customWidth="1"/>
    <col min="11565" max="11565" width="9.08203125" style="133" bestFit="1" customWidth="1"/>
    <col min="11566" max="11566" width="10.5" style="133" customWidth="1"/>
    <col min="11567" max="11568" width="9.08203125" style="133" bestFit="1" customWidth="1"/>
    <col min="11569" max="11569" width="9" style="133"/>
    <col min="11570" max="11570" width="10.58203125" style="133" bestFit="1" customWidth="1"/>
    <col min="11571" max="11571" width="9.08203125" style="133" bestFit="1" customWidth="1"/>
    <col min="11572" max="11572" width="10" style="133" customWidth="1"/>
    <col min="11573" max="11573" width="9.08203125" style="133" bestFit="1" customWidth="1"/>
    <col min="11574" max="11574" width="10.5" style="133" customWidth="1"/>
    <col min="11575" max="11575" width="9.08203125" style="133" bestFit="1" customWidth="1"/>
    <col min="11576" max="11777" width="9" style="133"/>
    <col min="11778" max="11778" width="9.5" style="133" customWidth="1"/>
    <col min="11779" max="11780" width="10.58203125" style="133" customWidth="1"/>
    <col min="11781" max="11813" width="9.5" style="133" customWidth="1"/>
    <col min="11814" max="11814" width="10.58203125" style="133" customWidth="1"/>
    <col min="11815" max="11816" width="9.5" style="133" customWidth="1"/>
    <col min="11817" max="11817" width="9.08203125" style="133" bestFit="1" customWidth="1"/>
    <col min="11818" max="11818" width="9.33203125" style="133" customWidth="1"/>
    <col min="11819" max="11819" width="9.08203125" style="133" bestFit="1" customWidth="1"/>
    <col min="11820" max="11820" width="9.33203125" style="133" customWidth="1"/>
    <col min="11821" max="11821" width="9.08203125" style="133" bestFit="1" customWidth="1"/>
    <col min="11822" max="11822" width="10.5" style="133" customWidth="1"/>
    <col min="11823" max="11824" width="9.08203125" style="133" bestFit="1" customWidth="1"/>
    <col min="11825" max="11825" width="9" style="133"/>
    <col min="11826" max="11826" width="10.58203125" style="133" bestFit="1" customWidth="1"/>
    <col min="11827" max="11827" width="9.08203125" style="133" bestFit="1" customWidth="1"/>
    <col min="11828" max="11828" width="10" style="133" customWidth="1"/>
    <col min="11829" max="11829" width="9.08203125" style="133" bestFit="1" customWidth="1"/>
    <col min="11830" max="11830" width="10.5" style="133" customWidth="1"/>
    <col min="11831" max="11831" width="9.08203125" style="133" bestFit="1" customWidth="1"/>
    <col min="11832" max="12033" width="9" style="133"/>
    <col min="12034" max="12034" width="9.5" style="133" customWidth="1"/>
    <col min="12035" max="12036" width="10.58203125" style="133" customWidth="1"/>
    <col min="12037" max="12069" width="9.5" style="133" customWidth="1"/>
    <col min="12070" max="12070" width="10.58203125" style="133" customWidth="1"/>
    <col min="12071" max="12072" width="9.5" style="133" customWidth="1"/>
    <col min="12073" max="12073" width="9.08203125" style="133" bestFit="1" customWidth="1"/>
    <col min="12074" max="12074" width="9.33203125" style="133" customWidth="1"/>
    <col min="12075" max="12075" width="9.08203125" style="133" bestFit="1" customWidth="1"/>
    <col min="12076" max="12076" width="9.33203125" style="133" customWidth="1"/>
    <col min="12077" max="12077" width="9.08203125" style="133" bestFit="1" customWidth="1"/>
    <col min="12078" max="12078" width="10.5" style="133" customWidth="1"/>
    <col min="12079" max="12080" width="9.08203125" style="133" bestFit="1" customWidth="1"/>
    <col min="12081" max="12081" width="9" style="133"/>
    <col min="12082" max="12082" width="10.58203125" style="133" bestFit="1" customWidth="1"/>
    <col min="12083" max="12083" width="9.08203125" style="133" bestFit="1" customWidth="1"/>
    <col min="12084" max="12084" width="10" style="133" customWidth="1"/>
    <col min="12085" max="12085" width="9.08203125" style="133" bestFit="1" customWidth="1"/>
    <col min="12086" max="12086" width="10.5" style="133" customWidth="1"/>
    <col min="12087" max="12087" width="9.08203125" style="133" bestFit="1" customWidth="1"/>
    <col min="12088" max="12289" width="9" style="133"/>
    <col min="12290" max="12290" width="9.5" style="133" customWidth="1"/>
    <col min="12291" max="12292" width="10.58203125" style="133" customWidth="1"/>
    <col min="12293" max="12325" width="9.5" style="133" customWidth="1"/>
    <col min="12326" max="12326" width="10.58203125" style="133" customWidth="1"/>
    <col min="12327" max="12328" width="9.5" style="133" customWidth="1"/>
    <col min="12329" max="12329" width="9.08203125" style="133" bestFit="1" customWidth="1"/>
    <col min="12330" max="12330" width="9.33203125" style="133" customWidth="1"/>
    <col min="12331" max="12331" width="9.08203125" style="133" bestFit="1" customWidth="1"/>
    <col min="12332" max="12332" width="9.33203125" style="133" customWidth="1"/>
    <col min="12333" max="12333" width="9.08203125" style="133" bestFit="1" customWidth="1"/>
    <col min="12334" max="12334" width="10.5" style="133" customWidth="1"/>
    <col min="12335" max="12336" width="9.08203125" style="133" bestFit="1" customWidth="1"/>
    <col min="12337" max="12337" width="9" style="133"/>
    <col min="12338" max="12338" width="10.58203125" style="133" bestFit="1" customWidth="1"/>
    <col min="12339" max="12339" width="9.08203125" style="133" bestFit="1" customWidth="1"/>
    <col min="12340" max="12340" width="10" style="133" customWidth="1"/>
    <col min="12341" max="12341" width="9.08203125" style="133" bestFit="1" customWidth="1"/>
    <col min="12342" max="12342" width="10.5" style="133" customWidth="1"/>
    <col min="12343" max="12343" width="9.08203125" style="133" bestFit="1" customWidth="1"/>
    <col min="12344" max="12545" width="9" style="133"/>
    <col min="12546" max="12546" width="9.5" style="133" customWidth="1"/>
    <col min="12547" max="12548" width="10.58203125" style="133" customWidth="1"/>
    <col min="12549" max="12581" width="9.5" style="133" customWidth="1"/>
    <col min="12582" max="12582" width="10.58203125" style="133" customWidth="1"/>
    <col min="12583" max="12584" width="9.5" style="133" customWidth="1"/>
    <col min="12585" max="12585" width="9.08203125" style="133" bestFit="1" customWidth="1"/>
    <col min="12586" max="12586" width="9.33203125" style="133" customWidth="1"/>
    <col min="12587" max="12587" width="9.08203125" style="133" bestFit="1" customWidth="1"/>
    <col min="12588" max="12588" width="9.33203125" style="133" customWidth="1"/>
    <col min="12589" max="12589" width="9.08203125" style="133" bestFit="1" customWidth="1"/>
    <col min="12590" max="12590" width="10.5" style="133" customWidth="1"/>
    <col min="12591" max="12592" width="9.08203125" style="133" bestFit="1" customWidth="1"/>
    <col min="12593" max="12593" width="9" style="133"/>
    <col min="12594" max="12594" width="10.58203125" style="133" bestFit="1" customWidth="1"/>
    <col min="12595" max="12595" width="9.08203125" style="133" bestFit="1" customWidth="1"/>
    <col min="12596" max="12596" width="10" style="133" customWidth="1"/>
    <col min="12597" max="12597" width="9.08203125" style="133" bestFit="1" customWidth="1"/>
    <col min="12598" max="12598" width="10.5" style="133" customWidth="1"/>
    <col min="12599" max="12599" width="9.08203125" style="133" bestFit="1" customWidth="1"/>
    <col min="12600" max="12801" width="9" style="133"/>
    <col min="12802" max="12802" width="9.5" style="133" customWidth="1"/>
    <col min="12803" max="12804" width="10.58203125" style="133" customWidth="1"/>
    <col min="12805" max="12837" width="9.5" style="133" customWidth="1"/>
    <col min="12838" max="12838" width="10.58203125" style="133" customWidth="1"/>
    <col min="12839" max="12840" width="9.5" style="133" customWidth="1"/>
    <col min="12841" max="12841" width="9.08203125" style="133" bestFit="1" customWidth="1"/>
    <col min="12842" max="12842" width="9.33203125" style="133" customWidth="1"/>
    <col min="12843" max="12843" width="9.08203125" style="133" bestFit="1" customWidth="1"/>
    <col min="12844" max="12844" width="9.33203125" style="133" customWidth="1"/>
    <col min="12845" max="12845" width="9.08203125" style="133" bestFit="1" customWidth="1"/>
    <col min="12846" max="12846" width="10.5" style="133" customWidth="1"/>
    <col min="12847" max="12848" width="9.08203125" style="133" bestFit="1" customWidth="1"/>
    <col min="12849" max="12849" width="9" style="133"/>
    <col min="12850" max="12850" width="10.58203125" style="133" bestFit="1" customWidth="1"/>
    <col min="12851" max="12851" width="9.08203125" style="133" bestFit="1" customWidth="1"/>
    <col min="12852" max="12852" width="10" style="133" customWidth="1"/>
    <col min="12853" max="12853" width="9.08203125" style="133" bestFit="1" customWidth="1"/>
    <col min="12854" max="12854" width="10.5" style="133" customWidth="1"/>
    <col min="12855" max="12855" width="9.08203125" style="133" bestFit="1" customWidth="1"/>
    <col min="12856" max="13057" width="9" style="133"/>
    <col min="13058" max="13058" width="9.5" style="133" customWidth="1"/>
    <col min="13059" max="13060" width="10.58203125" style="133" customWidth="1"/>
    <col min="13061" max="13093" width="9.5" style="133" customWidth="1"/>
    <col min="13094" max="13094" width="10.58203125" style="133" customWidth="1"/>
    <col min="13095" max="13096" width="9.5" style="133" customWidth="1"/>
    <col min="13097" max="13097" width="9.08203125" style="133" bestFit="1" customWidth="1"/>
    <col min="13098" max="13098" width="9.33203125" style="133" customWidth="1"/>
    <col min="13099" max="13099" width="9.08203125" style="133" bestFit="1" customWidth="1"/>
    <col min="13100" max="13100" width="9.33203125" style="133" customWidth="1"/>
    <col min="13101" max="13101" width="9.08203125" style="133" bestFit="1" customWidth="1"/>
    <col min="13102" max="13102" width="10.5" style="133" customWidth="1"/>
    <col min="13103" max="13104" width="9.08203125" style="133" bestFit="1" customWidth="1"/>
    <col min="13105" max="13105" width="9" style="133"/>
    <col min="13106" max="13106" width="10.58203125" style="133" bestFit="1" customWidth="1"/>
    <col min="13107" max="13107" width="9.08203125" style="133" bestFit="1" customWidth="1"/>
    <col min="13108" max="13108" width="10" style="133" customWidth="1"/>
    <col min="13109" max="13109" width="9.08203125" style="133" bestFit="1" customWidth="1"/>
    <col min="13110" max="13110" width="10.5" style="133" customWidth="1"/>
    <col min="13111" max="13111" width="9.08203125" style="133" bestFit="1" customWidth="1"/>
    <col min="13112" max="13313" width="9" style="133"/>
    <col min="13314" max="13314" width="9.5" style="133" customWidth="1"/>
    <col min="13315" max="13316" width="10.58203125" style="133" customWidth="1"/>
    <col min="13317" max="13349" width="9.5" style="133" customWidth="1"/>
    <col min="13350" max="13350" width="10.58203125" style="133" customWidth="1"/>
    <col min="13351" max="13352" width="9.5" style="133" customWidth="1"/>
    <col min="13353" max="13353" width="9.08203125" style="133" bestFit="1" customWidth="1"/>
    <col min="13354" max="13354" width="9.33203125" style="133" customWidth="1"/>
    <col min="13355" max="13355" width="9.08203125" style="133" bestFit="1" customWidth="1"/>
    <col min="13356" max="13356" width="9.33203125" style="133" customWidth="1"/>
    <col min="13357" max="13357" width="9.08203125" style="133" bestFit="1" customWidth="1"/>
    <col min="13358" max="13358" width="10.5" style="133" customWidth="1"/>
    <col min="13359" max="13360" width="9.08203125" style="133" bestFit="1" customWidth="1"/>
    <col min="13361" max="13361" width="9" style="133"/>
    <col min="13362" max="13362" width="10.58203125" style="133" bestFit="1" customWidth="1"/>
    <col min="13363" max="13363" width="9.08203125" style="133" bestFit="1" customWidth="1"/>
    <col min="13364" max="13364" width="10" style="133" customWidth="1"/>
    <col min="13365" max="13365" width="9.08203125" style="133" bestFit="1" customWidth="1"/>
    <col min="13366" max="13366" width="10.5" style="133" customWidth="1"/>
    <col min="13367" max="13367" width="9.08203125" style="133" bestFit="1" customWidth="1"/>
    <col min="13368" max="13569" width="9" style="133"/>
    <col min="13570" max="13570" width="9.5" style="133" customWidth="1"/>
    <col min="13571" max="13572" width="10.58203125" style="133" customWidth="1"/>
    <col min="13573" max="13605" width="9.5" style="133" customWidth="1"/>
    <col min="13606" max="13606" width="10.58203125" style="133" customWidth="1"/>
    <col min="13607" max="13608" width="9.5" style="133" customWidth="1"/>
    <col min="13609" max="13609" width="9.08203125" style="133" bestFit="1" customWidth="1"/>
    <col min="13610" max="13610" width="9.33203125" style="133" customWidth="1"/>
    <col min="13611" max="13611" width="9.08203125" style="133" bestFit="1" customWidth="1"/>
    <col min="13612" max="13612" width="9.33203125" style="133" customWidth="1"/>
    <col min="13613" max="13613" width="9.08203125" style="133" bestFit="1" customWidth="1"/>
    <col min="13614" max="13614" width="10.5" style="133" customWidth="1"/>
    <col min="13615" max="13616" width="9.08203125" style="133" bestFit="1" customWidth="1"/>
    <col min="13617" max="13617" width="9" style="133"/>
    <col min="13618" max="13618" width="10.58203125" style="133" bestFit="1" customWidth="1"/>
    <col min="13619" max="13619" width="9.08203125" style="133" bestFit="1" customWidth="1"/>
    <col min="13620" max="13620" width="10" style="133" customWidth="1"/>
    <col min="13621" max="13621" width="9.08203125" style="133" bestFit="1" customWidth="1"/>
    <col min="13622" max="13622" width="10.5" style="133" customWidth="1"/>
    <col min="13623" max="13623" width="9.08203125" style="133" bestFit="1" customWidth="1"/>
    <col min="13624" max="13825" width="9" style="133"/>
    <col min="13826" max="13826" width="9.5" style="133" customWidth="1"/>
    <col min="13827" max="13828" width="10.58203125" style="133" customWidth="1"/>
    <col min="13829" max="13861" width="9.5" style="133" customWidth="1"/>
    <col min="13862" max="13862" width="10.58203125" style="133" customWidth="1"/>
    <col min="13863" max="13864" width="9.5" style="133" customWidth="1"/>
    <col min="13865" max="13865" width="9.08203125" style="133" bestFit="1" customWidth="1"/>
    <col min="13866" max="13866" width="9.33203125" style="133" customWidth="1"/>
    <col min="13867" max="13867" width="9.08203125" style="133" bestFit="1" customWidth="1"/>
    <col min="13868" max="13868" width="9.33203125" style="133" customWidth="1"/>
    <col min="13869" max="13869" width="9.08203125" style="133" bestFit="1" customWidth="1"/>
    <col min="13870" max="13870" width="10.5" style="133" customWidth="1"/>
    <col min="13871" max="13872" width="9.08203125" style="133" bestFit="1" customWidth="1"/>
    <col min="13873" max="13873" width="9" style="133"/>
    <col min="13874" max="13874" width="10.58203125" style="133" bestFit="1" customWidth="1"/>
    <col min="13875" max="13875" width="9.08203125" style="133" bestFit="1" customWidth="1"/>
    <col min="13876" max="13876" width="10" style="133" customWidth="1"/>
    <col min="13877" max="13877" width="9.08203125" style="133" bestFit="1" customWidth="1"/>
    <col min="13878" max="13878" width="10.5" style="133" customWidth="1"/>
    <col min="13879" max="13879" width="9.08203125" style="133" bestFit="1" customWidth="1"/>
    <col min="13880" max="14081" width="9" style="133"/>
    <col min="14082" max="14082" width="9.5" style="133" customWidth="1"/>
    <col min="14083" max="14084" width="10.58203125" style="133" customWidth="1"/>
    <col min="14085" max="14117" width="9.5" style="133" customWidth="1"/>
    <col min="14118" max="14118" width="10.58203125" style="133" customWidth="1"/>
    <col min="14119" max="14120" width="9.5" style="133" customWidth="1"/>
    <col min="14121" max="14121" width="9.08203125" style="133" bestFit="1" customWidth="1"/>
    <col min="14122" max="14122" width="9.33203125" style="133" customWidth="1"/>
    <col min="14123" max="14123" width="9.08203125" style="133" bestFit="1" customWidth="1"/>
    <col min="14124" max="14124" width="9.33203125" style="133" customWidth="1"/>
    <col min="14125" max="14125" width="9.08203125" style="133" bestFit="1" customWidth="1"/>
    <col min="14126" max="14126" width="10.5" style="133" customWidth="1"/>
    <col min="14127" max="14128" width="9.08203125" style="133" bestFit="1" customWidth="1"/>
    <col min="14129" max="14129" width="9" style="133"/>
    <col min="14130" max="14130" width="10.58203125" style="133" bestFit="1" customWidth="1"/>
    <col min="14131" max="14131" width="9.08203125" style="133" bestFit="1" customWidth="1"/>
    <col min="14132" max="14132" width="10" style="133" customWidth="1"/>
    <col min="14133" max="14133" width="9.08203125" style="133" bestFit="1" customWidth="1"/>
    <col min="14134" max="14134" width="10.5" style="133" customWidth="1"/>
    <col min="14135" max="14135" width="9.08203125" style="133" bestFit="1" customWidth="1"/>
    <col min="14136" max="14337" width="9" style="133"/>
    <col min="14338" max="14338" width="9.5" style="133" customWidth="1"/>
    <col min="14339" max="14340" width="10.58203125" style="133" customWidth="1"/>
    <col min="14341" max="14373" width="9.5" style="133" customWidth="1"/>
    <col min="14374" max="14374" width="10.58203125" style="133" customWidth="1"/>
    <col min="14375" max="14376" width="9.5" style="133" customWidth="1"/>
    <col min="14377" max="14377" width="9.08203125" style="133" bestFit="1" customWidth="1"/>
    <col min="14378" max="14378" width="9.33203125" style="133" customWidth="1"/>
    <col min="14379" max="14379" width="9.08203125" style="133" bestFit="1" customWidth="1"/>
    <col min="14380" max="14380" width="9.33203125" style="133" customWidth="1"/>
    <col min="14381" max="14381" width="9.08203125" style="133" bestFit="1" customWidth="1"/>
    <col min="14382" max="14382" width="10.5" style="133" customWidth="1"/>
    <col min="14383" max="14384" width="9.08203125" style="133" bestFit="1" customWidth="1"/>
    <col min="14385" max="14385" width="9" style="133"/>
    <col min="14386" max="14386" width="10.58203125" style="133" bestFit="1" customWidth="1"/>
    <col min="14387" max="14387" width="9.08203125" style="133" bestFit="1" customWidth="1"/>
    <col min="14388" max="14388" width="10" style="133" customWidth="1"/>
    <col min="14389" max="14389" width="9.08203125" style="133" bestFit="1" customWidth="1"/>
    <col min="14390" max="14390" width="10.5" style="133" customWidth="1"/>
    <col min="14391" max="14391" width="9.08203125" style="133" bestFit="1" customWidth="1"/>
    <col min="14392" max="14593" width="9" style="133"/>
    <col min="14594" max="14594" width="9.5" style="133" customWidth="1"/>
    <col min="14595" max="14596" width="10.58203125" style="133" customWidth="1"/>
    <col min="14597" max="14629" width="9.5" style="133" customWidth="1"/>
    <col min="14630" max="14630" width="10.58203125" style="133" customWidth="1"/>
    <col min="14631" max="14632" width="9.5" style="133" customWidth="1"/>
    <col min="14633" max="14633" width="9.08203125" style="133" bestFit="1" customWidth="1"/>
    <col min="14634" max="14634" width="9.33203125" style="133" customWidth="1"/>
    <col min="14635" max="14635" width="9.08203125" style="133" bestFit="1" customWidth="1"/>
    <col min="14636" max="14636" width="9.33203125" style="133" customWidth="1"/>
    <col min="14637" max="14637" width="9.08203125" style="133" bestFit="1" customWidth="1"/>
    <col min="14638" max="14638" width="10.5" style="133" customWidth="1"/>
    <col min="14639" max="14640" width="9.08203125" style="133" bestFit="1" customWidth="1"/>
    <col min="14641" max="14641" width="9" style="133"/>
    <col min="14642" max="14642" width="10.58203125" style="133" bestFit="1" customWidth="1"/>
    <col min="14643" max="14643" width="9.08203125" style="133" bestFit="1" customWidth="1"/>
    <col min="14644" max="14644" width="10" style="133" customWidth="1"/>
    <col min="14645" max="14645" width="9.08203125" style="133" bestFit="1" customWidth="1"/>
    <col min="14646" max="14646" width="10.5" style="133" customWidth="1"/>
    <col min="14647" max="14647" width="9.08203125" style="133" bestFit="1" customWidth="1"/>
    <col min="14648" max="14849" width="9" style="133"/>
    <col min="14850" max="14850" width="9.5" style="133" customWidth="1"/>
    <col min="14851" max="14852" width="10.58203125" style="133" customWidth="1"/>
    <col min="14853" max="14885" width="9.5" style="133" customWidth="1"/>
    <col min="14886" max="14886" width="10.58203125" style="133" customWidth="1"/>
    <col min="14887" max="14888" width="9.5" style="133" customWidth="1"/>
    <col min="14889" max="14889" width="9.08203125" style="133" bestFit="1" customWidth="1"/>
    <col min="14890" max="14890" width="9.33203125" style="133" customWidth="1"/>
    <col min="14891" max="14891" width="9.08203125" style="133" bestFit="1" customWidth="1"/>
    <col min="14892" max="14892" width="9.33203125" style="133" customWidth="1"/>
    <col min="14893" max="14893" width="9.08203125" style="133" bestFit="1" customWidth="1"/>
    <col min="14894" max="14894" width="10.5" style="133" customWidth="1"/>
    <col min="14895" max="14896" width="9.08203125" style="133" bestFit="1" customWidth="1"/>
    <col min="14897" max="14897" width="9" style="133"/>
    <col min="14898" max="14898" width="10.58203125" style="133" bestFit="1" customWidth="1"/>
    <col min="14899" max="14899" width="9.08203125" style="133" bestFit="1" customWidth="1"/>
    <col min="14900" max="14900" width="10" style="133" customWidth="1"/>
    <col min="14901" max="14901" width="9.08203125" style="133" bestFit="1" customWidth="1"/>
    <col min="14902" max="14902" width="10.5" style="133" customWidth="1"/>
    <col min="14903" max="14903" width="9.08203125" style="133" bestFit="1" customWidth="1"/>
    <col min="14904" max="15105" width="9" style="133"/>
    <col min="15106" max="15106" width="9.5" style="133" customWidth="1"/>
    <col min="15107" max="15108" width="10.58203125" style="133" customWidth="1"/>
    <col min="15109" max="15141" width="9.5" style="133" customWidth="1"/>
    <col min="15142" max="15142" width="10.58203125" style="133" customWidth="1"/>
    <col min="15143" max="15144" width="9.5" style="133" customWidth="1"/>
    <col min="15145" max="15145" width="9.08203125" style="133" bestFit="1" customWidth="1"/>
    <col min="15146" max="15146" width="9.33203125" style="133" customWidth="1"/>
    <col min="15147" max="15147" width="9.08203125" style="133" bestFit="1" customWidth="1"/>
    <col min="15148" max="15148" width="9.33203125" style="133" customWidth="1"/>
    <col min="15149" max="15149" width="9.08203125" style="133" bestFit="1" customWidth="1"/>
    <col min="15150" max="15150" width="10.5" style="133" customWidth="1"/>
    <col min="15151" max="15152" width="9.08203125" style="133" bestFit="1" customWidth="1"/>
    <col min="15153" max="15153" width="9" style="133"/>
    <col min="15154" max="15154" width="10.58203125" style="133" bestFit="1" customWidth="1"/>
    <col min="15155" max="15155" width="9.08203125" style="133" bestFit="1" customWidth="1"/>
    <col min="15156" max="15156" width="10" style="133" customWidth="1"/>
    <col min="15157" max="15157" width="9.08203125" style="133" bestFit="1" customWidth="1"/>
    <col min="15158" max="15158" width="10.5" style="133" customWidth="1"/>
    <col min="15159" max="15159" width="9.08203125" style="133" bestFit="1" customWidth="1"/>
    <col min="15160" max="15361" width="9" style="133"/>
    <col min="15362" max="15362" width="9.5" style="133" customWidth="1"/>
    <col min="15363" max="15364" width="10.58203125" style="133" customWidth="1"/>
    <col min="15365" max="15397" width="9.5" style="133" customWidth="1"/>
    <col min="15398" max="15398" width="10.58203125" style="133" customWidth="1"/>
    <col min="15399" max="15400" width="9.5" style="133" customWidth="1"/>
    <col min="15401" max="15401" width="9.08203125" style="133" bestFit="1" customWidth="1"/>
    <col min="15402" max="15402" width="9.33203125" style="133" customWidth="1"/>
    <col min="15403" max="15403" width="9.08203125" style="133" bestFit="1" customWidth="1"/>
    <col min="15404" max="15404" width="9.33203125" style="133" customWidth="1"/>
    <col min="15405" max="15405" width="9.08203125" style="133" bestFit="1" customWidth="1"/>
    <col min="15406" max="15406" width="10.5" style="133" customWidth="1"/>
    <col min="15407" max="15408" width="9.08203125" style="133" bestFit="1" customWidth="1"/>
    <col min="15409" max="15409" width="9" style="133"/>
    <col min="15410" max="15410" width="10.58203125" style="133" bestFit="1" customWidth="1"/>
    <col min="15411" max="15411" width="9.08203125" style="133" bestFit="1" customWidth="1"/>
    <col min="15412" max="15412" width="10" style="133" customWidth="1"/>
    <col min="15413" max="15413" width="9.08203125" style="133" bestFit="1" customWidth="1"/>
    <col min="15414" max="15414" width="10.5" style="133" customWidth="1"/>
    <col min="15415" max="15415" width="9.08203125" style="133" bestFit="1" customWidth="1"/>
    <col min="15416" max="15617" width="9" style="133"/>
    <col min="15618" max="15618" width="9.5" style="133" customWidth="1"/>
    <col min="15619" max="15620" width="10.58203125" style="133" customWidth="1"/>
    <col min="15621" max="15653" width="9.5" style="133" customWidth="1"/>
    <col min="15654" max="15654" width="10.58203125" style="133" customWidth="1"/>
    <col min="15655" max="15656" width="9.5" style="133" customWidth="1"/>
    <col min="15657" max="15657" width="9.08203125" style="133" bestFit="1" customWidth="1"/>
    <col min="15658" max="15658" width="9.33203125" style="133" customWidth="1"/>
    <col min="15659" max="15659" width="9.08203125" style="133" bestFit="1" customWidth="1"/>
    <col min="15660" max="15660" width="9.33203125" style="133" customWidth="1"/>
    <col min="15661" max="15661" width="9.08203125" style="133" bestFit="1" customWidth="1"/>
    <col min="15662" max="15662" width="10.5" style="133" customWidth="1"/>
    <col min="15663" max="15664" width="9.08203125" style="133" bestFit="1" customWidth="1"/>
    <col min="15665" max="15665" width="9" style="133"/>
    <col min="15666" max="15666" width="10.58203125" style="133" bestFit="1" customWidth="1"/>
    <col min="15667" max="15667" width="9.08203125" style="133" bestFit="1" customWidth="1"/>
    <col min="15668" max="15668" width="10" style="133" customWidth="1"/>
    <col min="15669" max="15669" width="9.08203125" style="133" bestFit="1" customWidth="1"/>
    <col min="15670" max="15670" width="10.5" style="133" customWidth="1"/>
    <col min="15671" max="15671" width="9.08203125" style="133" bestFit="1" customWidth="1"/>
    <col min="15672" max="15873" width="9" style="133"/>
    <col min="15874" max="15874" width="9.5" style="133" customWidth="1"/>
    <col min="15875" max="15876" width="10.58203125" style="133" customWidth="1"/>
    <col min="15877" max="15909" width="9.5" style="133" customWidth="1"/>
    <col min="15910" max="15910" width="10.58203125" style="133" customWidth="1"/>
    <col min="15911" max="15912" width="9.5" style="133" customWidth="1"/>
    <col min="15913" max="15913" width="9.08203125" style="133" bestFit="1" customWidth="1"/>
    <col min="15914" max="15914" width="9.33203125" style="133" customWidth="1"/>
    <col min="15915" max="15915" width="9.08203125" style="133" bestFit="1" customWidth="1"/>
    <col min="15916" max="15916" width="9.33203125" style="133" customWidth="1"/>
    <col min="15917" max="15917" width="9.08203125" style="133" bestFit="1" customWidth="1"/>
    <col min="15918" max="15918" width="10.5" style="133" customWidth="1"/>
    <col min="15919" max="15920" width="9.08203125" style="133" bestFit="1" customWidth="1"/>
    <col min="15921" max="15921" width="9" style="133"/>
    <col min="15922" max="15922" width="10.58203125" style="133" bestFit="1" customWidth="1"/>
    <col min="15923" max="15923" width="9.08203125" style="133" bestFit="1" customWidth="1"/>
    <col min="15924" max="15924" width="10" style="133" customWidth="1"/>
    <col min="15925" max="15925" width="9.08203125" style="133" bestFit="1" customWidth="1"/>
    <col min="15926" max="15926" width="10.5" style="133" customWidth="1"/>
    <col min="15927" max="15927" width="9.08203125" style="133" bestFit="1" customWidth="1"/>
    <col min="15928" max="16129" width="9" style="133"/>
    <col min="16130" max="16130" width="9.5" style="133" customWidth="1"/>
    <col min="16131" max="16132" width="10.58203125" style="133" customWidth="1"/>
    <col min="16133" max="16165" width="9.5" style="133" customWidth="1"/>
    <col min="16166" max="16166" width="10.58203125" style="133" customWidth="1"/>
    <col min="16167" max="16168" width="9.5" style="133" customWidth="1"/>
    <col min="16169" max="16169" width="9.08203125" style="133" bestFit="1" customWidth="1"/>
    <col min="16170" max="16170" width="9.33203125" style="133" customWidth="1"/>
    <col min="16171" max="16171" width="9.08203125" style="133" bestFit="1" customWidth="1"/>
    <col min="16172" max="16172" width="9.33203125" style="133" customWidth="1"/>
    <col min="16173" max="16173" width="9.08203125" style="133" bestFit="1" customWidth="1"/>
    <col min="16174" max="16174" width="10.5" style="133" customWidth="1"/>
    <col min="16175" max="16176" width="9.08203125" style="133" bestFit="1" customWidth="1"/>
    <col min="16177" max="16177" width="9" style="133"/>
    <col min="16178" max="16178" width="10.58203125" style="133" bestFit="1" customWidth="1"/>
    <col min="16179" max="16179" width="9.08203125" style="133" bestFit="1" customWidth="1"/>
    <col min="16180" max="16180" width="10" style="133" customWidth="1"/>
    <col min="16181" max="16181" width="9.08203125" style="133" bestFit="1" customWidth="1"/>
    <col min="16182" max="16182" width="10.5" style="133" customWidth="1"/>
    <col min="16183" max="16183" width="9.08203125" style="133" bestFit="1" customWidth="1"/>
    <col min="16184" max="16384" width="9" style="133"/>
  </cols>
  <sheetData>
    <row r="1" spans="1:57" hidden="1">
      <c r="A1" s="1304" t="s">
        <v>9898</v>
      </c>
      <c r="B1" s="1305"/>
      <c r="C1" s="740"/>
      <c r="D1" s="740"/>
      <c r="E1" s="740"/>
      <c r="F1" s="740"/>
      <c r="G1" s="1305" t="s">
        <v>9899</v>
      </c>
      <c r="H1" s="740"/>
      <c r="I1" s="740"/>
      <c r="J1" s="740"/>
      <c r="K1" s="740"/>
      <c r="L1" s="740"/>
      <c r="M1" s="740"/>
      <c r="N1" s="740"/>
      <c r="O1" s="740"/>
      <c r="P1" s="740"/>
      <c r="Q1" s="740"/>
      <c r="R1" s="740"/>
      <c r="S1" s="740"/>
      <c r="T1" s="740"/>
      <c r="U1" s="740"/>
      <c r="V1" s="740"/>
      <c r="W1" s="740"/>
      <c r="X1" s="740"/>
      <c r="Y1" s="740"/>
      <c r="Z1" s="740"/>
      <c r="AA1" s="740"/>
      <c r="AB1" s="740"/>
      <c r="AC1" s="740"/>
      <c r="AD1" s="740"/>
      <c r="AE1" s="740"/>
      <c r="AF1" s="740"/>
      <c r="AG1" s="740"/>
      <c r="AH1" s="740"/>
      <c r="AI1" s="740"/>
      <c r="AJ1" s="740"/>
      <c r="AK1" s="740"/>
      <c r="AL1" s="740"/>
      <c r="AM1" s="740"/>
      <c r="AN1" s="740"/>
      <c r="AO1" s="740"/>
      <c r="AP1" s="740"/>
      <c r="AQ1" s="740"/>
      <c r="AR1" s="740"/>
      <c r="AS1" s="740"/>
      <c r="AT1" s="740"/>
      <c r="AU1" s="740"/>
      <c r="AV1" s="740"/>
      <c r="AW1" s="740"/>
      <c r="AX1" s="740"/>
      <c r="AY1" s="740"/>
      <c r="AZ1" s="740"/>
      <c r="BA1" s="740"/>
      <c r="BB1" s="740"/>
      <c r="BC1" s="740"/>
      <c r="BD1" s="740"/>
      <c r="BE1" s="740"/>
    </row>
    <row r="2" spans="1:57" hidden="1">
      <c r="A2" s="1305"/>
      <c r="B2" s="1305"/>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1306"/>
      <c r="AM2" s="1306"/>
      <c r="AN2" s="1306" t="s">
        <v>9900</v>
      </c>
      <c r="AO2" s="740"/>
      <c r="AP2" s="740"/>
      <c r="AQ2" s="740"/>
      <c r="AR2" s="740"/>
      <c r="AS2" s="740"/>
      <c r="AT2" s="740"/>
      <c r="AU2" s="740"/>
      <c r="AV2" s="740"/>
      <c r="AW2" s="740"/>
      <c r="AX2" s="1306" t="s">
        <v>9900</v>
      </c>
      <c r="AY2" s="740"/>
      <c r="AZ2" s="740"/>
      <c r="BA2" s="740"/>
      <c r="BB2" s="740"/>
      <c r="BC2" s="740"/>
      <c r="BD2" s="740"/>
      <c r="BE2" s="1306" t="s">
        <v>9900</v>
      </c>
    </row>
    <row r="3" spans="1:57" s="740" customFormat="1" ht="6.75" hidden="1" customHeight="1">
      <c r="A3" s="1307"/>
      <c r="B3" s="1308"/>
      <c r="C3" s="1309"/>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1"/>
      <c r="AM3" s="1312"/>
      <c r="AN3" s="1300"/>
      <c r="AP3" s="1309"/>
      <c r="AQ3" s="1312"/>
      <c r="AR3" s="1309"/>
      <c r="AS3" s="1312"/>
      <c r="AT3" s="1309"/>
      <c r="AU3" s="1312"/>
      <c r="AV3" s="1309"/>
      <c r="AW3" s="1313"/>
      <c r="AX3" s="1312"/>
      <c r="AZ3" s="1309"/>
      <c r="BA3" s="1312"/>
      <c r="BB3" s="1309"/>
      <c r="BC3" s="1312"/>
      <c r="BD3" s="1309"/>
      <c r="BE3" s="1312"/>
    </row>
    <row r="4" spans="1:57" s="740" customFormat="1" ht="18.75" hidden="1" customHeight="1">
      <c r="A4" s="1314" t="s">
        <v>9901</v>
      </c>
      <c r="B4" s="1315"/>
      <c r="C4" s="1316" t="s">
        <v>9711</v>
      </c>
      <c r="D4" s="1317" t="s">
        <v>20</v>
      </c>
      <c r="E4" s="1318" t="s">
        <v>79</v>
      </c>
      <c r="F4" s="1318" t="s">
        <v>9671</v>
      </c>
      <c r="G4" s="1318" t="s">
        <v>93</v>
      </c>
      <c r="H4" s="1316" t="s">
        <v>9672</v>
      </c>
      <c r="I4" s="1310"/>
      <c r="J4" s="1310"/>
      <c r="K4" s="1310"/>
      <c r="L4" s="1310"/>
      <c r="M4" s="1310"/>
      <c r="N4" s="1310"/>
      <c r="O4" s="1310"/>
      <c r="P4" s="1310"/>
      <c r="Q4" s="1310"/>
      <c r="R4" s="1310"/>
      <c r="S4" s="1310"/>
      <c r="T4" s="1310"/>
      <c r="U4" s="1310"/>
      <c r="V4" s="1310"/>
      <c r="W4" s="1311"/>
      <c r="X4" s="1319" t="s">
        <v>9688</v>
      </c>
      <c r="Y4" s="1319" t="s">
        <v>9691</v>
      </c>
      <c r="Z4" s="1319" t="s">
        <v>9902</v>
      </c>
      <c r="AA4" s="1319" t="s">
        <v>9782</v>
      </c>
      <c r="AB4" s="1319" t="s">
        <v>9696</v>
      </c>
      <c r="AC4" s="1319" t="s">
        <v>9783</v>
      </c>
      <c r="AD4" s="1319" t="s">
        <v>9784</v>
      </c>
      <c r="AE4" s="1317" t="s">
        <v>9785</v>
      </c>
      <c r="AF4" s="1319" t="s">
        <v>9704</v>
      </c>
      <c r="AG4" s="1319" t="s">
        <v>9115</v>
      </c>
      <c r="AH4" s="1319" t="s">
        <v>9705</v>
      </c>
      <c r="AI4" s="1319" t="s">
        <v>9706</v>
      </c>
      <c r="AJ4" s="1319" t="s">
        <v>9707</v>
      </c>
      <c r="AK4" s="1319" t="s">
        <v>9708</v>
      </c>
      <c r="AL4" s="1320" t="s">
        <v>9903</v>
      </c>
      <c r="AM4" s="1326"/>
      <c r="AN4" s="1318" t="s">
        <v>9904</v>
      </c>
      <c r="AP4" s="1316" t="s">
        <v>9905</v>
      </c>
      <c r="AQ4" s="1321"/>
      <c r="AR4" s="1316" t="s">
        <v>9906</v>
      </c>
      <c r="AS4" s="1321"/>
      <c r="AT4" s="1316" t="s">
        <v>9907</v>
      </c>
      <c r="AU4" s="1321"/>
      <c r="AV4" s="1322" t="s">
        <v>9908</v>
      </c>
      <c r="AW4" s="1323"/>
      <c r="AX4" s="1324"/>
      <c r="AZ4" s="1316" t="s">
        <v>9672</v>
      </c>
      <c r="BA4" s="1321"/>
      <c r="BB4" s="1316" t="s">
        <v>9909</v>
      </c>
      <c r="BC4" s="1321"/>
      <c r="BD4" s="1322" t="s">
        <v>9908</v>
      </c>
      <c r="BE4" s="1324"/>
    </row>
    <row r="5" spans="1:57" s="740" customFormat="1" ht="21" hidden="1" customHeight="1">
      <c r="A5" s="1314"/>
      <c r="B5" s="1315"/>
      <c r="C5" s="1316"/>
      <c r="D5" s="1318"/>
      <c r="E5" s="1318"/>
      <c r="F5" s="1318"/>
      <c r="G5" s="1318"/>
      <c r="H5" s="1318"/>
      <c r="I5" s="1298" t="s">
        <v>1597</v>
      </c>
      <c r="J5" s="1299" t="s">
        <v>9765</v>
      </c>
      <c r="K5" s="1298" t="s">
        <v>9766</v>
      </c>
      <c r="L5" s="1298" t="s">
        <v>9910</v>
      </c>
      <c r="M5" s="1298" t="s">
        <v>9911</v>
      </c>
      <c r="N5" s="1298" t="s">
        <v>9912</v>
      </c>
      <c r="O5" s="1298" t="s">
        <v>9770</v>
      </c>
      <c r="P5" s="1298" t="s">
        <v>9868</v>
      </c>
      <c r="Q5" s="1298" t="s">
        <v>9772</v>
      </c>
      <c r="R5" s="1298" t="s">
        <v>9913</v>
      </c>
      <c r="S5" s="1298" t="s">
        <v>9870</v>
      </c>
      <c r="T5" s="1298" t="s">
        <v>9775</v>
      </c>
      <c r="U5" s="1298" t="s">
        <v>9776</v>
      </c>
      <c r="V5" s="1300" t="s">
        <v>9777</v>
      </c>
      <c r="W5" s="1298" t="s">
        <v>9914</v>
      </c>
      <c r="X5" s="1325"/>
      <c r="Y5" s="1325"/>
      <c r="Z5" s="1325"/>
      <c r="AA5" s="1325"/>
      <c r="AB5" s="1325"/>
      <c r="AC5" s="1325"/>
      <c r="AD5" s="1325"/>
      <c r="AE5" s="1318"/>
      <c r="AF5" s="1325"/>
      <c r="AG5" s="1325"/>
      <c r="AH5" s="1325"/>
      <c r="AI5" s="1325"/>
      <c r="AJ5" s="1325"/>
      <c r="AK5" s="1325"/>
      <c r="AL5" s="1326"/>
      <c r="AM5" s="1326"/>
      <c r="AN5" s="1318" t="s">
        <v>9915</v>
      </c>
      <c r="AP5" s="1316"/>
      <c r="AQ5" s="1327" t="s">
        <v>9915</v>
      </c>
      <c r="AR5" s="1316"/>
      <c r="AS5" s="1327" t="s">
        <v>9915</v>
      </c>
      <c r="AT5" s="1316"/>
      <c r="AU5" s="1317" t="s">
        <v>9915</v>
      </c>
      <c r="AV5" s="1317" t="s">
        <v>9905</v>
      </c>
      <c r="AW5" s="1317" t="s">
        <v>9906</v>
      </c>
      <c r="AX5" s="1317" t="s">
        <v>9907</v>
      </c>
      <c r="AZ5" s="1316"/>
      <c r="BA5" s="1327" t="s">
        <v>9915</v>
      </c>
      <c r="BB5" s="1316"/>
      <c r="BC5" s="1317" t="s">
        <v>9915</v>
      </c>
      <c r="BD5" s="1317" t="s">
        <v>9672</v>
      </c>
      <c r="BE5" s="1317" t="s">
        <v>9909</v>
      </c>
    </row>
    <row r="6" spans="1:57" s="740" customFormat="1" ht="9.75" hidden="1" customHeight="1">
      <c r="A6" s="1328"/>
      <c r="B6" s="1329"/>
      <c r="C6" s="1322"/>
      <c r="D6" s="1330"/>
      <c r="E6" s="1330"/>
      <c r="F6" s="1330"/>
      <c r="G6" s="1330"/>
      <c r="H6" s="1330"/>
      <c r="I6" s="1330"/>
      <c r="J6" s="1330"/>
      <c r="K6" s="1330"/>
      <c r="L6" s="1330"/>
      <c r="M6" s="1330"/>
      <c r="N6" s="1330"/>
      <c r="O6" s="1330"/>
      <c r="P6" s="1330"/>
      <c r="Q6" s="1330"/>
      <c r="R6" s="1330"/>
      <c r="S6" s="1330"/>
      <c r="T6" s="1330"/>
      <c r="U6" s="1330"/>
      <c r="V6" s="1330"/>
      <c r="W6" s="1330"/>
      <c r="X6" s="1331"/>
      <c r="Y6" s="1330"/>
      <c r="Z6" s="1330"/>
      <c r="AA6" s="1330"/>
      <c r="AB6" s="1330"/>
      <c r="AC6" s="1330"/>
      <c r="AD6" s="1330"/>
      <c r="AE6" s="1330"/>
      <c r="AF6" s="1331"/>
      <c r="AG6" s="1330"/>
      <c r="AH6" s="1330"/>
      <c r="AI6" s="1330"/>
      <c r="AJ6" s="1301"/>
      <c r="AK6" s="1330"/>
      <c r="AL6" s="1302"/>
      <c r="AM6" s="1302"/>
      <c r="AN6" s="1330" t="s">
        <v>9916</v>
      </c>
      <c r="AP6" s="1316"/>
      <c r="AQ6" s="1318" t="s">
        <v>9917</v>
      </c>
      <c r="AR6" s="1316"/>
      <c r="AS6" s="1318" t="s">
        <v>9916</v>
      </c>
      <c r="AT6" s="1316"/>
      <c r="AU6" s="1330" t="s">
        <v>9916</v>
      </c>
      <c r="AV6" s="1330"/>
      <c r="AW6" s="1330"/>
      <c r="AX6" s="1330"/>
      <c r="AZ6" s="1316"/>
      <c r="BA6" s="1330" t="s">
        <v>9917</v>
      </c>
      <c r="BB6" s="1316"/>
      <c r="BC6" s="1330" t="s">
        <v>9916</v>
      </c>
      <c r="BD6" s="1330"/>
      <c r="BE6" s="1330"/>
    </row>
    <row r="7" spans="1:57" hidden="1">
      <c r="A7" s="1332" t="s">
        <v>9655</v>
      </c>
      <c r="B7" s="1333" t="s">
        <v>9918</v>
      </c>
      <c r="C7" s="1334">
        <v>5090322</v>
      </c>
      <c r="D7" s="1334">
        <v>11373</v>
      </c>
      <c r="E7" s="1335">
        <v>1557</v>
      </c>
      <c r="F7" s="1335">
        <v>4315</v>
      </c>
      <c r="G7" s="1335">
        <v>1831</v>
      </c>
      <c r="H7" s="1335">
        <v>1336678</v>
      </c>
      <c r="I7" s="1335">
        <v>193290</v>
      </c>
      <c r="J7" s="1335">
        <v>14204</v>
      </c>
      <c r="K7" s="1335">
        <v>26767</v>
      </c>
      <c r="L7" s="1335">
        <v>127445</v>
      </c>
      <c r="M7" s="1335">
        <v>5137</v>
      </c>
      <c r="N7" s="1335">
        <v>35299</v>
      </c>
      <c r="O7" s="1335">
        <v>176571</v>
      </c>
      <c r="P7" s="1335">
        <v>70314</v>
      </c>
      <c r="Q7" s="1335">
        <v>254144</v>
      </c>
      <c r="R7" s="1335">
        <v>39122</v>
      </c>
      <c r="S7" s="1335">
        <v>99325</v>
      </c>
      <c r="T7" s="1335">
        <v>63398</v>
      </c>
      <c r="U7" s="1335">
        <v>125941</v>
      </c>
      <c r="V7" s="1335">
        <v>23378</v>
      </c>
      <c r="W7" s="1335">
        <v>82343</v>
      </c>
      <c r="X7" s="1335">
        <v>203596</v>
      </c>
      <c r="Y7" s="1335">
        <v>206737</v>
      </c>
      <c r="Z7" s="1335">
        <v>463733</v>
      </c>
      <c r="AA7" s="1335">
        <v>312678</v>
      </c>
      <c r="AB7" s="1335">
        <v>163475</v>
      </c>
      <c r="AC7" s="1335">
        <v>144911</v>
      </c>
      <c r="AD7" s="1335">
        <v>232683</v>
      </c>
      <c r="AE7" s="1335">
        <v>664549</v>
      </c>
      <c r="AF7" s="1335">
        <v>260441</v>
      </c>
      <c r="AG7" s="1335">
        <v>195378</v>
      </c>
      <c r="AH7" s="1335">
        <v>220478</v>
      </c>
      <c r="AI7" s="1335">
        <v>358107</v>
      </c>
      <c r="AJ7" s="1335">
        <v>283121</v>
      </c>
      <c r="AK7" s="1335">
        <v>5065641</v>
      </c>
      <c r="AL7" s="1336">
        <v>24681</v>
      </c>
      <c r="AM7" s="1336"/>
      <c r="AN7" s="1337" t="s">
        <v>9919</v>
      </c>
      <c r="AO7" s="740"/>
      <c r="AP7" s="1338">
        <v>17245</v>
      </c>
      <c r="AQ7" s="1339" t="s">
        <v>9919</v>
      </c>
      <c r="AR7" s="1340">
        <v>1545246</v>
      </c>
      <c r="AS7" s="1339" t="s">
        <v>9919</v>
      </c>
      <c r="AT7" s="1340">
        <v>3503150</v>
      </c>
      <c r="AU7" s="1339" t="s">
        <v>9919</v>
      </c>
      <c r="AV7" s="1341" t="s">
        <v>9919</v>
      </c>
      <c r="AW7" s="1341" t="s">
        <v>9919</v>
      </c>
      <c r="AX7" s="1341" t="s">
        <v>9919</v>
      </c>
      <c r="AY7" s="740"/>
      <c r="AZ7" s="1338">
        <v>1336678</v>
      </c>
      <c r="BA7" s="1339" t="s">
        <v>9919</v>
      </c>
      <c r="BB7" s="1340">
        <v>3728963</v>
      </c>
      <c r="BC7" s="1339" t="s">
        <v>9919</v>
      </c>
      <c r="BD7" s="1341" t="s">
        <v>9919</v>
      </c>
      <c r="BE7" s="1342" t="s">
        <v>9919</v>
      </c>
    </row>
    <row r="8" spans="1:57" hidden="1">
      <c r="A8" s="1343">
        <v>-2006</v>
      </c>
      <c r="B8" s="1344" t="s">
        <v>9920</v>
      </c>
      <c r="C8" s="1345">
        <v>5073198</v>
      </c>
      <c r="D8" s="1345">
        <v>15121</v>
      </c>
      <c r="E8" s="1346">
        <v>1509</v>
      </c>
      <c r="F8" s="1346">
        <v>5704</v>
      </c>
      <c r="G8" s="1346">
        <v>1797</v>
      </c>
      <c r="H8" s="1346">
        <v>1329757</v>
      </c>
      <c r="I8" s="1346">
        <v>191782</v>
      </c>
      <c r="J8" s="1346">
        <v>14209</v>
      </c>
      <c r="K8" s="1346">
        <v>27406</v>
      </c>
      <c r="L8" s="1346">
        <v>122179</v>
      </c>
      <c r="M8" s="1346">
        <v>5399</v>
      </c>
      <c r="N8" s="1346">
        <v>34009</v>
      </c>
      <c r="O8" s="1346">
        <v>185034</v>
      </c>
      <c r="P8" s="1346">
        <v>72082</v>
      </c>
      <c r="Q8" s="1346">
        <v>256281</v>
      </c>
      <c r="R8" s="1346">
        <v>45548</v>
      </c>
      <c r="S8" s="1346">
        <v>99451</v>
      </c>
      <c r="T8" s="1346">
        <v>49954</v>
      </c>
      <c r="U8" s="1346">
        <v>119912</v>
      </c>
      <c r="V8" s="1346">
        <v>24839</v>
      </c>
      <c r="W8" s="1346">
        <v>81672</v>
      </c>
      <c r="X8" s="1346">
        <v>226659</v>
      </c>
      <c r="Y8" s="1346">
        <v>238624</v>
      </c>
      <c r="Z8" s="1346">
        <v>469037</v>
      </c>
      <c r="AA8" s="1346">
        <v>288650</v>
      </c>
      <c r="AB8" s="1346">
        <v>149505</v>
      </c>
      <c r="AC8" s="1346">
        <v>132014</v>
      </c>
      <c r="AD8" s="1346">
        <v>232100</v>
      </c>
      <c r="AE8" s="1346">
        <v>661539</v>
      </c>
      <c r="AF8" s="1346">
        <v>264501</v>
      </c>
      <c r="AG8" s="1346">
        <v>163027</v>
      </c>
      <c r="AH8" s="1346">
        <v>222094</v>
      </c>
      <c r="AI8" s="1346">
        <v>362126</v>
      </c>
      <c r="AJ8" s="1346">
        <v>284836</v>
      </c>
      <c r="AK8" s="1346">
        <v>5048600</v>
      </c>
      <c r="AL8" s="1347">
        <v>24598</v>
      </c>
      <c r="AM8" s="1347"/>
      <c r="AN8" s="1348" t="s">
        <v>9919</v>
      </c>
      <c r="AO8" s="740"/>
      <c r="AP8" s="1349">
        <v>22334</v>
      </c>
      <c r="AQ8" s="1350" t="s">
        <v>9919</v>
      </c>
      <c r="AR8" s="1351">
        <v>1570178</v>
      </c>
      <c r="AS8" s="1350" t="s">
        <v>9919</v>
      </c>
      <c r="AT8" s="1351">
        <v>3456088</v>
      </c>
      <c r="AU8" s="1350" t="s">
        <v>9919</v>
      </c>
      <c r="AV8" s="1352" t="s">
        <v>9919</v>
      </c>
      <c r="AW8" s="1352" t="s">
        <v>9919</v>
      </c>
      <c r="AX8" s="1352" t="s">
        <v>9919</v>
      </c>
      <c r="AY8" s="740"/>
      <c r="AZ8" s="1349">
        <v>1329757</v>
      </c>
      <c r="BA8" s="1350" t="s">
        <v>9919</v>
      </c>
      <c r="BB8" s="1351">
        <v>3718843</v>
      </c>
      <c r="BC8" s="1350" t="s">
        <v>9919</v>
      </c>
      <c r="BD8" s="1352" t="s">
        <v>9919</v>
      </c>
      <c r="BE8" s="1353" t="s">
        <v>9919</v>
      </c>
    </row>
    <row r="9" spans="1:57" hidden="1">
      <c r="A9" s="1354"/>
      <c r="B9" s="1344" t="s">
        <v>9921</v>
      </c>
      <c r="C9" s="1345">
        <v>5377432</v>
      </c>
      <c r="D9" s="1345">
        <v>36380</v>
      </c>
      <c r="E9" s="1346">
        <v>1636</v>
      </c>
      <c r="F9" s="1346">
        <v>6338</v>
      </c>
      <c r="G9" s="1346">
        <v>1897</v>
      </c>
      <c r="H9" s="1346">
        <v>1364978</v>
      </c>
      <c r="I9" s="1346">
        <v>198525</v>
      </c>
      <c r="J9" s="1346">
        <v>15899</v>
      </c>
      <c r="K9" s="1346">
        <v>28957</v>
      </c>
      <c r="L9" s="1346">
        <v>128294</v>
      </c>
      <c r="M9" s="1346">
        <v>5054</v>
      </c>
      <c r="N9" s="1346">
        <v>37778</v>
      </c>
      <c r="O9" s="1346">
        <v>199372</v>
      </c>
      <c r="P9" s="1346">
        <v>73986</v>
      </c>
      <c r="Q9" s="1346">
        <v>239080</v>
      </c>
      <c r="R9" s="1346">
        <v>45129</v>
      </c>
      <c r="S9" s="1346">
        <v>101739</v>
      </c>
      <c r="T9" s="1346">
        <v>47092</v>
      </c>
      <c r="U9" s="1346">
        <v>133318</v>
      </c>
      <c r="V9" s="1346">
        <v>24522</v>
      </c>
      <c r="W9" s="1346">
        <v>86233</v>
      </c>
      <c r="X9" s="1346">
        <v>217352</v>
      </c>
      <c r="Y9" s="1346">
        <v>272569</v>
      </c>
      <c r="Z9" s="1346">
        <v>543268</v>
      </c>
      <c r="AA9" s="1346">
        <v>307589</v>
      </c>
      <c r="AB9" s="1346">
        <v>167128</v>
      </c>
      <c r="AC9" s="1346">
        <v>139056</v>
      </c>
      <c r="AD9" s="1346">
        <v>240249</v>
      </c>
      <c r="AE9" s="1346">
        <v>685090</v>
      </c>
      <c r="AF9" s="1346">
        <v>273333</v>
      </c>
      <c r="AG9" s="1346">
        <v>204352</v>
      </c>
      <c r="AH9" s="1346">
        <v>228533</v>
      </c>
      <c r="AI9" s="1346">
        <v>380174</v>
      </c>
      <c r="AJ9" s="1346">
        <v>281436</v>
      </c>
      <c r="AK9" s="1346">
        <v>5351358</v>
      </c>
      <c r="AL9" s="1347">
        <v>26074</v>
      </c>
      <c r="AM9" s="1347"/>
      <c r="AN9" s="1348" t="s">
        <v>9919</v>
      </c>
      <c r="AO9" s="740"/>
      <c r="AP9" s="1349">
        <v>44354</v>
      </c>
      <c r="AQ9" s="1350" t="s">
        <v>9919</v>
      </c>
      <c r="AR9" s="1351">
        <v>1639444</v>
      </c>
      <c r="AS9" s="1350" t="s">
        <v>9919</v>
      </c>
      <c r="AT9" s="1351">
        <v>3667560</v>
      </c>
      <c r="AU9" s="1350" t="s">
        <v>9919</v>
      </c>
      <c r="AV9" s="1352" t="s">
        <v>9919</v>
      </c>
      <c r="AW9" s="1352" t="s">
        <v>9919</v>
      </c>
      <c r="AX9" s="1352" t="s">
        <v>9919</v>
      </c>
      <c r="AY9" s="740"/>
      <c r="AZ9" s="1349">
        <v>1364978</v>
      </c>
      <c r="BA9" s="1350" t="s">
        <v>9919</v>
      </c>
      <c r="BB9" s="1351">
        <v>3986380</v>
      </c>
      <c r="BC9" s="1350" t="s">
        <v>9919</v>
      </c>
      <c r="BD9" s="1352" t="s">
        <v>9919</v>
      </c>
      <c r="BE9" s="1353" t="s">
        <v>9919</v>
      </c>
    </row>
    <row r="10" spans="1:57" hidden="1">
      <c r="A10" s="1355"/>
      <c r="B10" s="1356" t="s">
        <v>9922</v>
      </c>
      <c r="C10" s="1357">
        <v>5190488</v>
      </c>
      <c r="D10" s="1357">
        <v>12954</v>
      </c>
      <c r="E10" s="1358">
        <v>1793</v>
      </c>
      <c r="F10" s="1358">
        <v>4387</v>
      </c>
      <c r="G10" s="1358">
        <v>1814</v>
      </c>
      <c r="H10" s="1358">
        <v>1415983</v>
      </c>
      <c r="I10" s="1358">
        <v>202347</v>
      </c>
      <c r="J10" s="1358">
        <v>15297</v>
      </c>
      <c r="K10" s="1358">
        <v>28005</v>
      </c>
      <c r="L10" s="1358">
        <v>128404</v>
      </c>
      <c r="M10" s="1358">
        <v>4770</v>
      </c>
      <c r="N10" s="1358">
        <v>34554</v>
      </c>
      <c r="O10" s="1358">
        <v>197300</v>
      </c>
      <c r="P10" s="1358">
        <v>77659</v>
      </c>
      <c r="Q10" s="1358">
        <v>269525</v>
      </c>
      <c r="R10" s="1358">
        <v>42998</v>
      </c>
      <c r="S10" s="1358">
        <v>111913</v>
      </c>
      <c r="T10" s="1358">
        <v>58142</v>
      </c>
      <c r="U10" s="1358">
        <v>136470</v>
      </c>
      <c r="V10" s="1358">
        <v>24528</v>
      </c>
      <c r="W10" s="1358">
        <v>84071</v>
      </c>
      <c r="X10" s="1358">
        <v>234550</v>
      </c>
      <c r="Y10" s="1358">
        <v>253200</v>
      </c>
      <c r="Z10" s="1358">
        <v>476771</v>
      </c>
      <c r="AA10" s="1358">
        <v>295061</v>
      </c>
      <c r="AB10" s="1358">
        <v>136754</v>
      </c>
      <c r="AC10" s="1358">
        <v>132088</v>
      </c>
      <c r="AD10" s="1358">
        <v>240388</v>
      </c>
      <c r="AE10" s="1358">
        <v>692811</v>
      </c>
      <c r="AF10" s="1358">
        <v>272506</v>
      </c>
      <c r="AG10" s="1358">
        <v>173572</v>
      </c>
      <c r="AH10" s="1358">
        <v>232340</v>
      </c>
      <c r="AI10" s="1358">
        <v>338881</v>
      </c>
      <c r="AJ10" s="1358">
        <v>249466</v>
      </c>
      <c r="AK10" s="1358">
        <v>5165319</v>
      </c>
      <c r="AL10" s="1359">
        <v>25169</v>
      </c>
      <c r="AM10" s="1359"/>
      <c r="AN10" s="1360" t="s">
        <v>9919</v>
      </c>
      <c r="AO10" s="740"/>
      <c r="AP10" s="1361">
        <v>19134</v>
      </c>
      <c r="AQ10" s="1362" t="s">
        <v>9919</v>
      </c>
      <c r="AR10" s="1363">
        <v>1670997</v>
      </c>
      <c r="AS10" s="1362" t="s">
        <v>9919</v>
      </c>
      <c r="AT10" s="1363">
        <v>3475188</v>
      </c>
      <c r="AU10" s="1362" t="s">
        <v>9919</v>
      </c>
      <c r="AV10" s="1364" t="s">
        <v>9919</v>
      </c>
      <c r="AW10" s="1364" t="s">
        <v>9919</v>
      </c>
      <c r="AX10" s="1364" t="s">
        <v>9919</v>
      </c>
      <c r="AY10" s="740"/>
      <c r="AZ10" s="1361">
        <v>1415983</v>
      </c>
      <c r="BA10" s="1362" t="s">
        <v>9919</v>
      </c>
      <c r="BB10" s="1363">
        <v>3749336</v>
      </c>
      <c r="BC10" s="1362" t="s">
        <v>9919</v>
      </c>
      <c r="BD10" s="1364" t="s">
        <v>9919</v>
      </c>
      <c r="BE10" s="1365" t="s">
        <v>9919</v>
      </c>
    </row>
    <row r="11" spans="1:57" hidden="1">
      <c r="A11" s="1332" t="s">
        <v>9656</v>
      </c>
      <c r="B11" s="1333" t="s">
        <v>9918</v>
      </c>
      <c r="C11" s="1345">
        <v>5289385</v>
      </c>
      <c r="D11" s="1345">
        <v>10374</v>
      </c>
      <c r="E11" s="1346">
        <v>1710</v>
      </c>
      <c r="F11" s="1346">
        <v>5240</v>
      </c>
      <c r="G11" s="1346">
        <v>1945</v>
      </c>
      <c r="H11" s="1346">
        <v>1428328</v>
      </c>
      <c r="I11" s="1346">
        <v>202802</v>
      </c>
      <c r="J11" s="1346">
        <v>13070</v>
      </c>
      <c r="K11" s="1346">
        <v>29807</v>
      </c>
      <c r="L11" s="1346">
        <v>129433</v>
      </c>
      <c r="M11" s="1346">
        <v>4741</v>
      </c>
      <c r="N11" s="1346">
        <v>52482</v>
      </c>
      <c r="O11" s="1346">
        <v>192331</v>
      </c>
      <c r="P11" s="1346">
        <v>79986</v>
      </c>
      <c r="Q11" s="1346">
        <v>276282</v>
      </c>
      <c r="R11" s="1346">
        <v>41952</v>
      </c>
      <c r="S11" s="1346">
        <v>107185</v>
      </c>
      <c r="T11" s="1346">
        <v>64089</v>
      </c>
      <c r="U11" s="1346">
        <v>119854</v>
      </c>
      <c r="V11" s="1346">
        <v>24083</v>
      </c>
      <c r="W11" s="1346">
        <v>90231</v>
      </c>
      <c r="X11" s="1346">
        <v>204931</v>
      </c>
      <c r="Y11" s="1346">
        <v>211243</v>
      </c>
      <c r="Z11" s="1346">
        <v>490421</v>
      </c>
      <c r="AA11" s="1346">
        <v>327864</v>
      </c>
      <c r="AB11" s="1346">
        <v>158140</v>
      </c>
      <c r="AC11" s="1346">
        <v>139566</v>
      </c>
      <c r="AD11" s="1346">
        <v>235072</v>
      </c>
      <c r="AE11" s="1346">
        <v>674226</v>
      </c>
      <c r="AF11" s="1346">
        <v>299803</v>
      </c>
      <c r="AG11" s="1346">
        <v>198224</v>
      </c>
      <c r="AH11" s="1346">
        <v>224860</v>
      </c>
      <c r="AI11" s="1346">
        <v>355679</v>
      </c>
      <c r="AJ11" s="1346">
        <v>291964</v>
      </c>
      <c r="AK11" s="1346">
        <v>5259590</v>
      </c>
      <c r="AL11" s="1347">
        <v>29795</v>
      </c>
      <c r="AM11" s="1347"/>
      <c r="AN11" s="1366">
        <v>3.9106185380333414</v>
      </c>
      <c r="AO11" s="740"/>
      <c r="AP11" s="1349">
        <v>17324</v>
      </c>
      <c r="AQ11" s="1367">
        <v>0.45810379820237751</v>
      </c>
      <c r="AR11" s="1351">
        <v>1641516</v>
      </c>
      <c r="AS11" s="1367">
        <v>6.230075987900956</v>
      </c>
      <c r="AT11" s="1351">
        <v>3600750</v>
      </c>
      <c r="AU11" s="1367">
        <v>2.7860639709975308</v>
      </c>
      <c r="AV11" s="1368">
        <v>1.5519647159848526E-3</v>
      </c>
      <c r="AW11" s="1368">
        <v>1.8912359899729336</v>
      </c>
      <c r="AX11" s="1368">
        <v>1.917364003545843</v>
      </c>
      <c r="AY11" s="740"/>
      <c r="AZ11" s="1349">
        <v>1428328</v>
      </c>
      <c r="BA11" s="1367">
        <v>6.8565503434634216</v>
      </c>
      <c r="BB11" s="1351">
        <v>3831262</v>
      </c>
      <c r="BC11" s="1367">
        <v>2.7433632353016106</v>
      </c>
      <c r="BD11" s="1368">
        <v>1.8004755217723003</v>
      </c>
      <c r="BE11" s="1369">
        <v>2.0096764364624611</v>
      </c>
    </row>
    <row r="12" spans="1:57" hidden="1">
      <c r="A12" s="1343">
        <v>-2007</v>
      </c>
      <c r="B12" s="1344" t="s">
        <v>9920</v>
      </c>
      <c r="C12" s="1345">
        <v>5252664</v>
      </c>
      <c r="D12" s="1345">
        <v>14488</v>
      </c>
      <c r="E12" s="1346">
        <v>1587</v>
      </c>
      <c r="F12" s="1346">
        <v>6558</v>
      </c>
      <c r="G12" s="1346">
        <v>1800</v>
      </c>
      <c r="H12" s="1346">
        <v>1405633</v>
      </c>
      <c r="I12" s="1346">
        <v>165315</v>
      </c>
      <c r="J12" s="1346">
        <v>13107</v>
      </c>
      <c r="K12" s="1346">
        <v>30010</v>
      </c>
      <c r="L12" s="1346">
        <v>129649</v>
      </c>
      <c r="M12" s="1346">
        <v>4608</v>
      </c>
      <c r="N12" s="1346">
        <v>49695</v>
      </c>
      <c r="O12" s="1346">
        <v>196371</v>
      </c>
      <c r="P12" s="1346">
        <v>73908</v>
      </c>
      <c r="Q12" s="1346">
        <v>280041</v>
      </c>
      <c r="R12" s="1346">
        <v>46814</v>
      </c>
      <c r="S12" s="1346">
        <v>119197</v>
      </c>
      <c r="T12" s="1346">
        <v>63893</v>
      </c>
      <c r="U12" s="1346">
        <v>118696</v>
      </c>
      <c r="V12" s="1346">
        <v>26668</v>
      </c>
      <c r="W12" s="1346">
        <v>87661</v>
      </c>
      <c r="X12" s="1346">
        <v>218614</v>
      </c>
      <c r="Y12" s="1346">
        <v>217243</v>
      </c>
      <c r="Z12" s="1346">
        <v>490920</v>
      </c>
      <c r="AA12" s="1346">
        <v>328683</v>
      </c>
      <c r="AB12" s="1346">
        <v>161026</v>
      </c>
      <c r="AC12" s="1346">
        <v>133009</v>
      </c>
      <c r="AD12" s="1346">
        <v>234078</v>
      </c>
      <c r="AE12" s="1346">
        <v>668918</v>
      </c>
      <c r="AF12" s="1346">
        <v>303056</v>
      </c>
      <c r="AG12" s="1346">
        <v>164864</v>
      </c>
      <c r="AH12" s="1346">
        <v>224132</v>
      </c>
      <c r="AI12" s="1346">
        <v>369127</v>
      </c>
      <c r="AJ12" s="1346">
        <v>279339</v>
      </c>
      <c r="AK12" s="1346">
        <v>5223075</v>
      </c>
      <c r="AL12" s="1347">
        <v>29589</v>
      </c>
      <c r="AM12" s="1347"/>
      <c r="AN12" s="1366">
        <v>3.5375349214283034</v>
      </c>
      <c r="AO12" s="740"/>
      <c r="AP12" s="1349">
        <v>22633</v>
      </c>
      <c r="AQ12" s="1367">
        <v>1.3387660069848661</v>
      </c>
      <c r="AR12" s="1351">
        <v>1624676</v>
      </c>
      <c r="AS12" s="1367">
        <v>3.4708166844778106</v>
      </c>
      <c r="AT12" s="1351">
        <v>3575766</v>
      </c>
      <c r="AU12" s="1367">
        <v>3.4628169190136364</v>
      </c>
      <c r="AV12" s="1368">
        <v>5.893718188843395E-3</v>
      </c>
      <c r="AW12" s="1368">
        <v>1.0742336249350746</v>
      </c>
      <c r="AX12" s="1368">
        <v>2.3590247672387954</v>
      </c>
      <c r="AY12" s="740"/>
      <c r="AZ12" s="1349">
        <v>1405633</v>
      </c>
      <c r="BA12" s="1367">
        <v>5.7060049317281276</v>
      </c>
      <c r="BB12" s="1351">
        <v>3817442</v>
      </c>
      <c r="BC12" s="1367">
        <v>2.6513353750077644</v>
      </c>
      <c r="BD12" s="1368">
        <v>1.4956246197213425</v>
      </c>
      <c r="BE12" s="1369">
        <v>1.9435274906413706</v>
      </c>
    </row>
    <row r="13" spans="1:57" hidden="1">
      <c r="A13" s="1354"/>
      <c r="B13" s="1344" t="s">
        <v>9921</v>
      </c>
      <c r="C13" s="1345">
        <v>5492180</v>
      </c>
      <c r="D13" s="1345">
        <v>34833</v>
      </c>
      <c r="E13" s="1346">
        <v>1628</v>
      </c>
      <c r="F13" s="1346">
        <v>7654</v>
      </c>
      <c r="G13" s="1346">
        <v>1728</v>
      </c>
      <c r="H13" s="1346">
        <v>1479097</v>
      </c>
      <c r="I13" s="1346">
        <v>232035</v>
      </c>
      <c r="J13" s="1346">
        <v>14246</v>
      </c>
      <c r="K13" s="1346">
        <v>31710</v>
      </c>
      <c r="L13" s="1346">
        <v>135735</v>
      </c>
      <c r="M13" s="1346">
        <v>6093</v>
      </c>
      <c r="N13" s="1346">
        <v>55910</v>
      </c>
      <c r="O13" s="1346">
        <v>193281</v>
      </c>
      <c r="P13" s="1346">
        <v>83434</v>
      </c>
      <c r="Q13" s="1346">
        <v>242083</v>
      </c>
      <c r="R13" s="1346">
        <v>52190</v>
      </c>
      <c r="S13" s="1346">
        <v>120579</v>
      </c>
      <c r="T13" s="1346">
        <v>63148</v>
      </c>
      <c r="U13" s="1346">
        <v>128959</v>
      </c>
      <c r="V13" s="1346">
        <v>26501</v>
      </c>
      <c r="W13" s="1346">
        <v>93193</v>
      </c>
      <c r="X13" s="1346">
        <v>210487</v>
      </c>
      <c r="Y13" s="1346">
        <v>233985</v>
      </c>
      <c r="Z13" s="1346">
        <v>561422</v>
      </c>
      <c r="AA13" s="1346">
        <v>320044</v>
      </c>
      <c r="AB13" s="1346">
        <v>159877</v>
      </c>
      <c r="AC13" s="1346">
        <v>139813</v>
      </c>
      <c r="AD13" s="1346">
        <v>236571</v>
      </c>
      <c r="AE13" s="1346">
        <v>676634</v>
      </c>
      <c r="AF13" s="1346">
        <v>305764</v>
      </c>
      <c r="AG13" s="1346">
        <v>204252</v>
      </c>
      <c r="AH13" s="1346">
        <v>230459</v>
      </c>
      <c r="AI13" s="1346">
        <v>369016</v>
      </c>
      <c r="AJ13" s="1346">
        <v>287979</v>
      </c>
      <c r="AK13" s="1346">
        <v>5461243</v>
      </c>
      <c r="AL13" s="1347">
        <v>30937</v>
      </c>
      <c r="AM13" s="1347"/>
      <c r="AN13" s="1366">
        <v>2.1338681670928441</v>
      </c>
      <c r="AO13" s="740"/>
      <c r="AP13" s="1349">
        <v>44115</v>
      </c>
      <c r="AQ13" s="1367">
        <v>-0.5388465527348153</v>
      </c>
      <c r="AR13" s="1351">
        <v>1714810</v>
      </c>
      <c r="AS13" s="1367">
        <v>4.5970463157021522</v>
      </c>
      <c r="AT13" s="1351">
        <v>3702318</v>
      </c>
      <c r="AU13" s="1367">
        <v>0.9477145568170664</v>
      </c>
      <c r="AV13" s="1368">
        <v>-4.4445002681189564E-3</v>
      </c>
      <c r="AW13" s="1368">
        <v>1.4015238795274196</v>
      </c>
      <c r="AX13" s="1368">
        <v>0.64636795112668921</v>
      </c>
      <c r="AY13" s="740"/>
      <c r="AZ13" s="1349">
        <v>1479097</v>
      </c>
      <c r="BA13" s="1367">
        <v>8.360501048368544</v>
      </c>
      <c r="BB13" s="1351">
        <v>3982146</v>
      </c>
      <c r="BC13" s="1367">
        <v>-0.10621165067053316</v>
      </c>
      <c r="BD13" s="1368">
        <v>2.1221837912027919</v>
      </c>
      <c r="BE13" s="1369">
        <v>-7.873646081680194E-2</v>
      </c>
    </row>
    <row r="14" spans="1:57" hidden="1">
      <c r="A14" s="1355"/>
      <c r="B14" s="1356" t="s">
        <v>9923</v>
      </c>
      <c r="C14" s="1345">
        <v>5274833</v>
      </c>
      <c r="D14" s="1345">
        <v>11821</v>
      </c>
      <c r="E14" s="1346">
        <v>1514</v>
      </c>
      <c r="F14" s="1346">
        <v>3990</v>
      </c>
      <c r="G14" s="1346">
        <v>1738</v>
      </c>
      <c r="H14" s="1346">
        <v>1445683</v>
      </c>
      <c r="I14" s="1346">
        <v>184470</v>
      </c>
      <c r="J14" s="1346">
        <v>18434</v>
      </c>
      <c r="K14" s="1346">
        <v>23720</v>
      </c>
      <c r="L14" s="1346">
        <v>117881</v>
      </c>
      <c r="M14" s="1346">
        <v>5621</v>
      </c>
      <c r="N14" s="1346">
        <v>53289</v>
      </c>
      <c r="O14" s="1346">
        <v>199787</v>
      </c>
      <c r="P14" s="1346">
        <v>73157</v>
      </c>
      <c r="Q14" s="1346">
        <v>282764</v>
      </c>
      <c r="R14" s="1346">
        <v>31752</v>
      </c>
      <c r="S14" s="1346">
        <v>155648</v>
      </c>
      <c r="T14" s="1346">
        <v>80066</v>
      </c>
      <c r="U14" s="1346">
        <v>108388</v>
      </c>
      <c r="V14" s="1346">
        <v>22505</v>
      </c>
      <c r="W14" s="1346">
        <v>88201</v>
      </c>
      <c r="X14" s="1346">
        <v>229006</v>
      </c>
      <c r="Y14" s="1346">
        <v>224427</v>
      </c>
      <c r="Z14" s="1346">
        <v>488738</v>
      </c>
      <c r="AA14" s="1346">
        <v>306929</v>
      </c>
      <c r="AB14" s="1346">
        <v>164080</v>
      </c>
      <c r="AC14" s="1346">
        <v>143244</v>
      </c>
      <c r="AD14" s="1346">
        <v>234711</v>
      </c>
      <c r="AE14" s="1346">
        <v>674620</v>
      </c>
      <c r="AF14" s="1346">
        <v>298335</v>
      </c>
      <c r="AG14" s="1346">
        <v>170776</v>
      </c>
      <c r="AH14" s="1346">
        <v>226058</v>
      </c>
      <c r="AI14" s="1346">
        <v>362009</v>
      </c>
      <c r="AJ14" s="1346">
        <v>257442</v>
      </c>
      <c r="AK14" s="1346">
        <v>5245121</v>
      </c>
      <c r="AL14" s="1347">
        <v>29712</v>
      </c>
      <c r="AM14" s="1347"/>
      <c r="AN14" s="1366">
        <v>1.62498130550808</v>
      </c>
      <c r="AO14" s="740"/>
      <c r="AP14" s="1349">
        <v>17325</v>
      </c>
      <c r="AQ14" s="1367">
        <v>-9.4543744120413926</v>
      </c>
      <c r="AR14" s="1351">
        <v>1671848</v>
      </c>
      <c r="AS14" s="1367">
        <v>5.0927679702596713E-2</v>
      </c>
      <c r="AT14" s="1351">
        <v>3555948</v>
      </c>
      <c r="AU14" s="1367">
        <v>2.3239030521514232</v>
      </c>
      <c r="AV14" s="1368">
        <v>-3.4852213718694652E-2</v>
      </c>
      <c r="AW14" s="1368">
        <v>1.6395375276179742E-2</v>
      </c>
      <c r="AX14" s="1368">
        <v>1.5559230403105475</v>
      </c>
      <c r="AY14" s="740"/>
      <c r="AZ14" s="1349">
        <v>1445683</v>
      </c>
      <c r="BA14" s="1367">
        <v>2.0974828087625346</v>
      </c>
      <c r="BB14" s="1351">
        <v>3799438</v>
      </c>
      <c r="BC14" s="1367">
        <v>1.3362899457397257</v>
      </c>
      <c r="BD14" s="1368">
        <v>0.57220052373976293</v>
      </c>
      <c r="BE14" s="1369">
        <v>0.96526567812826958</v>
      </c>
    </row>
    <row r="15" spans="1:57" hidden="1">
      <c r="A15" s="1332" t="s">
        <v>9657</v>
      </c>
      <c r="B15" s="1333" t="s">
        <v>9918</v>
      </c>
      <c r="C15" s="1334">
        <v>5364515</v>
      </c>
      <c r="D15" s="1334">
        <v>10346</v>
      </c>
      <c r="E15" s="1335">
        <v>1677</v>
      </c>
      <c r="F15" s="1335">
        <v>4835</v>
      </c>
      <c r="G15" s="1335">
        <v>2071</v>
      </c>
      <c r="H15" s="1335">
        <v>1524569</v>
      </c>
      <c r="I15" s="1335">
        <v>209661</v>
      </c>
      <c r="J15" s="1335">
        <v>17287</v>
      </c>
      <c r="K15" s="1335">
        <v>26666</v>
      </c>
      <c r="L15" s="1335">
        <v>136851</v>
      </c>
      <c r="M15" s="1335">
        <v>7518</v>
      </c>
      <c r="N15" s="1335">
        <v>42512</v>
      </c>
      <c r="O15" s="1335">
        <v>250994</v>
      </c>
      <c r="P15" s="1335">
        <v>79376</v>
      </c>
      <c r="Q15" s="1335">
        <v>297712</v>
      </c>
      <c r="R15" s="1335">
        <v>45677</v>
      </c>
      <c r="S15" s="1335">
        <v>108947</v>
      </c>
      <c r="T15" s="1335">
        <v>56162</v>
      </c>
      <c r="U15" s="1335">
        <v>126789</v>
      </c>
      <c r="V15" s="1335">
        <v>24992</v>
      </c>
      <c r="W15" s="1335">
        <v>93425</v>
      </c>
      <c r="X15" s="1335">
        <v>201924</v>
      </c>
      <c r="Y15" s="1335">
        <v>201974</v>
      </c>
      <c r="Z15" s="1335">
        <v>493878</v>
      </c>
      <c r="AA15" s="1335">
        <v>311106</v>
      </c>
      <c r="AB15" s="1335">
        <v>140804</v>
      </c>
      <c r="AC15" s="1335">
        <v>147588</v>
      </c>
      <c r="AD15" s="1335">
        <v>191503</v>
      </c>
      <c r="AE15" s="1335">
        <v>688255</v>
      </c>
      <c r="AF15" s="1335">
        <v>314104</v>
      </c>
      <c r="AG15" s="1335">
        <v>198622</v>
      </c>
      <c r="AH15" s="1335">
        <v>234565</v>
      </c>
      <c r="AI15" s="1335">
        <v>383464</v>
      </c>
      <c r="AJ15" s="1335">
        <v>280853</v>
      </c>
      <c r="AK15" s="1335">
        <v>5332138</v>
      </c>
      <c r="AL15" s="1336">
        <v>32377</v>
      </c>
      <c r="AM15" s="1336"/>
      <c r="AN15" s="1370">
        <v>1.4203901981091096</v>
      </c>
      <c r="AO15" s="740"/>
      <c r="AP15" s="1338">
        <v>16858</v>
      </c>
      <c r="AQ15" s="1371">
        <v>-2.6899099515123526</v>
      </c>
      <c r="AR15" s="1340">
        <v>1728614</v>
      </c>
      <c r="AS15" s="1371">
        <v>5.3059488911469641</v>
      </c>
      <c r="AT15" s="1340">
        <v>3586666</v>
      </c>
      <c r="AU15" s="1371">
        <v>-0.39114073456918697</v>
      </c>
      <c r="AV15" s="1372">
        <v>-8.8100979869166502E-3</v>
      </c>
      <c r="AW15" s="1372">
        <v>1.6466564688078678</v>
      </c>
      <c r="AX15" s="1372">
        <v>-0.26626914173333499</v>
      </c>
      <c r="AY15" s="740"/>
      <c r="AZ15" s="1338">
        <v>1524569</v>
      </c>
      <c r="BA15" s="1371">
        <v>6.7380181582941736</v>
      </c>
      <c r="BB15" s="1340">
        <v>3807569</v>
      </c>
      <c r="BC15" s="1371">
        <v>-0.61841241867562169</v>
      </c>
      <c r="BD15" s="1372">
        <v>1.8195121037743462</v>
      </c>
      <c r="BE15" s="1373">
        <v>-0.44793487468672999</v>
      </c>
    </row>
    <row r="16" spans="1:57" hidden="1">
      <c r="A16" s="1343">
        <v>-2008</v>
      </c>
      <c r="B16" s="1344" t="s">
        <v>9920</v>
      </c>
      <c r="C16" s="1345">
        <v>5286672</v>
      </c>
      <c r="D16" s="1345">
        <v>14358</v>
      </c>
      <c r="E16" s="1346">
        <v>1615</v>
      </c>
      <c r="F16" s="1346">
        <v>5747</v>
      </c>
      <c r="G16" s="1346">
        <v>1843</v>
      </c>
      <c r="H16" s="1346">
        <v>1504405</v>
      </c>
      <c r="I16" s="1346">
        <v>179458</v>
      </c>
      <c r="J16" s="1346">
        <v>16149</v>
      </c>
      <c r="K16" s="1346">
        <v>25852</v>
      </c>
      <c r="L16" s="1346">
        <v>123101</v>
      </c>
      <c r="M16" s="1346">
        <v>8358</v>
      </c>
      <c r="N16" s="1346">
        <v>44110</v>
      </c>
      <c r="O16" s="1346">
        <v>255255</v>
      </c>
      <c r="P16" s="1346">
        <v>80027</v>
      </c>
      <c r="Q16" s="1346">
        <v>315508</v>
      </c>
      <c r="R16" s="1346">
        <v>41537</v>
      </c>
      <c r="S16" s="1346">
        <v>113296</v>
      </c>
      <c r="T16" s="1346">
        <v>52744</v>
      </c>
      <c r="U16" s="1346">
        <v>132458</v>
      </c>
      <c r="V16" s="1346">
        <v>26873</v>
      </c>
      <c r="W16" s="1346">
        <v>89679</v>
      </c>
      <c r="X16" s="1346">
        <v>216404</v>
      </c>
      <c r="Y16" s="1346">
        <v>250144</v>
      </c>
      <c r="Z16" s="1346">
        <v>485779</v>
      </c>
      <c r="AA16" s="1346">
        <v>300157</v>
      </c>
      <c r="AB16" s="1346">
        <v>144726</v>
      </c>
      <c r="AC16" s="1346">
        <v>147316</v>
      </c>
      <c r="AD16" s="1346">
        <v>183548</v>
      </c>
      <c r="AE16" s="1346">
        <v>667579</v>
      </c>
      <c r="AF16" s="1346">
        <v>310732</v>
      </c>
      <c r="AG16" s="1346">
        <v>162776</v>
      </c>
      <c r="AH16" s="1346">
        <v>221118</v>
      </c>
      <c r="AI16" s="1346">
        <v>367582</v>
      </c>
      <c r="AJ16" s="1346">
        <v>268933</v>
      </c>
      <c r="AK16" s="1346">
        <v>5254762</v>
      </c>
      <c r="AL16" s="1347">
        <v>31910</v>
      </c>
      <c r="AM16" s="1347"/>
      <c r="AN16" s="1366">
        <v>0.64743289708111496</v>
      </c>
      <c r="AO16" s="740"/>
      <c r="AP16" s="1349">
        <v>21720</v>
      </c>
      <c r="AQ16" s="1367">
        <v>-4.0339327530596911</v>
      </c>
      <c r="AR16" s="1351">
        <v>1756392</v>
      </c>
      <c r="AS16" s="1367">
        <v>8.1072164542345675</v>
      </c>
      <c r="AT16" s="1351">
        <v>3476650</v>
      </c>
      <c r="AU16" s="1367">
        <v>-2.7718816052280824</v>
      </c>
      <c r="AV16" s="1368">
        <v>-1.7381655351658323E-2</v>
      </c>
      <c r="AW16" s="1368">
        <v>2.5076036323099977</v>
      </c>
      <c r="AX16" s="1368">
        <v>-1.8869662123055495</v>
      </c>
      <c r="AY16" s="740"/>
      <c r="AZ16" s="1349">
        <v>1504405</v>
      </c>
      <c r="BA16" s="1367">
        <v>7.0268697448053654</v>
      </c>
      <c r="BB16" s="1351">
        <v>3750357</v>
      </c>
      <c r="BC16" s="1367">
        <v>-1.7573285985746474</v>
      </c>
      <c r="BD16" s="1368">
        <v>1.8804171548674655</v>
      </c>
      <c r="BE16" s="1369">
        <v>-1.2771613902146757</v>
      </c>
    </row>
    <row r="17" spans="1:57" hidden="1">
      <c r="A17" s="1354"/>
      <c r="B17" s="1344" t="s">
        <v>9921</v>
      </c>
      <c r="C17" s="1345">
        <v>5377719</v>
      </c>
      <c r="D17" s="1345">
        <v>34332</v>
      </c>
      <c r="E17" s="1346">
        <v>1589</v>
      </c>
      <c r="F17" s="1346">
        <v>5073</v>
      </c>
      <c r="G17" s="1346">
        <v>1727</v>
      </c>
      <c r="H17" s="1346">
        <v>1439990</v>
      </c>
      <c r="I17" s="1346">
        <v>233775</v>
      </c>
      <c r="J17" s="1346">
        <v>15738</v>
      </c>
      <c r="K17" s="1346">
        <v>26095</v>
      </c>
      <c r="L17" s="1346">
        <v>118977</v>
      </c>
      <c r="M17" s="1346">
        <v>5400</v>
      </c>
      <c r="N17" s="1346">
        <v>44397</v>
      </c>
      <c r="O17" s="1346">
        <v>211411</v>
      </c>
      <c r="P17" s="1346">
        <v>80647</v>
      </c>
      <c r="Q17" s="1346">
        <v>289101</v>
      </c>
      <c r="R17" s="1346">
        <v>32450</v>
      </c>
      <c r="S17" s="1346">
        <v>107957</v>
      </c>
      <c r="T17" s="1346">
        <v>45012</v>
      </c>
      <c r="U17" s="1346">
        <v>122774</v>
      </c>
      <c r="V17" s="1346">
        <v>25707</v>
      </c>
      <c r="W17" s="1346">
        <v>80549</v>
      </c>
      <c r="X17" s="1346">
        <v>197613</v>
      </c>
      <c r="Y17" s="1346">
        <v>308089</v>
      </c>
      <c r="Z17" s="1346">
        <v>543248</v>
      </c>
      <c r="AA17" s="1346">
        <v>300638</v>
      </c>
      <c r="AB17" s="1346">
        <v>141262</v>
      </c>
      <c r="AC17" s="1346">
        <v>150442</v>
      </c>
      <c r="AD17" s="1346">
        <v>182869</v>
      </c>
      <c r="AE17" s="1346">
        <v>668793</v>
      </c>
      <c r="AF17" s="1346">
        <v>310178</v>
      </c>
      <c r="AG17" s="1346">
        <v>198138</v>
      </c>
      <c r="AH17" s="1346">
        <v>221063</v>
      </c>
      <c r="AI17" s="1346">
        <v>368380</v>
      </c>
      <c r="AJ17" s="1346">
        <v>271838</v>
      </c>
      <c r="AK17" s="1346">
        <v>5345262</v>
      </c>
      <c r="AL17" s="1347">
        <v>32457</v>
      </c>
      <c r="AM17" s="1347"/>
      <c r="AN17" s="1366">
        <v>-2.0840665036793014</v>
      </c>
      <c r="AO17" s="740"/>
      <c r="AP17" s="1349">
        <v>40994</v>
      </c>
      <c r="AQ17" s="1367">
        <v>-7.074691148135555</v>
      </c>
      <c r="AR17" s="1351">
        <v>1749806</v>
      </c>
      <c r="AS17" s="1367">
        <v>2.0408091858573254</v>
      </c>
      <c r="AT17" s="1351">
        <v>3554462</v>
      </c>
      <c r="AU17" s="1367">
        <v>-3.9936061678116253</v>
      </c>
      <c r="AV17" s="1368">
        <v>-5.6826253448693707E-2</v>
      </c>
      <c r="AW17" s="1368">
        <v>0.6371969130696844</v>
      </c>
      <c r="AX17" s="1368">
        <v>-2.6921187215347824</v>
      </c>
      <c r="AY17" s="740"/>
      <c r="AZ17" s="1349">
        <v>1439990</v>
      </c>
      <c r="BA17" s="1367">
        <v>-2.6439780487689446</v>
      </c>
      <c r="BB17" s="1351">
        <v>3905272</v>
      </c>
      <c r="BC17" s="1367">
        <v>-1.9304666378379898</v>
      </c>
      <c r="BD17" s="1368">
        <v>-0.71204879641719476</v>
      </c>
      <c r="BE17" s="1369">
        <v>-1.3996992654965972</v>
      </c>
    </row>
    <row r="18" spans="1:57" hidden="1">
      <c r="A18" s="1355"/>
      <c r="B18" s="1356" t="s">
        <v>9924</v>
      </c>
      <c r="C18" s="1357">
        <v>4948685</v>
      </c>
      <c r="D18" s="1357">
        <v>11828</v>
      </c>
      <c r="E18" s="1358">
        <v>1492</v>
      </c>
      <c r="F18" s="1358">
        <v>3587</v>
      </c>
      <c r="G18" s="1358">
        <v>816</v>
      </c>
      <c r="H18" s="1358">
        <v>1195181</v>
      </c>
      <c r="I18" s="1358">
        <v>211434</v>
      </c>
      <c r="J18" s="1358">
        <v>12455</v>
      </c>
      <c r="K18" s="1358">
        <v>22863</v>
      </c>
      <c r="L18" s="1358">
        <v>100681</v>
      </c>
      <c r="M18" s="1358">
        <v>3097</v>
      </c>
      <c r="N18" s="1358">
        <v>36241</v>
      </c>
      <c r="O18" s="1358">
        <v>118081</v>
      </c>
      <c r="P18" s="1358">
        <v>67730</v>
      </c>
      <c r="Q18" s="1358">
        <v>247352</v>
      </c>
      <c r="R18" s="1358">
        <v>14463</v>
      </c>
      <c r="S18" s="1358">
        <v>105120</v>
      </c>
      <c r="T18" s="1358">
        <v>43938</v>
      </c>
      <c r="U18" s="1358">
        <v>122546</v>
      </c>
      <c r="V18" s="1358">
        <v>24796</v>
      </c>
      <c r="W18" s="1358">
        <v>64384</v>
      </c>
      <c r="X18" s="1358">
        <v>203583</v>
      </c>
      <c r="Y18" s="1358">
        <v>261938</v>
      </c>
      <c r="Z18" s="1358">
        <v>469880</v>
      </c>
      <c r="AA18" s="1358">
        <v>323810</v>
      </c>
      <c r="AB18" s="1358">
        <v>160721</v>
      </c>
      <c r="AC18" s="1358">
        <v>117753</v>
      </c>
      <c r="AD18" s="1358">
        <v>184149</v>
      </c>
      <c r="AE18" s="1358">
        <v>673237</v>
      </c>
      <c r="AF18" s="1358">
        <v>307235</v>
      </c>
      <c r="AG18" s="1358">
        <v>167191</v>
      </c>
      <c r="AH18" s="1358">
        <v>208212</v>
      </c>
      <c r="AI18" s="1358">
        <v>375134</v>
      </c>
      <c r="AJ18" s="1358">
        <v>253071</v>
      </c>
      <c r="AK18" s="1358">
        <v>4918818</v>
      </c>
      <c r="AL18" s="1359">
        <v>29867</v>
      </c>
      <c r="AM18" s="1359"/>
      <c r="AN18" s="1374">
        <v>-6.1830965109522111</v>
      </c>
      <c r="AO18" s="740"/>
      <c r="AP18" s="1361">
        <v>16907</v>
      </c>
      <c r="AQ18" s="1375">
        <v>-2.412698412698413</v>
      </c>
      <c r="AR18" s="1363">
        <v>1457935</v>
      </c>
      <c r="AS18" s="1375">
        <v>-12.795002895000025</v>
      </c>
      <c r="AT18" s="1363">
        <v>3443976</v>
      </c>
      <c r="AU18" s="1375">
        <v>-3.1488649440318026</v>
      </c>
      <c r="AV18" s="1376">
        <v>-7.9244221773853568E-3</v>
      </c>
      <c r="AW18" s="1376">
        <v>-4.0553514861986457</v>
      </c>
      <c r="AX18" s="1376">
        <v>-2.1227593302540506</v>
      </c>
      <c r="AY18" s="740"/>
      <c r="AZ18" s="1361">
        <v>1195181</v>
      </c>
      <c r="BA18" s="1375">
        <v>-17.327588413227517</v>
      </c>
      <c r="BB18" s="1363">
        <v>3723637</v>
      </c>
      <c r="BC18" s="1375">
        <v>-1.9950582165046515</v>
      </c>
      <c r="BD18" s="1376">
        <v>-4.7490038379889636</v>
      </c>
      <c r="BE18" s="1377">
        <v>-1.4370314006411182</v>
      </c>
    </row>
    <row r="19" spans="1:57" hidden="1">
      <c r="A19" s="1332" t="s">
        <v>9658</v>
      </c>
      <c r="B19" s="1333" t="s">
        <v>9918</v>
      </c>
      <c r="C19" s="1334">
        <v>4804550</v>
      </c>
      <c r="D19" s="1334">
        <v>10600</v>
      </c>
      <c r="E19" s="1335">
        <v>1455</v>
      </c>
      <c r="F19" s="1335">
        <v>4840</v>
      </c>
      <c r="G19" s="1335">
        <v>701</v>
      </c>
      <c r="H19" s="1335">
        <v>1118250</v>
      </c>
      <c r="I19" s="1335">
        <v>200115</v>
      </c>
      <c r="J19" s="1335">
        <v>13312</v>
      </c>
      <c r="K19" s="1335">
        <v>26846</v>
      </c>
      <c r="L19" s="1335">
        <v>120932</v>
      </c>
      <c r="M19" s="1335">
        <v>2567</v>
      </c>
      <c r="N19" s="1335">
        <v>26540</v>
      </c>
      <c r="O19" s="1335">
        <v>91265</v>
      </c>
      <c r="P19" s="1335">
        <v>60571</v>
      </c>
      <c r="Q19" s="1335">
        <v>209380</v>
      </c>
      <c r="R19" s="1335">
        <v>21671</v>
      </c>
      <c r="S19" s="1335">
        <v>99176</v>
      </c>
      <c r="T19" s="1335">
        <v>47060</v>
      </c>
      <c r="U19" s="1335">
        <v>99575</v>
      </c>
      <c r="V19" s="1335">
        <v>23069</v>
      </c>
      <c r="W19" s="1335">
        <v>76171</v>
      </c>
      <c r="X19" s="1335">
        <v>201397</v>
      </c>
      <c r="Y19" s="1335">
        <v>203733</v>
      </c>
      <c r="Z19" s="1335">
        <v>457880</v>
      </c>
      <c r="AA19" s="1335">
        <v>272347</v>
      </c>
      <c r="AB19" s="1335">
        <v>157776</v>
      </c>
      <c r="AC19" s="1335">
        <v>145487</v>
      </c>
      <c r="AD19" s="1335">
        <v>183603</v>
      </c>
      <c r="AE19" s="1335">
        <v>687492</v>
      </c>
      <c r="AF19" s="1335">
        <v>286249</v>
      </c>
      <c r="AG19" s="1335">
        <v>185989</v>
      </c>
      <c r="AH19" s="1335">
        <v>208696</v>
      </c>
      <c r="AI19" s="1335">
        <v>395296</v>
      </c>
      <c r="AJ19" s="1335">
        <v>261243</v>
      </c>
      <c r="AK19" s="1335">
        <v>4783034</v>
      </c>
      <c r="AL19" s="1336">
        <v>21516</v>
      </c>
      <c r="AM19" s="1336"/>
      <c r="AN19" s="1370">
        <v>-10.438306050508853</v>
      </c>
      <c r="AO19" s="740"/>
      <c r="AP19" s="1338">
        <v>16895</v>
      </c>
      <c r="AQ19" s="1371">
        <v>0.21948036540514887</v>
      </c>
      <c r="AR19" s="1340">
        <v>1322684</v>
      </c>
      <c r="AS19" s="1371">
        <v>-23.482975377961765</v>
      </c>
      <c r="AT19" s="1340">
        <v>3443455</v>
      </c>
      <c r="AU19" s="1371">
        <v>-3.9928724893815035</v>
      </c>
      <c r="AV19" s="1372">
        <v>6.8971753754735131E-4</v>
      </c>
      <c r="AW19" s="1372">
        <v>-7.5669470274755763</v>
      </c>
      <c r="AX19" s="1372">
        <v>-2.669598331613344</v>
      </c>
      <c r="AY19" s="740"/>
      <c r="AZ19" s="1338">
        <v>1118250</v>
      </c>
      <c r="BA19" s="1371">
        <v>-26.651401150095534</v>
      </c>
      <c r="BB19" s="1340">
        <v>3664784</v>
      </c>
      <c r="BC19" s="1371">
        <v>-3.7500305312917508</v>
      </c>
      <c r="BD19" s="1372">
        <v>-7.5741983821270882</v>
      </c>
      <c r="BE19" s="1373">
        <v>-2.6616572594242855</v>
      </c>
    </row>
    <row r="20" spans="1:57" hidden="1">
      <c r="A20" s="1343">
        <v>-2009</v>
      </c>
      <c r="B20" s="1344" t="s">
        <v>9920</v>
      </c>
      <c r="C20" s="1345">
        <v>4780365</v>
      </c>
      <c r="D20" s="1345">
        <v>14220</v>
      </c>
      <c r="E20" s="1346">
        <v>1412</v>
      </c>
      <c r="F20" s="1346">
        <v>6435</v>
      </c>
      <c r="G20" s="1346">
        <v>1109</v>
      </c>
      <c r="H20" s="1346">
        <v>1145883</v>
      </c>
      <c r="I20" s="1346">
        <v>168737</v>
      </c>
      <c r="J20" s="1346">
        <v>12612</v>
      </c>
      <c r="K20" s="1346">
        <v>25325</v>
      </c>
      <c r="L20" s="1346">
        <v>119846</v>
      </c>
      <c r="M20" s="1346">
        <v>2983</v>
      </c>
      <c r="N20" s="1346">
        <v>27471</v>
      </c>
      <c r="O20" s="1346">
        <v>112912</v>
      </c>
      <c r="P20" s="1346">
        <v>66631</v>
      </c>
      <c r="Q20" s="1346">
        <v>231663</v>
      </c>
      <c r="R20" s="1346">
        <v>27010</v>
      </c>
      <c r="S20" s="1346">
        <v>102750</v>
      </c>
      <c r="T20" s="1346">
        <v>50923</v>
      </c>
      <c r="U20" s="1346">
        <v>95139</v>
      </c>
      <c r="V20" s="1346">
        <v>25498</v>
      </c>
      <c r="W20" s="1346">
        <v>76383</v>
      </c>
      <c r="X20" s="1346">
        <v>212271</v>
      </c>
      <c r="Y20" s="1346">
        <v>172033</v>
      </c>
      <c r="Z20" s="1346">
        <v>456904</v>
      </c>
      <c r="AA20" s="1346">
        <v>279201</v>
      </c>
      <c r="AB20" s="1346">
        <v>141338</v>
      </c>
      <c r="AC20" s="1346">
        <v>142996</v>
      </c>
      <c r="AD20" s="1346">
        <v>182900</v>
      </c>
      <c r="AE20" s="1346">
        <v>684305</v>
      </c>
      <c r="AF20" s="1346">
        <v>289591</v>
      </c>
      <c r="AG20" s="1346">
        <v>159987</v>
      </c>
      <c r="AH20" s="1346">
        <v>222364</v>
      </c>
      <c r="AI20" s="1346">
        <v>391703</v>
      </c>
      <c r="AJ20" s="1346">
        <v>254304</v>
      </c>
      <c r="AK20" s="1346">
        <v>4758956</v>
      </c>
      <c r="AL20" s="1347">
        <v>21409</v>
      </c>
      <c r="AM20" s="1347"/>
      <c r="AN20" s="1366">
        <v>-9.5770449453882058</v>
      </c>
      <c r="AO20" s="740"/>
      <c r="AP20" s="1349">
        <v>22067</v>
      </c>
      <c r="AQ20" s="1367">
        <v>1.5976058931860038</v>
      </c>
      <c r="AR20" s="1351">
        <v>1319025</v>
      </c>
      <c r="AS20" s="1367">
        <v>-24.901445690939152</v>
      </c>
      <c r="AT20" s="1351">
        <v>3417864</v>
      </c>
      <c r="AU20" s="1367">
        <v>-1.6908805890728142</v>
      </c>
      <c r="AV20" s="1368">
        <v>6.5636759139654924E-3</v>
      </c>
      <c r="AW20" s="1368">
        <v>-8.2730122290009955</v>
      </c>
      <c r="AX20" s="1368">
        <v>-1.1119661448944538</v>
      </c>
      <c r="AY20" s="740"/>
      <c r="AZ20" s="1349">
        <v>1145883</v>
      </c>
      <c r="BA20" s="1367">
        <v>-23.831481549183898</v>
      </c>
      <c r="BB20" s="1351">
        <v>3613073</v>
      </c>
      <c r="BC20" s="1367">
        <v>-3.6605581815277852</v>
      </c>
      <c r="BD20" s="1368">
        <v>-6.7816202190972232</v>
      </c>
      <c r="BE20" s="1369">
        <v>-2.5967944788842612</v>
      </c>
    </row>
    <row r="21" spans="1:57" hidden="1">
      <c r="A21" s="1354"/>
      <c r="B21" s="1344" t="s">
        <v>9921</v>
      </c>
      <c r="C21" s="1345">
        <v>5031874</v>
      </c>
      <c r="D21" s="1345">
        <v>33362</v>
      </c>
      <c r="E21" s="1346">
        <v>1437</v>
      </c>
      <c r="F21" s="1346">
        <v>6175</v>
      </c>
      <c r="G21" s="1346">
        <v>1696</v>
      </c>
      <c r="H21" s="1346">
        <v>1265267</v>
      </c>
      <c r="I21" s="1346">
        <v>215492</v>
      </c>
      <c r="J21" s="1346">
        <v>13026</v>
      </c>
      <c r="K21" s="1346">
        <v>25726</v>
      </c>
      <c r="L21" s="1346">
        <v>125703</v>
      </c>
      <c r="M21" s="1346">
        <v>3807</v>
      </c>
      <c r="N21" s="1346">
        <v>28405</v>
      </c>
      <c r="O21" s="1346">
        <v>124877</v>
      </c>
      <c r="P21" s="1346">
        <v>75319</v>
      </c>
      <c r="Q21" s="1346">
        <v>267641</v>
      </c>
      <c r="R21" s="1346">
        <v>28981</v>
      </c>
      <c r="S21" s="1346">
        <v>106623</v>
      </c>
      <c r="T21" s="1346">
        <v>57422</v>
      </c>
      <c r="U21" s="1346">
        <v>92493</v>
      </c>
      <c r="V21" s="1346">
        <v>24263</v>
      </c>
      <c r="W21" s="1346">
        <v>75489</v>
      </c>
      <c r="X21" s="1346">
        <v>202988</v>
      </c>
      <c r="Y21" s="1346">
        <v>194216</v>
      </c>
      <c r="Z21" s="1346">
        <v>509893</v>
      </c>
      <c r="AA21" s="1346">
        <v>284217</v>
      </c>
      <c r="AB21" s="1346">
        <v>136002</v>
      </c>
      <c r="AC21" s="1346">
        <v>140163</v>
      </c>
      <c r="AD21" s="1346">
        <v>184373</v>
      </c>
      <c r="AE21" s="1346">
        <v>691481</v>
      </c>
      <c r="AF21" s="1346">
        <v>291194</v>
      </c>
      <c r="AG21" s="1346">
        <v>192344</v>
      </c>
      <c r="AH21" s="1346">
        <v>222591</v>
      </c>
      <c r="AI21" s="1346">
        <v>396535</v>
      </c>
      <c r="AJ21" s="1346">
        <v>255407</v>
      </c>
      <c r="AK21" s="1346">
        <v>5009341</v>
      </c>
      <c r="AL21" s="1347">
        <v>22533</v>
      </c>
      <c r="AM21" s="1347"/>
      <c r="AN21" s="1366">
        <v>-6.431073132502271</v>
      </c>
      <c r="AO21" s="740"/>
      <c r="AP21" s="1349">
        <v>40974</v>
      </c>
      <c r="AQ21" s="1367">
        <v>-4.8787627457676737E-2</v>
      </c>
      <c r="AR21" s="1351">
        <v>1461179</v>
      </c>
      <c r="AS21" s="1367">
        <v>-16.494799994970872</v>
      </c>
      <c r="AT21" s="1351">
        <v>3507188</v>
      </c>
      <c r="AU21" s="1367">
        <v>-1.3299903051432256</v>
      </c>
      <c r="AV21" s="1368">
        <v>-3.7190488449330558E-4</v>
      </c>
      <c r="AW21" s="1368">
        <v>-5.3670895548324644</v>
      </c>
      <c r="AX21" s="1368">
        <v>-0.87907157547682624</v>
      </c>
      <c r="AY21" s="740"/>
      <c r="AZ21" s="1349">
        <v>1265267</v>
      </c>
      <c r="BA21" s="1367">
        <v>-12.133625927957834</v>
      </c>
      <c r="BB21" s="1351">
        <v>3744074</v>
      </c>
      <c r="BC21" s="1367">
        <v>-4.1277022445555653</v>
      </c>
      <c r="BD21" s="1368">
        <v>-3.249016856666191</v>
      </c>
      <c r="BE21" s="1369">
        <v>-2.9975161785275937</v>
      </c>
    </row>
    <row r="22" spans="1:57" hidden="1">
      <c r="A22" s="1355"/>
      <c r="B22" s="1356" t="s">
        <v>9925</v>
      </c>
      <c r="C22" s="1357">
        <v>4894615</v>
      </c>
      <c r="D22" s="1357">
        <v>11463</v>
      </c>
      <c r="E22" s="1358">
        <v>1423</v>
      </c>
      <c r="F22" s="1358">
        <v>3583</v>
      </c>
      <c r="G22" s="1358">
        <v>1785</v>
      </c>
      <c r="H22" s="1358">
        <v>1265889</v>
      </c>
      <c r="I22" s="1358">
        <v>191745</v>
      </c>
      <c r="J22" s="1358">
        <v>11750</v>
      </c>
      <c r="K22" s="1358">
        <v>24061</v>
      </c>
      <c r="L22" s="1358">
        <v>123352</v>
      </c>
      <c r="M22" s="1358">
        <v>3427</v>
      </c>
      <c r="N22" s="1358">
        <v>28851</v>
      </c>
      <c r="O22" s="1358">
        <v>125151</v>
      </c>
      <c r="P22" s="1358">
        <v>73507</v>
      </c>
      <c r="Q22" s="1358">
        <v>288982</v>
      </c>
      <c r="R22" s="1358">
        <v>24260</v>
      </c>
      <c r="S22" s="1358">
        <v>109029</v>
      </c>
      <c r="T22" s="1358">
        <v>70879</v>
      </c>
      <c r="U22" s="1358">
        <v>89323</v>
      </c>
      <c r="V22" s="1358">
        <v>23730</v>
      </c>
      <c r="W22" s="1358">
        <v>77842</v>
      </c>
      <c r="X22" s="1358">
        <v>225256</v>
      </c>
      <c r="Y22" s="1358">
        <v>185055</v>
      </c>
      <c r="Z22" s="1358">
        <v>442812</v>
      </c>
      <c r="AA22" s="1358">
        <v>277228</v>
      </c>
      <c r="AB22" s="1358">
        <v>142889</v>
      </c>
      <c r="AC22" s="1358">
        <v>132604</v>
      </c>
      <c r="AD22" s="1358">
        <v>182772</v>
      </c>
      <c r="AE22" s="1358">
        <v>695068</v>
      </c>
      <c r="AF22" s="1358">
        <v>287865</v>
      </c>
      <c r="AG22" s="1358">
        <v>163542</v>
      </c>
      <c r="AH22" s="1358">
        <v>209722</v>
      </c>
      <c r="AI22" s="1358">
        <v>404946</v>
      </c>
      <c r="AJ22" s="1358">
        <v>238794</v>
      </c>
      <c r="AK22" s="1358">
        <v>4872696</v>
      </c>
      <c r="AL22" s="1359">
        <v>21919</v>
      </c>
      <c r="AM22" s="1359"/>
      <c r="AN22" s="1374">
        <v>-1.0926104873907334</v>
      </c>
      <c r="AO22" s="740"/>
      <c r="AP22" s="1361">
        <v>16469</v>
      </c>
      <c r="AQ22" s="1375">
        <v>-2.5906429289643342</v>
      </c>
      <c r="AR22" s="1363">
        <v>1452729</v>
      </c>
      <c r="AS22" s="1375">
        <v>-0.35708039110111223</v>
      </c>
      <c r="AT22" s="1363">
        <v>3403498</v>
      </c>
      <c r="AU22" s="1375">
        <v>-1.1753275864872461</v>
      </c>
      <c r="AV22" s="1376">
        <v>-8.8508369221656068E-3</v>
      </c>
      <c r="AW22" s="1376">
        <v>-0.10519967355432454</v>
      </c>
      <c r="AX22" s="1376">
        <v>-0.81795474186168815</v>
      </c>
      <c r="AY22" s="740"/>
      <c r="AZ22" s="1361">
        <v>1265889</v>
      </c>
      <c r="BA22" s="1375">
        <v>5.916091370261074</v>
      </c>
      <c r="BB22" s="1363">
        <v>3606807</v>
      </c>
      <c r="BC22" s="1375">
        <v>-3.1375238778645715</v>
      </c>
      <c r="BD22" s="1376">
        <v>1.4288241486129811</v>
      </c>
      <c r="BE22" s="1377">
        <v>-2.3608294009511597</v>
      </c>
    </row>
    <row r="23" spans="1:57" hidden="1">
      <c r="A23" s="1332" t="s">
        <v>9659</v>
      </c>
      <c r="B23" s="1333" t="s">
        <v>9918</v>
      </c>
      <c r="C23" s="1334">
        <v>5098583</v>
      </c>
      <c r="D23" s="1334">
        <v>10685</v>
      </c>
      <c r="E23" s="1335">
        <v>1424</v>
      </c>
      <c r="F23" s="1335">
        <v>4158</v>
      </c>
      <c r="G23" s="1335">
        <v>1447</v>
      </c>
      <c r="H23" s="1335">
        <v>1305326</v>
      </c>
      <c r="I23" s="1335">
        <v>199876</v>
      </c>
      <c r="J23" s="1335">
        <v>11694</v>
      </c>
      <c r="K23" s="1335">
        <v>29935</v>
      </c>
      <c r="L23" s="1335">
        <v>164206</v>
      </c>
      <c r="M23" s="1335">
        <v>7312</v>
      </c>
      <c r="N23" s="1335">
        <v>49410</v>
      </c>
      <c r="O23" s="1335">
        <v>134144</v>
      </c>
      <c r="P23" s="1335">
        <v>64031</v>
      </c>
      <c r="Q23" s="1335">
        <v>269342</v>
      </c>
      <c r="R23" s="1335">
        <v>34496</v>
      </c>
      <c r="S23" s="1335">
        <v>101139</v>
      </c>
      <c r="T23" s="1335">
        <v>57826</v>
      </c>
      <c r="U23" s="1335">
        <v>78879</v>
      </c>
      <c r="V23" s="1335">
        <v>22289</v>
      </c>
      <c r="W23" s="1335">
        <v>80747</v>
      </c>
      <c r="X23" s="1335">
        <v>217620</v>
      </c>
      <c r="Y23" s="1335">
        <v>155821</v>
      </c>
      <c r="Z23" s="1335">
        <v>466930</v>
      </c>
      <c r="AA23" s="1335">
        <v>306500</v>
      </c>
      <c r="AB23" s="1335">
        <v>147860</v>
      </c>
      <c r="AC23" s="1335">
        <v>143950</v>
      </c>
      <c r="AD23" s="1335">
        <v>184447</v>
      </c>
      <c r="AE23" s="1335">
        <v>713792</v>
      </c>
      <c r="AF23" s="1335">
        <v>310732</v>
      </c>
      <c r="AG23" s="1335">
        <v>189014</v>
      </c>
      <c r="AH23" s="1335">
        <v>215394</v>
      </c>
      <c r="AI23" s="1335">
        <v>425547</v>
      </c>
      <c r="AJ23" s="1335">
        <v>272931</v>
      </c>
      <c r="AK23" s="1335">
        <v>5073578</v>
      </c>
      <c r="AL23" s="1336">
        <v>25005</v>
      </c>
      <c r="AM23" s="1336"/>
      <c r="AN23" s="1370">
        <v>6.1198785570003702</v>
      </c>
      <c r="AO23" s="740"/>
      <c r="AP23" s="1338">
        <v>16267</v>
      </c>
      <c r="AQ23" s="1371">
        <v>-3.7170760580053273</v>
      </c>
      <c r="AR23" s="1340">
        <v>1462594</v>
      </c>
      <c r="AS23" s="1371">
        <v>10.57773436436821</v>
      </c>
      <c r="AT23" s="1340">
        <v>3594717</v>
      </c>
      <c r="AU23" s="1371">
        <v>4.3927392691352143</v>
      </c>
      <c r="AV23" s="1372">
        <v>-1.3070942059647341E-2</v>
      </c>
      <c r="AW23" s="1372">
        <v>2.9120310566325789</v>
      </c>
      <c r="AX23" s="1372">
        <v>3.1483070666025097</v>
      </c>
      <c r="AY23" s="740"/>
      <c r="AZ23" s="1338">
        <v>1305326</v>
      </c>
      <c r="BA23" s="1371">
        <v>16.729353901184886</v>
      </c>
      <c r="BB23" s="1340">
        <v>3768252</v>
      </c>
      <c r="BC23" s="1371">
        <v>2.823304183820929</v>
      </c>
      <c r="BD23" s="1372">
        <v>3.8937254088385123</v>
      </c>
      <c r="BE23" s="1373">
        <v>2.1535417723369288</v>
      </c>
    </row>
    <row r="24" spans="1:57" hidden="1">
      <c r="A24" s="1343">
        <v>-2010</v>
      </c>
      <c r="B24" s="1344" t="s">
        <v>9920</v>
      </c>
      <c r="C24" s="1345">
        <v>5123290</v>
      </c>
      <c r="D24" s="1345">
        <v>14281</v>
      </c>
      <c r="E24" s="1346">
        <v>1415</v>
      </c>
      <c r="F24" s="1346">
        <v>5914</v>
      </c>
      <c r="G24" s="1346">
        <v>1348</v>
      </c>
      <c r="H24" s="1346">
        <v>1324454</v>
      </c>
      <c r="I24" s="1346">
        <v>173313</v>
      </c>
      <c r="J24" s="1346">
        <v>11292</v>
      </c>
      <c r="K24" s="1346">
        <v>28970</v>
      </c>
      <c r="L24" s="1346">
        <v>159795</v>
      </c>
      <c r="M24" s="1346">
        <v>6216</v>
      </c>
      <c r="N24" s="1346">
        <v>53072</v>
      </c>
      <c r="O24" s="1346">
        <v>131585</v>
      </c>
      <c r="P24" s="1346">
        <v>62924</v>
      </c>
      <c r="Q24" s="1346">
        <v>296242</v>
      </c>
      <c r="R24" s="1346">
        <v>39422</v>
      </c>
      <c r="S24" s="1346">
        <v>112937</v>
      </c>
      <c r="T24" s="1346">
        <v>51876</v>
      </c>
      <c r="U24" s="1346">
        <v>96631</v>
      </c>
      <c r="V24" s="1346">
        <v>21805</v>
      </c>
      <c r="W24" s="1346">
        <v>78374</v>
      </c>
      <c r="X24" s="1346">
        <v>237839</v>
      </c>
      <c r="Y24" s="1346">
        <v>176710</v>
      </c>
      <c r="Z24" s="1346">
        <v>495161</v>
      </c>
      <c r="AA24" s="1346">
        <v>297297</v>
      </c>
      <c r="AB24" s="1346">
        <v>145561</v>
      </c>
      <c r="AC24" s="1346">
        <v>143618</v>
      </c>
      <c r="AD24" s="1346">
        <v>180255</v>
      </c>
      <c r="AE24" s="1346">
        <v>697433</v>
      </c>
      <c r="AF24" s="1346">
        <v>308374</v>
      </c>
      <c r="AG24" s="1346">
        <v>159294</v>
      </c>
      <c r="AH24" s="1346">
        <v>223490</v>
      </c>
      <c r="AI24" s="1346">
        <v>421143</v>
      </c>
      <c r="AJ24" s="1346">
        <v>264582</v>
      </c>
      <c r="AK24" s="1346">
        <v>5098169</v>
      </c>
      <c r="AL24" s="1347">
        <v>25121</v>
      </c>
      <c r="AM24" s="1347"/>
      <c r="AN24" s="1366">
        <v>7.1736195883752085</v>
      </c>
      <c r="AO24" s="740"/>
      <c r="AP24" s="1349">
        <v>21610</v>
      </c>
      <c r="AQ24" s="1367">
        <v>-2.0709656953822453</v>
      </c>
      <c r="AR24" s="1351">
        <v>1502512</v>
      </c>
      <c r="AS24" s="1367">
        <v>13.910805329694281</v>
      </c>
      <c r="AT24" s="1351">
        <v>3574047</v>
      </c>
      <c r="AU24" s="1367">
        <v>4.5696083869925772</v>
      </c>
      <c r="AV24" s="1368">
        <v>-9.5599398282927659E-3</v>
      </c>
      <c r="AW24" s="1368">
        <v>3.8383472194178445</v>
      </c>
      <c r="AX24" s="1368">
        <v>3.2671774227620332</v>
      </c>
      <c r="AY24" s="740"/>
      <c r="AZ24" s="1349">
        <v>1324454</v>
      </c>
      <c r="BA24" s="1367">
        <v>15.583702699141186</v>
      </c>
      <c r="BB24" s="1351">
        <v>3773715</v>
      </c>
      <c r="BC24" s="1367">
        <v>4.446132142915463</v>
      </c>
      <c r="BD24" s="1368">
        <v>3.7355098798207171</v>
      </c>
      <c r="BE24" s="1369">
        <v>3.3604548225308681</v>
      </c>
    </row>
    <row r="25" spans="1:57" hidden="1">
      <c r="A25" s="1354"/>
      <c r="B25" s="1344" t="s">
        <v>9921</v>
      </c>
      <c r="C25" s="1345">
        <v>5286458</v>
      </c>
      <c r="D25" s="1345">
        <v>34127</v>
      </c>
      <c r="E25" s="1346">
        <v>1452</v>
      </c>
      <c r="F25" s="1346">
        <v>6696</v>
      </c>
      <c r="G25" s="1346">
        <v>1411</v>
      </c>
      <c r="H25" s="1346">
        <v>1387318</v>
      </c>
      <c r="I25" s="1346">
        <v>223775</v>
      </c>
      <c r="J25" s="1346">
        <v>11977</v>
      </c>
      <c r="K25" s="1346">
        <v>25524</v>
      </c>
      <c r="L25" s="1346">
        <v>154477</v>
      </c>
      <c r="M25" s="1346">
        <v>7062</v>
      </c>
      <c r="N25" s="1346">
        <v>55490</v>
      </c>
      <c r="O25" s="1346">
        <v>139236</v>
      </c>
      <c r="P25" s="1346">
        <v>70234</v>
      </c>
      <c r="Q25" s="1346">
        <v>290057</v>
      </c>
      <c r="R25" s="1346">
        <v>39286</v>
      </c>
      <c r="S25" s="1346">
        <v>115330</v>
      </c>
      <c r="T25" s="1346">
        <v>49758</v>
      </c>
      <c r="U25" s="1346">
        <v>108899</v>
      </c>
      <c r="V25" s="1346">
        <v>21327</v>
      </c>
      <c r="W25" s="1346">
        <v>74886</v>
      </c>
      <c r="X25" s="1346">
        <v>216948</v>
      </c>
      <c r="Y25" s="1346">
        <v>204810</v>
      </c>
      <c r="Z25" s="1346">
        <v>536939</v>
      </c>
      <c r="AA25" s="1346">
        <v>297137</v>
      </c>
      <c r="AB25" s="1346">
        <v>146923</v>
      </c>
      <c r="AC25" s="1346">
        <v>143388</v>
      </c>
      <c r="AD25" s="1346">
        <v>180410</v>
      </c>
      <c r="AE25" s="1346">
        <v>697213</v>
      </c>
      <c r="AF25" s="1346">
        <v>306248</v>
      </c>
      <c r="AG25" s="1346">
        <v>187189</v>
      </c>
      <c r="AH25" s="1346">
        <v>232297</v>
      </c>
      <c r="AI25" s="1346">
        <v>415967</v>
      </c>
      <c r="AJ25" s="1346">
        <v>264064</v>
      </c>
      <c r="AK25" s="1346">
        <v>5260537</v>
      </c>
      <c r="AL25" s="1347">
        <v>25921</v>
      </c>
      <c r="AM25" s="1347"/>
      <c r="AN25" s="1366">
        <v>5.059427156103923</v>
      </c>
      <c r="AO25" s="740"/>
      <c r="AP25" s="1349">
        <v>42275</v>
      </c>
      <c r="AQ25" s="1367">
        <v>3.1751842631912921</v>
      </c>
      <c r="AR25" s="1351">
        <v>1593539</v>
      </c>
      <c r="AS25" s="1367">
        <v>9.0584384254085233</v>
      </c>
      <c r="AT25" s="1351">
        <v>3624723</v>
      </c>
      <c r="AU25" s="1367">
        <v>3.3512603259363347</v>
      </c>
      <c r="AV25" s="1368">
        <v>2.5855178151768507E-2</v>
      </c>
      <c r="AW25" s="1368">
        <v>2.6304314989762334</v>
      </c>
      <c r="AX25" s="1368">
        <v>2.3358096572391327</v>
      </c>
      <c r="AY25" s="740"/>
      <c r="AZ25" s="1349">
        <v>1387318</v>
      </c>
      <c r="BA25" s="1367">
        <v>9.646264385303656</v>
      </c>
      <c r="BB25" s="1351">
        <v>3873219</v>
      </c>
      <c r="BC25" s="1367">
        <v>3.4493175081475416</v>
      </c>
      <c r="BD25" s="1368">
        <v>2.4255575315922351</v>
      </c>
      <c r="BE25" s="1369">
        <v>2.566538802774899</v>
      </c>
    </row>
    <row r="26" spans="1:57" hidden="1">
      <c r="A26" s="1355"/>
      <c r="B26" s="1356" t="s">
        <v>9926</v>
      </c>
      <c r="C26" s="1357">
        <v>5040221</v>
      </c>
      <c r="D26" s="1357">
        <v>11825</v>
      </c>
      <c r="E26" s="1358">
        <v>1529</v>
      </c>
      <c r="F26" s="1358">
        <v>3164</v>
      </c>
      <c r="G26" s="1358">
        <v>1472</v>
      </c>
      <c r="H26" s="1358">
        <v>1367265</v>
      </c>
      <c r="I26" s="1358">
        <v>195535</v>
      </c>
      <c r="J26" s="1358">
        <v>10749</v>
      </c>
      <c r="K26" s="1358">
        <v>23964</v>
      </c>
      <c r="L26" s="1358">
        <v>147450</v>
      </c>
      <c r="M26" s="1358">
        <v>7979</v>
      </c>
      <c r="N26" s="1358">
        <v>52506</v>
      </c>
      <c r="O26" s="1358">
        <v>140310</v>
      </c>
      <c r="P26" s="1358">
        <v>66089</v>
      </c>
      <c r="Q26" s="1358">
        <v>311825</v>
      </c>
      <c r="R26" s="1358">
        <v>38025</v>
      </c>
      <c r="S26" s="1358">
        <v>120405</v>
      </c>
      <c r="T26" s="1358">
        <v>55919</v>
      </c>
      <c r="U26" s="1358">
        <v>101667</v>
      </c>
      <c r="V26" s="1358">
        <v>21170</v>
      </c>
      <c r="W26" s="1358">
        <v>73672</v>
      </c>
      <c r="X26" s="1358">
        <v>235765</v>
      </c>
      <c r="Y26" s="1358">
        <v>212225</v>
      </c>
      <c r="Z26" s="1358">
        <v>462668</v>
      </c>
      <c r="AA26" s="1358">
        <v>293394</v>
      </c>
      <c r="AB26" s="1358">
        <v>139918</v>
      </c>
      <c r="AC26" s="1358">
        <v>146125</v>
      </c>
      <c r="AD26" s="1358">
        <v>176847</v>
      </c>
      <c r="AE26" s="1358">
        <v>684029</v>
      </c>
      <c r="AF26" s="1358">
        <v>275876</v>
      </c>
      <c r="AG26" s="1358">
        <v>160839</v>
      </c>
      <c r="AH26" s="1358">
        <v>202829</v>
      </c>
      <c r="AI26" s="1358">
        <v>407769</v>
      </c>
      <c r="AJ26" s="1358">
        <v>231968</v>
      </c>
      <c r="AK26" s="1358">
        <v>5015507</v>
      </c>
      <c r="AL26" s="1359">
        <v>24714</v>
      </c>
      <c r="AM26" s="1359"/>
      <c r="AN26" s="1374">
        <v>2.9748244498788572</v>
      </c>
      <c r="AO26" s="740"/>
      <c r="AP26" s="1361">
        <v>16518</v>
      </c>
      <c r="AQ26" s="1375">
        <v>0.29752869026656142</v>
      </c>
      <c r="AR26" s="1363">
        <v>1580962</v>
      </c>
      <c r="AS26" s="1375">
        <v>8.8270420704756347</v>
      </c>
      <c r="AT26" s="1363">
        <v>3418027</v>
      </c>
      <c r="AU26" s="1375">
        <v>0.4268843407576558</v>
      </c>
      <c r="AV26" s="1376">
        <v>1.0011002477254283E-3</v>
      </c>
      <c r="AW26" s="1376">
        <v>2.6198793482974461</v>
      </c>
      <c r="AX26" s="1376">
        <v>0.29683643875923976</v>
      </c>
      <c r="AY26" s="740"/>
      <c r="AZ26" s="1361">
        <v>1367265</v>
      </c>
      <c r="BA26" s="1375">
        <v>8.0082850866071205</v>
      </c>
      <c r="BB26" s="1363">
        <v>3648242</v>
      </c>
      <c r="BC26" s="1375">
        <v>1.1488000328268189</v>
      </c>
      <c r="BD26" s="1376">
        <v>2.0711742594574085</v>
      </c>
      <c r="BE26" s="1377">
        <v>0.84654262784700252</v>
      </c>
    </row>
    <row r="27" spans="1:57" hidden="1">
      <c r="A27" s="1332" t="s">
        <v>9660</v>
      </c>
      <c r="B27" s="1333" t="s">
        <v>9918</v>
      </c>
      <c r="C27" s="1378">
        <v>4895128</v>
      </c>
      <c r="D27" s="1335">
        <v>10205</v>
      </c>
      <c r="E27" s="1335">
        <v>1349</v>
      </c>
      <c r="F27" s="1335">
        <v>3064</v>
      </c>
      <c r="G27" s="1335">
        <v>1557</v>
      </c>
      <c r="H27" s="1335">
        <v>1289390</v>
      </c>
      <c r="I27" s="1335">
        <v>188795</v>
      </c>
      <c r="J27" s="1335">
        <v>13294</v>
      </c>
      <c r="K27" s="1335">
        <v>28005</v>
      </c>
      <c r="L27" s="1335">
        <v>173575</v>
      </c>
      <c r="M27" s="1335">
        <v>8220</v>
      </c>
      <c r="N27" s="1335">
        <v>44199</v>
      </c>
      <c r="O27" s="1335">
        <v>120722</v>
      </c>
      <c r="P27" s="1335">
        <v>82573</v>
      </c>
      <c r="Q27" s="1335">
        <v>225537</v>
      </c>
      <c r="R27" s="1335">
        <v>25561</v>
      </c>
      <c r="S27" s="1335">
        <v>126035</v>
      </c>
      <c r="T27" s="1335">
        <v>54815</v>
      </c>
      <c r="U27" s="1335">
        <v>88014</v>
      </c>
      <c r="V27" s="1335">
        <v>19728</v>
      </c>
      <c r="W27" s="1335">
        <v>90317</v>
      </c>
      <c r="X27" s="1335">
        <v>144486</v>
      </c>
      <c r="Y27" s="1335">
        <v>146753</v>
      </c>
      <c r="Z27" s="1335">
        <v>493923</v>
      </c>
      <c r="AA27" s="1335">
        <v>264643</v>
      </c>
      <c r="AB27" s="1335">
        <v>125636</v>
      </c>
      <c r="AC27" s="1335">
        <v>145756</v>
      </c>
      <c r="AD27" s="1335">
        <v>171558</v>
      </c>
      <c r="AE27" s="1335">
        <v>700189</v>
      </c>
      <c r="AF27" s="1335">
        <v>286798</v>
      </c>
      <c r="AG27" s="1335">
        <v>184383</v>
      </c>
      <c r="AH27" s="1335">
        <v>239451</v>
      </c>
      <c r="AI27" s="1335">
        <v>407699</v>
      </c>
      <c r="AJ27" s="1335">
        <v>242770</v>
      </c>
      <c r="AK27" s="1335">
        <v>4859610</v>
      </c>
      <c r="AL27" s="1336">
        <v>35518</v>
      </c>
      <c r="AM27" s="1336"/>
      <c r="AN27" s="1379">
        <v>-3.9904311191757067</v>
      </c>
      <c r="AO27" s="740"/>
      <c r="AP27" s="1338">
        <v>14618</v>
      </c>
      <c r="AQ27" s="1380">
        <v>-10.137087354767321</v>
      </c>
      <c r="AR27" s="1338">
        <v>1437700</v>
      </c>
      <c r="AS27" s="1380">
        <v>-1.7020444497926286</v>
      </c>
      <c r="AT27" s="1338">
        <v>3407292</v>
      </c>
      <c r="AU27" s="1380">
        <v>-5.2139014003049473</v>
      </c>
      <c r="AV27" s="1381">
        <v>-3.2342319058669043E-2</v>
      </c>
      <c r="AW27" s="1381">
        <v>-0.48825329936113226</v>
      </c>
      <c r="AX27" s="1381">
        <v>-3.6760213156889301</v>
      </c>
      <c r="AY27" s="740"/>
      <c r="AZ27" s="1338">
        <v>1289390</v>
      </c>
      <c r="BA27" s="1380">
        <v>-1.2208444480535896</v>
      </c>
      <c r="BB27" s="1338">
        <v>3570220</v>
      </c>
      <c r="BC27" s="1380">
        <v>-5.2552748595369954</v>
      </c>
      <c r="BD27" s="1381">
        <v>-0.31255742663368702</v>
      </c>
      <c r="BE27" s="1373">
        <v>-3.8840595074750439</v>
      </c>
    </row>
    <row r="28" spans="1:57" hidden="1">
      <c r="A28" s="1343">
        <v>-2011</v>
      </c>
      <c r="B28" s="1344" t="s">
        <v>9920</v>
      </c>
      <c r="C28" s="1382">
        <v>4979681</v>
      </c>
      <c r="D28" s="1346">
        <v>13792</v>
      </c>
      <c r="E28" s="1346">
        <v>1424</v>
      </c>
      <c r="F28" s="1346">
        <v>4740</v>
      </c>
      <c r="G28" s="1346">
        <v>1515</v>
      </c>
      <c r="H28" s="1346">
        <v>1296027</v>
      </c>
      <c r="I28" s="1346">
        <v>168886</v>
      </c>
      <c r="J28" s="1346">
        <v>13096</v>
      </c>
      <c r="K28" s="1346">
        <v>27761</v>
      </c>
      <c r="L28" s="1346">
        <v>169013</v>
      </c>
      <c r="M28" s="1346">
        <v>7804</v>
      </c>
      <c r="N28" s="1346">
        <v>49125</v>
      </c>
      <c r="O28" s="1346">
        <v>126810</v>
      </c>
      <c r="P28" s="1346">
        <v>78243</v>
      </c>
      <c r="Q28" s="1346">
        <v>224846</v>
      </c>
      <c r="R28" s="1346">
        <v>23258</v>
      </c>
      <c r="S28" s="1346">
        <v>137868</v>
      </c>
      <c r="T28" s="1346">
        <v>68187</v>
      </c>
      <c r="U28" s="1346">
        <v>91281</v>
      </c>
      <c r="V28" s="1346">
        <v>21666</v>
      </c>
      <c r="W28" s="1346">
        <v>88183</v>
      </c>
      <c r="X28" s="1346">
        <v>156023</v>
      </c>
      <c r="Y28" s="1346">
        <v>163950</v>
      </c>
      <c r="Z28" s="1346">
        <v>509302</v>
      </c>
      <c r="AA28" s="1346">
        <v>273271</v>
      </c>
      <c r="AB28" s="1346">
        <v>128650</v>
      </c>
      <c r="AC28" s="1346">
        <v>151255</v>
      </c>
      <c r="AD28" s="1346">
        <v>173444</v>
      </c>
      <c r="AE28" s="1346">
        <v>709695</v>
      </c>
      <c r="AF28" s="1346">
        <v>295937</v>
      </c>
      <c r="AG28" s="1346">
        <v>161355</v>
      </c>
      <c r="AH28" s="1346">
        <v>223660</v>
      </c>
      <c r="AI28" s="1346">
        <v>423817</v>
      </c>
      <c r="AJ28" s="1346">
        <v>255695</v>
      </c>
      <c r="AK28" s="1346">
        <v>4943552</v>
      </c>
      <c r="AL28" s="1347">
        <v>36129</v>
      </c>
      <c r="AM28" s="1347"/>
      <c r="AN28" s="1383">
        <v>-2.8030692352151716</v>
      </c>
      <c r="AO28" s="740"/>
      <c r="AP28" s="1349">
        <v>19956</v>
      </c>
      <c r="AQ28" s="1384">
        <v>-7.6538639518741318</v>
      </c>
      <c r="AR28" s="1349">
        <v>1461492</v>
      </c>
      <c r="AS28" s="1384">
        <v>-2.7300946681291065</v>
      </c>
      <c r="AT28" s="1349">
        <v>3462104</v>
      </c>
      <c r="AU28" s="1384">
        <v>-3.1321076639451024</v>
      </c>
      <c r="AV28" s="1385">
        <v>-3.228394252562107E-2</v>
      </c>
      <c r="AW28" s="1385">
        <v>-0.80065738960155752</v>
      </c>
      <c r="AX28" s="1385">
        <v>-2.184982695372188</v>
      </c>
      <c r="AY28" s="740"/>
      <c r="AZ28" s="1349">
        <v>1296027</v>
      </c>
      <c r="BA28" s="1384">
        <v>-2.1463184074343089</v>
      </c>
      <c r="BB28" s="1349">
        <v>3647525</v>
      </c>
      <c r="BC28" s="1384">
        <v>-3.343919718367709</v>
      </c>
      <c r="BD28" s="1385">
        <v>-0.55485830361295652</v>
      </c>
      <c r="BE28" s="1369">
        <v>-2.4630657238864098</v>
      </c>
    </row>
    <row r="29" spans="1:57" hidden="1">
      <c r="A29" s="1354"/>
      <c r="B29" s="1344" t="s">
        <v>9921</v>
      </c>
      <c r="C29" s="1382">
        <v>5123236</v>
      </c>
      <c r="D29" s="1346">
        <v>34628</v>
      </c>
      <c r="E29" s="1346">
        <v>1463</v>
      </c>
      <c r="F29" s="1346">
        <v>5104</v>
      </c>
      <c r="G29" s="1346">
        <v>1581</v>
      </c>
      <c r="H29" s="1346">
        <v>1327407</v>
      </c>
      <c r="I29" s="1346">
        <v>212940</v>
      </c>
      <c r="J29" s="1346">
        <v>14038</v>
      </c>
      <c r="K29" s="1346">
        <v>28343</v>
      </c>
      <c r="L29" s="1346">
        <v>163123</v>
      </c>
      <c r="M29" s="1346">
        <v>8410</v>
      </c>
      <c r="N29" s="1346">
        <v>51558</v>
      </c>
      <c r="O29" s="1346">
        <v>116131</v>
      </c>
      <c r="P29" s="1346">
        <v>86318</v>
      </c>
      <c r="Q29" s="1346">
        <v>215744</v>
      </c>
      <c r="R29" s="1346">
        <v>21754</v>
      </c>
      <c r="S29" s="1346">
        <v>120050</v>
      </c>
      <c r="T29" s="1346">
        <v>65842</v>
      </c>
      <c r="U29" s="1346">
        <v>119388</v>
      </c>
      <c r="V29" s="1346">
        <v>19919</v>
      </c>
      <c r="W29" s="1346">
        <v>83849</v>
      </c>
      <c r="X29" s="1346">
        <v>147177</v>
      </c>
      <c r="Y29" s="1346">
        <v>186320</v>
      </c>
      <c r="Z29" s="1346">
        <v>552918</v>
      </c>
      <c r="AA29" s="1346">
        <v>273145</v>
      </c>
      <c r="AB29" s="1346">
        <v>133281</v>
      </c>
      <c r="AC29" s="1346">
        <v>150344</v>
      </c>
      <c r="AD29" s="1346">
        <v>173002</v>
      </c>
      <c r="AE29" s="1346">
        <v>710705</v>
      </c>
      <c r="AF29" s="1346">
        <v>293053</v>
      </c>
      <c r="AG29" s="1346">
        <v>188838</v>
      </c>
      <c r="AH29" s="1346">
        <v>229878</v>
      </c>
      <c r="AI29" s="1346">
        <v>415947</v>
      </c>
      <c r="AJ29" s="1346">
        <v>261275</v>
      </c>
      <c r="AK29" s="1346">
        <v>5086066</v>
      </c>
      <c r="AL29" s="1347">
        <v>37170</v>
      </c>
      <c r="AM29" s="1347"/>
      <c r="AN29" s="1383">
        <v>-3.087555893060673</v>
      </c>
      <c r="AO29" s="740"/>
      <c r="AP29" s="1349">
        <v>41195</v>
      </c>
      <c r="AQ29" s="1384">
        <v>-2.5547013601419279</v>
      </c>
      <c r="AR29" s="1349">
        <v>1515308</v>
      </c>
      <c r="AS29" s="1384">
        <v>-4.9092617124525981</v>
      </c>
      <c r="AT29" s="1349">
        <v>3529563</v>
      </c>
      <c r="AU29" s="1384">
        <v>-2.6253040577169617</v>
      </c>
      <c r="AV29" s="1385">
        <v>-2.0429557736896073E-2</v>
      </c>
      <c r="AW29" s="1385">
        <v>-1.4798377141806636</v>
      </c>
      <c r="AX29" s="1385">
        <v>-1.8000710317065096</v>
      </c>
      <c r="AY29" s="740"/>
      <c r="AZ29" s="1349">
        <v>1327407</v>
      </c>
      <c r="BA29" s="1384">
        <v>-4.3184763695129735</v>
      </c>
      <c r="BB29" s="1349">
        <v>3758659</v>
      </c>
      <c r="BC29" s="1384">
        <v>-2.9577465152370674</v>
      </c>
      <c r="BD29" s="1385">
        <v>-1.1332918829399821</v>
      </c>
      <c r="BE29" s="1369">
        <v>-2.1670464206840871</v>
      </c>
    </row>
    <row r="30" spans="1:57" hidden="1">
      <c r="A30" s="1355"/>
      <c r="B30" s="1356" t="s">
        <v>9927</v>
      </c>
      <c r="C30" s="1386">
        <v>5025626</v>
      </c>
      <c r="D30" s="1357">
        <v>12336</v>
      </c>
      <c r="E30" s="1358">
        <v>1222</v>
      </c>
      <c r="F30" s="1358">
        <v>4578</v>
      </c>
      <c r="G30" s="1358">
        <v>1281</v>
      </c>
      <c r="H30" s="1358">
        <v>1302280</v>
      </c>
      <c r="I30" s="1358">
        <v>184959</v>
      </c>
      <c r="J30" s="1358">
        <v>13099</v>
      </c>
      <c r="K30" s="1358">
        <v>25198</v>
      </c>
      <c r="L30" s="1358">
        <v>149629</v>
      </c>
      <c r="M30" s="1358">
        <v>8878</v>
      </c>
      <c r="N30" s="1358">
        <v>48909</v>
      </c>
      <c r="O30" s="1358">
        <v>113318</v>
      </c>
      <c r="P30" s="1358">
        <v>81274</v>
      </c>
      <c r="Q30" s="1358">
        <v>215177</v>
      </c>
      <c r="R30" s="1358">
        <v>20723</v>
      </c>
      <c r="S30" s="1358">
        <v>144710</v>
      </c>
      <c r="T30" s="1358">
        <v>76973</v>
      </c>
      <c r="U30" s="1358">
        <v>112899</v>
      </c>
      <c r="V30" s="1358">
        <v>20610</v>
      </c>
      <c r="W30" s="1358">
        <v>85924</v>
      </c>
      <c r="X30" s="1358">
        <v>164412</v>
      </c>
      <c r="Y30" s="1358">
        <v>191533</v>
      </c>
      <c r="Z30" s="1358">
        <v>486993</v>
      </c>
      <c r="AA30" s="1358">
        <v>300354</v>
      </c>
      <c r="AB30" s="1358">
        <v>152181</v>
      </c>
      <c r="AC30" s="1358">
        <v>143649</v>
      </c>
      <c r="AD30" s="1358">
        <v>169141</v>
      </c>
      <c r="AE30" s="1358">
        <v>700374</v>
      </c>
      <c r="AF30" s="1358">
        <v>308133</v>
      </c>
      <c r="AG30" s="1358">
        <v>163424</v>
      </c>
      <c r="AH30" s="1358">
        <v>191876</v>
      </c>
      <c r="AI30" s="1358">
        <v>457251</v>
      </c>
      <c r="AJ30" s="1358">
        <v>238146</v>
      </c>
      <c r="AK30" s="1358">
        <v>4989164</v>
      </c>
      <c r="AL30" s="1358">
        <v>36462</v>
      </c>
      <c r="AM30" s="1358"/>
      <c r="AN30" s="1387">
        <v>-0.28957440071601526</v>
      </c>
      <c r="AO30" s="740"/>
      <c r="AP30" s="1361">
        <v>18136</v>
      </c>
      <c r="AQ30" s="1388">
        <v>9.7953747427049276</v>
      </c>
      <c r="AR30" s="1361">
        <v>1495094</v>
      </c>
      <c r="AS30" s="1388">
        <v>-5.4313765922267585</v>
      </c>
      <c r="AT30" s="1361">
        <v>3475934</v>
      </c>
      <c r="AU30" s="1388">
        <v>1.6941644989931326</v>
      </c>
      <c r="AV30" s="1389">
        <v>3.2101767561963097E-2</v>
      </c>
      <c r="AW30" s="1389">
        <v>-1.7036554864095472</v>
      </c>
      <c r="AX30" s="1389">
        <v>1.1488980557543862</v>
      </c>
      <c r="AY30" s="740"/>
      <c r="AZ30" s="1361">
        <v>1302280</v>
      </c>
      <c r="BA30" s="1388">
        <v>-4.7529191488116789</v>
      </c>
      <c r="BB30" s="1361">
        <v>3686884</v>
      </c>
      <c r="BC30" s="1388">
        <v>1.0591950862908766</v>
      </c>
      <c r="BD30" s="1389">
        <v>-1.2893284085378069</v>
      </c>
      <c r="BE30" s="1377">
        <v>0.76667274544460939</v>
      </c>
    </row>
    <row r="31" spans="1:57" hidden="1">
      <c r="A31" s="1332" t="s">
        <v>9661</v>
      </c>
      <c r="B31" s="1333" t="s">
        <v>9918</v>
      </c>
      <c r="C31" s="1378">
        <v>4934780</v>
      </c>
      <c r="D31" s="1334">
        <v>10891</v>
      </c>
      <c r="E31" s="1335">
        <v>1320</v>
      </c>
      <c r="F31" s="1335">
        <v>5160</v>
      </c>
      <c r="G31" s="1335">
        <v>1637</v>
      </c>
      <c r="H31" s="1335">
        <v>1256922</v>
      </c>
      <c r="I31" s="1335">
        <v>185618</v>
      </c>
      <c r="J31" s="1335">
        <v>11093</v>
      </c>
      <c r="K31" s="1335">
        <v>24248</v>
      </c>
      <c r="L31" s="1335">
        <v>116016</v>
      </c>
      <c r="M31" s="1335">
        <v>8147</v>
      </c>
      <c r="N31" s="1335">
        <v>29785</v>
      </c>
      <c r="O31" s="1335">
        <v>113237</v>
      </c>
      <c r="P31" s="1335">
        <v>71797</v>
      </c>
      <c r="Q31" s="1335">
        <v>280949</v>
      </c>
      <c r="R31" s="1335">
        <v>12627</v>
      </c>
      <c r="S31" s="1335">
        <v>114486</v>
      </c>
      <c r="T31" s="1335">
        <v>73093</v>
      </c>
      <c r="U31" s="1335">
        <v>108611</v>
      </c>
      <c r="V31" s="1335">
        <v>16542</v>
      </c>
      <c r="W31" s="1335">
        <v>90673</v>
      </c>
      <c r="X31" s="1335">
        <v>140029</v>
      </c>
      <c r="Y31" s="1335">
        <v>152490</v>
      </c>
      <c r="Z31" s="1335">
        <v>512807</v>
      </c>
      <c r="AA31" s="1335">
        <v>300019</v>
      </c>
      <c r="AB31" s="1335">
        <v>132677</v>
      </c>
      <c r="AC31" s="1335">
        <v>147655</v>
      </c>
      <c r="AD31" s="1335">
        <v>171177</v>
      </c>
      <c r="AE31" s="1335">
        <v>703664</v>
      </c>
      <c r="AF31" s="1335">
        <v>292104</v>
      </c>
      <c r="AG31" s="1335">
        <v>176307</v>
      </c>
      <c r="AH31" s="1335">
        <v>209197</v>
      </c>
      <c r="AI31" s="1335">
        <v>425662</v>
      </c>
      <c r="AJ31" s="1335">
        <v>257588</v>
      </c>
      <c r="AK31" s="1335">
        <v>4897306</v>
      </c>
      <c r="AL31" s="1335">
        <v>37474</v>
      </c>
      <c r="AM31" s="1335"/>
      <c r="AN31" s="1379">
        <v>0.81004199812625866</v>
      </c>
      <c r="AO31" s="740"/>
      <c r="AP31" s="1338">
        <v>17371</v>
      </c>
      <c r="AQ31" s="1380">
        <v>18.832945683404024</v>
      </c>
      <c r="AR31" s="1338">
        <v>1411049</v>
      </c>
      <c r="AS31" s="1380">
        <v>-1.8537246991722891</v>
      </c>
      <c r="AT31" s="1338">
        <v>3468886</v>
      </c>
      <c r="AU31" s="1380">
        <v>1.8077112263932764</v>
      </c>
      <c r="AV31" s="1381">
        <v>5.6239596141051382E-2</v>
      </c>
      <c r="AW31" s="1381">
        <v>-0.54443933045955695</v>
      </c>
      <c r="AX31" s="1381">
        <v>1.2582715890708025</v>
      </c>
      <c r="AY31" s="740"/>
      <c r="AZ31" s="1338">
        <v>1256922</v>
      </c>
      <c r="BA31" s="1380">
        <v>-2.5180899495110092</v>
      </c>
      <c r="BB31" s="1338">
        <v>3640384</v>
      </c>
      <c r="BC31" s="1380">
        <v>1.9652570429833456</v>
      </c>
      <c r="BD31" s="1381">
        <v>-0.66327177897117928</v>
      </c>
      <c r="BE31" s="1373">
        <v>1.433343633723476</v>
      </c>
    </row>
    <row r="32" spans="1:57" hidden="1">
      <c r="A32" s="1343">
        <v>-2012</v>
      </c>
      <c r="B32" s="1344" t="s">
        <v>9920</v>
      </c>
      <c r="C32" s="1382">
        <v>4877331</v>
      </c>
      <c r="D32" s="1345">
        <v>14379</v>
      </c>
      <c r="E32" s="1346">
        <v>1264</v>
      </c>
      <c r="F32" s="1346">
        <v>6974</v>
      </c>
      <c r="G32" s="1346">
        <v>1345</v>
      </c>
      <c r="H32" s="1346">
        <v>1219334</v>
      </c>
      <c r="I32" s="1346">
        <v>162682</v>
      </c>
      <c r="J32" s="1346">
        <v>10683</v>
      </c>
      <c r="K32" s="1346">
        <v>23301</v>
      </c>
      <c r="L32" s="1346">
        <v>103877</v>
      </c>
      <c r="M32" s="1346">
        <v>6974</v>
      </c>
      <c r="N32" s="1346">
        <v>30325</v>
      </c>
      <c r="O32" s="1346">
        <v>110600</v>
      </c>
      <c r="P32" s="1346">
        <v>70143</v>
      </c>
      <c r="Q32" s="1346">
        <v>278470</v>
      </c>
      <c r="R32" s="1346">
        <v>14346</v>
      </c>
      <c r="S32" s="1346">
        <v>126641</v>
      </c>
      <c r="T32" s="1346">
        <v>73863</v>
      </c>
      <c r="U32" s="1346">
        <v>104276</v>
      </c>
      <c r="V32" s="1346">
        <v>17652</v>
      </c>
      <c r="W32" s="1346">
        <v>85501</v>
      </c>
      <c r="X32" s="1346">
        <v>147005</v>
      </c>
      <c r="Y32" s="1346">
        <v>170053</v>
      </c>
      <c r="Z32" s="1346">
        <v>515487</v>
      </c>
      <c r="AA32" s="1346">
        <v>290800</v>
      </c>
      <c r="AB32" s="1346">
        <v>126146</v>
      </c>
      <c r="AC32" s="1346">
        <v>141433</v>
      </c>
      <c r="AD32" s="1346">
        <v>169750</v>
      </c>
      <c r="AE32" s="1346">
        <v>696105</v>
      </c>
      <c r="AF32" s="1346">
        <v>296101</v>
      </c>
      <c r="AG32" s="1346">
        <v>151578</v>
      </c>
      <c r="AH32" s="1346">
        <v>214732</v>
      </c>
      <c r="AI32" s="1346">
        <v>424656</v>
      </c>
      <c r="AJ32" s="1346">
        <v>253155</v>
      </c>
      <c r="AK32" s="1346">
        <v>4840297</v>
      </c>
      <c r="AL32" s="1346">
        <v>37034</v>
      </c>
      <c r="AM32" s="1346"/>
      <c r="AN32" s="1383">
        <v>-2.0553442853781894</v>
      </c>
      <c r="AO32" s="740"/>
      <c r="AP32" s="1349">
        <v>22617</v>
      </c>
      <c r="AQ32" s="1384">
        <v>13.334335538184005</v>
      </c>
      <c r="AR32" s="1349">
        <v>1390732</v>
      </c>
      <c r="AS32" s="1384">
        <v>-4.84162759700361</v>
      </c>
      <c r="AT32" s="1349">
        <v>3426948</v>
      </c>
      <c r="AU32" s="1384">
        <v>-1.0154518755069171</v>
      </c>
      <c r="AV32" s="1385">
        <v>5.343716181637069E-2</v>
      </c>
      <c r="AW32" s="1385">
        <v>-1.4209746599497894</v>
      </c>
      <c r="AX32" s="1385">
        <v>-0.70598904953638775</v>
      </c>
      <c r="AY32" s="740"/>
      <c r="AZ32" s="1349">
        <v>1219334</v>
      </c>
      <c r="BA32" s="1384">
        <v>-5.9175464708682766</v>
      </c>
      <c r="BB32" s="1349">
        <v>3620963</v>
      </c>
      <c r="BC32" s="1384">
        <v>-0.72821982028910015</v>
      </c>
      <c r="BD32" s="1385">
        <v>-1.5401188467429228</v>
      </c>
      <c r="BE32" s="1369">
        <v>-0.53340770092688394</v>
      </c>
    </row>
    <row r="33" spans="1:57" hidden="1">
      <c r="A33" s="1354"/>
      <c r="B33" s="1344" t="s">
        <v>9921</v>
      </c>
      <c r="C33" s="1382">
        <v>5047250</v>
      </c>
      <c r="D33" s="1346">
        <v>37188</v>
      </c>
      <c r="E33" s="1346">
        <v>1348</v>
      </c>
      <c r="F33" s="1346">
        <v>7345</v>
      </c>
      <c r="G33" s="1346">
        <v>1487</v>
      </c>
      <c r="H33" s="1346">
        <v>1211082</v>
      </c>
      <c r="I33" s="1346">
        <v>210702</v>
      </c>
      <c r="J33" s="1346">
        <v>10511</v>
      </c>
      <c r="K33" s="1346">
        <v>25632</v>
      </c>
      <c r="L33" s="1346">
        <v>103196</v>
      </c>
      <c r="M33" s="1346">
        <v>7838</v>
      </c>
      <c r="N33" s="1346">
        <v>32016</v>
      </c>
      <c r="O33" s="1346">
        <v>106515</v>
      </c>
      <c r="P33" s="1346">
        <v>79134</v>
      </c>
      <c r="Q33" s="1346">
        <v>234896</v>
      </c>
      <c r="R33" s="1346">
        <v>13925</v>
      </c>
      <c r="S33" s="1346">
        <v>119543</v>
      </c>
      <c r="T33" s="1346">
        <v>62715</v>
      </c>
      <c r="U33" s="1346">
        <v>103221</v>
      </c>
      <c r="V33" s="1346">
        <v>17517</v>
      </c>
      <c r="W33" s="1346">
        <v>83721</v>
      </c>
      <c r="X33" s="1346">
        <v>139883</v>
      </c>
      <c r="Y33" s="1346">
        <v>194408</v>
      </c>
      <c r="Z33" s="1346">
        <v>583157</v>
      </c>
      <c r="AA33" s="1346">
        <v>294785</v>
      </c>
      <c r="AB33" s="1346">
        <v>129232</v>
      </c>
      <c r="AC33" s="1346">
        <v>140450</v>
      </c>
      <c r="AD33" s="1346">
        <v>172196</v>
      </c>
      <c r="AE33" s="1346">
        <v>709559</v>
      </c>
      <c r="AF33" s="1346">
        <v>298116</v>
      </c>
      <c r="AG33" s="1346">
        <v>180679</v>
      </c>
      <c r="AH33" s="1346">
        <v>220633</v>
      </c>
      <c r="AI33" s="1346">
        <v>429884</v>
      </c>
      <c r="AJ33" s="1346">
        <v>257492</v>
      </c>
      <c r="AK33" s="1346">
        <v>5008924</v>
      </c>
      <c r="AL33" s="1347">
        <v>38326</v>
      </c>
      <c r="AM33" s="1347"/>
      <c r="AN33" s="1383">
        <v>-1.4831608485668577</v>
      </c>
      <c r="AO33" s="740"/>
      <c r="AP33" s="1349">
        <v>45881</v>
      </c>
      <c r="AQ33" s="1384">
        <v>11.37516688918558</v>
      </c>
      <c r="AR33" s="1349">
        <v>1406977</v>
      </c>
      <c r="AS33" s="1384">
        <v>-7.1491076401629243</v>
      </c>
      <c r="AT33" s="1349">
        <v>3556066</v>
      </c>
      <c r="AU33" s="1384">
        <v>0.75088615786146895</v>
      </c>
      <c r="AV33" s="1385">
        <v>9.1465633630826257E-2</v>
      </c>
      <c r="AW33" s="1385">
        <v>-2.1145035332609989</v>
      </c>
      <c r="AX33" s="1385">
        <v>0.51730979259875975</v>
      </c>
      <c r="AY33" s="740"/>
      <c r="AZ33" s="1349">
        <v>1211082</v>
      </c>
      <c r="BA33" s="1384">
        <v>-8.7633257923153938</v>
      </c>
      <c r="BB33" s="1349">
        <v>3797842</v>
      </c>
      <c r="BC33" s="1384">
        <v>1.0424728606665303</v>
      </c>
      <c r="BD33" s="1385">
        <v>-2.2705377362581873</v>
      </c>
      <c r="BE33" s="1369">
        <v>0.76480962922677453</v>
      </c>
    </row>
    <row r="34" spans="1:57" hidden="1">
      <c r="A34" s="1355"/>
      <c r="B34" s="1356" t="s">
        <v>9928</v>
      </c>
      <c r="C34" s="1386">
        <v>4968874</v>
      </c>
      <c r="D34" s="1357">
        <v>12039</v>
      </c>
      <c r="E34" s="1358">
        <v>1212</v>
      </c>
      <c r="F34" s="1358">
        <v>3689</v>
      </c>
      <c r="G34" s="1358">
        <v>1389</v>
      </c>
      <c r="H34" s="1358">
        <v>1223660</v>
      </c>
      <c r="I34" s="1358">
        <v>182753</v>
      </c>
      <c r="J34" s="1358">
        <v>9879</v>
      </c>
      <c r="K34" s="1358">
        <v>23233</v>
      </c>
      <c r="L34" s="1358">
        <v>106929</v>
      </c>
      <c r="M34" s="1358">
        <v>8487</v>
      </c>
      <c r="N34" s="1358">
        <v>30664</v>
      </c>
      <c r="O34" s="1358">
        <v>116356</v>
      </c>
      <c r="P34" s="1358">
        <v>75387</v>
      </c>
      <c r="Q34" s="1358">
        <v>247970</v>
      </c>
      <c r="R34" s="1358">
        <v>14461</v>
      </c>
      <c r="S34" s="1358">
        <v>127105</v>
      </c>
      <c r="T34" s="1358">
        <v>71587</v>
      </c>
      <c r="U34" s="1358">
        <v>112055</v>
      </c>
      <c r="V34" s="1358">
        <v>17613</v>
      </c>
      <c r="W34" s="1358">
        <v>79181</v>
      </c>
      <c r="X34" s="1358">
        <v>156226</v>
      </c>
      <c r="Y34" s="1358">
        <v>211388</v>
      </c>
      <c r="Z34" s="1358">
        <v>519908</v>
      </c>
      <c r="AA34" s="1358">
        <v>294651</v>
      </c>
      <c r="AB34" s="1358">
        <v>136242</v>
      </c>
      <c r="AC34" s="1358">
        <v>145228</v>
      </c>
      <c r="AD34" s="1358">
        <v>174181</v>
      </c>
      <c r="AE34" s="1358">
        <v>727082</v>
      </c>
      <c r="AF34" s="1358">
        <v>296997</v>
      </c>
      <c r="AG34" s="1358">
        <v>160792</v>
      </c>
      <c r="AH34" s="1358">
        <v>215263</v>
      </c>
      <c r="AI34" s="1358">
        <v>418102</v>
      </c>
      <c r="AJ34" s="1358">
        <v>233096</v>
      </c>
      <c r="AK34" s="1358">
        <v>4931145</v>
      </c>
      <c r="AL34" s="1358">
        <v>37729</v>
      </c>
      <c r="AM34" s="1358"/>
      <c r="AN34" s="1387">
        <v>-1.1292492194511297</v>
      </c>
      <c r="AO34" s="740"/>
      <c r="AP34" s="1361">
        <v>16940</v>
      </c>
      <c r="AQ34" s="1388">
        <v>-6.5946184384649316</v>
      </c>
      <c r="AR34" s="1361">
        <v>1436437</v>
      </c>
      <c r="AS34" s="1388">
        <v>-3.9232984681899596</v>
      </c>
      <c r="AT34" s="1361">
        <v>3477768</v>
      </c>
      <c r="AU34" s="1388">
        <v>5.2762796992117798E-2</v>
      </c>
      <c r="AV34" s="1389">
        <v>-2.3798031675162954E-2</v>
      </c>
      <c r="AW34" s="1389">
        <v>-1.1671581471321351</v>
      </c>
      <c r="AX34" s="1389">
        <v>3.6492968304555902E-2</v>
      </c>
      <c r="AY34" s="740"/>
      <c r="AZ34" s="1361">
        <v>1223660</v>
      </c>
      <c r="BA34" s="1388">
        <v>-6.0371041557883096</v>
      </c>
      <c r="BB34" s="1361">
        <v>3707485</v>
      </c>
      <c r="BC34" s="1388">
        <v>0.55876452852869796</v>
      </c>
      <c r="BD34" s="1389">
        <v>-1.5643823163054442</v>
      </c>
      <c r="BE34" s="1377">
        <v>0.40991910580270235</v>
      </c>
    </row>
    <row r="35" spans="1:57" hidden="1">
      <c r="A35" s="1332" t="s">
        <v>9662</v>
      </c>
      <c r="B35" s="1390" t="s">
        <v>9918</v>
      </c>
      <c r="C35" s="1378">
        <v>5058473</v>
      </c>
      <c r="D35" s="1334">
        <v>9672</v>
      </c>
      <c r="E35" s="1335">
        <v>1331</v>
      </c>
      <c r="F35" s="1335">
        <v>3925</v>
      </c>
      <c r="G35" s="1335">
        <v>1710</v>
      </c>
      <c r="H35" s="1335">
        <v>1240017</v>
      </c>
      <c r="I35" s="1335">
        <v>193669</v>
      </c>
      <c r="J35" s="1335">
        <v>9584</v>
      </c>
      <c r="K35" s="1335">
        <v>24255</v>
      </c>
      <c r="L35" s="1335">
        <v>146442</v>
      </c>
      <c r="M35" s="1335">
        <v>6801</v>
      </c>
      <c r="N35" s="1335">
        <v>35752</v>
      </c>
      <c r="O35" s="1335">
        <v>116718</v>
      </c>
      <c r="P35" s="1335">
        <v>68330</v>
      </c>
      <c r="Q35" s="1335">
        <v>263950</v>
      </c>
      <c r="R35" s="1335">
        <v>20309</v>
      </c>
      <c r="S35" s="1335">
        <v>99400</v>
      </c>
      <c r="T35" s="1335">
        <v>63359</v>
      </c>
      <c r="U35" s="1335">
        <v>81631</v>
      </c>
      <c r="V35" s="1335">
        <v>15868</v>
      </c>
      <c r="W35" s="1335">
        <v>93949</v>
      </c>
      <c r="X35" s="1335">
        <v>160679</v>
      </c>
      <c r="Y35" s="1335">
        <v>170907</v>
      </c>
      <c r="Z35" s="1335">
        <v>545699</v>
      </c>
      <c r="AA35" s="1335">
        <v>272077</v>
      </c>
      <c r="AB35" s="1335">
        <v>137939</v>
      </c>
      <c r="AC35" s="1335">
        <v>148093</v>
      </c>
      <c r="AD35" s="1335">
        <v>179985</v>
      </c>
      <c r="AE35" s="1335">
        <v>720172</v>
      </c>
      <c r="AF35" s="1335">
        <v>312070</v>
      </c>
      <c r="AG35" s="1335">
        <v>173352</v>
      </c>
      <c r="AH35" s="1335">
        <v>224410</v>
      </c>
      <c r="AI35" s="1335">
        <v>450805</v>
      </c>
      <c r="AJ35" s="1335">
        <v>262304</v>
      </c>
      <c r="AK35" s="1335">
        <v>5015147</v>
      </c>
      <c r="AL35" s="1336">
        <v>43326</v>
      </c>
      <c r="AM35" s="1336"/>
      <c r="AN35" s="1379">
        <v>2.5065414717223198</v>
      </c>
      <c r="AO35" s="740"/>
      <c r="AP35" s="1338">
        <v>14928</v>
      </c>
      <c r="AQ35" s="1380">
        <v>-14.063669333947384</v>
      </c>
      <c r="AR35" s="1338">
        <v>1412634</v>
      </c>
      <c r="AS35" s="1380">
        <v>0.11232777883687951</v>
      </c>
      <c r="AT35" s="1338">
        <v>3587585</v>
      </c>
      <c r="AU35" s="1380">
        <v>3.4218189931868621</v>
      </c>
      <c r="AV35" s="1381">
        <v>-4.9505751013457382E-2</v>
      </c>
      <c r="AW35" s="1381">
        <v>3.2118958393913204E-2</v>
      </c>
      <c r="AX35" s="1381">
        <v>2.4053553579805071</v>
      </c>
      <c r="AY35" s="740"/>
      <c r="AZ35" s="1338">
        <v>1240017</v>
      </c>
      <c r="BA35" s="1380">
        <v>-1.344952192737497</v>
      </c>
      <c r="BB35" s="1338">
        <v>3775130</v>
      </c>
      <c r="BC35" s="1380">
        <v>3.7014227070550798</v>
      </c>
      <c r="BD35" s="1381">
        <v>-0.34256844898997013</v>
      </c>
      <c r="BE35" s="1373">
        <v>2.7305370143509329</v>
      </c>
    </row>
    <row r="36" spans="1:57" hidden="1">
      <c r="A36" s="1343">
        <v>-2013</v>
      </c>
      <c r="B36" s="1391" t="s">
        <v>9920</v>
      </c>
      <c r="C36" s="1382">
        <v>5053397</v>
      </c>
      <c r="D36" s="1345">
        <v>13428</v>
      </c>
      <c r="E36" s="1346">
        <v>1265</v>
      </c>
      <c r="F36" s="1346">
        <v>4621</v>
      </c>
      <c r="G36" s="1346">
        <v>1750</v>
      </c>
      <c r="H36" s="1346">
        <v>1260330</v>
      </c>
      <c r="I36" s="1346">
        <v>173765</v>
      </c>
      <c r="J36" s="1346">
        <v>9721</v>
      </c>
      <c r="K36" s="1346">
        <v>23787</v>
      </c>
      <c r="L36" s="1346">
        <v>145179</v>
      </c>
      <c r="M36" s="1346">
        <v>7532</v>
      </c>
      <c r="N36" s="1346">
        <v>31825</v>
      </c>
      <c r="O36" s="1346">
        <v>113319</v>
      </c>
      <c r="P36" s="1346">
        <v>71660</v>
      </c>
      <c r="Q36" s="1346">
        <v>295041</v>
      </c>
      <c r="R36" s="1346">
        <v>20977</v>
      </c>
      <c r="S36" s="1346">
        <v>108964</v>
      </c>
      <c r="T36" s="1346">
        <v>68453</v>
      </c>
      <c r="U36" s="1346">
        <v>88288</v>
      </c>
      <c r="V36" s="1346">
        <v>16496</v>
      </c>
      <c r="W36" s="1346">
        <v>85323</v>
      </c>
      <c r="X36" s="1346">
        <v>179300</v>
      </c>
      <c r="Y36" s="1346">
        <v>200640</v>
      </c>
      <c r="Z36" s="1346">
        <v>543898</v>
      </c>
      <c r="AA36" s="1346">
        <v>269763</v>
      </c>
      <c r="AB36" s="1346">
        <v>140667</v>
      </c>
      <c r="AC36" s="1346">
        <v>147071</v>
      </c>
      <c r="AD36" s="1346">
        <v>177113</v>
      </c>
      <c r="AE36" s="1346">
        <v>704379</v>
      </c>
      <c r="AF36" s="1346">
        <v>314338</v>
      </c>
      <c r="AG36" s="1346">
        <v>147309</v>
      </c>
      <c r="AH36" s="1346">
        <v>205189</v>
      </c>
      <c r="AI36" s="1346">
        <v>446698</v>
      </c>
      <c r="AJ36" s="1346">
        <v>252356</v>
      </c>
      <c r="AK36" s="1346">
        <v>5010115</v>
      </c>
      <c r="AL36" s="1347">
        <v>43282</v>
      </c>
      <c r="AM36" s="1347"/>
      <c r="AN36" s="1383">
        <v>3.6098788828420298</v>
      </c>
      <c r="AO36" s="740"/>
      <c r="AP36" s="1349">
        <v>19314</v>
      </c>
      <c r="AQ36" s="1384">
        <v>-14.604058893752486</v>
      </c>
      <c r="AR36" s="1349">
        <v>1462720</v>
      </c>
      <c r="AS36" s="1384">
        <v>5.1762668867905539</v>
      </c>
      <c r="AT36" s="1349">
        <v>3528081</v>
      </c>
      <c r="AU36" s="1384">
        <v>2.9511098505142184</v>
      </c>
      <c r="AV36" s="1385">
        <v>-6.7721464101256887E-2</v>
      </c>
      <c r="AW36" s="1385">
        <v>1.4759711649171301</v>
      </c>
      <c r="AX36" s="1385">
        <v>2.0735315861194104</v>
      </c>
      <c r="AY36" s="740"/>
      <c r="AZ36" s="1349">
        <v>1260330</v>
      </c>
      <c r="BA36" s="1384">
        <v>3.3621632792983713</v>
      </c>
      <c r="BB36" s="1349">
        <v>3749785</v>
      </c>
      <c r="BC36" s="1384">
        <v>3.5576723650586874</v>
      </c>
      <c r="BD36" s="1385">
        <v>0.84054167190285423</v>
      </c>
      <c r="BE36" s="1369">
        <v>2.6412396150324291</v>
      </c>
    </row>
    <row r="37" spans="1:57" hidden="1">
      <c r="A37" s="1354"/>
      <c r="B37" s="1391" t="s">
        <v>9921</v>
      </c>
      <c r="C37" s="1382">
        <v>5223637</v>
      </c>
      <c r="D37" s="1345">
        <v>33258</v>
      </c>
      <c r="E37" s="1346">
        <v>1322</v>
      </c>
      <c r="F37" s="1346">
        <v>5391</v>
      </c>
      <c r="G37" s="1346">
        <v>1764</v>
      </c>
      <c r="H37" s="1346">
        <v>1333778</v>
      </c>
      <c r="I37" s="1346">
        <v>201820</v>
      </c>
      <c r="J37" s="1346">
        <v>9880</v>
      </c>
      <c r="K37" s="1346">
        <v>24195</v>
      </c>
      <c r="L37" s="1346">
        <v>161214</v>
      </c>
      <c r="M37" s="1346">
        <v>7157</v>
      </c>
      <c r="N37" s="1346">
        <v>33411</v>
      </c>
      <c r="O37" s="1346">
        <v>122725</v>
      </c>
      <c r="P37" s="1346">
        <v>82093</v>
      </c>
      <c r="Q37" s="1346">
        <v>282234</v>
      </c>
      <c r="R37" s="1346">
        <v>20579</v>
      </c>
      <c r="S37" s="1346">
        <v>112454</v>
      </c>
      <c r="T37" s="1346">
        <v>60524</v>
      </c>
      <c r="U37" s="1346">
        <v>106809</v>
      </c>
      <c r="V37" s="1346">
        <v>15975</v>
      </c>
      <c r="W37" s="1346">
        <v>92708</v>
      </c>
      <c r="X37" s="1346">
        <v>165867</v>
      </c>
      <c r="Y37" s="1346">
        <v>222565</v>
      </c>
      <c r="Z37" s="1346">
        <v>605240</v>
      </c>
      <c r="AA37" s="1346">
        <v>275049</v>
      </c>
      <c r="AB37" s="1346">
        <v>138247</v>
      </c>
      <c r="AC37" s="1346">
        <v>144701</v>
      </c>
      <c r="AD37" s="1346">
        <v>177026</v>
      </c>
      <c r="AE37" s="1346">
        <v>697849</v>
      </c>
      <c r="AF37" s="1346">
        <v>309964</v>
      </c>
      <c r="AG37" s="1346">
        <v>169721</v>
      </c>
      <c r="AH37" s="1346">
        <v>208431</v>
      </c>
      <c r="AI37" s="1346">
        <v>439039</v>
      </c>
      <c r="AJ37" s="1346">
        <v>249685</v>
      </c>
      <c r="AK37" s="1346">
        <v>5178897</v>
      </c>
      <c r="AL37" s="1347">
        <v>44740</v>
      </c>
      <c r="AM37" s="1347"/>
      <c r="AN37" s="1383">
        <v>3.4947079321970165</v>
      </c>
      <c r="AO37" s="740"/>
      <c r="AP37" s="1349">
        <v>39971</v>
      </c>
      <c r="AQ37" s="1384">
        <v>-12.881149059523549</v>
      </c>
      <c r="AR37" s="1349">
        <v>1558107</v>
      </c>
      <c r="AS37" s="1384">
        <v>10.74146912138578</v>
      </c>
      <c r="AT37" s="1349">
        <v>3580819</v>
      </c>
      <c r="AU37" s="1384">
        <v>0.69607819427423456</v>
      </c>
      <c r="AV37" s="1385">
        <v>-0.11709346954955019</v>
      </c>
      <c r="AW37" s="1385">
        <v>2.9943039006807988</v>
      </c>
      <c r="AX37" s="1385">
        <v>0.49042549099154242</v>
      </c>
      <c r="AY37" s="740"/>
      <c r="AZ37" s="1349">
        <v>1333778</v>
      </c>
      <c r="BA37" s="1384">
        <v>10.131105903646491</v>
      </c>
      <c r="BB37" s="1349">
        <v>3845119</v>
      </c>
      <c r="BC37" s="1384">
        <v>1.2448385161889306</v>
      </c>
      <c r="BD37" s="1385">
        <v>2.4309476040358056</v>
      </c>
      <c r="BE37" s="1369">
        <v>0.93668831808698549</v>
      </c>
    </row>
    <row r="38" spans="1:57" hidden="1">
      <c r="A38" s="1355"/>
      <c r="B38" s="1392" t="s">
        <v>9929</v>
      </c>
      <c r="C38" s="1386">
        <v>5124514</v>
      </c>
      <c r="D38" s="1357">
        <v>11577</v>
      </c>
      <c r="E38" s="1358">
        <v>1356</v>
      </c>
      <c r="F38" s="1358">
        <v>3497</v>
      </c>
      <c r="G38" s="1358">
        <v>1825</v>
      </c>
      <c r="H38" s="1358">
        <v>1337028</v>
      </c>
      <c r="I38" s="1358">
        <v>180156</v>
      </c>
      <c r="J38" s="1358">
        <v>9138</v>
      </c>
      <c r="K38" s="1358">
        <v>21849</v>
      </c>
      <c r="L38" s="1358">
        <v>147603</v>
      </c>
      <c r="M38" s="1358">
        <v>7290</v>
      </c>
      <c r="N38" s="1358">
        <v>31962</v>
      </c>
      <c r="O38" s="1358">
        <v>121826</v>
      </c>
      <c r="P38" s="1358">
        <v>78627</v>
      </c>
      <c r="Q38" s="1358">
        <v>297412</v>
      </c>
      <c r="R38" s="1358">
        <v>20940</v>
      </c>
      <c r="S38" s="1358">
        <v>120726</v>
      </c>
      <c r="T38" s="1358">
        <v>95113</v>
      </c>
      <c r="U38" s="1358">
        <v>101347</v>
      </c>
      <c r="V38" s="1358">
        <v>14357</v>
      </c>
      <c r="W38" s="1358">
        <v>88682</v>
      </c>
      <c r="X38" s="1358">
        <v>183362</v>
      </c>
      <c r="Y38" s="1358">
        <v>230274</v>
      </c>
      <c r="Z38" s="1358">
        <v>559663</v>
      </c>
      <c r="AA38" s="1358">
        <v>279551</v>
      </c>
      <c r="AB38" s="1358">
        <v>131835</v>
      </c>
      <c r="AC38" s="1358">
        <v>140404</v>
      </c>
      <c r="AD38" s="1358">
        <v>176782</v>
      </c>
      <c r="AE38" s="1358">
        <v>696682</v>
      </c>
      <c r="AF38" s="1358">
        <v>308808</v>
      </c>
      <c r="AG38" s="1358">
        <v>150736</v>
      </c>
      <c r="AH38" s="1358">
        <v>206612</v>
      </c>
      <c r="AI38" s="1358">
        <v>421442</v>
      </c>
      <c r="AJ38" s="1358">
        <v>239189</v>
      </c>
      <c r="AK38" s="1358">
        <v>5080623</v>
      </c>
      <c r="AL38" s="1359">
        <v>43891</v>
      </c>
      <c r="AM38" s="1359"/>
      <c r="AN38" s="1387">
        <v>3.1323048182576909</v>
      </c>
      <c r="AO38" s="740"/>
      <c r="AP38" s="1361">
        <v>16430</v>
      </c>
      <c r="AQ38" s="1388">
        <v>-3.0106257378984651</v>
      </c>
      <c r="AR38" s="1361">
        <v>1569127</v>
      </c>
      <c r="AS38" s="1388">
        <v>9.2374395814087205</v>
      </c>
      <c r="AT38" s="1361">
        <v>3495066</v>
      </c>
      <c r="AU38" s="1388">
        <v>0.49738797987674849</v>
      </c>
      <c r="AV38" s="1389">
        <v>-1.0263895050337462E-2</v>
      </c>
      <c r="AW38" s="1389">
        <v>2.6704239886848584</v>
      </c>
      <c r="AX38" s="1389">
        <v>0.34812716976615182</v>
      </c>
      <c r="AY38" s="740"/>
      <c r="AZ38" s="1361">
        <v>1337028</v>
      </c>
      <c r="BA38" s="1388">
        <v>9.2646650213294546</v>
      </c>
      <c r="BB38" s="1361">
        <v>3743595</v>
      </c>
      <c r="BC38" s="1388">
        <v>0.9739756195911784</v>
      </c>
      <c r="BD38" s="1389">
        <v>2.2815632432679558</v>
      </c>
      <c r="BE38" s="1377">
        <v>0.7267240201327172</v>
      </c>
    </row>
    <row r="39" spans="1:57" hidden="1">
      <c r="A39" s="1332" t="s">
        <v>9663</v>
      </c>
      <c r="B39" s="1390" t="s">
        <v>9918</v>
      </c>
      <c r="C39" s="1378">
        <v>5049340</v>
      </c>
      <c r="D39" s="1334">
        <v>9458</v>
      </c>
      <c r="E39" s="1335">
        <v>1357</v>
      </c>
      <c r="F39" s="1335">
        <v>4235</v>
      </c>
      <c r="G39" s="1335">
        <v>1963</v>
      </c>
      <c r="H39" s="1335">
        <v>1308663</v>
      </c>
      <c r="I39" s="1335">
        <v>180225</v>
      </c>
      <c r="J39" s="1335">
        <v>11528</v>
      </c>
      <c r="K39" s="1335">
        <v>24493</v>
      </c>
      <c r="L39" s="1335">
        <v>175929</v>
      </c>
      <c r="M39" s="1335">
        <v>8415</v>
      </c>
      <c r="N39" s="1335">
        <v>29751</v>
      </c>
      <c r="O39" s="1335">
        <v>134418</v>
      </c>
      <c r="P39" s="1335">
        <v>72084</v>
      </c>
      <c r="Q39" s="1335">
        <v>255024</v>
      </c>
      <c r="R39" s="1335">
        <v>28808</v>
      </c>
      <c r="S39" s="1335">
        <v>112703</v>
      </c>
      <c r="T39" s="1335">
        <v>57244</v>
      </c>
      <c r="U39" s="1335">
        <v>112232</v>
      </c>
      <c r="V39" s="1335">
        <v>13865</v>
      </c>
      <c r="W39" s="1335">
        <v>91944</v>
      </c>
      <c r="X39" s="1335">
        <v>169302</v>
      </c>
      <c r="Y39" s="1335">
        <v>176582</v>
      </c>
      <c r="Z39" s="1335">
        <v>518245</v>
      </c>
      <c r="AA39" s="1335">
        <v>329300</v>
      </c>
      <c r="AB39" s="1335">
        <v>132757</v>
      </c>
      <c r="AC39" s="1335">
        <v>151190</v>
      </c>
      <c r="AD39" s="1335">
        <v>170913</v>
      </c>
      <c r="AE39" s="1335">
        <v>699942</v>
      </c>
      <c r="AF39" s="1335">
        <v>276482</v>
      </c>
      <c r="AG39" s="1335">
        <v>172160</v>
      </c>
      <c r="AH39" s="1335">
        <v>202348</v>
      </c>
      <c r="AI39" s="1335">
        <v>443674</v>
      </c>
      <c r="AJ39" s="1335">
        <v>228389</v>
      </c>
      <c r="AK39" s="1335">
        <v>4996960</v>
      </c>
      <c r="AL39" s="1336">
        <v>52380</v>
      </c>
      <c r="AM39" s="1336"/>
      <c r="AN39" s="1379">
        <v>-0.18054111632643491</v>
      </c>
      <c r="AO39" s="740"/>
      <c r="AP39" s="1338">
        <v>15050</v>
      </c>
      <c r="AQ39" s="1393">
        <v>0.81725616291532699</v>
      </c>
      <c r="AR39" s="1338">
        <v>1487208</v>
      </c>
      <c r="AS39" s="1393">
        <v>5.2790744099320843</v>
      </c>
      <c r="AT39" s="1338">
        <v>3494702</v>
      </c>
      <c r="AU39" s="1393">
        <v>-2.5890118282911763</v>
      </c>
      <c r="AV39" s="1381">
        <v>2.4117952533746424E-3</v>
      </c>
      <c r="AW39" s="1394">
        <v>1.4742395018455787</v>
      </c>
      <c r="AX39" s="1381">
        <v>-1.8361867091737456</v>
      </c>
      <c r="AY39" s="740"/>
      <c r="AZ39" s="1338">
        <v>1308663</v>
      </c>
      <c r="BA39" s="1393">
        <v>5.5358918466440379</v>
      </c>
      <c r="BB39" s="1338">
        <v>3688297</v>
      </c>
      <c r="BC39" s="1393">
        <v>-2.3001327106616198</v>
      </c>
      <c r="BD39" s="1381">
        <v>1.3570499751078338</v>
      </c>
      <c r="BE39" s="1369">
        <v>-1.7165853871826258</v>
      </c>
    </row>
    <row r="40" spans="1:57" hidden="1">
      <c r="A40" s="1343">
        <v>-2014</v>
      </c>
      <c r="B40" s="1391" t="s">
        <v>9920</v>
      </c>
      <c r="C40" s="1382">
        <v>5030464</v>
      </c>
      <c r="D40" s="1345">
        <v>12993</v>
      </c>
      <c r="E40" s="1346">
        <v>1294</v>
      </c>
      <c r="F40" s="1346">
        <v>5032</v>
      </c>
      <c r="G40" s="1346">
        <v>1940</v>
      </c>
      <c r="H40" s="1346">
        <v>1280026</v>
      </c>
      <c r="I40" s="1346">
        <v>164642</v>
      </c>
      <c r="J40" s="1346">
        <v>11340</v>
      </c>
      <c r="K40" s="1346">
        <v>24110</v>
      </c>
      <c r="L40" s="1346">
        <v>152238</v>
      </c>
      <c r="M40" s="1346">
        <v>9853</v>
      </c>
      <c r="N40" s="1346">
        <v>32021</v>
      </c>
      <c r="O40" s="1346">
        <v>134017</v>
      </c>
      <c r="P40" s="1346">
        <v>72528</v>
      </c>
      <c r="Q40" s="1346">
        <v>273032</v>
      </c>
      <c r="R40" s="1346">
        <v>29221</v>
      </c>
      <c r="S40" s="1346">
        <v>111249</v>
      </c>
      <c r="T40" s="1346">
        <v>62119</v>
      </c>
      <c r="U40" s="1346">
        <v>103513</v>
      </c>
      <c r="V40" s="1346">
        <v>15071</v>
      </c>
      <c r="W40" s="1346">
        <v>85072</v>
      </c>
      <c r="X40" s="1346">
        <v>179182</v>
      </c>
      <c r="Y40" s="1346">
        <v>202961</v>
      </c>
      <c r="Z40" s="1346">
        <v>542567</v>
      </c>
      <c r="AA40" s="1346">
        <v>328194</v>
      </c>
      <c r="AB40" s="1346">
        <v>126437</v>
      </c>
      <c r="AC40" s="1346">
        <v>133605</v>
      </c>
      <c r="AD40" s="1346">
        <v>170323</v>
      </c>
      <c r="AE40" s="1346">
        <v>697057</v>
      </c>
      <c r="AF40" s="1346">
        <v>281796</v>
      </c>
      <c r="AG40" s="1346">
        <v>149481</v>
      </c>
      <c r="AH40" s="1346">
        <v>196442</v>
      </c>
      <c r="AI40" s="1346">
        <v>440553</v>
      </c>
      <c r="AJ40" s="1346">
        <v>228397</v>
      </c>
      <c r="AK40" s="1346">
        <v>4978280</v>
      </c>
      <c r="AL40" s="1347">
        <v>52184</v>
      </c>
      <c r="AM40" s="1347"/>
      <c r="AN40" s="1383">
        <v>-0.45381583674741099</v>
      </c>
      <c r="AO40" s="740"/>
      <c r="AP40" s="1349">
        <v>19319</v>
      </c>
      <c r="AQ40" s="1393">
        <v>2.5887956922439677E-2</v>
      </c>
      <c r="AR40" s="1349">
        <v>1484927</v>
      </c>
      <c r="AS40" s="1393">
        <v>1.5181989717786042</v>
      </c>
      <c r="AT40" s="1349">
        <v>3474034</v>
      </c>
      <c r="AU40" s="1393">
        <v>-1.5319092730580732</v>
      </c>
      <c r="AV40" s="1385">
        <v>9.8943348372064761E-5</v>
      </c>
      <c r="AW40" s="1394">
        <v>0.43944698745968841</v>
      </c>
      <c r="AX40" s="1385">
        <v>-1.0695182298929966</v>
      </c>
      <c r="AY40" s="740"/>
      <c r="AZ40" s="1349">
        <v>1280026</v>
      </c>
      <c r="BA40" s="1393">
        <v>1.5627653074988295</v>
      </c>
      <c r="BB40" s="1349">
        <v>3698254</v>
      </c>
      <c r="BC40" s="1393">
        <v>-1.374238789690609</v>
      </c>
      <c r="BD40" s="1385">
        <v>0.3897576379072375</v>
      </c>
      <c r="BE40" s="1369">
        <v>-1.0197299369921737</v>
      </c>
    </row>
    <row r="41" spans="1:57" hidden="1">
      <c r="A41" s="1354"/>
      <c r="B41" s="1391" t="s">
        <v>9921</v>
      </c>
      <c r="C41" s="1382">
        <v>5298210</v>
      </c>
      <c r="D41" s="1345">
        <v>30135</v>
      </c>
      <c r="E41" s="1346">
        <v>1323</v>
      </c>
      <c r="F41" s="1346">
        <v>5647</v>
      </c>
      <c r="G41" s="1346">
        <v>2121</v>
      </c>
      <c r="H41" s="1346">
        <v>1367558</v>
      </c>
      <c r="I41" s="1346">
        <v>201689</v>
      </c>
      <c r="J41" s="1346">
        <v>11559</v>
      </c>
      <c r="K41" s="1346">
        <v>23664</v>
      </c>
      <c r="L41" s="1346">
        <v>151775</v>
      </c>
      <c r="M41" s="1346">
        <v>9060</v>
      </c>
      <c r="N41" s="1346">
        <v>33129</v>
      </c>
      <c r="O41" s="1346">
        <v>138765</v>
      </c>
      <c r="P41" s="1346">
        <v>81584</v>
      </c>
      <c r="Q41" s="1346">
        <v>266830</v>
      </c>
      <c r="R41" s="1346">
        <v>29432</v>
      </c>
      <c r="S41" s="1346">
        <v>130715</v>
      </c>
      <c r="T41" s="1346">
        <v>72646</v>
      </c>
      <c r="U41" s="1346">
        <v>113492</v>
      </c>
      <c r="V41" s="1346">
        <v>14060</v>
      </c>
      <c r="W41" s="1346">
        <v>89158</v>
      </c>
      <c r="X41" s="1346">
        <v>169597</v>
      </c>
      <c r="Y41" s="1346">
        <v>235982</v>
      </c>
      <c r="Z41" s="1346">
        <v>612412</v>
      </c>
      <c r="AA41" s="1346">
        <v>332721</v>
      </c>
      <c r="AB41" s="1346">
        <v>129671</v>
      </c>
      <c r="AC41" s="1346">
        <v>133733</v>
      </c>
      <c r="AD41" s="1346">
        <v>171869</v>
      </c>
      <c r="AE41" s="1346">
        <v>700378</v>
      </c>
      <c r="AF41" s="1346">
        <v>297498</v>
      </c>
      <c r="AG41" s="1346">
        <v>174879</v>
      </c>
      <c r="AH41" s="1346">
        <v>199174</v>
      </c>
      <c r="AI41" s="1346">
        <v>444217</v>
      </c>
      <c r="AJ41" s="1346">
        <v>234330</v>
      </c>
      <c r="AK41" s="1346">
        <v>5243245</v>
      </c>
      <c r="AL41" s="1347">
        <v>54965</v>
      </c>
      <c r="AM41" s="1347"/>
      <c r="AN41" s="1383">
        <v>1.4276134442636166</v>
      </c>
      <c r="AO41" s="740"/>
      <c r="AP41" s="1349">
        <v>37105</v>
      </c>
      <c r="AQ41" s="1393">
        <v>-7.1701983938355305</v>
      </c>
      <c r="AR41" s="1349">
        <v>1605661</v>
      </c>
      <c r="AS41" s="1393">
        <v>3.0520368626801622</v>
      </c>
      <c r="AT41" s="1349">
        <v>3600479</v>
      </c>
      <c r="AU41" s="1393">
        <v>0.54903640759278816</v>
      </c>
      <c r="AV41" s="1385">
        <v>-5.4865992084639485E-2</v>
      </c>
      <c r="AW41" s="1394">
        <v>0.91036196357046284</v>
      </c>
      <c r="AX41" s="1385">
        <v>0.37636615644941113</v>
      </c>
      <c r="AY41" s="740"/>
      <c r="AZ41" s="1349">
        <v>1367558</v>
      </c>
      <c r="BA41" s="1395">
        <v>2.5326553594376278</v>
      </c>
      <c r="BB41" s="1349">
        <v>3875687</v>
      </c>
      <c r="BC41" s="1395">
        <v>0.79498189782943007</v>
      </c>
      <c r="BD41" s="1385">
        <v>0.64667592903667892</v>
      </c>
      <c r="BE41" s="1369">
        <v>0.5851861988985555</v>
      </c>
    </row>
    <row r="42" spans="1:57" hidden="1">
      <c r="A42" s="1355"/>
      <c r="B42" s="1392" t="s">
        <v>9930</v>
      </c>
      <c r="C42" s="1386">
        <v>5263314</v>
      </c>
      <c r="D42" s="1357">
        <v>11392</v>
      </c>
      <c r="E42" s="1358">
        <v>1411</v>
      </c>
      <c r="F42" s="1358">
        <v>4448</v>
      </c>
      <c r="G42" s="1358">
        <v>2048</v>
      </c>
      <c r="H42" s="1358">
        <v>1430421</v>
      </c>
      <c r="I42" s="1358">
        <v>183893</v>
      </c>
      <c r="J42" s="1358">
        <v>10950</v>
      </c>
      <c r="K42" s="1358">
        <v>23104</v>
      </c>
      <c r="L42" s="1358">
        <v>156757</v>
      </c>
      <c r="M42" s="1358">
        <v>7299</v>
      </c>
      <c r="N42" s="1358">
        <v>34376</v>
      </c>
      <c r="O42" s="1358">
        <v>139517</v>
      </c>
      <c r="P42" s="1358">
        <v>79598</v>
      </c>
      <c r="Q42" s="1358">
        <v>306150</v>
      </c>
      <c r="R42" s="1358">
        <v>30982</v>
      </c>
      <c r="S42" s="1358">
        <v>147619</v>
      </c>
      <c r="T42" s="1358">
        <v>88230</v>
      </c>
      <c r="U42" s="1358">
        <v>119788</v>
      </c>
      <c r="V42" s="1358">
        <v>11864</v>
      </c>
      <c r="W42" s="1358">
        <v>90294</v>
      </c>
      <c r="X42" s="1358">
        <v>198156</v>
      </c>
      <c r="Y42" s="1358">
        <v>236125</v>
      </c>
      <c r="Z42" s="1358">
        <v>554353</v>
      </c>
      <c r="AA42" s="1358">
        <v>271409</v>
      </c>
      <c r="AB42" s="1358">
        <v>122633</v>
      </c>
      <c r="AC42" s="1358">
        <v>127928</v>
      </c>
      <c r="AD42" s="1358">
        <v>178327</v>
      </c>
      <c r="AE42" s="1358">
        <v>719954</v>
      </c>
      <c r="AF42" s="1358">
        <v>297419</v>
      </c>
      <c r="AG42" s="1358">
        <v>160483</v>
      </c>
      <c r="AH42" s="1358">
        <v>225730</v>
      </c>
      <c r="AI42" s="1358">
        <v>435753</v>
      </c>
      <c r="AJ42" s="1358">
        <v>230720</v>
      </c>
      <c r="AK42" s="1358">
        <v>5208710</v>
      </c>
      <c r="AL42" s="1359">
        <v>54604</v>
      </c>
      <c r="AM42" s="1359"/>
      <c r="AN42" s="1387">
        <v>2.708552214680342</v>
      </c>
      <c r="AO42" s="740"/>
      <c r="AP42" s="1361">
        <v>17251</v>
      </c>
      <c r="AQ42" s="1396">
        <v>4.9969567863664031</v>
      </c>
      <c r="AR42" s="1361">
        <v>1668594</v>
      </c>
      <c r="AS42" s="1397">
        <v>6.339002515411436</v>
      </c>
      <c r="AT42" s="1361">
        <v>3522865</v>
      </c>
      <c r="AU42" s="1397">
        <v>0.79537839914897179</v>
      </c>
      <c r="AV42" s="1389">
        <v>1.6021030977363553E-2</v>
      </c>
      <c r="AW42" s="1398">
        <v>1.941003517935957</v>
      </c>
      <c r="AX42" s="1389">
        <v>0.54247093805082758</v>
      </c>
      <c r="AY42" s="740"/>
      <c r="AZ42" s="1361">
        <v>1430421</v>
      </c>
      <c r="BA42" s="1396">
        <v>6.985119234600921</v>
      </c>
      <c r="BB42" s="1361">
        <v>3778289</v>
      </c>
      <c r="BC42" s="1396">
        <v>0.92675623297926191</v>
      </c>
      <c r="BD42" s="1389">
        <v>1.8224752083665221</v>
      </c>
      <c r="BE42" s="1377">
        <v>0.67702027859762626</v>
      </c>
    </row>
    <row r="43" spans="1:57" hidden="1">
      <c r="A43" s="1332" t="s">
        <v>9664</v>
      </c>
      <c r="B43" s="1390" t="s">
        <v>9918</v>
      </c>
      <c r="C43" s="1378">
        <v>5333182</v>
      </c>
      <c r="D43" s="1334">
        <v>10324</v>
      </c>
      <c r="E43" s="1335">
        <v>1357</v>
      </c>
      <c r="F43" s="1335">
        <v>4951</v>
      </c>
      <c r="G43" s="1335">
        <v>1935</v>
      </c>
      <c r="H43" s="1335">
        <v>1409821</v>
      </c>
      <c r="I43" s="1335">
        <v>184682</v>
      </c>
      <c r="J43" s="1335">
        <v>13038</v>
      </c>
      <c r="K43" s="1335">
        <v>26791</v>
      </c>
      <c r="L43" s="1335">
        <v>195643</v>
      </c>
      <c r="M43" s="1335">
        <v>8755</v>
      </c>
      <c r="N43" s="1335">
        <v>29405</v>
      </c>
      <c r="O43" s="1335">
        <v>141895</v>
      </c>
      <c r="P43" s="1335">
        <v>73138</v>
      </c>
      <c r="Q43" s="1335">
        <v>302792</v>
      </c>
      <c r="R43" s="1335">
        <v>18774</v>
      </c>
      <c r="S43" s="1335">
        <v>121883</v>
      </c>
      <c r="T43" s="1335">
        <v>57294</v>
      </c>
      <c r="U43" s="1335">
        <v>119977</v>
      </c>
      <c r="V43" s="1335">
        <v>15207</v>
      </c>
      <c r="W43" s="1335">
        <v>100547</v>
      </c>
      <c r="X43" s="1335">
        <v>228950</v>
      </c>
      <c r="Y43" s="1335">
        <v>193180</v>
      </c>
      <c r="Z43" s="1335">
        <v>546206</v>
      </c>
      <c r="AA43" s="1335">
        <v>323094</v>
      </c>
      <c r="AB43" s="1335">
        <v>125621</v>
      </c>
      <c r="AC43" s="1335">
        <v>145005</v>
      </c>
      <c r="AD43" s="1335">
        <v>172729</v>
      </c>
      <c r="AE43" s="1335">
        <v>705426</v>
      </c>
      <c r="AF43" s="1335">
        <v>322845</v>
      </c>
      <c r="AG43" s="1335">
        <v>173855</v>
      </c>
      <c r="AH43" s="1335">
        <v>212766</v>
      </c>
      <c r="AI43" s="1335">
        <v>462261</v>
      </c>
      <c r="AJ43" s="1335">
        <v>245899</v>
      </c>
      <c r="AK43" s="1335">
        <v>5286225</v>
      </c>
      <c r="AL43" s="1336">
        <v>46957</v>
      </c>
      <c r="AM43" s="1336"/>
      <c r="AN43" s="1379">
        <v>5.6213728362574935</v>
      </c>
      <c r="AO43" s="740"/>
      <c r="AP43" s="1338">
        <v>16632</v>
      </c>
      <c r="AQ43" s="1393">
        <v>10.511627906976745</v>
      </c>
      <c r="AR43" s="1338">
        <v>1604936</v>
      </c>
      <c r="AS43" s="1393">
        <v>7.9160413338282209</v>
      </c>
      <c r="AT43" s="1338">
        <v>3664657</v>
      </c>
      <c r="AU43" s="1393">
        <v>4.8632186664270662</v>
      </c>
      <c r="AV43" s="1381">
        <v>3.1330828066406753E-2</v>
      </c>
      <c r="AW43" s="1394">
        <v>2.3315522924158878</v>
      </c>
      <c r="AX43" s="1381">
        <v>3.365885514555095</v>
      </c>
      <c r="AY43" s="740"/>
      <c r="AZ43" s="1338">
        <v>1409821</v>
      </c>
      <c r="BA43" s="1393">
        <v>7.7298739247613781</v>
      </c>
      <c r="BB43" s="1338">
        <v>3876404</v>
      </c>
      <c r="BC43" s="1393">
        <v>5.1001044655568677</v>
      </c>
      <c r="BD43" s="1381">
        <v>2.0033905850452434</v>
      </c>
      <c r="BE43" s="1369">
        <v>3.7253780499921465</v>
      </c>
    </row>
    <row r="44" spans="1:57" hidden="1">
      <c r="A44" s="1343">
        <v>-2015</v>
      </c>
      <c r="B44" s="1391" t="s">
        <v>9920</v>
      </c>
      <c r="C44" s="1382">
        <v>5316257</v>
      </c>
      <c r="D44" s="1345">
        <v>14421</v>
      </c>
      <c r="E44" s="1346">
        <v>1314</v>
      </c>
      <c r="F44" s="1346">
        <v>6066</v>
      </c>
      <c r="G44" s="1346">
        <v>1905</v>
      </c>
      <c r="H44" s="1346">
        <v>1407833</v>
      </c>
      <c r="I44" s="1346">
        <v>169884</v>
      </c>
      <c r="J44" s="1346">
        <v>13106</v>
      </c>
      <c r="K44" s="1346">
        <v>27175</v>
      </c>
      <c r="L44" s="1346">
        <v>178525</v>
      </c>
      <c r="M44" s="1346">
        <v>8966</v>
      </c>
      <c r="N44" s="1346">
        <v>32014</v>
      </c>
      <c r="O44" s="1346">
        <v>134549</v>
      </c>
      <c r="P44" s="1346">
        <v>75965</v>
      </c>
      <c r="Q44" s="1346">
        <v>314808</v>
      </c>
      <c r="R44" s="1346">
        <v>19180</v>
      </c>
      <c r="S44" s="1346">
        <v>136413</v>
      </c>
      <c r="T44" s="1346">
        <v>59880</v>
      </c>
      <c r="U44" s="1346">
        <v>124565</v>
      </c>
      <c r="V44" s="1346">
        <v>16711</v>
      </c>
      <c r="W44" s="1346">
        <v>96092</v>
      </c>
      <c r="X44" s="1346">
        <v>230774</v>
      </c>
      <c r="Y44" s="1346">
        <v>204378</v>
      </c>
      <c r="Z44" s="1346">
        <v>547355</v>
      </c>
      <c r="AA44" s="1346">
        <v>327963</v>
      </c>
      <c r="AB44" s="1346">
        <v>131285</v>
      </c>
      <c r="AC44" s="1346">
        <v>139579</v>
      </c>
      <c r="AD44" s="1346">
        <v>172145</v>
      </c>
      <c r="AE44" s="1346">
        <v>702017</v>
      </c>
      <c r="AF44" s="1346">
        <v>317820</v>
      </c>
      <c r="AG44" s="1346">
        <v>150900</v>
      </c>
      <c r="AH44" s="1346">
        <v>210514</v>
      </c>
      <c r="AI44" s="1346">
        <v>467971</v>
      </c>
      <c r="AJ44" s="1346">
        <v>235208</v>
      </c>
      <c r="AK44" s="1346">
        <v>5269448</v>
      </c>
      <c r="AL44" s="1347">
        <v>46809</v>
      </c>
      <c r="AM44" s="1347"/>
      <c r="AN44" s="1383">
        <v>5.6812490386291046</v>
      </c>
      <c r="AO44" s="740"/>
      <c r="AP44" s="1349">
        <v>21801</v>
      </c>
      <c r="AQ44" s="1393">
        <v>12.847455872457166</v>
      </c>
      <c r="AR44" s="1349">
        <v>1614116</v>
      </c>
      <c r="AS44" s="1393">
        <v>8.7000236375256161</v>
      </c>
      <c r="AT44" s="1349">
        <v>3633531</v>
      </c>
      <c r="AU44" s="1393">
        <v>4.5911179913610516</v>
      </c>
      <c r="AV44" s="1385">
        <v>4.933938808879415E-2</v>
      </c>
      <c r="AW44" s="1394">
        <v>2.568133041016611</v>
      </c>
      <c r="AX44" s="1385">
        <v>3.1706222328760685</v>
      </c>
      <c r="AY44" s="740"/>
      <c r="AZ44" s="1349">
        <v>1407833</v>
      </c>
      <c r="BA44" s="1393">
        <v>9.9847190603940863</v>
      </c>
      <c r="BB44" s="1349">
        <v>3861615</v>
      </c>
      <c r="BC44" s="1393">
        <v>4.4172466250290006</v>
      </c>
      <c r="BD44" s="1385">
        <v>2.5406604244417865</v>
      </c>
      <c r="BE44" s="1369">
        <v>3.2474342375396867</v>
      </c>
    </row>
    <row r="45" spans="1:57" hidden="1">
      <c r="A45" s="1354"/>
      <c r="B45" s="1391" t="s">
        <v>9921</v>
      </c>
      <c r="C45" s="1382">
        <v>5518040</v>
      </c>
      <c r="D45" s="1345">
        <v>35583</v>
      </c>
      <c r="E45" s="1346">
        <v>1416</v>
      </c>
      <c r="F45" s="1346">
        <v>6818</v>
      </c>
      <c r="G45" s="1346">
        <v>1995</v>
      </c>
      <c r="H45" s="1346">
        <v>1438730</v>
      </c>
      <c r="I45" s="1346">
        <v>203938</v>
      </c>
      <c r="J45" s="1346">
        <v>13857</v>
      </c>
      <c r="K45" s="1346">
        <v>27910</v>
      </c>
      <c r="L45" s="1346">
        <v>182204</v>
      </c>
      <c r="M45" s="1346">
        <v>8205</v>
      </c>
      <c r="N45" s="1346">
        <v>37107</v>
      </c>
      <c r="O45" s="1346">
        <v>135938</v>
      </c>
      <c r="P45" s="1346">
        <v>87542</v>
      </c>
      <c r="Q45" s="1346">
        <v>276478</v>
      </c>
      <c r="R45" s="1346">
        <v>18513</v>
      </c>
      <c r="S45" s="1346">
        <v>133699</v>
      </c>
      <c r="T45" s="1346">
        <v>50129</v>
      </c>
      <c r="U45" s="1346">
        <v>144029</v>
      </c>
      <c r="V45" s="1346">
        <v>15635</v>
      </c>
      <c r="W45" s="1346">
        <v>103546</v>
      </c>
      <c r="X45" s="1346">
        <v>216790</v>
      </c>
      <c r="Y45" s="1346">
        <v>227444</v>
      </c>
      <c r="Z45" s="1346">
        <v>611104</v>
      </c>
      <c r="AA45" s="1346">
        <v>325230</v>
      </c>
      <c r="AB45" s="1346">
        <v>134293</v>
      </c>
      <c r="AC45" s="1346">
        <v>137939</v>
      </c>
      <c r="AD45" s="1346">
        <v>176059</v>
      </c>
      <c r="AE45" s="1346">
        <v>716525</v>
      </c>
      <c r="AF45" s="1346">
        <v>327206</v>
      </c>
      <c r="AG45" s="1346">
        <v>180284</v>
      </c>
      <c r="AH45" s="1346">
        <v>215884</v>
      </c>
      <c r="AI45" s="1346">
        <v>478074</v>
      </c>
      <c r="AJ45" s="1346">
        <v>238083</v>
      </c>
      <c r="AK45" s="1346">
        <v>5469457</v>
      </c>
      <c r="AL45" s="1347">
        <v>48583</v>
      </c>
      <c r="AM45" s="1347"/>
      <c r="AN45" s="1383">
        <v>4.1491487010353252</v>
      </c>
      <c r="AO45" s="740"/>
      <c r="AP45" s="1349">
        <v>43817</v>
      </c>
      <c r="AQ45" s="1393">
        <v>18.089206306427705</v>
      </c>
      <c r="AR45" s="1349">
        <v>1668169</v>
      </c>
      <c r="AS45" s="1393">
        <v>3.8929761637107707</v>
      </c>
      <c r="AT45" s="1349">
        <v>3757471</v>
      </c>
      <c r="AU45" s="1393">
        <v>4.3603087255890118</v>
      </c>
      <c r="AV45" s="1385">
        <v>0.12668429865754435</v>
      </c>
      <c r="AW45" s="1394">
        <v>1.1797947169972858</v>
      </c>
      <c r="AX45" s="1385">
        <v>2.963114036776699</v>
      </c>
      <c r="AY45" s="740"/>
      <c r="AZ45" s="1349">
        <v>1438730</v>
      </c>
      <c r="BA45" s="1395">
        <v>5.204313089463116</v>
      </c>
      <c r="BB45" s="1349">
        <v>4030727</v>
      </c>
      <c r="BC45" s="1395">
        <v>4.0003230395024163</v>
      </c>
      <c r="BD45" s="1385">
        <v>1.3433216483990982</v>
      </c>
      <c r="BE45" s="1369">
        <v>2.9262714040324314</v>
      </c>
    </row>
    <row r="46" spans="1:57" hidden="1">
      <c r="A46" s="1355"/>
      <c r="B46" s="1392" t="s">
        <v>9931</v>
      </c>
      <c r="C46" s="1386">
        <v>5452141</v>
      </c>
      <c r="D46" s="1357">
        <v>12246</v>
      </c>
      <c r="E46" s="1358">
        <v>1426</v>
      </c>
      <c r="F46" s="1358">
        <v>5499</v>
      </c>
      <c r="G46" s="1358">
        <v>1680</v>
      </c>
      <c r="H46" s="1358">
        <v>1494480</v>
      </c>
      <c r="I46" s="1358">
        <v>181952</v>
      </c>
      <c r="J46" s="1358">
        <v>12441</v>
      </c>
      <c r="K46" s="1358">
        <v>26425</v>
      </c>
      <c r="L46" s="1358">
        <v>187752</v>
      </c>
      <c r="M46" s="1358">
        <v>7062</v>
      </c>
      <c r="N46" s="1358">
        <v>33952</v>
      </c>
      <c r="O46" s="1358">
        <v>131918</v>
      </c>
      <c r="P46" s="1358">
        <v>81644</v>
      </c>
      <c r="Q46" s="1358">
        <v>326560</v>
      </c>
      <c r="R46" s="1358">
        <v>17414</v>
      </c>
      <c r="S46" s="1358">
        <v>146944</v>
      </c>
      <c r="T46" s="1358">
        <v>83662</v>
      </c>
      <c r="U46" s="1358">
        <v>144240</v>
      </c>
      <c r="V46" s="1358">
        <v>14045</v>
      </c>
      <c r="W46" s="1358">
        <v>98469</v>
      </c>
      <c r="X46" s="1358">
        <v>242019</v>
      </c>
      <c r="Y46" s="1358">
        <v>239786</v>
      </c>
      <c r="Z46" s="1358">
        <v>539115</v>
      </c>
      <c r="AA46" s="1358">
        <v>314098</v>
      </c>
      <c r="AB46" s="1358">
        <v>130565</v>
      </c>
      <c r="AC46" s="1358">
        <v>137504</v>
      </c>
      <c r="AD46" s="1358">
        <v>176766</v>
      </c>
      <c r="AE46" s="1358">
        <v>714085</v>
      </c>
      <c r="AF46" s="1358">
        <v>324955</v>
      </c>
      <c r="AG46" s="1358">
        <v>161744</v>
      </c>
      <c r="AH46" s="1358">
        <v>208521</v>
      </c>
      <c r="AI46" s="1358">
        <v>474637</v>
      </c>
      <c r="AJ46" s="1358">
        <v>225013</v>
      </c>
      <c r="AK46" s="1358">
        <v>5404139</v>
      </c>
      <c r="AL46" s="1359">
        <v>48002</v>
      </c>
      <c r="AM46" s="1359"/>
      <c r="AN46" s="1387">
        <v>3.5876095619935571</v>
      </c>
      <c r="AO46" s="740"/>
      <c r="AP46" s="1361">
        <v>19171</v>
      </c>
      <c r="AQ46" s="1396">
        <v>11.129789577415803</v>
      </c>
      <c r="AR46" s="1361">
        <v>1735946</v>
      </c>
      <c r="AS46" s="1397">
        <v>4.0364522466220061</v>
      </c>
      <c r="AT46" s="1361">
        <v>3649022</v>
      </c>
      <c r="AU46" s="1397">
        <v>3.5810909586373589</v>
      </c>
      <c r="AV46" s="1389">
        <v>3.6478915988780287E-2</v>
      </c>
      <c r="AW46" s="1398">
        <v>1.2796499737897553</v>
      </c>
      <c r="AX46" s="1389">
        <v>2.3969117731232057</v>
      </c>
      <c r="AY46" s="740"/>
      <c r="AZ46" s="1361">
        <v>1494480</v>
      </c>
      <c r="BA46" s="1396">
        <v>4.4783319036842997</v>
      </c>
      <c r="BB46" s="1361">
        <v>3909659</v>
      </c>
      <c r="BC46" s="1396">
        <v>3.4769706605291439</v>
      </c>
      <c r="BD46" s="1389">
        <v>1.2170848329819148</v>
      </c>
      <c r="BE46" s="1377">
        <v>2.4959558299198261</v>
      </c>
    </row>
    <row r="47" spans="1:57" hidden="1">
      <c r="A47" s="1332" t="s">
        <v>9665</v>
      </c>
      <c r="B47" s="1390" t="s">
        <v>9918</v>
      </c>
      <c r="C47" s="1378">
        <v>5382487</v>
      </c>
      <c r="D47" s="1346">
        <v>11484</v>
      </c>
      <c r="E47" s="1346">
        <v>1436</v>
      </c>
      <c r="F47" s="1346">
        <v>5882</v>
      </c>
      <c r="G47" s="1346">
        <v>1247</v>
      </c>
      <c r="H47" s="1346">
        <v>1427450</v>
      </c>
      <c r="I47" s="1346">
        <v>202882</v>
      </c>
      <c r="J47" s="1346">
        <v>12927</v>
      </c>
      <c r="K47" s="1346">
        <v>27295</v>
      </c>
      <c r="L47" s="1346">
        <v>216171</v>
      </c>
      <c r="M47" s="1346">
        <v>8797</v>
      </c>
      <c r="N47" s="1346">
        <v>30709</v>
      </c>
      <c r="O47" s="1346">
        <v>131593</v>
      </c>
      <c r="P47" s="1346">
        <v>73995</v>
      </c>
      <c r="Q47" s="1346">
        <v>279419</v>
      </c>
      <c r="R47" s="1346">
        <v>25357</v>
      </c>
      <c r="S47" s="1346">
        <v>122815</v>
      </c>
      <c r="T47" s="1346">
        <v>34211</v>
      </c>
      <c r="U47" s="1346">
        <v>141764</v>
      </c>
      <c r="V47" s="1346">
        <v>15098</v>
      </c>
      <c r="W47" s="1346">
        <v>104417</v>
      </c>
      <c r="X47" s="1346">
        <v>232724</v>
      </c>
      <c r="Y47" s="1346">
        <v>209455</v>
      </c>
      <c r="Z47" s="1346">
        <v>546438</v>
      </c>
      <c r="AA47" s="1346">
        <v>270886</v>
      </c>
      <c r="AB47" s="1346">
        <v>141237</v>
      </c>
      <c r="AC47" s="1346">
        <v>142424</v>
      </c>
      <c r="AD47" s="1346">
        <v>165577</v>
      </c>
      <c r="AE47" s="1346">
        <v>714125</v>
      </c>
      <c r="AF47" s="1346">
        <v>347455</v>
      </c>
      <c r="AG47" s="1346">
        <v>181471</v>
      </c>
      <c r="AH47" s="1346">
        <v>232000</v>
      </c>
      <c r="AI47" s="1346">
        <v>469675</v>
      </c>
      <c r="AJ47" s="1346">
        <v>241363</v>
      </c>
      <c r="AK47" s="1346">
        <v>5342329</v>
      </c>
      <c r="AL47" s="1346">
        <v>40158</v>
      </c>
      <c r="AM47" s="1346"/>
      <c r="AN47" s="1379">
        <v>0.92449252883463962</v>
      </c>
      <c r="AO47" s="740"/>
      <c r="AP47" s="1338">
        <v>18802</v>
      </c>
      <c r="AQ47" s="1380">
        <v>13.047138047138047</v>
      </c>
      <c r="AR47" s="1338">
        <v>1638152</v>
      </c>
      <c r="AS47" s="1380">
        <v>2.0696152369938736</v>
      </c>
      <c r="AT47" s="1338">
        <v>3685375</v>
      </c>
      <c r="AU47" s="1380">
        <v>0.56534622476264496</v>
      </c>
      <c r="AV47" s="1381">
        <v>4.0688653679012365E-2</v>
      </c>
      <c r="AW47" s="1381">
        <v>0.62281765926362886</v>
      </c>
      <c r="AX47" s="1381">
        <v>0.38847351471049685</v>
      </c>
      <c r="AY47" s="740"/>
      <c r="AZ47" s="1338">
        <v>1427450</v>
      </c>
      <c r="BA47" s="1380">
        <v>1.2504424320534309</v>
      </c>
      <c r="BB47" s="1338">
        <v>3914879</v>
      </c>
      <c r="BC47" s="1380">
        <v>0.9925436048461409</v>
      </c>
      <c r="BD47" s="1381">
        <v>0.33055312244576446</v>
      </c>
      <c r="BE47" s="1373">
        <v>0.72142670520737362</v>
      </c>
    </row>
    <row r="48" spans="1:57" hidden="1">
      <c r="A48" s="1343">
        <v>-2016</v>
      </c>
      <c r="B48" s="1391" t="s">
        <v>9920</v>
      </c>
      <c r="C48" s="1382">
        <v>5347660</v>
      </c>
      <c r="D48" s="1346">
        <v>15425</v>
      </c>
      <c r="E48" s="1346">
        <v>1349</v>
      </c>
      <c r="F48" s="1346">
        <v>7173</v>
      </c>
      <c r="G48" s="1346">
        <v>1513</v>
      </c>
      <c r="H48" s="1346">
        <v>1381622</v>
      </c>
      <c r="I48" s="1346">
        <v>176075</v>
      </c>
      <c r="J48" s="1346">
        <v>12293</v>
      </c>
      <c r="K48" s="1346">
        <v>27365</v>
      </c>
      <c r="L48" s="1346">
        <v>191060</v>
      </c>
      <c r="M48" s="1346">
        <v>9052</v>
      </c>
      <c r="N48" s="1346">
        <v>31085</v>
      </c>
      <c r="O48" s="1346">
        <v>127936</v>
      </c>
      <c r="P48" s="1346">
        <v>72440</v>
      </c>
      <c r="Q48" s="1346">
        <v>287062</v>
      </c>
      <c r="R48" s="1346">
        <v>26994</v>
      </c>
      <c r="S48" s="1346">
        <v>125108</v>
      </c>
      <c r="T48" s="1346">
        <v>39141</v>
      </c>
      <c r="U48" s="1346">
        <v>141728</v>
      </c>
      <c r="V48" s="1346">
        <v>16304</v>
      </c>
      <c r="W48" s="1346">
        <v>97979</v>
      </c>
      <c r="X48" s="1346">
        <v>242665</v>
      </c>
      <c r="Y48" s="1346">
        <v>225925</v>
      </c>
      <c r="Z48" s="1346">
        <v>545075</v>
      </c>
      <c r="AA48" s="1346">
        <v>314589</v>
      </c>
      <c r="AB48" s="1346">
        <v>148436</v>
      </c>
      <c r="AC48" s="1346">
        <v>137658</v>
      </c>
      <c r="AD48" s="1346">
        <v>164342</v>
      </c>
      <c r="AE48" s="1346">
        <v>702795</v>
      </c>
      <c r="AF48" s="1346">
        <v>339547</v>
      </c>
      <c r="AG48" s="1346">
        <v>155279</v>
      </c>
      <c r="AH48" s="1346">
        <v>225124</v>
      </c>
      <c r="AI48" s="1346">
        <v>471484</v>
      </c>
      <c r="AJ48" s="1346">
        <v>227763</v>
      </c>
      <c r="AK48" s="1346">
        <v>5307764</v>
      </c>
      <c r="AL48" s="1346">
        <v>39896</v>
      </c>
      <c r="AM48" s="1346"/>
      <c r="AN48" s="1383">
        <v>0.59069184639820249</v>
      </c>
      <c r="AO48" s="740"/>
      <c r="AP48" s="1349">
        <v>23947</v>
      </c>
      <c r="AQ48" s="1384">
        <v>9.8435851566441919</v>
      </c>
      <c r="AR48" s="1349">
        <v>1609060</v>
      </c>
      <c r="AS48" s="1384">
        <v>-0.31323647123255083</v>
      </c>
      <c r="AT48" s="1349">
        <v>3674757</v>
      </c>
      <c r="AU48" s="1384">
        <v>1.1345988241190181</v>
      </c>
      <c r="AV48" s="1385">
        <v>4.0366747860675574E-2</v>
      </c>
      <c r="AW48" s="1385">
        <v>-9.5104509405207691E-2</v>
      </c>
      <c r="AX48" s="1385">
        <v>0.77547043210820654</v>
      </c>
      <c r="AY48" s="740"/>
      <c r="AZ48" s="1349">
        <v>1381622</v>
      </c>
      <c r="BA48" s="1384">
        <v>-1.8617975285420929</v>
      </c>
      <c r="BB48" s="1349">
        <v>3926142</v>
      </c>
      <c r="BC48" s="1384">
        <v>1.6709848081696388</v>
      </c>
      <c r="BD48" s="1385">
        <v>-0.49303486867482177</v>
      </c>
      <c r="BE48" s="1369">
        <v>1.2137675392384963</v>
      </c>
    </row>
    <row r="49" spans="1:57" hidden="1">
      <c r="A49" s="1354"/>
      <c r="B49" s="1391" t="s">
        <v>9921</v>
      </c>
      <c r="C49" s="1382">
        <v>5599027</v>
      </c>
      <c r="D49" s="1346">
        <v>40599</v>
      </c>
      <c r="E49" s="1346">
        <v>1377</v>
      </c>
      <c r="F49" s="1346">
        <v>8212</v>
      </c>
      <c r="G49" s="1346">
        <v>1566</v>
      </c>
      <c r="H49" s="1346">
        <v>1441676</v>
      </c>
      <c r="I49" s="1346">
        <v>217415</v>
      </c>
      <c r="J49" s="1346">
        <v>12726</v>
      </c>
      <c r="K49" s="1346">
        <v>27643</v>
      </c>
      <c r="L49" s="1346">
        <v>195109</v>
      </c>
      <c r="M49" s="1346">
        <v>9788</v>
      </c>
      <c r="N49" s="1346">
        <v>32646</v>
      </c>
      <c r="O49" s="1346">
        <v>131047</v>
      </c>
      <c r="P49" s="1346">
        <v>81184</v>
      </c>
      <c r="Q49" s="1346">
        <v>274790</v>
      </c>
      <c r="R49" s="1346">
        <v>24574</v>
      </c>
      <c r="S49" s="1346">
        <v>126666</v>
      </c>
      <c r="T49" s="1346">
        <v>46491</v>
      </c>
      <c r="U49" s="1346">
        <v>144500</v>
      </c>
      <c r="V49" s="1346">
        <v>15731</v>
      </c>
      <c r="W49" s="1346">
        <v>101366</v>
      </c>
      <c r="X49" s="1346">
        <v>221873</v>
      </c>
      <c r="Y49" s="1346">
        <v>254669</v>
      </c>
      <c r="Z49" s="1346">
        <v>605936</v>
      </c>
      <c r="AA49" s="1346">
        <v>319274</v>
      </c>
      <c r="AB49" s="1346">
        <v>148505</v>
      </c>
      <c r="AC49" s="1346">
        <v>140611</v>
      </c>
      <c r="AD49" s="1346">
        <v>166113</v>
      </c>
      <c r="AE49" s="1346">
        <v>709254</v>
      </c>
      <c r="AF49" s="1346">
        <v>345680</v>
      </c>
      <c r="AG49" s="1346">
        <v>181578</v>
      </c>
      <c r="AH49" s="1346">
        <v>204925</v>
      </c>
      <c r="AI49" s="1346">
        <v>529827</v>
      </c>
      <c r="AJ49" s="1346">
        <v>235579</v>
      </c>
      <c r="AK49" s="1346">
        <v>5557254</v>
      </c>
      <c r="AL49" s="1346">
        <v>41773</v>
      </c>
      <c r="AM49" s="1346"/>
      <c r="AN49" s="1383">
        <v>1.4676599023264423</v>
      </c>
      <c r="AO49" s="740"/>
      <c r="AP49" s="1349">
        <v>50188</v>
      </c>
      <c r="AQ49" s="1384">
        <v>14.540018714197686</v>
      </c>
      <c r="AR49" s="1349">
        <v>1697911</v>
      </c>
      <c r="AS49" s="1384">
        <v>1.7829128823278695</v>
      </c>
      <c r="AT49" s="1349">
        <v>3809155</v>
      </c>
      <c r="AU49" s="1384">
        <v>1.3754996379213573</v>
      </c>
      <c r="AV49" s="1385">
        <v>0.11545765280541279</v>
      </c>
      <c r="AW49" s="1385">
        <v>0.53899568509473972</v>
      </c>
      <c r="AX49" s="1385">
        <v>0.93663684313215412</v>
      </c>
      <c r="AY49" s="740"/>
      <c r="AZ49" s="1349">
        <v>1441676</v>
      </c>
      <c r="BA49" s="1384">
        <v>0.20476392373829697</v>
      </c>
      <c r="BB49" s="1349">
        <v>4115578</v>
      </c>
      <c r="BC49" s="1384">
        <v>2.1051041164534339</v>
      </c>
      <c r="BD49" s="1385">
        <v>5.3388517527035953E-2</v>
      </c>
      <c r="BE49" s="1369">
        <v>1.5377016635052707</v>
      </c>
    </row>
    <row r="50" spans="1:57" hidden="1">
      <c r="A50" s="1355"/>
      <c r="B50" s="1392" t="s">
        <v>9932</v>
      </c>
      <c r="C50" s="1386">
        <v>5486126</v>
      </c>
      <c r="D50" s="1358">
        <v>12692</v>
      </c>
      <c r="E50" s="1358">
        <v>1353</v>
      </c>
      <c r="F50" s="1358">
        <v>5600</v>
      </c>
      <c r="G50" s="1358">
        <v>1583</v>
      </c>
      <c r="H50" s="1358">
        <v>1506097</v>
      </c>
      <c r="I50" s="1358">
        <v>194383</v>
      </c>
      <c r="J50" s="1358">
        <v>11861</v>
      </c>
      <c r="K50" s="1358">
        <v>26526</v>
      </c>
      <c r="L50" s="1358">
        <v>209792</v>
      </c>
      <c r="M50" s="1358">
        <v>10704</v>
      </c>
      <c r="N50" s="1358">
        <v>31058</v>
      </c>
      <c r="O50" s="1358">
        <v>144388</v>
      </c>
      <c r="P50" s="1358">
        <v>80660</v>
      </c>
      <c r="Q50" s="1358">
        <v>318715</v>
      </c>
      <c r="R50" s="1358">
        <v>24250</v>
      </c>
      <c r="S50" s="1358">
        <v>129450</v>
      </c>
      <c r="T50" s="1358">
        <v>58297</v>
      </c>
      <c r="U50" s="1358">
        <v>153026</v>
      </c>
      <c r="V50" s="1358">
        <v>14534</v>
      </c>
      <c r="W50" s="1358">
        <v>98453</v>
      </c>
      <c r="X50" s="1358">
        <v>255163</v>
      </c>
      <c r="Y50" s="1358">
        <v>255596</v>
      </c>
      <c r="Z50" s="1358">
        <v>527131</v>
      </c>
      <c r="AA50" s="1358">
        <v>312739</v>
      </c>
      <c r="AB50" s="1358">
        <v>138331</v>
      </c>
      <c r="AC50" s="1358">
        <v>137240</v>
      </c>
      <c r="AD50" s="1358">
        <v>166407</v>
      </c>
      <c r="AE50" s="1358">
        <v>704759</v>
      </c>
      <c r="AF50" s="1358">
        <v>345288</v>
      </c>
      <c r="AG50" s="1358">
        <v>160923</v>
      </c>
      <c r="AH50" s="1358">
        <v>219172</v>
      </c>
      <c r="AI50" s="1358">
        <v>470590</v>
      </c>
      <c r="AJ50" s="1358">
        <v>224532</v>
      </c>
      <c r="AK50" s="1358">
        <v>5445196</v>
      </c>
      <c r="AL50" s="1358">
        <v>40930</v>
      </c>
      <c r="AM50" s="1358"/>
      <c r="AN50" s="1387">
        <v>0.6233160325823941</v>
      </c>
      <c r="AO50" s="740"/>
      <c r="AP50" s="1361">
        <v>19645</v>
      </c>
      <c r="AQ50" s="1388">
        <v>2.4724844817693392</v>
      </c>
      <c r="AR50" s="1361">
        <v>1763276</v>
      </c>
      <c r="AS50" s="1388">
        <v>1.5743577277173368</v>
      </c>
      <c r="AT50" s="1361">
        <v>3662275</v>
      </c>
      <c r="AU50" s="1388">
        <v>0.36319320628924684</v>
      </c>
      <c r="AV50" s="1389">
        <v>8.6938316491805123E-3</v>
      </c>
      <c r="AW50" s="1389">
        <v>0.50127092610148394</v>
      </c>
      <c r="AX50" s="1389">
        <v>0.24307879925440784</v>
      </c>
      <c r="AY50" s="740"/>
      <c r="AZ50" s="1361">
        <v>1506097</v>
      </c>
      <c r="BA50" s="1388">
        <v>0.77732723087629141</v>
      </c>
      <c r="BB50" s="1361">
        <v>3939099</v>
      </c>
      <c r="BC50" s="1388">
        <v>0.75300684791179995</v>
      </c>
      <c r="BD50" s="1389">
        <v>0.21307224107284811</v>
      </c>
      <c r="BE50" s="1377">
        <v>0.53997131593222425</v>
      </c>
    </row>
    <row r="51" spans="1:57" hidden="1">
      <c r="A51" s="1332" t="s">
        <v>9666</v>
      </c>
      <c r="B51" s="1390" t="s">
        <v>9918</v>
      </c>
      <c r="C51" s="1378">
        <v>5427579</v>
      </c>
      <c r="D51" s="1346">
        <v>11408</v>
      </c>
      <c r="E51" s="1346">
        <v>1437</v>
      </c>
      <c r="F51" s="1346">
        <v>5654</v>
      </c>
      <c r="G51" s="1346">
        <v>1538</v>
      </c>
      <c r="H51" s="1346">
        <v>1424180</v>
      </c>
      <c r="I51" s="1346">
        <v>198094</v>
      </c>
      <c r="J51" s="1346">
        <v>12967</v>
      </c>
      <c r="K51" s="1346">
        <v>26569</v>
      </c>
      <c r="L51" s="1346">
        <v>210555</v>
      </c>
      <c r="M51" s="1346">
        <v>8503</v>
      </c>
      <c r="N51" s="1346">
        <v>34663</v>
      </c>
      <c r="O51" s="1346">
        <v>154133</v>
      </c>
      <c r="P51" s="1346">
        <v>73339</v>
      </c>
      <c r="Q51" s="1346">
        <v>267561</v>
      </c>
      <c r="R51" s="1346">
        <v>29069</v>
      </c>
      <c r="S51" s="1346">
        <v>123520</v>
      </c>
      <c r="T51" s="1346">
        <v>36783</v>
      </c>
      <c r="U51" s="1346">
        <v>134145</v>
      </c>
      <c r="V51" s="1346">
        <v>13549</v>
      </c>
      <c r="W51" s="1346">
        <v>100730</v>
      </c>
      <c r="X51" s="1346">
        <v>221599</v>
      </c>
      <c r="Y51" s="1346">
        <v>203498</v>
      </c>
      <c r="Z51" s="1346">
        <v>557568</v>
      </c>
      <c r="AA51" s="1346">
        <v>303218</v>
      </c>
      <c r="AB51" s="1346">
        <v>151036</v>
      </c>
      <c r="AC51" s="1346">
        <v>134871</v>
      </c>
      <c r="AD51" s="1346">
        <v>164763</v>
      </c>
      <c r="AE51" s="1346">
        <v>709586</v>
      </c>
      <c r="AF51" s="1346">
        <v>350618</v>
      </c>
      <c r="AG51" s="1346">
        <v>178169</v>
      </c>
      <c r="AH51" s="1346">
        <v>236744</v>
      </c>
      <c r="AI51" s="1346">
        <v>477448</v>
      </c>
      <c r="AJ51" s="1346">
        <v>251117</v>
      </c>
      <c r="AK51" s="1346">
        <v>5384452</v>
      </c>
      <c r="AL51" s="1346">
        <v>43127</v>
      </c>
      <c r="AM51" s="1346"/>
      <c r="AN51" s="1379">
        <v>0.83775483897545988</v>
      </c>
      <c r="AO51" s="740"/>
      <c r="AP51" s="1338">
        <v>18499</v>
      </c>
      <c r="AQ51" s="1380">
        <v>-1.6115306882246569</v>
      </c>
      <c r="AR51" s="1338">
        <v>1629216</v>
      </c>
      <c r="AS51" s="1380">
        <v>-0.54549272594972875</v>
      </c>
      <c r="AT51" s="1338">
        <v>3736737</v>
      </c>
      <c r="AU51" s="1380">
        <v>1.3936709290099378</v>
      </c>
      <c r="AV51" s="1381">
        <v>-5.6293680031327094E-3</v>
      </c>
      <c r="AW51" s="1381">
        <v>-0.16601990916169601</v>
      </c>
      <c r="AX51" s="1381">
        <v>0.95424290223400077</v>
      </c>
      <c r="AY51" s="740"/>
      <c r="AZ51" s="1338">
        <v>1424180</v>
      </c>
      <c r="BA51" s="1380">
        <v>-0.2290798276647168</v>
      </c>
      <c r="BB51" s="1338">
        <v>3960272</v>
      </c>
      <c r="BC51" s="1380">
        <v>1.1594994379136623</v>
      </c>
      <c r="BD51" s="1381">
        <v>-6.0752585380343109E-2</v>
      </c>
      <c r="BE51" s="1373">
        <v>0.84334621044951508</v>
      </c>
    </row>
    <row r="52" spans="1:57" hidden="1">
      <c r="A52" s="1343">
        <v>-2017</v>
      </c>
      <c r="B52" s="1391" t="s">
        <v>9920</v>
      </c>
      <c r="C52" s="1382">
        <v>5453037</v>
      </c>
      <c r="D52" s="1346">
        <v>15340</v>
      </c>
      <c r="E52" s="1346">
        <v>1415</v>
      </c>
      <c r="F52" s="1346">
        <v>7222</v>
      </c>
      <c r="G52" s="1346">
        <v>1532</v>
      </c>
      <c r="H52" s="1346">
        <v>1412830</v>
      </c>
      <c r="I52" s="1346">
        <v>184894</v>
      </c>
      <c r="J52" s="1346">
        <v>12796</v>
      </c>
      <c r="K52" s="1346">
        <v>27293</v>
      </c>
      <c r="L52" s="1346">
        <v>199657</v>
      </c>
      <c r="M52" s="1346">
        <v>8780</v>
      </c>
      <c r="N52" s="1346">
        <v>33986</v>
      </c>
      <c r="O52" s="1346">
        <v>152923</v>
      </c>
      <c r="P52" s="1346">
        <v>73071</v>
      </c>
      <c r="Q52" s="1346">
        <v>280535</v>
      </c>
      <c r="R52" s="1346">
        <v>29804</v>
      </c>
      <c r="S52" s="1346">
        <v>120158</v>
      </c>
      <c r="T52" s="1346">
        <v>35681</v>
      </c>
      <c r="U52" s="1346">
        <v>144069</v>
      </c>
      <c r="V52" s="1346">
        <v>13546</v>
      </c>
      <c r="W52" s="1346">
        <v>95637</v>
      </c>
      <c r="X52" s="1346">
        <v>236973</v>
      </c>
      <c r="Y52" s="1346">
        <v>222902</v>
      </c>
      <c r="Z52" s="1346">
        <v>571091</v>
      </c>
      <c r="AA52" s="1346">
        <v>315163</v>
      </c>
      <c r="AB52" s="1346">
        <v>148966</v>
      </c>
      <c r="AC52" s="1346">
        <v>137103</v>
      </c>
      <c r="AD52" s="1346">
        <v>165646</v>
      </c>
      <c r="AE52" s="1346">
        <v>711863</v>
      </c>
      <c r="AF52" s="1346">
        <v>353978</v>
      </c>
      <c r="AG52" s="1346">
        <v>155401</v>
      </c>
      <c r="AH52" s="1346">
        <v>234316</v>
      </c>
      <c r="AI52" s="1346">
        <v>473337</v>
      </c>
      <c r="AJ52" s="1346">
        <v>244632</v>
      </c>
      <c r="AK52" s="1346">
        <v>5409710</v>
      </c>
      <c r="AL52" s="1346">
        <v>43327</v>
      </c>
      <c r="AM52" s="1346"/>
      <c r="AN52" s="1383">
        <v>1.9705407870423346</v>
      </c>
      <c r="AO52" s="740"/>
      <c r="AP52" s="1349">
        <v>23977</v>
      </c>
      <c r="AQ52" s="1384">
        <v>0.12527665260784232</v>
      </c>
      <c r="AR52" s="1349">
        <v>1637264</v>
      </c>
      <c r="AS52" s="1384">
        <v>1.7528246305296262</v>
      </c>
      <c r="AT52" s="1349">
        <v>3748469</v>
      </c>
      <c r="AU52" s="1384">
        <v>2.0059013425921766</v>
      </c>
      <c r="AV52" s="1385">
        <v>5.6099307966627605E-4</v>
      </c>
      <c r="AW52" s="1385">
        <v>0.52740829396358835</v>
      </c>
      <c r="AX52" s="1385">
        <v>1.3783973962786846</v>
      </c>
      <c r="AY52" s="740"/>
      <c r="AZ52" s="1349">
        <v>1412830</v>
      </c>
      <c r="BA52" s="1384">
        <v>2.2587943735696161</v>
      </c>
      <c r="BB52" s="1349">
        <v>3996880</v>
      </c>
      <c r="BC52" s="1384">
        <v>1.8017178186626972</v>
      </c>
      <c r="BD52" s="1385">
        <v>0.58358240100750469</v>
      </c>
      <c r="BE52" s="1369">
        <v>1.3227842823144345</v>
      </c>
    </row>
    <row r="53" spans="1:57" hidden="1">
      <c r="A53" s="1354"/>
      <c r="B53" s="1391" t="s">
        <v>9921</v>
      </c>
      <c r="C53" s="1382">
        <v>5696766</v>
      </c>
      <c r="D53" s="1346">
        <v>39582</v>
      </c>
      <c r="E53" s="1346">
        <v>1437</v>
      </c>
      <c r="F53" s="1346">
        <v>7228</v>
      </c>
      <c r="G53" s="1346">
        <v>1584</v>
      </c>
      <c r="H53" s="1346">
        <v>1508413</v>
      </c>
      <c r="I53" s="1346">
        <v>223428</v>
      </c>
      <c r="J53" s="1346">
        <v>13176</v>
      </c>
      <c r="K53" s="1346">
        <v>27787</v>
      </c>
      <c r="L53" s="1346">
        <v>200435</v>
      </c>
      <c r="M53" s="1346">
        <v>9545</v>
      </c>
      <c r="N53" s="1346">
        <v>33337</v>
      </c>
      <c r="O53" s="1346">
        <v>158389</v>
      </c>
      <c r="P53" s="1346">
        <v>82960</v>
      </c>
      <c r="Q53" s="1346">
        <v>288723</v>
      </c>
      <c r="R53" s="1346">
        <v>30461</v>
      </c>
      <c r="S53" s="1346">
        <v>126150</v>
      </c>
      <c r="T53" s="1346">
        <v>39537</v>
      </c>
      <c r="U53" s="1346">
        <v>161458</v>
      </c>
      <c r="V53" s="1346">
        <v>13398</v>
      </c>
      <c r="W53" s="1346">
        <v>99629</v>
      </c>
      <c r="X53" s="1346">
        <v>228169</v>
      </c>
      <c r="Y53" s="1346">
        <v>248185</v>
      </c>
      <c r="Z53" s="1346">
        <v>629762</v>
      </c>
      <c r="AA53" s="1346">
        <v>319205</v>
      </c>
      <c r="AB53" s="1346">
        <v>153293</v>
      </c>
      <c r="AC53" s="1346">
        <v>141102</v>
      </c>
      <c r="AD53" s="1346">
        <v>166788</v>
      </c>
      <c r="AE53" s="1346">
        <v>713712</v>
      </c>
      <c r="AF53" s="1346">
        <v>357040</v>
      </c>
      <c r="AG53" s="1346">
        <v>180638</v>
      </c>
      <c r="AH53" s="1346">
        <v>235528</v>
      </c>
      <c r="AI53" s="1346">
        <v>479046</v>
      </c>
      <c r="AJ53" s="1346">
        <v>240787</v>
      </c>
      <c r="AK53" s="1346">
        <v>5651499</v>
      </c>
      <c r="AL53" s="1346">
        <v>45267</v>
      </c>
      <c r="AM53" s="1346"/>
      <c r="AN53" s="1383">
        <v>1.7456551102385149</v>
      </c>
      <c r="AO53" s="740"/>
      <c r="AP53" s="1349">
        <v>48247</v>
      </c>
      <c r="AQ53" s="1384">
        <v>-3.8674583565792622</v>
      </c>
      <c r="AR53" s="1349">
        <v>1758182</v>
      </c>
      <c r="AS53" s="1384">
        <v>3.5497149143859721</v>
      </c>
      <c r="AT53" s="1349">
        <v>3845070</v>
      </c>
      <c r="AU53" s="1384">
        <v>0.94286003063671597</v>
      </c>
      <c r="AV53" s="1385">
        <v>-3.4666740536657428E-2</v>
      </c>
      <c r="AW53" s="1385">
        <v>1.0764549813935496</v>
      </c>
      <c r="AX53" s="1385">
        <v>0.6414507915373785</v>
      </c>
      <c r="AY53" s="740"/>
      <c r="AZ53" s="1349">
        <v>1508413</v>
      </c>
      <c r="BA53" s="1384">
        <v>4.629126100455303</v>
      </c>
      <c r="BB53" s="1349">
        <v>4143086</v>
      </c>
      <c r="BC53" s="1384">
        <v>0.66838728363306443</v>
      </c>
      <c r="BD53" s="1385">
        <v>1.1919393421921209</v>
      </c>
      <c r="BE53" s="1369">
        <v>0.4912996902021497</v>
      </c>
    </row>
    <row r="54" spans="1:57" hidden="1">
      <c r="A54" s="1355"/>
      <c r="B54" s="1392" t="s">
        <v>9933</v>
      </c>
      <c r="C54" s="1386">
        <v>5545459</v>
      </c>
      <c r="D54" s="1358">
        <v>12727</v>
      </c>
      <c r="E54" s="1358">
        <v>1233</v>
      </c>
      <c r="F54" s="1358">
        <v>6052</v>
      </c>
      <c r="G54" s="1358">
        <v>1514</v>
      </c>
      <c r="H54" s="1358">
        <v>1525989</v>
      </c>
      <c r="I54" s="1358">
        <v>187261</v>
      </c>
      <c r="J54" s="1358">
        <v>11847</v>
      </c>
      <c r="K54" s="1358">
        <v>25691</v>
      </c>
      <c r="L54" s="1358">
        <v>214678</v>
      </c>
      <c r="M54" s="1358">
        <v>9743</v>
      </c>
      <c r="N54" s="1358">
        <v>33138</v>
      </c>
      <c r="O54" s="1358">
        <v>153820</v>
      </c>
      <c r="P54" s="1358">
        <v>80029</v>
      </c>
      <c r="Q54" s="1358">
        <v>313806</v>
      </c>
      <c r="R54" s="1358">
        <v>29273</v>
      </c>
      <c r="S54" s="1358">
        <v>147210</v>
      </c>
      <c r="T54" s="1358">
        <v>58050</v>
      </c>
      <c r="U54" s="1358">
        <v>155266</v>
      </c>
      <c r="V54" s="1358">
        <v>12460</v>
      </c>
      <c r="W54" s="1358">
        <v>93717</v>
      </c>
      <c r="X54" s="1358">
        <v>256794</v>
      </c>
      <c r="Y54" s="1358">
        <v>231891</v>
      </c>
      <c r="Z54" s="1358">
        <v>541042</v>
      </c>
      <c r="AA54" s="1358">
        <v>308286</v>
      </c>
      <c r="AB54" s="1358">
        <v>150591</v>
      </c>
      <c r="AC54" s="1358">
        <v>139700</v>
      </c>
      <c r="AD54" s="1358">
        <v>164232</v>
      </c>
      <c r="AE54" s="1358">
        <v>698143</v>
      </c>
      <c r="AF54" s="1358">
        <v>353081</v>
      </c>
      <c r="AG54" s="1358">
        <v>158726</v>
      </c>
      <c r="AH54" s="1358">
        <v>206586</v>
      </c>
      <c r="AI54" s="1358">
        <v>516588</v>
      </c>
      <c r="AJ54" s="1358">
        <v>228221</v>
      </c>
      <c r="AK54" s="1358">
        <v>5501396</v>
      </c>
      <c r="AL54" s="1358">
        <v>44063</v>
      </c>
      <c r="AM54" s="1358"/>
      <c r="AN54" s="1387">
        <v>1.081520145319208</v>
      </c>
      <c r="AO54" s="740"/>
      <c r="AP54" s="1361">
        <v>20012</v>
      </c>
      <c r="AQ54" s="1388">
        <v>1.8681598371086789</v>
      </c>
      <c r="AR54" s="1361">
        <v>1759394</v>
      </c>
      <c r="AS54" s="1388">
        <v>-0.22015838700237514</v>
      </c>
      <c r="AT54" s="1361">
        <v>3721990</v>
      </c>
      <c r="AU54" s="1388">
        <v>1.6305438559365419</v>
      </c>
      <c r="AV54" s="1389">
        <v>6.6896026662366971E-3</v>
      </c>
      <c r="AW54" s="1389">
        <v>-7.0760320300629037E-2</v>
      </c>
      <c r="AX54" s="1389">
        <v>1.0884730877774504</v>
      </c>
      <c r="AY54" s="740"/>
      <c r="AZ54" s="1361">
        <v>1525989</v>
      </c>
      <c r="BA54" s="1388">
        <v>1.3207648644144434</v>
      </c>
      <c r="BB54" s="1361">
        <v>3975407</v>
      </c>
      <c r="BC54" s="1388">
        <v>0.92173362487208366</v>
      </c>
      <c r="BD54" s="1389">
        <v>0.36258740119013727</v>
      </c>
      <c r="BE54" s="1377">
        <v>0.66181496895292091</v>
      </c>
    </row>
    <row r="55" spans="1:57" hidden="1">
      <c r="A55" s="1332" t="s">
        <v>9667</v>
      </c>
      <c r="B55" s="1390" t="s">
        <v>9918</v>
      </c>
      <c r="C55" s="1378">
        <v>5515640</v>
      </c>
      <c r="D55" s="1334">
        <v>10354</v>
      </c>
      <c r="E55" s="1335">
        <v>1425</v>
      </c>
      <c r="F55" s="1335">
        <v>6029</v>
      </c>
      <c r="G55" s="1335">
        <v>1556</v>
      </c>
      <c r="H55" s="1335">
        <v>1473233</v>
      </c>
      <c r="I55" s="1335">
        <v>208072</v>
      </c>
      <c r="J55" s="1335">
        <v>13449</v>
      </c>
      <c r="K55" s="1335">
        <v>29166</v>
      </c>
      <c r="L55" s="1335">
        <v>216180</v>
      </c>
      <c r="M55" s="1335">
        <v>8820</v>
      </c>
      <c r="N55" s="1335">
        <v>29655</v>
      </c>
      <c r="O55" s="1335">
        <v>139531</v>
      </c>
      <c r="P55" s="1335">
        <v>76378</v>
      </c>
      <c r="Q55" s="1335">
        <v>282760</v>
      </c>
      <c r="R55" s="1335">
        <v>33838</v>
      </c>
      <c r="S55" s="1335">
        <v>119619</v>
      </c>
      <c r="T55" s="1335">
        <v>38588</v>
      </c>
      <c r="U55" s="1335">
        <v>163846</v>
      </c>
      <c r="V55" s="1335">
        <v>15439</v>
      </c>
      <c r="W55" s="1335">
        <v>97892</v>
      </c>
      <c r="X55" s="1335">
        <v>212535</v>
      </c>
      <c r="Y55" s="1335">
        <v>208491</v>
      </c>
      <c r="Z55" s="1335">
        <v>556155</v>
      </c>
      <c r="AA55" s="1335">
        <v>293106</v>
      </c>
      <c r="AB55" s="1335">
        <v>159041</v>
      </c>
      <c r="AC55" s="1335">
        <v>142244</v>
      </c>
      <c r="AD55" s="1335">
        <v>165617</v>
      </c>
      <c r="AE55" s="1335">
        <v>723320</v>
      </c>
      <c r="AF55" s="1335">
        <v>353465</v>
      </c>
      <c r="AG55" s="1335">
        <v>181689</v>
      </c>
      <c r="AH55" s="1335">
        <v>231651</v>
      </c>
      <c r="AI55" s="1335">
        <v>498400</v>
      </c>
      <c r="AJ55" s="1335">
        <v>248670</v>
      </c>
      <c r="AK55" s="1335">
        <v>5466981</v>
      </c>
      <c r="AL55" s="1336">
        <v>48659</v>
      </c>
      <c r="AM55" s="1336"/>
      <c r="AN55" s="1379">
        <v>1.6224715343255414</v>
      </c>
      <c r="AO55" s="740"/>
      <c r="AP55" s="1338">
        <v>17808</v>
      </c>
      <c r="AQ55" s="1380">
        <v>-3.7353370452456889</v>
      </c>
      <c r="AR55" s="1399">
        <v>1683280</v>
      </c>
      <c r="AS55" s="1380">
        <v>3.3184059081177697</v>
      </c>
      <c r="AT55" s="1399">
        <v>3765893</v>
      </c>
      <c r="AU55" s="1380">
        <v>0.78025293190288747</v>
      </c>
      <c r="AV55" s="1394">
        <v>-1.2731274780174414E-2</v>
      </c>
      <c r="AW55" s="1381">
        <v>0.99609788670817589</v>
      </c>
      <c r="AX55" s="1381">
        <v>0.5371824131559555</v>
      </c>
      <c r="AY55" s="740"/>
      <c r="AZ55" s="1338">
        <v>1473233</v>
      </c>
      <c r="BA55" s="1393">
        <v>3.4442977713491274</v>
      </c>
      <c r="BB55" s="1338">
        <v>3993748</v>
      </c>
      <c r="BC55" s="1393">
        <v>0.84529547465426613</v>
      </c>
      <c r="BD55" s="1381">
        <v>0.90377311402589822</v>
      </c>
      <c r="BE55" s="1369">
        <v>0.61677591105805896</v>
      </c>
    </row>
    <row r="56" spans="1:57" hidden="1">
      <c r="A56" s="1343">
        <v>-2018</v>
      </c>
      <c r="B56" s="1391" t="s">
        <v>9920</v>
      </c>
      <c r="C56" s="1382">
        <v>5435451</v>
      </c>
      <c r="D56" s="1345">
        <v>14383</v>
      </c>
      <c r="E56" s="1346">
        <v>1309</v>
      </c>
      <c r="F56" s="1346">
        <v>6425</v>
      </c>
      <c r="G56" s="1346">
        <v>1442</v>
      </c>
      <c r="H56" s="1346">
        <v>1419148</v>
      </c>
      <c r="I56" s="1346">
        <v>186807</v>
      </c>
      <c r="J56" s="1346">
        <v>13230</v>
      </c>
      <c r="K56" s="1346">
        <v>26650</v>
      </c>
      <c r="L56" s="1346">
        <v>199795</v>
      </c>
      <c r="M56" s="1346">
        <v>9456</v>
      </c>
      <c r="N56" s="1346">
        <v>30016</v>
      </c>
      <c r="O56" s="1346">
        <v>130916</v>
      </c>
      <c r="P56" s="1346">
        <v>73743</v>
      </c>
      <c r="Q56" s="1346">
        <v>295480</v>
      </c>
      <c r="R56" s="1346">
        <v>31999</v>
      </c>
      <c r="S56" s="1346">
        <v>120840</v>
      </c>
      <c r="T56" s="1346">
        <v>31395</v>
      </c>
      <c r="U56" s="1346">
        <v>162675</v>
      </c>
      <c r="V56" s="1346">
        <v>15519</v>
      </c>
      <c r="W56" s="1346">
        <v>90627</v>
      </c>
      <c r="X56" s="1346">
        <v>232792</v>
      </c>
      <c r="Y56" s="1346">
        <v>216012</v>
      </c>
      <c r="Z56" s="1346">
        <v>564478</v>
      </c>
      <c r="AA56" s="1346">
        <v>286461</v>
      </c>
      <c r="AB56" s="1346">
        <v>156415</v>
      </c>
      <c r="AC56" s="1346">
        <v>139991</v>
      </c>
      <c r="AD56" s="1346">
        <v>163152</v>
      </c>
      <c r="AE56" s="1346">
        <v>710821</v>
      </c>
      <c r="AF56" s="1346">
        <v>360835</v>
      </c>
      <c r="AG56" s="1346">
        <v>154316</v>
      </c>
      <c r="AH56" s="1346">
        <v>224994</v>
      </c>
      <c r="AI56" s="1346">
        <v>497625</v>
      </c>
      <c r="AJ56" s="1346">
        <v>236902</v>
      </c>
      <c r="AK56" s="1346">
        <v>5387501</v>
      </c>
      <c r="AL56" s="1347">
        <v>47950</v>
      </c>
      <c r="AM56" s="1347"/>
      <c r="AN56" s="1383">
        <v>-0.32251247927298043</v>
      </c>
      <c r="AO56" s="740"/>
      <c r="AP56" s="1349">
        <v>22117</v>
      </c>
      <c r="AQ56" s="1384">
        <v>-7.7574342077824587</v>
      </c>
      <c r="AR56" s="1399">
        <v>1636602</v>
      </c>
      <c r="AS56" s="1384">
        <v>-4.0433308250837983E-2</v>
      </c>
      <c r="AT56" s="1399">
        <v>3728782</v>
      </c>
      <c r="AU56" s="1384">
        <v>-0.52520108876450622</v>
      </c>
      <c r="AV56" s="1394">
        <v>-3.4109430695231639E-2</v>
      </c>
      <c r="AW56" s="1385">
        <v>-1.2140023182926528E-2</v>
      </c>
      <c r="AX56" s="1385">
        <v>-0.3610281516650673</v>
      </c>
      <c r="AY56" s="740"/>
      <c r="AZ56" s="1349">
        <v>1419148</v>
      </c>
      <c r="BA56" s="1393">
        <v>0.4471875597205609</v>
      </c>
      <c r="BB56" s="1349">
        <v>3968353</v>
      </c>
      <c r="BC56" s="1393">
        <v>-0.7137317107343728</v>
      </c>
      <c r="BD56" s="1385">
        <v>0.11586203394219005</v>
      </c>
      <c r="BE56" s="1369">
        <v>-0.52313963948541553</v>
      </c>
    </row>
    <row r="57" spans="1:57" hidden="1">
      <c r="A57" s="1354"/>
      <c r="B57" s="1391" t="s">
        <v>9921</v>
      </c>
      <c r="C57" s="1382">
        <v>5670524</v>
      </c>
      <c r="D57" s="1345">
        <v>34184</v>
      </c>
      <c r="E57" s="1346">
        <v>1398</v>
      </c>
      <c r="F57" s="1346">
        <v>7704</v>
      </c>
      <c r="G57" s="1346">
        <v>1555</v>
      </c>
      <c r="H57" s="1346">
        <v>1526104</v>
      </c>
      <c r="I57" s="1346">
        <v>217016</v>
      </c>
      <c r="J57" s="1346">
        <v>14045</v>
      </c>
      <c r="K57" s="1346">
        <v>26820</v>
      </c>
      <c r="L57" s="1346">
        <v>219413</v>
      </c>
      <c r="M57" s="1346">
        <v>9233</v>
      </c>
      <c r="N57" s="1346">
        <v>32873</v>
      </c>
      <c r="O57" s="1346">
        <v>139431</v>
      </c>
      <c r="P57" s="1346">
        <v>84457</v>
      </c>
      <c r="Q57" s="1346">
        <v>283411</v>
      </c>
      <c r="R57" s="1346">
        <v>30818</v>
      </c>
      <c r="S57" s="1346">
        <v>126741</v>
      </c>
      <c r="T57" s="1346">
        <v>33658</v>
      </c>
      <c r="U57" s="1346">
        <v>194555</v>
      </c>
      <c r="V57" s="1346">
        <v>15621</v>
      </c>
      <c r="W57" s="1346">
        <v>98012</v>
      </c>
      <c r="X57" s="1346">
        <v>218392</v>
      </c>
      <c r="Y57" s="1346">
        <v>233682</v>
      </c>
      <c r="Z57" s="1346">
        <v>620117</v>
      </c>
      <c r="AA57" s="1346">
        <v>295605</v>
      </c>
      <c r="AB57" s="1346">
        <v>157393</v>
      </c>
      <c r="AC57" s="1346">
        <v>140310</v>
      </c>
      <c r="AD57" s="1346">
        <v>163717</v>
      </c>
      <c r="AE57" s="1346">
        <v>713158</v>
      </c>
      <c r="AF57" s="1346">
        <v>368466</v>
      </c>
      <c r="AG57" s="1346">
        <v>179402</v>
      </c>
      <c r="AH57" s="1346">
        <v>225661</v>
      </c>
      <c r="AI57" s="1346">
        <v>493083</v>
      </c>
      <c r="AJ57" s="1346">
        <v>240566</v>
      </c>
      <c r="AK57" s="1346">
        <v>5620497</v>
      </c>
      <c r="AL57" s="1347">
        <v>50027</v>
      </c>
      <c r="AM57" s="1347"/>
      <c r="AN57" s="1383">
        <v>-0.46065611897562708</v>
      </c>
      <c r="AO57" s="740"/>
      <c r="AP57" s="1349">
        <v>43286</v>
      </c>
      <c r="AQ57" s="1384">
        <v>-10.282504611685701</v>
      </c>
      <c r="AR57" s="1399">
        <v>1761341</v>
      </c>
      <c r="AS57" s="1384">
        <v>0.17967423167794916</v>
      </c>
      <c r="AT57" s="1399">
        <v>3815870</v>
      </c>
      <c r="AU57" s="1384">
        <v>-0.75941400286600758</v>
      </c>
      <c r="AV57" s="1394">
        <v>-8.7084493295730106E-2</v>
      </c>
      <c r="AW57" s="1385">
        <v>5.5452512461441519E-2</v>
      </c>
      <c r="AX57" s="1385">
        <v>-0.51257149853564177</v>
      </c>
      <c r="AY57" s="740"/>
      <c r="AZ57" s="1349">
        <v>1526104</v>
      </c>
      <c r="BA57" s="1393">
        <v>1.1728220321622791</v>
      </c>
      <c r="BB57" s="1349">
        <v>4094393</v>
      </c>
      <c r="BC57" s="1393">
        <v>-1.1752833515886467</v>
      </c>
      <c r="BD57" s="1385">
        <v>0.31054460207513834</v>
      </c>
      <c r="BE57" s="1369">
        <v>-0.85474808144506875</v>
      </c>
    </row>
    <row r="58" spans="1:57" hidden="1">
      <c r="A58" s="1355"/>
      <c r="B58" s="1392" t="s">
        <v>9934</v>
      </c>
      <c r="C58" s="1386">
        <v>5533613</v>
      </c>
      <c r="D58" s="1357">
        <v>11204</v>
      </c>
      <c r="E58" s="1358">
        <v>1322</v>
      </c>
      <c r="F58" s="1358">
        <v>6139</v>
      </c>
      <c r="G58" s="1358">
        <v>1494</v>
      </c>
      <c r="H58" s="1358">
        <v>1490857</v>
      </c>
      <c r="I58" s="1358">
        <v>183580</v>
      </c>
      <c r="J58" s="1358">
        <v>11820</v>
      </c>
      <c r="K58" s="1358">
        <v>27105</v>
      </c>
      <c r="L58" s="1358">
        <v>241793</v>
      </c>
      <c r="M58" s="1358">
        <v>8260</v>
      </c>
      <c r="N58" s="1358">
        <v>27379</v>
      </c>
      <c r="O58" s="1358">
        <v>130322</v>
      </c>
      <c r="P58" s="1358">
        <v>75597</v>
      </c>
      <c r="Q58" s="1358">
        <v>300178</v>
      </c>
      <c r="R58" s="1358">
        <v>23808</v>
      </c>
      <c r="S58" s="1358">
        <v>120787</v>
      </c>
      <c r="T58" s="1358">
        <v>51739</v>
      </c>
      <c r="U58" s="1358">
        <v>185168</v>
      </c>
      <c r="V58" s="1358">
        <v>15074</v>
      </c>
      <c r="W58" s="1358">
        <v>88247</v>
      </c>
      <c r="X58" s="1358">
        <v>251713</v>
      </c>
      <c r="Y58" s="1358">
        <v>240970</v>
      </c>
      <c r="Z58" s="1358">
        <v>540617</v>
      </c>
      <c r="AA58" s="1358">
        <v>327106</v>
      </c>
      <c r="AB58" s="1358">
        <v>136351</v>
      </c>
      <c r="AC58" s="1358">
        <v>135080</v>
      </c>
      <c r="AD58" s="1358">
        <v>163513</v>
      </c>
      <c r="AE58" s="1358">
        <v>704316</v>
      </c>
      <c r="AF58" s="1358">
        <v>372630</v>
      </c>
      <c r="AG58" s="1358">
        <v>159395</v>
      </c>
      <c r="AH58" s="1358">
        <v>229709</v>
      </c>
      <c r="AI58" s="1358">
        <v>482808</v>
      </c>
      <c r="AJ58" s="1358">
        <v>229568</v>
      </c>
      <c r="AK58" s="1358">
        <v>5484792</v>
      </c>
      <c r="AL58" s="1359">
        <v>48821</v>
      </c>
      <c r="AM58" s="1359"/>
      <c r="AN58" s="1387">
        <v>-0.21361867571287255</v>
      </c>
      <c r="AO58" s="740"/>
      <c r="AP58" s="1361">
        <v>18665</v>
      </c>
      <c r="AQ58" s="1388">
        <v>-6.7309614231461117</v>
      </c>
      <c r="AR58" s="1400">
        <v>1733321</v>
      </c>
      <c r="AS58" s="1388">
        <v>-1.4819307102331825</v>
      </c>
      <c r="AT58" s="1401">
        <v>3732806</v>
      </c>
      <c r="AU58" s="1388">
        <v>0.290597234275213</v>
      </c>
      <c r="AV58" s="1376">
        <v>-2.4290144041967596E-2</v>
      </c>
      <c r="AW58" s="1389">
        <v>-0.47016846741367568</v>
      </c>
      <c r="AX58" s="1389">
        <v>0.19504246322043173</v>
      </c>
      <c r="AY58" s="740"/>
      <c r="AZ58" s="1361">
        <v>1490857</v>
      </c>
      <c r="BA58" s="1396">
        <v>-2.3022446426546979</v>
      </c>
      <c r="BB58" s="1361">
        <v>3993935</v>
      </c>
      <c r="BC58" s="1396">
        <v>0.46606548713125473</v>
      </c>
      <c r="BD58" s="1389">
        <v>-0.63352735002405758</v>
      </c>
      <c r="BE58" s="1377">
        <v>0.33411120178884607</v>
      </c>
    </row>
    <row r="59" spans="1:57" hidden="1">
      <c r="A59" s="1307" t="s">
        <v>9935</v>
      </c>
      <c r="B59" s="1308" t="s">
        <v>9918</v>
      </c>
      <c r="C59" s="1402">
        <v>5540978</v>
      </c>
      <c r="D59" s="1403">
        <v>10275</v>
      </c>
      <c r="E59" s="1404">
        <v>1467</v>
      </c>
      <c r="F59" s="1404">
        <v>5410</v>
      </c>
      <c r="G59" s="1404">
        <v>1648</v>
      </c>
      <c r="H59" s="1404">
        <v>1464883</v>
      </c>
      <c r="I59" s="1404">
        <v>200155</v>
      </c>
      <c r="J59" s="1404">
        <v>12526</v>
      </c>
      <c r="K59" s="1404">
        <v>31010</v>
      </c>
      <c r="L59" s="1404">
        <v>209986</v>
      </c>
      <c r="M59" s="1404">
        <v>10287</v>
      </c>
      <c r="N59" s="1404">
        <v>30199</v>
      </c>
      <c r="O59" s="1404">
        <v>136076</v>
      </c>
      <c r="P59" s="1404">
        <v>82448</v>
      </c>
      <c r="Q59" s="1404">
        <v>281000</v>
      </c>
      <c r="R59" s="1404">
        <v>27388</v>
      </c>
      <c r="S59" s="1404">
        <v>124694</v>
      </c>
      <c r="T59" s="1404">
        <v>41899</v>
      </c>
      <c r="U59" s="1404">
        <v>162037</v>
      </c>
      <c r="V59" s="1404">
        <v>15404</v>
      </c>
      <c r="W59" s="1404">
        <v>99774</v>
      </c>
      <c r="X59" s="1404">
        <v>223700</v>
      </c>
      <c r="Y59" s="1404">
        <v>197232</v>
      </c>
      <c r="Z59" s="1404">
        <v>539661</v>
      </c>
      <c r="AA59" s="1404">
        <v>314022</v>
      </c>
      <c r="AB59" s="1404">
        <v>143273</v>
      </c>
      <c r="AC59" s="1404">
        <v>134197</v>
      </c>
      <c r="AD59" s="1404">
        <v>174572</v>
      </c>
      <c r="AE59" s="1404">
        <v>728010</v>
      </c>
      <c r="AF59" s="1404">
        <v>389385</v>
      </c>
      <c r="AG59" s="1404">
        <v>184643</v>
      </c>
      <c r="AH59" s="1404">
        <v>220490</v>
      </c>
      <c r="AI59" s="1404">
        <v>509153</v>
      </c>
      <c r="AJ59" s="1404">
        <v>255818</v>
      </c>
      <c r="AK59" s="1404">
        <v>5497839</v>
      </c>
      <c r="AL59" s="1405">
        <v>43139</v>
      </c>
      <c r="AM59" s="1405"/>
      <c r="AN59" s="1406">
        <v>0.45939309714082249</v>
      </c>
      <c r="AO59" s="740"/>
      <c r="AP59" s="1407">
        <v>17152</v>
      </c>
      <c r="AQ59" s="1379">
        <v>-3.6837376460017968</v>
      </c>
      <c r="AR59" s="1408">
        <v>1663763</v>
      </c>
      <c r="AS59" s="1379">
        <v>-1.1594624780191056</v>
      </c>
      <c r="AT59" s="1408">
        <v>3816924</v>
      </c>
      <c r="AU59" s="1379">
        <v>1.3550836415161025</v>
      </c>
      <c r="AV59" s="1409">
        <v>-1.1893452175799917E-2</v>
      </c>
      <c r="AW59" s="1381">
        <v>-0.35384833249251063</v>
      </c>
      <c r="AX59" s="1372">
        <v>0.92520542375494741</v>
      </c>
      <c r="AY59" s="740"/>
      <c r="AZ59" s="1407">
        <v>1464883</v>
      </c>
      <c r="BA59" s="1379">
        <v>-0.5667806789557388</v>
      </c>
      <c r="BB59" s="1408">
        <v>4032956</v>
      </c>
      <c r="BC59" s="1379">
        <v>0.98173445094682998</v>
      </c>
      <c r="BD59" s="1409">
        <v>-0.15138769156696541</v>
      </c>
      <c r="BE59" s="1373">
        <v>0.7108513306536024</v>
      </c>
    </row>
    <row r="60" spans="1:57" hidden="1">
      <c r="A60" s="1343">
        <v>-2019</v>
      </c>
      <c r="B60" s="1410" t="s">
        <v>9920</v>
      </c>
      <c r="C60" s="1411">
        <v>5492782</v>
      </c>
      <c r="D60" s="1412">
        <v>13875</v>
      </c>
      <c r="E60" s="1413">
        <v>1396</v>
      </c>
      <c r="F60" s="1413">
        <v>5765</v>
      </c>
      <c r="G60" s="1413">
        <v>1457</v>
      </c>
      <c r="H60" s="1413">
        <v>1432100</v>
      </c>
      <c r="I60" s="1413">
        <v>178589</v>
      </c>
      <c r="J60" s="1413">
        <v>11530</v>
      </c>
      <c r="K60" s="1413">
        <v>28717</v>
      </c>
      <c r="L60" s="1413">
        <v>195523</v>
      </c>
      <c r="M60" s="1413">
        <v>10088</v>
      </c>
      <c r="N60" s="1413">
        <v>28253</v>
      </c>
      <c r="O60" s="1413">
        <v>126647</v>
      </c>
      <c r="P60" s="1413">
        <v>76952</v>
      </c>
      <c r="Q60" s="1413">
        <v>295702</v>
      </c>
      <c r="R60" s="1413">
        <v>25737</v>
      </c>
      <c r="S60" s="1413">
        <v>133351</v>
      </c>
      <c r="T60" s="1413">
        <v>47220</v>
      </c>
      <c r="U60" s="1413">
        <v>164137</v>
      </c>
      <c r="V60" s="1413">
        <v>16164</v>
      </c>
      <c r="W60" s="1413">
        <v>93490</v>
      </c>
      <c r="X60" s="1413">
        <v>228367</v>
      </c>
      <c r="Y60" s="1413">
        <v>210300</v>
      </c>
      <c r="Z60" s="1413">
        <v>561393</v>
      </c>
      <c r="AA60" s="1413">
        <v>304864</v>
      </c>
      <c r="AB60" s="1413">
        <v>143569</v>
      </c>
      <c r="AC60" s="1413">
        <v>139724</v>
      </c>
      <c r="AD60" s="1413">
        <v>171626</v>
      </c>
      <c r="AE60" s="1413">
        <v>718244</v>
      </c>
      <c r="AF60" s="1413">
        <v>364812</v>
      </c>
      <c r="AG60" s="1413">
        <v>157556</v>
      </c>
      <c r="AH60" s="1413">
        <v>241824</v>
      </c>
      <c r="AI60" s="1413">
        <v>508618</v>
      </c>
      <c r="AJ60" s="1413">
        <v>244531</v>
      </c>
      <c r="AK60" s="1413">
        <v>5450021</v>
      </c>
      <c r="AL60" s="1414">
        <v>42761</v>
      </c>
      <c r="AM60" s="1414"/>
      <c r="AN60" s="1415">
        <v>1.0547588677028814</v>
      </c>
      <c r="AO60" s="740"/>
      <c r="AP60" s="1416">
        <v>21036</v>
      </c>
      <c r="AQ60" s="1383">
        <v>-4.8876429895555455</v>
      </c>
      <c r="AR60" s="1417">
        <v>1643857</v>
      </c>
      <c r="AS60" s="1383">
        <v>0.44329653758213666</v>
      </c>
      <c r="AT60" s="1417">
        <v>3785128</v>
      </c>
      <c r="AU60" s="1383">
        <v>1.5111100622133449</v>
      </c>
      <c r="AV60" s="1394">
        <v>-1.9887955429285134E-2</v>
      </c>
      <c r="AW60" s="1385">
        <v>0.13347559356102096</v>
      </c>
      <c r="AX60" s="1368">
        <v>1.0366389792955597</v>
      </c>
      <c r="AY60" s="740"/>
      <c r="AZ60" s="1416">
        <v>1432100</v>
      </c>
      <c r="BA60" s="1383">
        <v>0.91266027221966972</v>
      </c>
      <c r="BB60" s="1417">
        <v>4017921</v>
      </c>
      <c r="BC60" s="1383">
        <v>1.2490824278989292</v>
      </c>
      <c r="BD60" s="1394">
        <v>0.23828751037937193</v>
      </c>
      <c r="BE60" s="1369">
        <v>0.91193910704792358</v>
      </c>
    </row>
    <row r="61" spans="1:57" hidden="1">
      <c r="A61" s="1343"/>
      <c r="B61" s="1410" t="s">
        <v>9921</v>
      </c>
      <c r="C61" s="1411">
        <v>5693308</v>
      </c>
      <c r="D61" s="1412">
        <v>34323</v>
      </c>
      <c r="E61" s="1413">
        <v>1415</v>
      </c>
      <c r="F61" s="1413">
        <v>6657</v>
      </c>
      <c r="G61" s="1413">
        <v>1458</v>
      </c>
      <c r="H61" s="1413">
        <v>1523016</v>
      </c>
      <c r="I61" s="1413">
        <v>208068</v>
      </c>
      <c r="J61" s="1413">
        <v>13781</v>
      </c>
      <c r="K61" s="1413">
        <v>32293</v>
      </c>
      <c r="L61" s="1413">
        <v>251474</v>
      </c>
      <c r="M61" s="1413">
        <v>9710</v>
      </c>
      <c r="N61" s="1413">
        <v>34716</v>
      </c>
      <c r="O61" s="1413">
        <v>127914</v>
      </c>
      <c r="P61" s="1413">
        <v>88199</v>
      </c>
      <c r="Q61" s="1413">
        <v>273030</v>
      </c>
      <c r="R61" s="1413">
        <v>26857</v>
      </c>
      <c r="S61" s="1413">
        <v>124020</v>
      </c>
      <c r="T61" s="1413">
        <v>41732</v>
      </c>
      <c r="U61" s="1413">
        <v>176796</v>
      </c>
      <c r="V61" s="1413">
        <v>16274</v>
      </c>
      <c r="W61" s="1413">
        <v>98152</v>
      </c>
      <c r="X61" s="1413">
        <v>214022</v>
      </c>
      <c r="Y61" s="1413">
        <v>240695</v>
      </c>
      <c r="Z61" s="1413">
        <v>582325</v>
      </c>
      <c r="AA61" s="1413">
        <v>302295</v>
      </c>
      <c r="AB61" s="1413">
        <v>139309</v>
      </c>
      <c r="AC61" s="1413">
        <v>140902</v>
      </c>
      <c r="AD61" s="1413">
        <v>173191</v>
      </c>
      <c r="AE61" s="1413">
        <v>723178</v>
      </c>
      <c r="AF61" s="1413">
        <v>371546</v>
      </c>
      <c r="AG61" s="1413">
        <v>185589</v>
      </c>
      <c r="AH61" s="1413">
        <v>243518</v>
      </c>
      <c r="AI61" s="1413">
        <v>529010</v>
      </c>
      <c r="AJ61" s="1413">
        <v>236535</v>
      </c>
      <c r="AK61" s="1413">
        <v>5648984</v>
      </c>
      <c r="AL61" s="1414">
        <v>44324</v>
      </c>
      <c r="AM61" s="1414"/>
      <c r="AN61" s="1415">
        <v>0.40180685049340814</v>
      </c>
      <c r="AO61" s="740"/>
      <c r="AP61" s="1416">
        <v>42395</v>
      </c>
      <c r="AQ61" s="1383">
        <v>-2.0584022547705958</v>
      </c>
      <c r="AR61" s="1417">
        <v>1765169</v>
      </c>
      <c r="AS61" s="1383">
        <v>0.21733440600088227</v>
      </c>
      <c r="AT61" s="1417">
        <v>3841420</v>
      </c>
      <c r="AU61" s="1383">
        <v>0.6695720766168658</v>
      </c>
      <c r="AV61" s="1394">
        <v>-1.5712834365684304E-2</v>
      </c>
      <c r="AW61" s="1385">
        <v>6.7506992089606643E-2</v>
      </c>
      <c r="AX61" s="1368">
        <v>0.45057566559285522</v>
      </c>
      <c r="AY61" s="740"/>
      <c r="AZ61" s="1416">
        <v>1523016</v>
      </c>
      <c r="BA61" s="1383">
        <v>-0.2023453185366135</v>
      </c>
      <c r="BB61" s="1417">
        <v>4125968</v>
      </c>
      <c r="BC61" s="1383">
        <v>0.77117658221865848</v>
      </c>
      <c r="BD61" s="1394">
        <v>-5.4457051090048413E-2</v>
      </c>
      <c r="BE61" s="1369">
        <v>0.55682687440682599</v>
      </c>
    </row>
    <row r="62" spans="1:57" hidden="1">
      <c r="A62" s="1418"/>
      <c r="B62" s="1356" t="s">
        <v>9936</v>
      </c>
      <c r="C62" s="1419">
        <v>5533287</v>
      </c>
      <c r="D62" s="1420">
        <v>11609</v>
      </c>
      <c r="E62" s="1421">
        <v>1256</v>
      </c>
      <c r="F62" s="1421">
        <v>5749</v>
      </c>
      <c r="G62" s="1421">
        <v>1401</v>
      </c>
      <c r="H62" s="1421">
        <v>1508836</v>
      </c>
      <c r="I62" s="1421">
        <v>193182</v>
      </c>
      <c r="J62" s="1421">
        <v>12014</v>
      </c>
      <c r="K62" s="1421">
        <v>31714</v>
      </c>
      <c r="L62" s="1421">
        <v>184568</v>
      </c>
      <c r="M62" s="1421">
        <v>9715</v>
      </c>
      <c r="N62" s="1421">
        <v>36178</v>
      </c>
      <c r="O62" s="1421">
        <v>121042</v>
      </c>
      <c r="P62" s="1421">
        <v>82114</v>
      </c>
      <c r="Q62" s="1421">
        <v>318231</v>
      </c>
      <c r="R62" s="1421">
        <v>29103</v>
      </c>
      <c r="S62" s="1421">
        <v>127560</v>
      </c>
      <c r="T62" s="1421">
        <v>39358</v>
      </c>
      <c r="U62" s="1421">
        <v>200559</v>
      </c>
      <c r="V62" s="1421">
        <v>16022</v>
      </c>
      <c r="W62" s="1421">
        <v>107476</v>
      </c>
      <c r="X62" s="1421">
        <v>241333</v>
      </c>
      <c r="Y62" s="1421">
        <v>250527</v>
      </c>
      <c r="Z62" s="1421">
        <v>534966</v>
      </c>
      <c r="AA62" s="1421">
        <v>272960</v>
      </c>
      <c r="AB62" s="1421">
        <v>139241</v>
      </c>
      <c r="AC62" s="1421">
        <v>132487</v>
      </c>
      <c r="AD62" s="1421">
        <v>175587</v>
      </c>
      <c r="AE62" s="1421">
        <v>725700</v>
      </c>
      <c r="AF62" s="1421">
        <v>369379</v>
      </c>
      <c r="AG62" s="1421">
        <v>164920</v>
      </c>
      <c r="AH62" s="1421">
        <v>230117</v>
      </c>
      <c r="AI62" s="1421">
        <v>512455</v>
      </c>
      <c r="AJ62" s="1421">
        <v>211683</v>
      </c>
      <c r="AK62" s="1421">
        <v>5490206</v>
      </c>
      <c r="AL62" s="1422">
        <v>43081</v>
      </c>
      <c r="AM62" s="1422"/>
      <c r="AN62" s="1374">
        <v>-5.8912005358213821E-3</v>
      </c>
      <c r="AO62" s="740"/>
      <c r="AP62" s="1423">
        <v>18614</v>
      </c>
      <c r="AQ62" s="1387">
        <v>-0.27323868202518081</v>
      </c>
      <c r="AR62" s="1424">
        <v>1760764</v>
      </c>
      <c r="AS62" s="1387">
        <v>1.5832612655128506</v>
      </c>
      <c r="AT62" s="1424">
        <v>3710828</v>
      </c>
      <c r="AU62" s="1387">
        <v>-0.5887795936890371</v>
      </c>
      <c r="AV62" s="1398">
        <v>-9.2164017351445513E-4</v>
      </c>
      <c r="AW62" s="1389">
        <v>0.49593277023053323</v>
      </c>
      <c r="AX62" s="1376">
        <v>-0.39717270065687643</v>
      </c>
      <c r="AY62" s="740"/>
      <c r="AZ62" s="1423">
        <v>1508836</v>
      </c>
      <c r="BA62" s="1387">
        <v>1.2059506713252848</v>
      </c>
      <c r="BB62" s="1424">
        <v>3981370</v>
      </c>
      <c r="BC62" s="1387">
        <v>-0.31460201530570731</v>
      </c>
      <c r="BD62" s="1398">
        <v>0.32490526822777238</v>
      </c>
      <c r="BE62" s="1377">
        <v>-0.22706683882763001</v>
      </c>
    </row>
    <row r="63" spans="1:57" hidden="1">
      <c r="A63" s="1425" t="s">
        <v>9937</v>
      </c>
      <c r="B63" s="1305" t="s">
        <v>9918</v>
      </c>
      <c r="C63" s="1378">
        <v>5155233</v>
      </c>
      <c r="D63" s="1334">
        <v>9782</v>
      </c>
      <c r="E63" s="1335">
        <v>1257</v>
      </c>
      <c r="F63" s="1335">
        <v>5621</v>
      </c>
      <c r="G63" s="1335">
        <v>1687</v>
      </c>
      <c r="H63" s="1335">
        <v>1373296</v>
      </c>
      <c r="I63" s="1335">
        <v>213136</v>
      </c>
      <c r="J63" s="1335">
        <v>11966</v>
      </c>
      <c r="K63" s="1335">
        <v>29404</v>
      </c>
      <c r="L63" s="1335">
        <v>220257</v>
      </c>
      <c r="M63" s="1335">
        <v>9509</v>
      </c>
      <c r="N63" s="1335">
        <v>34562</v>
      </c>
      <c r="O63" s="1335">
        <v>100833</v>
      </c>
      <c r="P63" s="1335">
        <v>80918</v>
      </c>
      <c r="Q63" s="1335">
        <v>281167</v>
      </c>
      <c r="R63" s="1335">
        <v>25307</v>
      </c>
      <c r="S63" s="1335">
        <v>108735</v>
      </c>
      <c r="T63" s="1335">
        <v>33957</v>
      </c>
      <c r="U63" s="1335">
        <v>111982</v>
      </c>
      <c r="V63" s="1335">
        <v>19721</v>
      </c>
      <c r="W63" s="1335">
        <v>91842</v>
      </c>
      <c r="X63" s="1335">
        <v>209810</v>
      </c>
      <c r="Y63" s="1335">
        <v>226515</v>
      </c>
      <c r="Z63" s="1335">
        <v>462096</v>
      </c>
      <c r="AA63" s="1335">
        <v>228726</v>
      </c>
      <c r="AB63" s="1335">
        <v>81748</v>
      </c>
      <c r="AC63" s="1335">
        <v>140858</v>
      </c>
      <c r="AD63" s="1335">
        <v>168591</v>
      </c>
      <c r="AE63" s="1335">
        <v>721602</v>
      </c>
      <c r="AF63" s="1335">
        <v>369723</v>
      </c>
      <c r="AG63" s="1335">
        <v>175191</v>
      </c>
      <c r="AH63" s="1335">
        <v>242100</v>
      </c>
      <c r="AI63" s="1335">
        <v>511139</v>
      </c>
      <c r="AJ63" s="1335">
        <v>181767</v>
      </c>
      <c r="AK63" s="1335">
        <v>5111509</v>
      </c>
      <c r="AL63" s="1336">
        <v>43724</v>
      </c>
      <c r="AM63" s="1336"/>
      <c r="AN63" s="1379">
        <v>-6.9616829077356241</v>
      </c>
      <c r="AO63" s="740"/>
      <c r="AP63" s="1349">
        <v>16660</v>
      </c>
      <c r="AQ63" s="1395">
        <v>-2.8684701492537314</v>
      </c>
      <c r="AR63" s="1349">
        <v>1601498</v>
      </c>
      <c r="AS63" s="1393">
        <v>-3.7424200442010074</v>
      </c>
      <c r="AT63" s="1349">
        <v>3493351</v>
      </c>
      <c r="AU63" s="1393">
        <v>-8.4773236249922714</v>
      </c>
      <c r="AV63" s="1385">
        <v>-8.879298248621225E-3</v>
      </c>
      <c r="AW63" s="1394">
        <v>-1.1237185070130093</v>
      </c>
      <c r="AX63" s="1385">
        <v>-5.839636528864057</v>
      </c>
      <c r="AY63" s="740"/>
      <c r="AZ63" s="1349">
        <v>1373296</v>
      </c>
      <c r="BA63" s="1395">
        <v>-6.2521716751440222</v>
      </c>
      <c r="BB63" s="1349">
        <v>3738213</v>
      </c>
      <c r="BC63" s="1395">
        <v>-7.3083614103402068</v>
      </c>
      <c r="BD63" s="1385">
        <v>-1.6529030258058377</v>
      </c>
      <c r="BE63" s="1369">
        <v>-5.3193313083198497</v>
      </c>
    </row>
    <row r="64" spans="1:57" hidden="1">
      <c r="A64" s="1343">
        <v>-2020</v>
      </c>
      <c r="B64" s="1391" t="s">
        <v>9920</v>
      </c>
      <c r="C64" s="1382">
        <v>5375952</v>
      </c>
      <c r="D64" s="1345">
        <v>13693</v>
      </c>
      <c r="E64" s="1346">
        <v>1175</v>
      </c>
      <c r="F64" s="1346">
        <v>5406</v>
      </c>
      <c r="G64" s="1346">
        <v>1332</v>
      </c>
      <c r="H64" s="1346">
        <v>1414748</v>
      </c>
      <c r="I64" s="1346">
        <v>198727</v>
      </c>
      <c r="J64" s="1346">
        <v>11687</v>
      </c>
      <c r="K64" s="1346">
        <v>30380</v>
      </c>
      <c r="L64" s="1346">
        <v>201083</v>
      </c>
      <c r="M64" s="1346">
        <v>11413</v>
      </c>
      <c r="N64" s="1346">
        <v>36340</v>
      </c>
      <c r="O64" s="1346">
        <v>109918</v>
      </c>
      <c r="P64" s="1346">
        <v>85424</v>
      </c>
      <c r="Q64" s="1346">
        <v>295233</v>
      </c>
      <c r="R64" s="1346">
        <v>25722</v>
      </c>
      <c r="S64" s="1346">
        <v>110372</v>
      </c>
      <c r="T64" s="1346">
        <v>42652</v>
      </c>
      <c r="U64" s="1346">
        <v>145514</v>
      </c>
      <c r="V64" s="1346">
        <v>21385</v>
      </c>
      <c r="W64" s="1346">
        <v>88898</v>
      </c>
      <c r="X64" s="1346">
        <v>234377</v>
      </c>
      <c r="Y64" s="1346">
        <v>251257</v>
      </c>
      <c r="Z64" s="1346">
        <v>531222</v>
      </c>
      <c r="AA64" s="1346">
        <v>233926</v>
      </c>
      <c r="AB64" s="1346">
        <v>87502</v>
      </c>
      <c r="AC64" s="1346">
        <v>147164</v>
      </c>
      <c r="AD64" s="1346">
        <v>175277</v>
      </c>
      <c r="AE64" s="1346">
        <v>737531</v>
      </c>
      <c r="AF64" s="1346">
        <v>368377</v>
      </c>
      <c r="AG64" s="1346">
        <v>157179</v>
      </c>
      <c r="AH64" s="1346">
        <v>255674</v>
      </c>
      <c r="AI64" s="1346">
        <v>500490</v>
      </c>
      <c r="AJ64" s="1346">
        <v>214029</v>
      </c>
      <c r="AK64" s="1346">
        <v>5330359</v>
      </c>
      <c r="AL64" s="1347">
        <v>45593</v>
      </c>
      <c r="AM64" s="1347"/>
      <c r="AN64" s="1383">
        <v>-2.1269603337349765</v>
      </c>
      <c r="AO64" s="740"/>
      <c r="AP64" s="1349">
        <v>20274</v>
      </c>
      <c r="AQ64" s="1395">
        <v>-3.6223616657159154</v>
      </c>
      <c r="AR64" s="1349">
        <v>1667337</v>
      </c>
      <c r="AS64" s="1393">
        <v>1.4283480862386448</v>
      </c>
      <c r="AT64" s="1349">
        <v>3642748</v>
      </c>
      <c r="AU64" s="1393">
        <v>-3.7615636776352082</v>
      </c>
      <c r="AV64" s="1385">
        <v>-1.3872752725525782E-2</v>
      </c>
      <c r="AW64" s="1394">
        <v>0.42747012335347156</v>
      </c>
      <c r="AX64" s="1385">
        <v>-2.5921293084781638</v>
      </c>
      <c r="AY64" s="740"/>
      <c r="AZ64" s="1349">
        <v>1414748</v>
      </c>
      <c r="BA64" s="1395">
        <v>-1.2116472313385938</v>
      </c>
      <c r="BB64" s="1349">
        <v>3915611</v>
      </c>
      <c r="BC64" s="1395">
        <v>-2.5463417523639715</v>
      </c>
      <c r="BD64" s="1385">
        <v>-0.31590551875764222</v>
      </c>
      <c r="BE64" s="1369">
        <v>-1.8626264190925759</v>
      </c>
    </row>
    <row r="65" spans="1:57" hidden="1">
      <c r="A65" s="1343"/>
      <c r="B65" s="1391" t="s">
        <v>9921</v>
      </c>
      <c r="C65" s="1382">
        <v>5744541</v>
      </c>
      <c r="D65" s="1345">
        <v>32059</v>
      </c>
      <c r="E65" s="1346">
        <v>1307</v>
      </c>
      <c r="F65" s="1346">
        <v>7427</v>
      </c>
      <c r="G65" s="1346">
        <v>1293</v>
      </c>
      <c r="H65" s="1346">
        <v>1613204</v>
      </c>
      <c r="I65" s="1346">
        <v>232531</v>
      </c>
      <c r="J65" s="1346">
        <v>12169</v>
      </c>
      <c r="K65" s="1346">
        <v>32140</v>
      </c>
      <c r="L65" s="1346">
        <v>214203</v>
      </c>
      <c r="M65" s="1346">
        <v>12045</v>
      </c>
      <c r="N65" s="1346">
        <v>38586</v>
      </c>
      <c r="O65" s="1346">
        <v>143051</v>
      </c>
      <c r="P65" s="1346">
        <v>98683</v>
      </c>
      <c r="Q65" s="1346">
        <v>330499</v>
      </c>
      <c r="R65" s="1346">
        <v>26996</v>
      </c>
      <c r="S65" s="1346">
        <v>123352</v>
      </c>
      <c r="T65" s="1346">
        <v>52387</v>
      </c>
      <c r="U65" s="1346">
        <v>178928</v>
      </c>
      <c r="V65" s="1346">
        <v>22057</v>
      </c>
      <c r="W65" s="1346">
        <v>95577</v>
      </c>
      <c r="X65" s="1346">
        <v>218583</v>
      </c>
      <c r="Y65" s="1346">
        <v>294547</v>
      </c>
      <c r="Z65" s="1346">
        <v>566794</v>
      </c>
      <c r="AA65" s="1346">
        <v>239218</v>
      </c>
      <c r="AB65" s="1346">
        <v>88620</v>
      </c>
      <c r="AC65" s="1346">
        <v>151162</v>
      </c>
      <c r="AD65" s="1346">
        <v>176883</v>
      </c>
      <c r="AE65" s="1346">
        <v>739442</v>
      </c>
      <c r="AF65" s="1346">
        <v>375556</v>
      </c>
      <c r="AG65" s="1346">
        <v>183060</v>
      </c>
      <c r="AH65" s="1346">
        <v>262672</v>
      </c>
      <c r="AI65" s="1346">
        <v>516068</v>
      </c>
      <c r="AJ65" s="1346">
        <v>227927</v>
      </c>
      <c r="AK65" s="1346">
        <v>5695822</v>
      </c>
      <c r="AL65" s="1347">
        <v>48719</v>
      </c>
      <c r="AM65" s="1347"/>
      <c r="AN65" s="1383">
        <v>0.89987578239483523</v>
      </c>
      <c r="AO65" s="740"/>
      <c r="AP65" s="1349">
        <v>40793</v>
      </c>
      <c r="AQ65" s="1395">
        <v>-3.7787474938082322</v>
      </c>
      <c r="AR65" s="1349">
        <v>1909044</v>
      </c>
      <c r="AS65" s="1393">
        <v>8.1507776309237254</v>
      </c>
      <c r="AT65" s="1349">
        <v>3745985</v>
      </c>
      <c r="AU65" s="1393">
        <v>-2.4843677598388099</v>
      </c>
      <c r="AV65" s="1385">
        <v>-2.8138297152930428E-2</v>
      </c>
      <c r="AW65" s="1394">
        <v>2.5270895773270072</v>
      </c>
      <c r="AX65" s="1385">
        <v>-1.6762661602933306</v>
      </c>
      <c r="AY65" s="740"/>
      <c r="AZ65" s="1349">
        <v>1613204</v>
      </c>
      <c r="BA65" s="1395">
        <v>5.9216712102827547</v>
      </c>
      <c r="BB65" s="1349">
        <v>4082618</v>
      </c>
      <c r="BC65" s="1395">
        <v>-1.050662535434109</v>
      </c>
      <c r="BD65" s="1385">
        <v>1.5841053331014292</v>
      </c>
      <c r="BE65" s="1369">
        <v>-0.76142021322068287</v>
      </c>
    </row>
    <row r="66" spans="1:57" hidden="1">
      <c r="A66" s="1418"/>
      <c r="B66" s="1392" t="s">
        <v>9938</v>
      </c>
      <c r="C66" s="1386">
        <v>5567745</v>
      </c>
      <c r="D66" s="1357">
        <v>11389</v>
      </c>
      <c r="E66" s="1358">
        <v>1621</v>
      </c>
      <c r="F66" s="1358">
        <v>4714</v>
      </c>
      <c r="G66" s="1358">
        <v>1548</v>
      </c>
      <c r="H66" s="1358">
        <v>1646121</v>
      </c>
      <c r="I66" s="1358">
        <v>209695</v>
      </c>
      <c r="J66" s="1358">
        <v>11236</v>
      </c>
      <c r="K66" s="1358">
        <v>31288</v>
      </c>
      <c r="L66" s="1358">
        <v>225174</v>
      </c>
      <c r="M66" s="1358">
        <v>13560</v>
      </c>
      <c r="N66" s="1358">
        <v>37098</v>
      </c>
      <c r="O66" s="1358">
        <v>154014</v>
      </c>
      <c r="P66" s="1358">
        <v>96982</v>
      </c>
      <c r="Q66" s="1358">
        <v>377900</v>
      </c>
      <c r="R66" s="1358">
        <v>30667</v>
      </c>
      <c r="S66" s="1358">
        <v>120831</v>
      </c>
      <c r="T66" s="1358">
        <v>62263</v>
      </c>
      <c r="U66" s="1358">
        <v>155041</v>
      </c>
      <c r="V66" s="1358">
        <v>21381</v>
      </c>
      <c r="W66" s="1358">
        <v>98991</v>
      </c>
      <c r="X66" s="1358">
        <v>247834</v>
      </c>
      <c r="Y66" s="1358">
        <v>279571</v>
      </c>
      <c r="Z66" s="1358">
        <v>500913</v>
      </c>
      <c r="AA66" s="1358">
        <v>248596</v>
      </c>
      <c r="AB66" s="1358">
        <v>86265</v>
      </c>
      <c r="AC66" s="1358">
        <v>136311</v>
      </c>
      <c r="AD66" s="1358">
        <v>159140</v>
      </c>
      <c r="AE66" s="1358">
        <v>735632</v>
      </c>
      <c r="AF66" s="1358">
        <v>389641</v>
      </c>
      <c r="AG66" s="1358">
        <v>162578</v>
      </c>
      <c r="AH66" s="1358">
        <v>183775</v>
      </c>
      <c r="AI66" s="1358">
        <v>512460</v>
      </c>
      <c r="AJ66" s="1358">
        <v>212415</v>
      </c>
      <c r="AK66" s="1358">
        <v>5520524</v>
      </c>
      <c r="AL66" s="1359">
        <v>47221</v>
      </c>
      <c r="AM66" s="1359"/>
      <c r="AN66" s="1387">
        <v>0.62274063241548361</v>
      </c>
      <c r="AO66" s="740"/>
      <c r="AP66" s="1361">
        <v>17724</v>
      </c>
      <c r="AQ66" s="1396">
        <v>-4.7813473729450955</v>
      </c>
      <c r="AR66" s="1361">
        <v>1927240</v>
      </c>
      <c r="AS66" s="1397">
        <v>9.4547594112555693</v>
      </c>
      <c r="AT66" s="1361">
        <v>3575560</v>
      </c>
      <c r="AU66" s="1397">
        <v>-3.6452241925521744</v>
      </c>
      <c r="AV66" s="1389">
        <v>-1.6084472165135182E-2</v>
      </c>
      <c r="AW66" s="1398">
        <v>3.0086276271494885</v>
      </c>
      <c r="AX66" s="1389">
        <v>-2.4446228998129276</v>
      </c>
      <c r="AY66" s="740"/>
      <c r="AZ66" s="1361">
        <v>1646121</v>
      </c>
      <c r="BA66" s="1396">
        <v>9.0987357141531628</v>
      </c>
      <c r="BB66" s="1361">
        <v>3874403</v>
      </c>
      <c r="BC66" s="1396">
        <v>-2.6866882505268288</v>
      </c>
      <c r="BD66" s="1389">
        <v>2.4810750125736893</v>
      </c>
      <c r="BE66" s="1377">
        <v>-1.9331547574022641</v>
      </c>
    </row>
    <row r="67" spans="1:57" hidden="1">
      <c r="A67" s="1425" t="s">
        <v>9939</v>
      </c>
      <c r="B67" s="1305" t="s">
        <v>9918</v>
      </c>
      <c r="C67" s="1378">
        <v>5572441</v>
      </c>
      <c r="D67" s="1334">
        <v>9886</v>
      </c>
      <c r="E67" s="1335">
        <v>1540</v>
      </c>
      <c r="F67" s="1335">
        <v>4712</v>
      </c>
      <c r="G67" s="1335">
        <v>1218</v>
      </c>
      <c r="H67" s="1335">
        <v>1533790</v>
      </c>
      <c r="I67" s="1335">
        <v>216644</v>
      </c>
      <c r="J67" s="1335">
        <v>10715</v>
      </c>
      <c r="K67" s="1335">
        <v>31373</v>
      </c>
      <c r="L67" s="1335">
        <v>210209</v>
      </c>
      <c r="M67" s="1335">
        <v>9290</v>
      </c>
      <c r="N67" s="1335">
        <v>38403</v>
      </c>
      <c r="O67" s="1335">
        <v>112347</v>
      </c>
      <c r="P67" s="1335">
        <v>96007</v>
      </c>
      <c r="Q67" s="1335">
        <v>321184</v>
      </c>
      <c r="R67" s="1335">
        <v>40690</v>
      </c>
      <c r="S67" s="1335">
        <v>139647</v>
      </c>
      <c r="T67" s="1335">
        <v>45696</v>
      </c>
      <c r="U67" s="1335">
        <v>141953</v>
      </c>
      <c r="V67" s="1335">
        <v>14903</v>
      </c>
      <c r="W67" s="1335">
        <v>104729</v>
      </c>
      <c r="X67" s="1335">
        <v>197632</v>
      </c>
      <c r="Y67" s="1335">
        <v>230861</v>
      </c>
      <c r="Z67" s="1335">
        <v>521669</v>
      </c>
      <c r="AA67" s="1335">
        <v>263173</v>
      </c>
      <c r="AB67" s="1335">
        <v>81507</v>
      </c>
      <c r="AC67" s="1335">
        <v>159281</v>
      </c>
      <c r="AD67" s="1335">
        <v>181147</v>
      </c>
      <c r="AE67" s="1335">
        <v>755638</v>
      </c>
      <c r="AF67" s="1335">
        <v>399169</v>
      </c>
      <c r="AG67" s="1335">
        <v>179110</v>
      </c>
      <c r="AH67" s="1335">
        <v>213271</v>
      </c>
      <c r="AI67" s="1335">
        <v>536479</v>
      </c>
      <c r="AJ67" s="1335">
        <v>230003</v>
      </c>
      <c r="AK67" s="1335">
        <v>5500086</v>
      </c>
      <c r="AL67" s="1336">
        <v>72355</v>
      </c>
      <c r="AM67" s="1336"/>
      <c r="AN67" s="1379">
        <v>8.0928978973513512</v>
      </c>
      <c r="AO67" s="740"/>
      <c r="AP67" s="1349">
        <v>16138</v>
      </c>
      <c r="AQ67" s="1395">
        <v>-3.1332533013205279</v>
      </c>
      <c r="AR67" s="1349">
        <v>1765869</v>
      </c>
      <c r="AS67" s="1393">
        <v>10.263578224886949</v>
      </c>
      <c r="AT67" s="1349">
        <v>3718079</v>
      </c>
      <c r="AU67" s="1393">
        <v>6.4330209017072715</v>
      </c>
      <c r="AV67" s="1385">
        <v>-1.0125633360494688E-2</v>
      </c>
      <c r="AW67" s="1394">
        <v>3.1884300404173804</v>
      </c>
      <c r="AX67" s="1385">
        <v>4.3592209460483726</v>
      </c>
      <c r="AY67" s="740"/>
      <c r="AZ67" s="1349">
        <v>1533790</v>
      </c>
      <c r="BA67" s="1395">
        <v>11.686774009390547</v>
      </c>
      <c r="BB67" s="1349">
        <v>3966296</v>
      </c>
      <c r="BC67" s="1395">
        <v>6.1013912262356369</v>
      </c>
      <c r="BD67" s="1385">
        <v>3.11322490528589</v>
      </c>
      <c r="BE67" s="1369">
        <v>4.4243004478193679</v>
      </c>
    </row>
    <row r="68" spans="1:57" hidden="1">
      <c r="A68" s="1343">
        <v>-2021</v>
      </c>
      <c r="B68" s="1391" t="s">
        <v>9920</v>
      </c>
      <c r="C68" s="1382">
        <v>5507879</v>
      </c>
      <c r="D68" s="1345">
        <v>13138</v>
      </c>
      <c r="E68" s="1346">
        <v>1484</v>
      </c>
      <c r="F68" s="1346">
        <v>4928</v>
      </c>
      <c r="G68" s="1346">
        <v>1243</v>
      </c>
      <c r="H68" s="1346">
        <v>1465757</v>
      </c>
      <c r="I68" s="1346">
        <v>188943</v>
      </c>
      <c r="J68" s="1346">
        <v>10297</v>
      </c>
      <c r="K68" s="1346">
        <v>32654</v>
      </c>
      <c r="L68" s="1346">
        <v>203293</v>
      </c>
      <c r="M68" s="1346">
        <v>9827</v>
      </c>
      <c r="N68" s="1346">
        <v>38505</v>
      </c>
      <c r="O68" s="1346">
        <v>115835</v>
      </c>
      <c r="P68" s="1346">
        <v>76229</v>
      </c>
      <c r="Q68" s="1346">
        <v>312440</v>
      </c>
      <c r="R68" s="1346">
        <v>42424</v>
      </c>
      <c r="S68" s="1346">
        <v>135466</v>
      </c>
      <c r="T68" s="1346">
        <v>49771</v>
      </c>
      <c r="U68" s="1346">
        <v>133251</v>
      </c>
      <c r="V68" s="1346">
        <v>14414</v>
      </c>
      <c r="W68" s="1346">
        <v>102408</v>
      </c>
      <c r="X68" s="1346">
        <v>208301</v>
      </c>
      <c r="Y68" s="1346">
        <v>246438</v>
      </c>
      <c r="Z68" s="1346">
        <v>541405</v>
      </c>
      <c r="AA68" s="1346">
        <v>259069</v>
      </c>
      <c r="AB68" s="1346">
        <v>77462</v>
      </c>
      <c r="AC68" s="1346">
        <v>151729</v>
      </c>
      <c r="AD68" s="1346">
        <v>178146</v>
      </c>
      <c r="AE68" s="1346">
        <v>736817</v>
      </c>
      <c r="AF68" s="1346">
        <v>405327</v>
      </c>
      <c r="AG68" s="1346">
        <v>155307</v>
      </c>
      <c r="AH68" s="1346">
        <v>245834</v>
      </c>
      <c r="AI68" s="1346">
        <v>530093</v>
      </c>
      <c r="AJ68" s="1346">
        <v>213882</v>
      </c>
      <c r="AK68" s="1346">
        <v>5436360</v>
      </c>
      <c r="AL68" s="1347">
        <v>71519</v>
      </c>
      <c r="AM68" s="1347"/>
      <c r="AN68" s="1383">
        <v>2.4540106478956547</v>
      </c>
      <c r="AO68" s="740"/>
      <c r="AP68" s="1349">
        <v>19550</v>
      </c>
      <c r="AQ68" s="1395">
        <v>-3.5710762553023576</v>
      </c>
      <c r="AR68" s="1349">
        <v>1713438</v>
      </c>
      <c r="AS68" s="1393">
        <v>2.7649479379393607</v>
      </c>
      <c r="AT68" s="1349">
        <v>3703372</v>
      </c>
      <c r="AU68" s="1393">
        <v>1.6642380971727937</v>
      </c>
      <c r="AV68" s="1385">
        <v>-1.346738152347028E-2</v>
      </c>
      <c r="AW68" s="1394">
        <v>0.8575410989136788</v>
      </c>
      <c r="AX68" s="1385">
        <v>1.1276885876779865</v>
      </c>
      <c r="AY68" s="740"/>
      <c r="AZ68" s="1349">
        <v>1465757</v>
      </c>
      <c r="BA68" s="1395">
        <v>3.6055184386194572</v>
      </c>
      <c r="BB68" s="1349">
        <v>3970603</v>
      </c>
      <c r="BC68" s="1395">
        <v>1.4044296024298635</v>
      </c>
      <c r="BD68" s="1385">
        <v>0.94883655266670663</v>
      </c>
      <c r="BE68" s="1369">
        <v>1.0229257524014885</v>
      </c>
    </row>
    <row r="69" spans="1:57" hidden="1">
      <c r="A69" s="1343"/>
      <c r="B69" s="1391" t="s">
        <v>9921</v>
      </c>
      <c r="C69" s="1382">
        <v>5817007</v>
      </c>
      <c r="D69" s="1345">
        <v>30053</v>
      </c>
      <c r="E69" s="1346">
        <v>1540</v>
      </c>
      <c r="F69" s="1346">
        <v>5835</v>
      </c>
      <c r="G69" s="1346">
        <v>1332</v>
      </c>
      <c r="H69" s="1346">
        <v>1590329</v>
      </c>
      <c r="I69" s="1346">
        <v>231076</v>
      </c>
      <c r="J69" s="1346">
        <v>11727</v>
      </c>
      <c r="K69" s="1346">
        <v>33699</v>
      </c>
      <c r="L69" s="1346">
        <v>228301</v>
      </c>
      <c r="M69" s="1346">
        <v>10807</v>
      </c>
      <c r="N69" s="1346">
        <v>39197</v>
      </c>
      <c r="O69" s="1346">
        <v>125196</v>
      </c>
      <c r="P69" s="1346">
        <v>69269</v>
      </c>
      <c r="Q69" s="1346">
        <v>334888</v>
      </c>
      <c r="R69" s="1346">
        <v>41171</v>
      </c>
      <c r="S69" s="1346">
        <v>139072</v>
      </c>
      <c r="T69" s="1346">
        <v>39932</v>
      </c>
      <c r="U69" s="1346">
        <v>158310</v>
      </c>
      <c r="V69" s="1346">
        <v>15256</v>
      </c>
      <c r="W69" s="1346">
        <v>112428</v>
      </c>
      <c r="X69" s="1346">
        <v>215175</v>
      </c>
      <c r="Y69" s="1346">
        <v>283071</v>
      </c>
      <c r="Z69" s="1346">
        <v>606403</v>
      </c>
      <c r="AA69" s="1346">
        <v>261591</v>
      </c>
      <c r="AB69" s="1346">
        <v>85945</v>
      </c>
      <c r="AC69" s="1346">
        <v>149740</v>
      </c>
      <c r="AD69" s="1346">
        <v>180353</v>
      </c>
      <c r="AE69" s="1346">
        <v>737967</v>
      </c>
      <c r="AF69" s="1346">
        <v>405640</v>
      </c>
      <c r="AG69" s="1346">
        <v>179194</v>
      </c>
      <c r="AH69" s="1346">
        <v>248842</v>
      </c>
      <c r="AI69" s="1346">
        <v>526106</v>
      </c>
      <c r="AJ69" s="1346">
        <v>232359</v>
      </c>
      <c r="AK69" s="1346">
        <v>5741475</v>
      </c>
      <c r="AL69" s="1347">
        <v>75532</v>
      </c>
      <c r="AM69" s="1347"/>
      <c r="AN69" s="1383">
        <v>1.261484994532954</v>
      </c>
      <c r="AO69" s="740"/>
      <c r="AP69" s="1349">
        <v>37428</v>
      </c>
      <c r="AQ69" s="1395">
        <v>-8.2489642830877834</v>
      </c>
      <c r="AR69" s="1349">
        <v>1874732</v>
      </c>
      <c r="AS69" s="1393">
        <v>-1.7973394012919555</v>
      </c>
      <c r="AT69" s="1349">
        <v>3829315</v>
      </c>
      <c r="AU69" s="1393">
        <v>2.2245150474441302</v>
      </c>
      <c r="AV69" s="1385">
        <v>-5.8577352198844711E-2</v>
      </c>
      <c r="AW69" s="1394">
        <v>-0.59729750628432676</v>
      </c>
      <c r="AX69" s="1385">
        <v>1.4505945791173047</v>
      </c>
      <c r="AY69" s="740"/>
      <c r="AZ69" s="1349">
        <v>1590329</v>
      </c>
      <c r="BA69" s="1395">
        <v>-1.417985574050151</v>
      </c>
      <c r="BB69" s="1349">
        <v>4151146</v>
      </c>
      <c r="BC69" s="1395">
        <v>1.6785307858829799</v>
      </c>
      <c r="BD69" s="1385">
        <v>-0.39820414013330541</v>
      </c>
      <c r="BE69" s="1369">
        <v>1.1929238607674384</v>
      </c>
    </row>
    <row r="70" spans="1:57" hidden="1">
      <c r="A70" s="1418"/>
      <c r="B70" s="1392" t="s">
        <v>9940</v>
      </c>
      <c r="C70" s="1386">
        <v>5608965</v>
      </c>
      <c r="D70" s="1357">
        <v>10329</v>
      </c>
      <c r="E70" s="1358">
        <v>1365</v>
      </c>
      <c r="F70" s="1358">
        <v>4473</v>
      </c>
      <c r="G70" s="1358">
        <v>1332</v>
      </c>
      <c r="H70" s="1358">
        <v>1567132</v>
      </c>
      <c r="I70" s="1358">
        <v>201848</v>
      </c>
      <c r="J70" s="1358">
        <v>10908</v>
      </c>
      <c r="K70" s="1358">
        <v>31149</v>
      </c>
      <c r="L70" s="1358">
        <v>221487</v>
      </c>
      <c r="M70" s="1358">
        <v>11043</v>
      </c>
      <c r="N70" s="1358">
        <v>38634</v>
      </c>
      <c r="O70" s="1358">
        <v>119484</v>
      </c>
      <c r="P70" s="1358">
        <v>86155</v>
      </c>
      <c r="Q70" s="1358">
        <v>344863</v>
      </c>
      <c r="R70" s="1358">
        <v>36935</v>
      </c>
      <c r="S70" s="1358">
        <v>142471</v>
      </c>
      <c r="T70" s="1358">
        <v>50770</v>
      </c>
      <c r="U70" s="1358">
        <v>150583</v>
      </c>
      <c r="V70" s="1358">
        <v>14609</v>
      </c>
      <c r="W70" s="1358">
        <v>106193</v>
      </c>
      <c r="X70" s="1358">
        <v>256323</v>
      </c>
      <c r="Y70" s="1358">
        <v>275859</v>
      </c>
      <c r="Z70" s="1358">
        <v>517675</v>
      </c>
      <c r="AA70" s="1358">
        <v>230924</v>
      </c>
      <c r="AB70" s="1358">
        <v>95192</v>
      </c>
      <c r="AC70" s="1358">
        <v>119799</v>
      </c>
      <c r="AD70" s="1358">
        <v>175372</v>
      </c>
      <c r="AE70" s="1358">
        <v>719675</v>
      </c>
      <c r="AF70" s="1358">
        <v>405235</v>
      </c>
      <c r="AG70" s="1358">
        <v>157734</v>
      </c>
      <c r="AH70" s="1358">
        <v>258877</v>
      </c>
      <c r="AI70" s="1358">
        <v>515819</v>
      </c>
      <c r="AJ70" s="1358">
        <v>223017</v>
      </c>
      <c r="AK70" s="1358">
        <v>5536132</v>
      </c>
      <c r="AL70" s="1359">
        <v>72833</v>
      </c>
      <c r="AM70" s="1359"/>
      <c r="AN70" s="1387">
        <v>0.74032805151662506</v>
      </c>
      <c r="AO70" s="740"/>
      <c r="AP70" s="1361">
        <v>16167</v>
      </c>
      <c r="AQ70" s="1396">
        <v>-8.7846987136086661</v>
      </c>
      <c r="AR70" s="1361">
        <v>1844323</v>
      </c>
      <c r="AS70" s="1397">
        <v>-4.3023702289284156</v>
      </c>
      <c r="AT70" s="1361">
        <v>3675642</v>
      </c>
      <c r="AU70" s="1397">
        <v>2.799058049648167</v>
      </c>
      <c r="AV70" s="1389">
        <v>-2.7964642874777949E-2</v>
      </c>
      <c r="AW70" s="1398">
        <v>-1.4892384670828283</v>
      </c>
      <c r="AX70" s="1389">
        <v>1.7975320412289835</v>
      </c>
      <c r="AY70" s="740"/>
      <c r="AZ70" s="1361">
        <v>1567132</v>
      </c>
      <c r="BA70" s="1396">
        <v>-4.7984929418918778</v>
      </c>
      <c r="BB70" s="1361">
        <v>3969000</v>
      </c>
      <c r="BC70" s="1375">
        <v>2.4415890654637633</v>
      </c>
      <c r="BD70" s="1389">
        <v>-1.4186892588541011</v>
      </c>
      <c r="BE70" s="1389">
        <v>1.6990181901254786</v>
      </c>
    </row>
    <row r="71" spans="1:57" hidden="1">
      <c r="A71" s="1425" t="s">
        <v>9941</v>
      </c>
      <c r="B71" s="1305" t="s">
        <v>9918</v>
      </c>
      <c r="C71" s="1378">
        <v>5614458</v>
      </c>
      <c r="D71" s="1334">
        <v>10042</v>
      </c>
      <c r="E71" s="1335">
        <v>1594</v>
      </c>
      <c r="F71" s="1335">
        <v>5640</v>
      </c>
      <c r="G71" s="1335">
        <v>1679</v>
      </c>
      <c r="H71" s="1335">
        <v>1456104</v>
      </c>
      <c r="I71" s="1335">
        <v>212718</v>
      </c>
      <c r="J71" s="1335">
        <v>10497</v>
      </c>
      <c r="K71" s="1335">
        <v>27950</v>
      </c>
      <c r="L71" s="1335">
        <v>189970</v>
      </c>
      <c r="M71" s="1335">
        <v>2949</v>
      </c>
      <c r="N71" s="1335">
        <v>35822</v>
      </c>
      <c r="O71" s="1335">
        <v>126055</v>
      </c>
      <c r="P71" s="1335">
        <v>98749</v>
      </c>
      <c r="Q71" s="1335">
        <v>289720</v>
      </c>
      <c r="R71" s="1335">
        <v>35794</v>
      </c>
      <c r="S71" s="1335">
        <v>121072</v>
      </c>
      <c r="T71" s="1335">
        <v>41377</v>
      </c>
      <c r="U71" s="1335">
        <v>140914</v>
      </c>
      <c r="V71" s="1335">
        <v>14801</v>
      </c>
      <c r="W71" s="1335">
        <v>107716</v>
      </c>
      <c r="X71" s="1335">
        <v>171905</v>
      </c>
      <c r="Y71" s="1335">
        <v>219493</v>
      </c>
      <c r="Z71" s="1335">
        <v>562271</v>
      </c>
      <c r="AA71" s="1335">
        <v>248213</v>
      </c>
      <c r="AB71" s="1335">
        <v>115115</v>
      </c>
      <c r="AC71" s="1335">
        <v>111967</v>
      </c>
      <c r="AD71" s="1335">
        <v>190911</v>
      </c>
      <c r="AE71" s="1335">
        <v>760053</v>
      </c>
      <c r="AF71" s="1335">
        <v>428886</v>
      </c>
      <c r="AG71" s="1335">
        <v>185375</v>
      </c>
      <c r="AH71" s="1335">
        <v>261233</v>
      </c>
      <c r="AI71" s="1335">
        <v>559532</v>
      </c>
      <c r="AJ71" s="1335">
        <v>251542</v>
      </c>
      <c r="AK71" s="1335">
        <v>5541555</v>
      </c>
      <c r="AL71" s="1336">
        <v>72903</v>
      </c>
      <c r="AM71" s="1336"/>
      <c r="AN71" s="1379">
        <v>0.75400860425014571</v>
      </c>
      <c r="AO71" s="740"/>
      <c r="AP71" s="1349">
        <v>17276</v>
      </c>
      <c r="AQ71" s="1395">
        <v>7.0516792663279215</v>
      </c>
      <c r="AR71" s="1349">
        <v>1677276</v>
      </c>
      <c r="AS71" s="1393">
        <v>-5.0169633194761332</v>
      </c>
      <c r="AT71" s="1349">
        <v>3847003</v>
      </c>
      <c r="AU71" s="1393">
        <v>3.4674895288669232</v>
      </c>
      <c r="AV71" s="1385">
        <v>2.042193064103397E-2</v>
      </c>
      <c r="AW71" s="1394">
        <v>-1.5898419167672428</v>
      </c>
      <c r="AX71" s="1385">
        <v>2.3136001634135881</v>
      </c>
      <c r="AY71" s="740"/>
      <c r="AZ71" s="1349">
        <v>1456104</v>
      </c>
      <c r="BA71" s="1395">
        <v>-5.0649697807392151</v>
      </c>
      <c r="BB71" s="1349">
        <v>4085451</v>
      </c>
      <c r="BC71" s="1395">
        <v>3.0041882905360566</v>
      </c>
      <c r="BD71" s="1385">
        <v>-1.3941108117569112</v>
      </c>
      <c r="BE71" s="1369">
        <v>2.1382909890442905</v>
      </c>
    </row>
    <row r="72" spans="1:57" hidden="1">
      <c r="A72" s="1343">
        <v>-2022</v>
      </c>
      <c r="B72" s="1391" t="s">
        <v>9920</v>
      </c>
      <c r="C72" s="1382">
        <v>5544875</v>
      </c>
      <c r="D72" s="1345">
        <v>13713</v>
      </c>
      <c r="E72" s="1346">
        <v>1448</v>
      </c>
      <c r="F72" s="1346">
        <v>5593</v>
      </c>
      <c r="G72" s="1346">
        <v>1595</v>
      </c>
      <c r="H72" s="1346">
        <v>1470704</v>
      </c>
      <c r="I72" s="1346">
        <v>187218</v>
      </c>
      <c r="J72" s="1346">
        <v>9965</v>
      </c>
      <c r="K72" s="1346">
        <v>27458</v>
      </c>
      <c r="L72" s="1346">
        <v>172502</v>
      </c>
      <c r="M72" s="1346">
        <v>2742</v>
      </c>
      <c r="N72" s="1346">
        <v>36498</v>
      </c>
      <c r="O72" s="1346">
        <v>124132</v>
      </c>
      <c r="P72" s="1346">
        <v>93633</v>
      </c>
      <c r="Q72" s="1346">
        <v>339003</v>
      </c>
      <c r="R72" s="1346">
        <v>31672</v>
      </c>
      <c r="S72" s="1346">
        <v>123221</v>
      </c>
      <c r="T72" s="1346">
        <v>51865</v>
      </c>
      <c r="U72" s="1346">
        <v>153589</v>
      </c>
      <c r="V72" s="1346">
        <v>14041</v>
      </c>
      <c r="W72" s="1346">
        <v>103165</v>
      </c>
      <c r="X72" s="1346">
        <v>191614</v>
      </c>
      <c r="Y72" s="1346">
        <v>236824</v>
      </c>
      <c r="Z72" s="1346">
        <v>566775</v>
      </c>
      <c r="AA72" s="1346">
        <v>241959</v>
      </c>
      <c r="AB72" s="1346">
        <v>117635</v>
      </c>
      <c r="AC72" s="1346">
        <v>105817</v>
      </c>
      <c r="AD72" s="1346">
        <v>190898</v>
      </c>
      <c r="AE72" s="1346">
        <v>740154</v>
      </c>
      <c r="AF72" s="1346">
        <v>398697</v>
      </c>
      <c r="AG72" s="1346">
        <v>162012</v>
      </c>
      <c r="AH72" s="1346">
        <v>225922</v>
      </c>
      <c r="AI72" s="1346">
        <v>556848</v>
      </c>
      <c r="AJ72" s="1346">
        <v>244668</v>
      </c>
      <c r="AK72" s="1346">
        <v>5472876</v>
      </c>
      <c r="AL72" s="1347">
        <v>71999</v>
      </c>
      <c r="AM72" s="1347"/>
      <c r="AN72" s="1383">
        <v>0.671698506593848</v>
      </c>
      <c r="AO72" s="740"/>
      <c r="AP72" s="1349">
        <v>20754</v>
      </c>
      <c r="AQ72" s="1395">
        <v>6.1585677749360617</v>
      </c>
      <c r="AR72" s="1349">
        <v>1709123</v>
      </c>
      <c r="AS72" s="1393">
        <v>-0.25183286468492005</v>
      </c>
      <c r="AT72" s="1349">
        <v>3742999</v>
      </c>
      <c r="AU72" s="1393">
        <v>1.0700248314239023</v>
      </c>
      <c r="AV72" s="1385">
        <v>2.1859595457157179E-2</v>
      </c>
      <c r="AW72" s="1394">
        <v>-7.8342320928266804E-2</v>
      </c>
      <c r="AX72" s="1385">
        <v>0.71946029001724887</v>
      </c>
      <c r="AY72" s="740"/>
      <c r="AZ72" s="1349">
        <v>1470704</v>
      </c>
      <c r="BA72" s="1395">
        <v>0.33750478421730207</v>
      </c>
      <c r="BB72" s="1349">
        <v>4002172</v>
      </c>
      <c r="BC72" s="1395">
        <v>0.79506815463545455</v>
      </c>
      <c r="BD72" s="1385">
        <v>8.9816792962256295E-2</v>
      </c>
      <c r="BE72" s="1369">
        <v>0.5731607715838829</v>
      </c>
    </row>
    <row r="73" spans="1:57" hidden="1">
      <c r="A73" s="1343"/>
      <c r="B73" s="1391" t="s">
        <v>9921</v>
      </c>
      <c r="C73" s="1382">
        <v>5924203</v>
      </c>
      <c r="D73" s="1345">
        <v>35038</v>
      </c>
      <c r="E73" s="1346">
        <v>1438</v>
      </c>
      <c r="F73" s="1346">
        <v>6461</v>
      </c>
      <c r="G73" s="1346">
        <v>1718</v>
      </c>
      <c r="H73" s="1346">
        <v>1623571</v>
      </c>
      <c r="I73" s="1346">
        <v>233318</v>
      </c>
      <c r="J73" s="1346">
        <v>10834</v>
      </c>
      <c r="K73" s="1346">
        <v>29684</v>
      </c>
      <c r="L73" s="1346">
        <v>184038</v>
      </c>
      <c r="M73" s="1346">
        <v>2510</v>
      </c>
      <c r="N73" s="1346">
        <v>39250</v>
      </c>
      <c r="O73" s="1346">
        <v>130684</v>
      </c>
      <c r="P73" s="1346">
        <v>107800</v>
      </c>
      <c r="Q73" s="1346">
        <v>369214</v>
      </c>
      <c r="R73" s="1346">
        <v>29689</v>
      </c>
      <c r="S73" s="1346">
        <v>131630</v>
      </c>
      <c r="T73" s="1346">
        <v>53642</v>
      </c>
      <c r="U73" s="1346">
        <v>177814</v>
      </c>
      <c r="V73" s="1346">
        <v>15096</v>
      </c>
      <c r="W73" s="1346">
        <v>108368</v>
      </c>
      <c r="X73" s="1346">
        <v>186118</v>
      </c>
      <c r="Y73" s="1346">
        <v>274162</v>
      </c>
      <c r="Z73" s="1346">
        <v>643684</v>
      </c>
      <c r="AA73" s="1346">
        <v>245202</v>
      </c>
      <c r="AB73" s="1346">
        <v>127746</v>
      </c>
      <c r="AC73" s="1346">
        <v>107918</v>
      </c>
      <c r="AD73" s="1346">
        <v>196579</v>
      </c>
      <c r="AE73" s="1346">
        <v>754997</v>
      </c>
      <c r="AF73" s="1346">
        <v>400006</v>
      </c>
      <c r="AG73" s="1346">
        <v>191531</v>
      </c>
      <c r="AH73" s="1346">
        <v>222414</v>
      </c>
      <c r="AI73" s="1346">
        <v>568865</v>
      </c>
      <c r="AJ73" s="1346">
        <v>259832</v>
      </c>
      <c r="AK73" s="1346">
        <v>5847280</v>
      </c>
      <c r="AL73" s="1347">
        <v>76923</v>
      </c>
      <c r="AM73" s="1347"/>
      <c r="AN73" s="1383">
        <v>1.8427877661884109</v>
      </c>
      <c r="AO73" s="740"/>
      <c r="AP73" s="1382">
        <v>42937</v>
      </c>
      <c r="AQ73" s="1426">
        <v>14.718927006519184</v>
      </c>
      <c r="AR73" s="1382">
        <v>1899451</v>
      </c>
      <c r="AS73" s="1427">
        <v>1.3185351292878129</v>
      </c>
      <c r="AT73" s="1382">
        <v>3904892</v>
      </c>
      <c r="AU73" s="1427">
        <v>1.9736428055670532</v>
      </c>
      <c r="AV73" s="1428">
        <v>9.4705052400882103E-2</v>
      </c>
      <c r="AW73" s="1429">
        <v>0.4249435814662198</v>
      </c>
      <c r="AX73" s="1428">
        <v>1.299241921456066</v>
      </c>
      <c r="AY73" s="740"/>
      <c r="AZ73" s="1382">
        <v>1623571</v>
      </c>
      <c r="BA73" s="1426">
        <v>2.0902593111236731</v>
      </c>
      <c r="BB73" s="1382">
        <v>4223709</v>
      </c>
      <c r="BC73" s="1426">
        <v>1.7480233169346489</v>
      </c>
      <c r="BD73" s="1428">
        <v>0.57146221671993525</v>
      </c>
      <c r="BE73" s="1430">
        <v>1.2474283386032328</v>
      </c>
    </row>
    <row r="74" spans="1:57" hidden="1">
      <c r="A74" s="1418"/>
      <c r="B74" s="1392" t="s">
        <v>9942</v>
      </c>
      <c r="C74" s="1386">
        <v>5791747</v>
      </c>
      <c r="D74" s="1357">
        <v>12422</v>
      </c>
      <c r="E74" s="1358">
        <v>1403</v>
      </c>
      <c r="F74" s="1358">
        <v>5838</v>
      </c>
      <c r="G74" s="1358">
        <v>1379</v>
      </c>
      <c r="H74" s="1358">
        <v>1604700</v>
      </c>
      <c r="I74" s="1358">
        <v>208032</v>
      </c>
      <c r="J74" s="1358">
        <v>10416</v>
      </c>
      <c r="K74" s="1358">
        <v>28453</v>
      </c>
      <c r="L74" s="1358">
        <v>213213</v>
      </c>
      <c r="M74" s="1358">
        <v>2498</v>
      </c>
      <c r="N74" s="1358">
        <v>31693</v>
      </c>
      <c r="O74" s="1358">
        <v>128009</v>
      </c>
      <c r="P74" s="1358">
        <v>98702</v>
      </c>
      <c r="Q74" s="1358">
        <v>368802</v>
      </c>
      <c r="R74" s="1358">
        <v>26902</v>
      </c>
      <c r="S74" s="1358">
        <v>149867</v>
      </c>
      <c r="T74" s="1358">
        <v>62999</v>
      </c>
      <c r="U74" s="1358">
        <v>159702</v>
      </c>
      <c r="V74" s="1358">
        <v>13790</v>
      </c>
      <c r="W74" s="1358">
        <v>101622</v>
      </c>
      <c r="X74" s="1358">
        <v>201668</v>
      </c>
      <c r="Y74" s="1358">
        <v>274997</v>
      </c>
      <c r="Z74" s="1358">
        <v>561569</v>
      </c>
      <c r="AA74" s="1358">
        <v>250867</v>
      </c>
      <c r="AB74" s="1358">
        <v>113576</v>
      </c>
      <c r="AC74" s="1358">
        <v>108203</v>
      </c>
      <c r="AD74" s="1358">
        <v>196400</v>
      </c>
      <c r="AE74" s="1358">
        <v>742563</v>
      </c>
      <c r="AF74" s="1358">
        <v>393261</v>
      </c>
      <c r="AG74" s="1358">
        <v>172128</v>
      </c>
      <c r="AH74" s="1358">
        <v>253921</v>
      </c>
      <c r="AI74" s="1358">
        <v>563576</v>
      </c>
      <c r="AJ74" s="1358">
        <v>258072</v>
      </c>
      <c r="AK74" s="1358">
        <v>5716543</v>
      </c>
      <c r="AL74" s="1359">
        <v>75204</v>
      </c>
      <c r="AM74" s="1359"/>
      <c r="AN74" s="1387">
        <v>3.2587566187313683</v>
      </c>
      <c r="AO74" s="740"/>
      <c r="AP74" s="1386">
        <v>19663</v>
      </c>
      <c r="AQ74" s="1431">
        <v>21.624296406259667</v>
      </c>
      <c r="AR74" s="1386">
        <v>1881076</v>
      </c>
      <c r="AS74" s="1432">
        <v>1.992763740407727</v>
      </c>
      <c r="AT74" s="1386">
        <v>3815804</v>
      </c>
      <c r="AU74" s="1432">
        <v>3.8132658185971322</v>
      </c>
      <c r="AV74" s="1433">
        <v>6.2328794620239228E-2</v>
      </c>
      <c r="AW74" s="1434">
        <v>0.65525463062861922</v>
      </c>
      <c r="AX74" s="1433">
        <v>2.4988925948403811</v>
      </c>
      <c r="AY74" s="740"/>
      <c r="AZ74" s="1386">
        <v>1604700</v>
      </c>
      <c r="BA74" s="1431">
        <v>2.3972454139153561</v>
      </c>
      <c r="BB74" s="1386">
        <v>4111843</v>
      </c>
      <c r="BC74" s="1435">
        <v>3.5989669942050897</v>
      </c>
      <c r="BD74" s="1433">
        <v>0.66978494173144953</v>
      </c>
      <c r="BE74" s="1433">
        <v>2.5466910783577901</v>
      </c>
    </row>
    <row r="75" spans="1:57" hidden="1">
      <c r="A75" s="1425" t="s">
        <v>9943</v>
      </c>
      <c r="B75" s="1305" t="s">
        <v>9918</v>
      </c>
      <c r="C75" s="1378">
        <v>5907207</v>
      </c>
      <c r="D75" s="1334">
        <v>11463</v>
      </c>
      <c r="E75" s="1335">
        <v>1484</v>
      </c>
      <c r="F75" s="1335">
        <v>6814</v>
      </c>
      <c r="G75" s="1335">
        <v>1372</v>
      </c>
      <c r="H75" s="1335">
        <v>1537317</v>
      </c>
      <c r="I75" s="1335">
        <v>230110</v>
      </c>
      <c r="J75" s="1335">
        <v>10719</v>
      </c>
      <c r="K75" s="1335">
        <v>29986</v>
      </c>
      <c r="L75" s="1335">
        <v>211111</v>
      </c>
      <c r="M75" s="1335">
        <v>2600</v>
      </c>
      <c r="N75" s="1335">
        <v>33491</v>
      </c>
      <c r="O75" s="1335">
        <v>127834</v>
      </c>
      <c r="P75" s="1335">
        <v>85078</v>
      </c>
      <c r="Q75" s="1335">
        <v>317630</v>
      </c>
      <c r="R75" s="1335">
        <v>24540</v>
      </c>
      <c r="S75" s="1335">
        <v>141727</v>
      </c>
      <c r="T75" s="1335">
        <v>47614</v>
      </c>
      <c r="U75" s="1335">
        <v>151049</v>
      </c>
      <c r="V75" s="1335">
        <v>17104</v>
      </c>
      <c r="W75" s="1335">
        <v>106724</v>
      </c>
      <c r="X75" s="1335">
        <v>158872</v>
      </c>
      <c r="Y75" s="1335">
        <v>254859</v>
      </c>
      <c r="Z75" s="1335">
        <v>597241</v>
      </c>
      <c r="AA75" s="1335">
        <v>264268</v>
      </c>
      <c r="AB75" s="1335">
        <v>120833</v>
      </c>
      <c r="AC75" s="1335">
        <v>109001</v>
      </c>
      <c r="AD75" s="1335">
        <v>204618</v>
      </c>
      <c r="AE75" s="1335">
        <v>772612</v>
      </c>
      <c r="AF75" s="1335">
        <v>421908</v>
      </c>
      <c r="AG75" s="1335">
        <v>195847</v>
      </c>
      <c r="AH75" s="1335">
        <v>280700</v>
      </c>
      <c r="AI75" s="1335">
        <v>609535</v>
      </c>
      <c r="AJ75" s="1335">
        <v>281761</v>
      </c>
      <c r="AK75" s="1335">
        <v>5830505</v>
      </c>
      <c r="AL75" s="1336">
        <v>76702</v>
      </c>
      <c r="AM75" s="1336"/>
      <c r="AN75" s="1379">
        <v>5.214212405877622</v>
      </c>
      <c r="AO75" s="740"/>
      <c r="AP75" s="1349">
        <v>19761</v>
      </c>
      <c r="AQ75" s="1395">
        <v>14.384116693679092</v>
      </c>
      <c r="AR75" s="1349">
        <v>1793548</v>
      </c>
      <c r="AS75" s="1393">
        <v>6.9321924358304781</v>
      </c>
      <c r="AT75" s="1349">
        <v>4017196</v>
      </c>
      <c r="AU75" s="1393">
        <v>4.4240412601705792</v>
      </c>
      <c r="AV75" s="1385">
        <v>4.426073217179665E-2</v>
      </c>
      <c r="AW75" s="1394">
        <v>2.0709391754845634</v>
      </c>
      <c r="AX75" s="1385">
        <v>3.0313347245531541</v>
      </c>
      <c r="AY75" s="740"/>
      <c r="AZ75" s="1349">
        <v>1537317</v>
      </c>
      <c r="BA75" s="1395">
        <v>5.5774175470982845</v>
      </c>
      <c r="BB75" s="1349">
        <v>4293188</v>
      </c>
      <c r="BC75" s="1395">
        <v>5.0847996953090373</v>
      </c>
      <c r="BD75" s="1385">
        <v>1.4464977230857632</v>
      </c>
      <c r="BE75" s="1369">
        <v>3.7000369091237508</v>
      </c>
    </row>
    <row r="76" spans="1:57" hidden="1">
      <c r="A76" s="1343">
        <v>-2023</v>
      </c>
      <c r="B76" s="1391" t="s">
        <v>9920</v>
      </c>
      <c r="C76" s="1382">
        <v>5907536</v>
      </c>
      <c r="D76" s="1345">
        <v>15564</v>
      </c>
      <c r="E76" s="1346">
        <v>1342</v>
      </c>
      <c r="F76" s="1346">
        <v>6293</v>
      </c>
      <c r="G76" s="1346">
        <v>1305</v>
      </c>
      <c r="H76" s="1346">
        <v>1513263</v>
      </c>
      <c r="I76" s="1346">
        <v>204579</v>
      </c>
      <c r="J76" s="1346">
        <v>10955</v>
      </c>
      <c r="K76" s="1346">
        <v>32000</v>
      </c>
      <c r="L76" s="1346">
        <v>204028</v>
      </c>
      <c r="M76" s="1346">
        <v>2657</v>
      </c>
      <c r="N76" s="1346">
        <v>32445</v>
      </c>
      <c r="O76" s="1346">
        <v>132357</v>
      </c>
      <c r="P76" s="1346">
        <v>79256</v>
      </c>
      <c r="Q76" s="1346">
        <v>296635</v>
      </c>
      <c r="R76" s="1346">
        <v>24723</v>
      </c>
      <c r="S76" s="1346">
        <v>141176</v>
      </c>
      <c r="T76" s="1346">
        <v>55829</v>
      </c>
      <c r="U76" s="1346">
        <v>177670</v>
      </c>
      <c r="V76" s="1346">
        <v>16482</v>
      </c>
      <c r="W76" s="1346">
        <v>102471</v>
      </c>
      <c r="X76" s="1346">
        <v>167496</v>
      </c>
      <c r="Y76" s="1346">
        <v>278431</v>
      </c>
      <c r="Z76" s="1346">
        <v>624329</v>
      </c>
      <c r="AA76" s="1346">
        <v>267409</v>
      </c>
      <c r="AB76" s="1346">
        <v>113402</v>
      </c>
      <c r="AC76" s="1346">
        <v>106589</v>
      </c>
      <c r="AD76" s="1346">
        <v>206622</v>
      </c>
      <c r="AE76" s="1346">
        <v>779073</v>
      </c>
      <c r="AF76" s="1346">
        <v>426802</v>
      </c>
      <c r="AG76" s="1346">
        <v>174305</v>
      </c>
      <c r="AH76" s="1346">
        <v>258221</v>
      </c>
      <c r="AI76" s="1346">
        <v>614210</v>
      </c>
      <c r="AJ76" s="1346">
        <v>276171</v>
      </c>
      <c r="AK76" s="1346">
        <v>5830827</v>
      </c>
      <c r="AL76" s="1347">
        <v>76709</v>
      </c>
      <c r="AM76" s="1347"/>
      <c r="AN76" s="1383">
        <v>6.5404679786373388</v>
      </c>
      <c r="AO76" s="740"/>
      <c r="AP76" s="1349">
        <v>23199</v>
      </c>
      <c r="AQ76" s="1395">
        <v>11.780861520670713</v>
      </c>
      <c r="AR76" s="1349">
        <v>1792999</v>
      </c>
      <c r="AS76" s="1393">
        <v>4.9075461508621672</v>
      </c>
      <c r="AT76" s="1349">
        <v>4014629</v>
      </c>
      <c r="AU76" s="1393">
        <v>7.2570150299265377</v>
      </c>
      <c r="AV76" s="1385">
        <v>4.4094771966204836E-2</v>
      </c>
      <c r="AW76" s="1394">
        <v>1.512676111835336</v>
      </c>
      <c r="AX76" s="1385">
        <v>4.8987578360655295</v>
      </c>
      <c r="AY76" s="740"/>
      <c r="AZ76" s="1349">
        <v>1513263</v>
      </c>
      <c r="BA76" s="1395">
        <v>2.8937842013076729</v>
      </c>
      <c r="BB76" s="1349">
        <v>4317564</v>
      </c>
      <c r="BC76" s="1395">
        <v>7.8805208771637005</v>
      </c>
      <c r="BD76" s="1385">
        <v>0.76753758695693719</v>
      </c>
      <c r="BE76" s="1369">
        <v>5.6879911329101329</v>
      </c>
    </row>
    <row r="77" spans="1:57" hidden="1">
      <c r="A77" s="1343"/>
      <c r="B77" s="1391" t="s">
        <v>9921</v>
      </c>
      <c r="C77" s="1382">
        <v>6242740</v>
      </c>
      <c r="D77" s="1345">
        <v>37149</v>
      </c>
      <c r="E77" s="1346">
        <v>1502</v>
      </c>
      <c r="F77" s="1346">
        <v>6880</v>
      </c>
      <c r="G77" s="1346">
        <v>1434</v>
      </c>
      <c r="H77" s="1346">
        <v>1612773</v>
      </c>
      <c r="I77" s="1346">
        <v>244538</v>
      </c>
      <c r="J77" s="1346">
        <v>11639</v>
      </c>
      <c r="K77" s="1346">
        <v>33355</v>
      </c>
      <c r="L77" s="1346">
        <v>207497</v>
      </c>
      <c r="M77" s="1346">
        <v>2096</v>
      </c>
      <c r="N77" s="1346">
        <v>31863</v>
      </c>
      <c r="O77" s="1346">
        <v>130144</v>
      </c>
      <c r="P77" s="1346">
        <v>85860</v>
      </c>
      <c r="Q77" s="1346">
        <v>310439</v>
      </c>
      <c r="R77" s="1346">
        <v>26814</v>
      </c>
      <c r="S77" s="1346">
        <v>140160</v>
      </c>
      <c r="T77" s="1346">
        <v>57344</v>
      </c>
      <c r="U77" s="1346">
        <v>207501</v>
      </c>
      <c r="V77" s="1346">
        <v>17124</v>
      </c>
      <c r="W77" s="1346">
        <v>106399</v>
      </c>
      <c r="X77" s="1346">
        <v>168653</v>
      </c>
      <c r="Y77" s="1346">
        <v>326945</v>
      </c>
      <c r="Z77" s="1346">
        <v>692740</v>
      </c>
      <c r="AA77" s="1346">
        <v>267873</v>
      </c>
      <c r="AB77" s="1346">
        <v>131342</v>
      </c>
      <c r="AC77" s="1346">
        <v>109197</v>
      </c>
      <c r="AD77" s="1346">
        <v>209509</v>
      </c>
      <c r="AE77" s="1346">
        <v>789729</v>
      </c>
      <c r="AF77" s="1346">
        <v>448934</v>
      </c>
      <c r="AG77" s="1346">
        <v>202309</v>
      </c>
      <c r="AH77" s="1346">
        <v>244984</v>
      </c>
      <c r="AI77" s="1346">
        <v>618815</v>
      </c>
      <c r="AJ77" s="1346">
        <v>290910</v>
      </c>
      <c r="AK77" s="1346">
        <v>6161678</v>
      </c>
      <c r="AL77" s="1347">
        <v>81062</v>
      </c>
      <c r="AM77" s="1347"/>
      <c r="AN77" s="1383">
        <v>5.376880848852946</v>
      </c>
      <c r="AO77" s="740"/>
      <c r="AP77" s="1382">
        <v>45531</v>
      </c>
      <c r="AQ77" s="1426">
        <v>6.0414095069520464</v>
      </c>
      <c r="AR77" s="1382">
        <v>1941152</v>
      </c>
      <c r="AS77" s="1427">
        <v>2.1954238356240827</v>
      </c>
      <c r="AT77" s="1382">
        <v>4174995</v>
      </c>
      <c r="AU77" s="1427">
        <v>6.9170414956418762</v>
      </c>
      <c r="AV77" s="1428">
        <v>4.3786483591299205E-2</v>
      </c>
      <c r="AW77" s="1429">
        <v>0.70390907950684978</v>
      </c>
      <c r="AX77" s="1428">
        <v>4.5593140236934042</v>
      </c>
      <c r="AY77" s="740"/>
      <c r="AZ77" s="1382">
        <v>1612773</v>
      </c>
      <c r="BA77" s="1426">
        <v>-0.66507716632041347</v>
      </c>
      <c r="BB77" s="1382">
        <v>4548905</v>
      </c>
      <c r="BC77" s="1426">
        <v>7.6992993598754085</v>
      </c>
      <c r="BD77" s="1428">
        <v>-0.18226925590549301</v>
      </c>
      <c r="BE77" s="1430">
        <v>5.489278842697046</v>
      </c>
    </row>
    <row r="78" spans="1:57" hidden="1">
      <c r="A78" s="1418"/>
      <c r="B78" s="1392" t="s">
        <v>9944</v>
      </c>
      <c r="C78" s="1386"/>
      <c r="D78" s="1357"/>
      <c r="E78" s="1358"/>
      <c r="F78" s="1358"/>
      <c r="G78" s="1358"/>
      <c r="H78" s="1358"/>
      <c r="I78" s="1358"/>
      <c r="J78" s="1358"/>
      <c r="K78" s="1358"/>
      <c r="L78" s="1358"/>
      <c r="M78" s="1358"/>
      <c r="N78" s="1358"/>
      <c r="O78" s="1358"/>
      <c r="P78" s="1358"/>
      <c r="Q78" s="1358"/>
      <c r="R78" s="1358"/>
      <c r="S78" s="1358"/>
      <c r="T78" s="1358"/>
      <c r="U78" s="1358"/>
      <c r="V78" s="1358"/>
      <c r="W78" s="1358"/>
      <c r="X78" s="1358"/>
      <c r="Y78" s="1358"/>
      <c r="Z78" s="1358"/>
      <c r="AA78" s="1358"/>
      <c r="AB78" s="1358"/>
      <c r="AC78" s="1358"/>
      <c r="AD78" s="1358"/>
      <c r="AE78" s="1358"/>
      <c r="AF78" s="1358"/>
      <c r="AG78" s="1358"/>
      <c r="AH78" s="1358"/>
      <c r="AI78" s="1358"/>
      <c r="AJ78" s="1358"/>
      <c r="AK78" s="1358"/>
      <c r="AL78" s="1359"/>
      <c r="AM78" s="1359"/>
      <c r="AN78" s="1387"/>
      <c r="AO78" s="740"/>
      <c r="AP78" s="1386"/>
      <c r="AQ78" s="1431"/>
      <c r="AR78" s="1386"/>
      <c r="AS78" s="1432"/>
      <c r="AT78" s="1386"/>
      <c r="AU78" s="1432"/>
      <c r="AV78" s="1433"/>
      <c r="AW78" s="1434"/>
      <c r="AX78" s="1433"/>
      <c r="AY78" s="740"/>
      <c r="AZ78" s="1386"/>
      <c r="BA78" s="1431"/>
      <c r="BB78" s="1386"/>
      <c r="BC78" s="1435"/>
      <c r="BD78" s="1433"/>
      <c r="BE78" s="1433"/>
    </row>
    <row r="79" spans="1:57" hidden="1">
      <c r="A79" s="1436"/>
      <c r="B79" s="1305"/>
      <c r="C79" s="1346"/>
      <c r="D79" s="1346"/>
      <c r="E79" s="1346"/>
      <c r="F79" s="1346"/>
      <c r="G79" s="1346"/>
      <c r="H79" s="1346"/>
      <c r="I79" s="1346"/>
      <c r="J79" s="1346"/>
      <c r="K79" s="1346"/>
      <c r="L79" s="1346"/>
      <c r="M79" s="1346"/>
      <c r="N79" s="1346"/>
      <c r="O79" s="1346"/>
      <c r="P79" s="1346"/>
      <c r="Q79" s="1346"/>
      <c r="R79" s="1346"/>
      <c r="S79" s="1346"/>
      <c r="T79" s="1346"/>
      <c r="U79" s="1346"/>
      <c r="V79" s="1346"/>
      <c r="W79" s="1346"/>
      <c r="X79" s="1346"/>
      <c r="Y79" s="1346"/>
      <c r="Z79" s="1346"/>
      <c r="AA79" s="1346"/>
      <c r="AB79" s="1346"/>
      <c r="AC79" s="1346"/>
      <c r="AD79" s="1346"/>
      <c r="AE79" s="1346"/>
      <c r="AF79" s="1346"/>
      <c r="AG79" s="1346"/>
      <c r="AH79" s="1346"/>
      <c r="AI79" s="1346"/>
      <c r="AJ79" s="1346"/>
      <c r="AK79" s="1346"/>
      <c r="AL79" s="1346"/>
      <c r="AM79" s="1346"/>
      <c r="AN79" s="1437"/>
      <c r="AO79" s="740"/>
      <c r="AP79" s="1346"/>
      <c r="AQ79" s="1427"/>
      <c r="AR79" s="1346"/>
      <c r="AS79" s="1427"/>
      <c r="AT79" s="1346"/>
      <c r="AU79" s="1427"/>
      <c r="AV79" s="1429"/>
      <c r="AW79" s="1429"/>
      <c r="AX79" s="1429"/>
      <c r="AY79" s="740"/>
      <c r="AZ79" s="1346"/>
      <c r="BA79" s="1427"/>
      <c r="BB79" s="1346"/>
      <c r="BC79" s="1427"/>
      <c r="BD79" s="1429"/>
      <c r="BE79" s="1429"/>
    </row>
    <row r="80" spans="1:57" hidden="1">
      <c r="A80" s="1304" t="s">
        <v>9945</v>
      </c>
      <c r="B80" s="1305"/>
      <c r="C80" s="740"/>
      <c r="D80" s="740"/>
      <c r="E80" s="740"/>
      <c r="F80" s="740"/>
      <c r="G80" s="740"/>
      <c r="H80" s="740"/>
      <c r="I80" s="740"/>
      <c r="J80" s="740"/>
      <c r="K80" s="740"/>
      <c r="L80" s="740"/>
      <c r="M80" s="740"/>
      <c r="N80" s="740"/>
      <c r="O80" s="740"/>
      <c r="P80" s="740"/>
      <c r="Q80" s="740"/>
      <c r="R80" s="740"/>
      <c r="S80" s="740"/>
      <c r="T80" s="740"/>
      <c r="U80" s="740"/>
      <c r="V80" s="740"/>
      <c r="W80" s="740"/>
      <c r="X80" s="740"/>
      <c r="Y80" s="740"/>
      <c r="Z80" s="740"/>
      <c r="AA80" s="740"/>
      <c r="AB80" s="740"/>
      <c r="AC80" s="740"/>
      <c r="AD80" s="740"/>
      <c r="AE80" s="740"/>
      <c r="AF80" s="740"/>
      <c r="AG80" s="740"/>
      <c r="AH80" s="740"/>
      <c r="AI80" s="740"/>
      <c r="AJ80" s="740"/>
      <c r="AK80" s="740"/>
      <c r="AL80" s="1306"/>
      <c r="AM80" s="1306"/>
      <c r="AN80" s="1306" t="s">
        <v>9900</v>
      </c>
      <c r="AO80" s="740"/>
      <c r="AP80" s="740"/>
      <c r="AQ80" s="740"/>
      <c r="AR80" s="740"/>
      <c r="AS80" s="740"/>
      <c r="AT80" s="740"/>
      <c r="AU80" s="740"/>
      <c r="AV80" s="740"/>
      <c r="AW80" s="740"/>
      <c r="AX80" s="1306" t="s">
        <v>9900</v>
      </c>
      <c r="AY80" s="740"/>
      <c r="AZ80" s="740"/>
      <c r="BA80" s="740"/>
      <c r="BB80" s="740"/>
      <c r="BC80" s="740"/>
      <c r="BD80" s="740"/>
      <c r="BE80" s="1306" t="s">
        <v>9900</v>
      </c>
    </row>
    <row r="81" spans="1:58" s="740" customFormat="1" ht="6.75" hidden="1" customHeight="1">
      <c r="A81" s="1307"/>
      <c r="B81" s="1308"/>
      <c r="C81" s="1309"/>
      <c r="D81" s="1310"/>
      <c r="E81" s="1310"/>
      <c r="F81" s="1310"/>
      <c r="G81" s="1310"/>
      <c r="H81" s="1310"/>
      <c r="I81" s="1310"/>
      <c r="J81" s="1310"/>
      <c r="K81" s="1310"/>
      <c r="L81" s="1310"/>
      <c r="M81" s="1310"/>
      <c r="N81" s="1310"/>
      <c r="O81" s="1310"/>
      <c r="P81" s="1310"/>
      <c r="Q81" s="1310"/>
      <c r="R81" s="1310"/>
      <c r="S81" s="1310"/>
      <c r="T81" s="1310"/>
      <c r="U81" s="1310"/>
      <c r="V81" s="1310"/>
      <c r="W81" s="1310"/>
      <c r="X81" s="1310"/>
      <c r="Y81" s="1310"/>
      <c r="Z81" s="1310"/>
      <c r="AA81" s="1310"/>
      <c r="AB81" s="1310"/>
      <c r="AC81" s="1310"/>
      <c r="AD81" s="1310"/>
      <c r="AE81" s="1310"/>
      <c r="AF81" s="1310"/>
      <c r="AG81" s="1310"/>
      <c r="AH81" s="1310"/>
      <c r="AI81" s="1310"/>
      <c r="AJ81" s="1310"/>
      <c r="AK81" s="1310"/>
      <c r="AL81" s="1311"/>
      <c r="AM81" s="1312"/>
      <c r="AN81" s="1300"/>
      <c r="AP81" s="1309"/>
      <c r="AQ81" s="1312"/>
      <c r="AR81" s="1309"/>
      <c r="AS81" s="1312"/>
      <c r="AT81" s="1309"/>
      <c r="AU81" s="1312"/>
      <c r="AV81" s="1309"/>
      <c r="AW81" s="1313"/>
      <c r="AX81" s="1312"/>
      <c r="AZ81" s="1309"/>
      <c r="BA81" s="1312"/>
      <c r="BB81" s="1309"/>
      <c r="BC81" s="1312"/>
      <c r="BD81" s="1309"/>
      <c r="BE81" s="1312"/>
    </row>
    <row r="82" spans="1:58" s="740" customFormat="1" ht="18.75" hidden="1" customHeight="1">
      <c r="A82" s="1314" t="s">
        <v>9901</v>
      </c>
      <c r="B82" s="1315"/>
      <c r="C82" s="1316" t="s">
        <v>9711</v>
      </c>
      <c r="D82" s="1317" t="s">
        <v>20</v>
      </c>
      <c r="E82" s="1318" t="s">
        <v>79</v>
      </c>
      <c r="F82" s="1318" t="s">
        <v>9671</v>
      </c>
      <c r="G82" s="1318" t="s">
        <v>93</v>
      </c>
      <c r="H82" s="1316" t="s">
        <v>9672</v>
      </c>
      <c r="I82" s="1310"/>
      <c r="J82" s="1310"/>
      <c r="K82" s="1310"/>
      <c r="L82" s="1310"/>
      <c r="M82" s="1310"/>
      <c r="N82" s="1310"/>
      <c r="O82" s="1310"/>
      <c r="P82" s="1310"/>
      <c r="Q82" s="1310"/>
      <c r="R82" s="1310"/>
      <c r="S82" s="1310"/>
      <c r="T82" s="1310"/>
      <c r="U82" s="1310"/>
      <c r="V82" s="1310"/>
      <c r="W82" s="1311"/>
      <c r="X82" s="1319" t="s">
        <v>9688</v>
      </c>
      <c r="Y82" s="1319" t="s">
        <v>9691</v>
      </c>
      <c r="Z82" s="1319" t="s">
        <v>9902</v>
      </c>
      <c r="AA82" s="1319" t="s">
        <v>9782</v>
      </c>
      <c r="AB82" s="1319" t="s">
        <v>9696</v>
      </c>
      <c r="AC82" s="1319" t="s">
        <v>9783</v>
      </c>
      <c r="AD82" s="1319" t="s">
        <v>9784</v>
      </c>
      <c r="AE82" s="1317" t="s">
        <v>9785</v>
      </c>
      <c r="AF82" s="1319" t="s">
        <v>9704</v>
      </c>
      <c r="AG82" s="1319" t="s">
        <v>9115</v>
      </c>
      <c r="AH82" s="1319" t="s">
        <v>9705</v>
      </c>
      <c r="AI82" s="1319" t="s">
        <v>9706</v>
      </c>
      <c r="AJ82" s="1438" t="s">
        <v>9707</v>
      </c>
      <c r="AK82" s="1319" t="s">
        <v>9708</v>
      </c>
      <c r="AL82" s="1439" t="s">
        <v>9903</v>
      </c>
      <c r="AM82" s="1441"/>
      <c r="AN82" s="1318" t="s">
        <v>9904</v>
      </c>
      <c r="AP82" s="1316" t="s">
        <v>9905</v>
      </c>
      <c r="AQ82" s="1321"/>
      <c r="AR82" s="1316" t="s">
        <v>9906</v>
      </c>
      <c r="AS82" s="1321"/>
      <c r="AT82" s="1316" t="s">
        <v>9907</v>
      </c>
      <c r="AU82" s="1321"/>
      <c r="AV82" s="1322" t="s">
        <v>9908</v>
      </c>
      <c r="AW82" s="1323"/>
      <c r="AX82" s="1324"/>
      <c r="AZ82" s="1316" t="s">
        <v>9672</v>
      </c>
      <c r="BA82" s="1321"/>
      <c r="BB82" s="1316" t="s">
        <v>9909</v>
      </c>
      <c r="BC82" s="1321"/>
      <c r="BD82" s="1322" t="s">
        <v>9908</v>
      </c>
      <c r="BE82" s="1324"/>
    </row>
    <row r="83" spans="1:58" s="740" customFormat="1" ht="21" hidden="1" customHeight="1">
      <c r="A83" s="1314"/>
      <c r="B83" s="1315"/>
      <c r="C83" s="1316"/>
      <c r="D83" s="1318"/>
      <c r="E83" s="1318"/>
      <c r="F83" s="1318"/>
      <c r="G83" s="1318"/>
      <c r="H83" s="1318"/>
      <c r="I83" s="1298" t="s">
        <v>1597</v>
      </c>
      <c r="J83" s="1299" t="s">
        <v>9765</v>
      </c>
      <c r="K83" s="1298" t="s">
        <v>9766</v>
      </c>
      <c r="L83" s="1298" t="s">
        <v>9910</v>
      </c>
      <c r="M83" s="1298" t="s">
        <v>9911</v>
      </c>
      <c r="N83" s="1298" t="s">
        <v>9912</v>
      </c>
      <c r="O83" s="1298" t="s">
        <v>9770</v>
      </c>
      <c r="P83" s="1298" t="s">
        <v>9868</v>
      </c>
      <c r="Q83" s="1298" t="s">
        <v>9772</v>
      </c>
      <c r="R83" s="1298" t="s">
        <v>9913</v>
      </c>
      <c r="S83" s="1298" t="s">
        <v>9870</v>
      </c>
      <c r="T83" s="1298" t="s">
        <v>9775</v>
      </c>
      <c r="U83" s="1298" t="s">
        <v>9776</v>
      </c>
      <c r="V83" s="1300" t="s">
        <v>9777</v>
      </c>
      <c r="W83" s="1298" t="s">
        <v>9914</v>
      </c>
      <c r="X83" s="1325"/>
      <c r="Y83" s="1325"/>
      <c r="Z83" s="1325"/>
      <c r="AA83" s="1325"/>
      <c r="AB83" s="1325"/>
      <c r="AC83" s="1325"/>
      <c r="AD83" s="1325"/>
      <c r="AE83" s="1318"/>
      <c r="AF83" s="1325"/>
      <c r="AG83" s="1325"/>
      <c r="AH83" s="1325"/>
      <c r="AI83" s="1325"/>
      <c r="AJ83" s="1440"/>
      <c r="AK83" s="1325"/>
      <c r="AL83" s="1441"/>
      <c r="AM83" s="1441"/>
      <c r="AN83" s="1318" t="s">
        <v>9915</v>
      </c>
      <c r="AP83" s="1316"/>
      <c r="AQ83" s="1327" t="s">
        <v>9915</v>
      </c>
      <c r="AR83" s="1316"/>
      <c r="AS83" s="1327" t="s">
        <v>9915</v>
      </c>
      <c r="AT83" s="1316"/>
      <c r="AU83" s="1317" t="s">
        <v>9915</v>
      </c>
      <c r="AV83" s="1317" t="s">
        <v>9905</v>
      </c>
      <c r="AW83" s="1317" t="s">
        <v>9906</v>
      </c>
      <c r="AX83" s="1317" t="s">
        <v>9907</v>
      </c>
      <c r="AZ83" s="1316"/>
      <c r="BA83" s="1327" t="s">
        <v>9915</v>
      </c>
      <c r="BB83" s="1316"/>
      <c r="BC83" s="1317" t="s">
        <v>9915</v>
      </c>
      <c r="BD83" s="1317" t="s">
        <v>9672</v>
      </c>
      <c r="BE83" s="1317" t="s">
        <v>9909</v>
      </c>
    </row>
    <row r="84" spans="1:58" s="740" customFormat="1" ht="9.75" hidden="1" customHeight="1">
      <c r="A84" s="1328"/>
      <c r="B84" s="1329"/>
      <c r="C84" s="1322"/>
      <c r="D84" s="1330"/>
      <c r="E84" s="1330"/>
      <c r="F84" s="1330"/>
      <c r="G84" s="1330"/>
      <c r="H84" s="1330"/>
      <c r="I84" s="1330"/>
      <c r="J84" s="1330"/>
      <c r="K84" s="1330"/>
      <c r="L84" s="1330"/>
      <c r="M84" s="1330"/>
      <c r="N84" s="1330"/>
      <c r="O84" s="1330"/>
      <c r="P84" s="1330"/>
      <c r="Q84" s="1330"/>
      <c r="R84" s="1330"/>
      <c r="S84" s="1330"/>
      <c r="T84" s="1330"/>
      <c r="U84" s="1330"/>
      <c r="V84" s="1330"/>
      <c r="W84" s="1330"/>
      <c r="X84" s="1331"/>
      <c r="Y84" s="1330"/>
      <c r="Z84" s="1330"/>
      <c r="AA84" s="1330"/>
      <c r="AB84" s="1330"/>
      <c r="AC84" s="1330"/>
      <c r="AD84" s="1330"/>
      <c r="AE84" s="1330"/>
      <c r="AF84" s="1331"/>
      <c r="AG84" s="1330"/>
      <c r="AH84" s="1330"/>
      <c r="AI84" s="1330"/>
      <c r="AJ84" s="739"/>
      <c r="AK84" s="1330"/>
      <c r="AL84" s="1442"/>
      <c r="AM84" s="1442"/>
      <c r="AN84" s="1330" t="s">
        <v>9916</v>
      </c>
      <c r="AP84" s="1322"/>
      <c r="AQ84" s="1330" t="s">
        <v>9917</v>
      </c>
      <c r="AR84" s="1322"/>
      <c r="AS84" s="1330" t="s">
        <v>9916</v>
      </c>
      <c r="AT84" s="1330"/>
      <c r="AU84" s="1330" t="s">
        <v>9916</v>
      </c>
      <c r="AV84" s="1330"/>
      <c r="AW84" s="1330"/>
      <c r="AX84" s="1330"/>
      <c r="AZ84" s="1322"/>
      <c r="BA84" s="1330" t="s">
        <v>9917</v>
      </c>
      <c r="BB84" s="1330"/>
      <c r="BC84" s="1330" t="s">
        <v>9916</v>
      </c>
      <c r="BD84" s="1330"/>
      <c r="BE84" s="1330"/>
    </row>
    <row r="85" spans="1:58" hidden="1">
      <c r="A85" s="1425" t="s">
        <v>9655</v>
      </c>
      <c r="B85" s="1443" t="s">
        <v>9946</v>
      </c>
      <c r="C85" s="1382">
        <v>20731441</v>
      </c>
      <c r="D85" s="1346">
        <v>75828</v>
      </c>
      <c r="E85" s="1346">
        <v>6495</v>
      </c>
      <c r="F85" s="1346">
        <v>20744</v>
      </c>
      <c r="G85" s="1346">
        <v>7339</v>
      </c>
      <c r="H85" s="1346">
        <v>5447396</v>
      </c>
      <c r="I85" s="1346">
        <v>785944</v>
      </c>
      <c r="J85" s="1346">
        <v>59609</v>
      </c>
      <c r="K85" s="1346">
        <v>111135</v>
      </c>
      <c r="L85" s="1346">
        <v>506322</v>
      </c>
      <c r="M85" s="1346">
        <v>20360</v>
      </c>
      <c r="N85" s="1346">
        <v>141640</v>
      </c>
      <c r="O85" s="1346">
        <v>758277</v>
      </c>
      <c r="P85" s="1346">
        <v>294041</v>
      </c>
      <c r="Q85" s="1346">
        <v>1019030</v>
      </c>
      <c r="R85" s="1346">
        <v>172797</v>
      </c>
      <c r="S85" s="1346">
        <v>412428</v>
      </c>
      <c r="T85" s="1346">
        <v>218586</v>
      </c>
      <c r="U85" s="1346">
        <v>515641</v>
      </c>
      <c r="V85" s="1346">
        <v>97267</v>
      </c>
      <c r="W85" s="1346">
        <v>334319</v>
      </c>
      <c r="X85" s="1346">
        <v>882157</v>
      </c>
      <c r="Y85" s="1346">
        <v>971130</v>
      </c>
      <c r="Z85" s="1346">
        <v>1952809</v>
      </c>
      <c r="AA85" s="1346">
        <v>1203978</v>
      </c>
      <c r="AB85" s="1346">
        <v>616862</v>
      </c>
      <c r="AC85" s="1346">
        <v>548069</v>
      </c>
      <c r="AD85" s="1346">
        <v>945420</v>
      </c>
      <c r="AE85" s="1346">
        <v>2703989</v>
      </c>
      <c r="AF85" s="1346">
        <v>1070781</v>
      </c>
      <c r="AG85" s="1346">
        <v>736329</v>
      </c>
      <c r="AH85" s="1346">
        <v>903445</v>
      </c>
      <c r="AI85" s="1346">
        <v>1439288</v>
      </c>
      <c r="AJ85" s="1346">
        <v>1098859</v>
      </c>
      <c r="AK85" s="1335">
        <v>20630918</v>
      </c>
      <c r="AL85" s="1346">
        <v>100523</v>
      </c>
      <c r="AM85" s="1346"/>
      <c r="AN85" s="1444" t="s">
        <v>9919</v>
      </c>
      <c r="AO85" s="740"/>
      <c r="AP85" s="1349">
        <v>103067</v>
      </c>
      <c r="AQ85" s="1445" t="s">
        <v>9919</v>
      </c>
      <c r="AR85" s="1349">
        <v>6425865</v>
      </c>
      <c r="AS85" s="1445" t="s">
        <v>9919</v>
      </c>
      <c r="AT85" s="1349">
        <v>14101986</v>
      </c>
      <c r="AU85" s="1445" t="s">
        <v>9919</v>
      </c>
      <c r="AV85" s="1353" t="s">
        <v>9919</v>
      </c>
      <c r="AW85" s="1446" t="s">
        <v>9919</v>
      </c>
      <c r="AX85" s="1353" t="s">
        <v>9919</v>
      </c>
      <c r="AY85" s="740"/>
      <c r="AZ85" s="1349">
        <v>5447396</v>
      </c>
      <c r="BA85" s="1447" t="s">
        <v>9919</v>
      </c>
      <c r="BB85" s="1349">
        <v>15183522</v>
      </c>
      <c r="BC85" s="1447" t="s">
        <v>9919</v>
      </c>
      <c r="BD85" s="1353" t="s">
        <v>9919</v>
      </c>
      <c r="BE85" s="1353" t="s">
        <v>9919</v>
      </c>
    </row>
    <row r="86" spans="1:58" ht="15" hidden="1" customHeight="1">
      <c r="A86" s="1425" t="s">
        <v>9656</v>
      </c>
      <c r="B86" s="1443" t="s">
        <v>9947</v>
      </c>
      <c r="C86" s="1382">
        <v>21309062</v>
      </c>
      <c r="D86" s="1346">
        <v>71516</v>
      </c>
      <c r="E86" s="1346">
        <v>6439</v>
      </c>
      <c r="F86" s="1346">
        <v>23442</v>
      </c>
      <c r="G86" s="1346">
        <v>7211</v>
      </c>
      <c r="H86" s="1346">
        <v>5758741</v>
      </c>
      <c r="I86" s="1346">
        <v>784622</v>
      </c>
      <c r="J86" s="1346">
        <v>58857</v>
      </c>
      <c r="K86" s="1346">
        <v>115247</v>
      </c>
      <c r="L86" s="1346">
        <v>512698</v>
      </c>
      <c r="M86" s="1346">
        <v>21063</v>
      </c>
      <c r="N86" s="1346">
        <v>211376</v>
      </c>
      <c r="O86" s="1346">
        <v>781770</v>
      </c>
      <c r="P86" s="1346">
        <v>310485</v>
      </c>
      <c r="Q86" s="1346">
        <v>1081170</v>
      </c>
      <c r="R86" s="1346">
        <v>172708</v>
      </c>
      <c r="S86" s="1346">
        <v>502609</v>
      </c>
      <c r="T86" s="1346">
        <v>271196</v>
      </c>
      <c r="U86" s="1346">
        <v>475897</v>
      </c>
      <c r="V86" s="1346">
        <v>99757</v>
      </c>
      <c r="W86" s="1346">
        <v>359286</v>
      </c>
      <c r="X86" s="1346">
        <v>863038</v>
      </c>
      <c r="Y86" s="1346">
        <v>886898</v>
      </c>
      <c r="Z86" s="1346">
        <v>2031501</v>
      </c>
      <c r="AA86" s="1346">
        <v>1283520</v>
      </c>
      <c r="AB86" s="1346">
        <v>643123</v>
      </c>
      <c r="AC86" s="1346">
        <v>555632</v>
      </c>
      <c r="AD86" s="1346">
        <v>940432</v>
      </c>
      <c r="AE86" s="1346">
        <v>2694398</v>
      </c>
      <c r="AF86" s="1346">
        <v>1206958</v>
      </c>
      <c r="AG86" s="1346">
        <v>738116</v>
      </c>
      <c r="AH86" s="1346">
        <v>905509</v>
      </c>
      <c r="AI86" s="1346">
        <v>1455831</v>
      </c>
      <c r="AJ86" s="1346">
        <v>1116724</v>
      </c>
      <c r="AK86" s="1346">
        <v>21189029</v>
      </c>
      <c r="AL86" s="1346">
        <v>120033</v>
      </c>
      <c r="AM86" s="1346"/>
      <c r="AN86" s="1448">
        <v>2.7862077689046871</v>
      </c>
      <c r="AO86" s="740"/>
      <c r="AP86" s="1349">
        <v>101397</v>
      </c>
      <c r="AQ86" s="1393">
        <v>-1.6203052383401089</v>
      </c>
      <c r="AR86" s="1349">
        <v>6652850</v>
      </c>
      <c r="AS86" s="1393">
        <v>3.5323649034021103</v>
      </c>
      <c r="AT86" s="1349">
        <v>14434782</v>
      </c>
      <c r="AU86" s="1393">
        <v>2.3599229214948876</v>
      </c>
      <c r="AV86" s="1385">
        <v>-8.055397764515802E-3</v>
      </c>
      <c r="AW86" s="1394">
        <v>1.0948829111249219</v>
      </c>
      <c r="AX86" s="1385">
        <v>1.6052719487663478</v>
      </c>
      <c r="AY86" s="740"/>
      <c r="AZ86" s="1349">
        <v>5758741</v>
      </c>
      <c r="BA86" s="1384">
        <v>5.7154831409355955</v>
      </c>
      <c r="BB86" s="1349">
        <v>15430288</v>
      </c>
      <c r="BC86" s="1384">
        <v>1.6252223956997591</v>
      </c>
      <c r="BD86" s="1385">
        <v>1.5018010880198636</v>
      </c>
      <c r="BE86" s="1385">
        <v>1.1902983741068902</v>
      </c>
    </row>
    <row r="87" spans="1:58" ht="15" hidden="1" customHeight="1">
      <c r="A87" s="1425" t="s">
        <v>9657</v>
      </c>
      <c r="B87" s="1443" t="s">
        <v>9948</v>
      </c>
      <c r="C87" s="1382">
        <v>20977590</v>
      </c>
      <c r="D87" s="1346">
        <v>70864</v>
      </c>
      <c r="E87" s="1346">
        <v>6373</v>
      </c>
      <c r="F87" s="1346">
        <v>19242</v>
      </c>
      <c r="G87" s="1346">
        <v>6457</v>
      </c>
      <c r="H87" s="1346">
        <v>5664145</v>
      </c>
      <c r="I87" s="1346">
        <v>834328</v>
      </c>
      <c r="J87" s="1346">
        <v>61629</v>
      </c>
      <c r="K87" s="1346">
        <v>101476</v>
      </c>
      <c r="L87" s="1346">
        <v>479610</v>
      </c>
      <c r="M87" s="1346">
        <v>24373</v>
      </c>
      <c r="N87" s="1346">
        <v>167260</v>
      </c>
      <c r="O87" s="1346">
        <v>835741</v>
      </c>
      <c r="P87" s="1346">
        <v>307780</v>
      </c>
      <c r="Q87" s="1346">
        <v>1149673</v>
      </c>
      <c r="R87" s="1346">
        <v>134127</v>
      </c>
      <c r="S87" s="1346">
        <v>435320</v>
      </c>
      <c r="T87" s="1346">
        <v>197856</v>
      </c>
      <c r="U87" s="1346">
        <v>504567</v>
      </c>
      <c r="V87" s="1346">
        <v>102368</v>
      </c>
      <c r="W87" s="1346">
        <v>328037</v>
      </c>
      <c r="X87" s="1346">
        <v>819524</v>
      </c>
      <c r="Y87" s="1346">
        <v>1022145</v>
      </c>
      <c r="Z87" s="1346">
        <v>1992785</v>
      </c>
      <c r="AA87" s="1346">
        <v>1235711</v>
      </c>
      <c r="AB87" s="1346">
        <v>587513</v>
      </c>
      <c r="AC87" s="1346">
        <v>563099</v>
      </c>
      <c r="AD87" s="1346">
        <v>742069</v>
      </c>
      <c r="AE87" s="1346">
        <v>2697864</v>
      </c>
      <c r="AF87" s="1346">
        <v>1242249</v>
      </c>
      <c r="AG87" s="1346">
        <v>726727</v>
      </c>
      <c r="AH87" s="1346">
        <v>884958</v>
      </c>
      <c r="AI87" s="1346">
        <v>1494560</v>
      </c>
      <c r="AJ87" s="1346">
        <v>1074695</v>
      </c>
      <c r="AK87" s="1346">
        <v>20850980</v>
      </c>
      <c r="AL87" s="1346">
        <v>126610</v>
      </c>
      <c r="AM87" s="1346"/>
      <c r="AN87" s="1448">
        <v>-1.5555414424254104</v>
      </c>
      <c r="AO87" s="740"/>
      <c r="AP87" s="1349">
        <v>96479</v>
      </c>
      <c r="AQ87" s="1393">
        <v>-4.8502421176168919</v>
      </c>
      <c r="AR87" s="1349">
        <v>6692747</v>
      </c>
      <c r="AS87" s="1393">
        <v>0.59969787384354079</v>
      </c>
      <c r="AT87" s="1349">
        <v>14061754</v>
      </c>
      <c r="AU87" s="1393">
        <v>-2.5842302294554917</v>
      </c>
      <c r="AV87" s="1385">
        <v>-2.3079383307061045E-2</v>
      </c>
      <c r="AW87" s="1394">
        <v>0.18723020654774597</v>
      </c>
      <c r="AX87" s="1385">
        <v>-1.7505604303103637</v>
      </c>
      <c r="AY87" s="740"/>
      <c r="AZ87" s="1349">
        <v>5664145</v>
      </c>
      <c r="BA87" s="1384">
        <v>-1.6426507113273543</v>
      </c>
      <c r="BB87" s="1349">
        <v>15186835</v>
      </c>
      <c r="BC87" s="1384">
        <v>-1.5777605706387334</v>
      </c>
      <c r="BD87" s="1385">
        <v>-0.44392381929946056</v>
      </c>
      <c r="BE87" s="1385">
        <v>-1.1424857877702181</v>
      </c>
    </row>
    <row r="88" spans="1:58" ht="15" hidden="1" customHeight="1">
      <c r="A88" s="1425" t="s">
        <v>9658</v>
      </c>
      <c r="B88" s="1443" t="s">
        <v>9949</v>
      </c>
      <c r="C88" s="1382">
        <v>19511404</v>
      </c>
      <c r="D88" s="1346">
        <v>69645</v>
      </c>
      <c r="E88" s="1346">
        <v>5727</v>
      </c>
      <c r="F88" s="1346">
        <v>21033</v>
      </c>
      <c r="G88" s="1346">
        <v>5291</v>
      </c>
      <c r="H88" s="1346">
        <v>4795289</v>
      </c>
      <c r="I88" s="1346">
        <v>776089</v>
      </c>
      <c r="J88" s="1346">
        <v>50700</v>
      </c>
      <c r="K88" s="1346">
        <v>101958</v>
      </c>
      <c r="L88" s="1346">
        <v>489833</v>
      </c>
      <c r="M88" s="1346">
        <v>12784</v>
      </c>
      <c r="N88" s="1346">
        <v>111267</v>
      </c>
      <c r="O88" s="1346">
        <v>454205</v>
      </c>
      <c r="P88" s="1346">
        <v>276028</v>
      </c>
      <c r="Q88" s="1346">
        <v>997666</v>
      </c>
      <c r="R88" s="1346">
        <v>101922</v>
      </c>
      <c r="S88" s="1346">
        <v>417578</v>
      </c>
      <c r="T88" s="1346">
        <v>226284</v>
      </c>
      <c r="U88" s="1346">
        <v>376530</v>
      </c>
      <c r="V88" s="1346">
        <v>96560</v>
      </c>
      <c r="W88" s="1346">
        <v>305885</v>
      </c>
      <c r="X88" s="1346">
        <v>841912</v>
      </c>
      <c r="Y88" s="1346">
        <v>755037</v>
      </c>
      <c r="Z88" s="1346">
        <v>1867489</v>
      </c>
      <c r="AA88" s="1346">
        <v>1112993</v>
      </c>
      <c r="AB88" s="1346">
        <v>578005</v>
      </c>
      <c r="AC88" s="1346">
        <v>561250</v>
      </c>
      <c r="AD88" s="1346">
        <v>733648</v>
      </c>
      <c r="AE88" s="1346">
        <v>2758346</v>
      </c>
      <c r="AF88" s="1346">
        <v>1154899</v>
      </c>
      <c r="AG88" s="1346">
        <v>701862</v>
      </c>
      <c r="AH88" s="1346">
        <v>863373</v>
      </c>
      <c r="AI88" s="1346">
        <v>1588480</v>
      </c>
      <c r="AJ88" s="1346">
        <v>1009748</v>
      </c>
      <c r="AK88" s="1346">
        <v>19424027</v>
      </c>
      <c r="AL88" s="1346">
        <v>87377</v>
      </c>
      <c r="AM88" s="1346"/>
      <c r="AN88" s="1448">
        <v>-6.9892980350895968</v>
      </c>
      <c r="AO88" s="740"/>
      <c r="AP88" s="1349">
        <v>96405</v>
      </c>
      <c r="AQ88" s="1393">
        <v>-7.6700629152458052E-2</v>
      </c>
      <c r="AR88" s="1349">
        <v>5555617</v>
      </c>
      <c r="AS88" s="1393">
        <v>-16.990482383392049</v>
      </c>
      <c r="AT88" s="1349">
        <v>13772005</v>
      </c>
      <c r="AU88" s="1393">
        <v>-2.0605466430432506</v>
      </c>
      <c r="AV88" s="1385">
        <v>-3.527573900205845E-4</v>
      </c>
      <c r="AW88" s="1394">
        <v>-5.4206893366771247</v>
      </c>
      <c r="AX88" s="1385">
        <v>-1.3812310946091126</v>
      </c>
      <c r="AY88" s="740"/>
      <c r="AZ88" s="1349">
        <v>4795289</v>
      </c>
      <c r="BA88" s="1384">
        <v>-15.339579053855438</v>
      </c>
      <c r="BB88" s="1349">
        <v>14628738</v>
      </c>
      <c r="BC88" s="1384">
        <v>-3.6748736652501988</v>
      </c>
      <c r="BD88" s="1385">
        <v>-4.1418293900503373</v>
      </c>
      <c r="BE88" s="1385">
        <v>-2.6604437986259208</v>
      </c>
    </row>
    <row r="89" spans="1:58" hidden="1">
      <c r="A89" s="1425" t="s">
        <v>9659</v>
      </c>
      <c r="B89" s="1443" t="s">
        <v>9950</v>
      </c>
      <c r="C89" s="1349">
        <v>20548552</v>
      </c>
      <c r="D89" s="1399">
        <v>70918</v>
      </c>
      <c r="E89" s="1399">
        <v>5820</v>
      </c>
      <c r="F89" s="1399">
        <v>19932</v>
      </c>
      <c r="G89" s="1399">
        <v>5678</v>
      </c>
      <c r="H89" s="1399">
        <v>5384363</v>
      </c>
      <c r="I89" s="1399">
        <v>792499</v>
      </c>
      <c r="J89" s="1399">
        <v>45712</v>
      </c>
      <c r="K89" s="1399">
        <v>108393</v>
      </c>
      <c r="L89" s="1399">
        <v>625928</v>
      </c>
      <c r="M89" s="1399">
        <v>28569</v>
      </c>
      <c r="N89" s="1399">
        <v>210478</v>
      </c>
      <c r="O89" s="1399">
        <v>545275</v>
      </c>
      <c r="P89" s="1399">
        <v>263278</v>
      </c>
      <c r="Q89" s="1399">
        <v>1167466</v>
      </c>
      <c r="R89" s="1399">
        <v>151229</v>
      </c>
      <c r="S89" s="1399">
        <v>449811</v>
      </c>
      <c r="T89" s="1399">
        <v>215379</v>
      </c>
      <c r="U89" s="1399">
        <v>386076</v>
      </c>
      <c r="V89" s="1399">
        <v>86591</v>
      </c>
      <c r="W89" s="1399">
        <v>307679</v>
      </c>
      <c r="X89" s="1399">
        <v>908172</v>
      </c>
      <c r="Y89" s="1399">
        <v>749566</v>
      </c>
      <c r="Z89" s="1399">
        <v>1961698</v>
      </c>
      <c r="AA89" s="1399">
        <v>1194328</v>
      </c>
      <c r="AB89" s="1399">
        <v>580262</v>
      </c>
      <c r="AC89" s="1399">
        <v>577081</v>
      </c>
      <c r="AD89" s="1399">
        <v>721959</v>
      </c>
      <c r="AE89" s="1399">
        <v>2792467</v>
      </c>
      <c r="AF89" s="1399">
        <v>1201230</v>
      </c>
      <c r="AG89" s="1399">
        <v>696336</v>
      </c>
      <c r="AH89" s="1399">
        <v>874010</v>
      </c>
      <c r="AI89" s="1399">
        <v>1670426</v>
      </c>
      <c r="AJ89" s="1399">
        <v>1033545</v>
      </c>
      <c r="AK89" s="1399">
        <v>20447791</v>
      </c>
      <c r="AL89" s="1399">
        <v>100761</v>
      </c>
      <c r="AM89" s="1399"/>
      <c r="AN89" s="1383">
        <v>5.3155992008725521</v>
      </c>
      <c r="AO89" s="1306"/>
      <c r="AP89" s="1349">
        <v>96670</v>
      </c>
      <c r="AQ89" s="1393">
        <v>0.27488200819459574</v>
      </c>
      <c r="AR89" s="1349">
        <v>6139607</v>
      </c>
      <c r="AS89" s="1393">
        <v>10.51170374055663</v>
      </c>
      <c r="AT89" s="1349">
        <v>14211514</v>
      </c>
      <c r="AU89" s="1393">
        <v>3.191321815523593</v>
      </c>
      <c r="AV89" s="1385">
        <v>1.3581800684515156E-3</v>
      </c>
      <c r="AW89" s="1394">
        <v>2.993070106320757</v>
      </c>
      <c r="AX89" s="1385">
        <v>2.2525749573775742</v>
      </c>
      <c r="AY89" s="1306"/>
      <c r="AZ89" s="1349">
        <v>5384363</v>
      </c>
      <c r="BA89" s="1384">
        <v>12.284431657820832</v>
      </c>
      <c r="BB89" s="1349">
        <v>15063428</v>
      </c>
      <c r="BC89" s="1384">
        <v>2.9714798364698307</v>
      </c>
      <c r="BD89" s="1385">
        <v>3.0191266628038043</v>
      </c>
      <c r="BE89" s="1385">
        <v>2.2278765809629784</v>
      </c>
    </row>
    <row r="90" spans="1:58" hidden="1">
      <c r="A90" s="1425" t="s">
        <v>9660</v>
      </c>
      <c r="B90" s="1443" t="s">
        <v>9951</v>
      </c>
      <c r="C90" s="1349">
        <v>20023670</v>
      </c>
      <c r="D90" s="1399">
        <v>70961</v>
      </c>
      <c r="E90" s="1399">
        <v>5458</v>
      </c>
      <c r="F90" s="1399">
        <v>17486</v>
      </c>
      <c r="G90" s="1399">
        <v>5934</v>
      </c>
      <c r="H90" s="1399">
        <v>5215104</v>
      </c>
      <c r="I90" s="1399">
        <v>755580</v>
      </c>
      <c r="J90" s="1399">
        <v>53527</v>
      </c>
      <c r="K90" s="1399">
        <v>109307</v>
      </c>
      <c r="L90" s="1399">
        <v>655340</v>
      </c>
      <c r="M90" s="1399">
        <v>33312</v>
      </c>
      <c r="N90" s="1399">
        <v>193791</v>
      </c>
      <c r="O90" s="1399">
        <v>476981</v>
      </c>
      <c r="P90" s="1399">
        <v>328408</v>
      </c>
      <c r="Q90" s="1399">
        <v>881304</v>
      </c>
      <c r="R90" s="1399">
        <v>91296</v>
      </c>
      <c r="S90" s="1399">
        <v>528663</v>
      </c>
      <c r="T90" s="1399">
        <v>265817</v>
      </c>
      <c r="U90" s="1399">
        <v>411582</v>
      </c>
      <c r="V90" s="1399">
        <v>81923</v>
      </c>
      <c r="W90" s="1399">
        <v>348273</v>
      </c>
      <c r="X90" s="1399">
        <v>612098</v>
      </c>
      <c r="Y90" s="1399">
        <v>688556</v>
      </c>
      <c r="Z90" s="1399">
        <v>2043136</v>
      </c>
      <c r="AA90" s="1399">
        <v>1111413</v>
      </c>
      <c r="AB90" s="1399">
        <v>539748</v>
      </c>
      <c r="AC90" s="1399">
        <v>591004</v>
      </c>
      <c r="AD90" s="1399">
        <v>687145</v>
      </c>
      <c r="AE90" s="1399">
        <v>2820963</v>
      </c>
      <c r="AF90" s="1399">
        <v>1183921</v>
      </c>
      <c r="AG90" s="1399">
        <v>698000</v>
      </c>
      <c r="AH90" s="1399">
        <v>884865</v>
      </c>
      <c r="AI90" s="1399">
        <v>1704714</v>
      </c>
      <c r="AJ90" s="1399">
        <v>997886</v>
      </c>
      <c r="AK90" s="1399">
        <v>19878392</v>
      </c>
      <c r="AL90" s="1399">
        <v>145278</v>
      </c>
      <c r="AM90" s="1399"/>
      <c r="AN90" s="1383">
        <v>-2.5543519903088421</v>
      </c>
      <c r="AO90" s="1306"/>
      <c r="AP90" s="1349">
        <v>93905</v>
      </c>
      <c r="AQ90" s="1393">
        <v>-2.8602461984069514</v>
      </c>
      <c r="AR90" s="1349">
        <v>5909594</v>
      </c>
      <c r="AS90" s="1393">
        <v>-3.7463798578638663</v>
      </c>
      <c r="AT90" s="1349">
        <v>13874893</v>
      </c>
      <c r="AU90" s="1393">
        <v>-2.3686498145095589</v>
      </c>
      <c r="AV90" s="1385">
        <v>-1.3455935957897154E-2</v>
      </c>
      <c r="AW90" s="1394">
        <v>-1.119363543393779</v>
      </c>
      <c r="AX90" s="1385">
        <v>-1.6381738220916087</v>
      </c>
      <c r="AY90" s="1306"/>
      <c r="AZ90" s="1349">
        <v>5215104</v>
      </c>
      <c r="BA90" s="1384">
        <v>-3.1435287702556458</v>
      </c>
      <c r="BB90" s="1349">
        <v>14663288</v>
      </c>
      <c r="BC90" s="1384">
        <v>-2.6563674616428612</v>
      </c>
      <c r="BD90" s="1385">
        <v>-0.82370280806427287</v>
      </c>
      <c r="BE90" s="1385">
        <v>-1.9472904933790121</v>
      </c>
    </row>
    <row r="91" spans="1:58" hidden="1">
      <c r="A91" s="1425" t="s">
        <v>9661</v>
      </c>
      <c r="B91" s="1443" t="s">
        <v>9952</v>
      </c>
      <c r="C91" s="1349">
        <v>19828235</v>
      </c>
      <c r="D91" s="1399">
        <v>74497</v>
      </c>
      <c r="E91" s="1399">
        <v>5144</v>
      </c>
      <c r="F91" s="1399">
        <v>23168</v>
      </c>
      <c r="G91" s="1399">
        <v>5858</v>
      </c>
      <c r="H91" s="1399">
        <v>4910998</v>
      </c>
      <c r="I91" s="1399">
        <v>741755</v>
      </c>
      <c r="J91" s="1399">
        <v>42166</v>
      </c>
      <c r="K91" s="1399">
        <v>96414</v>
      </c>
      <c r="L91" s="1399">
        <v>430018</v>
      </c>
      <c r="M91" s="1399">
        <v>31446</v>
      </c>
      <c r="N91" s="1399">
        <v>122790</v>
      </c>
      <c r="O91" s="1399">
        <v>446708</v>
      </c>
      <c r="P91" s="1399">
        <v>296461</v>
      </c>
      <c r="Q91" s="1399">
        <v>1042285</v>
      </c>
      <c r="R91" s="1399">
        <v>55359</v>
      </c>
      <c r="S91" s="1399">
        <v>487775</v>
      </c>
      <c r="T91" s="1399">
        <v>281258</v>
      </c>
      <c r="U91" s="1399">
        <v>428163</v>
      </c>
      <c r="V91" s="1399">
        <v>69324</v>
      </c>
      <c r="W91" s="1399">
        <v>339076</v>
      </c>
      <c r="X91" s="1399">
        <v>583143</v>
      </c>
      <c r="Y91" s="1399">
        <v>728339</v>
      </c>
      <c r="Z91" s="1399">
        <v>2131359</v>
      </c>
      <c r="AA91" s="1399">
        <v>1180255</v>
      </c>
      <c r="AB91" s="1399">
        <v>524297</v>
      </c>
      <c r="AC91" s="1399">
        <v>574766</v>
      </c>
      <c r="AD91" s="1399">
        <v>687304</v>
      </c>
      <c r="AE91" s="1399">
        <v>2836410</v>
      </c>
      <c r="AF91" s="1399">
        <v>1183318</v>
      </c>
      <c r="AG91" s="1399">
        <v>669356</v>
      </c>
      <c r="AH91" s="1399">
        <v>859825</v>
      </c>
      <c r="AI91" s="1399">
        <v>1698304</v>
      </c>
      <c r="AJ91" s="1399">
        <v>1001331</v>
      </c>
      <c r="AK91" s="1399">
        <v>19677672</v>
      </c>
      <c r="AL91" s="1399">
        <v>150563</v>
      </c>
      <c r="AM91" s="1399"/>
      <c r="AN91" s="1383">
        <v>-0.97601818458275202</v>
      </c>
      <c r="AO91" s="1306"/>
      <c r="AP91" s="1349">
        <v>102809</v>
      </c>
      <c r="AQ91" s="1393">
        <v>9.4819232202758101</v>
      </c>
      <c r="AR91" s="1349">
        <v>5645195</v>
      </c>
      <c r="AS91" s="1393">
        <v>-4.4740637004843311</v>
      </c>
      <c r="AT91" s="1349">
        <v>13929668</v>
      </c>
      <c r="AU91" s="1393">
        <v>0.39477781918750654</v>
      </c>
      <c r="AV91" s="1385">
        <v>4.4467373592902502E-2</v>
      </c>
      <c r="AW91" s="1394">
        <v>-1.3204322900482739</v>
      </c>
      <c r="AX91" s="1385">
        <v>0.27355125657583496</v>
      </c>
      <c r="AY91" s="1306"/>
      <c r="AZ91" s="1349">
        <v>4910998</v>
      </c>
      <c r="BA91" s="1384">
        <v>-5.8312547554181089</v>
      </c>
      <c r="BB91" s="1349">
        <v>14766674</v>
      </c>
      <c r="BC91" s="1384">
        <v>0.70506696724499995</v>
      </c>
      <c r="BD91" s="1385">
        <v>-1.5187326048790668</v>
      </c>
      <c r="BE91" s="1385">
        <v>0.51631894499953035</v>
      </c>
    </row>
    <row r="92" spans="1:58" hidden="1">
      <c r="A92" s="1425" t="s">
        <v>9662</v>
      </c>
      <c r="B92" s="1443" t="s">
        <v>9953</v>
      </c>
      <c r="C92" s="1349">
        <v>20460020</v>
      </c>
      <c r="D92" s="1399">
        <v>67935</v>
      </c>
      <c r="E92" s="1399">
        <v>5274</v>
      </c>
      <c r="F92" s="1399">
        <v>17434</v>
      </c>
      <c r="G92" s="1399">
        <v>7049</v>
      </c>
      <c r="H92" s="1399">
        <v>5171153</v>
      </c>
      <c r="I92" s="1399">
        <v>749410</v>
      </c>
      <c r="J92" s="1399">
        <v>38323</v>
      </c>
      <c r="K92" s="1399">
        <v>94086</v>
      </c>
      <c r="L92" s="1399">
        <v>600438</v>
      </c>
      <c r="M92" s="1399">
        <v>28780</v>
      </c>
      <c r="N92" s="1399">
        <v>132950</v>
      </c>
      <c r="O92" s="1399">
        <v>474588</v>
      </c>
      <c r="P92" s="1399">
        <v>300710</v>
      </c>
      <c r="Q92" s="1399">
        <v>1138637</v>
      </c>
      <c r="R92" s="1399">
        <v>82805</v>
      </c>
      <c r="S92" s="1399">
        <v>441544</v>
      </c>
      <c r="T92" s="1399">
        <v>287449</v>
      </c>
      <c r="U92" s="1399">
        <v>378075</v>
      </c>
      <c r="V92" s="1399">
        <v>62696</v>
      </c>
      <c r="W92" s="1399">
        <v>360662</v>
      </c>
      <c r="X92" s="1399">
        <v>689208</v>
      </c>
      <c r="Y92" s="1399">
        <v>824386</v>
      </c>
      <c r="Z92" s="1399">
        <v>2254500</v>
      </c>
      <c r="AA92" s="1399">
        <v>1096440</v>
      </c>
      <c r="AB92" s="1399">
        <v>548688</v>
      </c>
      <c r="AC92" s="1399">
        <v>580269</v>
      </c>
      <c r="AD92" s="1399">
        <v>710906</v>
      </c>
      <c r="AE92" s="1399">
        <v>2819082</v>
      </c>
      <c r="AF92" s="1399">
        <v>1245180</v>
      </c>
      <c r="AG92" s="1399">
        <v>641118</v>
      </c>
      <c r="AH92" s="1399">
        <v>844642</v>
      </c>
      <c r="AI92" s="1399">
        <v>1757984</v>
      </c>
      <c r="AJ92" s="1399">
        <v>1003534</v>
      </c>
      <c r="AK92" s="1399">
        <v>20284782</v>
      </c>
      <c r="AL92" s="1399">
        <v>175238</v>
      </c>
      <c r="AM92" s="1399"/>
      <c r="AN92" s="1383">
        <v>3.1862895181037305</v>
      </c>
      <c r="AO92" s="1306"/>
      <c r="AP92" s="1349">
        <v>90643</v>
      </c>
      <c r="AQ92" s="1393">
        <v>-11.833594335126302</v>
      </c>
      <c r="AR92" s="1349">
        <v>6002588</v>
      </c>
      <c r="AS92" s="1393">
        <v>6.3309239096257963</v>
      </c>
      <c r="AT92" s="1349">
        <v>14191551</v>
      </c>
      <c r="AU92" s="1393">
        <v>1.8800376290375336</v>
      </c>
      <c r="AV92" s="1385">
        <v>-6.1356948770321509E-2</v>
      </c>
      <c r="AW92" s="1394">
        <v>1.8024448456248163</v>
      </c>
      <c r="AX92" s="1385">
        <v>1.3207579989164975</v>
      </c>
      <c r="AY92" s="1306"/>
      <c r="AZ92" s="1349">
        <v>5171153</v>
      </c>
      <c r="BA92" s="1384">
        <v>5.2973957635494857</v>
      </c>
      <c r="BB92" s="1349">
        <v>15113629</v>
      </c>
      <c r="BC92" s="1384">
        <v>2.3495812259416033</v>
      </c>
      <c r="BD92" s="1385">
        <v>1.3120431536530488</v>
      </c>
      <c r="BE92" s="1385">
        <v>1.7498027421179434</v>
      </c>
    </row>
    <row r="93" spans="1:58" hidden="1">
      <c r="A93" s="1425" t="s">
        <v>9663</v>
      </c>
      <c r="B93" s="1436" t="s">
        <v>9954</v>
      </c>
      <c r="C93" s="1349">
        <v>20641328</v>
      </c>
      <c r="D93" s="1399">
        <v>63978</v>
      </c>
      <c r="E93" s="1399">
        <v>5385</v>
      </c>
      <c r="F93" s="1399">
        <v>19362</v>
      </c>
      <c r="G93" s="1399">
        <v>8072</v>
      </c>
      <c r="H93" s="1399">
        <v>5386668</v>
      </c>
      <c r="I93" s="1399">
        <v>730449</v>
      </c>
      <c r="J93" s="1399">
        <v>45377</v>
      </c>
      <c r="K93" s="1399">
        <v>95371</v>
      </c>
      <c r="L93" s="1399">
        <v>636699</v>
      </c>
      <c r="M93" s="1399">
        <v>34627</v>
      </c>
      <c r="N93" s="1399">
        <v>129277</v>
      </c>
      <c r="O93" s="1399">
        <v>546717</v>
      </c>
      <c r="P93" s="1399">
        <v>305794</v>
      </c>
      <c r="Q93" s="1399">
        <v>1101036</v>
      </c>
      <c r="R93" s="1399">
        <v>118443</v>
      </c>
      <c r="S93" s="1399">
        <v>502286</v>
      </c>
      <c r="T93" s="1399">
        <v>280239</v>
      </c>
      <c r="U93" s="1399">
        <v>449025</v>
      </c>
      <c r="V93" s="1399">
        <v>54860</v>
      </c>
      <c r="W93" s="1399">
        <v>356468</v>
      </c>
      <c r="X93" s="1399">
        <v>716237</v>
      </c>
      <c r="Y93" s="1399">
        <v>851650</v>
      </c>
      <c r="Z93" s="1399">
        <v>2227577</v>
      </c>
      <c r="AA93" s="1399">
        <v>1261624</v>
      </c>
      <c r="AB93" s="1399">
        <v>511498</v>
      </c>
      <c r="AC93" s="1399">
        <v>546456</v>
      </c>
      <c r="AD93" s="1399">
        <v>691432</v>
      </c>
      <c r="AE93" s="1399">
        <v>2817331</v>
      </c>
      <c r="AF93" s="1399">
        <v>1153195</v>
      </c>
      <c r="AG93" s="1399">
        <v>657003</v>
      </c>
      <c r="AH93" s="1399">
        <v>823694</v>
      </c>
      <c r="AI93" s="1399">
        <v>1764197</v>
      </c>
      <c r="AJ93" s="1399">
        <v>921836</v>
      </c>
      <c r="AK93" s="1399">
        <v>20427195</v>
      </c>
      <c r="AL93" s="1399">
        <v>214133</v>
      </c>
      <c r="AM93" s="1399"/>
      <c r="AN93" s="1383">
        <v>0.88615622680290695</v>
      </c>
      <c r="AO93" s="1306"/>
      <c r="AP93" s="1349">
        <v>88725</v>
      </c>
      <c r="AQ93" s="1384">
        <v>-2.115993513012588</v>
      </c>
      <c r="AR93" s="1349">
        <v>6246390</v>
      </c>
      <c r="AS93" s="1384">
        <v>4.061614756834885</v>
      </c>
      <c r="AT93" s="1349">
        <v>14092080</v>
      </c>
      <c r="AU93" s="1384">
        <v>-0.70091704564215707</v>
      </c>
      <c r="AV93" s="1385">
        <v>-9.3743798934376177E-3</v>
      </c>
      <c r="AW93" s="1385">
        <v>1.1916019639102595</v>
      </c>
      <c r="AX93" s="1385">
        <v>-0.4861725455579422</v>
      </c>
      <c r="AY93" s="1306"/>
      <c r="AZ93" s="1349">
        <v>5386668</v>
      </c>
      <c r="BA93" s="1384">
        <v>4.1676392092827266</v>
      </c>
      <c r="BB93" s="1349">
        <v>15040527</v>
      </c>
      <c r="BC93" s="1384">
        <v>-0.48368264167394875</v>
      </c>
      <c r="BD93" s="1385">
        <v>1.0533469670147071</v>
      </c>
      <c r="BE93" s="1385">
        <v>-0.35729192855582725</v>
      </c>
    </row>
    <row r="94" spans="1:58" hidden="1">
      <c r="A94" s="1425" t="s">
        <v>9664</v>
      </c>
      <c r="B94" s="1436" t="s">
        <v>9955</v>
      </c>
      <c r="C94" s="1349">
        <v>21619621</v>
      </c>
      <c r="D94" s="1399">
        <v>72574</v>
      </c>
      <c r="E94" s="1399">
        <v>5513</v>
      </c>
      <c r="F94" s="1399">
        <v>23334</v>
      </c>
      <c r="G94" s="1399">
        <v>7515</v>
      </c>
      <c r="H94" s="1399">
        <v>5750864</v>
      </c>
      <c r="I94" s="1399">
        <v>740456</v>
      </c>
      <c r="J94" s="1399">
        <v>52442</v>
      </c>
      <c r="K94" s="1399">
        <v>108301</v>
      </c>
      <c r="L94" s="1399">
        <v>744124</v>
      </c>
      <c r="M94" s="1399">
        <v>32988</v>
      </c>
      <c r="N94" s="1399">
        <v>132478</v>
      </c>
      <c r="O94" s="1399">
        <v>544300</v>
      </c>
      <c r="P94" s="1399">
        <v>318289</v>
      </c>
      <c r="Q94" s="1399">
        <v>1220638</v>
      </c>
      <c r="R94" s="1399">
        <v>73881</v>
      </c>
      <c r="S94" s="1399">
        <v>538939</v>
      </c>
      <c r="T94" s="1399">
        <v>250965</v>
      </c>
      <c r="U94" s="1399">
        <v>532811</v>
      </c>
      <c r="V94" s="1399">
        <v>61598</v>
      </c>
      <c r="W94" s="1399">
        <v>398654</v>
      </c>
      <c r="X94" s="1399">
        <v>918533</v>
      </c>
      <c r="Y94" s="1399">
        <v>864788</v>
      </c>
      <c r="Z94" s="1399">
        <v>2243780</v>
      </c>
      <c r="AA94" s="1399">
        <v>1290385</v>
      </c>
      <c r="AB94" s="1399">
        <v>521764</v>
      </c>
      <c r="AC94" s="1399">
        <v>560027</v>
      </c>
      <c r="AD94" s="1399">
        <v>697699</v>
      </c>
      <c r="AE94" s="1399">
        <v>2838053</v>
      </c>
      <c r="AF94" s="1399">
        <v>1292826</v>
      </c>
      <c r="AG94" s="1399">
        <v>666783</v>
      </c>
      <c r="AH94" s="1399">
        <v>847685</v>
      </c>
      <c r="AI94" s="1399">
        <v>1882943</v>
      </c>
      <c r="AJ94" s="1399">
        <v>944203</v>
      </c>
      <c r="AK94" s="1399">
        <v>21429269</v>
      </c>
      <c r="AL94" s="1399">
        <v>190352</v>
      </c>
      <c r="AM94" s="1399"/>
      <c r="AN94" s="1383">
        <v>4.7394875758790231</v>
      </c>
      <c r="AO94" s="1306"/>
      <c r="AP94" s="1449">
        <v>101421</v>
      </c>
      <c r="AQ94" s="1384">
        <v>14.309382924767542</v>
      </c>
      <c r="AR94" s="1399">
        <v>6623167</v>
      </c>
      <c r="AS94" s="1384">
        <v>6.0319160347016441</v>
      </c>
      <c r="AT94" s="1399">
        <v>14704681</v>
      </c>
      <c r="AU94" s="1384">
        <v>4.3471297352839322</v>
      </c>
      <c r="AV94" s="1394">
        <v>6.150767124220375E-2</v>
      </c>
      <c r="AW94" s="1385">
        <v>1.8253525399829711</v>
      </c>
      <c r="AX94" s="1368">
        <v>2.9678371857786119</v>
      </c>
      <c r="AY94" s="1306"/>
      <c r="AZ94" s="1349">
        <v>5750864</v>
      </c>
      <c r="BA94" s="1384">
        <v>6.7610626829052762</v>
      </c>
      <c r="BB94" s="1349">
        <v>15678405</v>
      </c>
      <c r="BC94" s="1384">
        <v>4.2410615000391942</v>
      </c>
      <c r="BD94" s="1385">
        <v>1.7644020034440482</v>
      </c>
      <c r="BE94" s="1385">
        <v>3.0902953935597384</v>
      </c>
    </row>
    <row r="95" spans="1:58" hidden="1">
      <c r="A95" s="1425" t="s">
        <v>9665</v>
      </c>
      <c r="B95" s="1436" t="s">
        <v>9956</v>
      </c>
      <c r="C95" s="1349">
        <v>21815299</v>
      </c>
      <c r="D95" s="1399">
        <v>80200</v>
      </c>
      <c r="E95" s="1399">
        <v>5515</v>
      </c>
      <c r="F95" s="1399">
        <v>26867</v>
      </c>
      <c r="G95" s="1399">
        <v>5909</v>
      </c>
      <c r="H95" s="1399">
        <v>5756845</v>
      </c>
      <c r="I95" s="1399">
        <v>790755</v>
      </c>
      <c r="J95" s="1399">
        <v>49807</v>
      </c>
      <c r="K95" s="1399">
        <v>108829</v>
      </c>
      <c r="L95" s="1399">
        <v>812132</v>
      </c>
      <c r="M95" s="1399">
        <v>38341</v>
      </c>
      <c r="N95" s="1399">
        <v>125498</v>
      </c>
      <c r="O95" s="1399">
        <v>534964</v>
      </c>
      <c r="P95" s="1399">
        <v>308279</v>
      </c>
      <c r="Q95" s="1399">
        <v>1159986</v>
      </c>
      <c r="R95" s="1399">
        <v>101175</v>
      </c>
      <c r="S95" s="1399">
        <v>504039</v>
      </c>
      <c r="T95" s="1399">
        <v>178140</v>
      </c>
      <c r="U95" s="1399">
        <v>581018</v>
      </c>
      <c r="V95" s="1399">
        <v>61667</v>
      </c>
      <c r="W95" s="1399">
        <v>402215</v>
      </c>
      <c r="X95" s="1399">
        <v>952425</v>
      </c>
      <c r="Y95" s="1399">
        <v>945645</v>
      </c>
      <c r="Z95" s="1399">
        <v>2224580</v>
      </c>
      <c r="AA95" s="1399">
        <v>1217488</v>
      </c>
      <c r="AB95" s="1399">
        <v>576509</v>
      </c>
      <c r="AC95" s="1399">
        <v>557933</v>
      </c>
      <c r="AD95" s="1399">
        <v>662439</v>
      </c>
      <c r="AE95" s="1399">
        <v>2830933</v>
      </c>
      <c r="AF95" s="1399">
        <v>1377970</v>
      </c>
      <c r="AG95" s="1399">
        <v>679251</v>
      </c>
      <c r="AH95" s="1399">
        <v>881221</v>
      </c>
      <c r="AI95" s="1399">
        <v>1941576</v>
      </c>
      <c r="AJ95" s="1399">
        <v>929237</v>
      </c>
      <c r="AK95" s="1399">
        <v>21652543</v>
      </c>
      <c r="AL95" s="1399">
        <v>162756</v>
      </c>
      <c r="AM95" s="1399"/>
      <c r="AN95" s="1383">
        <v>0.90509313763653187</v>
      </c>
      <c r="AO95" s="1306"/>
      <c r="AP95" s="1449">
        <v>112582</v>
      </c>
      <c r="AQ95" s="1384">
        <v>11.004624288855364</v>
      </c>
      <c r="AR95" s="1399">
        <v>6708399</v>
      </c>
      <c r="AS95" s="1384">
        <v>1.2868768068206644</v>
      </c>
      <c r="AT95" s="1399">
        <v>14831562</v>
      </c>
      <c r="AU95" s="1384">
        <v>0.86286128886440983</v>
      </c>
      <c r="AV95" s="1394">
        <v>5.1624401997031916E-2</v>
      </c>
      <c r="AW95" s="1385">
        <v>0.39423447997590044</v>
      </c>
      <c r="AX95" s="1368">
        <v>0.58687893108013678</v>
      </c>
      <c r="AY95" s="1306"/>
      <c r="AZ95" s="1349">
        <v>5756845</v>
      </c>
      <c r="BA95" s="1384">
        <v>0.10400176390886658</v>
      </c>
      <c r="BB95" s="1349">
        <v>15895698</v>
      </c>
      <c r="BC95" s="1384">
        <v>1.3859381741956531</v>
      </c>
      <c r="BD95" s="1385">
        <v>2.7664684915710766E-2</v>
      </c>
      <c r="BE95" s="1385">
        <v>1.0050731281373582</v>
      </c>
    </row>
    <row r="96" spans="1:58" hidden="1">
      <c r="A96" s="1425" t="s">
        <v>9666</v>
      </c>
      <c r="B96" s="1436" t="s">
        <v>9957</v>
      </c>
      <c r="C96" s="1349">
        <v>22122842</v>
      </c>
      <c r="D96" s="1449">
        <v>79057</v>
      </c>
      <c r="E96" s="1399">
        <v>5522</v>
      </c>
      <c r="F96" s="1399">
        <v>26156</v>
      </c>
      <c r="G96" s="1399">
        <v>6168</v>
      </c>
      <c r="H96" s="1399">
        <v>5871412</v>
      </c>
      <c r="I96" s="1399">
        <v>793677</v>
      </c>
      <c r="J96" s="1399">
        <v>50786</v>
      </c>
      <c r="K96" s="1399">
        <v>107340</v>
      </c>
      <c r="L96" s="1399">
        <v>825325</v>
      </c>
      <c r="M96" s="1399">
        <v>36571</v>
      </c>
      <c r="N96" s="1399">
        <v>135124</v>
      </c>
      <c r="O96" s="1399">
        <v>619265</v>
      </c>
      <c r="P96" s="1399">
        <v>309399</v>
      </c>
      <c r="Q96" s="1399">
        <v>1150625</v>
      </c>
      <c r="R96" s="1399">
        <v>118607</v>
      </c>
      <c r="S96" s="1399">
        <v>517038</v>
      </c>
      <c r="T96" s="1399">
        <v>170051</v>
      </c>
      <c r="U96" s="1399">
        <v>594938</v>
      </c>
      <c r="V96" s="1399">
        <v>52953</v>
      </c>
      <c r="W96" s="1399">
        <v>389713</v>
      </c>
      <c r="X96" s="1399">
        <v>943535</v>
      </c>
      <c r="Y96" s="1399">
        <v>906476</v>
      </c>
      <c r="Z96" s="1399">
        <v>2299463</v>
      </c>
      <c r="AA96" s="1399">
        <v>1245872</v>
      </c>
      <c r="AB96" s="1399">
        <v>603886</v>
      </c>
      <c r="AC96" s="1399">
        <v>552776</v>
      </c>
      <c r="AD96" s="1399">
        <v>661429</v>
      </c>
      <c r="AE96" s="1399">
        <v>2833304</v>
      </c>
      <c r="AF96" s="1399">
        <v>1414717</v>
      </c>
      <c r="AG96" s="1399">
        <v>672934</v>
      </c>
      <c r="AH96" s="1399">
        <v>913174</v>
      </c>
      <c r="AI96" s="1399">
        <v>1946419</v>
      </c>
      <c r="AJ96" s="1399">
        <v>964757</v>
      </c>
      <c r="AK96" s="1399">
        <v>21947057</v>
      </c>
      <c r="AL96" s="1399">
        <v>175785</v>
      </c>
      <c r="AM96" s="1399"/>
      <c r="AN96" s="1383">
        <v>1.4097588532613436</v>
      </c>
      <c r="AO96" s="1450"/>
      <c r="AP96" s="1449">
        <v>110735</v>
      </c>
      <c r="AQ96" s="1395">
        <v>-1.6405819758043025</v>
      </c>
      <c r="AR96" s="1449">
        <v>6784056</v>
      </c>
      <c r="AS96" s="1395">
        <v>1.1277951713963346</v>
      </c>
      <c r="AT96" s="1449">
        <v>15052266</v>
      </c>
      <c r="AU96" s="1395">
        <v>1.4880698337774536</v>
      </c>
      <c r="AV96" s="1451">
        <v>-8.4665354989371805E-3</v>
      </c>
      <c r="AW96" s="1451">
        <v>0.34680707972013547</v>
      </c>
      <c r="AX96" s="1451">
        <v>1.0116936928843701</v>
      </c>
      <c r="AY96" s="1450"/>
      <c r="AZ96" s="1449">
        <v>5871412</v>
      </c>
      <c r="BA96" s="1395">
        <v>1.9901004803846551</v>
      </c>
      <c r="BB96" s="1449">
        <v>16075645</v>
      </c>
      <c r="BC96" s="1395">
        <v>1.1320484322236117</v>
      </c>
      <c r="BD96" s="1451">
        <v>0.52516814970586678</v>
      </c>
      <c r="BE96" s="1385">
        <v>0.82486608739970146</v>
      </c>
      <c r="BF96" s="196"/>
    </row>
    <row r="97" spans="1:58" hidden="1">
      <c r="A97" s="1425" t="s">
        <v>9667</v>
      </c>
      <c r="B97" s="1436" t="s">
        <v>9958</v>
      </c>
      <c r="C97" s="1411">
        <v>22155227</v>
      </c>
      <c r="D97" s="1413">
        <v>70125</v>
      </c>
      <c r="E97" s="1413">
        <v>5454</v>
      </c>
      <c r="F97" s="1413">
        <v>26297</v>
      </c>
      <c r="G97" s="1413">
        <v>6047</v>
      </c>
      <c r="H97" s="1413">
        <v>5909342</v>
      </c>
      <c r="I97" s="1413">
        <v>795475</v>
      </c>
      <c r="J97" s="1413">
        <v>52544</v>
      </c>
      <c r="K97" s="1413">
        <v>109741</v>
      </c>
      <c r="L97" s="1413">
        <v>877181</v>
      </c>
      <c r="M97" s="1413">
        <v>35769</v>
      </c>
      <c r="N97" s="1413">
        <v>119923</v>
      </c>
      <c r="O97" s="1413">
        <v>540200</v>
      </c>
      <c r="P97" s="1413">
        <v>310175</v>
      </c>
      <c r="Q97" s="1413">
        <v>1161829</v>
      </c>
      <c r="R97" s="1413">
        <v>120463</v>
      </c>
      <c r="S97" s="1413">
        <v>487987</v>
      </c>
      <c r="T97" s="1413">
        <v>155380</v>
      </c>
      <c r="U97" s="1413">
        <v>706244</v>
      </c>
      <c r="V97" s="1413">
        <v>61653</v>
      </c>
      <c r="W97" s="1413">
        <v>374778</v>
      </c>
      <c r="X97" s="1413">
        <v>915432</v>
      </c>
      <c r="Y97" s="1413">
        <v>899155</v>
      </c>
      <c r="Z97" s="1413">
        <v>2281367</v>
      </c>
      <c r="AA97" s="1413">
        <v>1202278</v>
      </c>
      <c r="AB97" s="1413">
        <v>609200</v>
      </c>
      <c r="AC97" s="1413">
        <v>557625</v>
      </c>
      <c r="AD97" s="1413">
        <v>655999</v>
      </c>
      <c r="AE97" s="1413">
        <v>2851615</v>
      </c>
      <c r="AF97" s="1413">
        <v>1455396</v>
      </c>
      <c r="AG97" s="1413">
        <v>674802</v>
      </c>
      <c r="AH97" s="1413">
        <v>912015</v>
      </c>
      <c r="AI97" s="1413">
        <v>1971916</v>
      </c>
      <c r="AJ97" s="1413">
        <v>955706</v>
      </c>
      <c r="AK97" s="1413">
        <v>21959771</v>
      </c>
      <c r="AL97" s="1413">
        <v>195456</v>
      </c>
      <c r="AM97" s="1413"/>
      <c r="AN97" s="1448">
        <v>0.14638969407182634</v>
      </c>
      <c r="AO97" s="740"/>
      <c r="AP97" s="1452">
        <v>101876</v>
      </c>
      <c r="AQ97" s="1383">
        <v>-8.0001806113694851</v>
      </c>
      <c r="AR97" s="1452">
        <v>6814544</v>
      </c>
      <c r="AS97" s="1383">
        <v>0.44940666763363979</v>
      </c>
      <c r="AT97" s="1452">
        <v>15043351</v>
      </c>
      <c r="AU97" s="1383">
        <v>-5.9226962903791362E-2</v>
      </c>
      <c r="AV97" s="1385">
        <v>-4.0044584324144185E-2</v>
      </c>
      <c r="AW97" s="1385">
        <v>0.13781231367812483</v>
      </c>
      <c r="AX97" s="1385">
        <v>-4.029771636186312E-2</v>
      </c>
      <c r="AY97" s="740"/>
      <c r="AZ97" s="1452">
        <v>5909342</v>
      </c>
      <c r="BA97" s="1383">
        <v>0.64601155565305246</v>
      </c>
      <c r="BB97" s="1452">
        <v>16050429</v>
      </c>
      <c r="BC97" s="1383">
        <v>-0.15685840288212385</v>
      </c>
      <c r="BD97" s="1385">
        <v>0.17145175340498803</v>
      </c>
      <c r="BE97" s="1385">
        <v>-0.11398174041287049</v>
      </c>
    </row>
    <row r="98" spans="1:58" hidden="1">
      <c r="A98" s="1425" t="s">
        <v>9959</v>
      </c>
      <c r="B98" s="1436" t="s">
        <v>9960</v>
      </c>
      <c r="C98" s="1349">
        <v>22260355</v>
      </c>
      <c r="D98" s="1399">
        <v>70082</v>
      </c>
      <c r="E98" s="1399">
        <v>5534</v>
      </c>
      <c r="F98" s="1399">
        <v>23581</v>
      </c>
      <c r="G98" s="1399">
        <v>5964</v>
      </c>
      <c r="H98" s="1399">
        <v>5928835</v>
      </c>
      <c r="I98" s="1399">
        <v>779994</v>
      </c>
      <c r="J98" s="1399">
        <v>49851</v>
      </c>
      <c r="K98" s="1399">
        <v>123734</v>
      </c>
      <c r="L98" s="1399">
        <v>841551</v>
      </c>
      <c r="M98" s="1399">
        <v>39800</v>
      </c>
      <c r="N98" s="1399">
        <v>129346</v>
      </c>
      <c r="O98" s="1399">
        <v>511679</v>
      </c>
      <c r="P98" s="1399">
        <v>329713</v>
      </c>
      <c r="Q98" s="1399">
        <v>1167963</v>
      </c>
      <c r="R98" s="1399">
        <v>109085</v>
      </c>
      <c r="S98" s="1399">
        <v>509625</v>
      </c>
      <c r="T98" s="1399">
        <v>170209</v>
      </c>
      <c r="U98" s="1399">
        <v>703529</v>
      </c>
      <c r="V98" s="1399">
        <v>63864</v>
      </c>
      <c r="W98" s="1399">
        <v>398892</v>
      </c>
      <c r="X98" s="1399">
        <v>907422</v>
      </c>
      <c r="Y98" s="1399">
        <v>898754</v>
      </c>
      <c r="Z98" s="1399">
        <v>2218345</v>
      </c>
      <c r="AA98" s="1399">
        <v>1194141</v>
      </c>
      <c r="AB98" s="1399">
        <v>565392</v>
      </c>
      <c r="AC98" s="1399">
        <v>547310</v>
      </c>
      <c r="AD98" s="1399">
        <v>694976</v>
      </c>
      <c r="AE98" s="1399">
        <v>2895132</v>
      </c>
      <c r="AF98" s="1399">
        <v>1495122</v>
      </c>
      <c r="AG98" s="1399">
        <v>692708</v>
      </c>
      <c r="AH98" s="1399">
        <v>935949</v>
      </c>
      <c r="AI98" s="1399">
        <v>2059236</v>
      </c>
      <c r="AJ98" s="1399">
        <v>948567</v>
      </c>
      <c r="AK98" s="1399">
        <v>22087050</v>
      </c>
      <c r="AL98" s="1399">
        <v>173305</v>
      </c>
      <c r="AM98" s="1399"/>
      <c r="AN98" s="1448">
        <v>0.4745061835334235</v>
      </c>
      <c r="AO98" s="1306"/>
      <c r="AP98" s="1349">
        <v>99197</v>
      </c>
      <c r="AQ98" s="1384">
        <v>-2.6296674388472261</v>
      </c>
      <c r="AR98" s="1349">
        <v>6833553</v>
      </c>
      <c r="AS98" s="1384">
        <v>0.27894749817449266</v>
      </c>
      <c r="AT98" s="1349">
        <v>15154300</v>
      </c>
      <c r="AU98" s="1384">
        <v>0.73752849348526139</v>
      </c>
      <c r="AV98" s="1385">
        <v>-1.2091954500674794E-2</v>
      </c>
      <c r="AW98" s="1385">
        <v>8.5799165025504734E-2</v>
      </c>
      <c r="AX98" s="1385">
        <v>0.50078023885605361</v>
      </c>
      <c r="AY98" s="1306"/>
      <c r="AZ98" s="1349">
        <v>5928835</v>
      </c>
      <c r="BA98" s="1384">
        <v>0.32986752162931166</v>
      </c>
      <c r="BB98" s="1349">
        <v>16158215</v>
      </c>
      <c r="BC98" s="1384">
        <v>0.67154591319646351</v>
      </c>
      <c r="BD98" s="1385">
        <v>8.7983751056981627E-2</v>
      </c>
      <c r="BE98" s="1385">
        <v>0.486503698323902</v>
      </c>
    </row>
    <row r="99" spans="1:58" hidden="1">
      <c r="A99" s="1425" t="s">
        <v>9961</v>
      </c>
      <c r="B99" s="1443" t="s">
        <v>9962</v>
      </c>
      <c r="C99" s="1349">
        <v>21843471</v>
      </c>
      <c r="D99" s="1449">
        <v>66923</v>
      </c>
      <c r="E99" s="1399">
        <v>5360</v>
      </c>
      <c r="F99" s="1399">
        <v>23168</v>
      </c>
      <c r="G99" s="1399">
        <v>5860</v>
      </c>
      <c r="H99" s="1399">
        <v>6047369</v>
      </c>
      <c r="I99" s="1399">
        <v>854089</v>
      </c>
      <c r="J99" s="1399">
        <v>47058</v>
      </c>
      <c r="K99" s="1399">
        <v>123212</v>
      </c>
      <c r="L99" s="1399">
        <v>860717</v>
      </c>
      <c r="M99" s="1399">
        <v>46527</v>
      </c>
      <c r="N99" s="1399">
        <v>146586</v>
      </c>
      <c r="O99" s="1399">
        <v>507816</v>
      </c>
      <c r="P99" s="1399">
        <v>362007</v>
      </c>
      <c r="Q99" s="1399">
        <v>1284799</v>
      </c>
      <c r="R99" s="1399">
        <v>108692</v>
      </c>
      <c r="S99" s="1399">
        <v>463290</v>
      </c>
      <c r="T99" s="1399">
        <v>191259</v>
      </c>
      <c r="U99" s="1399">
        <v>591465</v>
      </c>
      <c r="V99" s="1399">
        <v>84544</v>
      </c>
      <c r="W99" s="1399">
        <v>375308</v>
      </c>
      <c r="X99" s="1399">
        <v>910604</v>
      </c>
      <c r="Y99" s="1399">
        <v>1051890</v>
      </c>
      <c r="Z99" s="1399">
        <v>2061025</v>
      </c>
      <c r="AA99" s="1399">
        <v>950466</v>
      </c>
      <c r="AB99" s="1399">
        <v>344135</v>
      </c>
      <c r="AC99" s="1399">
        <v>575495</v>
      </c>
      <c r="AD99" s="1399">
        <v>679891</v>
      </c>
      <c r="AE99" s="1399">
        <v>2934207</v>
      </c>
      <c r="AF99" s="1399">
        <v>1503297</v>
      </c>
      <c r="AG99" s="1399">
        <v>678008</v>
      </c>
      <c r="AH99" s="1399">
        <v>944221</v>
      </c>
      <c r="AI99" s="1399">
        <v>2040157</v>
      </c>
      <c r="AJ99" s="1399">
        <v>836138</v>
      </c>
      <c r="AK99" s="1399">
        <v>21658214</v>
      </c>
      <c r="AL99" s="1351">
        <v>185257</v>
      </c>
      <c r="AM99" s="1351"/>
      <c r="AN99" s="1448">
        <v>-1.8727639347143277</v>
      </c>
      <c r="AO99" s="1306"/>
      <c r="AP99" s="1349">
        <v>95451</v>
      </c>
      <c r="AQ99" s="1384">
        <v>-3.776323880762523</v>
      </c>
      <c r="AR99" s="1349">
        <v>7105119</v>
      </c>
      <c r="AS99" s="1384">
        <v>3.974008835520848</v>
      </c>
      <c r="AT99" s="1349">
        <v>14457644</v>
      </c>
      <c r="AU99" s="1384">
        <v>-4.5970846558402565</v>
      </c>
      <c r="AV99" s="1385">
        <v>-1.6828123221173583E-2</v>
      </c>
      <c r="AW99" s="1385">
        <v>1.2199535800003272</v>
      </c>
      <c r="AX99" s="1385">
        <v>-3.1295816900079827</v>
      </c>
      <c r="AY99" s="1306"/>
      <c r="AZ99" s="1349">
        <v>6047369</v>
      </c>
      <c r="BA99" s="1384">
        <v>1.9992797910550726</v>
      </c>
      <c r="BB99" s="1349">
        <v>15610845</v>
      </c>
      <c r="BC99" s="1384">
        <v>-3.387564777421268</v>
      </c>
      <c r="BD99" s="1385">
        <v>0.53248925731409225</v>
      </c>
      <c r="BE99" s="1385">
        <v>-2.4589454905429213</v>
      </c>
    </row>
    <row r="100" spans="1:58" hidden="1">
      <c r="A100" s="1425" t="s">
        <v>9963</v>
      </c>
      <c r="B100" s="1443" t="s">
        <v>9964</v>
      </c>
      <c r="C100" s="1453">
        <v>22506292</v>
      </c>
      <c r="D100" s="1454">
        <v>63406</v>
      </c>
      <c r="E100" s="1455">
        <v>5929</v>
      </c>
      <c r="F100" s="1455">
        <v>19948</v>
      </c>
      <c r="G100" s="1455">
        <v>5125</v>
      </c>
      <c r="H100" s="1455">
        <v>6157008</v>
      </c>
      <c r="I100" s="1455">
        <v>838511</v>
      </c>
      <c r="J100" s="1455">
        <v>43647</v>
      </c>
      <c r="K100" s="1455">
        <v>128875</v>
      </c>
      <c r="L100" s="1455">
        <v>863290</v>
      </c>
      <c r="M100" s="1455">
        <v>40967</v>
      </c>
      <c r="N100" s="1455">
        <v>154739</v>
      </c>
      <c r="O100" s="1455">
        <v>472862</v>
      </c>
      <c r="P100" s="1455">
        <v>327660</v>
      </c>
      <c r="Q100" s="1455">
        <v>1313375</v>
      </c>
      <c r="R100" s="1455">
        <v>161220</v>
      </c>
      <c r="S100" s="1455">
        <v>556656</v>
      </c>
      <c r="T100" s="1455">
        <v>186169</v>
      </c>
      <c r="U100" s="1455">
        <v>584097</v>
      </c>
      <c r="V100" s="1455">
        <v>59182</v>
      </c>
      <c r="W100" s="1455">
        <v>425758</v>
      </c>
      <c r="X100" s="1455">
        <v>877431</v>
      </c>
      <c r="Y100" s="1455">
        <v>1036229</v>
      </c>
      <c r="Z100" s="1455">
        <v>2187152</v>
      </c>
      <c r="AA100" s="1455">
        <v>1014757</v>
      </c>
      <c r="AB100" s="1455">
        <v>340106</v>
      </c>
      <c r="AC100" s="1455">
        <v>580549</v>
      </c>
      <c r="AD100" s="1455">
        <v>715018</v>
      </c>
      <c r="AE100" s="1455">
        <v>2950097</v>
      </c>
      <c r="AF100" s="1455">
        <v>1615371</v>
      </c>
      <c r="AG100" s="1455">
        <v>671345</v>
      </c>
      <c r="AH100" s="1455">
        <v>966824</v>
      </c>
      <c r="AI100" s="1455">
        <v>2108497</v>
      </c>
      <c r="AJ100" s="1455">
        <v>899261</v>
      </c>
      <c r="AK100" s="1455">
        <v>22214053</v>
      </c>
      <c r="AL100" s="1456">
        <v>292239</v>
      </c>
      <c r="AM100" s="1456"/>
      <c r="AN100" s="1457">
        <v>3.0344091446714425</v>
      </c>
      <c r="AO100" s="1458"/>
      <c r="AP100" s="1459">
        <v>89283</v>
      </c>
      <c r="AQ100" s="1460">
        <v>-6.4619543011597571</v>
      </c>
      <c r="AR100" s="1459">
        <v>7198362</v>
      </c>
      <c r="AS100" s="1461">
        <v>1.312335514718332</v>
      </c>
      <c r="AT100" s="1459">
        <v>14926408</v>
      </c>
      <c r="AU100" s="1460">
        <v>3.2423263430749851</v>
      </c>
      <c r="AV100" s="1462">
        <v>-2.8237270169000128E-2</v>
      </c>
      <c r="AW100" s="1463">
        <v>0.42686896601298291</v>
      </c>
      <c r="AX100" s="1462">
        <v>2.1460142207362476</v>
      </c>
      <c r="AY100" s="1464"/>
      <c r="AZ100" s="1459">
        <v>6157008</v>
      </c>
      <c r="BA100" s="1465">
        <v>1.8130033077194396</v>
      </c>
      <c r="BB100" s="1459">
        <v>16057045</v>
      </c>
      <c r="BC100" s="1460">
        <v>2.8582693633816749</v>
      </c>
      <c r="BD100" s="1462">
        <v>0.50193029572941061</v>
      </c>
      <c r="BE100" s="1462">
        <v>2.0427156208508199</v>
      </c>
      <c r="BF100" s="196"/>
    </row>
    <row r="101" spans="1:58" hidden="1">
      <c r="A101" s="1425" t="s">
        <v>9965</v>
      </c>
      <c r="B101" s="1443" t="s">
        <v>9966</v>
      </c>
      <c r="C101" s="1453">
        <v>22875282</v>
      </c>
      <c r="D101" s="1454">
        <v>71215</v>
      </c>
      <c r="E101" s="1455">
        <v>5883</v>
      </c>
      <c r="F101" s="1455">
        <v>23532</v>
      </c>
      <c r="G101" s="1455">
        <v>6371</v>
      </c>
      <c r="H101" s="1455">
        <v>6155079</v>
      </c>
      <c r="I101" s="1455">
        <v>841286</v>
      </c>
      <c r="J101" s="1455">
        <v>41712</v>
      </c>
      <c r="K101" s="1455">
        <v>113545</v>
      </c>
      <c r="L101" s="1455">
        <v>759723</v>
      </c>
      <c r="M101" s="1455">
        <v>10699</v>
      </c>
      <c r="N101" s="1455">
        <v>143263</v>
      </c>
      <c r="O101" s="1455">
        <v>508880</v>
      </c>
      <c r="P101" s="1455">
        <v>398884</v>
      </c>
      <c r="Q101" s="1455">
        <v>1366739</v>
      </c>
      <c r="R101" s="1455">
        <v>124057</v>
      </c>
      <c r="S101" s="1455">
        <v>525790</v>
      </c>
      <c r="T101" s="1455">
        <v>209883</v>
      </c>
      <c r="U101" s="1455">
        <v>632019</v>
      </c>
      <c r="V101" s="1455">
        <v>57728</v>
      </c>
      <c r="W101" s="1455">
        <v>420871</v>
      </c>
      <c r="X101" s="1455">
        <v>751305</v>
      </c>
      <c r="Y101" s="1455">
        <v>1005476</v>
      </c>
      <c r="Z101" s="1455">
        <v>2334299</v>
      </c>
      <c r="AA101" s="1455">
        <v>986241</v>
      </c>
      <c r="AB101" s="1455">
        <v>474072</v>
      </c>
      <c r="AC101" s="1455">
        <v>433905</v>
      </c>
      <c r="AD101" s="1455">
        <v>774788</v>
      </c>
      <c r="AE101" s="1455">
        <v>2997767</v>
      </c>
      <c r="AF101" s="1455">
        <v>1620850</v>
      </c>
      <c r="AG101" s="1455">
        <v>711046</v>
      </c>
      <c r="AH101" s="1455">
        <v>963490</v>
      </c>
      <c r="AI101" s="1455">
        <v>2248821</v>
      </c>
      <c r="AJ101" s="1455">
        <v>1014114</v>
      </c>
      <c r="AK101" s="1455">
        <v>22578254</v>
      </c>
      <c r="AL101" s="1455">
        <v>297028</v>
      </c>
      <c r="AM101" s="1455"/>
      <c r="AN101" s="1466">
        <v>1.639499903194688</v>
      </c>
      <c r="AO101" s="1467"/>
      <c r="AP101" s="1459">
        <v>100630</v>
      </c>
      <c r="AQ101" s="1460">
        <v>12.709026354401173</v>
      </c>
      <c r="AR101" s="1459">
        <v>7166926</v>
      </c>
      <c r="AS101" s="1460">
        <v>-0.43671046274138475</v>
      </c>
      <c r="AT101" s="1459">
        <v>15310698</v>
      </c>
      <c r="AU101" s="1460">
        <v>2.5745644899965217</v>
      </c>
      <c r="AV101" s="1462">
        <v>5.0417013233809455E-2</v>
      </c>
      <c r="AW101" s="1462">
        <v>-0.13967649845933144</v>
      </c>
      <c r="AX101" s="1462">
        <v>1.7074781013149409</v>
      </c>
      <c r="AY101" s="1464"/>
      <c r="AZ101" s="1459">
        <v>6155079</v>
      </c>
      <c r="BA101" s="1460">
        <v>-3.1330152567610764E-2</v>
      </c>
      <c r="BB101" s="1459">
        <v>16423175</v>
      </c>
      <c r="BC101" s="1465">
        <v>2.2801829352785647</v>
      </c>
      <c r="BD101" s="1462">
        <v>-8.5709366817677303E-3</v>
      </c>
      <c r="BE101" s="1468">
        <v>1.6267895527711864</v>
      </c>
    </row>
    <row r="102" spans="1:58" hidden="1">
      <c r="A102" s="1355" t="s">
        <v>9967</v>
      </c>
      <c r="B102" s="1469" t="s">
        <v>9968</v>
      </c>
      <c r="C102" s="1470"/>
      <c r="D102" s="1471"/>
      <c r="E102" s="1472"/>
      <c r="F102" s="1455"/>
      <c r="G102" s="1472"/>
      <c r="H102" s="1455"/>
      <c r="I102" s="1455"/>
      <c r="J102" s="1455"/>
      <c r="K102" s="1472"/>
      <c r="L102" s="1472"/>
      <c r="M102" s="1455"/>
      <c r="N102" s="1455"/>
      <c r="O102" s="1472"/>
      <c r="P102" s="1455"/>
      <c r="Q102" s="1472"/>
      <c r="R102" s="1472"/>
      <c r="S102" s="1455"/>
      <c r="T102" s="1455"/>
      <c r="U102" s="1455"/>
      <c r="V102" s="1455"/>
      <c r="W102" s="1455"/>
      <c r="X102" s="1455"/>
      <c r="Y102" s="1455"/>
      <c r="Z102" s="1455"/>
      <c r="AA102" s="1455"/>
      <c r="AB102" s="1455"/>
      <c r="AC102" s="1455"/>
      <c r="AD102" s="1455"/>
      <c r="AE102" s="1455"/>
      <c r="AF102" s="1455"/>
      <c r="AG102" s="1455"/>
      <c r="AH102" s="1455"/>
      <c r="AI102" s="1472"/>
      <c r="AJ102" s="1472"/>
      <c r="AK102" s="1472"/>
      <c r="AL102" s="1455"/>
      <c r="AM102" s="1455"/>
      <c r="AN102" s="1466"/>
      <c r="AO102" s="1467"/>
      <c r="AP102" s="1473"/>
      <c r="AQ102" s="1474"/>
      <c r="AR102" s="1473"/>
      <c r="AS102" s="1474"/>
      <c r="AT102" s="1473"/>
      <c r="AU102" s="1474"/>
      <c r="AV102" s="1475"/>
      <c r="AW102" s="1462"/>
      <c r="AX102" s="1475"/>
      <c r="AY102" s="1464"/>
      <c r="AZ102" s="1459"/>
      <c r="BA102" s="1474"/>
      <c r="BB102" s="1473"/>
      <c r="BC102" s="1465"/>
      <c r="BD102" s="1475"/>
      <c r="BE102" s="1468"/>
    </row>
    <row r="103" spans="1:58" hidden="1">
      <c r="A103" s="1305" t="s">
        <v>9969</v>
      </c>
      <c r="B103" s="1476"/>
      <c r="C103" s="740"/>
      <c r="D103" s="740"/>
      <c r="E103" s="740"/>
      <c r="F103" s="1477"/>
      <c r="G103" s="740"/>
      <c r="H103" s="1477"/>
      <c r="I103" s="1477"/>
      <c r="J103" s="1477"/>
      <c r="K103" s="740"/>
      <c r="L103" s="740"/>
      <c r="M103" s="1477"/>
      <c r="N103" s="1477"/>
      <c r="O103" s="740"/>
      <c r="P103" s="1477"/>
      <c r="Q103" s="740"/>
      <c r="R103" s="740"/>
      <c r="S103" s="1477"/>
      <c r="T103" s="1477"/>
      <c r="U103" s="1477"/>
      <c r="V103" s="1477"/>
      <c r="W103" s="1477"/>
      <c r="X103" s="1477"/>
      <c r="Y103" s="1477"/>
      <c r="Z103" s="1477"/>
      <c r="AA103" s="1477"/>
      <c r="AB103" s="1477"/>
      <c r="AC103" s="1477"/>
      <c r="AD103" s="1477"/>
      <c r="AE103" s="1477"/>
      <c r="AF103" s="1477"/>
      <c r="AG103" s="1477"/>
      <c r="AH103" s="1477"/>
      <c r="AI103" s="740"/>
      <c r="AJ103" s="740"/>
      <c r="AK103" s="740"/>
      <c r="AL103" s="1477"/>
      <c r="AM103" s="1477"/>
      <c r="AN103" s="1477"/>
      <c r="AO103" s="740"/>
      <c r="AP103" s="740"/>
      <c r="AQ103" s="1477"/>
      <c r="AR103" s="740"/>
      <c r="AS103" s="740"/>
      <c r="AT103" s="740"/>
      <c r="AU103" s="1477"/>
      <c r="AV103" s="1477"/>
      <c r="AW103" s="1477"/>
      <c r="AX103" s="740"/>
      <c r="AY103" s="740"/>
      <c r="AZ103" s="1477"/>
      <c r="BA103" s="1477"/>
      <c r="BB103" s="740"/>
      <c r="BC103" s="1477"/>
      <c r="BD103" s="740"/>
      <c r="BE103" s="1477"/>
    </row>
    <row r="104" spans="1:58" hidden="1">
      <c r="A104" s="1305" t="s">
        <v>9970</v>
      </c>
      <c r="B104" s="1305"/>
      <c r="C104" s="740"/>
      <c r="D104" s="740"/>
      <c r="E104" s="740"/>
      <c r="F104" s="740"/>
      <c r="G104" s="740"/>
      <c r="H104" s="740"/>
      <c r="I104" s="740"/>
      <c r="J104" s="740"/>
      <c r="K104" s="740"/>
      <c r="L104" s="740"/>
      <c r="M104" s="740"/>
      <c r="N104" s="740"/>
      <c r="O104" s="740"/>
      <c r="P104" s="740"/>
      <c r="Q104" s="740"/>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row>
    <row r="105" spans="1:58">
      <c r="A105" s="1304" t="s">
        <v>9971</v>
      </c>
      <c r="B105" s="1305"/>
      <c r="C105" s="740"/>
      <c r="D105" s="740"/>
      <c r="E105" s="1489">
        <v>46017</v>
      </c>
      <c r="F105" s="740"/>
      <c r="G105" s="740"/>
      <c r="H105" s="740"/>
      <c r="I105" s="740"/>
      <c r="J105" s="740"/>
      <c r="K105" s="740"/>
      <c r="L105" s="740"/>
      <c r="M105" s="740"/>
      <c r="N105" s="740"/>
      <c r="O105" s="740"/>
      <c r="P105" s="740"/>
      <c r="Q105" s="740"/>
      <c r="R105" s="740"/>
      <c r="S105" s="740"/>
      <c r="T105" s="740"/>
      <c r="U105" s="740"/>
      <c r="V105" s="740"/>
      <c r="W105" s="740"/>
      <c r="X105" s="740"/>
      <c r="Y105" s="740"/>
      <c r="Z105" s="740"/>
      <c r="AA105" s="740"/>
      <c r="AB105" s="740"/>
      <c r="AC105" s="740"/>
      <c r="AD105" s="740"/>
      <c r="AE105" s="740"/>
      <c r="AF105" s="740"/>
      <c r="AG105" s="740"/>
      <c r="AH105" s="740"/>
      <c r="AI105" s="740"/>
      <c r="AJ105" s="740"/>
      <c r="AK105" s="740"/>
      <c r="AL105" s="1306"/>
      <c r="AM105" s="1306"/>
      <c r="AN105" s="1306" t="s">
        <v>9900</v>
      </c>
      <c r="AO105" s="740"/>
      <c r="AP105" s="740"/>
      <c r="AQ105" s="740"/>
      <c r="AR105" s="740"/>
      <c r="AS105" s="740"/>
      <c r="AT105" s="740"/>
      <c r="AU105" s="740"/>
      <c r="AV105" s="740"/>
      <c r="AW105" s="740"/>
      <c r="AX105" s="1306" t="s">
        <v>9900</v>
      </c>
      <c r="AY105" s="740"/>
      <c r="AZ105" s="740"/>
      <c r="BA105" s="740"/>
      <c r="BB105" s="740"/>
      <c r="BC105" s="740"/>
      <c r="BD105" s="740"/>
      <c r="BE105" s="1306" t="s">
        <v>9900</v>
      </c>
    </row>
    <row r="106" spans="1:58" s="740" customFormat="1" ht="6.75" customHeight="1">
      <c r="A106" s="1307"/>
      <c r="B106" s="1308"/>
      <c r="C106" s="1478"/>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1"/>
      <c r="AM106" s="1312"/>
      <c r="AN106" s="1300"/>
      <c r="AP106" s="1309"/>
      <c r="AQ106" s="1312"/>
      <c r="AR106" s="1309"/>
      <c r="AS106" s="1312"/>
      <c r="AT106" s="1309"/>
      <c r="AU106" s="1312"/>
      <c r="AV106" s="1309"/>
      <c r="AW106" s="1313"/>
      <c r="AX106" s="1312"/>
      <c r="AZ106" s="1309"/>
      <c r="BA106" s="1312"/>
      <c r="BB106" s="1309"/>
      <c r="BC106" s="1312"/>
      <c r="BD106" s="1309"/>
      <c r="BE106" s="1312"/>
    </row>
    <row r="107" spans="1:58" s="740" customFormat="1" ht="18.75" customHeight="1">
      <c r="A107" s="1314" t="s">
        <v>9901</v>
      </c>
      <c r="B107" s="1315"/>
      <c r="C107" s="1479" t="s">
        <v>9711</v>
      </c>
      <c r="D107" s="1317" t="s">
        <v>20</v>
      </c>
      <c r="E107" s="1318" t="s">
        <v>79</v>
      </c>
      <c r="F107" s="1318" t="s">
        <v>9671</v>
      </c>
      <c r="G107" s="1318" t="s">
        <v>93</v>
      </c>
      <c r="H107" s="1479" t="s">
        <v>9672</v>
      </c>
      <c r="I107" s="1310"/>
      <c r="J107" s="1310"/>
      <c r="K107" s="1310"/>
      <c r="L107" s="1310"/>
      <c r="M107" s="1310"/>
      <c r="N107" s="1310"/>
      <c r="O107" s="1310"/>
      <c r="P107" s="1310"/>
      <c r="Q107" s="1310"/>
      <c r="R107" s="1310"/>
      <c r="S107" s="1310"/>
      <c r="T107" s="1310"/>
      <c r="U107" s="1310"/>
      <c r="V107" s="1310"/>
      <c r="W107" s="1311"/>
      <c r="X107" s="1319" t="s">
        <v>9688</v>
      </c>
      <c r="Y107" s="1319" t="s">
        <v>9691</v>
      </c>
      <c r="Z107" s="1319" t="s">
        <v>9902</v>
      </c>
      <c r="AA107" s="1319" t="s">
        <v>9782</v>
      </c>
      <c r="AB107" s="1319" t="s">
        <v>9696</v>
      </c>
      <c r="AC107" s="1319" t="s">
        <v>9783</v>
      </c>
      <c r="AD107" s="1319" t="s">
        <v>9784</v>
      </c>
      <c r="AE107" s="1317" t="s">
        <v>9785</v>
      </c>
      <c r="AF107" s="1319" t="s">
        <v>9704</v>
      </c>
      <c r="AG107" s="1319" t="s">
        <v>9115</v>
      </c>
      <c r="AH107" s="1319" t="s">
        <v>9705</v>
      </c>
      <c r="AI107" s="1319" t="s">
        <v>9706</v>
      </c>
      <c r="AJ107" s="1319" t="s">
        <v>9707</v>
      </c>
      <c r="AK107" s="1319" t="s">
        <v>9708</v>
      </c>
      <c r="AL107" s="1320" t="s">
        <v>9903</v>
      </c>
      <c r="AM107" s="1326"/>
      <c r="AN107" s="1318" t="s">
        <v>9904</v>
      </c>
      <c r="AP107" s="1316" t="s">
        <v>9905</v>
      </c>
      <c r="AQ107" s="1321"/>
      <c r="AR107" s="1316" t="s">
        <v>9906</v>
      </c>
      <c r="AS107" s="1321"/>
      <c r="AT107" s="1316" t="s">
        <v>9907</v>
      </c>
      <c r="AU107" s="1321"/>
      <c r="AV107" s="1322" t="s">
        <v>9908</v>
      </c>
      <c r="AW107" s="1323"/>
      <c r="AX107" s="1324"/>
      <c r="AZ107" s="1316" t="s">
        <v>9672</v>
      </c>
      <c r="BA107" s="1321"/>
      <c r="BB107" s="1316" t="s">
        <v>9909</v>
      </c>
      <c r="BC107" s="1321"/>
      <c r="BD107" s="1322" t="s">
        <v>9908</v>
      </c>
      <c r="BE107" s="1324"/>
    </row>
    <row r="108" spans="1:58" s="740" customFormat="1" ht="21" customHeight="1">
      <c r="A108" s="1314"/>
      <c r="B108" s="1315"/>
      <c r="C108" s="1479"/>
      <c r="D108" s="1318"/>
      <c r="E108" s="1318"/>
      <c r="F108" s="1318"/>
      <c r="G108" s="1318"/>
      <c r="H108" s="1665"/>
      <c r="I108" s="1298" t="s">
        <v>1597</v>
      </c>
      <c r="J108" s="1299" t="s">
        <v>9765</v>
      </c>
      <c r="K108" s="1298" t="s">
        <v>9766</v>
      </c>
      <c r="L108" s="1298" t="s">
        <v>9910</v>
      </c>
      <c r="M108" s="1298" t="s">
        <v>9911</v>
      </c>
      <c r="N108" s="1298" t="s">
        <v>9912</v>
      </c>
      <c r="O108" s="1298" t="s">
        <v>9770</v>
      </c>
      <c r="P108" s="1298" t="s">
        <v>9868</v>
      </c>
      <c r="Q108" s="1298" t="s">
        <v>9772</v>
      </c>
      <c r="R108" s="1298" t="s">
        <v>9913</v>
      </c>
      <c r="S108" s="1298" t="s">
        <v>9870</v>
      </c>
      <c r="T108" s="1298" t="s">
        <v>9775</v>
      </c>
      <c r="U108" s="1298" t="s">
        <v>9776</v>
      </c>
      <c r="V108" s="1300" t="s">
        <v>9777</v>
      </c>
      <c r="W108" s="1298" t="s">
        <v>9914</v>
      </c>
      <c r="X108" s="1325"/>
      <c r="Y108" s="1325"/>
      <c r="Z108" s="1325"/>
      <c r="AA108" s="1325"/>
      <c r="AB108" s="1325"/>
      <c r="AC108" s="1325"/>
      <c r="AD108" s="1325"/>
      <c r="AE108" s="1318"/>
      <c r="AF108" s="1325"/>
      <c r="AG108" s="1325"/>
      <c r="AH108" s="1325"/>
      <c r="AI108" s="1325"/>
      <c r="AJ108" s="1325"/>
      <c r="AK108" s="1325"/>
      <c r="AL108" s="1326"/>
      <c r="AM108" s="1326"/>
      <c r="AN108" s="1318" t="s">
        <v>9915</v>
      </c>
      <c r="AP108" s="1316"/>
      <c r="AQ108" s="1327" t="s">
        <v>9915</v>
      </c>
      <c r="AR108" s="1316"/>
      <c r="AS108" s="1327" t="s">
        <v>9915</v>
      </c>
      <c r="AT108" s="1318"/>
      <c r="AU108" s="1317" t="s">
        <v>9915</v>
      </c>
      <c r="AV108" s="1317" t="s">
        <v>9905</v>
      </c>
      <c r="AW108" s="1317" t="s">
        <v>9906</v>
      </c>
      <c r="AX108" s="1317" t="s">
        <v>9907</v>
      </c>
      <c r="AZ108" s="1316"/>
      <c r="BA108" s="1327" t="s">
        <v>9915</v>
      </c>
      <c r="BB108" s="1318"/>
      <c r="BC108" s="1317" t="s">
        <v>9915</v>
      </c>
      <c r="BD108" s="1317" t="s">
        <v>9672</v>
      </c>
      <c r="BE108" s="1317" t="s">
        <v>9909</v>
      </c>
    </row>
    <row r="109" spans="1:58" s="740" customFormat="1" ht="9.75" customHeight="1">
      <c r="A109" s="1328"/>
      <c r="B109" s="1329"/>
      <c r="C109" s="1480"/>
      <c r="D109" s="1330"/>
      <c r="E109" s="1330"/>
      <c r="F109" s="1330"/>
      <c r="G109" s="1330"/>
      <c r="H109" s="1666"/>
      <c r="I109" s="1330"/>
      <c r="J109" s="1330"/>
      <c r="K109" s="1330"/>
      <c r="L109" s="1330"/>
      <c r="M109" s="1330"/>
      <c r="N109" s="1330"/>
      <c r="O109" s="1330"/>
      <c r="P109" s="1330"/>
      <c r="Q109" s="1330"/>
      <c r="R109" s="1330"/>
      <c r="S109" s="1330"/>
      <c r="T109" s="1330"/>
      <c r="U109" s="1330"/>
      <c r="V109" s="1330"/>
      <c r="W109" s="1330"/>
      <c r="X109" s="1331"/>
      <c r="Y109" s="1330"/>
      <c r="Z109" s="1330"/>
      <c r="AA109" s="1330"/>
      <c r="AB109" s="1330"/>
      <c r="AC109" s="1330"/>
      <c r="AD109" s="1330"/>
      <c r="AE109" s="1330"/>
      <c r="AF109" s="1331"/>
      <c r="AG109" s="1330"/>
      <c r="AH109" s="1330"/>
      <c r="AI109" s="1330"/>
      <c r="AJ109" s="1301"/>
      <c r="AK109" s="1330"/>
      <c r="AL109" s="1302"/>
      <c r="AM109" s="1302"/>
      <c r="AN109" s="1330" t="s">
        <v>9916</v>
      </c>
      <c r="AP109" s="1322"/>
      <c r="AQ109" s="1330" t="s">
        <v>9917</v>
      </c>
      <c r="AR109" s="1322"/>
      <c r="AS109" s="1330" t="s">
        <v>9916</v>
      </c>
      <c r="AT109" s="1330"/>
      <c r="AU109" s="1330" t="s">
        <v>9916</v>
      </c>
      <c r="AV109" s="1330"/>
      <c r="AW109" s="1330"/>
      <c r="AX109" s="1330"/>
      <c r="AZ109" s="1322"/>
      <c r="BA109" s="1330" t="s">
        <v>9917</v>
      </c>
      <c r="BB109" s="1330"/>
      <c r="BC109" s="1330" t="s">
        <v>9916</v>
      </c>
      <c r="BD109" s="1330"/>
      <c r="BE109" s="1330"/>
    </row>
    <row r="110" spans="1:58">
      <c r="A110" s="1425" t="s">
        <v>9972</v>
      </c>
      <c r="B110" s="1443" t="s">
        <v>9973</v>
      </c>
      <c r="C110" s="1481">
        <v>21240317</v>
      </c>
      <c r="D110" s="1346">
        <v>72568</v>
      </c>
      <c r="E110" s="1346">
        <v>6714</v>
      </c>
      <c r="F110" s="1346">
        <v>23824</v>
      </c>
      <c r="G110" s="1346">
        <v>7284</v>
      </c>
      <c r="H110" s="1667">
        <v>5725940</v>
      </c>
      <c r="I110" s="1346">
        <v>801963</v>
      </c>
      <c r="J110" s="1346">
        <v>55689</v>
      </c>
      <c r="K110" s="1346">
        <v>119467</v>
      </c>
      <c r="L110" s="1346">
        <v>522938</v>
      </c>
      <c r="M110" s="1346">
        <v>20199</v>
      </c>
      <c r="N110" s="1346">
        <v>192537</v>
      </c>
      <c r="O110" s="1346">
        <v>778881</v>
      </c>
      <c r="P110" s="1346">
        <v>314808</v>
      </c>
      <c r="Q110" s="1346">
        <v>1067450</v>
      </c>
      <c r="R110" s="1346">
        <v>183848</v>
      </c>
      <c r="S110" s="1346">
        <v>458629</v>
      </c>
      <c r="T110" s="1346">
        <v>249147</v>
      </c>
      <c r="U110" s="1346">
        <v>503692</v>
      </c>
      <c r="V110" s="1346">
        <v>101727</v>
      </c>
      <c r="W110" s="1346">
        <v>354965</v>
      </c>
      <c r="X110" s="1346">
        <v>868519</v>
      </c>
      <c r="Y110" s="1346">
        <v>915146</v>
      </c>
      <c r="Z110" s="1346">
        <v>2018355</v>
      </c>
      <c r="AA110" s="1346">
        <v>1298123</v>
      </c>
      <c r="AB110" s="1346">
        <v>615486</v>
      </c>
      <c r="AC110" s="1346">
        <v>544184</v>
      </c>
      <c r="AD110" s="1346">
        <v>945611</v>
      </c>
      <c r="AE110" s="1346">
        <v>2711159</v>
      </c>
      <c r="AF110" s="1346">
        <v>1180519</v>
      </c>
      <c r="AG110" s="1346">
        <v>740466</v>
      </c>
      <c r="AH110" s="1346">
        <v>911303</v>
      </c>
      <c r="AI110" s="1346">
        <v>1431963</v>
      </c>
      <c r="AJ110" s="1346">
        <v>1108172</v>
      </c>
      <c r="AK110" s="1346">
        <v>21125336</v>
      </c>
      <c r="AL110" s="1346">
        <v>114981</v>
      </c>
      <c r="AM110" s="1346"/>
      <c r="AN110" s="1444" t="s">
        <v>9919</v>
      </c>
      <c r="AO110" s="740"/>
      <c r="AP110" s="1349">
        <v>103206</v>
      </c>
      <c r="AQ110" s="1445" t="s">
        <v>9919</v>
      </c>
      <c r="AR110" s="1349">
        <v>6651999</v>
      </c>
      <c r="AS110" s="1445" t="s">
        <v>9919</v>
      </c>
      <c r="AT110" s="1349">
        <v>14354022</v>
      </c>
      <c r="AU110" s="1445" t="s">
        <v>9919</v>
      </c>
      <c r="AV110" s="1353" t="s">
        <v>9919</v>
      </c>
      <c r="AW110" s="1446" t="s">
        <v>9919</v>
      </c>
      <c r="AX110" s="1353" t="s">
        <v>9919</v>
      </c>
      <c r="AY110" s="740"/>
      <c r="AZ110" s="1382">
        <v>5729041</v>
      </c>
      <c r="BA110" s="1445" t="s">
        <v>9919</v>
      </c>
      <c r="BB110" s="1382">
        <v>15380186</v>
      </c>
      <c r="BC110" s="1445" t="s">
        <v>9919</v>
      </c>
      <c r="BD110" s="1353" t="s">
        <v>9919</v>
      </c>
      <c r="BE110" s="1353" t="s">
        <v>9919</v>
      </c>
    </row>
    <row r="111" spans="1:58">
      <c r="A111" s="1425" t="s">
        <v>9974</v>
      </c>
      <c r="B111" s="1443" t="s">
        <v>9975</v>
      </c>
      <c r="C111" s="1481">
        <v>21213290</v>
      </c>
      <c r="D111" s="1346">
        <v>70623</v>
      </c>
      <c r="E111" s="1346">
        <v>6365</v>
      </c>
      <c r="F111" s="1346">
        <v>19551</v>
      </c>
      <c r="G111" s="1346">
        <v>7345</v>
      </c>
      <c r="H111" s="1667">
        <v>5885675</v>
      </c>
      <c r="I111" s="1346">
        <v>803904</v>
      </c>
      <c r="J111" s="1346">
        <v>67345</v>
      </c>
      <c r="K111" s="1346">
        <v>101764</v>
      </c>
      <c r="L111" s="1346">
        <v>494237</v>
      </c>
      <c r="M111" s="1346">
        <v>26546</v>
      </c>
      <c r="N111" s="1346">
        <v>183556</v>
      </c>
      <c r="O111" s="1346">
        <v>911612</v>
      </c>
      <c r="P111" s="1346">
        <v>311801</v>
      </c>
      <c r="Q111" s="1346">
        <v>1179215</v>
      </c>
      <c r="R111" s="1346">
        <v>150647</v>
      </c>
      <c r="S111" s="1346">
        <v>483967</v>
      </c>
      <c r="T111" s="1346">
        <v>233075</v>
      </c>
      <c r="U111" s="1346">
        <v>488125</v>
      </c>
      <c r="V111" s="1346">
        <v>99622</v>
      </c>
      <c r="W111" s="1346">
        <v>350259</v>
      </c>
      <c r="X111" s="1346">
        <v>840968</v>
      </c>
      <c r="Y111" s="1346">
        <v>980610</v>
      </c>
      <c r="Z111" s="1346">
        <v>2003031</v>
      </c>
      <c r="AA111" s="1346">
        <v>1241128</v>
      </c>
      <c r="AB111" s="1346">
        <v>588407</v>
      </c>
      <c r="AC111" s="1346">
        <v>586006</v>
      </c>
      <c r="AD111" s="1346">
        <v>789419</v>
      </c>
      <c r="AE111" s="1346">
        <v>2687404</v>
      </c>
      <c r="AF111" s="1346">
        <v>1227874</v>
      </c>
      <c r="AG111" s="1346">
        <v>727121</v>
      </c>
      <c r="AH111" s="1346">
        <v>898827</v>
      </c>
      <c r="AI111" s="1346">
        <v>1453847</v>
      </c>
      <c r="AJ111" s="1346">
        <v>1074241</v>
      </c>
      <c r="AK111" s="1346">
        <v>21088442</v>
      </c>
      <c r="AL111" s="1346">
        <v>124848</v>
      </c>
      <c r="AM111" s="1346"/>
      <c r="AN111" s="1448">
        <f>(C111-C110)/C110*100</f>
        <v>-0.12724386363913495</v>
      </c>
      <c r="AO111" s="740"/>
      <c r="AP111" s="1349">
        <v>96897</v>
      </c>
      <c r="AQ111" s="1393">
        <v>-6.1130166850764489</v>
      </c>
      <c r="AR111" s="1349">
        <v>6906660</v>
      </c>
      <c r="AS111" s="1393">
        <v>3.8283379176695611</v>
      </c>
      <c r="AT111" s="1349">
        <v>14173726</v>
      </c>
      <c r="AU111" s="1393">
        <v>-1.2560660698443962</v>
      </c>
      <c r="AV111" s="1385">
        <v>-2.972477779638975E-2</v>
      </c>
      <c r="AW111" s="1394">
        <v>1.1998322457451911</v>
      </c>
      <c r="AX111" s="1385">
        <v>-0.84946244057344855</v>
      </c>
      <c r="AY111" s="740"/>
      <c r="AZ111" s="1382">
        <v>5914647</v>
      </c>
      <c r="BA111" s="1427">
        <v>3.239739425848061</v>
      </c>
      <c r="BB111" s="1382">
        <v>15262636</v>
      </c>
      <c r="BC111" s="1427">
        <v>-0.76429504818732363</v>
      </c>
      <c r="BD111" s="1428">
        <v>0.87448044185714324</v>
      </c>
      <c r="BE111" s="1428">
        <v>-0.55383541448179041</v>
      </c>
    </row>
    <row r="112" spans="1:58">
      <c r="A112" s="1425" t="s">
        <v>9976</v>
      </c>
      <c r="B112" s="1443" t="s">
        <v>9977</v>
      </c>
      <c r="C112" s="1481">
        <v>19661614</v>
      </c>
      <c r="D112" s="1346">
        <v>70190</v>
      </c>
      <c r="E112" s="1346">
        <v>5828</v>
      </c>
      <c r="F112" s="1346">
        <v>21111</v>
      </c>
      <c r="G112" s="1346">
        <v>4336</v>
      </c>
      <c r="H112" s="1667">
        <v>4746458</v>
      </c>
      <c r="I112" s="1346">
        <v>800191</v>
      </c>
      <c r="J112" s="1346">
        <v>51697</v>
      </c>
      <c r="K112" s="1346">
        <v>101122</v>
      </c>
      <c r="L112" s="1346">
        <v>469033</v>
      </c>
      <c r="M112" s="1346">
        <v>12308</v>
      </c>
      <c r="N112" s="1346">
        <v>119403</v>
      </c>
      <c r="O112" s="1346">
        <v>447550</v>
      </c>
      <c r="P112" s="1346">
        <v>271627</v>
      </c>
      <c r="Q112" s="1346">
        <v>960709</v>
      </c>
      <c r="R112" s="1346">
        <v>92415</v>
      </c>
      <c r="S112" s="1346">
        <v>415865</v>
      </c>
      <c r="T112" s="1346">
        <v>200246</v>
      </c>
      <c r="U112" s="1346">
        <v>412347</v>
      </c>
      <c r="V112" s="1346">
        <v>98145</v>
      </c>
      <c r="W112" s="1346">
        <v>293800</v>
      </c>
      <c r="X112" s="1346">
        <v>824418</v>
      </c>
      <c r="Y112" s="1346">
        <v>837441</v>
      </c>
      <c r="Z112" s="1346">
        <v>1904334</v>
      </c>
      <c r="AA112" s="1346">
        <v>1193343</v>
      </c>
      <c r="AB112" s="1346">
        <v>599302</v>
      </c>
      <c r="AC112" s="1346">
        <v>548932</v>
      </c>
      <c r="AD112" s="1346">
        <v>738917</v>
      </c>
      <c r="AE112" s="1346">
        <v>2750757</v>
      </c>
      <c r="AF112" s="1346">
        <v>1180731</v>
      </c>
      <c r="AG112" s="1346">
        <v>709052</v>
      </c>
      <c r="AH112" s="1346">
        <v>866224</v>
      </c>
      <c r="AI112" s="1346">
        <v>1535517</v>
      </c>
      <c r="AJ112" s="1346">
        <v>1029403</v>
      </c>
      <c r="AK112" s="1346">
        <v>19566294</v>
      </c>
      <c r="AL112" s="1346">
        <v>95320</v>
      </c>
      <c r="AM112" s="1346"/>
      <c r="AN112" s="1448">
        <f t="shared" ref="AN112:AN128" si="0">(C112-C111)/C111*100</f>
        <v>-7.3146409632829226</v>
      </c>
      <c r="AO112" s="740"/>
      <c r="AP112" s="1349">
        <v>96843</v>
      </c>
      <c r="AQ112" s="1393">
        <v>-5.5729279544258339E-2</v>
      </c>
      <c r="AR112" s="1349">
        <v>5560823</v>
      </c>
      <c r="AS112" s="1393">
        <v>-19.486075758760386</v>
      </c>
      <c r="AT112" s="1349">
        <v>13812483</v>
      </c>
      <c r="AU112" s="1393">
        <v>-2.5486805657171585</v>
      </c>
      <c r="AV112" s="1385">
        <v>-2.5347664008569298E-4</v>
      </c>
      <c r="AW112" s="1394">
        <v>-6.3173748307964583</v>
      </c>
      <c r="AX112" s="1385">
        <v>-1.6956789239717773</v>
      </c>
      <c r="AY112" s="740"/>
      <c r="AZ112" s="1382">
        <v>4724581</v>
      </c>
      <c r="BA112" s="1427">
        <v>-20.120659779019778</v>
      </c>
      <c r="BB112" s="1382">
        <v>14745568</v>
      </c>
      <c r="BC112" s="1427">
        <v>-3.3878027360411398</v>
      </c>
      <c r="BD112" s="1428">
        <v>-5.5861839103744497</v>
      </c>
      <c r="BE112" s="1428">
        <v>-2.4271233210338719</v>
      </c>
    </row>
    <row r="113" spans="1:57">
      <c r="A113" s="1425" t="s">
        <v>9978</v>
      </c>
      <c r="B113" s="1443" t="s">
        <v>9979</v>
      </c>
      <c r="C113" s="1481">
        <v>20399358</v>
      </c>
      <c r="D113" s="1346">
        <v>70509</v>
      </c>
      <c r="E113" s="1346">
        <v>5715</v>
      </c>
      <c r="F113" s="1346">
        <v>20343</v>
      </c>
      <c r="G113" s="1346">
        <v>5990</v>
      </c>
      <c r="H113" s="1667">
        <v>5278235</v>
      </c>
      <c r="I113" s="1346">
        <v>788405</v>
      </c>
      <c r="J113" s="1346">
        <v>46721</v>
      </c>
      <c r="K113" s="1346">
        <v>108369</v>
      </c>
      <c r="L113" s="1346">
        <v>601373</v>
      </c>
      <c r="M113" s="1346">
        <v>23807</v>
      </c>
      <c r="N113" s="1346">
        <v>186717</v>
      </c>
      <c r="O113" s="1346">
        <v>527905</v>
      </c>
      <c r="P113" s="1346">
        <v>270591</v>
      </c>
      <c r="Q113" s="1346">
        <v>1143925</v>
      </c>
      <c r="R113" s="1346">
        <v>137421</v>
      </c>
      <c r="S113" s="1346">
        <v>438278</v>
      </c>
      <c r="T113" s="1346">
        <v>230266</v>
      </c>
      <c r="U113" s="1346">
        <v>373580</v>
      </c>
      <c r="V113" s="1346">
        <v>89122</v>
      </c>
      <c r="W113" s="1346">
        <v>311755</v>
      </c>
      <c r="X113" s="1346">
        <v>897354</v>
      </c>
      <c r="Y113" s="1346">
        <v>722099</v>
      </c>
      <c r="Z113" s="1346">
        <v>1941159</v>
      </c>
      <c r="AA113" s="1346">
        <v>1216980</v>
      </c>
      <c r="AB113" s="1346">
        <v>583050</v>
      </c>
      <c r="AC113" s="1346">
        <v>563385</v>
      </c>
      <c r="AD113" s="1346">
        <v>727655</v>
      </c>
      <c r="AE113" s="1346">
        <v>2802631</v>
      </c>
      <c r="AF113" s="1346">
        <v>1212846</v>
      </c>
      <c r="AG113" s="1346">
        <v>698812</v>
      </c>
      <c r="AH113" s="1346">
        <v>880607</v>
      </c>
      <c r="AI113" s="1346">
        <v>1633787</v>
      </c>
      <c r="AJ113" s="1346">
        <v>1040061</v>
      </c>
      <c r="AK113" s="1346">
        <v>20301218</v>
      </c>
      <c r="AL113" s="1346">
        <v>98140</v>
      </c>
      <c r="AM113" s="1346"/>
      <c r="AN113" s="1448">
        <f t="shared" si="0"/>
        <v>3.7522046765845372</v>
      </c>
      <c r="AO113" s="740"/>
      <c r="AP113" s="1349">
        <v>96621</v>
      </c>
      <c r="AQ113" s="1393">
        <v>-0.22923701248412379</v>
      </c>
      <c r="AR113" s="1349">
        <v>6011374</v>
      </c>
      <c r="AS113" s="1393">
        <v>8.1022359460101505</v>
      </c>
      <c r="AT113" s="1349">
        <v>14196985</v>
      </c>
      <c r="AU113" s="1393">
        <v>2.7837283130049828</v>
      </c>
      <c r="AV113" s="1385">
        <v>-1.1346517948489768E-3</v>
      </c>
      <c r="AW113" s="1394">
        <v>2.3027860397342401</v>
      </c>
      <c r="AX113" s="1385">
        <v>1.965206686590186</v>
      </c>
      <c r="AY113" s="740"/>
      <c r="AZ113" s="1382">
        <v>5282987</v>
      </c>
      <c r="BA113" s="1427">
        <v>11.819164493105315</v>
      </c>
      <c r="BB113" s="1382">
        <v>15021993</v>
      </c>
      <c r="BC113" s="1427">
        <v>1.8746310755882716</v>
      </c>
      <c r="BD113" s="1428">
        <v>2.8540377033983679</v>
      </c>
      <c r="BE113" s="1428">
        <v>1.4128203711312091</v>
      </c>
    </row>
    <row r="114" spans="1:57">
      <c r="A114" s="1425" t="s">
        <v>9980</v>
      </c>
      <c r="B114" s="1443" t="s">
        <v>9981</v>
      </c>
      <c r="C114" s="1481">
        <v>20045202</v>
      </c>
      <c r="D114" s="1346">
        <v>70421</v>
      </c>
      <c r="E114" s="1346">
        <v>5768</v>
      </c>
      <c r="F114" s="1346">
        <v>16069</v>
      </c>
      <c r="G114" s="1346">
        <v>6125</v>
      </c>
      <c r="H114" s="1667">
        <v>5275532</v>
      </c>
      <c r="I114" s="1346">
        <v>766230</v>
      </c>
      <c r="J114" s="1346">
        <v>51208</v>
      </c>
      <c r="K114" s="1346">
        <v>107735</v>
      </c>
      <c r="L114" s="1346">
        <v>652746</v>
      </c>
      <c r="M114" s="1346">
        <v>32196</v>
      </c>
      <c r="N114" s="1346">
        <v>197293</v>
      </c>
      <c r="O114" s="1346">
        <v>500571</v>
      </c>
      <c r="P114" s="1346">
        <v>313242</v>
      </c>
      <c r="Q114" s="1346">
        <v>977619</v>
      </c>
      <c r="R114" s="1346">
        <v>108624</v>
      </c>
      <c r="S114" s="1346">
        <v>504402</v>
      </c>
      <c r="T114" s="1346">
        <v>244758</v>
      </c>
      <c r="U114" s="1346">
        <v>400358</v>
      </c>
      <c r="V114" s="1346">
        <v>82489</v>
      </c>
      <c r="W114" s="1346">
        <v>336061</v>
      </c>
      <c r="X114" s="1346">
        <v>683626</v>
      </c>
      <c r="Y114" s="1346">
        <v>709288</v>
      </c>
      <c r="Z114" s="1346">
        <v>2018938</v>
      </c>
      <c r="AA114" s="1346">
        <v>1146510</v>
      </c>
      <c r="AB114" s="1346">
        <v>527540</v>
      </c>
      <c r="AC114" s="1346">
        <v>593535</v>
      </c>
      <c r="AD114" s="1346">
        <v>694929</v>
      </c>
      <c r="AE114" s="1346">
        <v>2804909</v>
      </c>
      <c r="AF114" s="1346">
        <v>1151772</v>
      </c>
      <c r="AG114" s="1346">
        <v>695512</v>
      </c>
      <c r="AH114" s="1346">
        <v>895938</v>
      </c>
      <c r="AI114" s="1346">
        <v>1622623</v>
      </c>
      <c r="AJ114" s="1346">
        <v>991777</v>
      </c>
      <c r="AK114" s="1346">
        <v>19910812</v>
      </c>
      <c r="AL114" s="1346">
        <v>134390</v>
      </c>
      <c r="AM114" s="1346"/>
      <c r="AN114" s="1448">
        <f t="shared" si="0"/>
        <v>-1.7361134600412425</v>
      </c>
      <c r="AO114" s="740"/>
      <c r="AP114" s="1349">
        <v>92287</v>
      </c>
      <c r="AQ114" s="1393">
        <v>-4.4855673197338053</v>
      </c>
      <c r="AR114" s="1349">
        <v>5995462</v>
      </c>
      <c r="AS114" s="1393">
        <v>-0.26469822040684876</v>
      </c>
      <c r="AT114" s="1349">
        <v>13816986</v>
      </c>
      <c r="AU114" s="1393">
        <v>-2.6766176057803825</v>
      </c>
      <c r="AV114" s="1385">
        <v>-2.1242030623144822E-2</v>
      </c>
      <c r="AW114" s="1394">
        <v>-7.7988738180775369E-2</v>
      </c>
      <c r="AX114" s="1385">
        <v>-1.8624712493688071</v>
      </c>
      <c r="AY114" s="740"/>
      <c r="AZ114" s="1382">
        <v>5280089</v>
      </c>
      <c r="BA114" s="1427">
        <v>-5.4855330895192442E-2</v>
      </c>
      <c r="BB114" s="1382">
        <v>14624646</v>
      </c>
      <c r="BC114" s="1427">
        <v>-2.6451017518114939</v>
      </c>
      <c r="BD114" s="1428">
        <v>-1.4203831275005468E-2</v>
      </c>
      <c r="BE114" s="1428">
        <v>-1.9474981868977219</v>
      </c>
    </row>
    <row r="115" spans="1:57">
      <c r="A115" s="1425" t="s">
        <v>9797</v>
      </c>
      <c r="B115" s="1443" t="s">
        <v>9982</v>
      </c>
      <c r="C115" s="1481">
        <v>19959789</v>
      </c>
      <c r="D115" s="1346">
        <v>74807</v>
      </c>
      <c r="E115" s="1346">
        <v>5155</v>
      </c>
      <c r="F115" s="1346">
        <v>24066</v>
      </c>
      <c r="G115" s="1346">
        <v>5751</v>
      </c>
      <c r="H115" s="1667">
        <v>4984637</v>
      </c>
      <c r="I115" s="1346">
        <v>744100</v>
      </c>
      <c r="J115" s="1346">
        <v>45367</v>
      </c>
      <c r="K115" s="1346">
        <v>97973</v>
      </c>
      <c r="L115" s="1346">
        <v>472214</v>
      </c>
      <c r="M115" s="1346">
        <v>31650</v>
      </c>
      <c r="N115" s="1346">
        <v>140984</v>
      </c>
      <c r="O115" s="1346">
        <v>439661</v>
      </c>
      <c r="P115" s="1346">
        <v>302418</v>
      </c>
      <c r="Q115" s="1346">
        <v>1009031</v>
      </c>
      <c r="R115" s="1346">
        <v>61636</v>
      </c>
      <c r="S115" s="1346">
        <v>505523</v>
      </c>
      <c r="T115" s="1346">
        <v>286723</v>
      </c>
      <c r="U115" s="1346">
        <v>429114</v>
      </c>
      <c r="V115" s="1346">
        <v>72341</v>
      </c>
      <c r="W115" s="1346">
        <v>345902</v>
      </c>
      <c r="X115" s="1346">
        <v>589296</v>
      </c>
      <c r="Y115" s="1346">
        <v>708677</v>
      </c>
      <c r="Z115" s="1346">
        <v>2098978</v>
      </c>
      <c r="AA115" s="1346">
        <v>1231961</v>
      </c>
      <c r="AB115" s="1346">
        <v>540368</v>
      </c>
      <c r="AC115" s="1346">
        <v>573331</v>
      </c>
      <c r="AD115" s="1346">
        <v>682440</v>
      </c>
      <c r="AE115" s="1346">
        <v>2810424</v>
      </c>
      <c r="AF115" s="1346">
        <v>1194768</v>
      </c>
      <c r="AG115" s="1346">
        <v>672129</v>
      </c>
      <c r="AH115" s="1346">
        <v>836662</v>
      </c>
      <c r="AI115" s="1346">
        <v>1769810</v>
      </c>
      <c r="AJ115" s="1346">
        <v>1006639</v>
      </c>
      <c r="AK115" s="1346">
        <v>19809899</v>
      </c>
      <c r="AL115" s="1346">
        <v>149890</v>
      </c>
      <c r="AM115" s="1346"/>
      <c r="AN115" s="1448">
        <f t="shared" si="0"/>
        <v>-0.42610196694450875</v>
      </c>
      <c r="AO115" s="740"/>
      <c r="AP115" s="1349">
        <v>104005</v>
      </c>
      <c r="AQ115" s="1393">
        <v>12.69734632180047</v>
      </c>
      <c r="AR115" s="1349">
        <v>5703852</v>
      </c>
      <c r="AS115" s="1393">
        <v>-4.8638453550368599</v>
      </c>
      <c r="AT115" s="1349">
        <v>13927834</v>
      </c>
      <c r="AU115" s="1393">
        <v>0.8022589007472396</v>
      </c>
      <c r="AV115" s="1385">
        <v>5.8478117147747463E-2</v>
      </c>
      <c r="AW115" s="1394">
        <v>-1.4552657229437307</v>
      </c>
      <c r="AX115" s="1385">
        <v>0.55318162908290758</v>
      </c>
      <c r="AY115" s="740"/>
      <c r="AZ115" s="1382">
        <v>4989618</v>
      </c>
      <c r="BA115" s="1427">
        <v>-5.5012519675331228</v>
      </c>
      <c r="BB115" s="1382">
        <v>14746073</v>
      </c>
      <c r="BC115" s="1427">
        <v>0.83029018275040634</v>
      </c>
      <c r="BD115" s="1428">
        <v>-1.4495815980562683</v>
      </c>
      <c r="BE115" s="1428">
        <v>0.60597562134319261</v>
      </c>
    </row>
    <row r="116" spans="1:57" ht="12.75" customHeight="1">
      <c r="A116" s="1425" t="s">
        <v>9983</v>
      </c>
      <c r="B116" s="1443" t="s">
        <v>9984</v>
      </c>
      <c r="C116" s="1481">
        <v>20410081</v>
      </c>
      <c r="D116" s="1346">
        <v>68341</v>
      </c>
      <c r="E116" s="1346">
        <v>5129</v>
      </c>
      <c r="F116" s="1346">
        <v>17622</v>
      </c>
      <c r="G116" s="1346">
        <v>6612</v>
      </c>
      <c r="H116" s="1667">
        <v>5051109</v>
      </c>
      <c r="I116" s="1346">
        <v>751850</v>
      </c>
      <c r="J116" s="1346">
        <v>39047</v>
      </c>
      <c r="K116" s="1346">
        <v>95103</v>
      </c>
      <c r="L116" s="1346">
        <v>559096</v>
      </c>
      <c r="M116" s="1346">
        <v>29830</v>
      </c>
      <c r="N116" s="1346">
        <v>131558</v>
      </c>
      <c r="O116" s="1346">
        <v>465037</v>
      </c>
      <c r="P116" s="1346">
        <v>297389</v>
      </c>
      <c r="Q116" s="1346">
        <v>1088461</v>
      </c>
      <c r="R116" s="1346">
        <v>76318</v>
      </c>
      <c r="S116" s="1346">
        <v>447821</v>
      </c>
      <c r="T116" s="1346">
        <v>263886</v>
      </c>
      <c r="U116" s="1346">
        <v>388660</v>
      </c>
      <c r="V116" s="1346">
        <v>65941</v>
      </c>
      <c r="W116" s="1346">
        <v>351112</v>
      </c>
      <c r="X116" s="1346">
        <v>658717</v>
      </c>
      <c r="Y116" s="1346">
        <v>805280</v>
      </c>
      <c r="Z116" s="1346">
        <v>2214303</v>
      </c>
      <c r="AA116" s="1346">
        <v>1169850</v>
      </c>
      <c r="AB116" s="1346">
        <v>553011</v>
      </c>
      <c r="AC116" s="1346">
        <v>585008</v>
      </c>
      <c r="AD116" s="1346">
        <v>708200</v>
      </c>
      <c r="AE116" s="1346">
        <v>2849057</v>
      </c>
      <c r="AF116" s="1346">
        <v>1233193</v>
      </c>
      <c r="AG116" s="1346">
        <v>651035</v>
      </c>
      <c r="AH116" s="1346">
        <v>853204</v>
      </c>
      <c r="AI116" s="1346">
        <v>1813163</v>
      </c>
      <c r="AJ116" s="1346">
        <v>997317</v>
      </c>
      <c r="AK116" s="1346">
        <v>20240151</v>
      </c>
      <c r="AL116" s="1346">
        <v>169930</v>
      </c>
      <c r="AM116" s="1346"/>
      <c r="AN116" s="1448">
        <f t="shared" si="0"/>
        <v>2.2559957923402898</v>
      </c>
      <c r="AO116" s="740"/>
      <c r="AP116" s="1349">
        <v>91153</v>
      </c>
      <c r="AQ116" s="1393">
        <v>-12.357098216431902</v>
      </c>
      <c r="AR116" s="1349">
        <v>5869898</v>
      </c>
      <c r="AS116" s="1393">
        <v>2.9111204147653202</v>
      </c>
      <c r="AT116" s="1349">
        <v>14174253</v>
      </c>
      <c r="AU116" s="1393">
        <v>1.76925572203115</v>
      </c>
      <c r="AV116" s="1385">
        <v>-6.4631674611951337E-2</v>
      </c>
      <c r="AW116" s="1394">
        <v>0.83503198277435975</v>
      </c>
      <c r="AX116" s="1385">
        <v>1.2392213372395298</v>
      </c>
      <c r="AY116" s="740"/>
      <c r="AZ116" s="1382">
        <v>5057785</v>
      </c>
      <c r="BA116" s="1427">
        <v>1.3661767293608449</v>
      </c>
      <c r="BB116" s="1382">
        <v>15077519</v>
      </c>
      <c r="BC116" s="1427">
        <v>2.2476899442990685</v>
      </c>
      <c r="BD116" s="1428">
        <v>0.34280636191043312</v>
      </c>
      <c r="BE116" s="1428">
        <v>1.6668152834915049</v>
      </c>
    </row>
    <row r="117" spans="1:57" ht="13.5" customHeight="1">
      <c r="A117" s="1425" t="s">
        <v>9799</v>
      </c>
      <c r="B117" s="1443" t="s">
        <v>9985</v>
      </c>
      <c r="C117" s="1481">
        <v>20602537</v>
      </c>
      <c r="D117" s="1346">
        <v>64088</v>
      </c>
      <c r="E117" s="1346">
        <v>5329</v>
      </c>
      <c r="F117" s="1346">
        <v>18404</v>
      </c>
      <c r="G117" s="1346">
        <v>7848</v>
      </c>
      <c r="H117" s="1667">
        <v>5286624</v>
      </c>
      <c r="I117" s="1346">
        <v>726495</v>
      </c>
      <c r="J117" s="1346">
        <v>43551</v>
      </c>
      <c r="K117" s="1346">
        <v>93794</v>
      </c>
      <c r="L117" s="1346">
        <v>626834</v>
      </c>
      <c r="M117" s="1346">
        <v>34465</v>
      </c>
      <c r="N117" s="1346">
        <v>126744</v>
      </c>
      <c r="O117" s="1346">
        <v>525177</v>
      </c>
      <c r="P117" s="1346">
        <v>304736</v>
      </c>
      <c r="Q117" s="1346">
        <v>1091502</v>
      </c>
      <c r="R117" s="1346">
        <v>108382</v>
      </c>
      <c r="S117" s="1346">
        <v>475261</v>
      </c>
      <c r="T117" s="1346">
        <v>287038</v>
      </c>
      <c r="U117" s="1346">
        <v>430501</v>
      </c>
      <c r="V117" s="1346">
        <v>57347</v>
      </c>
      <c r="W117" s="1346">
        <v>354797</v>
      </c>
      <c r="X117" s="1346">
        <v>700251</v>
      </c>
      <c r="Y117" s="1346">
        <v>845530</v>
      </c>
      <c r="Z117" s="1346">
        <v>2232303</v>
      </c>
      <c r="AA117" s="1346">
        <v>1317850</v>
      </c>
      <c r="AB117" s="1346">
        <v>520624</v>
      </c>
      <c r="AC117" s="1346">
        <v>558878</v>
      </c>
      <c r="AD117" s="1346">
        <v>689783</v>
      </c>
      <c r="AE117" s="1346">
        <v>2793651</v>
      </c>
      <c r="AF117" s="1346">
        <v>1164359</v>
      </c>
      <c r="AG117" s="1346">
        <v>647080</v>
      </c>
      <c r="AH117" s="1346">
        <v>804496</v>
      </c>
      <c r="AI117" s="1346">
        <v>1809742</v>
      </c>
      <c r="AJ117" s="1346">
        <v>930151</v>
      </c>
      <c r="AK117" s="1346">
        <v>20396991</v>
      </c>
      <c r="AL117" s="1346">
        <v>205546</v>
      </c>
      <c r="AM117" s="1346"/>
      <c r="AN117" s="1448">
        <f t="shared" si="0"/>
        <v>0.94294579232684084</v>
      </c>
      <c r="AO117" s="740"/>
      <c r="AP117" s="1349">
        <v>87904</v>
      </c>
      <c r="AQ117" s="1393">
        <v>-3.5643368841398528</v>
      </c>
      <c r="AR117" s="1349">
        <v>6146923</v>
      </c>
      <c r="AS117" s="1393">
        <v>4.7194176116859268</v>
      </c>
      <c r="AT117" s="1349">
        <v>14064281</v>
      </c>
      <c r="AU117" s="1393">
        <v>-0.77585746494012775</v>
      </c>
      <c r="AV117" s="1385">
        <v>-1.6001473800126346E-2</v>
      </c>
      <c r="AW117" s="1394">
        <v>1.3643608123976609</v>
      </c>
      <c r="AX117" s="1385">
        <v>-0.54161713657971511</v>
      </c>
      <c r="AY117" s="740"/>
      <c r="AZ117" s="1382">
        <v>5293275</v>
      </c>
      <c r="BA117" s="1427">
        <v>4.6559907153032407</v>
      </c>
      <c r="BB117" s="1382">
        <v>15005833</v>
      </c>
      <c r="BC117" s="1427">
        <v>-0.47544957495991214</v>
      </c>
      <c r="BD117" s="1428">
        <v>1.1597990351467384</v>
      </c>
      <c r="BE117" s="1428">
        <v>-0.35305683312891878</v>
      </c>
    </row>
    <row r="118" spans="1:57">
      <c r="A118" s="1425" t="s">
        <v>9986</v>
      </c>
      <c r="B118" s="1443" t="s">
        <v>9987</v>
      </c>
      <c r="C118" s="1481">
        <v>21514322</v>
      </c>
      <c r="D118" s="1346">
        <v>71621</v>
      </c>
      <c r="E118" s="1346">
        <v>5500</v>
      </c>
      <c r="F118" s="1346">
        <v>22257</v>
      </c>
      <c r="G118" s="1346">
        <v>7875</v>
      </c>
      <c r="H118" s="1667">
        <v>5675456</v>
      </c>
      <c r="I118" s="1346">
        <v>741530</v>
      </c>
      <c r="J118" s="1346">
        <v>50887</v>
      </c>
      <c r="K118" s="1346">
        <v>104577</v>
      </c>
      <c r="L118" s="1346">
        <v>711796</v>
      </c>
      <c r="M118" s="1346">
        <v>33098</v>
      </c>
      <c r="N118" s="1346">
        <v>132686</v>
      </c>
      <c r="O118" s="1346">
        <v>547851</v>
      </c>
      <c r="P118" s="1346">
        <v>315832</v>
      </c>
      <c r="Q118" s="1346">
        <v>1198382</v>
      </c>
      <c r="R118" s="1346">
        <v>87374</v>
      </c>
      <c r="S118" s="1346">
        <v>538987</v>
      </c>
      <c r="T118" s="1346">
        <v>255324</v>
      </c>
      <c r="U118" s="1346">
        <v>507769</v>
      </c>
      <c r="V118" s="1346">
        <v>59346</v>
      </c>
      <c r="W118" s="1346">
        <v>390017</v>
      </c>
      <c r="X118" s="1346">
        <v>872695</v>
      </c>
      <c r="Y118" s="1346">
        <v>860268</v>
      </c>
      <c r="Z118" s="1346">
        <v>2256616</v>
      </c>
      <c r="AA118" s="1346">
        <v>1291085</v>
      </c>
      <c r="AB118" s="1346">
        <v>513283</v>
      </c>
      <c r="AC118" s="1346">
        <v>549856</v>
      </c>
      <c r="AD118" s="1346">
        <v>698537</v>
      </c>
      <c r="AE118" s="1346">
        <v>2840972</v>
      </c>
      <c r="AF118" s="1346">
        <v>1263926</v>
      </c>
      <c r="AG118" s="1346">
        <v>664768</v>
      </c>
      <c r="AH118" s="1346">
        <v>864045</v>
      </c>
      <c r="AI118" s="1346">
        <v>1909047</v>
      </c>
      <c r="AJ118" s="1346">
        <v>948902</v>
      </c>
      <c r="AK118" s="1346">
        <v>21316709</v>
      </c>
      <c r="AL118" s="1346">
        <v>197613</v>
      </c>
      <c r="AM118" s="1346"/>
      <c r="AN118" s="1448">
        <f t="shared" si="0"/>
        <v>4.4255957409517093</v>
      </c>
      <c r="AO118" s="740"/>
      <c r="AP118" s="1349">
        <v>99501</v>
      </c>
      <c r="AQ118" s="1393">
        <v>13.192801237713869</v>
      </c>
      <c r="AR118" s="1349">
        <v>6555815</v>
      </c>
      <c r="AS118" s="1393">
        <v>6.6519785590286391</v>
      </c>
      <c r="AT118" s="1349">
        <v>14578524</v>
      </c>
      <c r="AU118" s="1393">
        <v>3.6563760351488996</v>
      </c>
      <c r="AV118" s="1385">
        <v>5.6563757566850462E-2</v>
      </c>
      <c r="AW118" s="1394">
        <v>1.9943492247154109</v>
      </c>
      <c r="AX118" s="1385">
        <v>2.5081931863800881</v>
      </c>
      <c r="AY118" s="740"/>
      <c r="AZ118" s="1382">
        <v>5686805</v>
      </c>
      <c r="BA118" s="1427">
        <v>7.4345277734483854</v>
      </c>
      <c r="BB118" s="1382">
        <v>15547035</v>
      </c>
      <c r="BC118" s="1427">
        <v>3.6066108425970085</v>
      </c>
      <c r="BD118" s="1428">
        <v>1.9194218776651431</v>
      </c>
      <c r="BE118" s="1428">
        <v>2.6396842909972067</v>
      </c>
    </row>
    <row r="119" spans="1:57">
      <c r="A119" s="1425" t="s">
        <v>9988</v>
      </c>
      <c r="B119" s="1443" t="s">
        <v>9989</v>
      </c>
      <c r="C119" s="1481">
        <v>21927833</v>
      </c>
      <c r="D119" s="1346">
        <v>79752</v>
      </c>
      <c r="E119" s="1346">
        <v>5243</v>
      </c>
      <c r="F119" s="1346">
        <v>26800</v>
      </c>
      <c r="G119" s="1346">
        <v>6016</v>
      </c>
      <c r="H119" s="1667">
        <v>5751318</v>
      </c>
      <c r="I119" s="1346">
        <v>779394</v>
      </c>
      <c r="J119" s="1346">
        <v>50464</v>
      </c>
      <c r="K119" s="1346">
        <v>108642</v>
      </c>
      <c r="L119" s="1346">
        <v>790957</v>
      </c>
      <c r="M119" s="1346">
        <v>34703</v>
      </c>
      <c r="N119" s="1346">
        <v>128537</v>
      </c>
      <c r="O119" s="1346">
        <v>521160</v>
      </c>
      <c r="P119" s="1346">
        <v>309704</v>
      </c>
      <c r="Q119" s="1346">
        <v>1169610</v>
      </c>
      <c r="R119" s="1346">
        <v>94479</v>
      </c>
      <c r="S119" s="1346">
        <v>522414</v>
      </c>
      <c r="T119" s="1346">
        <v>203945</v>
      </c>
      <c r="U119" s="1346">
        <v>573170</v>
      </c>
      <c r="V119" s="1346">
        <v>61274</v>
      </c>
      <c r="W119" s="1346">
        <v>402865</v>
      </c>
      <c r="X119" s="1346">
        <v>940108</v>
      </c>
      <c r="Y119" s="1346">
        <v>931295</v>
      </c>
      <c r="Z119" s="1346">
        <v>2239997</v>
      </c>
      <c r="AA119" s="1346">
        <v>1265950</v>
      </c>
      <c r="AB119" s="1346">
        <v>569644</v>
      </c>
      <c r="AC119" s="1346">
        <v>559119</v>
      </c>
      <c r="AD119" s="1346">
        <v>673958</v>
      </c>
      <c r="AE119" s="1346">
        <v>2845033</v>
      </c>
      <c r="AF119" s="1346">
        <v>1359843</v>
      </c>
      <c r="AG119" s="1346">
        <v>681064</v>
      </c>
      <c r="AH119" s="1346">
        <v>872120</v>
      </c>
      <c r="AI119" s="1346">
        <v>2018363</v>
      </c>
      <c r="AJ119" s="1346">
        <v>931231</v>
      </c>
      <c r="AK119" s="1346">
        <v>21756854</v>
      </c>
      <c r="AL119" s="1346">
        <v>170979</v>
      </c>
      <c r="AM119" s="1346"/>
      <c r="AN119" s="1448">
        <f t="shared" si="0"/>
        <v>1.922026638812973</v>
      </c>
      <c r="AO119" s="740"/>
      <c r="AP119" s="1349">
        <v>112108</v>
      </c>
      <c r="AQ119" s="1393">
        <v>12.670224419855078</v>
      </c>
      <c r="AR119" s="1349">
        <v>6681069</v>
      </c>
      <c r="AS119" s="1393">
        <v>1.9105786237104005</v>
      </c>
      <c r="AT119" s="1349">
        <v>14818309</v>
      </c>
      <c r="AU119" s="1393">
        <v>1.6447824210461908</v>
      </c>
      <c r="AV119" s="1385">
        <v>5.882656592746114E-2</v>
      </c>
      <c r="AW119" s="1394">
        <v>0.58445805415072727</v>
      </c>
      <c r="AX119" s="1385">
        <v>1.1188806306747261</v>
      </c>
      <c r="AY119" s="743"/>
      <c r="AZ119" s="1382">
        <v>5745228</v>
      </c>
      <c r="BA119" s="1427">
        <v>1.0273431214891315</v>
      </c>
      <c r="BB119" s="1382">
        <v>15866258</v>
      </c>
      <c r="BC119" s="1427">
        <v>2.0532725371750948</v>
      </c>
      <c r="BD119" s="1428">
        <v>0.27261239479496013</v>
      </c>
      <c r="BE119" s="1428">
        <v>1.4895528559579543</v>
      </c>
    </row>
    <row r="120" spans="1:57">
      <c r="A120" s="1425" t="s">
        <v>9990</v>
      </c>
      <c r="B120" s="1443" t="s">
        <v>9991</v>
      </c>
      <c r="C120" s="1481">
        <v>22164448</v>
      </c>
      <c r="D120" s="1346">
        <v>78935</v>
      </c>
      <c r="E120" s="1346">
        <v>5190</v>
      </c>
      <c r="F120" s="1346">
        <v>25701</v>
      </c>
      <c r="G120" s="1346">
        <v>6236</v>
      </c>
      <c r="H120" s="1667">
        <v>5846773</v>
      </c>
      <c r="I120" s="1346">
        <v>800581</v>
      </c>
      <c r="J120" s="1346">
        <v>50787</v>
      </c>
      <c r="K120" s="1346">
        <v>107899</v>
      </c>
      <c r="L120" s="1346">
        <v>819851</v>
      </c>
      <c r="M120" s="1346">
        <v>37446</v>
      </c>
      <c r="N120" s="1346">
        <v>132967</v>
      </c>
      <c r="O120" s="1346">
        <v>607726</v>
      </c>
      <c r="P120" s="1346">
        <v>309886</v>
      </c>
      <c r="Q120" s="1346">
        <v>1154986</v>
      </c>
      <c r="R120" s="1346">
        <v>113567</v>
      </c>
      <c r="S120" s="1346">
        <v>498984</v>
      </c>
      <c r="T120" s="1346">
        <v>170219</v>
      </c>
      <c r="U120" s="1346">
        <v>592512</v>
      </c>
      <c r="V120" s="1346">
        <v>55014</v>
      </c>
      <c r="W120" s="1346">
        <v>394348</v>
      </c>
      <c r="X120" s="1346">
        <v>941338</v>
      </c>
      <c r="Y120" s="1346">
        <v>929870</v>
      </c>
      <c r="Z120" s="1346">
        <v>2285033</v>
      </c>
      <c r="AA120" s="1346">
        <v>1290360</v>
      </c>
      <c r="AB120" s="1346">
        <v>591528</v>
      </c>
      <c r="AC120" s="1346">
        <v>550207</v>
      </c>
      <c r="AD120" s="1346">
        <v>663484</v>
      </c>
      <c r="AE120" s="1346">
        <v>2839427</v>
      </c>
      <c r="AF120" s="1346">
        <v>1406679</v>
      </c>
      <c r="AG120" s="1346">
        <v>674913</v>
      </c>
      <c r="AH120" s="1346">
        <v>925653</v>
      </c>
      <c r="AI120" s="1346">
        <v>1967786</v>
      </c>
      <c r="AJ120" s="1346">
        <v>960948</v>
      </c>
      <c r="AK120" s="1346">
        <v>21990061</v>
      </c>
      <c r="AL120" s="1346">
        <v>174387</v>
      </c>
      <c r="AM120" s="1346"/>
      <c r="AN120" s="1448">
        <f t="shared" si="0"/>
        <v>1.0790623952672387</v>
      </c>
      <c r="AO120" s="740"/>
      <c r="AP120" s="1349">
        <v>110368</v>
      </c>
      <c r="AQ120" s="1393">
        <v>-1.5520747850287222</v>
      </c>
      <c r="AR120" s="1349">
        <v>6787938</v>
      </c>
      <c r="AS120" s="1393">
        <v>1.5995793487539194</v>
      </c>
      <c r="AT120" s="1349">
        <v>14992551</v>
      </c>
      <c r="AU120" s="1393">
        <v>1.1758561655044444</v>
      </c>
      <c r="AV120" s="1385">
        <v>-7.9884985725270762E-3</v>
      </c>
      <c r="AW120" s="1394">
        <v>0.49064531836057251</v>
      </c>
      <c r="AX120" s="1385">
        <v>0.79996090130704767</v>
      </c>
      <c r="AY120" s="743"/>
      <c r="AZ120" s="1382">
        <v>5851520</v>
      </c>
      <c r="BA120" s="1427">
        <v>1.8500919371694216</v>
      </c>
      <c r="BB120" s="1382">
        <v>16039337</v>
      </c>
      <c r="BC120" s="1427">
        <v>1.0908621301884791</v>
      </c>
      <c r="BD120" s="1428">
        <v>0.4879962587764643</v>
      </c>
      <c r="BE120" s="1428">
        <v>0.79462146231862851</v>
      </c>
    </row>
    <row r="121" spans="1:57" s="1303" customFormat="1">
      <c r="A121" s="1425" t="s">
        <v>9992</v>
      </c>
      <c r="B121" s="1443" t="s">
        <v>9993</v>
      </c>
      <c r="C121" s="1481">
        <v>22205326</v>
      </c>
      <c r="D121" s="1346">
        <v>71520</v>
      </c>
      <c r="E121" s="1346">
        <v>4878</v>
      </c>
      <c r="F121" s="1346">
        <v>26176</v>
      </c>
      <c r="G121" s="1346">
        <v>6059</v>
      </c>
      <c r="H121" s="1667">
        <v>5900272</v>
      </c>
      <c r="I121" s="1346">
        <v>803421</v>
      </c>
      <c r="J121" s="1346">
        <v>52627</v>
      </c>
      <c r="K121" s="1346">
        <v>108305</v>
      </c>
      <c r="L121" s="1346">
        <v>830972</v>
      </c>
      <c r="M121" s="1346">
        <v>37365</v>
      </c>
      <c r="N121" s="1346">
        <v>126472</v>
      </c>
      <c r="O121" s="1346">
        <v>563394</v>
      </c>
      <c r="P121" s="1346">
        <v>317710</v>
      </c>
      <c r="Q121" s="1346">
        <v>1153751</v>
      </c>
      <c r="R121" s="1346">
        <v>125703</v>
      </c>
      <c r="S121" s="1346">
        <v>507693</v>
      </c>
      <c r="T121" s="1346">
        <v>163869</v>
      </c>
      <c r="U121" s="1346">
        <v>669286</v>
      </c>
      <c r="V121" s="1346">
        <v>58965</v>
      </c>
      <c r="W121" s="1346">
        <v>380739</v>
      </c>
      <c r="X121" s="1346">
        <v>919690</v>
      </c>
      <c r="Y121" s="1346">
        <v>888977</v>
      </c>
      <c r="Z121" s="1346">
        <v>2278922</v>
      </c>
      <c r="AA121" s="1346">
        <v>1218586</v>
      </c>
      <c r="AB121" s="1346">
        <v>622687</v>
      </c>
      <c r="AC121" s="1346">
        <v>561568</v>
      </c>
      <c r="AD121" s="1346">
        <v>655929</v>
      </c>
      <c r="AE121" s="1346">
        <v>2838602</v>
      </c>
      <c r="AF121" s="1346">
        <v>1434111</v>
      </c>
      <c r="AG121" s="1346">
        <v>673213</v>
      </c>
      <c r="AH121" s="1346">
        <v>887848</v>
      </c>
      <c r="AI121" s="1346">
        <v>2071173</v>
      </c>
      <c r="AJ121" s="1346">
        <v>953196</v>
      </c>
      <c r="AK121" s="1346">
        <v>22013407</v>
      </c>
      <c r="AL121" s="1346">
        <v>191919</v>
      </c>
      <c r="AM121" s="1346"/>
      <c r="AN121" s="1448">
        <f t="shared" si="0"/>
        <v>0.18443048976450938</v>
      </c>
      <c r="AP121" s="1349">
        <v>103223</v>
      </c>
      <c r="AQ121" s="1393">
        <v>-6.4737967526819373</v>
      </c>
      <c r="AR121" s="1349">
        <v>6840617</v>
      </c>
      <c r="AS121" s="1393">
        <v>0.77606778376585051</v>
      </c>
      <c r="AT121" s="1349">
        <v>15032535</v>
      </c>
      <c r="AU121" s="1393">
        <v>0.26669243946543852</v>
      </c>
      <c r="AV121" s="1385">
        <v>-3.2383789340773642E-2</v>
      </c>
      <c r="AW121" s="1394">
        <v>0.2387607611872099</v>
      </c>
      <c r="AX121" s="1385">
        <v>0.18122231392603125</v>
      </c>
      <c r="AY121" s="743"/>
      <c r="AZ121" s="1382">
        <v>5944474</v>
      </c>
      <c r="BA121" s="1427">
        <v>1.5885445149294544</v>
      </c>
      <c r="BB121" s="1382">
        <v>16031901</v>
      </c>
      <c r="BC121" s="1393">
        <v>-4.6361018538359784E-2</v>
      </c>
      <c r="BD121" s="1428">
        <v>0.42130199501501375</v>
      </c>
      <c r="BE121" s="1385">
        <v>-3.370270924254623E-2</v>
      </c>
    </row>
    <row r="122" spans="1:57" ht="12" customHeight="1">
      <c r="A122" s="1425" t="s">
        <v>10052</v>
      </c>
      <c r="B122" s="1443" t="s">
        <v>9994</v>
      </c>
      <c r="C122" s="1481">
        <v>22396478</v>
      </c>
      <c r="D122" s="1346">
        <v>69629</v>
      </c>
      <c r="E122" s="1346">
        <v>5025</v>
      </c>
      <c r="F122" s="1346">
        <v>23973</v>
      </c>
      <c r="G122" s="1346">
        <v>6056</v>
      </c>
      <c r="H122" s="1667">
        <v>5903745</v>
      </c>
      <c r="I122" s="1346">
        <v>771155</v>
      </c>
      <c r="J122" s="1346">
        <v>49684</v>
      </c>
      <c r="K122" s="1346">
        <v>119070</v>
      </c>
      <c r="L122" s="1346">
        <v>888723</v>
      </c>
      <c r="M122" s="1346">
        <v>38408</v>
      </c>
      <c r="N122" s="1346">
        <v>118548</v>
      </c>
      <c r="O122" s="1346">
        <v>518206</v>
      </c>
      <c r="P122" s="1346">
        <v>323545</v>
      </c>
      <c r="Q122" s="1346">
        <v>1171424</v>
      </c>
      <c r="R122" s="1346">
        <v>103010</v>
      </c>
      <c r="S122" s="1346">
        <v>503386</v>
      </c>
      <c r="T122" s="1346">
        <v>185029</v>
      </c>
      <c r="U122" s="1346">
        <v>672750</v>
      </c>
      <c r="V122" s="1346">
        <v>62823</v>
      </c>
      <c r="W122" s="1346">
        <v>377984</v>
      </c>
      <c r="X122" s="1346">
        <v>931957</v>
      </c>
      <c r="Y122" s="1346">
        <v>889324</v>
      </c>
      <c r="Z122" s="1346">
        <v>2224037</v>
      </c>
      <c r="AA122" s="1346">
        <v>1307504</v>
      </c>
      <c r="AB122" s="1346">
        <v>562514</v>
      </c>
      <c r="AC122" s="1346">
        <v>549926</v>
      </c>
      <c r="AD122" s="1346">
        <v>682894</v>
      </c>
      <c r="AE122" s="1346">
        <v>2875525</v>
      </c>
      <c r="AF122" s="1346">
        <v>1498403</v>
      </c>
      <c r="AG122" s="1346">
        <v>687059</v>
      </c>
      <c r="AH122" s="1346">
        <v>935622</v>
      </c>
      <c r="AI122" s="1346">
        <v>2097110</v>
      </c>
      <c r="AJ122" s="1346">
        <v>966433</v>
      </c>
      <c r="AK122" s="1346">
        <v>22216736</v>
      </c>
      <c r="AL122" s="1346">
        <v>179742</v>
      </c>
      <c r="AM122" s="1346"/>
      <c r="AN122" s="1448">
        <f t="shared" si="0"/>
        <v>0.86083852135294026</v>
      </c>
      <c r="AP122" s="1349">
        <v>99248</v>
      </c>
      <c r="AQ122" s="1384">
        <v>-3.850885945961656</v>
      </c>
      <c r="AR122" s="1349">
        <v>6806110</v>
      </c>
      <c r="AS122" s="1384">
        <v>-0.50444280099295136</v>
      </c>
      <c r="AT122" s="1349">
        <v>15176278</v>
      </c>
      <c r="AU122" s="1384">
        <v>0.95621264144736728</v>
      </c>
      <c r="AV122" s="1385">
        <v>-1.7932001796745298E-2</v>
      </c>
      <c r="AW122" s="1385">
        <v>-0.15566782037743146</v>
      </c>
      <c r="AX122" s="1385">
        <v>0.64845276333825397</v>
      </c>
      <c r="AZ122" s="1382">
        <v>5910856</v>
      </c>
      <c r="BA122" s="1482">
        <v>-0.56553363678603019</v>
      </c>
      <c r="BB122" s="1382">
        <v>16170780</v>
      </c>
      <c r="BC122" s="1482">
        <v>0.86626657687070308</v>
      </c>
      <c r="BD122" s="1428">
        <v>-0.15165736764854928</v>
      </c>
      <c r="BE122" s="1428">
        <v>0.62651030881262648</v>
      </c>
    </row>
    <row r="123" spans="1:57">
      <c r="A123" s="1425" t="s">
        <v>10053</v>
      </c>
      <c r="B123" s="1443" t="s">
        <v>9995</v>
      </c>
      <c r="C123" s="1481">
        <v>21942564</v>
      </c>
      <c r="D123" s="1346">
        <v>69552</v>
      </c>
      <c r="E123" s="1346">
        <v>4439</v>
      </c>
      <c r="F123" s="1346">
        <v>24270</v>
      </c>
      <c r="G123" s="1346">
        <v>5734</v>
      </c>
      <c r="H123" s="1667">
        <v>5902052</v>
      </c>
      <c r="I123" s="1346">
        <v>841302</v>
      </c>
      <c r="J123" s="1346">
        <v>47939</v>
      </c>
      <c r="K123" s="1346">
        <v>123551</v>
      </c>
      <c r="L123" s="1346">
        <v>813832</v>
      </c>
      <c r="M123" s="1346">
        <v>42448</v>
      </c>
      <c r="N123" s="1346">
        <v>144812</v>
      </c>
      <c r="O123" s="1346">
        <v>469490</v>
      </c>
      <c r="P123" s="1346">
        <v>348794</v>
      </c>
      <c r="Q123" s="1346">
        <v>1223426</v>
      </c>
      <c r="R123" s="1346">
        <v>106236</v>
      </c>
      <c r="S123" s="1346">
        <v>463339</v>
      </c>
      <c r="T123" s="1346">
        <v>161571</v>
      </c>
      <c r="U123" s="1346">
        <v>652273</v>
      </c>
      <c r="V123" s="1346">
        <v>79412</v>
      </c>
      <c r="W123" s="1346">
        <v>383627</v>
      </c>
      <c r="X123" s="1346">
        <v>920860</v>
      </c>
      <c r="Y123" s="1346">
        <v>1014201</v>
      </c>
      <c r="Z123" s="1346">
        <v>2100004</v>
      </c>
      <c r="AA123" s="1346">
        <v>1011364</v>
      </c>
      <c r="AB123" s="1346">
        <v>398688</v>
      </c>
      <c r="AC123" s="1346">
        <v>573500</v>
      </c>
      <c r="AD123" s="1346">
        <v>698013</v>
      </c>
      <c r="AE123" s="1346">
        <v>2926607</v>
      </c>
      <c r="AF123" s="1346">
        <v>1486146</v>
      </c>
      <c r="AG123" s="1346">
        <v>681184</v>
      </c>
      <c r="AH123" s="1346">
        <v>991846</v>
      </c>
      <c r="AI123" s="1346">
        <v>2113084</v>
      </c>
      <c r="AJ123" s="1346">
        <v>837241</v>
      </c>
      <c r="AK123" s="1346">
        <v>21758785</v>
      </c>
      <c r="AL123" s="1346">
        <v>183779</v>
      </c>
      <c r="AM123" s="1346"/>
      <c r="AN123" s="1448">
        <f t="shared" si="0"/>
        <v>-2.0267204513138184</v>
      </c>
      <c r="AO123" s="1483"/>
      <c r="AP123" s="1349">
        <v>96341</v>
      </c>
      <c r="AQ123" s="1384">
        <v>-2.9290262776076093</v>
      </c>
      <c r="AR123" s="1349">
        <v>6938643</v>
      </c>
      <c r="AS123" s="1384">
        <v>1.947265030979517</v>
      </c>
      <c r="AT123" s="1349">
        <v>14592912</v>
      </c>
      <c r="AU123" s="1384">
        <v>-3.8439332753393161</v>
      </c>
      <c r="AV123" s="1385">
        <v>-1.3058899574252452E-2</v>
      </c>
      <c r="AW123" s="1385">
        <v>0.59536812427739938</v>
      </c>
      <c r="AX123" s="1385">
        <v>-2.6206116302144324</v>
      </c>
      <c r="AZ123" s="1382">
        <v>5910084</v>
      </c>
      <c r="BA123" s="1482">
        <v>-1.3060714048861957E-2</v>
      </c>
      <c r="BB123" s="1382">
        <v>15717812</v>
      </c>
      <c r="BC123" s="1482">
        <v>-2.8011512122482651</v>
      </c>
      <c r="BD123" s="1428">
        <v>-3.4679980981502895E-3</v>
      </c>
      <c r="BE123" s="1428">
        <v>-2.0348344074131353</v>
      </c>
    </row>
    <row r="124" spans="1:57">
      <c r="A124" s="1425" t="s">
        <v>10054</v>
      </c>
      <c r="B124" s="1443" t="s">
        <v>9996</v>
      </c>
      <c r="C124" s="1481">
        <v>22572921</v>
      </c>
      <c r="D124" s="1346">
        <v>69574</v>
      </c>
      <c r="E124" s="1346">
        <v>5395</v>
      </c>
      <c r="F124" s="1346">
        <v>18798</v>
      </c>
      <c r="G124" s="1346">
        <v>5630</v>
      </c>
      <c r="H124" s="1667">
        <v>6236155</v>
      </c>
      <c r="I124" s="1346">
        <v>841137</v>
      </c>
      <c r="J124" s="1346">
        <v>44230</v>
      </c>
      <c r="K124" s="1346">
        <v>128878</v>
      </c>
      <c r="L124" s="1346">
        <v>861352</v>
      </c>
      <c r="M124" s="1346">
        <v>42957</v>
      </c>
      <c r="N124" s="1346">
        <v>151208</v>
      </c>
      <c r="O124" s="1346">
        <v>506504</v>
      </c>
      <c r="P124" s="1346">
        <v>349403</v>
      </c>
      <c r="Q124" s="1346">
        <v>1350488</v>
      </c>
      <c r="R124" s="1346">
        <v>152419</v>
      </c>
      <c r="S124" s="1346">
        <v>532215</v>
      </c>
      <c r="T124" s="1346">
        <v>194086</v>
      </c>
      <c r="U124" s="1346">
        <v>596484</v>
      </c>
      <c r="V124" s="1346">
        <v>66126</v>
      </c>
      <c r="W124" s="1346">
        <v>418668</v>
      </c>
      <c r="X124" s="1346">
        <v>911341</v>
      </c>
      <c r="Y124" s="1346">
        <v>1038309</v>
      </c>
      <c r="Z124" s="1346">
        <v>2169174</v>
      </c>
      <c r="AA124" s="1346">
        <v>1080432</v>
      </c>
      <c r="AB124" s="1346">
        <v>309478</v>
      </c>
      <c r="AC124" s="1346">
        <v>589552</v>
      </c>
      <c r="AD124" s="1346">
        <v>700180</v>
      </c>
      <c r="AE124" s="1346">
        <v>2957178</v>
      </c>
      <c r="AF124" s="1346">
        <v>1620129</v>
      </c>
      <c r="AG124" s="1346">
        <v>676041</v>
      </c>
      <c r="AH124" s="1346">
        <v>891682</v>
      </c>
      <c r="AI124" s="1346">
        <v>2157082</v>
      </c>
      <c r="AJ124" s="1346">
        <v>898759</v>
      </c>
      <c r="AK124" s="1346">
        <v>22334889</v>
      </c>
      <c r="AL124" s="1346">
        <v>238032</v>
      </c>
      <c r="AM124" s="1346"/>
      <c r="AN124" s="1448">
        <f t="shared" si="0"/>
        <v>2.872759081390853</v>
      </c>
      <c r="AP124" s="1349">
        <v>90840</v>
      </c>
      <c r="AQ124" s="1384">
        <v>-5.709926199645011</v>
      </c>
      <c r="AR124" s="1349">
        <v>7281279</v>
      </c>
      <c r="AS124" s="1384">
        <v>4.9380837146398804</v>
      </c>
      <c r="AT124" s="1349">
        <v>14826326</v>
      </c>
      <c r="AU124" s="1384">
        <v>1.5995025530202607</v>
      </c>
      <c r="AV124" s="1385">
        <v>-2.522351623907932E-2</v>
      </c>
      <c r="AW124" s="1385">
        <v>1.5710752063430617</v>
      </c>
      <c r="AX124" s="1385">
        <v>1.0702639191835051</v>
      </c>
      <c r="AZ124" s="1382">
        <v>6235997</v>
      </c>
      <c r="BA124" s="1482">
        <v>5.514523989845153</v>
      </c>
      <c r="BB124" s="1382">
        <v>15962448</v>
      </c>
      <c r="BC124" s="1482">
        <v>1.5564252836209009</v>
      </c>
      <c r="BD124" s="1428">
        <v>1.4943959003866678</v>
      </c>
      <c r="BE124" s="1428">
        <v>1.1217197089008197</v>
      </c>
    </row>
    <row r="125" spans="1:57">
      <c r="A125" s="1425" t="s">
        <v>10055</v>
      </c>
      <c r="B125" s="1443" t="s">
        <v>9997</v>
      </c>
      <c r="C125" s="1481">
        <v>23159403</v>
      </c>
      <c r="D125" s="1345">
        <v>71950</v>
      </c>
      <c r="E125" s="1346">
        <v>5944</v>
      </c>
      <c r="F125" s="1346">
        <v>18683</v>
      </c>
      <c r="G125" s="1346">
        <v>6761</v>
      </c>
      <c r="H125" s="1667">
        <v>6522615</v>
      </c>
      <c r="I125" s="1346">
        <v>823590</v>
      </c>
      <c r="J125" s="1346">
        <v>44419</v>
      </c>
      <c r="K125" s="1346">
        <v>124635</v>
      </c>
      <c r="L125" s="1346">
        <v>841669</v>
      </c>
      <c r="M125" s="1346">
        <v>42822</v>
      </c>
      <c r="N125" s="1346">
        <v>168862</v>
      </c>
      <c r="O125" s="1346">
        <v>612013</v>
      </c>
      <c r="P125" s="1346">
        <v>365363</v>
      </c>
      <c r="Q125" s="1346">
        <v>1402076</v>
      </c>
      <c r="R125" s="1346">
        <v>104157</v>
      </c>
      <c r="S125" s="1346">
        <v>558337</v>
      </c>
      <c r="T125" s="1346">
        <v>181556</v>
      </c>
      <c r="U125" s="1346">
        <v>741003</v>
      </c>
      <c r="V125" s="1346">
        <v>63319</v>
      </c>
      <c r="W125" s="1346">
        <v>448794</v>
      </c>
      <c r="X125" s="1346">
        <v>785255</v>
      </c>
      <c r="Y125" s="1346">
        <v>984711</v>
      </c>
      <c r="Z125" s="1346">
        <v>2262205</v>
      </c>
      <c r="AA125" s="1346">
        <v>1097873</v>
      </c>
      <c r="AB125" s="1346">
        <v>387572</v>
      </c>
      <c r="AC125" s="1346">
        <v>538160</v>
      </c>
      <c r="AD125" s="1346">
        <v>757339</v>
      </c>
      <c r="AE125" s="1346">
        <v>2945602</v>
      </c>
      <c r="AF125" s="1346">
        <v>1687836</v>
      </c>
      <c r="AG125" s="1346">
        <v>677306</v>
      </c>
      <c r="AH125" s="1346">
        <v>987767</v>
      </c>
      <c r="AI125" s="1346">
        <v>2186880</v>
      </c>
      <c r="AJ125" s="1346">
        <v>920963</v>
      </c>
      <c r="AK125" s="1346">
        <v>22845422</v>
      </c>
      <c r="AL125" s="1347">
        <v>313981</v>
      </c>
      <c r="AM125" s="1347"/>
      <c r="AN125" s="1448">
        <f t="shared" si="0"/>
        <v>2.5981661832777423</v>
      </c>
      <c r="AP125" s="1349">
        <v>97134</v>
      </c>
      <c r="AQ125" s="1384">
        <v>6.9286657859973584</v>
      </c>
      <c r="AR125" s="1349">
        <v>7130173</v>
      </c>
      <c r="AS125" s="1384">
        <v>-2.0752672710385083</v>
      </c>
      <c r="AT125" s="1349">
        <v>15170536</v>
      </c>
      <c r="AU125" s="1384">
        <v>2.3216135946289054</v>
      </c>
      <c r="AV125" s="1385">
        <v>2.8016825416027232E-2</v>
      </c>
      <c r="AW125" s="1385">
        <v>-0.67262637771118705</v>
      </c>
      <c r="AX125" s="1385">
        <v>1.5322007430013875</v>
      </c>
      <c r="AZ125" s="1382">
        <v>6117511</v>
      </c>
      <c r="BA125" s="1482">
        <v>-1.9000329859042586</v>
      </c>
      <c r="BB125" s="1382">
        <v>16280332</v>
      </c>
      <c r="BC125" s="1482">
        <v>1.9914489306402126</v>
      </c>
      <c r="BD125" s="1428">
        <v>-0.5274231929207821</v>
      </c>
      <c r="BE125" s="1428">
        <v>1.4150143836270099</v>
      </c>
    </row>
    <row r="126" spans="1:57" ht="13.5" customHeight="1">
      <c r="A126" s="1355" t="s">
        <v>9998</v>
      </c>
      <c r="B126" s="1469" t="s">
        <v>9999</v>
      </c>
      <c r="C126" s="1484">
        <v>24322647</v>
      </c>
      <c r="D126" s="1357">
        <v>73281</v>
      </c>
      <c r="E126" s="1358">
        <v>4533</v>
      </c>
      <c r="F126" s="1358">
        <v>21624</v>
      </c>
      <c r="G126" s="1358">
        <v>5774</v>
      </c>
      <c r="H126" s="1668">
        <v>7106874</v>
      </c>
      <c r="I126" s="1358">
        <v>869988</v>
      </c>
      <c r="J126" s="1358">
        <v>48313</v>
      </c>
      <c r="K126" s="1358">
        <v>145119</v>
      </c>
      <c r="L126" s="1358">
        <v>1085554</v>
      </c>
      <c r="M126" s="1358">
        <v>69151</v>
      </c>
      <c r="N126" s="1358">
        <v>159931</v>
      </c>
      <c r="O126" s="1358">
        <v>716549</v>
      </c>
      <c r="P126" s="1358">
        <v>345289</v>
      </c>
      <c r="Q126" s="1358">
        <v>1386246</v>
      </c>
      <c r="R126" s="1358">
        <v>67913</v>
      </c>
      <c r="S126" s="1358">
        <v>639489</v>
      </c>
      <c r="T126" s="1358">
        <v>180069</v>
      </c>
      <c r="U126" s="1358">
        <v>863201</v>
      </c>
      <c r="V126" s="1358">
        <v>72900</v>
      </c>
      <c r="W126" s="1358">
        <v>457162</v>
      </c>
      <c r="X126" s="1358">
        <v>712963</v>
      </c>
      <c r="Y126" s="1358">
        <v>1052035</v>
      </c>
      <c r="Z126" s="1358">
        <v>2360132</v>
      </c>
      <c r="AA126" s="1358">
        <v>1187457</v>
      </c>
      <c r="AB126" s="1358">
        <v>415789</v>
      </c>
      <c r="AC126" s="1358">
        <v>536002</v>
      </c>
      <c r="AD126" s="1358">
        <v>818140</v>
      </c>
      <c r="AE126" s="1358">
        <v>2972800</v>
      </c>
      <c r="AF126" s="1358">
        <v>1713125</v>
      </c>
      <c r="AG126" s="1358">
        <v>697257</v>
      </c>
      <c r="AH126" s="1358">
        <v>1032048</v>
      </c>
      <c r="AI126" s="1358">
        <v>2282957</v>
      </c>
      <c r="AJ126" s="1358">
        <v>981500</v>
      </c>
      <c r="AK126" s="1358">
        <v>23974291</v>
      </c>
      <c r="AL126" s="1359">
        <v>348356</v>
      </c>
      <c r="AM126" s="1347"/>
      <c r="AN126" s="1448">
        <f t="shared" si="0"/>
        <v>5.0227719600544107</v>
      </c>
      <c r="AP126" s="1361">
        <v>108154</v>
      </c>
      <c r="AQ126" s="1388">
        <v>11.345152057981757</v>
      </c>
      <c r="AR126" s="1361">
        <v>7408775</v>
      </c>
      <c r="AS126" s="1388">
        <v>3.9073666235026838</v>
      </c>
      <c r="AT126" s="1361">
        <v>16022624</v>
      </c>
      <c r="AU126" s="1388">
        <v>5.6167296923457419</v>
      </c>
      <c r="AV126" s="1389">
        <v>4.8562300969736766E-2</v>
      </c>
      <c r="AW126" s="1389">
        <v>1.2277272390898912</v>
      </c>
      <c r="AX126" s="1389">
        <v>3.7549322966153409</v>
      </c>
      <c r="AZ126" s="1386">
        <v>6268053</v>
      </c>
      <c r="BA126" s="1485">
        <v>2.4608374222784399</v>
      </c>
      <c r="BB126" s="1386">
        <v>17271500</v>
      </c>
      <c r="BC126" s="1485">
        <v>6.0881313722594843</v>
      </c>
      <c r="BD126" s="1433">
        <v>0.66339981057950193</v>
      </c>
      <c r="BE126" s="1433">
        <v>4.3678220260954674</v>
      </c>
    </row>
    <row r="127" spans="1:57">
      <c r="A127" s="1644" t="s">
        <v>11749</v>
      </c>
      <c r="B127" s="1645" t="s">
        <v>11751</v>
      </c>
      <c r="C127" s="1646">
        <v>24890653</v>
      </c>
      <c r="D127" s="1646">
        <v>70055</v>
      </c>
      <c r="E127" s="1646">
        <v>3907</v>
      </c>
      <c r="F127" s="1646">
        <v>19220</v>
      </c>
      <c r="G127" s="1646">
        <v>6921</v>
      </c>
      <c r="H127" s="1646">
        <v>7076936</v>
      </c>
      <c r="I127" s="1646">
        <v>905713</v>
      </c>
      <c r="J127" s="1646">
        <v>46286</v>
      </c>
      <c r="K127" s="1646">
        <v>149474</v>
      </c>
      <c r="L127" s="1646">
        <v>1112096</v>
      </c>
      <c r="M127" s="1646">
        <v>78552</v>
      </c>
      <c r="N127" s="1646">
        <v>153867</v>
      </c>
      <c r="O127" s="1646">
        <v>738485</v>
      </c>
      <c r="P127" s="1646">
        <v>336418</v>
      </c>
      <c r="Q127" s="1646">
        <v>1342772</v>
      </c>
      <c r="R127" s="1646">
        <v>61140</v>
      </c>
      <c r="S127" s="1646">
        <v>615316</v>
      </c>
      <c r="T127" s="1646">
        <v>136173</v>
      </c>
      <c r="U127" s="1646">
        <v>885247</v>
      </c>
      <c r="V127" s="1646">
        <v>76638</v>
      </c>
      <c r="W127" s="1646">
        <v>438759</v>
      </c>
      <c r="X127" s="1646">
        <v>749492</v>
      </c>
      <c r="Y127" s="1646">
        <v>1119627</v>
      </c>
      <c r="Z127" s="1646">
        <v>2337434</v>
      </c>
      <c r="AA127" s="1646">
        <v>1119975</v>
      </c>
      <c r="AB127" s="1646">
        <v>394383</v>
      </c>
      <c r="AC127" s="1646">
        <v>621258</v>
      </c>
      <c r="AD127" s="1646">
        <v>811024</v>
      </c>
      <c r="AE127" s="1646">
        <v>2887349</v>
      </c>
      <c r="AF127" s="1646">
        <v>1935797</v>
      </c>
      <c r="AG127" s="1646">
        <v>689598</v>
      </c>
      <c r="AH127" s="1646">
        <v>1275322</v>
      </c>
      <c r="AI127" s="1646">
        <v>2465405</v>
      </c>
      <c r="AJ127" s="1646">
        <v>950455</v>
      </c>
      <c r="AK127" s="1646">
        <v>24534158</v>
      </c>
      <c r="AL127" s="1646">
        <v>356495</v>
      </c>
      <c r="AM127" s="1621" t="s">
        <v>12097</v>
      </c>
      <c r="AN127" s="1448">
        <f t="shared" si="0"/>
        <v>2.3352968120616149</v>
      </c>
    </row>
    <row r="128" spans="1:57">
      <c r="A128" s="1644" t="s">
        <v>11858</v>
      </c>
      <c r="B128" s="1645" t="s">
        <v>11859</v>
      </c>
      <c r="C128" s="1646">
        <f>SUM(D128:H128)+SUM(X128:AJ128)+AL128</f>
        <v>25707416</v>
      </c>
      <c r="D128" s="1646">
        <f>SUM(D137:D140)</f>
        <v>88194</v>
      </c>
      <c r="E128" s="1646">
        <f t="shared" ref="E128:AL128" si="1">SUM(E137:E140)</f>
        <v>4037</v>
      </c>
      <c r="F128" s="1646">
        <f t="shared" si="1"/>
        <v>19336</v>
      </c>
      <c r="G128" s="1646">
        <f t="shared" si="1"/>
        <v>6402</v>
      </c>
      <c r="H128" s="1646">
        <f t="shared" si="1"/>
        <v>7199674</v>
      </c>
      <c r="I128" s="1646">
        <f t="shared" si="1"/>
        <v>963983</v>
      </c>
      <c r="J128" s="1646">
        <f t="shared" si="1"/>
        <v>44351</v>
      </c>
      <c r="K128" s="1646">
        <f t="shared" si="1"/>
        <v>152073</v>
      </c>
      <c r="L128" s="1646">
        <f t="shared" si="1"/>
        <v>1064608</v>
      </c>
      <c r="M128" s="1646">
        <f t="shared" si="1"/>
        <v>85752</v>
      </c>
      <c r="N128" s="1646">
        <f t="shared" si="1"/>
        <v>162492</v>
      </c>
      <c r="O128" s="1646">
        <f t="shared" si="1"/>
        <v>751544</v>
      </c>
      <c r="P128" s="1646">
        <f t="shared" si="1"/>
        <v>353522</v>
      </c>
      <c r="Q128" s="1646">
        <f t="shared" si="1"/>
        <v>1379375</v>
      </c>
      <c r="R128" s="1646">
        <f t="shared" si="1"/>
        <v>62301</v>
      </c>
      <c r="S128" s="1646">
        <f t="shared" si="1"/>
        <v>627798</v>
      </c>
      <c r="T128" s="1646">
        <f t="shared" si="1"/>
        <v>136302</v>
      </c>
      <c r="U128" s="1646">
        <f t="shared" si="1"/>
        <v>883210</v>
      </c>
      <c r="V128" s="1646">
        <f t="shared" si="1"/>
        <v>75676</v>
      </c>
      <c r="W128" s="1646">
        <f t="shared" si="1"/>
        <v>458021</v>
      </c>
      <c r="X128" s="1646">
        <f t="shared" si="1"/>
        <v>794037</v>
      </c>
      <c r="Y128" s="1646">
        <f t="shared" si="1"/>
        <v>1128503</v>
      </c>
      <c r="Z128" s="1646">
        <f t="shared" si="1"/>
        <v>2284092</v>
      </c>
      <c r="AA128" s="1646">
        <f t="shared" si="1"/>
        <v>1122138</v>
      </c>
      <c r="AB128" s="1646">
        <f t="shared" si="1"/>
        <v>451141</v>
      </c>
      <c r="AC128" s="1646">
        <f t="shared" si="1"/>
        <v>694580</v>
      </c>
      <c r="AD128" s="1646">
        <f t="shared" si="1"/>
        <v>827331</v>
      </c>
      <c r="AE128" s="1646">
        <f t="shared" si="1"/>
        <v>2913923</v>
      </c>
      <c r="AF128" s="1646">
        <f t="shared" si="1"/>
        <v>2215181</v>
      </c>
      <c r="AG128" s="1646">
        <f t="shared" si="1"/>
        <v>706804</v>
      </c>
      <c r="AH128" s="1646">
        <f t="shared" si="1"/>
        <v>1389010</v>
      </c>
      <c r="AI128" s="1646">
        <f t="shared" si="1"/>
        <v>2426788</v>
      </c>
      <c r="AJ128" s="1646">
        <f t="shared" si="1"/>
        <v>1068160</v>
      </c>
      <c r="AK128" s="1646">
        <f t="shared" si="1"/>
        <v>25331992</v>
      </c>
      <c r="AL128" s="1646">
        <f t="shared" si="1"/>
        <v>368085</v>
      </c>
      <c r="AM128" s="1621" t="s">
        <v>12096</v>
      </c>
      <c r="AN128" s="1448">
        <f t="shared" si="0"/>
        <v>3.2814044693805342</v>
      </c>
    </row>
    <row r="129" spans="1:40">
      <c r="A129" s="144"/>
      <c r="B129" s="144"/>
    </row>
    <row r="130" spans="1:40">
      <c r="A130" s="1507" t="s">
        <v>9943</v>
      </c>
      <c r="B130" s="1508" t="s">
        <v>9918</v>
      </c>
      <c r="C130" s="1624">
        <v>6022385</v>
      </c>
      <c r="D130" s="1625">
        <v>10587</v>
      </c>
      <c r="E130" s="1626">
        <v>1145</v>
      </c>
      <c r="F130" s="1626">
        <v>5591</v>
      </c>
      <c r="G130" s="1626">
        <v>1438</v>
      </c>
      <c r="H130" s="1626">
        <v>1770834</v>
      </c>
      <c r="I130" s="1626">
        <v>225526</v>
      </c>
      <c r="J130" s="1626">
        <v>11891</v>
      </c>
      <c r="K130" s="1626">
        <v>35872</v>
      </c>
      <c r="L130" s="1626">
        <v>286156</v>
      </c>
      <c r="M130" s="1626">
        <v>21071</v>
      </c>
      <c r="N130" s="1626">
        <v>42077</v>
      </c>
      <c r="O130" s="1626">
        <v>180952</v>
      </c>
      <c r="P130" s="1626">
        <v>86557</v>
      </c>
      <c r="Q130" s="1626">
        <v>343727</v>
      </c>
      <c r="R130" s="1626">
        <v>15866</v>
      </c>
      <c r="S130" s="1626">
        <v>159582</v>
      </c>
      <c r="T130" s="1626">
        <v>36703</v>
      </c>
      <c r="U130" s="1626">
        <v>187458</v>
      </c>
      <c r="V130" s="1626">
        <v>19485</v>
      </c>
      <c r="W130" s="1626">
        <v>117911</v>
      </c>
      <c r="X130" s="1626">
        <v>169186</v>
      </c>
      <c r="Y130" s="1626">
        <v>230673</v>
      </c>
      <c r="Z130" s="1626">
        <v>564770</v>
      </c>
      <c r="AA130" s="1626">
        <v>296539</v>
      </c>
      <c r="AB130" s="1626">
        <v>106265</v>
      </c>
      <c r="AC130" s="1626">
        <v>133218</v>
      </c>
      <c r="AD130" s="1626">
        <v>204903</v>
      </c>
      <c r="AE130" s="1626">
        <v>738301</v>
      </c>
      <c r="AF130" s="1626">
        <v>424847</v>
      </c>
      <c r="AG130" s="1626">
        <v>181403</v>
      </c>
      <c r="AH130" s="1626">
        <v>276557</v>
      </c>
      <c r="AI130" s="1626">
        <v>572462</v>
      </c>
      <c r="AJ130" s="1626">
        <v>247410</v>
      </c>
      <c r="AK130" s="1626">
        <v>5936129</v>
      </c>
      <c r="AL130" s="1627">
        <v>86256</v>
      </c>
      <c r="AM130" s="1627"/>
      <c r="AN130" s="1634">
        <v>4.4215215402496089</v>
      </c>
    </row>
    <row r="131" spans="1:40">
      <c r="A131" s="1509">
        <v>-2023</v>
      </c>
      <c r="B131" s="1510" t="s">
        <v>9920</v>
      </c>
      <c r="C131" s="1628">
        <v>6016484</v>
      </c>
      <c r="D131" s="1629">
        <v>14710</v>
      </c>
      <c r="E131" s="1630">
        <v>1039</v>
      </c>
      <c r="F131" s="1630">
        <v>5159</v>
      </c>
      <c r="G131" s="1630">
        <v>1367</v>
      </c>
      <c r="H131" s="1630">
        <v>1745561</v>
      </c>
      <c r="I131" s="1630">
        <v>199885</v>
      </c>
      <c r="J131" s="1630">
        <v>12143</v>
      </c>
      <c r="K131" s="1630">
        <v>38244</v>
      </c>
      <c r="L131" s="1630">
        <v>276619</v>
      </c>
      <c r="M131" s="1630">
        <v>21494</v>
      </c>
      <c r="N131" s="1630">
        <v>40721</v>
      </c>
      <c r="O131" s="1630">
        <v>187174</v>
      </c>
      <c r="P131" s="1630">
        <v>80725</v>
      </c>
      <c r="Q131" s="1630">
        <v>319316</v>
      </c>
      <c r="R131" s="1630">
        <v>15968</v>
      </c>
      <c r="S131" s="1630">
        <v>158474</v>
      </c>
      <c r="T131" s="1630">
        <v>43004</v>
      </c>
      <c r="U131" s="1630">
        <v>219924</v>
      </c>
      <c r="V131" s="1630">
        <v>18747</v>
      </c>
      <c r="W131" s="1630">
        <v>113123</v>
      </c>
      <c r="X131" s="1630">
        <v>177875</v>
      </c>
      <c r="Y131" s="1630">
        <v>249710</v>
      </c>
      <c r="Z131" s="1630">
        <v>589964</v>
      </c>
      <c r="AA131" s="1630">
        <v>299849</v>
      </c>
      <c r="AB131" s="1630">
        <v>99659</v>
      </c>
      <c r="AC131" s="1630">
        <v>130178</v>
      </c>
      <c r="AD131" s="1630">
        <v>206763</v>
      </c>
      <c r="AE131" s="1630">
        <v>743947</v>
      </c>
      <c r="AF131" s="1630">
        <v>429416</v>
      </c>
      <c r="AG131" s="1630">
        <v>162084</v>
      </c>
      <c r="AH131" s="1630">
        <v>254229</v>
      </c>
      <c r="AI131" s="1630">
        <v>576441</v>
      </c>
      <c r="AJ131" s="1630">
        <v>242366</v>
      </c>
      <c r="AK131" s="1630">
        <v>5930317</v>
      </c>
      <c r="AL131" s="1631">
        <v>86167</v>
      </c>
      <c r="AM131" s="1631"/>
      <c r="AN131" s="1635">
        <v>5.6431658943826433</v>
      </c>
    </row>
    <row r="132" spans="1:40">
      <c r="A132" s="1511"/>
      <c r="B132" s="1510" t="s">
        <v>9921</v>
      </c>
      <c r="C132" s="1628">
        <v>6327672</v>
      </c>
      <c r="D132" s="1629">
        <v>35378</v>
      </c>
      <c r="E132" s="1630">
        <v>1155</v>
      </c>
      <c r="F132" s="1630">
        <v>5621</v>
      </c>
      <c r="G132" s="1630">
        <v>1497</v>
      </c>
      <c r="H132" s="1630">
        <v>1840671</v>
      </c>
      <c r="I132" s="1630">
        <v>238386</v>
      </c>
      <c r="J132" s="1630">
        <v>12838</v>
      </c>
      <c r="K132" s="1630">
        <v>39728</v>
      </c>
      <c r="L132" s="1630">
        <v>280112</v>
      </c>
      <c r="M132" s="1630">
        <v>16859</v>
      </c>
      <c r="N132" s="1630">
        <v>39864</v>
      </c>
      <c r="O132" s="1630">
        <v>182950</v>
      </c>
      <c r="P132" s="1630">
        <v>87121</v>
      </c>
      <c r="Q132" s="1630">
        <v>333400</v>
      </c>
      <c r="R132" s="1630">
        <v>17255</v>
      </c>
      <c r="S132" s="1630">
        <v>155484</v>
      </c>
      <c r="T132" s="1630">
        <v>44115</v>
      </c>
      <c r="U132" s="1630">
        <v>256156</v>
      </c>
      <c r="V132" s="1630">
        <v>19386</v>
      </c>
      <c r="W132" s="1630">
        <v>117017</v>
      </c>
      <c r="X132" s="1630">
        <v>178351</v>
      </c>
      <c r="Y132" s="1630">
        <v>304373</v>
      </c>
      <c r="Z132" s="1630">
        <v>652231</v>
      </c>
      <c r="AA132" s="1630">
        <v>299278</v>
      </c>
      <c r="AB132" s="1630">
        <v>115006</v>
      </c>
      <c r="AC132" s="1630">
        <v>132878</v>
      </c>
      <c r="AD132" s="1630">
        <v>208889</v>
      </c>
      <c r="AE132" s="1630">
        <v>751439</v>
      </c>
      <c r="AF132" s="1630">
        <v>450114</v>
      </c>
      <c r="AG132" s="1630">
        <v>187673</v>
      </c>
      <c r="AH132" s="1630">
        <v>240320</v>
      </c>
      <c r="AI132" s="1630">
        <v>578652</v>
      </c>
      <c r="AJ132" s="1630">
        <v>253520</v>
      </c>
      <c r="AK132" s="1630">
        <v>6237046</v>
      </c>
      <c r="AL132" s="1631">
        <v>90626</v>
      </c>
      <c r="AM132" s="1631"/>
      <c r="AN132" s="1635">
        <v>4.6923564375315276</v>
      </c>
    </row>
    <row r="133" spans="1:40">
      <c r="A133" s="1511"/>
      <c r="B133" s="1508" t="s">
        <v>9944</v>
      </c>
      <c r="C133" s="1632">
        <v>6115915</v>
      </c>
      <c r="D133" s="1629">
        <v>10466</v>
      </c>
      <c r="E133" s="1630">
        <v>983</v>
      </c>
      <c r="F133" s="1630">
        <v>4221</v>
      </c>
      <c r="G133" s="1630">
        <v>1642</v>
      </c>
      <c r="H133" s="1630">
        <v>1780654</v>
      </c>
      <c r="I133" s="1630">
        <v>210272</v>
      </c>
      <c r="J133" s="1630">
        <v>11081</v>
      </c>
      <c r="K133" s="1630">
        <v>35074</v>
      </c>
      <c r="L133" s="1630">
        <v>271718</v>
      </c>
      <c r="M133" s="1630">
        <v>17849</v>
      </c>
      <c r="N133" s="1630">
        <v>36799</v>
      </c>
      <c r="O133" s="1630">
        <v>178450</v>
      </c>
      <c r="P133" s="1630">
        <v>84446</v>
      </c>
      <c r="Q133" s="1630">
        <v>354930</v>
      </c>
      <c r="R133" s="1630">
        <v>14442</v>
      </c>
      <c r="S133" s="1630">
        <v>162155</v>
      </c>
      <c r="T133" s="1630">
        <v>42182</v>
      </c>
      <c r="U133" s="1630">
        <v>241462</v>
      </c>
      <c r="V133" s="1630">
        <v>17995</v>
      </c>
      <c r="W133" s="1630">
        <v>101799</v>
      </c>
      <c r="X133" s="1630">
        <v>192957</v>
      </c>
      <c r="Y133" s="1630">
        <v>287678</v>
      </c>
      <c r="Z133" s="1630">
        <v>559075</v>
      </c>
      <c r="AA133" s="1630">
        <v>263979</v>
      </c>
      <c r="AB133" s="1630">
        <v>93249</v>
      </c>
      <c r="AC133" s="1630">
        <v>149815</v>
      </c>
      <c r="AD133" s="1630">
        <v>201430</v>
      </c>
      <c r="AE133" s="1630">
        <v>720144</v>
      </c>
      <c r="AF133" s="1630">
        <v>454169</v>
      </c>
      <c r="AG133" s="1630">
        <v>159694</v>
      </c>
      <c r="AH133" s="1630">
        <v>327539</v>
      </c>
      <c r="AI133" s="1630">
        <v>600597</v>
      </c>
      <c r="AJ133" s="1630">
        <v>220029</v>
      </c>
      <c r="AK133" s="1630">
        <v>6028321</v>
      </c>
      <c r="AL133" s="1631">
        <v>87594</v>
      </c>
      <c r="AM133" s="1631"/>
      <c r="AN133" s="1636">
        <v>2.6831294983683942</v>
      </c>
    </row>
    <row r="134" spans="1:40">
      <c r="A134" s="1513" t="s">
        <v>11756</v>
      </c>
      <c r="B134" s="1513" t="s">
        <v>9918</v>
      </c>
      <c r="C134" s="1626">
        <v>6133909</v>
      </c>
      <c r="D134" s="1626">
        <v>9199</v>
      </c>
      <c r="E134" s="1626">
        <v>1009</v>
      </c>
      <c r="F134" s="1626">
        <v>4744</v>
      </c>
      <c r="G134" s="1626">
        <v>1786</v>
      </c>
      <c r="H134" s="1626">
        <v>1696526</v>
      </c>
      <c r="I134" s="1626">
        <v>232387</v>
      </c>
      <c r="J134" s="1626">
        <v>11371</v>
      </c>
      <c r="K134" s="1626">
        <v>37655</v>
      </c>
      <c r="L134" s="1626">
        <v>285192</v>
      </c>
      <c r="M134" s="1626">
        <v>20018</v>
      </c>
      <c r="N134" s="1626">
        <v>38296</v>
      </c>
      <c r="O134" s="1626">
        <v>185315</v>
      </c>
      <c r="P134" s="1626">
        <v>81741</v>
      </c>
      <c r="Q134" s="1626">
        <v>286137</v>
      </c>
      <c r="R134" s="1626">
        <v>15056</v>
      </c>
      <c r="S134" s="1626">
        <v>138173</v>
      </c>
      <c r="T134" s="1626">
        <v>30839</v>
      </c>
      <c r="U134" s="1626">
        <v>204008</v>
      </c>
      <c r="V134" s="1626">
        <v>18297</v>
      </c>
      <c r="W134" s="1626">
        <v>112041</v>
      </c>
      <c r="X134" s="1626">
        <v>173321</v>
      </c>
      <c r="Y134" s="1626">
        <v>263205</v>
      </c>
      <c r="Z134" s="1626">
        <v>569131</v>
      </c>
      <c r="AA134" s="1626">
        <v>282662</v>
      </c>
      <c r="AB134" s="1626">
        <v>96532</v>
      </c>
      <c r="AC134" s="1626">
        <v>151102</v>
      </c>
      <c r="AD134" s="1626">
        <v>204807</v>
      </c>
      <c r="AE134" s="1626">
        <v>730537</v>
      </c>
      <c r="AF134" s="1626">
        <v>488883</v>
      </c>
      <c r="AG134" s="1626">
        <v>183611</v>
      </c>
      <c r="AH134" s="1626">
        <v>309806</v>
      </c>
      <c r="AI134" s="1626">
        <v>640070</v>
      </c>
      <c r="AJ134" s="1626">
        <v>239124</v>
      </c>
      <c r="AK134" s="1626">
        <v>6046055</v>
      </c>
      <c r="AL134" s="1626">
        <v>87854</v>
      </c>
      <c r="AM134" s="1626"/>
      <c r="AN134" s="1637">
        <v>1.8518291588686713</v>
      </c>
    </row>
    <row r="135" spans="1:40">
      <c r="A135" s="1617">
        <v>-2024</v>
      </c>
      <c r="B135" s="1510" t="s">
        <v>9920</v>
      </c>
      <c r="C135" s="1630">
        <v>6141000</v>
      </c>
      <c r="D135" s="1630">
        <v>13298</v>
      </c>
      <c r="E135" s="1630">
        <v>929</v>
      </c>
      <c r="F135" s="1630">
        <v>4909</v>
      </c>
      <c r="G135" s="1630">
        <v>1804</v>
      </c>
      <c r="H135" s="1630">
        <v>1739556</v>
      </c>
      <c r="I135" s="1630">
        <v>216738</v>
      </c>
      <c r="J135" s="1630">
        <v>11778</v>
      </c>
      <c r="K135" s="1630">
        <v>37162</v>
      </c>
      <c r="L135" s="1630">
        <v>270320</v>
      </c>
      <c r="M135" s="1630">
        <v>20511</v>
      </c>
      <c r="N135" s="1630">
        <v>37669</v>
      </c>
      <c r="O135" s="1630">
        <v>186572</v>
      </c>
      <c r="P135" s="1630">
        <v>78241</v>
      </c>
      <c r="Q135" s="1630">
        <v>349493</v>
      </c>
      <c r="R135" s="1630">
        <v>15279</v>
      </c>
      <c r="S135" s="1630">
        <v>151095</v>
      </c>
      <c r="T135" s="1630">
        <v>30432</v>
      </c>
      <c r="U135" s="1630">
        <v>206011</v>
      </c>
      <c r="V135" s="1630">
        <v>19572</v>
      </c>
      <c r="W135" s="1630">
        <v>108683</v>
      </c>
      <c r="X135" s="1630">
        <v>200037</v>
      </c>
      <c r="Y135" s="1630">
        <v>275117</v>
      </c>
      <c r="Z135" s="1630">
        <v>574024</v>
      </c>
      <c r="AA135" s="1630">
        <v>278224</v>
      </c>
      <c r="AB135" s="1630">
        <v>100702</v>
      </c>
      <c r="AC135" s="1630">
        <v>157701</v>
      </c>
      <c r="AD135" s="1630">
        <v>200686</v>
      </c>
      <c r="AE135" s="1630">
        <v>712610</v>
      </c>
      <c r="AF135" s="1630">
        <v>480018</v>
      </c>
      <c r="AG135" s="1630">
        <v>158755</v>
      </c>
      <c r="AH135" s="1630">
        <v>310495</v>
      </c>
      <c r="AI135" s="1630">
        <v>607051</v>
      </c>
      <c r="AJ135" s="1630">
        <v>237130</v>
      </c>
      <c r="AK135" s="1630">
        <v>6053046</v>
      </c>
      <c r="AL135" s="1630">
        <v>87954</v>
      </c>
      <c r="AM135" s="1630"/>
      <c r="AN135" s="1638">
        <v>2.0695754613794044</v>
      </c>
    </row>
    <row r="136" spans="1:40">
      <c r="B136" s="1618" t="s">
        <v>9921</v>
      </c>
      <c r="C136" s="1633">
        <v>6499828</v>
      </c>
      <c r="D136" s="1633">
        <v>37092</v>
      </c>
      <c r="E136" s="1633">
        <v>986</v>
      </c>
      <c r="F136" s="1633">
        <v>5346</v>
      </c>
      <c r="G136" s="1633">
        <v>1689</v>
      </c>
      <c r="H136" s="1633">
        <v>1860200</v>
      </c>
      <c r="I136" s="1633">
        <v>246316</v>
      </c>
      <c r="J136" s="1633">
        <v>12056</v>
      </c>
      <c r="K136" s="1633">
        <v>39583</v>
      </c>
      <c r="L136" s="1633">
        <v>284866</v>
      </c>
      <c r="M136" s="1633">
        <v>20174</v>
      </c>
      <c r="N136" s="1633">
        <v>41103</v>
      </c>
      <c r="O136" s="1633">
        <v>188148</v>
      </c>
      <c r="P136" s="1633">
        <v>91990</v>
      </c>
      <c r="Q136" s="1633">
        <v>352212</v>
      </c>
      <c r="R136" s="1633">
        <v>16363</v>
      </c>
      <c r="S136" s="1633">
        <v>163893</v>
      </c>
      <c r="T136" s="1633">
        <v>32720</v>
      </c>
      <c r="U136" s="1633">
        <v>233766</v>
      </c>
      <c r="V136" s="1633">
        <v>20774</v>
      </c>
      <c r="W136" s="1633">
        <v>116236</v>
      </c>
      <c r="X136" s="1633">
        <v>183177</v>
      </c>
      <c r="Y136" s="1633">
        <v>293627</v>
      </c>
      <c r="Z136" s="1633">
        <v>635204</v>
      </c>
      <c r="AA136" s="1633">
        <v>295110</v>
      </c>
      <c r="AB136" s="1633">
        <v>103900</v>
      </c>
      <c r="AC136" s="1633">
        <v>162640</v>
      </c>
      <c r="AD136" s="1633">
        <v>204101</v>
      </c>
      <c r="AE136" s="1633">
        <v>724058</v>
      </c>
      <c r="AF136" s="1633">
        <v>512727</v>
      </c>
      <c r="AG136" s="1633">
        <v>187538</v>
      </c>
      <c r="AH136" s="1633">
        <v>327482</v>
      </c>
      <c r="AI136" s="1633">
        <v>617687</v>
      </c>
      <c r="AJ136" s="1633">
        <v>254172</v>
      </c>
      <c r="AK136" s="1633">
        <v>6406736</v>
      </c>
      <c r="AL136" s="1633">
        <v>93092</v>
      </c>
      <c r="AM136" s="1633"/>
      <c r="AN136" s="1616">
        <v>2.7206854852614888</v>
      </c>
    </row>
    <row r="137" spans="1:40">
      <c r="A137" s="1617"/>
      <c r="B137" s="1508" t="s">
        <v>12088</v>
      </c>
      <c r="C137" s="197">
        <v>6322212</v>
      </c>
      <c r="D137" s="197">
        <v>13022</v>
      </c>
      <c r="E137" s="197">
        <v>1000</v>
      </c>
      <c r="F137" s="197">
        <v>3993</v>
      </c>
      <c r="G137" s="197">
        <v>1584</v>
      </c>
      <c r="H137" s="197">
        <v>1810725</v>
      </c>
      <c r="I137" s="197">
        <v>227058</v>
      </c>
      <c r="J137" s="197">
        <v>10865</v>
      </c>
      <c r="K137" s="197">
        <v>36411</v>
      </c>
      <c r="L137" s="197">
        <v>273199</v>
      </c>
      <c r="M137" s="197">
        <v>22160</v>
      </c>
      <c r="N137" s="197">
        <v>38498</v>
      </c>
      <c r="O137" s="197">
        <v>182976</v>
      </c>
      <c r="P137" s="197">
        <v>92193</v>
      </c>
      <c r="Q137" s="197">
        <v>337013</v>
      </c>
      <c r="R137" s="197">
        <v>15625</v>
      </c>
      <c r="S137" s="197">
        <v>158568</v>
      </c>
      <c r="T137" s="197">
        <v>40026</v>
      </c>
      <c r="U137" s="197">
        <v>247173</v>
      </c>
      <c r="V137" s="197">
        <v>18198</v>
      </c>
      <c r="W137" s="197">
        <v>110762</v>
      </c>
      <c r="X137" s="197">
        <v>213784</v>
      </c>
      <c r="Y137" s="197">
        <v>297015</v>
      </c>
      <c r="Z137" s="197">
        <v>557212</v>
      </c>
      <c r="AA137" s="197">
        <v>271600</v>
      </c>
      <c r="AB137" s="197">
        <v>105904</v>
      </c>
      <c r="AC137" s="197">
        <v>163745</v>
      </c>
      <c r="AD137" s="197">
        <v>207072</v>
      </c>
      <c r="AE137" s="197">
        <v>737501</v>
      </c>
      <c r="AF137" s="197">
        <v>484372</v>
      </c>
      <c r="AG137" s="197">
        <v>167052</v>
      </c>
      <c r="AH137" s="197">
        <v>342786</v>
      </c>
      <c r="AI137" s="197">
        <v>602647</v>
      </c>
      <c r="AJ137" s="197">
        <v>250650</v>
      </c>
      <c r="AK137" s="197">
        <v>6231664</v>
      </c>
      <c r="AL137" s="197">
        <v>90548</v>
      </c>
      <c r="AM137" s="197"/>
      <c r="AN137" s="1616">
        <v>3.3731232344927751</v>
      </c>
    </row>
    <row r="138" spans="1:40">
      <c r="A138" s="1513" t="s">
        <v>12089</v>
      </c>
      <c r="B138" s="1513" t="s">
        <v>9918</v>
      </c>
      <c r="C138" s="150">
        <v>6352230</v>
      </c>
      <c r="D138" s="150">
        <v>11691</v>
      </c>
      <c r="E138" s="150">
        <v>1028</v>
      </c>
      <c r="F138" s="150">
        <v>4710</v>
      </c>
      <c r="G138" s="150">
        <v>1655</v>
      </c>
      <c r="H138" s="150">
        <v>1761019</v>
      </c>
      <c r="I138" s="150">
        <v>239425</v>
      </c>
      <c r="J138" s="150">
        <v>10853</v>
      </c>
      <c r="K138" s="150">
        <v>37613</v>
      </c>
      <c r="L138" s="150">
        <v>267611</v>
      </c>
      <c r="M138" s="150">
        <v>21115</v>
      </c>
      <c r="N138" s="150">
        <v>40423</v>
      </c>
      <c r="O138" s="150">
        <v>189033</v>
      </c>
      <c r="P138" s="150">
        <v>81891</v>
      </c>
      <c r="Q138" s="150">
        <v>339282</v>
      </c>
      <c r="R138" s="150">
        <v>14623</v>
      </c>
      <c r="S138" s="150">
        <v>139541</v>
      </c>
      <c r="T138" s="150">
        <v>31306</v>
      </c>
      <c r="U138" s="150">
        <v>216167</v>
      </c>
      <c r="V138" s="150">
        <v>18507</v>
      </c>
      <c r="W138" s="150">
        <v>113629</v>
      </c>
      <c r="X138" s="150">
        <v>182889</v>
      </c>
      <c r="Y138" s="150">
        <v>270553</v>
      </c>
      <c r="Z138" s="150">
        <v>542145</v>
      </c>
      <c r="AA138" s="150">
        <v>265900</v>
      </c>
      <c r="AB138" s="150">
        <v>112636</v>
      </c>
      <c r="AC138" s="150">
        <v>175248</v>
      </c>
      <c r="AD138" s="150">
        <v>205287</v>
      </c>
      <c r="AE138" s="150">
        <v>721811</v>
      </c>
      <c r="AF138" s="150">
        <v>581449</v>
      </c>
      <c r="AG138" s="150">
        <v>184155</v>
      </c>
      <c r="AH138" s="150">
        <v>351836</v>
      </c>
      <c r="AI138" s="150">
        <v>617058</v>
      </c>
      <c r="AJ138" s="150">
        <v>270180</v>
      </c>
      <c r="AK138" s="150">
        <v>6261250</v>
      </c>
      <c r="AL138" s="150">
        <v>90980</v>
      </c>
      <c r="AM138" s="150"/>
      <c r="AN138" s="1639">
        <v>3.5592461681492327</v>
      </c>
    </row>
    <row r="139" spans="1:40">
      <c r="A139" s="1617">
        <v>-2025</v>
      </c>
      <c r="B139" s="1510" t="s">
        <v>9920</v>
      </c>
      <c r="C139" s="197">
        <v>6314437</v>
      </c>
      <c r="D139" s="197">
        <v>16785</v>
      </c>
      <c r="E139" s="197">
        <v>990</v>
      </c>
      <c r="F139" s="197">
        <v>5255</v>
      </c>
      <c r="G139" s="197">
        <v>1601</v>
      </c>
      <c r="H139" s="197">
        <v>1735468</v>
      </c>
      <c r="I139" s="197">
        <v>235337</v>
      </c>
      <c r="J139" s="197">
        <v>11081</v>
      </c>
      <c r="K139" s="197">
        <v>37778</v>
      </c>
      <c r="L139" s="197">
        <v>251096</v>
      </c>
      <c r="M139" s="197">
        <v>20454</v>
      </c>
      <c r="N139" s="197">
        <v>40164</v>
      </c>
      <c r="O139" s="197">
        <v>188060</v>
      </c>
      <c r="P139" s="197">
        <v>82771</v>
      </c>
      <c r="Q139" s="197">
        <v>341267</v>
      </c>
      <c r="R139" s="197">
        <v>15379</v>
      </c>
      <c r="S139" s="197">
        <v>162471</v>
      </c>
      <c r="T139" s="197">
        <v>32219</v>
      </c>
      <c r="U139" s="197">
        <v>186642</v>
      </c>
      <c r="V139" s="197">
        <v>18458</v>
      </c>
      <c r="W139" s="197">
        <v>112291</v>
      </c>
      <c r="X139" s="197">
        <v>203300</v>
      </c>
      <c r="Y139" s="197">
        <v>264980</v>
      </c>
      <c r="Z139" s="197">
        <v>564027</v>
      </c>
      <c r="AA139" s="197">
        <v>288958</v>
      </c>
      <c r="AB139" s="197">
        <v>113748</v>
      </c>
      <c r="AC139" s="197">
        <v>173752</v>
      </c>
      <c r="AD139" s="197">
        <v>206767</v>
      </c>
      <c r="AE139" s="197">
        <v>723889</v>
      </c>
      <c r="AF139" s="197">
        <v>562634</v>
      </c>
      <c r="AG139" s="197">
        <v>163380</v>
      </c>
      <c r="AH139" s="197">
        <v>337713</v>
      </c>
      <c r="AI139" s="197">
        <v>599071</v>
      </c>
      <c r="AJ139" s="197">
        <v>261681</v>
      </c>
      <c r="AK139" s="197">
        <v>6223999</v>
      </c>
      <c r="AL139" s="197">
        <v>90438</v>
      </c>
      <c r="AM139" s="197"/>
      <c r="AN139" s="1616">
        <v>2.8242514910424501</v>
      </c>
    </row>
    <row r="140" spans="1:40">
      <c r="B140" s="1618" t="s">
        <v>9921</v>
      </c>
      <c r="C140" s="197">
        <f>SUM(D140:AL140)</f>
        <v>15227412</v>
      </c>
      <c r="D140" s="197">
        <f>ROUND(D136*SUM(D137:D139)/SUM(D133:D135),0)</f>
        <v>46696</v>
      </c>
      <c r="E140" s="197">
        <f t="shared" ref="E140:AL140" si="2">ROUND(E136*SUM(E137:E139)/SUM(E133:E135),0)</f>
        <v>1019</v>
      </c>
      <c r="F140" s="197">
        <f t="shared" si="2"/>
        <v>5378</v>
      </c>
      <c r="G140" s="197">
        <f t="shared" si="2"/>
        <v>1562</v>
      </c>
      <c r="H140" s="197">
        <f t="shared" si="2"/>
        <v>1892462</v>
      </c>
      <c r="I140" s="197">
        <f t="shared" si="2"/>
        <v>262163</v>
      </c>
      <c r="J140" s="197">
        <f t="shared" si="2"/>
        <v>11552</v>
      </c>
      <c r="K140" s="197">
        <f t="shared" si="2"/>
        <v>40271</v>
      </c>
      <c r="L140" s="197">
        <f t="shared" si="2"/>
        <v>272702</v>
      </c>
      <c r="M140" s="197">
        <f t="shared" si="2"/>
        <v>22023</v>
      </c>
      <c r="N140" s="197">
        <f t="shared" si="2"/>
        <v>43407</v>
      </c>
      <c r="O140" s="197">
        <f t="shared" si="2"/>
        <v>191475</v>
      </c>
      <c r="P140" s="197">
        <f t="shared" si="2"/>
        <v>96667</v>
      </c>
      <c r="Q140" s="197">
        <f t="shared" si="2"/>
        <v>361813</v>
      </c>
      <c r="R140" s="197">
        <f t="shared" si="2"/>
        <v>16674</v>
      </c>
      <c r="S140" s="197">
        <f t="shared" si="2"/>
        <v>167218</v>
      </c>
      <c r="T140" s="197">
        <f t="shared" si="2"/>
        <v>32751</v>
      </c>
      <c r="U140" s="197">
        <f t="shared" si="2"/>
        <v>233228</v>
      </c>
      <c r="V140" s="197">
        <f t="shared" si="2"/>
        <v>20513</v>
      </c>
      <c r="W140" s="197">
        <f t="shared" si="2"/>
        <v>121339</v>
      </c>
      <c r="X140" s="197">
        <f t="shared" si="2"/>
        <v>194064</v>
      </c>
      <c r="Y140" s="197">
        <f t="shared" si="2"/>
        <v>295955</v>
      </c>
      <c r="Z140" s="197">
        <f t="shared" si="2"/>
        <v>620708</v>
      </c>
      <c r="AA140" s="197">
        <f t="shared" si="2"/>
        <v>295680</v>
      </c>
      <c r="AB140" s="197">
        <f t="shared" si="2"/>
        <v>118853</v>
      </c>
      <c r="AC140" s="197">
        <f t="shared" si="2"/>
        <v>181835</v>
      </c>
      <c r="AD140" s="197">
        <f t="shared" si="2"/>
        <v>208205</v>
      </c>
      <c r="AE140" s="197">
        <f t="shared" si="2"/>
        <v>730722</v>
      </c>
      <c r="AF140" s="197">
        <f t="shared" si="2"/>
        <v>586726</v>
      </c>
      <c r="AG140" s="197">
        <f t="shared" si="2"/>
        <v>192217</v>
      </c>
      <c r="AH140" s="197">
        <f t="shared" si="2"/>
        <v>356675</v>
      </c>
      <c r="AI140" s="197">
        <f t="shared" si="2"/>
        <v>608012</v>
      </c>
      <c r="AJ140" s="197">
        <f t="shared" si="2"/>
        <v>285649</v>
      </c>
      <c r="AK140" s="197">
        <f t="shared" si="2"/>
        <v>6615079</v>
      </c>
      <c r="AL140" s="197">
        <f t="shared" si="2"/>
        <v>96119</v>
      </c>
      <c r="AM140" s="197"/>
      <c r="AN140" s="1616"/>
    </row>
    <row r="141" spans="1:40">
      <c r="A141" s="1619"/>
      <c r="B141" s="1512" t="s">
        <v>12090</v>
      </c>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640"/>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62EB-5D7F-41D7-A445-D0AC5C654A34}">
  <dimension ref="A1:AQ106"/>
  <sheetViews>
    <sheetView workbookViewId="0">
      <pane xSplit="2" ySplit="2" topLeftCell="C20" activePane="bottomRight" state="frozen"/>
      <selection pane="topRight" activeCell="B1" sqref="B1"/>
      <selection pane="bottomLeft" activeCell="A18" sqref="A18"/>
      <selection pane="bottomRight" activeCell="M32" sqref="M32"/>
    </sheetView>
  </sheetViews>
  <sheetFormatPr defaultColWidth="9" defaultRowHeight="13"/>
  <cols>
    <col min="1" max="1" width="7.9140625" style="740" customWidth="1"/>
    <col min="2" max="3" width="10.33203125" style="740" customWidth="1"/>
    <col min="4" max="4" width="9.75" style="740" bestFit="1" customWidth="1"/>
    <col min="5" max="6" width="9.5" style="740" bestFit="1" customWidth="1"/>
    <col min="7" max="7" width="9.75" style="740" bestFit="1" customWidth="1"/>
    <col min="8" max="8" width="11.08203125" style="740" bestFit="1" customWidth="1"/>
    <col min="9" max="10" width="9.75" style="740" bestFit="1" customWidth="1"/>
    <col min="11" max="11" width="11.08203125" style="740" bestFit="1" customWidth="1"/>
    <col min="12" max="13" width="9.75" style="740" bestFit="1" customWidth="1"/>
    <col min="14" max="14" width="11.08203125" style="740" bestFit="1" customWidth="1"/>
    <col min="15" max="15" width="9.75" style="740" bestFit="1" customWidth="1"/>
    <col min="16" max="16" width="11.08203125" style="740" customWidth="1"/>
    <col min="17" max="18" width="11.08203125" style="740" bestFit="1" customWidth="1"/>
    <col min="19" max="19" width="10.58203125" style="740" customWidth="1"/>
    <col min="20" max="20" width="10.08203125" style="740" bestFit="1" customWidth="1"/>
    <col min="21" max="21" width="11.08203125" style="740" bestFit="1" customWidth="1"/>
    <col min="22" max="22" width="11" style="740" customWidth="1"/>
    <col min="23" max="23" width="11.08203125" style="740" bestFit="1" customWidth="1"/>
    <col min="24" max="24" width="11" style="740" customWidth="1"/>
    <col min="25" max="25" width="9.83203125" style="740" bestFit="1" customWidth="1"/>
    <col min="26" max="26" width="10.08203125" style="740" bestFit="1" customWidth="1"/>
    <col min="27" max="29" width="11.08203125" style="740" bestFit="1" customWidth="1"/>
    <col min="30" max="30" width="10.08203125" style="740" bestFit="1" customWidth="1"/>
    <col min="31" max="34" width="11.08203125" style="740" bestFit="1" customWidth="1"/>
    <col min="35" max="35" width="11" style="740" bestFit="1" customWidth="1"/>
    <col min="36" max="36" width="11.08203125" style="740" bestFit="1" customWidth="1"/>
    <col min="37" max="37" width="10.08203125" style="740" bestFit="1" customWidth="1"/>
    <col min="38" max="39" width="11.08203125" style="740" customWidth="1"/>
    <col min="40" max="40" width="11.58203125" style="740" customWidth="1"/>
    <col min="41" max="41" width="7.08203125" style="740" customWidth="1"/>
    <col min="42" max="42" width="11.08203125" style="740" customWidth="1"/>
    <col min="43" max="43" width="7.75" style="740" bestFit="1" customWidth="1"/>
    <col min="44" max="46" width="9.33203125" style="740" bestFit="1" customWidth="1"/>
    <col min="47" max="47" width="10.58203125" style="740" bestFit="1" customWidth="1"/>
    <col min="48" max="49" width="9.33203125" style="740" bestFit="1" customWidth="1"/>
    <col min="50" max="50" width="10.58203125" style="740" bestFit="1" customWidth="1"/>
    <col min="51" max="51" width="10.75" style="740" bestFit="1" customWidth="1"/>
    <col min="52" max="53" width="9.33203125" style="740" bestFit="1" customWidth="1"/>
    <col min="54" max="54" width="10.58203125" style="740" bestFit="1" customWidth="1"/>
    <col min="55" max="60" width="9.33203125" style="740" bestFit="1" customWidth="1"/>
    <col min="61" max="61" width="10.75" style="740" bestFit="1" customWidth="1"/>
    <col min="62" max="70" width="9.33203125" style="740" bestFit="1" customWidth="1"/>
    <col min="71" max="71" width="12" style="740" customWidth="1"/>
    <col min="72" max="72" width="4.25" style="740" customWidth="1"/>
    <col min="73" max="73" width="11.75" style="740" customWidth="1"/>
    <col min="74" max="74" width="10.25" style="740" bestFit="1" customWidth="1"/>
    <col min="75" max="16384" width="9" style="740"/>
  </cols>
  <sheetData>
    <row r="1" spans="1:43">
      <c r="B1" s="738" t="s">
        <v>9762</v>
      </c>
      <c r="C1" s="738"/>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t="s">
        <v>9654</v>
      </c>
      <c r="AO1" s="739"/>
    </row>
    <row r="2" spans="1:43" ht="39">
      <c r="B2" s="741"/>
      <c r="C2" s="1656" t="str">
        <f>AN2</f>
        <v>県内産出額</v>
      </c>
      <c r="D2" s="1550" t="s">
        <v>20</v>
      </c>
      <c r="E2" s="1550" t="s">
        <v>79</v>
      </c>
      <c r="F2" s="1550" t="s">
        <v>9671</v>
      </c>
      <c r="G2" s="744" t="s">
        <v>9763</v>
      </c>
      <c r="H2" s="512" t="s">
        <v>9764</v>
      </c>
      <c r="I2" s="512" t="s">
        <v>9765</v>
      </c>
      <c r="J2" s="512" t="s">
        <v>9766</v>
      </c>
      <c r="K2" s="512" t="s">
        <v>9767</v>
      </c>
      <c r="L2" s="512" t="s">
        <v>9768</v>
      </c>
      <c r="M2" s="512" t="s">
        <v>9769</v>
      </c>
      <c r="N2" s="512" t="s">
        <v>9770</v>
      </c>
      <c r="O2" s="512" t="s">
        <v>9771</v>
      </c>
      <c r="P2" s="1550" t="s">
        <v>9772</v>
      </c>
      <c r="Q2" s="512" t="s">
        <v>9773</v>
      </c>
      <c r="R2" s="512" t="s">
        <v>9774</v>
      </c>
      <c r="S2" s="512" t="s">
        <v>9775</v>
      </c>
      <c r="T2" s="512" t="s">
        <v>9776</v>
      </c>
      <c r="U2" s="512" t="s">
        <v>9777</v>
      </c>
      <c r="V2" s="512" t="s">
        <v>9778</v>
      </c>
      <c r="W2" s="744" t="s">
        <v>9691</v>
      </c>
      <c r="X2" s="1319" t="s">
        <v>9688</v>
      </c>
      <c r="Y2" s="748" t="s">
        <v>9779</v>
      </c>
      <c r="Z2" s="1551" t="s">
        <v>9780</v>
      </c>
      <c r="AA2" s="635" t="s">
        <v>9781</v>
      </c>
      <c r="AB2" s="635" t="s">
        <v>9782</v>
      </c>
      <c r="AC2" s="745" t="s">
        <v>9696</v>
      </c>
      <c r="AD2" s="635" t="s">
        <v>9783</v>
      </c>
      <c r="AE2" s="635" t="s">
        <v>9784</v>
      </c>
      <c r="AF2" s="635" t="s">
        <v>9785</v>
      </c>
      <c r="AG2" s="1319" t="s">
        <v>9704</v>
      </c>
      <c r="AH2" s="635" t="s">
        <v>9786</v>
      </c>
      <c r="AI2" s="635" t="s">
        <v>9705</v>
      </c>
      <c r="AJ2" s="745" t="s">
        <v>9787</v>
      </c>
      <c r="AK2" s="512" t="s">
        <v>9788</v>
      </c>
      <c r="AL2" s="635" t="s">
        <v>9789</v>
      </c>
      <c r="AM2" s="1550" t="s">
        <v>9790</v>
      </c>
      <c r="AN2" s="635" t="s">
        <v>9791</v>
      </c>
      <c r="AO2" s="1550" t="s">
        <v>9792</v>
      </c>
    </row>
    <row r="3" spans="1:43">
      <c r="A3" s="1585">
        <v>2006</v>
      </c>
      <c r="B3" s="1300" t="s">
        <v>9808</v>
      </c>
      <c r="C3" s="1656">
        <f t="shared" ref="C3:C22" si="0">AN3</f>
        <v>40966738.112155639</v>
      </c>
      <c r="D3" s="1581">
        <f>SUM(D27:D30)</f>
        <v>160800.42849140731</v>
      </c>
      <c r="E3" s="1581">
        <f t="shared" ref="E3:AK3" si="1">SUM(E27:E30)</f>
        <v>15344.85974419087</v>
      </c>
      <c r="F3" s="1581">
        <f t="shared" si="1"/>
        <v>45976.96628601777</v>
      </c>
      <c r="G3" s="1581">
        <f t="shared" si="1"/>
        <v>16989.709574432927</v>
      </c>
      <c r="H3" s="1581">
        <f t="shared" si="1"/>
        <v>1820641.2532500806</v>
      </c>
      <c r="I3" s="1581">
        <f t="shared" si="1"/>
        <v>152220.7883415244</v>
      </c>
      <c r="J3" s="1581">
        <f t="shared" si="1"/>
        <v>331894.55540572683</v>
      </c>
      <c r="K3" s="1581">
        <f t="shared" si="1"/>
        <v>1686663.8041032765</v>
      </c>
      <c r="L3" s="1581">
        <f t="shared" si="1"/>
        <v>127792.78162760781</v>
      </c>
      <c r="M3" s="1581">
        <f t="shared" si="1"/>
        <v>319886.99425989878</v>
      </c>
      <c r="N3" s="1581">
        <f t="shared" si="1"/>
        <v>2135171.9151162663</v>
      </c>
      <c r="O3" s="1581">
        <f t="shared" si="1"/>
        <v>816092.62942662649</v>
      </c>
      <c r="P3" s="1581">
        <f t="shared" si="1"/>
        <v>2518603.6792343957</v>
      </c>
      <c r="Q3" s="1581">
        <f t="shared" si="1"/>
        <v>695423.88065340393</v>
      </c>
      <c r="R3" s="1581">
        <f t="shared" si="1"/>
        <v>1458638.1410933421</v>
      </c>
      <c r="S3" s="1581">
        <f t="shared" si="1"/>
        <v>746526.74311677599</v>
      </c>
      <c r="T3" s="1581">
        <f t="shared" si="1"/>
        <v>1352907.5585811895</v>
      </c>
      <c r="U3" s="1581">
        <f t="shared" si="1"/>
        <v>227157.04357994586</v>
      </c>
      <c r="V3" s="1581">
        <f t="shared" si="1"/>
        <v>965497.04882294615</v>
      </c>
      <c r="W3" s="1581">
        <f t="shared" si="1"/>
        <v>2043142.0136329047</v>
      </c>
      <c r="X3" s="1581">
        <f t="shared" si="1"/>
        <v>1444030.2626527953</v>
      </c>
      <c r="Y3" s="1581">
        <f t="shared" si="1"/>
        <v>840374.41062909714</v>
      </c>
      <c r="Z3" s="1581">
        <f t="shared" si="1"/>
        <v>603655.85202369816</v>
      </c>
      <c r="AA3" s="1581">
        <f t="shared" si="1"/>
        <v>3259921.3243099037</v>
      </c>
      <c r="AB3" s="1581">
        <f t="shared" si="1"/>
        <v>2224255.8549946588</v>
      </c>
      <c r="AC3" s="1581">
        <f t="shared" si="1"/>
        <v>1366681.046788644</v>
      </c>
      <c r="AD3" s="1581">
        <f t="shared" si="1"/>
        <v>1025333.1868263669</v>
      </c>
      <c r="AE3" s="1581">
        <f t="shared" si="1"/>
        <v>1295103.2262616158</v>
      </c>
      <c r="AF3" s="1581">
        <f t="shared" si="1"/>
        <v>3253245.5454603555</v>
      </c>
      <c r="AG3" s="1581">
        <f t="shared" si="1"/>
        <v>1610411.7579487625</v>
      </c>
      <c r="AH3" s="1581">
        <f t="shared" si="1"/>
        <v>950410.13209729106</v>
      </c>
      <c r="AI3" s="1581">
        <f t="shared" si="1"/>
        <v>1098823.4877025967</v>
      </c>
      <c r="AJ3" s="1581">
        <f t="shared" si="1"/>
        <v>2432836.7341525508</v>
      </c>
      <c r="AK3" s="1581">
        <f t="shared" si="1"/>
        <v>1819856.0927318097</v>
      </c>
      <c r="AL3" s="1581">
        <f>SUM(D3:AK3)</f>
        <v>40862311.708922096</v>
      </c>
      <c r="AM3" s="1581">
        <f t="shared" ref="AM3" si="2">SUM(AM27:AM30)</f>
        <v>104426.403233544</v>
      </c>
      <c r="AN3" s="1581">
        <f>AL3+AM3</f>
        <v>40966738.112155639</v>
      </c>
      <c r="AO3" s="1586" t="s">
        <v>9835</v>
      </c>
      <c r="AP3" s="742"/>
      <c r="AQ3" s="742"/>
    </row>
    <row r="4" spans="1:43" ht="18">
      <c r="A4" s="1587">
        <v>2007</v>
      </c>
      <c r="B4" s="1588" t="s">
        <v>9793</v>
      </c>
      <c r="C4" s="1656">
        <f t="shared" si="0"/>
        <v>41370765.279923975</v>
      </c>
      <c r="D4" s="1582">
        <f>SUM(D31:D34)</f>
        <v>151583.3463779458</v>
      </c>
      <c r="E4" s="1582">
        <f t="shared" ref="E4:AK4" si="3">SUM(E31:E34)</f>
        <v>17013.073533896473</v>
      </c>
      <c r="F4" s="1582">
        <f t="shared" si="3"/>
        <v>48523.54413028383</v>
      </c>
      <c r="G4" s="1582">
        <f t="shared" si="3"/>
        <v>16914.792164212962</v>
      </c>
      <c r="H4" s="1582">
        <f t="shared" si="3"/>
        <v>1890136.8208470759</v>
      </c>
      <c r="I4" s="1582">
        <f t="shared" si="3"/>
        <v>146287.84227828868</v>
      </c>
      <c r="J4" s="1582">
        <f t="shared" si="3"/>
        <v>359031.81525333709</v>
      </c>
      <c r="K4" s="1582">
        <f t="shared" si="3"/>
        <v>1711445.3644478109</v>
      </c>
      <c r="L4" s="1582">
        <f t="shared" si="3"/>
        <v>126745.17239549986</v>
      </c>
      <c r="M4" s="1582">
        <f t="shared" si="3"/>
        <v>367390.00640207826</v>
      </c>
      <c r="N4" s="1582">
        <f t="shared" si="3"/>
        <v>2369692.6323681339</v>
      </c>
      <c r="O4" s="1582">
        <f t="shared" si="3"/>
        <v>904563.83937956113</v>
      </c>
      <c r="P4" s="1582">
        <f t="shared" si="3"/>
        <v>2523890.0053213583</v>
      </c>
      <c r="Q4" s="1582">
        <f t="shared" si="3"/>
        <v>855391.65335737518</v>
      </c>
      <c r="R4" s="1582">
        <f t="shared" si="3"/>
        <v>1454272.1322139585</v>
      </c>
      <c r="S4" s="1582">
        <f t="shared" si="3"/>
        <v>827312.57801953494</v>
      </c>
      <c r="T4" s="1582">
        <f t="shared" si="3"/>
        <v>1359600.0778847791</v>
      </c>
      <c r="U4" s="1582">
        <f t="shared" si="3"/>
        <v>240341.4647501648</v>
      </c>
      <c r="V4" s="1582">
        <f t="shared" si="3"/>
        <v>973722.21285343706</v>
      </c>
      <c r="W4" s="1582">
        <f t="shared" si="3"/>
        <v>2012583.9553055884</v>
      </c>
      <c r="X4" s="1582">
        <f t="shared" si="3"/>
        <v>1381569.2620553237</v>
      </c>
      <c r="Y4" s="1582">
        <f t="shared" si="3"/>
        <v>766283.91902529111</v>
      </c>
      <c r="Z4" s="1582">
        <f t="shared" si="3"/>
        <v>615285.34303003247</v>
      </c>
      <c r="AA4" s="1582">
        <f t="shared" si="3"/>
        <v>3238347.2541513164</v>
      </c>
      <c r="AB4" s="1582">
        <f t="shared" si="3"/>
        <v>2255813.8313556928</v>
      </c>
      <c r="AC4" s="1582">
        <f t="shared" si="3"/>
        <v>1315481.4211563822</v>
      </c>
      <c r="AD4" s="1582">
        <f t="shared" si="3"/>
        <v>972704.9645301057</v>
      </c>
      <c r="AE4" s="1582">
        <f t="shared" si="3"/>
        <v>1371589.0217452147</v>
      </c>
      <c r="AF4" s="1582">
        <f t="shared" si="3"/>
        <v>3222088.652924892</v>
      </c>
      <c r="AG4" s="1582">
        <f t="shared" si="3"/>
        <v>1661109.8728013081</v>
      </c>
      <c r="AH4" s="1582">
        <f t="shared" si="3"/>
        <v>971234.27886699105</v>
      </c>
      <c r="AI4" s="1582">
        <f t="shared" si="3"/>
        <v>1120167.041346875</v>
      </c>
      <c r="AJ4" s="1582">
        <f t="shared" si="3"/>
        <v>2183831.4873430189</v>
      </c>
      <c r="AK4" s="1582">
        <f t="shared" si="3"/>
        <v>1824358.7979005256</v>
      </c>
      <c r="AL4" s="1582">
        <f t="shared" ref="AL4:AL21" si="4">SUM(D4:AK4)</f>
        <v>41256307.477517299</v>
      </c>
      <c r="AM4" s="1582">
        <f t="shared" ref="AM4" si="5">SUM(AM31:AM34)</f>
        <v>114457.80240667876</v>
      </c>
      <c r="AN4" s="1582">
        <f t="shared" ref="AN4:AN21" si="6">AL4+AM4</f>
        <v>41370765.279923975</v>
      </c>
      <c r="AO4" s="1589">
        <f>(AN4-AN3)/AN3*100</f>
        <v>0.98623221273371042</v>
      </c>
      <c r="AP4" s="742"/>
      <c r="AQ4" s="742"/>
    </row>
    <row r="5" spans="1:43" ht="18">
      <c r="A5" s="1587">
        <v>2008</v>
      </c>
      <c r="B5" s="1588" t="s">
        <v>9794</v>
      </c>
      <c r="C5" s="1656">
        <f t="shared" si="0"/>
        <v>42311515.415311828</v>
      </c>
      <c r="D5" s="1582">
        <f>SUM(D35:D38)</f>
        <v>154389.87000174035</v>
      </c>
      <c r="E5" s="1582">
        <f t="shared" ref="E5:AK5" si="7">SUM(E35:E38)</f>
        <v>15326.99874746718</v>
      </c>
      <c r="F5" s="1582">
        <f t="shared" si="7"/>
        <v>42033.657161987838</v>
      </c>
      <c r="G5" s="1582">
        <f t="shared" si="7"/>
        <v>18294.454106546145</v>
      </c>
      <c r="H5" s="1582">
        <f t="shared" si="7"/>
        <v>1897817.6715673362</v>
      </c>
      <c r="I5" s="1582">
        <f t="shared" si="7"/>
        <v>173803.4304104482</v>
      </c>
      <c r="J5" s="1582">
        <f t="shared" si="7"/>
        <v>323897.58572337939</v>
      </c>
      <c r="K5" s="1582">
        <f t="shared" si="7"/>
        <v>1673768.8014301304</v>
      </c>
      <c r="L5" s="1582">
        <f t="shared" si="7"/>
        <v>168278.28706073828</v>
      </c>
      <c r="M5" s="1582">
        <f t="shared" si="7"/>
        <v>367152.66787359933</v>
      </c>
      <c r="N5" s="1582">
        <f t="shared" si="7"/>
        <v>2683578.1958329258</v>
      </c>
      <c r="O5" s="1582">
        <f t="shared" si="7"/>
        <v>892840.50629320578</v>
      </c>
      <c r="P5" s="1582">
        <f t="shared" si="7"/>
        <v>2787428.8077755934</v>
      </c>
      <c r="Q5" s="1582">
        <f t="shared" si="7"/>
        <v>764923.71080775955</v>
      </c>
      <c r="R5" s="1582">
        <f t="shared" si="7"/>
        <v>1564256.8048379056</v>
      </c>
      <c r="S5" s="1582">
        <f t="shared" si="7"/>
        <v>777507.80908516305</v>
      </c>
      <c r="T5" s="1582">
        <f t="shared" si="7"/>
        <v>1351248.3863635785</v>
      </c>
      <c r="U5" s="1582">
        <f t="shared" si="7"/>
        <v>231799.40831691591</v>
      </c>
      <c r="V5" s="1582">
        <f t="shared" si="7"/>
        <v>980051.30291510362</v>
      </c>
      <c r="W5" s="1582">
        <f t="shared" si="7"/>
        <v>2198844.8837827081</v>
      </c>
      <c r="X5" s="1582">
        <f t="shared" si="7"/>
        <v>1451129.9045835268</v>
      </c>
      <c r="Y5" s="1582">
        <f t="shared" si="7"/>
        <v>800166.0347385013</v>
      </c>
      <c r="Z5" s="1582">
        <f t="shared" si="7"/>
        <v>650963.86984502559</v>
      </c>
      <c r="AA5" s="1582">
        <f t="shared" si="7"/>
        <v>3306369.7426650357</v>
      </c>
      <c r="AB5" s="1582">
        <f t="shared" si="7"/>
        <v>2222995.0706467479</v>
      </c>
      <c r="AC5" s="1582">
        <f t="shared" si="7"/>
        <v>1309663.1536450421</v>
      </c>
      <c r="AD5" s="1582">
        <f t="shared" si="7"/>
        <v>1058015.187238453</v>
      </c>
      <c r="AE5" s="1582">
        <f t="shared" si="7"/>
        <v>1203506.3198160925</v>
      </c>
      <c r="AF5" s="1582">
        <f t="shared" si="7"/>
        <v>3252783.4214343149</v>
      </c>
      <c r="AG5" s="1582">
        <f t="shared" si="7"/>
        <v>1744011.1434197279</v>
      </c>
      <c r="AH5" s="1582">
        <f t="shared" si="7"/>
        <v>957037.24213257479</v>
      </c>
      <c r="AI5" s="1582">
        <f t="shared" si="7"/>
        <v>1111864.6214824836</v>
      </c>
      <c r="AJ5" s="1582">
        <f t="shared" si="7"/>
        <v>2256865.0472721579</v>
      </c>
      <c r="AK5" s="1582">
        <f t="shared" si="7"/>
        <v>1792818.2991284821</v>
      </c>
      <c r="AL5" s="1582">
        <f t="shared" si="4"/>
        <v>42185432.298142396</v>
      </c>
      <c r="AM5" s="1582">
        <f t="shared" ref="AM5" si="8">SUM(AM35:AM38)</f>
        <v>126083.11716943455</v>
      </c>
      <c r="AN5" s="1582">
        <f t="shared" si="6"/>
        <v>42311515.415311828</v>
      </c>
      <c r="AO5" s="1589">
        <f t="shared" ref="AO5:AO22" si="9">(AN5-AN4)/AN4*100</f>
        <v>2.2739490773799425</v>
      </c>
      <c r="AP5" s="742"/>
      <c r="AQ5" s="742"/>
    </row>
    <row r="6" spans="1:43" ht="18">
      <c r="A6" s="1587">
        <v>2009</v>
      </c>
      <c r="B6" s="1588" t="s">
        <v>9795</v>
      </c>
      <c r="C6" s="1656">
        <f t="shared" si="0"/>
        <v>38022609.421325468</v>
      </c>
      <c r="D6" s="1582">
        <f>SUM(D39:D42)</f>
        <v>153464.02997762873</v>
      </c>
      <c r="E6" s="1582">
        <f t="shared" ref="E6:AK6" si="10">SUM(E39:E42)</f>
        <v>13416.052035627179</v>
      </c>
      <c r="F6" s="1582">
        <f t="shared" si="10"/>
        <v>42828.576636490885</v>
      </c>
      <c r="G6" s="1582">
        <f t="shared" si="10"/>
        <v>11691.439019373585</v>
      </c>
      <c r="H6" s="1582">
        <f t="shared" si="10"/>
        <v>1890669.5980801608</v>
      </c>
      <c r="I6" s="1582">
        <f t="shared" si="10"/>
        <v>133947.4903761858</v>
      </c>
      <c r="J6" s="1582">
        <f t="shared" si="10"/>
        <v>316421.62018979469</v>
      </c>
      <c r="K6" s="1582">
        <f t="shared" si="10"/>
        <v>1530265.7886352059</v>
      </c>
      <c r="L6" s="1582">
        <f t="shared" si="10"/>
        <v>136357.40032412086</v>
      </c>
      <c r="M6" s="1582">
        <f t="shared" si="10"/>
        <v>279222.6052127009</v>
      </c>
      <c r="N6" s="1582">
        <f t="shared" si="10"/>
        <v>1765740.9623702466</v>
      </c>
      <c r="O6" s="1582">
        <f t="shared" si="10"/>
        <v>716764.41343519068</v>
      </c>
      <c r="P6" s="1582">
        <f t="shared" si="10"/>
        <v>2186132.4366460172</v>
      </c>
      <c r="Q6" s="1582">
        <f t="shared" si="10"/>
        <v>432088.23451570846</v>
      </c>
      <c r="R6" s="1582">
        <f t="shared" si="10"/>
        <v>1293163.9880387173</v>
      </c>
      <c r="S6" s="1582">
        <f t="shared" si="10"/>
        <v>666863.78417432145</v>
      </c>
      <c r="T6" s="1582">
        <f t="shared" si="10"/>
        <v>1159069.6375512411</v>
      </c>
      <c r="U6" s="1582">
        <f t="shared" si="10"/>
        <v>228694.21094834671</v>
      </c>
      <c r="V6" s="1582">
        <f t="shared" si="10"/>
        <v>811429.55710361223</v>
      </c>
      <c r="W6" s="1582">
        <f t="shared" si="10"/>
        <v>1805923.9459707164</v>
      </c>
      <c r="X6" s="1582">
        <f t="shared" si="10"/>
        <v>1345009.5855161706</v>
      </c>
      <c r="Y6" s="1582">
        <f t="shared" si="10"/>
        <v>741677.17849837441</v>
      </c>
      <c r="Z6" s="1582">
        <f t="shared" si="10"/>
        <v>603332.40701779607</v>
      </c>
      <c r="AA6" s="1582">
        <f t="shared" si="10"/>
        <v>3125756.3519315375</v>
      </c>
      <c r="AB6" s="1582">
        <f t="shared" si="10"/>
        <v>2053067.8004699564</v>
      </c>
      <c r="AC6" s="1582">
        <f t="shared" si="10"/>
        <v>1326527.9959058766</v>
      </c>
      <c r="AD6" s="1582">
        <f t="shared" si="10"/>
        <v>984668.00097710593</v>
      </c>
      <c r="AE6" s="1582">
        <f t="shared" si="10"/>
        <v>1120394.7260945234</v>
      </c>
      <c r="AF6" s="1582">
        <f t="shared" si="10"/>
        <v>3294616.8577320399</v>
      </c>
      <c r="AG6" s="1582">
        <f t="shared" si="10"/>
        <v>1672951.8217225606</v>
      </c>
      <c r="AH6" s="1582">
        <f t="shared" si="10"/>
        <v>954469.99906257354</v>
      </c>
      <c r="AI6" s="1582">
        <f t="shared" si="10"/>
        <v>1078026.2066320893</v>
      </c>
      <c r="AJ6" s="1582">
        <f t="shared" si="10"/>
        <v>2358105.8001154573</v>
      </c>
      <c r="AK6" s="1582">
        <f t="shared" si="10"/>
        <v>1695752.9490788942</v>
      </c>
      <c r="AL6" s="1582">
        <f t="shared" si="4"/>
        <v>37928513.451996364</v>
      </c>
      <c r="AM6" s="1582">
        <f t="shared" ref="AM6" si="11">SUM(AM39:AM42)</f>
        <v>94095.969329100524</v>
      </c>
      <c r="AN6" s="1582">
        <f t="shared" si="6"/>
        <v>38022609.421325468</v>
      </c>
      <c r="AO6" s="1589">
        <f t="shared" si="9"/>
        <v>-10.136498189413178</v>
      </c>
      <c r="AP6" s="742"/>
      <c r="AQ6" s="742"/>
    </row>
    <row r="7" spans="1:43">
      <c r="A7" s="1587">
        <v>2010</v>
      </c>
      <c r="B7" s="1547" t="s">
        <v>9809</v>
      </c>
      <c r="C7" s="1656">
        <f t="shared" si="0"/>
        <v>39156209.367632531</v>
      </c>
      <c r="D7" s="1582">
        <f>SUM(D43:D46)</f>
        <v>151097.50886666335</v>
      </c>
      <c r="E7" s="1582">
        <f t="shared" ref="E7:AK7" si="12">SUM(E43:E46)</f>
        <v>12556.235801888854</v>
      </c>
      <c r="F7" s="1582">
        <f t="shared" si="12"/>
        <v>42574.874638467227</v>
      </c>
      <c r="G7" s="1582">
        <f t="shared" si="12"/>
        <v>15768.580326018347</v>
      </c>
      <c r="H7" s="1582">
        <f t="shared" si="12"/>
        <v>1828695.7770437961</v>
      </c>
      <c r="I7" s="1582">
        <f t="shared" si="12"/>
        <v>127629.39390894382</v>
      </c>
      <c r="J7" s="1582">
        <f t="shared" si="12"/>
        <v>324437.88207962335</v>
      </c>
      <c r="K7" s="1582">
        <f t="shared" si="12"/>
        <v>1730698.8811568576</v>
      </c>
      <c r="L7" s="1582">
        <f t="shared" si="12"/>
        <v>155329.46652897584</v>
      </c>
      <c r="M7" s="1582">
        <f t="shared" si="12"/>
        <v>362515.29778282339</v>
      </c>
      <c r="N7" s="1582">
        <f t="shared" si="12"/>
        <v>2034724.6436106432</v>
      </c>
      <c r="O7" s="1582">
        <f t="shared" si="12"/>
        <v>700328.39694943232</v>
      </c>
      <c r="P7" s="1582">
        <f t="shared" si="12"/>
        <v>2483132.9131441736</v>
      </c>
      <c r="Q7" s="1582">
        <f t="shared" si="12"/>
        <v>524590.22231312399</v>
      </c>
      <c r="R7" s="1582">
        <f t="shared" si="12"/>
        <v>1331615.3318181022</v>
      </c>
      <c r="S7" s="1582">
        <f t="shared" si="12"/>
        <v>806356.80457230972</v>
      </c>
      <c r="T7" s="1582">
        <f t="shared" si="12"/>
        <v>1044529.1075462025</v>
      </c>
      <c r="U7" s="1582">
        <f t="shared" si="12"/>
        <v>211137.45153005398</v>
      </c>
      <c r="V7" s="1582">
        <f t="shared" si="12"/>
        <v>863637.04200149234</v>
      </c>
      <c r="W7" s="1582">
        <f t="shared" si="12"/>
        <v>1548522.5568962144</v>
      </c>
      <c r="X7" s="1582">
        <f t="shared" si="12"/>
        <v>1388847.0022309974</v>
      </c>
      <c r="Y7" s="1582">
        <f t="shared" si="12"/>
        <v>772226.70802837948</v>
      </c>
      <c r="Z7" s="1582">
        <f t="shared" si="12"/>
        <v>616620.29420261784</v>
      </c>
      <c r="AA7" s="1582">
        <f t="shared" si="12"/>
        <v>3201724.0281424876</v>
      </c>
      <c r="AB7" s="1582">
        <f t="shared" si="12"/>
        <v>2071711.8962434295</v>
      </c>
      <c r="AC7" s="1582">
        <f t="shared" si="12"/>
        <v>1309535.3462209904</v>
      </c>
      <c r="AD7" s="1582">
        <f t="shared" si="12"/>
        <v>1015707.0046666185</v>
      </c>
      <c r="AE7" s="1582">
        <f t="shared" si="12"/>
        <v>1081168.6567360377</v>
      </c>
      <c r="AF7" s="1582">
        <f t="shared" si="12"/>
        <v>3360009.5117071639</v>
      </c>
      <c r="AG7" s="1582">
        <f t="shared" si="12"/>
        <v>1736120.7431912082</v>
      </c>
      <c r="AH7" s="1582">
        <f t="shared" si="12"/>
        <v>925625.41345437849</v>
      </c>
      <c r="AI7" s="1582">
        <f t="shared" si="12"/>
        <v>1085142.5106078396</v>
      </c>
      <c r="AJ7" s="1582">
        <f t="shared" si="12"/>
        <v>2477067.5940526202</v>
      </c>
      <c r="AK7" s="1582">
        <f t="shared" si="12"/>
        <v>1717188.0832146425</v>
      </c>
      <c r="AL7" s="1582">
        <f t="shared" si="4"/>
        <v>39058573.161215216</v>
      </c>
      <c r="AM7" s="1582">
        <f t="shared" ref="AM7" si="13">SUM(AM43:AM46)</f>
        <v>97636.206417316338</v>
      </c>
      <c r="AN7" s="1582">
        <f t="shared" si="6"/>
        <v>39156209.367632531</v>
      </c>
      <c r="AO7" s="1589">
        <f t="shared" si="9"/>
        <v>2.9813838754350961</v>
      </c>
      <c r="AP7" s="742"/>
      <c r="AQ7" s="742"/>
    </row>
    <row r="8" spans="1:43">
      <c r="A8" s="1587">
        <v>2011</v>
      </c>
      <c r="B8" s="1547" t="s">
        <v>9796</v>
      </c>
      <c r="C8" s="1656">
        <f t="shared" si="0"/>
        <v>39515538.43932052</v>
      </c>
      <c r="D8" s="1582">
        <f>SUM(D47:D50)</f>
        <v>153399.32546185103</v>
      </c>
      <c r="E8" s="1582">
        <f t="shared" ref="E8:AK8" si="14">SUM(E47:E50)</f>
        <v>12187.572368195275</v>
      </c>
      <c r="F8" s="1582">
        <f t="shared" si="14"/>
        <v>33866.840988176467</v>
      </c>
      <c r="G8" s="1582">
        <f t="shared" si="14"/>
        <v>14972.151475772998</v>
      </c>
      <c r="H8" s="1582">
        <f t="shared" si="14"/>
        <v>1857528.5915921074</v>
      </c>
      <c r="I8" s="1582">
        <f t="shared" si="14"/>
        <v>137979.38997342635</v>
      </c>
      <c r="J8" s="1582">
        <f t="shared" si="14"/>
        <v>315328.24530734064</v>
      </c>
      <c r="K8" s="1582">
        <f t="shared" si="14"/>
        <v>1827839.2132716367</v>
      </c>
      <c r="L8" s="1582">
        <f t="shared" si="14"/>
        <v>164368.02335370411</v>
      </c>
      <c r="M8" s="1582">
        <f t="shared" si="14"/>
        <v>375895.73388935981</v>
      </c>
      <c r="N8" s="1582">
        <f t="shared" si="14"/>
        <v>2095979.4399744479</v>
      </c>
      <c r="O8" s="1582">
        <f t="shared" si="14"/>
        <v>740580.69899032102</v>
      </c>
      <c r="P8" s="1582">
        <f t="shared" si="14"/>
        <v>2408248.9781154036</v>
      </c>
      <c r="Q8" s="1582">
        <f t="shared" si="14"/>
        <v>352471.3512507198</v>
      </c>
      <c r="R8" s="1582">
        <f t="shared" si="14"/>
        <v>1452774.2081528385</v>
      </c>
      <c r="S8" s="1582">
        <f t="shared" si="14"/>
        <v>850785.66403444251</v>
      </c>
      <c r="T8" s="1582">
        <f t="shared" si="14"/>
        <v>1061910.2919317074</v>
      </c>
      <c r="U8" s="1582">
        <f t="shared" si="14"/>
        <v>171270.35807433017</v>
      </c>
      <c r="V8" s="1582">
        <f t="shared" si="14"/>
        <v>912679.66266396036</v>
      </c>
      <c r="W8" s="1582">
        <f t="shared" si="14"/>
        <v>1575418.6956699931</v>
      </c>
      <c r="X8" s="1582">
        <f t="shared" si="14"/>
        <v>1437720.5877389126</v>
      </c>
      <c r="Y8" s="1582">
        <f t="shared" si="14"/>
        <v>794862.72450173832</v>
      </c>
      <c r="Z8" s="1582">
        <f t="shared" si="14"/>
        <v>642857.863237174</v>
      </c>
      <c r="AA8" s="1582">
        <f t="shared" si="14"/>
        <v>3366462.802205639</v>
      </c>
      <c r="AB8" s="1582">
        <f t="shared" si="14"/>
        <v>1997930.1544872143</v>
      </c>
      <c r="AC8" s="1582">
        <f t="shared" si="14"/>
        <v>1230625.491936791</v>
      </c>
      <c r="AD8" s="1582">
        <f t="shared" si="14"/>
        <v>1091929.3900513046</v>
      </c>
      <c r="AE8" s="1582">
        <f t="shared" si="14"/>
        <v>1038351.8095948606</v>
      </c>
      <c r="AF8" s="1582">
        <f t="shared" si="14"/>
        <v>3399921.3284338843</v>
      </c>
      <c r="AG8" s="1582">
        <f t="shared" si="14"/>
        <v>1675391.3106701579</v>
      </c>
      <c r="AH8" s="1582">
        <f t="shared" si="14"/>
        <v>918926.14111449639</v>
      </c>
      <c r="AI8" s="1582">
        <f t="shared" si="14"/>
        <v>1106881.7227078762</v>
      </c>
      <c r="AJ8" s="1582">
        <f t="shared" si="14"/>
        <v>2506902.36000928</v>
      </c>
      <c r="AK8" s="1582">
        <f t="shared" si="14"/>
        <v>1656845.9399227679</v>
      </c>
      <c r="AL8" s="1582">
        <f t="shared" si="4"/>
        <v>39381094.063151829</v>
      </c>
      <c r="AM8" s="1582">
        <f t="shared" ref="AM8" si="15">SUM(AM47:AM50)</f>
        <v>134444.37616868742</v>
      </c>
      <c r="AN8" s="1582">
        <f t="shared" si="6"/>
        <v>39515538.43932052</v>
      </c>
      <c r="AO8" s="1589">
        <f t="shared" si="9"/>
        <v>0.91768094381735277</v>
      </c>
      <c r="AP8" s="742"/>
      <c r="AQ8" s="742"/>
    </row>
    <row r="9" spans="1:43">
      <c r="A9" s="1587">
        <v>2012</v>
      </c>
      <c r="B9" s="1547" t="s">
        <v>9797</v>
      </c>
      <c r="C9" s="1656">
        <f t="shared" si="0"/>
        <v>40143177.52118393</v>
      </c>
      <c r="D9" s="1582">
        <f>SUM(D51:D54)</f>
        <v>162289.17287401954</v>
      </c>
      <c r="E9" s="1582">
        <f t="shared" ref="E9:AK9" si="16">SUM(E51:E54)</f>
        <v>10826.195244292061</v>
      </c>
      <c r="F9" s="1582">
        <f t="shared" si="16"/>
        <v>50268.390207634344</v>
      </c>
      <c r="G9" s="1582">
        <f t="shared" si="16"/>
        <v>14521.03597127658</v>
      </c>
      <c r="H9" s="1582">
        <f t="shared" si="16"/>
        <v>1877249.3790920442</v>
      </c>
      <c r="I9" s="1582">
        <f t="shared" si="16"/>
        <v>126133.88944085484</v>
      </c>
      <c r="J9" s="1582">
        <f t="shared" si="16"/>
        <v>277810.98323962803</v>
      </c>
      <c r="K9" s="1582">
        <f t="shared" si="16"/>
        <v>1793969.4975306189</v>
      </c>
      <c r="L9" s="1582">
        <f t="shared" si="16"/>
        <v>159344.20716198516</v>
      </c>
      <c r="M9" s="1582">
        <f t="shared" si="16"/>
        <v>315145.38819697703</v>
      </c>
      <c r="N9" s="1582">
        <f t="shared" si="16"/>
        <v>1936769.5167586934</v>
      </c>
      <c r="O9" s="1582">
        <f t="shared" si="16"/>
        <v>744568.17728237261</v>
      </c>
      <c r="P9" s="1582">
        <f t="shared" si="16"/>
        <v>2358398.4084836179</v>
      </c>
      <c r="Q9" s="1582">
        <f t="shared" si="16"/>
        <v>318565.9151505453</v>
      </c>
      <c r="R9" s="1582">
        <f t="shared" si="16"/>
        <v>1491546.0881241292</v>
      </c>
      <c r="S9" s="1582">
        <f t="shared" si="16"/>
        <v>790448.2666313526</v>
      </c>
      <c r="T9" s="1582">
        <f t="shared" si="16"/>
        <v>1117605.2979857982</v>
      </c>
      <c r="U9" s="1582">
        <f t="shared" si="16"/>
        <v>148143.47458317367</v>
      </c>
      <c r="V9" s="1582">
        <f t="shared" si="16"/>
        <v>922230.8424224786</v>
      </c>
      <c r="W9" s="1582">
        <f t="shared" si="16"/>
        <v>1613764.1470159588</v>
      </c>
      <c r="X9" s="1582">
        <f t="shared" si="16"/>
        <v>1569210.8604403932</v>
      </c>
      <c r="Y9" s="1582">
        <f t="shared" si="16"/>
        <v>884292.67118976777</v>
      </c>
      <c r="Z9" s="1582">
        <f t="shared" si="16"/>
        <v>684918.18925062544</v>
      </c>
      <c r="AA9" s="1582">
        <f t="shared" si="16"/>
        <v>3490255.9183640908</v>
      </c>
      <c r="AB9" s="1582">
        <f t="shared" si="16"/>
        <v>2139637.0308349766</v>
      </c>
      <c r="AC9" s="1582">
        <f t="shared" si="16"/>
        <v>1334859.8112810717</v>
      </c>
      <c r="AD9" s="1582">
        <f t="shared" si="16"/>
        <v>1082749.666438943</v>
      </c>
      <c r="AE9" s="1582">
        <f t="shared" si="16"/>
        <v>1031135.678598925</v>
      </c>
      <c r="AF9" s="1582">
        <f t="shared" si="16"/>
        <v>3435620.077241011</v>
      </c>
      <c r="AG9" s="1582">
        <f t="shared" si="16"/>
        <v>1752147.8631516232</v>
      </c>
      <c r="AH9" s="1582">
        <f t="shared" si="16"/>
        <v>889183.59900387982</v>
      </c>
      <c r="AI9" s="1582">
        <f t="shared" si="16"/>
        <v>1031488.9198571471</v>
      </c>
      <c r="AJ9" s="1582">
        <f t="shared" si="16"/>
        <v>2724572.3081565648</v>
      </c>
      <c r="AK9" s="1582">
        <f t="shared" si="16"/>
        <v>1712627.2865384044</v>
      </c>
      <c r="AL9" s="1582">
        <f t="shared" si="4"/>
        <v>39992298.153744869</v>
      </c>
      <c r="AM9" s="1582">
        <f t="shared" ref="AM9" si="17">SUM(AM51:AM54)</f>
        <v>150879.36743906283</v>
      </c>
      <c r="AN9" s="1582">
        <f t="shared" si="6"/>
        <v>40143177.52118393</v>
      </c>
      <c r="AO9" s="1589">
        <f t="shared" si="9"/>
        <v>1.5883348845852223</v>
      </c>
      <c r="AP9" s="742"/>
      <c r="AQ9" s="742"/>
    </row>
    <row r="10" spans="1:43">
      <c r="A10" s="1587">
        <v>2013</v>
      </c>
      <c r="B10" s="1547" t="s">
        <v>9798</v>
      </c>
      <c r="C10" s="1656">
        <f t="shared" si="0"/>
        <v>40686192.95791886</v>
      </c>
      <c r="D10" s="1582">
        <f>SUM(D55:D58)</f>
        <v>154366.8814520922</v>
      </c>
      <c r="E10" s="1582">
        <f t="shared" ref="E10:AK10" si="18">SUM(E55:E58)</f>
        <v>10577.316207470736</v>
      </c>
      <c r="F10" s="1582">
        <f t="shared" si="18"/>
        <v>38138.023689207614</v>
      </c>
      <c r="G10" s="1582">
        <f t="shared" si="18"/>
        <v>15584.012091975172</v>
      </c>
      <c r="H10" s="1582">
        <f t="shared" si="18"/>
        <v>1924906.7625557934</v>
      </c>
      <c r="I10" s="1582">
        <f t="shared" si="18"/>
        <v>117155.64837142939</v>
      </c>
      <c r="J10" s="1582">
        <f t="shared" si="18"/>
        <v>271790.05835134949</v>
      </c>
      <c r="K10" s="1582">
        <f t="shared" si="18"/>
        <v>1782933.4670000584</v>
      </c>
      <c r="L10" s="1582">
        <f t="shared" si="18"/>
        <v>148746.00335951216</v>
      </c>
      <c r="M10" s="1582">
        <f t="shared" si="18"/>
        <v>297204.31582497549</v>
      </c>
      <c r="N10" s="1582">
        <f t="shared" si="18"/>
        <v>2024567.0237274957</v>
      </c>
      <c r="O10" s="1582">
        <f t="shared" si="18"/>
        <v>749980.64550827292</v>
      </c>
      <c r="P10" s="1582">
        <f t="shared" si="18"/>
        <v>2322921.3024680512</v>
      </c>
      <c r="Q10" s="1582">
        <f t="shared" si="18"/>
        <v>369492.07586770802</v>
      </c>
      <c r="R10" s="1582">
        <f t="shared" si="18"/>
        <v>1373792.1535304156</v>
      </c>
      <c r="S10" s="1582">
        <f t="shared" si="18"/>
        <v>671095.35141375707</v>
      </c>
      <c r="T10" s="1582">
        <f t="shared" si="18"/>
        <v>1105579.2875807814</v>
      </c>
      <c r="U10" s="1582">
        <f t="shared" si="18"/>
        <v>139962.91124047502</v>
      </c>
      <c r="V10" s="1582">
        <f t="shared" si="18"/>
        <v>907765.38932454609</v>
      </c>
      <c r="W10" s="1582">
        <f t="shared" si="18"/>
        <v>1830265.718183801</v>
      </c>
      <c r="X10" s="1582">
        <f t="shared" si="18"/>
        <v>1765746.0433353146</v>
      </c>
      <c r="Y10" s="1582">
        <f t="shared" si="18"/>
        <v>1056317.2609157157</v>
      </c>
      <c r="Z10" s="1582">
        <f t="shared" si="18"/>
        <v>709428.78241959889</v>
      </c>
      <c r="AA10" s="1582">
        <f t="shared" si="18"/>
        <v>3648226.2748757494</v>
      </c>
      <c r="AB10" s="1582">
        <f t="shared" si="18"/>
        <v>2033608.3329748586</v>
      </c>
      <c r="AC10" s="1582">
        <f t="shared" si="18"/>
        <v>1327864.9994884562</v>
      </c>
      <c r="AD10" s="1582">
        <f t="shared" si="18"/>
        <v>1111054.4769949303</v>
      </c>
      <c r="AE10" s="1582">
        <f t="shared" si="18"/>
        <v>1060364.5973606892</v>
      </c>
      <c r="AF10" s="1582">
        <f t="shared" si="18"/>
        <v>3441076.2452958277</v>
      </c>
      <c r="AG10" s="1582">
        <f t="shared" si="18"/>
        <v>1779293.4690570117</v>
      </c>
      <c r="AH10" s="1582">
        <f t="shared" si="18"/>
        <v>856922.55310965818</v>
      </c>
      <c r="AI10" s="1582">
        <f t="shared" si="18"/>
        <v>1041090.265479998</v>
      </c>
      <c r="AJ10" s="1582">
        <f t="shared" si="18"/>
        <v>2736462.6929118121</v>
      </c>
      <c r="AK10" s="1582">
        <f t="shared" si="18"/>
        <v>1693193.6336391112</v>
      </c>
      <c r="AL10" s="1582">
        <f t="shared" si="4"/>
        <v>40517473.975607894</v>
      </c>
      <c r="AM10" s="1582">
        <f t="shared" ref="AM10" si="19">SUM(AM55:AM58)</f>
        <v>168718.98231096516</v>
      </c>
      <c r="AN10" s="1582">
        <f t="shared" si="6"/>
        <v>40686192.95791886</v>
      </c>
      <c r="AO10" s="1589">
        <f t="shared" si="9"/>
        <v>1.3526966978345831</v>
      </c>
      <c r="AP10" s="742"/>
      <c r="AQ10" s="742"/>
    </row>
    <row r="11" spans="1:43">
      <c r="A11" s="1587">
        <v>2014</v>
      </c>
      <c r="B11" s="1547" t="s">
        <v>9799</v>
      </c>
      <c r="C11" s="1656">
        <f t="shared" si="0"/>
        <v>42015277.719036564</v>
      </c>
      <c r="D11" s="1582">
        <f>SUM(D59:D62)</f>
        <v>155730.57572129229</v>
      </c>
      <c r="E11" s="1582">
        <f t="shared" ref="E11:AK11" si="20">SUM(E59:E62)</f>
        <v>11081.755531557646</v>
      </c>
      <c r="F11" s="1582">
        <f t="shared" si="20"/>
        <v>39447.063498869102</v>
      </c>
      <c r="G11" s="1582">
        <f t="shared" si="20"/>
        <v>17801.887396198574</v>
      </c>
      <c r="H11" s="1582">
        <f t="shared" si="20"/>
        <v>1955559.5364428067</v>
      </c>
      <c r="I11" s="1582">
        <f t="shared" si="20"/>
        <v>122051.32247866581</v>
      </c>
      <c r="J11" s="1582">
        <f t="shared" si="20"/>
        <v>269326.49858555343</v>
      </c>
      <c r="K11" s="1582">
        <f t="shared" si="20"/>
        <v>1850380.6948008295</v>
      </c>
      <c r="L11" s="1582">
        <f t="shared" si="20"/>
        <v>143533.6659297297</v>
      </c>
      <c r="M11" s="1582">
        <f t="shared" si="20"/>
        <v>301901.79181800422</v>
      </c>
      <c r="N11" s="1582">
        <f t="shared" si="20"/>
        <v>2153091.6240185695</v>
      </c>
      <c r="O11" s="1582">
        <f t="shared" si="20"/>
        <v>776624.79263006733</v>
      </c>
      <c r="P11" s="1582">
        <f t="shared" si="20"/>
        <v>2381714.4740398526</v>
      </c>
      <c r="Q11" s="1582">
        <f t="shared" si="20"/>
        <v>382686.75406254869</v>
      </c>
      <c r="R11" s="1582">
        <f t="shared" si="20"/>
        <v>1498667.5722567923</v>
      </c>
      <c r="S11" s="1582">
        <f t="shared" si="20"/>
        <v>841522.36358982837</v>
      </c>
      <c r="T11" s="1582">
        <f t="shared" si="20"/>
        <v>1188091.7997690365</v>
      </c>
      <c r="U11" s="1582">
        <f t="shared" si="20"/>
        <v>132645.81612980916</v>
      </c>
      <c r="V11" s="1582">
        <f t="shared" si="20"/>
        <v>936826.53848249256</v>
      </c>
      <c r="W11" s="1582">
        <f t="shared" si="20"/>
        <v>1924458.1623317739</v>
      </c>
      <c r="X11" s="1582">
        <f t="shared" si="20"/>
        <v>1929833.3873269034</v>
      </c>
      <c r="Y11" s="1582">
        <f t="shared" si="20"/>
        <v>1189236.8690355418</v>
      </c>
      <c r="Z11" s="1582">
        <f t="shared" si="20"/>
        <v>740596.51829136175</v>
      </c>
      <c r="AA11" s="1582">
        <f t="shared" si="20"/>
        <v>3723197.3994466932</v>
      </c>
      <c r="AB11" s="1582">
        <f t="shared" si="20"/>
        <v>2325615.7533513778</v>
      </c>
      <c r="AC11" s="1582">
        <f t="shared" si="20"/>
        <v>1255762.0353545896</v>
      </c>
      <c r="AD11" s="1582">
        <f t="shared" si="20"/>
        <v>1104301.9695334348</v>
      </c>
      <c r="AE11" s="1582">
        <f t="shared" si="20"/>
        <v>1055417.9562001263</v>
      </c>
      <c r="AF11" s="1582">
        <f t="shared" si="20"/>
        <v>3425155.037042066</v>
      </c>
      <c r="AG11" s="1582">
        <f t="shared" si="20"/>
        <v>1718264.3327466443</v>
      </c>
      <c r="AH11" s="1582">
        <f t="shared" si="20"/>
        <v>867745.02598068945</v>
      </c>
      <c r="AI11" s="1582">
        <f t="shared" si="20"/>
        <v>996330.51604006556</v>
      </c>
      <c r="AJ11" s="1582">
        <f t="shared" si="20"/>
        <v>2788913.6620793976</v>
      </c>
      <c r="AK11" s="1582">
        <f t="shared" si="20"/>
        <v>1604555.2652822018</v>
      </c>
      <c r="AL11" s="1582">
        <f t="shared" si="4"/>
        <v>41808070.417225376</v>
      </c>
      <c r="AM11" s="1582">
        <f t="shared" ref="AM11" si="21">SUM(AM59:AM62)</f>
        <v>207207.30181118674</v>
      </c>
      <c r="AN11" s="1582">
        <f t="shared" si="6"/>
        <v>42015277.719036564</v>
      </c>
      <c r="AO11" s="1589">
        <f t="shared" si="9"/>
        <v>3.2666727075997439</v>
      </c>
      <c r="AP11" s="742"/>
      <c r="AQ11" s="742"/>
    </row>
    <row r="12" spans="1:43">
      <c r="A12" s="1590">
        <v>2015</v>
      </c>
      <c r="B12" s="1591" t="s">
        <v>9800</v>
      </c>
      <c r="C12" s="1656">
        <f t="shared" si="0"/>
        <v>42538637.934883572</v>
      </c>
      <c r="D12" s="1582">
        <f>SUM(D63:D66)</f>
        <v>166071.32194900967</v>
      </c>
      <c r="E12" s="1582">
        <f t="shared" ref="E12:AK12" si="22">SUM(E63:E66)</f>
        <v>11176.63186712901</v>
      </c>
      <c r="F12" s="1582">
        <f t="shared" si="22"/>
        <v>43598.304290759508</v>
      </c>
      <c r="G12" s="1582">
        <f t="shared" si="22"/>
        <v>16629.414379366601</v>
      </c>
      <c r="H12" s="1582">
        <f t="shared" si="22"/>
        <v>1988798.6282509607</v>
      </c>
      <c r="I12" s="1582">
        <f t="shared" si="22"/>
        <v>125280.88544639852</v>
      </c>
      <c r="J12" s="1582">
        <f t="shared" si="22"/>
        <v>275361.89692384802</v>
      </c>
      <c r="K12" s="1582">
        <f t="shared" si="22"/>
        <v>1978811.8959167614</v>
      </c>
      <c r="L12" s="1582">
        <f t="shared" si="22"/>
        <v>125435.00806438318</v>
      </c>
      <c r="M12" s="1582">
        <f t="shared" si="22"/>
        <v>304769.06819562416</v>
      </c>
      <c r="N12" s="1582">
        <f t="shared" si="22"/>
        <v>2053046.6998062851</v>
      </c>
      <c r="O12" s="1582">
        <f t="shared" si="22"/>
        <v>786222.18916263944</v>
      </c>
      <c r="P12" s="1582">
        <f t="shared" si="22"/>
        <v>2514823.1572772446</v>
      </c>
      <c r="Q12" s="1582">
        <f t="shared" si="22"/>
        <v>350764.044976009</v>
      </c>
      <c r="R12" s="1582">
        <f t="shared" si="22"/>
        <v>1681858.4104128582</v>
      </c>
      <c r="S12" s="1582">
        <f t="shared" si="22"/>
        <v>800095.68962095561</v>
      </c>
      <c r="T12" s="1582">
        <f t="shared" si="22"/>
        <v>1279813.2049372834</v>
      </c>
      <c r="U12" s="1582">
        <f t="shared" si="22"/>
        <v>134594.66156265768</v>
      </c>
      <c r="V12" s="1582">
        <f t="shared" si="22"/>
        <v>964688.83999661903</v>
      </c>
      <c r="W12" s="1582">
        <f t="shared" si="22"/>
        <v>1885090.2006170186</v>
      </c>
      <c r="X12" s="1582">
        <f t="shared" si="22"/>
        <v>1892665.4781424813</v>
      </c>
      <c r="Y12" s="1582">
        <f t="shared" si="22"/>
        <v>1177992.0992926655</v>
      </c>
      <c r="Z12" s="1582">
        <f t="shared" si="22"/>
        <v>714673.37884981581</v>
      </c>
      <c r="AA12" s="1582">
        <f t="shared" si="22"/>
        <v>3681883.122709312</v>
      </c>
      <c r="AB12" s="1582">
        <f t="shared" si="22"/>
        <v>2232429.3671971196</v>
      </c>
      <c r="AC12" s="1582">
        <f t="shared" si="22"/>
        <v>1267112.6886244831</v>
      </c>
      <c r="AD12" s="1582">
        <f t="shared" si="22"/>
        <v>1092221.0599168828</v>
      </c>
      <c r="AE12" s="1582">
        <f t="shared" si="22"/>
        <v>1073870.7182186933</v>
      </c>
      <c r="AF12" s="1582">
        <f t="shared" si="22"/>
        <v>3445664.79481884</v>
      </c>
      <c r="AG12" s="1582">
        <f t="shared" si="22"/>
        <v>1852760.5393307188</v>
      </c>
      <c r="AH12" s="1582">
        <f t="shared" si="22"/>
        <v>884206.09836051345</v>
      </c>
      <c r="AI12" s="1582">
        <f t="shared" si="22"/>
        <v>1060449.1669292543</v>
      </c>
      <c r="AJ12" s="1582">
        <f t="shared" si="22"/>
        <v>2870506.4705593437</v>
      </c>
      <c r="AK12" s="1582">
        <f t="shared" si="22"/>
        <v>1608242.9491737254</v>
      </c>
      <c r="AL12" s="1582">
        <f t="shared" si="4"/>
        <v>42341608.085777655</v>
      </c>
      <c r="AM12" s="1582">
        <f t="shared" ref="AM12" si="23">SUM(AM63:AM66)</f>
        <v>197029.84910591735</v>
      </c>
      <c r="AN12" s="1582">
        <f t="shared" si="6"/>
        <v>42538637.934883572</v>
      </c>
      <c r="AO12" s="1589">
        <f t="shared" si="9"/>
        <v>1.2456426430090699</v>
      </c>
      <c r="AP12" s="742"/>
      <c r="AQ12" s="742"/>
    </row>
    <row r="13" spans="1:43">
      <c r="A13" s="1587">
        <v>2016</v>
      </c>
      <c r="B13" s="1547" t="s">
        <v>9801</v>
      </c>
      <c r="C13" s="1656">
        <f t="shared" si="0"/>
        <v>42285289.967202626</v>
      </c>
      <c r="D13" s="1582">
        <f>SUM(D67:D70)</f>
        <v>174658.46176277194</v>
      </c>
      <c r="E13" s="1582">
        <f t="shared" ref="E13:AK13" si="24">SUM(E67:E70)</f>
        <v>10545.727181836108</v>
      </c>
      <c r="F13" s="1582">
        <f t="shared" si="24"/>
        <v>51058.137935173319</v>
      </c>
      <c r="G13" s="1582">
        <f t="shared" si="24"/>
        <v>12823.816129387895</v>
      </c>
      <c r="H13" s="1582">
        <f t="shared" si="24"/>
        <v>2015282.6125325859</v>
      </c>
      <c r="I13" s="1582">
        <f t="shared" si="24"/>
        <v>124703.54407977156</v>
      </c>
      <c r="J13" s="1582">
        <f t="shared" si="24"/>
        <v>275918.54925238591</v>
      </c>
      <c r="K13" s="1582">
        <f t="shared" si="24"/>
        <v>2064890.4889966948</v>
      </c>
      <c r="L13" s="1582">
        <f t="shared" si="24"/>
        <v>128979.67908571856</v>
      </c>
      <c r="M13" s="1582">
        <f t="shared" si="24"/>
        <v>290497.33972730383</v>
      </c>
      <c r="N13" s="1582">
        <f t="shared" si="24"/>
        <v>1850272.5455974902</v>
      </c>
      <c r="O13" s="1582">
        <f t="shared" si="24"/>
        <v>804480.60707988881</v>
      </c>
      <c r="P13" s="1582">
        <f t="shared" si="24"/>
        <v>2451108.4681429742</v>
      </c>
      <c r="Q13" s="1582">
        <f t="shared" si="24"/>
        <v>333403.54403525591</v>
      </c>
      <c r="R13" s="1582">
        <f t="shared" si="24"/>
        <v>1600683.4828304905</v>
      </c>
      <c r="S13" s="1582">
        <f t="shared" si="24"/>
        <v>600356.38050326391</v>
      </c>
      <c r="T13" s="1582">
        <f t="shared" si="24"/>
        <v>1487004.7776352591</v>
      </c>
      <c r="U13" s="1582">
        <f t="shared" si="24"/>
        <v>137569.81268943314</v>
      </c>
      <c r="V13" s="1582">
        <f t="shared" si="24"/>
        <v>1000877.3751500559</v>
      </c>
      <c r="W13" s="1582">
        <f t="shared" si="24"/>
        <v>1998838.3372128666</v>
      </c>
      <c r="X13" s="1582">
        <f t="shared" si="24"/>
        <v>1757105.2354564783</v>
      </c>
      <c r="Y13" s="1582">
        <f t="shared" si="24"/>
        <v>1062251.9786952324</v>
      </c>
      <c r="Z13" s="1582">
        <f t="shared" si="24"/>
        <v>694853.25676124578</v>
      </c>
      <c r="AA13" s="1582">
        <f t="shared" si="24"/>
        <v>3618464.6295261676</v>
      </c>
      <c r="AB13" s="1582">
        <f t="shared" si="24"/>
        <v>2139259.7459399658</v>
      </c>
      <c r="AC13" s="1582">
        <f t="shared" si="24"/>
        <v>1338345.5094487059</v>
      </c>
      <c r="AD13" s="1582">
        <f t="shared" si="24"/>
        <v>1110788.3758147268</v>
      </c>
      <c r="AE13" s="1582">
        <f t="shared" si="24"/>
        <v>1046433.9823359882</v>
      </c>
      <c r="AF13" s="1582">
        <f t="shared" si="24"/>
        <v>3447848.6174923275</v>
      </c>
      <c r="AG13" s="1582">
        <f t="shared" si="24"/>
        <v>1971052.3610803972</v>
      </c>
      <c r="AH13" s="1582">
        <f t="shared" si="24"/>
        <v>901013.59955691488</v>
      </c>
      <c r="AI13" s="1582">
        <f t="shared" si="24"/>
        <v>1068856.5003314172</v>
      </c>
      <c r="AJ13" s="1582">
        <f t="shared" si="24"/>
        <v>2970615.2934315428</v>
      </c>
      <c r="AK13" s="1582">
        <f t="shared" si="24"/>
        <v>1574264.2172094057</v>
      </c>
      <c r="AL13" s="1582">
        <f t="shared" si="4"/>
        <v>42115106.990641132</v>
      </c>
      <c r="AM13" s="1582">
        <f t="shared" ref="AM13" si="25">SUM(AM67:AM70)</f>
        <v>170182.97656149528</v>
      </c>
      <c r="AN13" s="1582">
        <f t="shared" si="6"/>
        <v>42285289.967202626</v>
      </c>
      <c r="AO13" s="1589">
        <f t="shared" si="9"/>
        <v>-0.59557141455436546</v>
      </c>
      <c r="AP13" s="742"/>
      <c r="AQ13" s="742"/>
    </row>
    <row r="14" spans="1:43">
      <c r="A14" s="1587">
        <v>2017</v>
      </c>
      <c r="B14" s="1547" t="s">
        <v>9802</v>
      </c>
      <c r="C14" s="1656">
        <f t="shared" si="0"/>
        <v>42938222.111006364</v>
      </c>
      <c r="D14" s="1582">
        <f>SUM(D71:D74)</f>
        <v>169423.76275898711</v>
      </c>
      <c r="E14" s="1582">
        <f t="shared" ref="E14:AK14" si="26">SUM(E71:E74)</f>
        <v>10433.334347504524</v>
      </c>
      <c r="F14" s="1582">
        <f t="shared" si="26"/>
        <v>48968.828547249403</v>
      </c>
      <c r="G14" s="1582">
        <f t="shared" si="26"/>
        <v>13263.144490657454</v>
      </c>
      <c r="H14" s="1582">
        <f t="shared" si="26"/>
        <v>2057846.85893824</v>
      </c>
      <c r="I14" s="1582">
        <f t="shared" si="26"/>
        <v>124729.23826055844</v>
      </c>
      <c r="J14" s="1582">
        <f t="shared" si="26"/>
        <v>277632.27392517577</v>
      </c>
      <c r="K14" s="1582">
        <f t="shared" si="26"/>
        <v>2133797.6497230306</v>
      </c>
      <c r="L14" s="1582">
        <f t="shared" si="26"/>
        <v>166757.40364527758</v>
      </c>
      <c r="M14" s="1582">
        <f t="shared" si="26"/>
        <v>295862.38171836518</v>
      </c>
      <c r="N14" s="1582">
        <f t="shared" si="26"/>
        <v>2125091.2239259845</v>
      </c>
      <c r="O14" s="1582">
        <f t="shared" si="26"/>
        <v>822275.75984603248</v>
      </c>
      <c r="P14" s="1582">
        <f t="shared" si="26"/>
        <v>2545951.1558696302</v>
      </c>
      <c r="Q14" s="1582">
        <f t="shared" si="26"/>
        <v>353324.30687698728</v>
      </c>
      <c r="R14" s="1582">
        <f t="shared" si="26"/>
        <v>1526812.9319176041</v>
      </c>
      <c r="S14" s="1582">
        <f t="shared" si="26"/>
        <v>495709.96280175669</v>
      </c>
      <c r="T14" s="1582">
        <f t="shared" si="26"/>
        <v>1640956.4373493264</v>
      </c>
      <c r="U14" s="1582">
        <f t="shared" si="26"/>
        <v>123407.5094591588</v>
      </c>
      <c r="V14" s="1582">
        <f t="shared" si="26"/>
        <v>1002452.045647588</v>
      </c>
      <c r="W14" s="1582">
        <f t="shared" si="26"/>
        <v>2001007.2490862133</v>
      </c>
      <c r="X14" s="1582">
        <f t="shared" si="26"/>
        <v>1698695.5481685605</v>
      </c>
      <c r="Y14" s="1582">
        <f t="shared" si="26"/>
        <v>963244.41791333037</v>
      </c>
      <c r="Z14" s="1582">
        <f t="shared" si="26"/>
        <v>735451.13025523024</v>
      </c>
      <c r="AA14" s="1582">
        <f t="shared" si="26"/>
        <v>3680008.1581921033</v>
      </c>
      <c r="AB14" s="1582">
        <f t="shared" si="26"/>
        <v>2196370.6654683594</v>
      </c>
      <c r="AC14" s="1582">
        <f t="shared" si="26"/>
        <v>1350598.5588241459</v>
      </c>
      <c r="AD14" s="1582">
        <f t="shared" si="26"/>
        <v>1110223.2138332166</v>
      </c>
      <c r="AE14" s="1582">
        <f t="shared" si="26"/>
        <v>1039706.4824349642</v>
      </c>
      <c r="AF14" s="1582">
        <f t="shared" si="26"/>
        <v>3426392.1169640305</v>
      </c>
      <c r="AG14" s="1582">
        <f t="shared" si="26"/>
        <v>2046368.4220420001</v>
      </c>
      <c r="AH14" s="1582">
        <f t="shared" si="26"/>
        <v>874361.62075357465</v>
      </c>
      <c r="AI14" s="1582">
        <f t="shared" si="26"/>
        <v>1150398.8805011599</v>
      </c>
      <c r="AJ14" s="1582">
        <f t="shared" si="26"/>
        <v>2928597.4731286303</v>
      </c>
      <c r="AK14" s="1582">
        <f t="shared" si="26"/>
        <v>1628166.9605758698</v>
      </c>
      <c r="AL14" s="1582">
        <f t="shared" si="4"/>
        <v>42764287.108190492</v>
      </c>
      <c r="AM14" s="1582">
        <f t="shared" ref="AM14" si="27">SUM(AM71:AM74)</f>
        <v>173935.00281587275</v>
      </c>
      <c r="AN14" s="1582">
        <f t="shared" si="6"/>
        <v>42938222.111006364</v>
      </c>
      <c r="AO14" s="1589">
        <f t="shared" si="9"/>
        <v>1.5441117805037312</v>
      </c>
      <c r="AP14" s="742"/>
      <c r="AQ14" s="742"/>
    </row>
    <row r="15" spans="1:43">
      <c r="A15" s="1587">
        <v>2018</v>
      </c>
      <c r="B15" s="1547" t="s">
        <v>9803</v>
      </c>
      <c r="C15" s="1656">
        <f t="shared" si="0"/>
        <v>43708772.657856584</v>
      </c>
      <c r="D15" s="1582">
        <f>SUM(D75:D78)</f>
        <v>162898.82325449571</v>
      </c>
      <c r="E15" s="1582">
        <f t="shared" ref="E15:AK15" si="28">SUM(E75:E78)</f>
        <v>9846.0488032452413</v>
      </c>
      <c r="F15" s="1582">
        <f t="shared" si="28"/>
        <v>51779.100909242537</v>
      </c>
      <c r="G15" s="1582">
        <f t="shared" si="28"/>
        <v>13087.590829933068</v>
      </c>
      <c r="H15" s="1582">
        <f t="shared" si="28"/>
        <v>2124099.7714813445</v>
      </c>
      <c r="I15" s="1582">
        <f t="shared" si="28"/>
        <v>125269.7786394506</v>
      </c>
      <c r="J15" s="1582">
        <f t="shared" si="28"/>
        <v>281422.36520362715</v>
      </c>
      <c r="K15" s="1582">
        <f t="shared" si="28"/>
        <v>2198759.8534729406</v>
      </c>
      <c r="L15" s="1582">
        <f t="shared" si="28"/>
        <v>177761.72728553583</v>
      </c>
      <c r="M15" s="1582">
        <f t="shared" si="28"/>
        <v>301448.91621384915</v>
      </c>
      <c r="N15" s="1582">
        <f t="shared" si="28"/>
        <v>2211100.8207387445</v>
      </c>
      <c r="O15" s="1582">
        <f t="shared" si="28"/>
        <v>863324.48629699752</v>
      </c>
      <c r="P15" s="1582">
        <f t="shared" si="28"/>
        <v>2652250.2558974815</v>
      </c>
      <c r="Q15" s="1582">
        <f t="shared" si="28"/>
        <v>381905.03308271512</v>
      </c>
      <c r="R15" s="1582">
        <f t="shared" si="28"/>
        <v>1583394.671952839</v>
      </c>
      <c r="S15" s="1582">
        <f t="shared" si="28"/>
        <v>449985.48747489008</v>
      </c>
      <c r="T15" s="1582">
        <f t="shared" si="28"/>
        <v>1768837.6502506852</v>
      </c>
      <c r="U15" s="1582">
        <f t="shared" si="28"/>
        <v>124321.24420094969</v>
      </c>
      <c r="V15" s="1582">
        <f t="shared" si="28"/>
        <v>994505.46642036084</v>
      </c>
      <c r="W15" s="1582">
        <f t="shared" si="28"/>
        <v>1946005.1235945073</v>
      </c>
      <c r="X15" s="1582">
        <f t="shared" si="28"/>
        <v>1671973.459957188</v>
      </c>
      <c r="Y15" s="1582">
        <f t="shared" si="28"/>
        <v>903149.55065128149</v>
      </c>
      <c r="Z15" s="1582">
        <f t="shared" si="28"/>
        <v>768823.90930590616</v>
      </c>
      <c r="AA15" s="1582">
        <f t="shared" si="28"/>
        <v>3762747.1028921166</v>
      </c>
      <c r="AB15" s="1582">
        <f t="shared" si="28"/>
        <v>2095202.6022548496</v>
      </c>
      <c r="AC15" s="1582">
        <f t="shared" si="28"/>
        <v>1404327.9620934839</v>
      </c>
      <c r="AD15" s="1582">
        <f t="shared" si="28"/>
        <v>1166676.5346643496</v>
      </c>
      <c r="AE15" s="1582">
        <f t="shared" si="28"/>
        <v>1040062.3595913113</v>
      </c>
      <c r="AF15" s="1582">
        <f t="shared" si="28"/>
        <v>3442855.3231825791</v>
      </c>
      <c r="AG15" s="1582">
        <f t="shared" si="28"/>
        <v>2102321.7756425086</v>
      </c>
      <c r="AH15" s="1582">
        <f t="shared" si="28"/>
        <v>873245.2376679827</v>
      </c>
      <c r="AI15" s="1582">
        <f t="shared" si="28"/>
        <v>1118192.2759144399</v>
      </c>
      <c r="AJ15" s="1582">
        <f t="shared" si="28"/>
        <v>3107479.4883457171</v>
      </c>
      <c r="AK15" s="1582">
        <f t="shared" si="28"/>
        <v>1636961.3388221022</v>
      </c>
      <c r="AL15" s="1582">
        <f t="shared" si="4"/>
        <v>43516023.136989661</v>
      </c>
      <c r="AM15" s="1582">
        <f t="shared" ref="AM15" si="29">SUM(AM75:AM78)</f>
        <v>192749.52086692356</v>
      </c>
      <c r="AN15" s="1582">
        <f t="shared" si="6"/>
        <v>43708772.657856584</v>
      </c>
      <c r="AO15" s="1589">
        <f t="shared" si="9"/>
        <v>1.7945562460833793</v>
      </c>
      <c r="AP15" s="742"/>
      <c r="AQ15" s="742"/>
    </row>
    <row r="16" spans="1:43">
      <c r="A16" s="1592">
        <v>2019</v>
      </c>
      <c r="B16" s="1593" t="s">
        <v>9804</v>
      </c>
      <c r="C16" s="1656">
        <f t="shared" si="0"/>
        <v>44057688.256639346</v>
      </c>
      <c r="D16" s="1582">
        <f>SUM(D79:D82)</f>
        <v>157675.52188649558</v>
      </c>
      <c r="E16" s="1582">
        <f t="shared" ref="E16:AK16" si="30">SUM(E79:E82)</f>
        <v>10077.084947740179</v>
      </c>
      <c r="F16" s="1582">
        <f t="shared" si="30"/>
        <v>49055.803109819673</v>
      </c>
      <c r="G16" s="1582">
        <f t="shared" si="30"/>
        <v>12907.492225200574</v>
      </c>
      <c r="H16" s="1582">
        <f t="shared" si="30"/>
        <v>2087532.7957954386</v>
      </c>
      <c r="I16" s="1582">
        <f t="shared" si="30"/>
        <v>118985.37668612952</v>
      </c>
      <c r="J16" s="1582">
        <f t="shared" si="30"/>
        <v>304232.56444055855</v>
      </c>
      <c r="K16" s="1582">
        <f t="shared" si="30"/>
        <v>2382937.59275907</v>
      </c>
      <c r="L16" s="1582">
        <f t="shared" si="30"/>
        <v>169672.35782276499</v>
      </c>
      <c r="M16" s="1582">
        <f t="shared" si="30"/>
        <v>282887.11861525744</v>
      </c>
      <c r="N16" s="1582">
        <f t="shared" si="30"/>
        <v>2105065.0799800721</v>
      </c>
      <c r="O16" s="1582">
        <f t="shared" si="30"/>
        <v>849153.91991497949</v>
      </c>
      <c r="P16" s="1582">
        <f t="shared" si="30"/>
        <v>2699243.4876343706</v>
      </c>
      <c r="Q16" s="1582">
        <f t="shared" si="30"/>
        <v>331193.83837457735</v>
      </c>
      <c r="R16" s="1582">
        <f t="shared" si="30"/>
        <v>1547601.1348923123</v>
      </c>
      <c r="S16" s="1582">
        <f t="shared" si="30"/>
        <v>514093.00215397391</v>
      </c>
      <c r="T16" s="1582">
        <f t="shared" si="30"/>
        <v>1737815.4644474038</v>
      </c>
      <c r="U16" s="1582">
        <f t="shared" si="30"/>
        <v>129465.11614590423</v>
      </c>
      <c r="V16" s="1582">
        <f t="shared" si="30"/>
        <v>966060.22875297198</v>
      </c>
      <c r="W16" s="1582">
        <f t="shared" si="30"/>
        <v>1962455.0693546017</v>
      </c>
      <c r="X16" s="1582">
        <f t="shared" si="30"/>
        <v>1704489.6173192565</v>
      </c>
      <c r="Y16" s="1582">
        <f t="shared" si="30"/>
        <v>897465.47278552665</v>
      </c>
      <c r="Z16" s="1582">
        <f t="shared" si="30"/>
        <v>807024.14453372976</v>
      </c>
      <c r="AA16" s="1582">
        <f t="shared" si="30"/>
        <v>3714009.7002011612</v>
      </c>
      <c r="AB16" s="1582">
        <f t="shared" si="30"/>
        <v>2217729.6968442537</v>
      </c>
      <c r="AC16" s="1582">
        <f t="shared" si="30"/>
        <v>1289788.5897761178</v>
      </c>
      <c r="AD16" s="1582">
        <f t="shared" si="30"/>
        <v>1165162.8983218367</v>
      </c>
      <c r="AE16" s="1582">
        <f t="shared" si="30"/>
        <v>1090455.6138745963</v>
      </c>
      <c r="AF16" s="1582">
        <f t="shared" si="30"/>
        <v>3497477.4983698879</v>
      </c>
      <c r="AG16" s="1582">
        <f t="shared" si="30"/>
        <v>2196173.5727861673</v>
      </c>
      <c r="AH16" s="1582">
        <f t="shared" si="30"/>
        <v>893680.48932544969</v>
      </c>
      <c r="AI16" s="1582">
        <f t="shared" si="30"/>
        <v>1180250.2237061532</v>
      </c>
      <c r="AJ16" s="1582">
        <f t="shared" si="30"/>
        <v>3150806.2167034457</v>
      </c>
      <c r="AK16" s="1582">
        <f t="shared" si="30"/>
        <v>1654875.1649820548</v>
      </c>
      <c r="AL16" s="1582">
        <f t="shared" si="4"/>
        <v>43877498.949469283</v>
      </c>
      <c r="AM16" s="1582">
        <f t="shared" ref="AM16" si="31">SUM(AM79:AM82)</f>
        <v>180189.30717006524</v>
      </c>
      <c r="AN16" s="1582">
        <f t="shared" si="6"/>
        <v>44057688.256639346</v>
      </c>
      <c r="AO16" s="1589">
        <f t="shared" si="9"/>
        <v>0.79827361320347168</v>
      </c>
      <c r="AP16" s="742"/>
      <c r="AQ16" s="742"/>
    </row>
    <row r="17" spans="1:43">
      <c r="A17" s="1587">
        <v>2020</v>
      </c>
      <c r="B17" s="1547" t="s">
        <v>9805</v>
      </c>
      <c r="C17" s="1656">
        <f t="shared" si="0"/>
        <v>41952645.66042573</v>
      </c>
      <c r="D17" s="1582">
        <f>SUM(D83:D86)</f>
        <v>154880.0458427713</v>
      </c>
      <c r="E17" s="1582">
        <f t="shared" ref="E17:AK17" si="32">SUM(E83:E86)</f>
        <v>8805.1634185679923</v>
      </c>
      <c r="F17" s="1582">
        <f t="shared" si="32"/>
        <v>50778.695597698665</v>
      </c>
      <c r="G17" s="1582">
        <f t="shared" si="32"/>
        <v>12073.933925029824</v>
      </c>
      <c r="H17" s="1582">
        <f t="shared" si="32"/>
        <v>2122651.185532683</v>
      </c>
      <c r="I17" s="1582">
        <f t="shared" si="32"/>
        <v>111780.98677148116</v>
      </c>
      <c r="J17" s="1582">
        <f t="shared" si="32"/>
        <v>300480.20375476277</v>
      </c>
      <c r="K17" s="1582">
        <f t="shared" si="32"/>
        <v>2098359.6192413261</v>
      </c>
      <c r="L17" s="1582">
        <f t="shared" si="32"/>
        <v>143584.05956955688</v>
      </c>
      <c r="M17" s="1582">
        <f t="shared" si="32"/>
        <v>315404.20915436966</v>
      </c>
      <c r="N17" s="1582">
        <f t="shared" si="32"/>
        <v>1744662.9239084751</v>
      </c>
      <c r="O17" s="1582">
        <f t="shared" si="32"/>
        <v>814382.19738268747</v>
      </c>
      <c r="P17" s="1582">
        <f t="shared" si="32"/>
        <v>2629838.3296516603</v>
      </c>
      <c r="Q17" s="1582">
        <f t="shared" si="32"/>
        <v>360222.95320980856</v>
      </c>
      <c r="R17" s="1582">
        <f t="shared" si="32"/>
        <v>1311977.3527851971</v>
      </c>
      <c r="S17" s="1582">
        <f t="shared" si="32"/>
        <v>430983.48673019448</v>
      </c>
      <c r="T17" s="1582">
        <f t="shared" si="32"/>
        <v>1639407.7757716184</v>
      </c>
      <c r="U17" s="1582">
        <f t="shared" si="32"/>
        <v>154378.72863383158</v>
      </c>
      <c r="V17" s="1582">
        <f t="shared" si="32"/>
        <v>929398.78102371283</v>
      </c>
      <c r="W17" s="1582">
        <f t="shared" si="32"/>
        <v>2183860.3209211305</v>
      </c>
      <c r="X17" s="1582">
        <f t="shared" si="32"/>
        <v>1676209.7982292953</v>
      </c>
      <c r="Y17" s="1582">
        <f t="shared" si="32"/>
        <v>894285.84768015449</v>
      </c>
      <c r="Z17" s="1582">
        <f t="shared" si="32"/>
        <v>781923.95054914069</v>
      </c>
      <c r="AA17" s="1582">
        <f t="shared" si="32"/>
        <v>3524331.4046056587</v>
      </c>
      <c r="AB17" s="1582">
        <f t="shared" si="32"/>
        <v>1726848.4355384207</v>
      </c>
      <c r="AC17" s="1582">
        <f t="shared" si="32"/>
        <v>975331.38282246236</v>
      </c>
      <c r="AD17" s="1582">
        <f t="shared" si="32"/>
        <v>1197311.368419379</v>
      </c>
      <c r="AE17" s="1582">
        <f t="shared" si="32"/>
        <v>1106526.3662714253</v>
      </c>
      <c r="AF17" s="1582">
        <f t="shared" si="32"/>
        <v>3542387.1231365474</v>
      </c>
      <c r="AG17" s="1582">
        <f t="shared" si="32"/>
        <v>2110190.7185319699</v>
      </c>
      <c r="AH17" s="1582">
        <f t="shared" si="32"/>
        <v>895790.22829542914</v>
      </c>
      <c r="AI17" s="1582">
        <f t="shared" si="32"/>
        <v>1249541.165718921</v>
      </c>
      <c r="AJ17" s="1582">
        <f t="shared" si="32"/>
        <v>3157887.4510818082</v>
      </c>
      <c r="AK17" s="1582">
        <f t="shared" si="32"/>
        <v>1413094.7968856867</v>
      </c>
      <c r="AL17" s="1582">
        <f t="shared" si="4"/>
        <v>41769570.99059286</v>
      </c>
      <c r="AM17" s="1582">
        <f t="shared" ref="AM17" si="33">SUM(AM83:AM86)</f>
        <v>183074.66983287252</v>
      </c>
      <c r="AN17" s="1582">
        <f t="shared" si="6"/>
        <v>41952645.66042573</v>
      </c>
      <c r="AO17" s="1589">
        <f t="shared" si="9"/>
        <v>-4.77792339886647</v>
      </c>
      <c r="AP17" s="742"/>
      <c r="AQ17" s="742"/>
    </row>
    <row r="18" spans="1:43">
      <c r="A18" s="1594">
        <v>2021</v>
      </c>
      <c r="B18" s="1595" t="s">
        <v>9806</v>
      </c>
      <c r="C18" s="1656">
        <f t="shared" si="0"/>
        <v>43803238.535263769</v>
      </c>
      <c r="D18" s="1582">
        <f>SUM(D87:D90)</f>
        <v>158386.48611011979</v>
      </c>
      <c r="E18" s="1582">
        <f t="shared" ref="E18:AK18" si="34">SUM(E87:E90)</f>
        <v>10608.511906432019</v>
      </c>
      <c r="F18" s="1582">
        <f t="shared" si="34"/>
        <v>41063.564480413246</v>
      </c>
      <c r="G18" s="1582">
        <f t="shared" si="34"/>
        <v>12057.798283428341</v>
      </c>
      <c r="H18" s="1582">
        <f t="shared" si="34"/>
        <v>2148467.2305034436</v>
      </c>
      <c r="I18" s="1582">
        <f t="shared" si="34"/>
        <v>106978.56060450844</v>
      </c>
      <c r="J18" s="1582">
        <f t="shared" si="34"/>
        <v>308246.12871447799</v>
      </c>
      <c r="K18" s="1582">
        <f t="shared" si="34"/>
        <v>2326317.98395479</v>
      </c>
      <c r="L18" s="1582">
        <f t="shared" si="34"/>
        <v>165021.53189375676</v>
      </c>
      <c r="M18" s="1582">
        <f t="shared" si="34"/>
        <v>328056.79453959165</v>
      </c>
      <c r="N18" s="1582">
        <f t="shared" si="34"/>
        <v>2325438.6965698046</v>
      </c>
      <c r="O18" s="1582">
        <f t="shared" si="34"/>
        <v>847011.75151045737</v>
      </c>
      <c r="P18" s="1582">
        <f t="shared" si="34"/>
        <v>3002634.8824216058</v>
      </c>
      <c r="Q18" s="1582">
        <f t="shared" si="34"/>
        <v>395452.27517880464</v>
      </c>
      <c r="R18" s="1582">
        <f t="shared" si="34"/>
        <v>1460124.5452349305</v>
      </c>
      <c r="S18" s="1582">
        <f t="shared" si="34"/>
        <v>452588.0164813177</v>
      </c>
      <c r="T18" s="1582">
        <f t="shared" si="34"/>
        <v>1422436.0731600467</v>
      </c>
      <c r="U18" s="1582">
        <f t="shared" si="34"/>
        <v>126789.58447731513</v>
      </c>
      <c r="V18" s="1582">
        <f t="shared" si="34"/>
        <v>1010614.7333913199</v>
      </c>
      <c r="W18" s="1582">
        <f t="shared" si="34"/>
        <v>2245387.3765464723</v>
      </c>
      <c r="X18" s="1582">
        <f t="shared" si="34"/>
        <v>1655659.6003455946</v>
      </c>
      <c r="Y18" s="1582">
        <f t="shared" si="34"/>
        <v>819634.76879953034</v>
      </c>
      <c r="Z18" s="1582">
        <f t="shared" si="34"/>
        <v>836024.83154606423</v>
      </c>
      <c r="AA18" s="1582">
        <f t="shared" si="34"/>
        <v>3610955.0649905396</v>
      </c>
      <c r="AB18" s="1582">
        <f t="shared" si="34"/>
        <v>1886932.5147601622</v>
      </c>
      <c r="AC18" s="1582">
        <f t="shared" si="34"/>
        <v>869553.09789577383</v>
      </c>
      <c r="AD18" s="1582">
        <f t="shared" si="34"/>
        <v>1242993.2453240436</v>
      </c>
      <c r="AE18" s="1582">
        <f t="shared" si="34"/>
        <v>1094533.4102234123</v>
      </c>
      <c r="AF18" s="1582">
        <f t="shared" si="34"/>
        <v>3580681.1973063303</v>
      </c>
      <c r="AG18" s="1582">
        <f t="shared" si="34"/>
        <v>2273096.3599169087</v>
      </c>
      <c r="AH18" s="1582">
        <f t="shared" si="34"/>
        <v>914552.73539815308</v>
      </c>
      <c r="AI18" s="1582">
        <f t="shared" si="34"/>
        <v>1138676.384318664</v>
      </c>
      <c r="AJ18" s="1582">
        <f t="shared" si="34"/>
        <v>3248619.4973316742</v>
      </c>
      <c r="AK18" s="1582">
        <f t="shared" si="34"/>
        <v>1500631.1241352106</v>
      </c>
      <c r="AL18" s="1582">
        <f t="shared" si="4"/>
        <v>43566226.358255103</v>
      </c>
      <c r="AM18" s="1582">
        <f t="shared" ref="AM18" si="35">SUM(AM87:AM90)</f>
        <v>237012.17700866956</v>
      </c>
      <c r="AN18" s="1582">
        <f t="shared" si="6"/>
        <v>43803238.535263769</v>
      </c>
      <c r="AO18" s="1589">
        <f t="shared" si="9"/>
        <v>4.4111470104106409</v>
      </c>
      <c r="AP18" s="742"/>
      <c r="AQ18" s="742"/>
    </row>
    <row r="19" spans="1:43">
      <c r="A19" s="1590">
        <v>2022</v>
      </c>
      <c r="B19" s="1591" t="s">
        <v>9807</v>
      </c>
      <c r="C19" s="1656">
        <f t="shared" si="0"/>
        <v>46592695.45552136</v>
      </c>
      <c r="D19" s="1582">
        <f>SUM(D91:D94)</f>
        <v>164310.91800175601</v>
      </c>
      <c r="E19" s="1582">
        <f t="shared" ref="E19:AK19" si="36">SUM(E91:E94)</f>
        <v>11745.461146365909</v>
      </c>
      <c r="F19" s="1582">
        <f t="shared" si="36"/>
        <v>41919.464990139124</v>
      </c>
      <c r="G19" s="1582">
        <f t="shared" si="36"/>
        <v>13837.705616721314</v>
      </c>
      <c r="H19" s="1582">
        <f t="shared" si="36"/>
        <v>2260421.4978237082</v>
      </c>
      <c r="I19" s="1582">
        <f t="shared" si="36"/>
        <v>107796.75987252516</v>
      </c>
      <c r="J19" s="1582">
        <f t="shared" si="36"/>
        <v>324873.76877318544</v>
      </c>
      <c r="K19" s="1582">
        <f t="shared" si="36"/>
        <v>2401963.9563175966</v>
      </c>
      <c r="L19" s="1582">
        <f t="shared" si="36"/>
        <v>245881.06226111189</v>
      </c>
      <c r="M19" s="1582">
        <f t="shared" si="36"/>
        <v>365563.19849082368</v>
      </c>
      <c r="N19" s="1582">
        <f t="shared" si="36"/>
        <v>2787261.5629893513</v>
      </c>
      <c r="O19" s="1582">
        <f t="shared" si="36"/>
        <v>949537.05400297791</v>
      </c>
      <c r="P19" s="1582">
        <f t="shared" si="36"/>
        <v>3085137.603942276</v>
      </c>
      <c r="Q19" s="1582">
        <f t="shared" si="36"/>
        <v>371025.50292294053</v>
      </c>
      <c r="R19" s="1582">
        <f t="shared" si="36"/>
        <v>1699923.0332723816</v>
      </c>
      <c r="S19" s="1582">
        <f t="shared" si="36"/>
        <v>437788.80133851111</v>
      </c>
      <c r="T19" s="1582">
        <f t="shared" si="36"/>
        <v>1688276.7336698654</v>
      </c>
      <c r="U19" s="1582">
        <f t="shared" si="36"/>
        <v>123024.74182818925</v>
      </c>
      <c r="V19" s="1582">
        <f t="shared" si="36"/>
        <v>1105873.9464013102</v>
      </c>
      <c r="W19" s="1582">
        <f t="shared" si="36"/>
        <v>2252704.3966540284</v>
      </c>
      <c r="X19" s="1582">
        <f t="shared" si="36"/>
        <v>1765374.7306928262</v>
      </c>
      <c r="Y19" s="1582">
        <f t="shared" si="36"/>
        <v>869490.70816383883</v>
      </c>
      <c r="Z19" s="1582">
        <f t="shared" si="36"/>
        <v>895884.02252898749</v>
      </c>
      <c r="AA19" s="1582">
        <f t="shared" si="36"/>
        <v>3777420.865942088</v>
      </c>
      <c r="AB19" s="1582">
        <f t="shared" si="36"/>
        <v>2008813.6473878357</v>
      </c>
      <c r="AC19" s="1582">
        <f t="shared" si="36"/>
        <v>1070338.0721683938</v>
      </c>
      <c r="AD19" s="1582">
        <f t="shared" si="36"/>
        <v>1167426.1181959198</v>
      </c>
      <c r="AE19" s="1582">
        <f t="shared" si="36"/>
        <v>1170884.8921917337</v>
      </c>
      <c r="AF19" s="1582">
        <f t="shared" si="36"/>
        <v>3623248.3032119879</v>
      </c>
      <c r="AG19" s="1582">
        <f t="shared" si="36"/>
        <v>2375594.0310944337</v>
      </c>
      <c r="AH19" s="1582">
        <f t="shared" si="36"/>
        <v>943415.82536921278</v>
      </c>
      <c r="AI19" s="1582">
        <f t="shared" si="36"/>
        <v>1288686.3787810011</v>
      </c>
      <c r="AJ19" s="1582">
        <f t="shared" si="36"/>
        <v>3329169.2103586821</v>
      </c>
      <c r="AK19" s="1582">
        <f t="shared" si="36"/>
        <v>1555136.3583002342</v>
      </c>
      <c r="AL19" s="1582">
        <f t="shared" si="4"/>
        <v>46279750.334702924</v>
      </c>
      <c r="AM19" s="1582">
        <f t="shared" ref="AM19" si="37">SUM(AM91:AM94)</f>
        <v>312945.12081843882</v>
      </c>
      <c r="AN19" s="1582">
        <f t="shared" si="6"/>
        <v>46592695.45552136</v>
      </c>
      <c r="AO19" s="1589">
        <f t="shared" si="9"/>
        <v>6.3681522497747292</v>
      </c>
      <c r="AP19" s="742"/>
      <c r="AQ19" s="742"/>
    </row>
    <row r="20" spans="1:43">
      <c r="A20" s="1587">
        <v>2023</v>
      </c>
      <c r="B20" s="740" t="s">
        <v>10051</v>
      </c>
      <c r="C20" s="1656">
        <f t="shared" si="0"/>
        <v>47476480.478806019</v>
      </c>
      <c r="D20" s="1582">
        <f>SUM(D95:D98)</f>
        <v>173486.6111222831</v>
      </c>
      <c r="E20" s="1582">
        <f t="shared" ref="E20:AK20" si="38">SUM(E95:E98)</f>
        <v>9267.8211956274845</v>
      </c>
      <c r="F20" s="1582">
        <f t="shared" si="38"/>
        <v>50341.616625654082</v>
      </c>
      <c r="G20" s="1582">
        <f t="shared" si="38"/>
        <v>11389.514928830995</v>
      </c>
      <c r="H20" s="1582">
        <f t="shared" si="38"/>
        <v>2366473.5398150962</v>
      </c>
      <c r="I20" s="1582">
        <f t="shared" si="38"/>
        <v>111547.19739848393</v>
      </c>
      <c r="J20" s="1582">
        <f t="shared" si="38"/>
        <v>350410.23565030919</v>
      </c>
      <c r="K20" s="1582">
        <f t="shared" si="38"/>
        <v>2647367.9483824703</v>
      </c>
      <c r="L20" s="1582">
        <f t="shared" si="38"/>
        <v>232429.01322067957</v>
      </c>
      <c r="M20" s="1582">
        <f t="shared" si="38"/>
        <v>316638.71828349505</v>
      </c>
      <c r="N20" s="1582">
        <f t="shared" si="38"/>
        <v>2869434.9676709501</v>
      </c>
      <c r="O20" s="1582">
        <f t="shared" si="38"/>
        <v>815810.87228958495</v>
      </c>
      <c r="P20" s="1582">
        <f t="shared" si="38"/>
        <v>2863914.4636418764</v>
      </c>
      <c r="Q20" s="1582">
        <f t="shared" si="38"/>
        <v>290974.99883986241</v>
      </c>
      <c r="R20" s="1582">
        <f t="shared" si="38"/>
        <v>1924401.2715621775</v>
      </c>
      <c r="S20" s="1582">
        <f t="shared" si="38"/>
        <v>480183.86277602217</v>
      </c>
      <c r="T20" s="1582">
        <f t="shared" si="38"/>
        <v>1893026.0641383524</v>
      </c>
      <c r="U20" s="1582">
        <f t="shared" si="38"/>
        <v>133903.19982463599</v>
      </c>
      <c r="V20" s="1582">
        <f t="shared" si="38"/>
        <v>1068366.7206865575</v>
      </c>
      <c r="W20" s="1582">
        <f t="shared" si="38"/>
        <v>2410134.4393009995</v>
      </c>
      <c r="X20" s="1582">
        <f t="shared" si="38"/>
        <v>1549931.2574552975</v>
      </c>
      <c r="Y20" s="1582">
        <f t="shared" si="38"/>
        <v>708051.88947576634</v>
      </c>
      <c r="Z20" s="1582">
        <f t="shared" si="38"/>
        <v>841879.36797953129</v>
      </c>
      <c r="AA20" s="1582">
        <f t="shared" si="38"/>
        <v>3922172.9233819749</v>
      </c>
      <c r="AB20" s="1582">
        <f t="shared" si="38"/>
        <v>2177387.2872068081</v>
      </c>
      <c r="AC20" s="1582">
        <f t="shared" si="38"/>
        <v>1045036.3009384787</v>
      </c>
      <c r="AD20" s="1582">
        <f t="shared" si="38"/>
        <v>1176347.2275225413</v>
      </c>
      <c r="AE20" s="1582">
        <f t="shared" si="38"/>
        <v>1219769.556505614</v>
      </c>
      <c r="AF20" s="1582">
        <f t="shared" si="38"/>
        <v>3649106.7051708214</v>
      </c>
      <c r="AG20" s="1582">
        <f t="shared" si="38"/>
        <v>2381338.506487879</v>
      </c>
      <c r="AH20" s="1582">
        <f t="shared" si="38"/>
        <v>962427.46131884982</v>
      </c>
      <c r="AI20" s="1582">
        <f t="shared" si="38"/>
        <v>1347090.6351101946</v>
      </c>
      <c r="AJ20" s="1582">
        <f t="shared" si="38"/>
        <v>3479205.4856379759</v>
      </c>
      <c r="AK20" s="1582">
        <f t="shared" si="38"/>
        <v>1660938.5731516231</v>
      </c>
      <c r="AL20" s="1582">
        <f t="shared" si="4"/>
        <v>47140186.254697308</v>
      </c>
      <c r="AM20" s="1582">
        <f t="shared" ref="AM20" si="39">SUM(AM95:AM98)</f>
        <v>336294.22410871263</v>
      </c>
      <c r="AN20" s="1582">
        <f t="shared" si="6"/>
        <v>47476480.478806019</v>
      </c>
      <c r="AO20" s="1589">
        <f t="shared" si="9"/>
        <v>1.8968317128772765</v>
      </c>
    </row>
    <row r="21" spans="1:43">
      <c r="A21" s="1596">
        <v>2024</v>
      </c>
      <c r="B21" s="1597" t="s">
        <v>11749</v>
      </c>
      <c r="C21" s="1656">
        <f t="shared" si="0"/>
        <v>49576311.759884283</v>
      </c>
      <c r="D21" s="1583">
        <f>SUM(D99:D102)</f>
        <v>173906.77267302893</v>
      </c>
      <c r="E21" s="1583">
        <f t="shared" ref="E21:AK21" si="40">SUM(E99:E102)</f>
        <v>8386.789317548526</v>
      </c>
      <c r="F21" s="1583">
        <f t="shared" si="40"/>
        <v>46956.677443875538</v>
      </c>
      <c r="G21" s="1583">
        <f t="shared" si="40"/>
        <v>14068.55350170243</v>
      </c>
      <c r="H21" s="1583">
        <f t="shared" si="40"/>
        <v>2536289.8372684973</v>
      </c>
      <c r="I21" s="1583">
        <f t="shared" si="40"/>
        <v>109449.88473961889</v>
      </c>
      <c r="J21" s="1583">
        <f t="shared" si="40"/>
        <v>363667.86447963142</v>
      </c>
      <c r="K21" s="1583">
        <f t="shared" si="40"/>
        <v>2667890.48946667</v>
      </c>
      <c r="L21" s="1583">
        <f t="shared" si="40"/>
        <v>235056.50599616297</v>
      </c>
      <c r="M21" s="1583">
        <f t="shared" si="40"/>
        <v>307708.34050611994</v>
      </c>
      <c r="N21" s="1583">
        <f t="shared" si="40"/>
        <v>2970510.3594947192</v>
      </c>
      <c r="O21" s="1583">
        <f t="shared" si="40"/>
        <v>791936.06768097321</v>
      </c>
      <c r="P21" s="1583">
        <f t="shared" si="40"/>
        <v>2825561.9539324422</v>
      </c>
      <c r="Q21" s="1583">
        <f t="shared" si="40"/>
        <v>274442.13366864005</v>
      </c>
      <c r="R21" s="1583">
        <f t="shared" si="40"/>
        <v>1893048.013348321</v>
      </c>
      <c r="S21" s="1583">
        <f t="shared" si="40"/>
        <v>389187.16612315201</v>
      </c>
      <c r="T21" s="1583">
        <f t="shared" si="40"/>
        <v>1998642.9971041144</v>
      </c>
      <c r="U21" s="1583">
        <f t="shared" si="40"/>
        <v>143823.52770235637</v>
      </c>
      <c r="V21" s="1583">
        <f t="shared" si="40"/>
        <v>1045015.1820327051</v>
      </c>
      <c r="W21" s="1583">
        <f t="shared" si="40"/>
        <v>2651099.4414418647</v>
      </c>
      <c r="X21" s="1583">
        <f t="shared" si="40"/>
        <v>1610964.0434760128</v>
      </c>
      <c r="Y21" s="1583">
        <f t="shared" si="40"/>
        <v>777553.79387651081</v>
      </c>
      <c r="Z21" s="1583">
        <f t="shared" si="40"/>
        <v>833410.24959950172</v>
      </c>
      <c r="AA21" s="1583">
        <f t="shared" si="40"/>
        <v>4027526.9436429078</v>
      </c>
      <c r="AB21" s="1583">
        <f t="shared" si="40"/>
        <v>2126000.8334817011</v>
      </c>
      <c r="AC21" s="1583">
        <f t="shared" si="40"/>
        <v>1005481.307753633</v>
      </c>
      <c r="AD21" s="1583">
        <f t="shared" si="40"/>
        <v>1418598.6793311993</v>
      </c>
      <c r="AE21" s="1583">
        <f t="shared" si="40"/>
        <v>1242240.6317453738</v>
      </c>
      <c r="AF21" s="1583">
        <f t="shared" si="40"/>
        <v>3673499.2023602603</v>
      </c>
      <c r="AG21" s="1583">
        <f t="shared" si="40"/>
        <v>2783358.3040796909</v>
      </c>
      <c r="AH21" s="1583">
        <f t="shared" si="40"/>
        <v>983369.36272223375</v>
      </c>
      <c r="AI21" s="1583">
        <f t="shared" si="40"/>
        <v>1725693.6339249541</v>
      </c>
      <c r="AJ21" s="1583">
        <f t="shared" si="40"/>
        <v>3900967.4241377763</v>
      </c>
      <c r="AK21" s="1583">
        <f t="shared" si="40"/>
        <v>1669775.5959257614</v>
      </c>
      <c r="AL21" s="1583">
        <f t="shared" si="4"/>
        <v>49225088.563979656</v>
      </c>
      <c r="AM21" s="1583">
        <f t="shared" ref="AM21" si="41">SUM(AM99:AM102)</f>
        <v>351223.19590463082</v>
      </c>
      <c r="AN21" s="1583">
        <f t="shared" si="6"/>
        <v>49576311.759884283</v>
      </c>
      <c r="AO21" s="1598">
        <f t="shared" si="9"/>
        <v>4.4228874168877157</v>
      </c>
    </row>
    <row r="22" spans="1:43">
      <c r="A22" s="1642">
        <v>2025</v>
      </c>
      <c r="B22" s="1643" t="s">
        <v>11858</v>
      </c>
      <c r="C22" s="1656">
        <f t="shared" si="0"/>
        <v>49661118.282076433</v>
      </c>
      <c r="D22" s="1583">
        <f>SUM(D103:D106)</f>
        <v>219530.84674461774</v>
      </c>
      <c r="E22" s="1583">
        <f t="shared" ref="E22:AM22" si="42">SUM(E103:E106)</f>
        <v>8699.8202308015516</v>
      </c>
      <c r="F22" s="1583">
        <f t="shared" si="42"/>
        <v>47461.93446578861</v>
      </c>
      <c r="G22" s="1583">
        <f t="shared" si="42"/>
        <v>13067.758228428034</v>
      </c>
      <c r="H22" s="1583">
        <f t="shared" si="42"/>
        <v>2711361.9525548192</v>
      </c>
      <c r="I22" s="1583">
        <f t="shared" si="42"/>
        <v>105271.11097323647</v>
      </c>
      <c r="J22" s="1583">
        <f t="shared" si="42"/>
        <v>371518.80018871702</v>
      </c>
      <c r="K22" s="1583">
        <f t="shared" si="42"/>
        <v>2564004.5739684133</v>
      </c>
      <c r="L22" s="1583">
        <f t="shared" si="42"/>
        <v>257525.97797604278</v>
      </c>
      <c r="M22" s="1583">
        <f t="shared" si="42"/>
        <v>326316.03520601179</v>
      </c>
      <c r="N22" s="1583">
        <f t="shared" si="42"/>
        <v>3035201.6570770256</v>
      </c>
      <c r="O22" s="1583">
        <f t="shared" si="42"/>
        <v>835170.43456902285</v>
      </c>
      <c r="P22" s="1583">
        <f t="shared" si="42"/>
        <v>2911668.1750003397</v>
      </c>
      <c r="Q22" s="1583">
        <f t="shared" si="42"/>
        <v>280679.68335464539</v>
      </c>
      <c r="R22" s="1583">
        <f t="shared" si="42"/>
        <v>1937754.3468796788</v>
      </c>
      <c r="S22" s="1583">
        <f t="shared" si="42"/>
        <v>390646.23248020728</v>
      </c>
      <c r="T22" s="1583">
        <f t="shared" si="42"/>
        <v>1999931.5088205764</v>
      </c>
      <c r="U22" s="1583">
        <f t="shared" si="42"/>
        <v>142545.14473325646</v>
      </c>
      <c r="V22" s="1583">
        <f t="shared" si="42"/>
        <v>1095423.9380575977</v>
      </c>
      <c r="W22" s="1583">
        <f t="shared" si="42"/>
        <v>2680858.7380578821</v>
      </c>
      <c r="X22" s="1583">
        <f t="shared" si="42"/>
        <v>1711612.9276603311</v>
      </c>
      <c r="Y22" s="1583">
        <f t="shared" si="42"/>
        <v>846151.89408300119</v>
      </c>
      <c r="Z22" s="1583">
        <f t="shared" si="42"/>
        <v>865054.03357733018</v>
      </c>
      <c r="AA22" s="1583">
        <f t="shared" si="42"/>
        <v>3950733.5386623172</v>
      </c>
      <c r="AB22" s="1583">
        <f t="shared" si="42"/>
        <v>2138762.723433462</v>
      </c>
      <c r="AC22" s="1583">
        <f t="shared" si="42"/>
        <v>1154825.1893084811</v>
      </c>
      <c r="AD22" s="1583">
        <f t="shared" si="42"/>
        <v>1592386.4854467495</v>
      </c>
      <c r="AE22" s="1583">
        <f t="shared" si="42"/>
        <v>1272246.0669365493</v>
      </c>
      <c r="AF22" s="1583">
        <f t="shared" si="42"/>
        <v>3721849.9775520652</v>
      </c>
      <c r="AG22" s="1583">
        <f t="shared" si="42"/>
        <v>3200004.6325701298</v>
      </c>
      <c r="AH22" s="1583">
        <f t="shared" si="42"/>
        <v>1012662.8878953193</v>
      </c>
      <c r="AI22" s="1583">
        <f t="shared" si="42"/>
        <v>1886875.168116214</v>
      </c>
      <c r="AJ22" s="1583">
        <f t="shared" si="42"/>
        <v>3855922.8265382298</v>
      </c>
      <c r="AK22" s="1583">
        <f t="shared" si="42"/>
        <v>1884497.9888583904</v>
      </c>
      <c r="AL22" s="1583">
        <f t="shared" si="42"/>
        <v>49297478.082545348</v>
      </c>
      <c r="AM22" s="1583">
        <f t="shared" si="42"/>
        <v>363640.1995310823</v>
      </c>
      <c r="AN22" s="1583">
        <f>AL22+AM22</f>
        <v>49661118.282076433</v>
      </c>
      <c r="AO22" s="1598">
        <f t="shared" si="9"/>
        <v>0.17106258852594464</v>
      </c>
    </row>
    <row r="24" spans="1:43">
      <c r="A24" s="755" t="s">
        <v>11820</v>
      </c>
      <c r="B24" s="746"/>
      <c r="C24" s="746"/>
      <c r="D24" s="746"/>
      <c r="E24" s="746"/>
      <c r="F24" s="746"/>
      <c r="G24" s="135"/>
      <c r="H24" s="746" t="s">
        <v>11821</v>
      </c>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6"/>
      <c r="AI24" s="746"/>
      <c r="AJ24" s="746"/>
      <c r="AK24" s="746"/>
      <c r="AL24" s="746" t="s">
        <v>9654</v>
      </c>
      <c r="AM24" s="746"/>
      <c r="AN24" s="746"/>
      <c r="AO24" s="746"/>
    </row>
    <row r="25" spans="1:43">
      <c r="A25" s="1716" t="s">
        <v>11822</v>
      </c>
      <c r="B25" s="1717"/>
      <c r="C25" s="1650"/>
      <c r="D25" s="711" t="s">
        <v>11822</v>
      </c>
      <c r="E25" s="711" t="s">
        <v>11822</v>
      </c>
      <c r="F25" s="711" t="s">
        <v>11822</v>
      </c>
      <c r="G25" s="711" t="s">
        <v>11822</v>
      </c>
      <c r="H25" s="711" t="s">
        <v>9672</v>
      </c>
      <c r="I25" s="711" t="s">
        <v>11822</v>
      </c>
      <c r="J25" s="711" t="s">
        <v>11822</v>
      </c>
      <c r="K25" s="711" t="s">
        <v>11822</v>
      </c>
      <c r="L25" s="711" t="s">
        <v>11822</v>
      </c>
      <c r="M25" s="711" t="s">
        <v>11822</v>
      </c>
      <c r="N25" s="711" t="s">
        <v>11822</v>
      </c>
      <c r="O25" s="711" t="s">
        <v>11822</v>
      </c>
      <c r="P25" s="711" t="s">
        <v>11822</v>
      </c>
      <c r="Q25" s="711" t="s">
        <v>11822</v>
      </c>
      <c r="R25" s="711" t="s">
        <v>11822</v>
      </c>
      <c r="S25" s="711" t="s">
        <v>11822</v>
      </c>
      <c r="T25" s="711" t="s">
        <v>11822</v>
      </c>
      <c r="U25" s="711"/>
      <c r="V25" s="711" t="s">
        <v>11822</v>
      </c>
      <c r="W25" s="711" t="s">
        <v>11822</v>
      </c>
      <c r="X25" s="711" t="s">
        <v>11822</v>
      </c>
      <c r="Y25" s="711"/>
      <c r="Z25" s="711"/>
      <c r="AA25" s="711" t="s">
        <v>11822</v>
      </c>
      <c r="AB25" s="711" t="s">
        <v>11822</v>
      </c>
      <c r="AC25" s="711" t="s">
        <v>11822</v>
      </c>
      <c r="AD25" s="711" t="s">
        <v>11822</v>
      </c>
      <c r="AE25" s="711" t="s">
        <v>11822</v>
      </c>
      <c r="AF25" s="711" t="s">
        <v>11822</v>
      </c>
      <c r="AG25" s="711" t="s">
        <v>11822</v>
      </c>
      <c r="AH25" s="711" t="s">
        <v>11822</v>
      </c>
      <c r="AI25" s="711" t="s">
        <v>11822</v>
      </c>
      <c r="AJ25" s="711" t="s">
        <v>11822</v>
      </c>
      <c r="AK25" s="711" t="s">
        <v>11822</v>
      </c>
      <c r="AL25" s="1552" t="s">
        <v>11822</v>
      </c>
      <c r="AM25" s="1552" t="s">
        <v>11822</v>
      </c>
      <c r="AN25" s="1552" t="s">
        <v>11822</v>
      </c>
      <c r="AO25" s="1553"/>
    </row>
    <row r="26" spans="1:43" ht="39">
      <c r="A26" s="1718"/>
      <c r="B26" s="1719"/>
      <c r="C26" s="1651"/>
      <c r="D26" s="1554" t="s">
        <v>20</v>
      </c>
      <c r="E26" s="1554" t="s">
        <v>79</v>
      </c>
      <c r="F26" s="1554" t="s">
        <v>9671</v>
      </c>
      <c r="G26" s="1554" t="s">
        <v>9763</v>
      </c>
      <c r="H26" s="1555" t="s">
        <v>9764</v>
      </c>
      <c r="I26" s="1555" t="s">
        <v>9765</v>
      </c>
      <c r="J26" s="1555" t="s">
        <v>9766</v>
      </c>
      <c r="K26" s="1555" t="s">
        <v>9767</v>
      </c>
      <c r="L26" s="1555" t="s">
        <v>9768</v>
      </c>
      <c r="M26" s="1555" t="s">
        <v>11823</v>
      </c>
      <c r="N26" s="1555" t="s">
        <v>9770</v>
      </c>
      <c r="O26" s="1555" t="s">
        <v>9771</v>
      </c>
      <c r="P26" s="1554" t="s">
        <v>9772</v>
      </c>
      <c r="Q26" s="1555" t="s">
        <v>9913</v>
      </c>
      <c r="R26" s="1555" t="s">
        <v>9774</v>
      </c>
      <c r="S26" s="1555" t="s">
        <v>9775</v>
      </c>
      <c r="T26" s="1555" t="s">
        <v>9776</v>
      </c>
      <c r="U26" s="1555" t="s">
        <v>9777</v>
      </c>
      <c r="V26" s="1555" t="s">
        <v>9778</v>
      </c>
      <c r="W26" s="1556" t="s">
        <v>9691</v>
      </c>
      <c r="X26" s="1554" t="s">
        <v>9688</v>
      </c>
      <c r="Y26" s="1557" t="s">
        <v>9779</v>
      </c>
      <c r="Z26" s="1558" t="s">
        <v>9780</v>
      </c>
      <c r="AA26" s="1554" t="s">
        <v>9781</v>
      </c>
      <c r="AB26" s="1554" t="s">
        <v>9782</v>
      </c>
      <c r="AC26" s="1554" t="s">
        <v>11824</v>
      </c>
      <c r="AD26" s="1554" t="s">
        <v>9783</v>
      </c>
      <c r="AE26" s="1554" t="s">
        <v>9784</v>
      </c>
      <c r="AF26" s="1554" t="s">
        <v>9785</v>
      </c>
      <c r="AG26" s="1558" t="s">
        <v>9704</v>
      </c>
      <c r="AH26" s="1557" t="s">
        <v>9786</v>
      </c>
      <c r="AI26" s="1554" t="s">
        <v>9705</v>
      </c>
      <c r="AJ26" s="1554" t="s">
        <v>9787</v>
      </c>
      <c r="AK26" s="1554" t="s">
        <v>9788</v>
      </c>
      <c r="AL26" s="1554" t="s">
        <v>9789</v>
      </c>
      <c r="AM26" s="1554" t="s">
        <v>9790</v>
      </c>
      <c r="AN26" s="1554" t="s">
        <v>9791</v>
      </c>
      <c r="AO26" s="1559" t="s">
        <v>11825</v>
      </c>
    </row>
    <row r="27" spans="1:43">
      <c r="A27" s="1560" t="s">
        <v>9808</v>
      </c>
      <c r="B27" s="1561" t="s">
        <v>11826</v>
      </c>
      <c r="C27" s="1561"/>
      <c r="D27" s="1562">
        <v>33565.099806630591</v>
      </c>
      <c r="E27" s="1562">
        <v>2696.7456742303766</v>
      </c>
      <c r="F27" s="1562">
        <v>11791.549291073828</v>
      </c>
      <c r="G27" s="1562">
        <v>3997.4908749916476</v>
      </c>
      <c r="H27" s="1562">
        <v>460566.05181795039</v>
      </c>
      <c r="I27" s="1562">
        <v>31789.266416591701</v>
      </c>
      <c r="J27" s="1562">
        <v>70673.149045788465</v>
      </c>
      <c r="K27" s="1562">
        <v>494674.13297477277</v>
      </c>
      <c r="L27" s="1562">
        <v>34009.434124911531</v>
      </c>
      <c r="M27" s="1562">
        <v>73284.376545645733</v>
      </c>
      <c r="N27" s="1562">
        <v>497157.76788843825</v>
      </c>
      <c r="O27" s="1562">
        <v>190672.34139039073</v>
      </c>
      <c r="P27" s="1562">
        <v>659339.94997985824</v>
      </c>
      <c r="Q27" s="1562">
        <v>86194.47682300811</v>
      </c>
      <c r="R27" s="1562">
        <v>430816.4837933277</v>
      </c>
      <c r="S27" s="1562">
        <v>192711.21953554382</v>
      </c>
      <c r="T27" s="1562">
        <v>312274.12460857787</v>
      </c>
      <c r="U27" s="1584">
        <f>U28</f>
        <v>55656.092240670449</v>
      </c>
      <c r="V27" s="1562">
        <v>236010.89893440512</v>
      </c>
      <c r="W27" s="1562">
        <v>449834.76134895277</v>
      </c>
      <c r="X27" s="1562">
        <f t="shared" ref="X27" si="43">Y27+Z27</f>
        <v>466907.30983773182</v>
      </c>
      <c r="Y27" s="1562">
        <v>301478.80294873635</v>
      </c>
      <c r="Z27" s="1562">
        <v>165428.50688899547</v>
      </c>
      <c r="AA27" s="1562">
        <v>900481.11492403212</v>
      </c>
      <c r="AB27" s="1562">
        <v>592736.13331188657</v>
      </c>
      <c r="AC27" s="1562">
        <v>331017.80225108465</v>
      </c>
      <c r="AD27" s="1562">
        <v>280947.80622141174</v>
      </c>
      <c r="AE27" s="1562">
        <v>268866.93089039682</v>
      </c>
      <c r="AF27" s="1562">
        <v>861113.52686997061</v>
      </c>
      <c r="AG27" s="1562">
        <v>471092.76159572607</v>
      </c>
      <c r="AH27" s="1562">
        <v>203124.57643180259</v>
      </c>
      <c r="AI27" s="1562">
        <v>261600.97504793011</v>
      </c>
      <c r="AJ27" s="1562">
        <v>733990.67405873304</v>
      </c>
      <c r="AK27" s="1562">
        <v>402201.63851834286</v>
      </c>
      <c r="AL27" s="1581">
        <f t="shared" ref="AL27" si="44">SUM(D27:AK27)</f>
        <v>10568703.972912541</v>
      </c>
      <c r="AM27" s="1563">
        <f>ROUND(AL27*AM28/AL28,0)</f>
        <v>27671</v>
      </c>
      <c r="AN27" s="1599">
        <f t="shared" ref="AN27" si="45">AL27+AM27</f>
        <v>10596374.972912541</v>
      </c>
      <c r="AO27" s="1575"/>
    </row>
    <row r="28" spans="1:43">
      <c r="A28" s="1564">
        <v>2006</v>
      </c>
      <c r="B28" s="1565" t="s">
        <v>11831</v>
      </c>
      <c r="C28" s="1565"/>
      <c r="D28" s="1566">
        <v>23415.207206009323</v>
      </c>
      <c r="E28" s="1566">
        <v>4229.5523629668332</v>
      </c>
      <c r="F28" s="1566">
        <v>9120.206653330788</v>
      </c>
      <c r="G28" s="1566">
        <v>4349.0528319633495</v>
      </c>
      <c r="H28" s="1566">
        <v>454895.588657004</v>
      </c>
      <c r="I28" s="1566">
        <v>39005.612260491784</v>
      </c>
      <c r="J28" s="1566">
        <v>84960.323202424886</v>
      </c>
      <c r="K28" s="1566">
        <v>405924.38811425422</v>
      </c>
      <c r="L28" s="1566">
        <v>31191.137825876755</v>
      </c>
      <c r="M28" s="1566">
        <v>82121.948028188126</v>
      </c>
      <c r="N28" s="1566">
        <v>520890.45635262848</v>
      </c>
      <c r="O28" s="1566">
        <v>205242.29850280905</v>
      </c>
      <c r="P28" s="1566">
        <v>636223.88882440003</v>
      </c>
      <c r="Q28" s="1566">
        <v>185466.96084092991</v>
      </c>
      <c r="R28" s="1566">
        <v>343035.39179364825</v>
      </c>
      <c r="S28" s="1566">
        <v>220680.52798873998</v>
      </c>
      <c r="T28" s="1566">
        <v>349175.59203561157</v>
      </c>
      <c r="U28" s="1566">
        <v>55656.092240670449</v>
      </c>
      <c r="V28" s="1566">
        <v>242429.80894042502</v>
      </c>
      <c r="W28" s="1566">
        <v>463884.46537307475</v>
      </c>
      <c r="X28" s="1566">
        <v>310914.58631232521</v>
      </c>
      <c r="Y28" s="1566">
        <v>170647.13443413004</v>
      </c>
      <c r="Z28" s="1566">
        <v>140267.45187819519</v>
      </c>
      <c r="AA28" s="1566">
        <v>749220.1984150504</v>
      </c>
      <c r="AB28" s="1566">
        <v>566764.93167050485</v>
      </c>
      <c r="AC28" s="1566">
        <v>356205.97508590226</v>
      </c>
      <c r="AD28" s="1566">
        <v>261823.20278648316</v>
      </c>
      <c r="AE28" s="1566">
        <v>342030.48754334892</v>
      </c>
      <c r="AF28" s="1566">
        <v>798217.30062484555</v>
      </c>
      <c r="AG28" s="1566">
        <v>375390.46450166369</v>
      </c>
      <c r="AH28" s="1566">
        <v>262195.40695106582</v>
      </c>
      <c r="AI28" s="1566">
        <v>277761.31360376504</v>
      </c>
      <c r="AJ28" s="1566">
        <v>558389.35985009558</v>
      </c>
      <c r="AK28" s="1566">
        <v>477051.31012339913</v>
      </c>
      <c r="AL28" s="1582">
        <v>9697863.0375038963</v>
      </c>
      <c r="AM28" s="1567">
        <v>25390.608507538236</v>
      </c>
      <c r="AN28" s="1600">
        <v>9723253.6460114345</v>
      </c>
      <c r="AO28" s="1576"/>
    </row>
    <row r="29" spans="1:43">
      <c r="A29" s="1564"/>
      <c r="B29" s="1565" t="s">
        <v>11832</v>
      </c>
      <c r="C29" s="1565"/>
      <c r="D29" s="1566">
        <v>31180.178072867431</v>
      </c>
      <c r="E29" s="1566">
        <v>4106.6154668261761</v>
      </c>
      <c r="F29" s="1566">
        <v>12074.2093945221</v>
      </c>
      <c r="G29" s="1566">
        <v>4274.5827492242497</v>
      </c>
      <c r="H29" s="1566">
        <v>452062.29957999248</v>
      </c>
      <c r="I29" s="1566">
        <v>39082.995649089833</v>
      </c>
      <c r="J29" s="1566">
        <v>87124.967029344276</v>
      </c>
      <c r="K29" s="1566">
        <v>389766.74717432656</v>
      </c>
      <c r="L29" s="1566">
        <v>32831.608819798261</v>
      </c>
      <c r="M29" s="1566">
        <v>79244.74541407697</v>
      </c>
      <c r="N29" s="1566">
        <v>546718.93120554485</v>
      </c>
      <c r="O29" s="1566">
        <v>210735.18877599275</v>
      </c>
      <c r="P29" s="1566">
        <v>642588.65780851874</v>
      </c>
      <c r="Q29" s="1566">
        <v>216274.47234055222</v>
      </c>
      <c r="R29" s="1566">
        <v>344015.02540456806</v>
      </c>
      <c r="S29" s="1566">
        <v>174159.22474751671</v>
      </c>
      <c r="T29" s="1566">
        <v>332984.36038237781</v>
      </c>
      <c r="U29" s="1566">
        <v>59227.63114136595</v>
      </c>
      <c r="V29" s="1566">
        <v>240835.07983463039</v>
      </c>
      <c r="W29" s="1566">
        <v>536279.45224463544</v>
      </c>
      <c r="X29" s="1566">
        <v>345977.9354646795</v>
      </c>
      <c r="Y29" s="1566">
        <v>199075.87579284495</v>
      </c>
      <c r="Z29" s="1566">
        <v>146902.05967183458</v>
      </c>
      <c r="AA29" s="1566">
        <v>758988.35392607842</v>
      </c>
      <c r="AB29" s="1566">
        <v>524039.51679268281</v>
      </c>
      <c r="AC29" s="1566">
        <v>326281.4323971633</v>
      </c>
      <c r="AD29" s="1566">
        <v>238898.80246009032</v>
      </c>
      <c r="AE29" s="1566">
        <v>341711.716916846</v>
      </c>
      <c r="AF29" s="1566">
        <v>795858.78573853441</v>
      </c>
      <c r="AG29" s="1566">
        <v>381845.47805939213</v>
      </c>
      <c r="AH29" s="1566">
        <v>219127.34647143714</v>
      </c>
      <c r="AI29" s="1566">
        <v>280240.61412470258</v>
      </c>
      <c r="AJ29" s="1566">
        <v>565548.62565775088</v>
      </c>
      <c r="AK29" s="1566">
        <v>480700.44680178526</v>
      </c>
      <c r="AL29" s="1582">
        <v>9694786.0280469134</v>
      </c>
      <c r="AM29" s="1567">
        <v>25382.55238814429</v>
      </c>
      <c r="AN29" s="1600">
        <v>9720168.5804350581</v>
      </c>
      <c r="AO29" s="1576"/>
    </row>
    <row r="30" spans="1:43">
      <c r="A30" s="1568"/>
      <c r="B30" s="1569" t="s">
        <v>11833</v>
      </c>
      <c r="C30" s="1569"/>
      <c r="D30" s="1570">
        <v>72639.943405899976</v>
      </c>
      <c r="E30" s="1570">
        <v>4311.9462401674846</v>
      </c>
      <c r="F30" s="1570">
        <v>12991.000947091052</v>
      </c>
      <c r="G30" s="1570">
        <v>4368.5831182536804</v>
      </c>
      <c r="H30" s="1570">
        <v>453117.31319513376</v>
      </c>
      <c r="I30" s="1570">
        <v>42342.914015351082</v>
      </c>
      <c r="J30" s="1570">
        <v>89136.116128169189</v>
      </c>
      <c r="K30" s="1570">
        <v>396298.53583992296</v>
      </c>
      <c r="L30" s="1570">
        <v>29760.600857021258</v>
      </c>
      <c r="M30" s="1570">
        <v>85235.924271987955</v>
      </c>
      <c r="N30" s="1570">
        <v>570404.75966965477</v>
      </c>
      <c r="O30" s="1570">
        <v>209442.80075743396</v>
      </c>
      <c r="P30" s="1570">
        <v>580451.18262161862</v>
      </c>
      <c r="Q30" s="1570">
        <v>207487.97064891364</v>
      </c>
      <c r="R30" s="1570">
        <v>340771.24010179809</v>
      </c>
      <c r="S30" s="1570">
        <v>158975.77084497554</v>
      </c>
      <c r="T30" s="1570">
        <v>358473.4815546223</v>
      </c>
      <c r="U30" s="1570">
        <v>56617.227957239018</v>
      </c>
      <c r="V30" s="1570">
        <v>246221.26111348567</v>
      </c>
      <c r="W30" s="1570">
        <v>593143.33466624201</v>
      </c>
      <c r="X30" s="1570">
        <v>320230.43103805871</v>
      </c>
      <c r="Y30" s="1570">
        <v>169172.59745338582</v>
      </c>
      <c r="Z30" s="1570">
        <v>151057.83358467286</v>
      </c>
      <c r="AA30" s="1570">
        <v>851231.65704474272</v>
      </c>
      <c r="AB30" s="1570">
        <v>540715.27321958437</v>
      </c>
      <c r="AC30" s="1570">
        <v>353175.83705449372</v>
      </c>
      <c r="AD30" s="1570">
        <v>243663.37535838183</v>
      </c>
      <c r="AE30" s="1570">
        <v>342494.0909110239</v>
      </c>
      <c r="AF30" s="1570">
        <v>798055.93222700455</v>
      </c>
      <c r="AG30" s="1570">
        <v>382083.05379198055</v>
      </c>
      <c r="AH30" s="1570">
        <v>265962.80224298546</v>
      </c>
      <c r="AI30" s="1570">
        <v>279220.58492619894</v>
      </c>
      <c r="AJ30" s="1570">
        <v>574908.07458597131</v>
      </c>
      <c r="AK30" s="1570">
        <v>459902.69728828233</v>
      </c>
      <c r="AL30" s="1583">
        <v>9923835.7176436894</v>
      </c>
      <c r="AM30" s="1571">
        <v>25982.24233786148</v>
      </c>
      <c r="AN30" s="1601">
        <v>9949817.9599815514</v>
      </c>
      <c r="AO30" s="1577"/>
    </row>
    <row r="31" spans="1:43">
      <c r="A31" s="1564" t="s">
        <v>11840</v>
      </c>
      <c r="B31" s="1565" t="s">
        <v>11834</v>
      </c>
      <c r="C31" s="1565"/>
      <c r="D31" s="1566">
        <v>25856.67131522327</v>
      </c>
      <c r="E31" s="1566">
        <v>4721.8859300395052</v>
      </c>
      <c r="F31" s="1566">
        <v>8989.5830050560635</v>
      </c>
      <c r="G31" s="1566">
        <v>4177.7813005587195</v>
      </c>
      <c r="H31" s="1566">
        <v>461677.79856786982</v>
      </c>
      <c r="I31" s="1566">
        <v>40726.478075067294</v>
      </c>
      <c r="J31" s="1566">
        <v>86175.593640061648</v>
      </c>
      <c r="K31" s="1566">
        <v>396497.32887149637</v>
      </c>
      <c r="L31" s="1566">
        <v>28077.652497303727</v>
      </c>
      <c r="M31" s="1566">
        <v>77935.382285746993</v>
      </c>
      <c r="N31" s="1566">
        <v>564276.85277217196</v>
      </c>
      <c r="O31" s="1566">
        <v>219763.71196376425</v>
      </c>
      <c r="P31" s="1566">
        <v>654136.27074546262</v>
      </c>
      <c r="Q31" s="1566">
        <v>197623.59616960425</v>
      </c>
      <c r="R31" s="1566">
        <v>374714.34269998578</v>
      </c>
      <c r="S31" s="1566">
        <v>196209.47641876776</v>
      </c>
      <c r="T31" s="1566">
        <v>366818.56602738833</v>
      </c>
      <c r="U31" s="1566">
        <v>56611.048660724577</v>
      </c>
      <c r="V31" s="1566">
        <v>239962.85011145895</v>
      </c>
      <c r="W31" s="1566">
        <v>550798.7477160478</v>
      </c>
      <c r="X31" s="1566">
        <v>346238.42558695632</v>
      </c>
      <c r="Y31" s="1566">
        <v>184074.77072165889</v>
      </c>
      <c r="Z31" s="1566">
        <v>162163.65486529743</v>
      </c>
      <c r="AA31" s="1566">
        <v>746776.4903377872</v>
      </c>
      <c r="AB31" s="1566">
        <v>518509.50349034189</v>
      </c>
      <c r="AC31" s="1566">
        <v>288887.7554624406</v>
      </c>
      <c r="AD31" s="1566">
        <v>231370.61939504466</v>
      </c>
      <c r="AE31" s="1566">
        <v>342571.70462878118</v>
      </c>
      <c r="AF31" s="1566">
        <v>806766.08277401759</v>
      </c>
      <c r="AG31" s="1566">
        <v>380793.00364696374</v>
      </c>
      <c r="AH31" s="1566">
        <v>225823.44433451153</v>
      </c>
      <c r="AI31" s="1566">
        <v>283772.48734533339</v>
      </c>
      <c r="AJ31" s="1566">
        <v>512283.93990618229</v>
      </c>
      <c r="AK31" s="1566">
        <v>407514.54578653327</v>
      </c>
      <c r="AL31" s="1582">
        <v>9647059.621468693</v>
      </c>
      <c r="AM31" s="1567">
        <v>25257.596766456001</v>
      </c>
      <c r="AN31" s="1600">
        <v>9672317.2182351481</v>
      </c>
      <c r="AO31" s="1576">
        <f>ROUND((AN31-AN27)/AN27*100,1)</f>
        <v>-8.6999999999999993</v>
      </c>
    </row>
    <row r="32" spans="1:43">
      <c r="A32" s="1564">
        <v>2007</v>
      </c>
      <c r="B32" s="1565" t="s">
        <v>11831</v>
      </c>
      <c r="C32" s="1565"/>
      <c r="D32" s="1566">
        <v>21885.520934702326</v>
      </c>
      <c r="E32" s="1566">
        <v>4267.8656600496979</v>
      </c>
      <c r="F32" s="1566">
        <v>10653.682133268383</v>
      </c>
      <c r="G32" s="1566">
        <v>4526.5606523642418</v>
      </c>
      <c r="H32" s="1566">
        <v>483021.0709040715</v>
      </c>
      <c r="I32" s="1566">
        <v>34140.499532129499</v>
      </c>
      <c r="J32" s="1566">
        <v>88877.124032280437</v>
      </c>
      <c r="K32" s="1566">
        <v>431164.968084794</v>
      </c>
      <c r="L32" s="1566">
        <v>30311.516989372365</v>
      </c>
      <c r="M32" s="1566">
        <v>96123.714057150952</v>
      </c>
      <c r="N32" s="1566">
        <v>596700.52765433211</v>
      </c>
      <c r="O32" s="1566">
        <v>230868.17258627317</v>
      </c>
      <c r="P32" s="1566">
        <v>646938.40602074249</v>
      </c>
      <c r="Q32" s="1566">
        <v>195828.81215052938</v>
      </c>
      <c r="R32" s="1566">
        <v>333550.41653276188</v>
      </c>
      <c r="S32" s="1566">
        <v>211640.30694202328</v>
      </c>
      <c r="T32" s="1566">
        <v>323854.55718557601</v>
      </c>
      <c r="U32" s="1566">
        <v>57284.807568750111</v>
      </c>
      <c r="V32" s="1566">
        <v>244286.71580405062</v>
      </c>
      <c r="W32" s="1566">
        <v>466235.3596251345</v>
      </c>
      <c r="X32" s="1566">
        <v>335459.82880656398</v>
      </c>
      <c r="Y32" s="1566">
        <v>183067.35741587679</v>
      </c>
      <c r="Z32" s="1566">
        <v>152392.47139068722</v>
      </c>
      <c r="AA32" s="1566">
        <v>792305.31500062486</v>
      </c>
      <c r="AB32" s="1566">
        <v>583296.69518637215</v>
      </c>
      <c r="AC32" s="1566">
        <v>338932.10621366644</v>
      </c>
      <c r="AD32" s="1566">
        <v>250941.60532274726</v>
      </c>
      <c r="AE32" s="1566">
        <v>342806.54804821307</v>
      </c>
      <c r="AF32" s="1566">
        <v>806373.76231245056</v>
      </c>
      <c r="AG32" s="1566">
        <v>422501.05311866687</v>
      </c>
      <c r="AH32" s="1566">
        <v>260559.40371974191</v>
      </c>
      <c r="AI32" s="1566">
        <v>276845.22492871038</v>
      </c>
      <c r="AJ32" s="1566">
        <v>543603.63034084032</v>
      </c>
      <c r="AK32" s="1566">
        <v>481490.13411729608</v>
      </c>
      <c r="AL32" s="1582">
        <v>9947275.9121662527</v>
      </c>
      <c r="AM32" s="1567">
        <v>29353.860375556083</v>
      </c>
      <c r="AN32" s="1600">
        <v>9976629.772541808</v>
      </c>
      <c r="AO32" s="1576">
        <f t="shared" ref="AO32:AO95" si="46">ROUND((AN32-AN28)/AN28*100,1)</f>
        <v>2.6</v>
      </c>
    </row>
    <row r="33" spans="1:41">
      <c r="A33" s="1564"/>
      <c r="B33" s="1565" t="s">
        <v>11832</v>
      </c>
      <c r="C33" s="1565"/>
      <c r="D33" s="1566">
        <v>30713.639490757021</v>
      </c>
      <c r="E33" s="1566">
        <v>3979.8013215642281</v>
      </c>
      <c r="F33" s="1566">
        <v>13397.284349542177</v>
      </c>
      <c r="G33" s="1566">
        <v>4208.8811074042478</v>
      </c>
      <c r="H33" s="1566">
        <v>395593.69227303355</v>
      </c>
      <c r="I33" s="1566">
        <v>34398.073468864692</v>
      </c>
      <c r="J33" s="1566">
        <v>89906.104768436664</v>
      </c>
      <c r="K33" s="1566">
        <v>433920.59157313331</v>
      </c>
      <c r="L33" s="1566">
        <v>29599.713224043124</v>
      </c>
      <c r="M33" s="1566">
        <v>91448.722634675985</v>
      </c>
      <c r="N33" s="1566">
        <v>612108.0823068904</v>
      </c>
      <c r="O33" s="1566">
        <v>214332.04017116956</v>
      </c>
      <c r="P33" s="1566">
        <v>658832.41375593736</v>
      </c>
      <c r="Q33" s="1566">
        <v>219555.8168765711</v>
      </c>
      <c r="R33" s="1566">
        <v>372680.81012904737</v>
      </c>
      <c r="S33" s="1566">
        <v>211987.48760349437</v>
      </c>
      <c r="T33" s="1566">
        <v>322238.12494968594</v>
      </c>
      <c r="U33" s="1566">
        <v>63731.337988048173</v>
      </c>
      <c r="V33" s="1566">
        <v>238446.94024454654</v>
      </c>
      <c r="W33" s="1566">
        <v>481740.50225576072</v>
      </c>
      <c r="X33" s="1566">
        <v>358597.06624075887</v>
      </c>
      <c r="Y33" s="1566">
        <v>212207.39625368186</v>
      </c>
      <c r="Z33" s="1566">
        <v>146389.66998707701</v>
      </c>
      <c r="AA33" s="1566">
        <v>796853.07209435839</v>
      </c>
      <c r="AB33" s="1566">
        <v>587511.27243864594</v>
      </c>
      <c r="AC33" s="1566">
        <v>346745.49713824032</v>
      </c>
      <c r="AD33" s="1566">
        <v>240280.68772117604</v>
      </c>
      <c r="AE33" s="1566">
        <v>342968.15659070294</v>
      </c>
      <c r="AF33" s="1566">
        <v>803798.81505648559</v>
      </c>
      <c r="AG33" s="1566">
        <v>429100.21885261609</v>
      </c>
      <c r="AH33" s="1566">
        <v>217730.42485240407</v>
      </c>
      <c r="AI33" s="1566">
        <v>277250.21518231201</v>
      </c>
      <c r="AJ33" s="1566">
        <v>566816.84480806126</v>
      </c>
      <c r="AK33" s="1566">
        <v>462844.04182258237</v>
      </c>
      <c r="AL33" s="1582">
        <v>9953316.3732909523</v>
      </c>
      <c r="AM33" s="1567">
        <v>29371.685441837952</v>
      </c>
      <c r="AN33" s="1600">
        <v>9982688.0587327909</v>
      </c>
      <c r="AO33" s="1576">
        <f t="shared" si="46"/>
        <v>2.7</v>
      </c>
    </row>
    <row r="34" spans="1:41">
      <c r="A34" s="1564"/>
      <c r="B34" s="1565" t="s">
        <v>11833</v>
      </c>
      <c r="C34" s="1565"/>
      <c r="D34" s="1566">
        <v>73127.514637263157</v>
      </c>
      <c r="E34" s="1566">
        <v>4043.5206222430425</v>
      </c>
      <c r="F34" s="1566">
        <v>15482.994642417209</v>
      </c>
      <c r="G34" s="1566">
        <v>4001.5691038857535</v>
      </c>
      <c r="H34" s="1566">
        <v>549844.25910210086</v>
      </c>
      <c r="I34" s="1566">
        <v>37022.791202227178</v>
      </c>
      <c r="J34" s="1566">
        <v>94072.992812558383</v>
      </c>
      <c r="K34" s="1566">
        <v>449862.47591838735</v>
      </c>
      <c r="L34" s="1566">
        <v>38756.289684780648</v>
      </c>
      <c r="M34" s="1566">
        <v>101882.18742450431</v>
      </c>
      <c r="N34" s="1566">
        <v>596607.16963473952</v>
      </c>
      <c r="O34" s="1566">
        <v>239599.9146583541</v>
      </c>
      <c r="P34" s="1566">
        <v>563982.9147992155</v>
      </c>
      <c r="Q34" s="1566">
        <v>242383.42816067039</v>
      </c>
      <c r="R34" s="1566">
        <v>373326.56285216362</v>
      </c>
      <c r="S34" s="1566">
        <v>207475.30705524952</v>
      </c>
      <c r="T34" s="1566">
        <v>346688.82972212887</v>
      </c>
      <c r="U34" s="1566">
        <v>62714.270532641938</v>
      </c>
      <c r="V34" s="1566">
        <v>251025.70669338101</v>
      </c>
      <c r="W34" s="1566">
        <v>513809.34570864541</v>
      </c>
      <c r="X34" s="1566">
        <v>341273.94142104447</v>
      </c>
      <c r="Y34" s="1566">
        <v>186934.3946340736</v>
      </c>
      <c r="Z34" s="1566">
        <v>154339.54678697087</v>
      </c>
      <c r="AA34" s="1566">
        <v>902412.3767185458</v>
      </c>
      <c r="AB34" s="1566">
        <v>566496.36024033267</v>
      </c>
      <c r="AC34" s="1566">
        <v>340916.06234203477</v>
      </c>
      <c r="AD34" s="1566">
        <v>250112.05209113768</v>
      </c>
      <c r="AE34" s="1566">
        <v>343242.61247751757</v>
      </c>
      <c r="AF34" s="1566">
        <v>805149.99278193864</v>
      </c>
      <c r="AG34" s="1566">
        <v>428715.59718306118</v>
      </c>
      <c r="AH34" s="1566">
        <v>267121.00596033351</v>
      </c>
      <c r="AI34" s="1566">
        <v>282299.11389051902</v>
      </c>
      <c r="AJ34" s="1566">
        <v>561127.0722879346</v>
      </c>
      <c r="AK34" s="1566">
        <v>472510.07617411384</v>
      </c>
      <c r="AL34" s="1582">
        <v>10327086.308536073</v>
      </c>
      <c r="AM34" s="1567">
        <v>30474.659822828718</v>
      </c>
      <c r="AN34" s="1600">
        <v>10357560.968358902</v>
      </c>
      <c r="AO34" s="1576">
        <f t="shared" si="46"/>
        <v>4.0999999999999996</v>
      </c>
    </row>
    <row r="35" spans="1:41">
      <c r="A35" s="1560" t="s">
        <v>11841</v>
      </c>
      <c r="B35" s="1561" t="s">
        <v>11834</v>
      </c>
      <c r="C35" s="1561"/>
      <c r="D35" s="1562">
        <v>25238.324937277495</v>
      </c>
      <c r="E35" s="1562">
        <v>3823.8123961430324</v>
      </c>
      <c r="F35" s="1562">
        <v>8206.03887477223</v>
      </c>
      <c r="G35" s="1562">
        <v>4092.9891363457577</v>
      </c>
      <c r="H35" s="1562">
        <v>444481.97772079409</v>
      </c>
      <c r="I35" s="1562">
        <v>48711.635796778639</v>
      </c>
      <c r="J35" s="1562">
        <v>71552.778386724531</v>
      </c>
      <c r="K35" s="1562">
        <v>397260.96442368522</v>
      </c>
      <c r="L35" s="1562">
        <v>36355.480101803885</v>
      </c>
      <c r="M35" s="1562">
        <v>98738.375883668763</v>
      </c>
      <c r="N35" s="1562">
        <v>627061.22040403786</v>
      </c>
      <c r="O35" s="1562">
        <v>213617.8725842032</v>
      </c>
      <c r="P35" s="1562">
        <v>669834.26542410476</v>
      </c>
      <c r="Q35" s="1562">
        <v>149944.9428122291</v>
      </c>
      <c r="R35" s="1562">
        <v>490010.21048602718</v>
      </c>
      <c r="S35" s="1562">
        <v>267480.89839923277</v>
      </c>
      <c r="T35" s="1562">
        <v>296284.48814260919</v>
      </c>
      <c r="U35" s="1562">
        <v>54153.583910559799</v>
      </c>
      <c r="V35" s="1562">
        <v>241573.63725802183</v>
      </c>
      <c r="W35" s="1562">
        <v>501108.79241045937</v>
      </c>
      <c r="X35" s="1562">
        <v>377278.48036273802</v>
      </c>
      <c r="Y35" s="1562">
        <v>209186.16852747314</v>
      </c>
      <c r="Z35" s="1562">
        <v>168092.3118352649</v>
      </c>
      <c r="AA35" s="1562">
        <v>798792.19964233472</v>
      </c>
      <c r="AB35" s="1562">
        <v>552417.66534661199</v>
      </c>
      <c r="AC35" s="1562">
        <v>355762.33430605859</v>
      </c>
      <c r="AD35" s="1562">
        <v>260557.65486493896</v>
      </c>
      <c r="AE35" s="1562">
        <v>346270.68288356642</v>
      </c>
      <c r="AF35" s="1562">
        <v>816251.11085833819</v>
      </c>
      <c r="AG35" s="1562">
        <v>425333.13084565604</v>
      </c>
      <c r="AH35" s="1562">
        <v>227097.16546752054</v>
      </c>
      <c r="AI35" s="1562">
        <v>281564.44599845848</v>
      </c>
      <c r="AJ35" s="1562">
        <v>559727.45256316417</v>
      </c>
      <c r="AK35" s="1562">
        <v>429507.74788600765</v>
      </c>
      <c r="AL35" s="1581">
        <v>10080092.360514872</v>
      </c>
      <c r="AM35" s="1563">
        <v>29745.794359777257</v>
      </c>
      <c r="AN35" s="1599">
        <v>10109838.154874649</v>
      </c>
      <c r="AO35" s="1575">
        <f t="shared" si="46"/>
        <v>4.5</v>
      </c>
    </row>
    <row r="36" spans="1:41">
      <c r="A36" s="1564">
        <v>2008</v>
      </c>
      <c r="B36" s="1565" t="s">
        <v>11831</v>
      </c>
      <c r="C36" s="1565"/>
      <c r="D36" s="1566">
        <v>22201.033292708122</v>
      </c>
      <c r="E36" s="1566">
        <v>3890.6625275595275</v>
      </c>
      <c r="F36" s="1566">
        <v>10275.804426151411</v>
      </c>
      <c r="G36" s="1566">
        <v>5135.1293064888314</v>
      </c>
      <c r="H36" s="1566">
        <v>481558.69914724102</v>
      </c>
      <c r="I36" s="1566">
        <v>43301.548171781331</v>
      </c>
      <c r="J36" s="1566">
        <v>84262.802969400189</v>
      </c>
      <c r="K36" s="1566">
        <v>454050.6564544047</v>
      </c>
      <c r="L36" s="1566">
        <v>45896.836390462828</v>
      </c>
      <c r="M36" s="1566">
        <v>85704.416226361718</v>
      </c>
      <c r="N36" s="1566">
        <v>708155.16562268848</v>
      </c>
      <c r="O36" s="1566">
        <v>221045.97699085806</v>
      </c>
      <c r="P36" s="1566">
        <v>687606.23941635201</v>
      </c>
      <c r="Q36" s="1566">
        <v>231297.20050845985</v>
      </c>
      <c r="R36" s="1566">
        <v>348826.71955424262</v>
      </c>
      <c r="S36" s="1566">
        <v>183298.643958781</v>
      </c>
      <c r="T36" s="1566">
        <v>344600.02450610878</v>
      </c>
      <c r="U36" s="1566">
        <v>56317.379575921943</v>
      </c>
      <c r="V36" s="1566">
        <v>257677.37956619231</v>
      </c>
      <c r="W36" s="1566">
        <v>443284.92404123582</v>
      </c>
      <c r="X36" s="1566">
        <v>346402.0803790862</v>
      </c>
      <c r="Y36" s="1566">
        <v>186905.63668629632</v>
      </c>
      <c r="Z36" s="1566">
        <v>159496.44369278988</v>
      </c>
      <c r="AA36" s="1566">
        <v>800265.54964247707</v>
      </c>
      <c r="AB36" s="1566">
        <v>561069.73752236052</v>
      </c>
      <c r="AC36" s="1566">
        <v>309721.72588406329</v>
      </c>
      <c r="AD36" s="1566">
        <v>260108.2097866144</v>
      </c>
      <c r="AE36" s="1566">
        <v>289676.85337765171</v>
      </c>
      <c r="AF36" s="1566">
        <v>815369.02904946997</v>
      </c>
      <c r="AG36" s="1566">
        <v>436043.66535326006</v>
      </c>
      <c r="AH36" s="1566">
        <v>255178.56262560157</v>
      </c>
      <c r="AI36" s="1566">
        <v>283346.7005692604</v>
      </c>
      <c r="AJ36" s="1566">
        <v>572335.12227124383</v>
      </c>
      <c r="AK36" s="1566">
        <v>458773.98547004233</v>
      </c>
      <c r="AL36" s="1582">
        <v>10106678.464584533</v>
      </c>
      <c r="AM36" s="1567">
        <v>31762.36949921515</v>
      </c>
      <c r="AN36" s="1600">
        <v>10138440.834083749</v>
      </c>
      <c r="AO36" s="1576">
        <f t="shared" si="46"/>
        <v>1.6</v>
      </c>
    </row>
    <row r="37" spans="1:41">
      <c r="A37" s="1564"/>
      <c r="B37" s="1565" t="s">
        <v>11832</v>
      </c>
      <c r="C37" s="1565"/>
      <c r="D37" s="1566">
        <v>31577.107028866605</v>
      </c>
      <c r="E37" s="1566">
        <v>3841.2572891143272</v>
      </c>
      <c r="F37" s="1566">
        <v>12521.159751856521</v>
      </c>
      <c r="G37" s="1566">
        <v>4685.2648592541645</v>
      </c>
      <c r="H37" s="1566">
        <v>422488.14097950101</v>
      </c>
      <c r="I37" s="1566">
        <v>41463.096644900324</v>
      </c>
      <c r="J37" s="1566">
        <v>83729.459377946565</v>
      </c>
      <c r="K37" s="1566">
        <v>418636.02930532553</v>
      </c>
      <c r="L37" s="1566">
        <v>52300.360664337692</v>
      </c>
      <c r="M37" s="1566">
        <v>91147.793242316417</v>
      </c>
      <c r="N37" s="1566">
        <v>738173.26245094661</v>
      </c>
      <c r="O37" s="1566">
        <v>228427.85959525267</v>
      </c>
      <c r="P37" s="1566">
        <v>746919.51406149764</v>
      </c>
      <c r="Q37" s="1566">
        <v>215585.08837679774</v>
      </c>
      <c r="R37" s="1566">
        <v>371816.1150808431</v>
      </c>
      <c r="S37" s="1566">
        <v>176444.35738320599</v>
      </c>
      <c r="T37" s="1566">
        <v>369004.48146135663</v>
      </c>
      <c r="U37" s="1566">
        <v>62068.832650251963</v>
      </c>
      <c r="V37" s="1566">
        <v>253527.58889798395</v>
      </c>
      <c r="W37" s="1566">
        <v>562724.79918985674</v>
      </c>
      <c r="X37" s="1566">
        <v>380259.62327728048</v>
      </c>
      <c r="Y37" s="1566">
        <v>219389.14047239072</v>
      </c>
      <c r="Z37" s="1566">
        <v>160870.48280488979</v>
      </c>
      <c r="AA37" s="1566">
        <v>806812.64752150211</v>
      </c>
      <c r="AB37" s="1566">
        <v>554852.03640103305</v>
      </c>
      <c r="AC37" s="1566">
        <v>326306.10888672835</v>
      </c>
      <c r="AD37" s="1566">
        <v>266116.59821317892</v>
      </c>
      <c r="AE37" s="1566">
        <v>284582.8780736737</v>
      </c>
      <c r="AF37" s="1566">
        <v>810636.72677253128</v>
      </c>
      <c r="AG37" s="1566">
        <v>442141.27449589496</v>
      </c>
      <c r="AH37" s="1566">
        <v>214351.51622717304</v>
      </c>
      <c r="AI37" s="1566">
        <v>273777.38143674412</v>
      </c>
      <c r="AJ37" s="1566">
        <v>562340.38023087615</v>
      </c>
      <c r="AK37" s="1566">
        <v>450280.08152759948</v>
      </c>
      <c r="AL37" s="1582">
        <v>10259538.821355628</v>
      </c>
      <c r="AM37" s="1567">
        <v>32242.765422619545</v>
      </c>
      <c r="AN37" s="1600">
        <v>10291781.586778248</v>
      </c>
      <c r="AO37" s="1576">
        <f t="shared" si="46"/>
        <v>3.1</v>
      </c>
    </row>
    <row r="38" spans="1:41">
      <c r="A38" s="1568"/>
      <c r="B38" s="1569" t="s">
        <v>11833</v>
      </c>
      <c r="C38" s="1569"/>
      <c r="D38" s="1570">
        <v>75373.404742888131</v>
      </c>
      <c r="E38" s="1570">
        <v>3771.2665346502936</v>
      </c>
      <c r="F38" s="1570">
        <v>11030.65410920768</v>
      </c>
      <c r="G38" s="1570">
        <v>4381.0708044573903</v>
      </c>
      <c r="H38" s="1570">
        <v>549288.85371980001</v>
      </c>
      <c r="I38" s="1570">
        <v>40327.149796987913</v>
      </c>
      <c r="J38" s="1570">
        <v>84352.54498930808</v>
      </c>
      <c r="K38" s="1570">
        <v>403821.15124671481</v>
      </c>
      <c r="L38" s="1570">
        <v>33725.609904133853</v>
      </c>
      <c r="M38" s="1570">
        <v>91562.08252125248</v>
      </c>
      <c r="N38" s="1570">
        <v>610188.54735525255</v>
      </c>
      <c r="O38" s="1570">
        <v>229748.79712289188</v>
      </c>
      <c r="P38" s="1570">
        <v>683068.78887363907</v>
      </c>
      <c r="Q38" s="1570">
        <v>168096.47911027286</v>
      </c>
      <c r="R38" s="1570">
        <v>353603.75971679279</v>
      </c>
      <c r="S38" s="1570">
        <v>150283.90934394323</v>
      </c>
      <c r="T38" s="1570">
        <v>341359.39225350379</v>
      </c>
      <c r="U38" s="1570">
        <v>59259.612180182201</v>
      </c>
      <c r="V38" s="1570">
        <v>227272.69719290562</v>
      </c>
      <c r="W38" s="1570">
        <v>691726.36814115616</v>
      </c>
      <c r="X38" s="1570">
        <v>347189.72056442226</v>
      </c>
      <c r="Y38" s="1570">
        <v>184685.08905234124</v>
      </c>
      <c r="Z38" s="1570">
        <v>162504.63151208102</v>
      </c>
      <c r="AA38" s="1570">
        <v>900499.34585872211</v>
      </c>
      <c r="AB38" s="1570">
        <v>554655.6313767425</v>
      </c>
      <c r="AC38" s="1570">
        <v>317872.98456819198</v>
      </c>
      <c r="AD38" s="1570">
        <v>271232.7243737207</v>
      </c>
      <c r="AE38" s="1570">
        <v>282975.90548120072</v>
      </c>
      <c r="AF38" s="1570">
        <v>810526.55475397548</v>
      </c>
      <c r="AG38" s="1570">
        <v>440493.07272491674</v>
      </c>
      <c r="AH38" s="1570">
        <v>260409.99781227965</v>
      </c>
      <c r="AI38" s="1570">
        <v>273176.09347802063</v>
      </c>
      <c r="AJ38" s="1570">
        <v>562462.0922068737</v>
      </c>
      <c r="AK38" s="1570">
        <v>454256.48424483289</v>
      </c>
      <c r="AL38" s="1583">
        <v>10287992.747103838</v>
      </c>
      <c r="AM38" s="1571">
        <v>32332.187887822605</v>
      </c>
      <c r="AN38" s="1601">
        <v>10320324.934991661</v>
      </c>
      <c r="AO38" s="1577">
        <f t="shared" si="46"/>
        <v>-0.4</v>
      </c>
    </row>
    <row r="39" spans="1:41">
      <c r="A39" s="1564" t="s">
        <v>11842</v>
      </c>
      <c r="B39" s="1565" t="s">
        <v>11834</v>
      </c>
      <c r="C39" s="1565"/>
      <c r="D39" s="1566">
        <v>26145.454935537135</v>
      </c>
      <c r="E39" s="1566">
        <v>3566.8136486758508</v>
      </c>
      <c r="F39" s="1566">
        <v>7853.3817127843795</v>
      </c>
      <c r="G39" s="1566">
        <v>2083.5350297996142</v>
      </c>
      <c r="H39" s="1566">
        <v>500226.30615345814</v>
      </c>
      <c r="I39" s="1566">
        <v>32135.20538633041</v>
      </c>
      <c r="J39" s="1566">
        <v>74416.192663345166</v>
      </c>
      <c r="K39" s="1566">
        <v>344084.16299355502</v>
      </c>
      <c r="L39" s="1566">
        <v>19472.193041065628</v>
      </c>
      <c r="M39" s="1566">
        <v>75258.708010069386</v>
      </c>
      <c r="N39" s="1566">
        <v>343167.02457111224</v>
      </c>
      <c r="O39" s="1566">
        <v>194282.36629099742</v>
      </c>
      <c r="P39" s="1566">
        <v>588463.45764851128</v>
      </c>
      <c r="Q39" s="1566">
        <v>75439.232004469581</v>
      </c>
      <c r="R39" s="1566">
        <v>346690.40564812161</v>
      </c>
      <c r="S39" s="1566">
        <v>147712.08931406974</v>
      </c>
      <c r="T39" s="1566">
        <v>343079.10177903081</v>
      </c>
      <c r="U39" s="1566">
        <v>57553.1755936439</v>
      </c>
      <c r="V39" s="1566">
        <v>182917.33434291801</v>
      </c>
      <c r="W39" s="1566">
        <v>592167.90862775128</v>
      </c>
      <c r="X39" s="1566">
        <v>359545.7817711783</v>
      </c>
      <c r="Y39" s="1566">
        <v>199100.33978093899</v>
      </c>
      <c r="Z39" s="1566">
        <v>160445.44199023931</v>
      </c>
      <c r="AA39" s="1566">
        <v>784263.5050975933</v>
      </c>
      <c r="AB39" s="1566">
        <v>601533.05561406724</v>
      </c>
      <c r="AC39" s="1566">
        <v>364158.18066101632</v>
      </c>
      <c r="AD39" s="1566">
        <v>213763.46762648603</v>
      </c>
      <c r="AE39" s="1566">
        <v>286925.36306747381</v>
      </c>
      <c r="AF39" s="1566">
        <v>821547.44713381026</v>
      </c>
      <c r="AG39" s="1566">
        <v>439325.98742592835</v>
      </c>
      <c r="AH39" s="1566">
        <v>221253.92333494566</v>
      </c>
      <c r="AI39" s="1566">
        <v>259071.82451597473</v>
      </c>
      <c r="AJ39" s="1566">
        <v>576729.40529100632</v>
      </c>
      <c r="AK39" s="1566">
        <v>425816.44875752518</v>
      </c>
      <c r="AL39" s="1582">
        <v>9310648.4396922532</v>
      </c>
      <c r="AM39" s="1567">
        <v>29260.677190342689</v>
      </c>
      <c r="AN39" s="1600">
        <v>9339909.1168825962</v>
      </c>
      <c r="AO39" s="1576">
        <f t="shared" si="46"/>
        <v>-7.6</v>
      </c>
    </row>
    <row r="40" spans="1:41">
      <c r="A40" s="1564">
        <v>2009</v>
      </c>
      <c r="B40" s="1565" t="s">
        <v>11831</v>
      </c>
      <c r="C40" s="1565"/>
      <c r="D40" s="1566">
        <v>23298.416152068225</v>
      </c>
      <c r="E40" s="1566">
        <v>3337.0453426669437</v>
      </c>
      <c r="F40" s="1566">
        <v>9724.8514571137566</v>
      </c>
      <c r="G40" s="1566">
        <v>1927.7537851438676</v>
      </c>
      <c r="H40" s="1566">
        <v>477455.45430100604</v>
      </c>
      <c r="I40" s="1566">
        <v>34879.410068164623</v>
      </c>
      <c r="J40" s="1566">
        <v>83599.417732674803</v>
      </c>
      <c r="K40" s="1566">
        <v>392377.06716434244</v>
      </c>
      <c r="L40" s="1566">
        <v>32165.949616475384</v>
      </c>
      <c r="M40" s="1566">
        <v>65843.129029669115</v>
      </c>
      <c r="N40" s="1566">
        <v>395638.2245146854</v>
      </c>
      <c r="O40" s="1566">
        <v>156685.05500272423</v>
      </c>
      <c r="P40" s="1566">
        <v>473318.87263641774</v>
      </c>
      <c r="Q40" s="1566">
        <v>99787.36139810679</v>
      </c>
      <c r="R40" s="1566">
        <v>304973.14478806622</v>
      </c>
      <c r="S40" s="1566">
        <v>157629.4669945832</v>
      </c>
      <c r="T40" s="1566">
        <v>283549.83721087425</v>
      </c>
      <c r="U40" s="1566">
        <v>54336.541180378132</v>
      </c>
      <c r="V40" s="1566">
        <v>210429.02364913683</v>
      </c>
      <c r="W40" s="1566">
        <v>434907.41144059203</v>
      </c>
      <c r="X40" s="1566">
        <v>323145.31568555784</v>
      </c>
      <c r="Y40" s="1566">
        <v>175770.09778542788</v>
      </c>
      <c r="Z40" s="1566">
        <v>147375.21790012997</v>
      </c>
      <c r="AA40" s="1566">
        <v>754476.76592177595</v>
      </c>
      <c r="AB40" s="1566">
        <v>474150.26144126127</v>
      </c>
      <c r="AC40" s="1566">
        <v>349731.90781721653</v>
      </c>
      <c r="AD40" s="1566">
        <v>262259.29834384151</v>
      </c>
      <c r="AE40" s="1566">
        <v>278450.35757290595</v>
      </c>
      <c r="AF40" s="1566">
        <v>826000.91888547631</v>
      </c>
      <c r="AG40" s="1566">
        <v>408250.69981838384</v>
      </c>
      <c r="AH40" s="1566">
        <v>253982.73479613516</v>
      </c>
      <c r="AI40" s="1566">
        <v>262105.98058932275</v>
      </c>
      <c r="AJ40" s="1566">
        <v>596390.76706325496</v>
      </c>
      <c r="AK40" s="1566">
        <v>431339.82985064667</v>
      </c>
      <c r="AL40" s="1582">
        <v>8916148.2712506689</v>
      </c>
      <c r="AM40" s="1567">
        <v>21196.206589765989</v>
      </c>
      <c r="AN40" s="1600">
        <v>8937344.4778404348</v>
      </c>
      <c r="AO40" s="1576">
        <f t="shared" si="46"/>
        <v>-11.8</v>
      </c>
    </row>
    <row r="41" spans="1:41">
      <c r="A41" s="1564"/>
      <c r="B41" s="1565" t="s">
        <v>11832</v>
      </c>
      <c r="C41" s="1565"/>
      <c r="D41" s="1566">
        <v>31276.059934261244</v>
      </c>
      <c r="E41" s="1566">
        <v>3242.1398289482686</v>
      </c>
      <c r="F41" s="1566">
        <v>12942.336429067782</v>
      </c>
      <c r="G41" s="1566">
        <v>3052.9593098531241</v>
      </c>
      <c r="H41" s="1566">
        <v>402961.99925079331</v>
      </c>
      <c r="I41" s="1566">
        <v>33076.553587851733</v>
      </c>
      <c r="J41" s="1566">
        <v>78936.821895425994</v>
      </c>
      <c r="K41" s="1566">
        <v>389213.4145574749</v>
      </c>
      <c r="L41" s="1566">
        <v>37402.282228918841</v>
      </c>
      <c r="M41" s="1566">
        <v>68215.105726807276</v>
      </c>
      <c r="N41" s="1566">
        <v>489927.59266599506</v>
      </c>
      <c r="O41" s="1566">
        <v>172521.10027734298</v>
      </c>
      <c r="P41" s="1566">
        <v>524174.68445838918</v>
      </c>
      <c r="Q41" s="1566">
        <v>124485.95453405404</v>
      </c>
      <c r="R41" s="1566">
        <v>316253.38987987518</v>
      </c>
      <c r="S41" s="1566">
        <v>170726.42576003581</v>
      </c>
      <c r="T41" s="1566">
        <v>271168.08301205479</v>
      </c>
      <c r="U41" s="1566">
        <v>60113.185177661915</v>
      </c>
      <c r="V41" s="1566">
        <v>211210.29448664672</v>
      </c>
      <c r="W41" s="1566">
        <v>367576.78449022368</v>
      </c>
      <c r="X41" s="1566">
        <v>340025.94121447741</v>
      </c>
      <c r="Y41" s="1566">
        <v>194820.19263024197</v>
      </c>
      <c r="Z41" s="1566">
        <v>145205.74858423541</v>
      </c>
      <c r="AA41" s="1566">
        <v>753564.35998233664</v>
      </c>
      <c r="AB41" s="1566">
        <v>486532.07158731722</v>
      </c>
      <c r="AC41" s="1566">
        <v>313584.76846831158</v>
      </c>
      <c r="AD41" s="1566">
        <v>258006.83754497394</v>
      </c>
      <c r="AE41" s="1566">
        <v>277640.62156115269</v>
      </c>
      <c r="AF41" s="1566">
        <v>822930.08088856039</v>
      </c>
      <c r="AG41" s="1566">
        <v>413398.08587391768</v>
      </c>
      <c r="AH41" s="1566">
        <v>218676.1198177691</v>
      </c>
      <c r="AI41" s="1566">
        <v>279530.16327516269</v>
      </c>
      <c r="AJ41" s="1566">
        <v>591516.43190983729</v>
      </c>
      <c r="AK41" s="1566">
        <v>420270.91035125044</v>
      </c>
      <c r="AL41" s="1582">
        <v>8944153.5599667504</v>
      </c>
      <c r="AM41" s="1567">
        <v>21262.783083019938</v>
      </c>
      <c r="AN41" s="1600">
        <v>8965416.3430497702</v>
      </c>
      <c r="AO41" s="1576">
        <f t="shared" si="46"/>
        <v>-12.9</v>
      </c>
    </row>
    <row r="42" spans="1:41">
      <c r="A42" s="1564"/>
      <c r="B42" s="1565" t="s">
        <v>11833</v>
      </c>
      <c r="C42" s="1565"/>
      <c r="D42" s="1566">
        <v>72744.098955762121</v>
      </c>
      <c r="E42" s="1566">
        <v>3270.0532153361146</v>
      </c>
      <c r="F42" s="1566">
        <v>12308.007037524967</v>
      </c>
      <c r="G42" s="1566">
        <v>4627.1908945769801</v>
      </c>
      <c r="H42" s="1566">
        <v>510025.83837490325</v>
      </c>
      <c r="I42" s="1566">
        <v>33856.321333839049</v>
      </c>
      <c r="J42" s="1566">
        <v>79469.187898348755</v>
      </c>
      <c r="K42" s="1566">
        <v>404591.14391983359</v>
      </c>
      <c r="L42" s="1566">
        <v>47316.975437661</v>
      </c>
      <c r="M42" s="1566">
        <v>69905.662446155169</v>
      </c>
      <c r="N42" s="1566">
        <v>537008.12061845395</v>
      </c>
      <c r="O42" s="1566">
        <v>193275.89186412602</v>
      </c>
      <c r="P42" s="1566">
        <v>600175.42190269905</v>
      </c>
      <c r="Q42" s="1566">
        <v>132375.68657907803</v>
      </c>
      <c r="R42" s="1566">
        <v>325247.0477226543</v>
      </c>
      <c r="S42" s="1566">
        <v>190795.8021056327</v>
      </c>
      <c r="T42" s="1566">
        <v>261272.61554928133</v>
      </c>
      <c r="U42" s="1566">
        <v>56691.308996662759</v>
      </c>
      <c r="V42" s="1566">
        <v>206872.90462491071</v>
      </c>
      <c r="W42" s="1566">
        <v>411271.84141214943</v>
      </c>
      <c r="X42" s="1566">
        <v>322292.54684495699</v>
      </c>
      <c r="Y42" s="1566">
        <v>171986.54830176561</v>
      </c>
      <c r="Z42" s="1566">
        <v>150305.99854319138</v>
      </c>
      <c r="AA42" s="1566">
        <v>833451.72092983115</v>
      </c>
      <c r="AB42" s="1566">
        <v>490852.41182731069</v>
      </c>
      <c r="AC42" s="1566">
        <v>299053.13895933225</v>
      </c>
      <c r="AD42" s="1566">
        <v>250638.39746180439</v>
      </c>
      <c r="AE42" s="1566">
        <v>277378.38389299123</v>
      </c>
      <c r="AF42" s="1566">
        <v>824138.41082419257</v>
      </c>
      <c r="AG42" s="1566">
        <v>411977.04860433063</v>
      </c>
      <c r="AH42" s="1566">
        <v>260557.22111372364</v>
      </c>
      <c r="AI42" s="1566">
        <v>277318.23825162929</v>
      </c>
      <c r="AJ42" s="1566">
        <v>593469.1958513587</v>
      </c>
      <c r="AK42" s="1566">
        <v>418325.76011947187</v>
      </c>
      <c r="AL42" s="1582">
        <v>9412553.5955705252</v>
      </c>
      <c r="AM42" s="1567">
        <v>22376.302465971912</v>
      </c>
      <c r="AN42" s="1600">
        <v>9434929.8980364967</v>
      </c>
      <c r="AO42" s="1576">
        <f t="shared" si="46"/>
        <v>-8.6</v>
      </c>
    </row>
    <row r="43" spans="1:41">
      <c r="A43" s="1560" t="s">
        <v>11843</v>
      </c>
      <c r="B43" s="1561" t="s">
        <v>11834</v>
      </c>
      <c r="C43" s="1561"/>
      <c r="D43" s="1562">
        <v>25239.424957908424</v>
      </c>
      <c r="E43" s="1562">
        <v>3268.7616130486726</v>
      </c>
      <c r="F43" s="1562">
        <v>7210.8050762935009</v>
      </c>
      <c r="G43" s="1562">
        <v>4918.0960104260284</v>
      </c>
      <c r="H43" s="1562">
        <v>458213.70807329734</v>
      </c>
      <c r="I43" s="1562">
        <v>30836.715010144595</v>
      </c>
      <c r="J43" s="1562">
        <v>75044.572473550448</v>
      </c>
      <c r="K43" s="1562">
        <v>400864.37435834901</v>
      </c>
      <c r="L43" s="1562">
        <v>43002.792716944765</v>
      </c>
      <c r="M43" s="1562">
        <v>71690.102797368439</v>
      </c>
      <c r="N43" s="1562">
        <v>543398.06220086571</v>
      </c>
      <c r="O43" s="1562">
        <v>190450.95285580671</v>
      </c>
      <c r="P43" s="1562">
        <v>654304.02100249415</v>
      </c>
      <c r="Q43" s="1562">
        <v>111884.99748876116</v>
      </c>
      <c r="R43" s="1562">
        <v>335805.41760940431</v>
      </c>
      <c r="S43" s="1562">
        <v>237787.30513974835</v>
      </c>
      <c r="T43" s="1562">
        <v>254759.46422778958</v>
      </c>
      <c r="U43" s="1562">
        <v>55981.964645297194</v>
      </c>
      <c r="V43" s="1562">
        <v>215387.77723930575</v>
      </c>
      <c r="W43" s="1562">
        <v>395662.96265703492</v>
      </c>
      <c r="X43" s="1562">
        <v>361419.30742764054</v>
      </c>
      <c r="Y43" s="1562">
        <v>194541.27245519732</v>
      </c>
      <c r="Z43" s="1562">
        <v>166878.03497244322</v>
      </c>
      <c r="AA43" s="1562">
        <v>730809.50882601808</v>
      </c>
      <c r="AB43" s="1562">
        <v>483415.36627743626</v>
      </c>
      <c r="AC43" s="1562">
        <v>317236.18475513958</v>
      </c>
      <c r="AD43" s="1562">
        <v>239415.46664938022</v>
      </c>
      <c r="AE43" s="1562">
        <v>277631.63697295013</v>
      </c>
      <c r="AF43" s="1562">
        <v>836430.89907978266</v>
      </c>
      <c r="AG43" s="1562">
        <v>411209.16570336791</v>
      </c>
      <c r="AH43" s="1562">
        <v>223683.92427237218</v>
      </c>
      <c r="AI43" s="1562">
        <v>263813.61788388534</v>
      </c>
      <c r="AJ43" s="1562">
        <v>611921.60517554882</v>
      </c>
      <c r="AK43" s="1562">
        <v>394901.49967863096</v>
      </c>
      <c r="AL43" s="1581">
        <v>9267600.4608559925</v>
      </c>
      <c r="AM43" s="1563">
        <v>22031.707861242168</v>
      </c>
      <c r="AN43" s="1599">
        <v>9289632.1687172353</v>
      </c>
      <c r="AO43" s="1575">
        <f t="shared" si="46"/>
        <v>-0.5</v>
      </c>
    </row>
    <row r="44" spans="1:41">
      <c r="A44" s="1564">
        <v>2010</v>
      </c>
      <c r="B44" s="1565" t="s">
        <v>11831</v>
      </c>
      <c r="C44" s="1565"/>
      <c r="D44" s="1566">
        <v>22345.136715720917</v>
      </c>
      <c r="E44" s="1566">
        <v>3036.5621671655304</v>
      </c>
      <c r="F44" s="1566">
        <v>8625.5283405664995</v>
      </c>
      <c r="G44" s="1566">
        <v>3679.9231499453194</v>
      </c>
      <c r="H44" s="1566">
        <v>452153.59374115209</v>
      </c>
      <c r="I44" s="1566">
        <v>31903.278231370739</v>
      </c>
      <c r="J44" s="1566">
        <v>87180.356064834748</v>
      </c>
      <c r="K44" s="1566">
        <v>449832.83411746664</v>
      </c>
      <c r="L44" s="1566">
        <v>39326.111222340718</v>
      </c>
      <c r="M44" s="1566">
        <v>89596.665539845984</v>
      </c>
      <c r="N44" s="1566">
        <v>486771.26006856567</v>
      </c>
      <c r="O44" s="1566">
        <v>163117.74063479953</v>
      </c>
      <c r="P44" s="1566">
        <v>567076.50933078968</v>
      </c>
      <c r="Q44" s="1566">
        <v>123852.80596922993</v>
      </c>
      <c r="R44" s="1566">
        <v>301119.76743618189</v>
      </c>
      <c r="S44" s="1566">
        <v>203313.79941543873</v>
      </c>
      <c r="T44" s="1566">
        <v>215573.67558374029</v>
      </c>
      <c r="U44" s="1566">
        <v>52101.215415604143</v>
      </c>
      <c r="V44" s="1566">
        <v>220489.42644859021</v>
      </c>
      <c r="W44" s="1566">
        <v>329111.9916731441</v>
      </c>
      <c r="X44" s="1566">
        <v>326980.84408611013</v>
      </c>
      <c r="Y44" s="1566">
        <v>180485.94771240337</v>
      </c>
      <c r="Z44" s="1566">
        <v>146494.89637370678</v>
      </c>
      <c r="AA44" s="1566">
        <v>758064.68547690485</v>
      </c>
      <c r="AB44" s="1566">
        <v>532553.10836113675</v>
      </c>
      <c r="AC44" s="1566">
        <v>328361.0825875036</v>
      </c>
      <c r="AD44" s="1566">
        <v>255527.59606222279</v>
      </c>
      <c r="AE44" s="1566">
        <v>267958.88168304414</v>
      </c>
      <c r="AF44" s="1566">
        <v>841986.99936770706</v>
      </c>
      <c r="AG44" s="1566">
        <v>438447.43812731892</v>
      </c>
      <c r="AH44" s="1566">
        <v>244244.85363024252</v>
      </c>
      <c r="AI44" s="1566">
        <v>259666.09984706884</v>
      </c>
      <c r="AJ44" s="1566">
        <v>619498.11792128684</v>
      </c>
      <c r="AK44" s="1566">
        <v>443741.83165809972</v>
      </c>
      <c r="AL44" s="1582">
        <v>9167239.7200751398</v>
      </c>
      <c r="AM44" s="1567">
        <v>24402.559496639456</v>
      </c>
      <c r="AN44" s="1600">
        <v>9191642.2795717791</v>
      </c>
      <c r="AO44" s="1576">
        <f t="shared" si="46"/>
        <v>2.8</v>
      </c>
    </row>
    <row r="45" spans="1:41">
      <c r="A45" s="1564"/>
      <c r="B45" s="1565" t="s">
        <v>11832</v>
      </c>
      <c r="C45" s="1565"/>
      <c r="D45" s="1566">
        <v>30488.972911995061</v>
      </c>
      <c r="E45" s="1566">
        <v>3081.6532472889048</v>
      </c>
      <c r="F45" s="1566">
        <v>12525.505647074353</v>
      </c>
      <c r="G45" s="1566">
        <v>3498.4738424049651</v>
      </c>
      <c r="H45" s="1566">
        <v>400290.49674490874</v>
      </c>
      <c r="I45" s="1566">
        <v>31453.134078047497</v>
      </c>
      <c r="J45" s="1566">
        <v>86141.912774711775</v>
      </c>
      <c r="K45" s="1566">
        <v>446937.72527027765</v>
      </c>
      <c r="L45" s="1566">
        <v>34131.57281196228</v>
      </c>
      <c r="M45" s="1566">
        <v>98256.653396054127</v>
      </c>
      <c r="N45" s="1566">
        <v>487506.35631136497</v>
      </c>
      <c r="O45" s="1566">
        <v>163660.53788080634</v>
      </c>
      <c r="P45" s="1566">
        <v>636800.87422277243</v>
      </c>
      <c r="Q45" s="1566">
        <v>144508.84154508761</v>
      </c>
      <c r="R45" s="1566">
        <v>343301.41525751242</v>
      </c>
      <c r="S45" s="1566">
        <v>186221.2015890271</v>
      </c>
      <c r="T45" s="1566">
        <v>269629.0266802691</v>
      </c>
      <c r="U45" s="1566">
        <v>52038.873333363503</v>
      </c>
      <c r="V45" s="1566">
        <v>218498.92905407009</v>
      </c>
      <c r="W45" s="1566">
        <v>381062.9899394486</v>
      </c>
      <c r="X45" s="1566">
        <v>365513.77361145185</v>
      </c>
      <c r="Y45" s="1566">
        <v>216406.64246364136</v>
      </c>
      <c r="Z45" s="1566">
        <v>149107.13114781052</v>
      </c>
      <c r="AA45" s="1566">
        <v>820766.71596353187</v>
      </c>
      <c r="AB45" s="1566">
        <v>527402.45511283632</v>
      </c>
      <c r="AC45" s="1566">
        <v>330038.19148933113</v>
      </c>
      <c r="AD45" s="1566">
        <v>260288.99471787902</v>
      </c>
      <c r="AE45" s="1566">
        <v>267363.85380668886</v>
      </c>
      <c r="AF45" s="1566">
        <v>839954.21599707427</v>
      </c>
      <c r="AG45" s="1566">
        <v>444251.70574827772</v>
      </c>
      <c r="AH45" s="1566">
        <v>210160.15090973448</v>
      </c>
      <c r="AI45" s="1566">
        <v>275079.76319045568</v>
      </c>
      <c r="AJ45" s="1566">
        <v>625953.01790400792</v>
      </c>
      <c r="AK45" s="1566">
        <v>439193.63564320514</v>
      </c>
      <c r="AL45" s="1582">
        <v>9436001.6206329241</v>
      </c>
      <c r="AM45" s="1567">
        <v>25117.985128460667</v>
      </c>
      <c r="AN45" s="1600">
        <v>9461119.6057613846</v>
      </c>
      <c r="AO45" s="1576">
        <f t="shared" si="46"/>
        <v>5.5</v>
      </c>
    </row>
    <row r="46" spans="1:41">
      <c r="A46" s="1568"/>
      <c r="B46" s="1569" t="s">
        <v>11833</v>
      </c>
      <c r="C46" s="1569"/>
      <c r="D46" s="1570">
        <v>73023.974281038943</v>
      </c>
      <c r="E46" s="1570">
        <v>3169.2587743857462</v>
      </c>
      <c r="F46" s="1570">
        <v>14213.035574532871</v>
      </c>
      <c r="G46" s="1570">
        <v>3672.0873232420345</v>
      </c>
      <c r="H46" s="1570">
        <v>518037.97848443792</v>
      </c>
      <c r="I46" s="1570">
        <v>33436.26658938099</v>
      </c>
      <c r="J46" s="1570">
        <v>76071.040766526377</v>
      </c>
      <c r="K46" s="1570">
        <v>433063.94741076452</v>
      </c>
      <c r="L46" s="1570">
        <v>38868.989777728071</v>
      </c>
      <c r="M46" s="1570">
        <v>102971.87604955485</v>
      </c>
      <c r="N46" s="1570">
        <v>517048.96502984699</v>
      </c>
      <c r="O46" s="1570">
        <v>183099.16557801969</v>
      </c>
      <c r="P46" s="1570">
        <v>624951.5085881172</v>
      </c>
      <c r="Q46" s="1570">
        <v>144343.57731004519</v>
      </c>
      <c r="R46" s="1570">
        <v>351388.73151500354</v>
      </c>
      <c r="S46" s="1570">
        <v>179034.4984280956</v>
      </c>
      <c r="T46" s="1570">
        <v>304566.94105440343</v>
      </c>
      <c r="U46" s="1570">
        <v>51015.398135789139</v>
      </c>
      <c r="V46" s="1570">
        <v>209260.90925952635</v>
      </c>
      <c r="W46" s="1570">
        <v>442684.61262658675</v>
      </c>
      <c r="X46" s="1570">
        <v>334933.07710579486</v>
      </c>
      <c r="Y46" s="1570">
        <v>180792.84539713745</v>
      </c>
      <c r="Z46" s="1570">
        <v>154140.2317086574</v>
      </c>
      <c r="AA46" s="1570">
        <v>892083.11787603272</v>
      </c>
      <c r="AB46" s="1570">
        <v>528340.96649202029</v>
      </c>
      <c r="AC46" s="1570">
        <v>333899.88738901616</v>
      </c>
      <c r="AD46" s="1570">
        <v>260474.94723713648</v>
      </c>
      <c r="AE46" s="1570">
        <v>268214.28427335469</v>
      </c>
      <c r="AF46" s="1570">
        <v>841637.39726259978</v>
      </c>
      <c r="AG46" s="1570">
        <v>442212.43361224362</v>
      </c>
      <c r="AH46" s="1570">
        <v>247536.48464202927</v>
      </c>
      <c r="AI46" s="1570">
        <v>286583.02968642989</v>
      </c>
      <c r="AJ46" s="1570">
        <v>619694.8530517763</v>
      </c>
      <c r="AK46" s="1570">
        <v>439351.11623470671</v>
      </c>
      <c r="AL46" s="1583">
        <v>9798884.357420167</v>
      </c>
      <c r="AM46" s="1571">
        <v>26083.953930974043</v>
      </c>
      <c r="AN46" s="1601">
        <v>9824968.311351141</v>
      </c>
      <c r="AO46" s="1577">
        <f t="shared" si="46"/>
        <v>4.0999999999999996</v>
      </c>
    </row>
    <row r="47" spans="1:41">
      <c r="A47" s="1564" t="s">
        <v>11844</v>
      </c>
      <c r="B47" s="1565" t="s">
        <v>11827</v>
      </c>
      <c r="C47" s="1565"/>
      <c r="D47" s="1566">
        <v>25889.916091245072</v>
      </c>
      <c r="E47" s="1566">
        <v>3416.5258111598191</v>
      </c>
      <c r="F47" s="1566">
        <v>6872.9304378262732</v>
      </c>
      <c r="G47" s="1566">
        <v>3918.5156844076814</v>
      </c>
      <c r="H47" s="1566">
        <v>463242.93102950131</v>
      </c>
      <c r="I47" s="1566">
        <v>30710.321101200774</v>
      </c>
      <c r="J47" s="1566">
        <v>73088.6903939271</v>
      </c>
      <c r="K47" s="1566">
        <v>423027.49320149107</v>
      </c>
      <c r="L47" s="1566">
        <v>44944.326187968931</v>
      </c>
      <c r="M47" s="1566">
        <v>99711.805014545054</v>
      </c>
      <c r="N47" s="1566">
        <v>533212.41859022237</v>
      </c>
      <c r="O47" s="1566">
        <v>176317.55590637439</v>
      </c>
      <c r="P47" s="1566">
        <v>687556.1078583207</v>
      </c>
      <c r="Q47" s="1566">
        <v>142974.77517563727</v>
      </c>
      <c r="R47" s="1566">
        <v>375427.0857913022</v>
      </c>
      <c r="S47" s="1566">
        <v>205902.50056743858</v>
      </c>
      <c r="T47" s="1566">
        <v>290984.35668158712</v>
      </c>
      <c r="U47" s="1566">
        <v>51823.513115243222</v>
      </c>
      <c r="V47" s="1566">
        <v>210678.73523781335</v>
      </c>
      <c r="W47" s="1566">
        <v>469431.40576082055</v>
      </c>
      <c r="X47" s="1566">
        <v>371787.09467087587</v>
      </c>
      <c r="Y47" s="1566">
        <v>202781.35390105058</v>
      </c>
      <c r="Z47" s="1566">
        <v>169005.74076982529</v>
      </c>
      <c r="AA47" s="1566">
        <v>786652.80302982591</v>
      </c>
      <c r="AB47" s="1566">
        <v>533878.9536881363</v>
      </c>
      <c r="AC47" s="1566">
        <v>325411.83853414905</v>
      </c>
      <c r="AD47" s="1566">
        <v>271649.4619827618</v>
      </c>
      <c r="AE47" s="1566">
        <v>269061.98023691232</v>
      </c>
      <c r="AF47" s="1566">
        <v>845020.63885701983</v>
      </c>
      <c r="AG47" s="1566">
        <v>407665.42251215997</v>
      </c>
      <c r="AH47" s="1566">
        <v>217662.51081799381</v>
      </c>
      <c r="AI47" s="1566">
        <v>256077.10727604557</v>
      </c>
      <c r="AJ47" s="1566">
        <v>621679.01112292882</v>
      </c>
      <c r="AK47" s="1566">
        <v>394969.41646398825</v>
      </c>
      <c r="AL47" s="1582">
        <v>9620648.1488308292</v>
      </c>
      <c r="AM47" s="1567">
        <v>25609.501443925834</v>
      </c>
      <c r="AN47" s="1600">
        <v>9646257.6502747554</v>
      </c>
      <c r="AO47" s="1576">
        <f t="shared" si="46"/>
        <v>3.8</v>
      </c>
    </row>
    <row r="48" spans="1:41">
      <c r="A48" s="1564">
        <v>2011</v>
      </c>
      <c r="B48" s="1565" t="s">
        <v>11828</v>
      </c>
      <c r="C48" s="1565"/>
      <c r="D48" s="1566">
        <v>22391.355922963525</v>
      </c>
      <c r="E48" s="1566">
        <v>2816.5967223188818</v>
      </c>
      <c r="F48" s="1566">
        <v>6466.421688084476</v>
      </c>
      <c r="G48" s="1566">
        <v>3728.8036852514292</v>
      </c>
      <c r="H48" s="1566">
        <v>464997.08617073426</v>
      </c>
      <c r="I48" s="1566">
        <v>35559.08716182378</v>
      </c>
      <c r="J48" s="1566">
        <v>81306.478985811002</v>
      </c>
      <c r="K48" s="1566">
        <v>486016.45438051817</v>
      </c>
      <c r="L48" s="1566">
        <v>40498.068084303239</v>
      </c>
      <c r="M48" s="1566">
        <v>84961.734289642452</v>
      </c>
      <c r="N48" s="1566">
        <v>522998.72472101747</v>
      </c>
      <c r="O48" s="1566">
        <v>190044.43076141449</v>
      </c>
      <c r="P48" s="1566">
        <v>587269.90893379599</v>
      </c>
      <c r="Q48" s="1566">
        <v>76466.523465646547</v>
      </c>
      <c r="R48" s="1566">
        <v>356548.38882108952</v>
      </c>
      <c r="S48" s="1566">
        <v>188800.06844925942</v>
      </c>
      <c r="T48" s="1566">
        <v>229081.30389118183</v>
      </c>
      <c r="U48" s="1566">
        <v>38749.983561374509</v>
      </c>
      <c r="V48" s="1566">
        <v>243597.64832448793</v>
      </c>
      <c r="W48" s="1566">
        <v>329325.79038897739</v>
      </c>
      <c r="X48" s="1566">
        <v>346065.88118133391</v>
      </c>
      <c r="Y48" s="1566">
        <v>189353.4128699271</v>
      </c>
      <c r="Z48" s="1566">
        <v>156712.46831140682</v>
      </c>
      <c r="AA48" s="1566">
        <v>825572.94970354356</v>
      </c>
      <c r="AB48" s="1566">
        <v>481609.15288796782</v>
      </c>
      <c r="AC48" s="1566">
        <v>295837.01304879825</v>
      </c>
      <c r="AD48" s="1566">
        <v>269444.88504299929</v>
      </c>
      <c r="AE48" s="1566">
        <v>256845.22595602833</v>
      </c>
      <c r="AF48" s="1566">
        <v>850436.04283132369</v>
      </c>
      <c r="AG48" s="1566">
        <v>418531.13228761184</v>
      </c>
      <c r="AH48" s="1566">
        <v>243775.64018830223</v>
      </c>
      <c r="AI48" s="1566">
        <v>296307.4956928264</v>
      </c>
      <c r="AJ48" s="1566">
        <v>621163.18672686501</v>
      </c>
      <c r="AK48" s="1566">
        <v>406544.28208367724</v>
      </c>
      <c r="AL48" s="1582">
        <v>9303757.7460409738</v>
      </c>
      <c r="AM48" s="1567">
        <v>35751.266768440408</v>
      </c>
      <c r="AN48" s="1600">
        <v>9339509.0128094144</v>
      </c>
      <c r="AO48" s="1576">
        <f t="shared" si="46"/>
        <v>1.6</v>
      </c>
    </row>
    <row r="49" spans="1:41">
      <c r="A49" s="1564"/>
      <c r="B49" s="1565" t="s">
        <v>11829</v>
      </c>
      <c r="C49" s="1565"/>
      <c r="D49" s="1566">
        <v>29878.857257115771</v>
      </c>
      <c r="E49" s="1566">
        <v>2932.3984443240342</v>
      </c>
      <c r="F49" s="1566">
        <v>9869.1877670563044</v>
      </c>
      <c r="G49" s="1566">
        <v>3578.952634111783</v>
      </c>
      <c r="H49" s="1566">
        <v>410351.31690882711</v>
      </c>
      <c r="I49" s="1566">
        <v>34557.307479473915</v>
      </c>
      <c r="J49" s="1566">
        <v>79512.901860590355</v>
      </c>
      <c r="K49" s="1566">
        <v>466859.42835749977</v>
      </c>
      <c r="L49" s="1566">
        <v>37929.115992626554</v>
      </c>
      <c r="M49" s="1566">
        <v>93157.987692752577</v>
      </c>
      <c r="N49" s="1566">
        <v>541962.07279178861</v>
      </c>
      <c r="O49" s="1566">
        <v>177650.40163888881</v>
      </c>
      <c r="P49" s="1566">
        <v>577573.09178583021</v>
      </c>
      <c r="Q49" s="1566">
        <v>68637.352712337728</v>
      </c>
      <c r="R49" s="1566">
        <v>384761.52393467689</v>
      </c>
      <c r="S49" s="1566">
        <v>231692.17833495239</v>
      </c>
      <c r="T49" s="1566">
        <v>234379.28610539544</v>
      </c>
      <c r="U49" s="1566">
        <v>41983.261148192985</v>
      </c>
      <c r="V49" s="1566">
        <v>234633.83269847548</v>
      </c>
      <c r="W49" s="1566">
        <v>362953.44079630269</v>
      </c>
      <c r="X49" s="1566">
        <v>369576.47081665334</v>
      </c>
      <c r="Y49" s="1566">
        <v>215119.78208436409</v>
      </c>
      <c r="Z49" s="1566">
        <v>154456.68873228924</v>
      </c>
      <c r="AA49" s="1566">
        <v>839796.68591529422</v>
      </c>
      <c r="AB49" s="1566">
        <v>490601.52027206693</v>
      </c>
      <c r="AC49" s="1566">
        <v>298846.21746933239</v>
      </c>
      <c r="AD49" s="1566">
        <v>275838.98741532117</v>
      </c>
      <c r="AE49" s="1566">
        <v>256166.91893484461</v>
      </c>
      <c r="AF49" s="1566">
        <v>850355.35083233321</v>
      </c>
      <c r="AG49" s="1566">
        <v>426042.63861331937</v>
      </c>
      <c r="AH49" s="1566">
        <v>210453.21090471352</v>
      </c>
      <c r="AI49" s="1566">
        <v>273034.20588481548</v>
      </c>
      <c r="AJ49" s="1566">
        <v>637010.37033376412</v>
      </c>
      <c r="AK49" s="1566">
        <v>422411.92065677262</v>
      </c>
      <c r="AL49" s="1582">
        <v>9374988.3943904489</v>
      </c>
      <c r="AM49" s="1567">
        <v>36024.982613235989</v>
      </c>
      <c r="AN49" s="1600">
        <v>9411013.3770036846</v>
      </c>
      <c r="AO49" s="1576">
        <f t="shared" si="46"/>
        <v>-0.5</v>
      </c>
    </row>
    <row r="50" spans="1:41">
      <c r="A50" s="1564"/>
      <c r="B50" s="1565" t="s">
        <v>11830</v>
      </c>
      <c r="C50" s="1565"/>
      <c r="D50" s="1566">
        <v>75239.196190526665</v>
      </c>
      <c r="E50" s="1566">
        <v>3022.0513903925407</v>
      </c>
      <c r="F50" s="1566">
        <v>10658.30109520941</v>
      </c>
      <c r="G50" s="1566">
        <v>3745.8794720021046</v>
      </c>
      <c r="H50" s="1566">
        <v>518937.25748304499</v>
      </c>
      <c r="I50" s="1566">
        <v>37152.674230927907</v>
      </c>
      <c r="J50" s="1566">
        <v>81420.174067012194</v>
      </c>
      <c r="K50" s="1566">
        <v>451935.83733212779</v>
      </c>
      <c r="L50" s="1566">
        <v>40996.51308880539</v>
      </c>
      <c r="M50" s="1566">
        <v>98064.206892419723</v>
      </c>
      <c r="N50" s="1566">
        <v>497806.22387141938</v>
      </c>
      <c r="O50" s="1566">
        <v>196568.3106836433</v>
      </c>
      <c r="P50" s="1566">
        <v>555849.86953745678</v>
      </c>
      <c r="Q50" s="1566">
        <v>64392.699897098253</v>
      </c>
      <c r="R50" s="1566">
        <v>336037.20960576972</v>
      </c>
      <c r="S50" s="1566">
        <v>224390.91668279207</v>
      </c>
      <c r="T50" s="1566">
        <v>307465.34525354288</v>
      </c>
      <c r="U50" s="1566">
        <v>38713.600249519463</v>
      </c>
      <c r="V50" s="1566">
        <v>223769.44640318368</v>
      </c>
      <c r="W50" s="1566">
        <v>413708.05872389249</v>
      </c>
      <c r="X50" s="1566">
        <v>350291.14107004914</v>
      </c>
      <c r="Y50" s="1566">
        <v>187608.17564639653</v>
      </c>
      <c r="Z50" s="1566">
        <v>162682.96542365261</v>
      </c>
      <c r="AA50" s="1566">
        <v>914440.36355697538</v>
      </c>
      <c r="AB50" s="1566">
        <v>491840.52763904328</v>
      </c>
      <c r="AC50" s="1566">
        <v>310530.4228845113</v>
      </c>
      <c r="AD50" s="1566">
        <v>274996.05561022222</v>
      </c>
      <c r="AE50" s="1566">
        <v>256277.68446707525</v>
      </c>
      <c r="AF50" s="1566">
        <v>854109.29591320746</v>
      </c>
      <c r="AG50" s="1566">
        <v>423152.11725706665</v>
      </c>
      <c r="AH50" s="1566">
        <v>247034.77920348689</v>
      </c>
      <c r="AI50" s="1566">
        <v>281462.91385418881</v>
      </c>
      <c r="AJ50" s="1566">
        <v>627049.79182572186</v>
      </c>
      <c r="AK50" s="1566">
        <v>432920.32071832992</v>
      </c>
      <c r="AL50" s="1582">
        <v>9643979.1861506645</v>
      </c>
      <c r="AM50" s="1567">
        <v>37058.625343085194</v>
      </c>
      <c r="AN50" s="1600">
        <v>9681037.8114937488</v>
      </c>
      <c r="AO50" s="1576">
        <f t="shared" si="46"/>
        <v>-1.5</v>
      </c>
    </row>
    <row r="51" spans="1:41">
      <c r="A51" s="1560" t="s">
        <v>11845</v>
      </c>
      <c r="B51" s="1561" t="s">
        <v>11827</v>
      </c>
      <c r="C51" s="1561"/>
      <c r="D51" s="1562">
        <v>27442.590629394039</v>
      </c>
      <c r="E51" s="1562">
        <v>2582.9534429645446</v>
      </c>
      <c r="F51" s="1562">
        <v>9788.0894496498076</v>
      </c>
      <c r="G51" s="1562">
        <v>3107.3642086346822</v>
      </c>
      <c r="H51" s="1562">
        <v>461486.33943739388</v>
      </c>
      <c r="I51" s="1562">
        <v>35494.931127774398</v>
      </c>
      <c r="J51" s="1562">
        <v>74110.445086586449</v>
      </c>
      <c r="K51" s="1562">
        <v>424429.27992985421</v>
      </c>
      <c r="L51" s="1562">
        <v>44309.302834264818</v>
      </c>
      <c r="M51" s="1562">
        <v>95243.071125185248</v>
      </c>
      <c r="N51" s="1562">
        <v>497321.97861577437</v>
      </c>
      <c r="O51" s="1562">
        <v>189491.85691605331</v>
      </c>
      <c r="P51" s="1562">
        <v>567597.12974291702</v>
      </c>
      <c r="Q51" s="1562">
        <v>62800.423924917486</v>
      </c>
      <c r="R51" s="1562">
        <v>414716.87763846375</v>
      </c>
      <c r="S51" s="1562">
        <v>268575.83653299621</v>
      </c>
      <c r="T51" s="1562">
        <v>297684.06474987988</v>
      </c>
      <c r="U51" s="1562">
        <v>41010.15504091305</v>
      </c>
      <c r="V51" s="1562">
        <v>234771.0725738529</v>
      </c>
      <c r="W51" s="1562">
        <v>435417.71009082749</v>
      </c>
      <c r="X51" s="1562">
        <v>399706.50693196361</v>
      </c>
      <c r="Y51" s="1562">
        <v>215397.62939931231</v>
      </c>
      <c r="Z51" s="1562">
        <v>184308.8775326513</v>
      </c>
      <c r="AA51" s="1562">
        <v>824601.70064505597</v>
      </c>
      <c r="AB51" s="1562">
        <v>553723.12124213448</v>
      </c>
      <c r="AC51" s="1562">
        <v>363013.34659735794</v>
      </c>
      <c r="AD51" s="1562">
        <v>269012.07193145738</v>
      </c>
      <c r="AE51" s="1562">
        <v>256527.17064205182</v>
      </c>
      <c r="AF51" s="1562">
        <v>861749.12927282543</v>
      </c>
      <c r="AG51" s="1562">
        <v>455528.11184200208</v>
      </c>
      <c r="AH51" s="1562">
        <v>218882.36970349742</v>
      </c>
      <c r="AI51" s="1562">
        <v>240531.38456816936</v>
      </c>
      <c r="AJ51" s="1562">
        <v>705741.65111364902</v>
      </c>
      <c r="AK51" s="1562">
        <v>403998.47654122027</v>
      </c>
      <c r="AL51" s="1581">
        <v>9740396.5141296834</v>
      </c>
      <c r="AM51" s="1563">
        <v>37429.12527523841</v>
      </c>
      <c r="AN51" s="1599">
        <v>9777825.6394049209</v>
      </c>
      <c r="AO51" s="1575">
        <f t="shared" si="46"/>
        <v>1.4</v>
      </c>
    </row>
    <row r="52" spans="1:41">
      <c r="A52" s="1564">
        <v>2012</v>
      </c>
      <c r="B52" s="1565" t="s">
        <v>11828</v>
      </c>
      <c r="C52" s="1565"/>
      <c r="D52" s="1566">
        <v>23551.571031053809</v>
      </c>
      <c r="E52" s="1566">
        <v>2763.2537415285242</v>
      </c>
      <c r="F52" s="1566">
        <v>10708.503140610033</v>
      </c>
      <c r="G52" s="1566">
        <v>4175.9590900483172</v>
      </c>
      <c r="H52" s="1566">
        <v>469776.37648914207</v>
      </c>
      <c r="I52" s="1566">
        <v>31095.26475104651</v>
      </c>
      <c r="J52" s="1566">
        <v>67415.867024799663</v>
      </c>
      <c r="K52" s="1566">
        <v>491085.86310175783</v>
      </c>
      <c r="L52" s="1566">
        <v>40774.99300165505</v>
      </c>
      <c r="M52" s="1566">
        <v>71002.992187550175</v>
      </c>
      <c r="N52" s="1566">
        <v>492654.39568552619</v>
      </c>
      <c r="O52" s="1566">
        <v>180068.46191803136</v>
      </c>
      <c r="P52" s="1566">
        <v>632219.34057096986</v>
      </c>
      <c r="Q52" s="1566">
        <v>78839.482027794991</v>
      </c>
      <c r="R52" s="1566">
        <v>341249.35125776136</v>
      </c>
      <c r="S52" s="1566">
        <v>181588.67823561592</v>
      </c>
      <c r="T52" s="1566">
        <v>281306.69725199422</v>
      </c>
      <c r="U52" s="1566">
        <v>34219.496894624266</v>
      </c>
      <c r="V52" s="1566">
        <v>239490.96219066312</v>
      </c>
      <c r="W52" s="1566">
        <v>347196.84339683386</v>
      </c>
      <c r="X52" s="1566">
        <v>383425.71468789282</v>
      </c>
      <c r="Y52" s="1566">
        <v>214210.63455636424</v>
      </c>
      <c r="Z52" s="1566">
        <v>169215.08013152855</v>
      </c>
      <c r="AA52" s="1566">
        <v>847335.93260061007</v>
      </c>
      <c r="AB52" s="1566">
        <v>536515.88886350894</v>
      </c>
      <c r="AC52" s="1566">
        <v>331825.51207288145</v>
      </c>
      <c r="AD52" s="1566">
        <v>279321.52259340941</v>
      </c>
      <c r="AE52" s="1566">
        <v>258045.41941735096</v>
      </c>
      <c r="AF52" s="1566">
        <v>857440.4188727017</v>
      </c>
      <c r="AG52" s="1566">
        <v>426712.69904677453</v>
      </c>
      <c r="AH52" s="1566">
        <v>232162.36105286743</v>
      </c>
      <c r="AI52" s="1566">
        <v>256354.61592227113</v>
      </c>
      <c r="AJ52" s="1566">
        <v>670305.45696322061</v>
      </c>
      <c r="AK52" s="1566">
        <v>438170.59963878576</v>
      </c>
      <c r="AL52" s="1582">
        <v>9538800.4947212823</v>
      </c>
      <c r="AM52" s="1567">
        <v>37729.34814275719</v>
      </c>
      <c r="AN52" s="1600">
        <v>9576529.8428640403</v>
      </c>
      <c r="AO52" s="1576">
        <f t="shared" si="46"/>
        <v>2.5</v>
      </c>
    </row>
    <row r="53" spans="1:41">
      <c r="A53" s="1564"/>
      <c r="B53" s="1565" t="s">
        <v>11829</v>
      </c>
      <c r="C53" s="1565"/>
      <c r="D53" s="1566">
        <v>31426.64306804927</v>
      </c>
      <c r="E53" s="1566">
        <v>2674.8668373382179</v>
      </c>
      <c r="F53" s="1566">
        <v>14629.078570200027</v>
      </c>
      <c r="G53" s="1566">
        <v>3468.2607555470831</v>
      </c>
      <c r="H53" s="1566">
        <v>416182.00333358417</v>
      </c>
      <c r="I53" s="1566">
        <v>30270.982082527502</v>
      </c>
      <c r="J53" s="1566">
        <v>65483.407662398546</v>
      </c>
      <c r="K53" s="1566">
        <v>444460.53531132417</v>
      </c>
      <c r="L53" s="1566">
        <v>35281.862711305956</v>
      </c>
      <c r="M53" s="1566">
        <v>73072.046122301181</v>
      </c>
      <c r="N53" s="1566">
        <v>486386.1947738314</v>
      </c>
      <c r="O53" s="1566">
        <v>177823.90080700276</v>
      </c>
      <c r="P53" s="1566">
        <v>633420.62222276581</v>
      </c>
      <c r="Q53" s="1566">
        <v>90542.757835274562</v>
      </c>
      <c r="R53" s="1566">
        <v>381563.9744417427</v>
      </c>
      <c r="S53" s="1566">
        <v>185486.94042832925</v>
      </c>
      <c r="T53" s="1566">
        <v>273001.05837336788</v>
      </c>
      <c r="U53" s="1566">
        <v>36911.306611800566</v>
      </c>
      <c r="V53" s="1566">
        <v>228273.11581149185</v>
      </c>
      <c r="W53" s="1566">
        <v>391376.69757192431</v>
      </c>
      <c r="X53" s="1566">
        <v>406249.97377061041</v>
      </c>
      <c r="Y53" s="1566">
        <v>242866.98454097772</v>
      </c>
      <c r="Z53" s="1566">
        <v>163382.98922963272</v>
      </c>
      <c r="AA53" s="1566">
        <v>860980.65912804939</v>
      </c>
      <c r="AB53" s="1566">
        <v>525657.17608560086</v>
      </c>
      <c r="AC53" s="1566">
        <v>318904.19251253823</v>
      </c>
      <c r="AD53" s="1566">
        <v>270446.36132626742</v>
      </c>
      <c r="AE53" s="1566">
        <v>258663.22189958493</v>
      </c>
      <c r="AF53" s="1566">
        <v>857407.52747671329</v>
      </c>
      <c r="AG53" s="1566">
        <v>437232.75340430491</v>
      </c>
      <c r="AH53" s="1566">
        <v>201759.19448757143</v>
      </c>
      <c r="AI53" s="1566">
        <v>265985.01057482883</v>
      </c>
      <c r="AJ53" s="1566">
        <v>675956.62221753283</v>
      </c>
      <c r="AK53" s="1566">
        <v>435288.549071246</v>
      </c>
      <c r="AL53" s="1582">
        <v>9516267.4972869549</v>
      </c>
      <c r="AM53" s="1567">
        <v>37640.222124724838</v>
      </c>
      <c r="AN53" s="1600">
        <v>9553907.7194116805</v>
      </c>
      <c r="AO53" s="1576">
        <f t="shared" si="46"/>
        <v>1.5</v>
      </c>
    </row>
    <row r="54" spans="1:41">
      <c r="A54" s="1568"/>
      <c r="B54" s="1569" t="s">
        <v>11830</v>
      </c>
      <c r="C54" s="1569"/>
      <c r="D54" s="1570">
        <v>79868.368145522429</v>
      </c>
      <c r="E54" s="1570">
        <v>2805.1212224607739</v>
      </c>
      <c r="F54" s="1570">
        <v>15142.719047174476</v>
      </c>
      <c r="G54" s="1570">
        <v>3769.4519170464969</v>
      </c>
      <c r="H54" s="1570">
        <v>529804.65983192413</v>
      </c>
      <c r="I54" s="1570">
        <v>29272.71147950643</v>
      </c>
      <c r="J54" s="1570">
        <v>70801.263465843425</v>
      </c>
      <c r="K54" s="1570">
        <v>433993.81918768276</v>
      </c>
      <c r="L54" s="1570">
        <v>38978.048614759355</v>
      </c>
      <c r="M54" s="1570">
        <v>75827.278761940412</v>
      </c>
      <c r="N54" s="1570">
        <v>460406.94768356124</v>
      </c>
      <c r="O54" s="1570">
        <v>197183.95764128512</v>
      </c>
      <c r="P54" s="1570">
        <v>525161.31594696536</v>
      </c>
      <c r="Q54" s="1570">
        <v>86383.251362558294</v>
      </c>
      <c r="R54" s="1570">
        <v>354015.88478616136</v>
      </c>
      <c r="S54" s="1570">
        <v>154796.81143441121</v>
      </c>
      <c r="T54" s="1570">
        <v>265613.47761055629</v>
      </c>
      <c r="U54" s="1570">
        <v>36002.516035835775</v>
      </c>
      <c r="V54" s="1570">
        <v>219695.69184647064</v>
      </c>
      <c r="W54" s="1570">
        <v>439772.89595637302</v>
      </c>
      <c r="X54" s="1570">
        <v>379828.66504992638</v>
      </c>
      <c r="Y54" s="1570">
        <v>211817.42269311348</v>
      </c>
      <c r="Z54" s="1570">
        <v>168011.2423568129</v>
      </c>
      <c r="AA54" s="1570">
        <v>957337.62599037564</v>
      </c>
      <c r="AB54" s="1570">
        <v>523740.84464373253</v>
      </c>
      <c r="AC54" s="1570">
        <v>321116.76009829406</v>
      </c>
      <c r="AD54" s="1570">
        <v>263969.71058780892</v>
      </c>
      <c r="AE54" s="1570">
        <v>257899.8666399373</v>
      </c>
      <c r="AF54" s="1570">
        <v>859023.00161877112</v>
      </c>
      <c r="AG54" s="1570">
        <v>432674.2988585417</v>
      </c>
      <c r="AH54" s="1570">
        <v>236379.67375994363</v>
      </c>
      <c r="AI54" s="1570">
        <v>268617.9087918778</v>
      </c>
      <c r="AJ54" s="1570">
        <v>672568.57786216284</v>
      </c>
      <c r="AK54" s="1570">
        <v>435169.66128715232</v>
      </c>
      <c r="AL54" s="1583">
        <v>9627622.7871665638</v>
      </c>
      <c r="AM54" s="1571">
        <v>38080.671896342385</v>
      </c>
      <c r="AN54" s="1601">
        <v>9665703.459062906</v>
      </c>
      <c r="AO54" s="1577">
        <f t="shared" si="46"/>
        <v>-0.2</v>
      </c>
    </row>
    <row r="55" spans="1:41">
      <c r="A55" s="1564" t="s">
        <v>11846</v>
      </c>
      <c r="B55" s="1565" t="s">
        <v>11827</v>
      </c>
      <c r="C55" s="1565"/>
      <c r="D55" s="1566">
        <v>25670.417755374496</v>
      </c>
      <c r="E55" s="1566">
        <v>2502.7581986724836</v>
      </c>
      <c r="F55" s="1566">
        <v>7545.6992420154629</v>
      </c>
      <c r="G55" s="1566">
        <v>3492.3282373581028</v>
      </c>
      <c r="H55" s="1566">
        <v>455930.96034534945</v>
      </c>
      <c r="I55" s="1566">
        <v>27297.041686919551</v>
      </c>
      <c r="J55" s="1566">
        <v>63672.461846958387</v>
      </c>
      <c r="K55" s="1566">
        <v>446168.78239923524</v>
      </c>
      <c r="L55" s="1566">
        <v>41876.095672279625</v>
      </c>
      <c r="M55" s="1566">
        <v>72055.682928208233</v>
      </c>
      <c r="N55" s="1566">
        <v>499004.46185708133</v>
      </c>
      <c r="O55" s="1566">
        <v>186375.67963368082</v>
      </c>
      <c r="P55" s="1566">
        <v>550050.72125929897</v>
      </c>
      <c r="Q55" s="1566">
        <v>89003.508774372167</v>
      </c>
      <c r="R55" s="1566">
        <v>373463.78951433476</v>
      </c>
      <c r="S55" s="1566">
        <v>175312.56990164364</v>
      </c>
      <c r="T55" s="1566">
        <v>286088.76676408161</v>
      </c>
      <c r="U55" s="1566">
        <v>35914.680457739378</v>
      </c>
      <c r="V55" s="1566">
        <v>206156.23015137448</v>
      </c>
      <c r="W55" s="1566">
        <v>474438.56307486887</v>
      </c>
      <c r="X55" s="1566">
        <v>420631.6464915704</v>
      </c>
      <c r="Y55" s="1566">
        <v>236692.95820954454</v>
      </c>
      <c r="Z55" s="1566">
        <v>183938.68828202586</v>
      </c>
      <c r="AA55" s="1566">
        <v>846822.11593877978</v>
      </c>
      <c r="AB55" s="1566">
        <v>519403.96015335328</v>
      </c>
      <c r="AC55" s="1566">
        <v>335884.53531628614</v>
      </c>
      <c r="AD55" s="1566">
        <v>270813.40549251426</v>
      </c>
      <c r="AE55" s="1566">
        <v>258829.49204312681</v>
      </c>
      <c r="AF55" s="1566">
        <v>873346.37832943373</v>
      </c>
      <c r="AG55" s="1566">
        <v>427676.24869037914</v>
      </c>
      <c r="AH55" s="1566">
        <v>208714.77069961745</v>
      </c>
      <c r="AI55" s="1566">
        <v>260027.46471102221</v>
      </c>
      <c r="AJ55" s="1566">
        <v>649014.34295708395</v>
      </c>
      <c r="AK55" s="1566">
        <v>390856.19000281591</v>
      </c>
      <c r="AL55" s="1582">
        <v>9484041.7505268287</v>
      </c>
      <c r="AM55" s="1567">
        <v>37512.757836175559</v>
      </c>
      <c r="AN55" s="1600">
        <v>9521554.5083630048</v>
      </c>
      <c r="AO55" s="1576">
        <f t="shared" si="46"/>
        <v>-2.6</v>
      </c>
    </row>
    <row r="56" spans="1:41">
      <c r="A56" s="1564">
        <v>2013</v>
      </c>
      <c r="B56" s="1565" t="s">
        <v>11828</v>
      </c>
      <c r="C56" s="1565"/>
      <c r="D56" s="1566">
        <v>21643.740923026544</v>
      </c>
      <c r="E56" s="1566">
        <v>2700.6478912808143</v>
      </c>
      <c r="F56" s="1566">
        <v>8470.4550725920835</v>
      </c>
      <c r="G56" s="1566">
        <v>3895.5779226766131</v>
      </c>
      <c r="H56" s="1566">
        <v>491982.5399322678</v>
      </c>
      <c r="I56" s="1566">
        <v>29043.956944116537</v>
      </c>
      <c r="J56" s="1566">
        <v>68794.946711167824</v>
      </c>
      <c r="K56" s="1566">
        <v>425415.76343468839</v>
      </c>
      <c r="L56" s="1566">
        <v>33282.75106668441</v>
      </c>
      <c r="M56" s="1566">
        <v>78500.497948627628</v>
      </c>
      <c r="N56" s="1566">
        <v>496831.39898430038</v>
      </c>
      <c r="O56" s="1566">
        <v>170580.1371821778</v>
      </c>
      <c r="P56" s="1566">
        <v>547399.79930460243</v>
      </c>
      <c r="Q56" s="1566">
        <v>90638.594490012911</v>
      </c>
      <c r="R56" s="1566">
        <v>304935.08871633268</v>
      </c>
      <c r="S56" s="1566">
        <v>160789.53378368018</v>
      </c>
      <c r="T56" s="1566">
        <v>237705.97049307232</v>
      </c>
      <c r="U56" s="1566">
        <v>33622.175155657744</v>
      </c>
      <c r="V56" s="1566">
        <v>238627.76323650076</v>
      </c>
      <c r="W56" s="1566">
        <v>383499.9261579187</v>
      </c>
      <c r="X56" s="1566">
        <v>420683.06014258997</v>
      </c>
      <c r="Y56" s="1566">
        <v>251041.4713714972</v>
      </c>
      <c r="Z56" s="1566">
        <v>169641.58877109276</v>
      </c>
      <c r="AA56" s="1566">
        <v>887603.21266495052</v>
      </c>
      <c r="AB56" s="1566">
        <v>496467.98388773581</v>
      </c>
      <c r="AC56" s="1566">
        <v>323133.93703758006</v>
      </c>
      <c r="AD56" s="1566">
        <v>278518.25501755945</v>
      </c>
      <c r="AE56" s="1566">
        <v>265916.34893164563</v>
      </c>
      <c r="AF56" s="1566">
        <v>857857.75566348026</v>
      </c>
      <c r="AG56" s="1566">
        <v>443461.2690317271</v>
      </c>
      <c r="AH56" s="1566">
        <v>225647.59923839077</v>
      </c>
      <c r="AI56" s="1566">
        <v>270555.57934517832</v>
      </c>
      <c r="AJ56" s="1566">
        <v>693207.20401595812</v>
      </c>
      <c r="AK56" s="1566">
        <v>440085.03036899742</v>
      </c>
      <c r="AL56" s="1582">
        <v>9431498.5006971788</v>
      </c>
      <c r="AM56" s="1567">
        <v>42281.145893518777</v>
      </c>
      <c r="AN56" s="1600">
        <v>9473779.6465906966</v>
      </c>
      <c r="AO56" s="1576">
        <f t="shared" si="46"/>
        <v>-1.1000000000000001</v>
      </c>
    </row>
    <row r="57" spans="1:41">
      <c r="A57" s="1564"/>
      <c r="B57" s="1565" t="s">
        <v>11829</v>
      </c>
      <c r="C57" s="1565"/>
      <c r="D57" s="1566">
        <v>30639.626858369695</v>
      </c>
      <c r="E57" s="1566">
        <v>2617.4376013388542</v>
      </c>
      <c r="F57" s="1566">
        <v>10169.852567811806</v>
      </c>
      <c r="G57" s="1566">
        <v>4065.9151293307368</v>
      </c>
      <c r="H57" s="1566">
        <v>450212.12128984823</v>
      </c>
      <c r="I57" s="1566">
        <v>30047.848584288226</v>
      </c>
      <c r="J57" s="1566">
        <v>68812.036174488865</v>
      </c>
      <c r="K57" s="1566">
        <v>430147.37869015842</v>
      </c>
      <c r="L57" s="1566">
        <v>37596.699655391749</v>
      </c>
      <c r="M57" s="1566">
        <v>71270.085492180238</v>
      </c>
      <c r="N57" s="1566">
        <v>491969.48264223587</v>
      </c>
      <c r="O57" s="1566">
        <v>182454.52447742908</v>
      </c>
      <c r="P57" s="1566">
        <v>624064.99525434989</v>
      </c>
      <c r="Q57" s="1566">
        <v>95481.791678904454</v>
      </c>
      <c r="R57" s="1566">
        <v>340931.57512019703</v>
      </c>
      <c r="S57" s="1566">
        <v>177176.59927216714</v>
      </c>
      <c r="T57" s="1566">
        <v>262212.21896439936</v>
      </c>
      <c r="U57" s="1566">
        <v>35647.449438320124</v>
      </c>
      <c r="V57" s="1566">
        <v>221033.12002870048</v>
      </c>
      <c r="W57" s="1566">
        <v>459185.01723048871</v>
      </c>
      <c r="X57" s="1566">
        <v>478609.03502563073</v>
      </c>
      <c r="Y57" s="1566">
        <v>303651.15839190671</v>
      </c>
      <c r="Z57" s="1566">
        <v>174957.87663372399</v>
      </c>
      <c r="AA57" s="1566">
        <v>902293.1896026436</v>
      </c>
      <c r="AB57" s="1566">
        <v>502049.55381944514</v>
      </c>
      <c r="AC57" s="1566">
        <v>336088.85864160769</v>
      </c>
      <c r="AD57" s="1566">
        <v>282103.85690294759</v>
      </c>
      <c r="AE57" s="1566">
        <v>266884.59581158351</v>
      </c>
      <c r="AF57" s="1566">
        <v>855755.7814284896</v>
      </c>
      <c r="AG57" s="1566">
        <v>455579.88928295771</v>
      </c>
      <c r="AH57" s="1566">
        <v>195566.90163056925</v>
      </c>
      <c r="AI57" s="1566">
        <v>252308.96364648177</v>
      </c>
      <c r="AJ57" s="1566">
        <v>700570.92029355175</v>
      </c>
      <c r="AK57" s="1566">
        <v>431825.50661118806</v>
      </c>
      <c r="AL57" s="1582">
        <v>9685372.8288474958</v>
      </c>
      <c r="AM57" s="1567">
        <v>43419.257457269654</v>
      </c>
      <c r="AN57" s="1600">
        <v>9728792.0863047652</v>
      </c>
      <c r="AO57" s="1576">
        <f t="shared" si="46"/>
        <v>1.8</v>
      </c>
    </row>
    <row r="58" spans="1:41">
      <c r="A58" s="1564"/>
      <c r="B58" s="1565" t="s">
        <v>11830</v>
      </c>
      <c r="C58" s="1565"/>
      <c r="D58" s="1566">
        <v>76413.095915321479</v>
      </c>
      <c r="E58" s="1566">
        <v>2756.4725161785846</v>
      </c>
      <c r="F58" s="1566">
        <v>11952.016806788264</v>
      </c>
      <c r="G58" s="1566">
        <v>4130.1908026097199</v>
      </c>
      <c r="H58" s="1566">
        <v>526781.14098832814</v>
      </c>
      <c r="I58" s="1566">
        <v>30766.801156105077</v>
      </c>
      <c r="J58" s="1566">
        <v>70510.613618734395</v>
      </c>
      <c r="K58" s="1566">
        <v>481201.54247597617</v>
      </c>
      <c r="L58" s="1566">
        <v>35990.456965156394</v>
      </c>
      <c r="M58" s="1566">
        <v>75378.049455959379</v>
      </c>
      <c r="N58" s="1566">
        <v>536761.68024387816</v>
      </c>
      <c r="O58" s="1566">
        <v>210570.30421498526</v>
      </c>
      <c r="P58" s="1566">
        <v>601405.78664980014</v>
      </c>
      <c r="Q58" s="1566">
        <v>94368.180924418513</v>
      </c>
      <c r="R58" s="1566">
        <v>354461.70017955115</v>
      </c>
      <c r="S58" s="1566">
        <v>157816.64845626612</v>
      </c>
      <c r="T58" s="1566">
        <v>319572.33135922818</v>
      </c>
      <c r="U58" s="1566">
        <v>34778.606188757782</v>
      </c>
      <c r="V58" s="1566">
        <v>241948.27590797032</v>
      </c>
      <c r="W58" s="1566">
        <v>513142.21172052476</v>
      </c>
      <c r="X58" s="1566">
        <v>445822.3016755234</v>
      </c>
      <c r="Y58" s="1566">
        <v>264931.67294276715</v>
      </c>
      <c r="Z58" s="1566">
        <v>180890.62873275625</v>
      </c>
      <c r="AA58" s="1566">
        <v>1011507.7566693756</v>
      </c>
      <c r="AB58" s="1566">
        <v>515686.83511432423</v>
      </c>
      <c r="AC58" s="1566">
        <v>332757.66849298216</v>
      </c>
      <c r="AD58" s="1566">
        <v>279618.959581909</v>
      </c>
      <c r="AE58" s="1566">
        <v>268734.16057433328</v>
      </c>
      <c r="AF58" s="1566">
        <v>854116.32987442368</v>
      </c>
      <c r="AG58" s="1566">
        <v>452576.06205194775</v>
      </c>
      <c r="AH58" s="1566">
        <v>226993.28154108065</v>
      </c>
      <c r="AI58" s="1566">
        <v>258198.25777731562</v>
      </c>
      <c r="AJ58" s="1566">
        <v>693670.22564521781</v>
      </c>
      <c r="AK58" s="1566">
        <v>430426.90665610984</v>
      </c>
      <c r="AL58" s="1582">
        <v>10150814.852201082</v>
      </c>
      <c r="AM58" s="1567">
        <v>45505.821124001181</v>
      </c>
      <c r="AN58" s="1600">
        <v>10196320.673325082</v>
      </c>
      <c r="AO58" s="1576">
        <f t="shared" si="46"/>
        <v>5.5</v>
      </c>
    </row>
    <row r="59" spans="1:41">
      <c r="A59" s="1560" t="s">
        <v>11847</v>
      </c>
      <c r="B59" s="1561" t="s">
        <v>11827</v>
      </c>
      <c r="C59" s="1561"/>
      <c r="D59" s="1562">
        <v>26796.536303282282</v>
      </c>
      <c r="E59" s="1562">
        <v>2845.4419912017461</v>
      </c>
      <c r="F59" s="1562">
        <v>7800.6755528078447</v>
      </c>
      <c r="G59" s="1562">
        <v>4299.3161453829325</v>
      </c>
      <c r="H59" s="1562">
        <v>473154.19778955588</v>
      </c>
      <c r="I59" s="1562">
        <v>28630.393315490161</v>
      </c>
      <c r="J59" s="1562">
        <v>64070.403495608916</v>
      </c>
      <c r="K59" s="1562">
        <v>443312.31539917731</v>
      </c>
      <c r="L59" s="1562">
        <v>36887.09231276744</v>
      </c>
      <c r="M59" s="1562">
        <v>72555.367103232755</v>
      </c>
      <c r="N59" s="1562">
        <v>536137.43812958559</v>
      </c>
      <c r="O59" s="1562">
        <v>202933.03412540787</v>
      </c>
      <c r="P59" s="1562">
        <v>637684.41879124742</v>
      </c>
      <c r="Q59" s="1562">
        <v>96621.432906664122</v>
      </c>
      <c r="R59" s="1562">
        <v>382900.63598391897</v>
      </c>
      <c r="S59" s="1562">
        <v>249549.21848788657</v>
      </c>
      <c r="T59" s="1562">
        <v>305112.47918330028</v>
      </c>
      <c r="U59" s="1562">
        <v>31450.769217264351</v>
      </c>
      <c r="V59" s="1562">
        <v>232877.84082682844</v>
      </c>
      <c r="W59" s="1562">
        <v>534213.84489106783</v>
      </c>
      <c r="X59" s="1562">
        <v>495908.60315625608</v>
      </c>
      <c r="Y59" s="1562">
        <v>296215.69729382906</v>
      </c>
      <c r="Z59" s="1562">
        <v>199692.90586242703</v>
      </c>
      <c r="AA59" s="1562">
        <v>941145.91632372059</v>
      </c>
      <c r="AB59" s="1562">
        <v>527382.42688231915</v>
      </c>
      <c r="AC59" s="1562">
        <v>319295.53582782997</v>
      </c>
      <c r="AD59" s="1562">
        <v>272999.92849758395</v>
      </c>
      <c r="AE59" s="1562">
        <v>270029.89468243759</v>
      </c>
      <c r="AF59" s="1562">
        <v>857982.21648329927</v>
      </c>
      <c r="AG59" s="1562">
        <v>453687.77963336743</v>
      </c>
      <c r="AH59" s="1562">
        <v>202853.21758995927</v>
      </c>
      <c r="AI59" s="1562">
        <v>257533.19923102416</v>
      </c>
      <c r="AJ59" s="1562">
        <v>670002.65004527243</v>
      </c>
      <c r="AK59" s="1562">
        <v>414893.55636370473</v>
      </c>
      <c r="AL59" s="1581">
        <v>10053547.776668454</v>
      </c>
      <c r="AM59" s="1563">
        <v>45069.775525210382</v>
      </c>
      <c r="AN59" s="1599">
        <v>10098617.552193664</v>
      </c>
      <c r="AO59" s="1575">
        <f t="shared" si="46"/>
        <v>6.1</v>
      </c>
    </row>
    <row r="60" spans="1:41">
      <c r="A60" s="1564">
        <v>2014</v>
      </c>
      <c r="B60" s="1565" t="s">
        <v>11828</v>
      </c>
      <c r="C60" s="1565"/>
      <c r="D60" s="1566">
        <v>23159.993022865907</v>
      </c>
      <c r="E60" s="1566">
        <v>2807.3101162887201</v>
      </c>
      <c r="F60" s="1566">
        <v>8970.1719683638021</v>
      </c>
      <c r="G60" s="1566">
        <v>4391.7063642075655</v>
      </c>
      <c r="H60" s="1566">
        <v>488000.30354210234</v>
      </c>
      <c r="I60" s="1566">
        <v>31226.871563086435</v>
      </c>
      <c r="J60" s="1566">
        <v>69439.97241205629</v>
      </c>
      <c r="K60" s="1566">
        <v>514888.07666734402</v>
      </c>
      <c r="L60" s="1566">
        <v>32775.915628120805</v>
      </c>
      <c r="M60" s="1566">
        <v>71766.51236155942</v>
      </c>
      <c r="N60" s="1566">
        <v>532801.04289317923</v>
      </c>
      <c r="O60" s="1566">
        <v>182500.54678223023</v>
      </c>
      <c r="P60" s="1566">
        <v>558493.84312150371</v>
      </c>
      <c r="Q60" s="1566">
        <v>94051.852815492559</v>
      </c>
      <c r="R60" s="1566">
        <v>353945.67685690202</v>
      </c>
      <c r="S60" s="1566">
        <v>176170.85748517537</v>
      </c>
      <c r="T60" s="1566">
        <v>300475.55366496032</v>
      </c>
      <c r="U60" s="1566">
        <v>32569.922576418165</v>
      </c>
      <c r="V60" s="1566">
        <v>242739.08852964095</v>
      </c>
      <c r="W60" s="1566">
        <v>398107.43710459681</v>
      </c>
      <c r="X60" s="1566">
        <v>467797.55989945232</v>
      </c>
      <c r="Y60" s="1566">
        <v>289374.16378818196</v>
      </c>
      <c r="Z60" s="1566">
        <v>178423.39611127035</v>
      </c>
      <c r="AA60" s="1566">
        <v>860142.63030605286</v>
      </c>
      <c r="AB60" s="1566">
        <v>596929.60271311959</v>
      </c>
      <c r="AC60" s="1566">
        <v>319138.65249030944</v>
      </c>
      <c r="AD60" s="1566">
        <v>299780.47614746058</v>
      </c>
      <c r="AE60" s="1566">
        <v>261136.59538498672</v>
      </c>
      <c r="AF60" s="1566">
        <v>855173.63709530747</v>
      </c>
      <c r="AG60" s="1566">
        <v>407820.56854230177</v>
      </c>
      <c r="AH60" s="1566">
        <v>230156.66492571848</v>
      </c>
      <c r="AI60" s="1566">
        <v>249558.29600411147</v>
      </c>
      <c r="AJ60" s="1566">
        <v>706395.47321882215</v>
      </c>
      <c r="AK60" s="1566">
        <v>392431.33592279535</v>
      </c>
      <c r="AL60" s="1582">
        <v>9765744.1481265351</v>
      </c>
      <c r="AM60" s="1567">
        <v>53090.0283679403</v>
      </c>
      <c r="AN60" s="1600">
        <v>9818834.1764944755</v>
      </c>
      <c r="AO60" s="1576">
        <f t="shared" si="46"/>
        <v>3.6</v>
      </c>
    </row>
    <row r="61" spans="1:41">
      <c r="A61" s="1564"/>
      <c r="B61" s="1565" t="s">
        <v>11829</v>
      </c>
      <c r="C61" s="1565"/>
      <c r="D61" s="1566">
        <v>31966.674533468235</v>
      </c>
      <c r="E61" s="1566">
        <v>2690.8672736829049</v>
      </c>
      <c r="F61" s="1566">
        <v>10710.45925346773</v>
      </c>
      <c r="G61" s="1566">
        <v>4361.9519656005223</v>
      </c>
      <c r="H61" s="1566">
        <v>448028.8117516549</v>
      </c>
      <c r="I61" s="1566">
        <v>30869.625451858905</v>
      </c>
      <c r="J61" s="1566">
        <v>68694.574951180213</v>
      </c>
      <c r="K61" s="1566">
        <v>447774.33319286373</v>
      </c>
      <c r="L61" s="1566">
        <v>38566.939651524932</v>
      </c>
      <c r="M61" s="1566">
        <v>77626.378426122596</v>
      </c>
      <c r="N61" s="1566">
        <v>533861.02936952992</v>
      </c>
      <c r="O61" s="1566">
        <v>184541.06720949794</v>
      </c>
      <c r="P61" s="1566">
        <v>600912.63087803998</v>
      </c>
      <c r="Q61" s="1566">
        <v>95877.600213180995</v>
      </c>
      <c r="R61" s="1566">
        <v>351118.90304554091</v>
      </c>
      <c r="S61" s="1566">
        <v>192126.07548814508</v>
      </c>
      <c r="T61" s="1566">
        <v>278513.24295812822</v>
      </c>
      <c r="U61" s="1566">
        <v>35580.437218743195</v>
      </c>
      <c r="V61" s="1566">
        <v>225715.7213434178</v>
      </c>
      <c r="W61" s="1566">
        <v>459860.22774421639</v>
      </c>
      <c r="X61" s="1566">
        <v>497327.2943870633</v>
      </c>
      <c r="Y61" s="1566">
        <v>320320.37113765138</v>
      </c>
      <c r="Z61" s="1566">
        <v>177006.92324941192</v>
      </c>
      <c r="AA61" s="1566">
        <v>904998.53038896597</v>
      </c>
      <c r="AB61" s="1566">
        <v>597889.84709711676</v>
      </c>
      <c r="AC61" s="1566">
        <v>305460.45760412433</v>
      </c>
      <c r="AD61" s="1566">
        <v>266231.77405345906</v>
      </c>
      <c r="AE61" s="1566">
        <v>261531.61333181176</v>
      </c>
      <c r="AF61" s="1566">
        <v>855892.45818880782</v>
      </c>
      <c r="AG61" s="1566">
        <v>417730.65575954359</v>
      </c>
      <c r="AH61" s="1566">
        <v>200834.26456780001</v>
      </c>
      <c r="AI61" s="1566">
        <v>243480.8640657003</v>
      </c>
      <c r="AJ61" s="1566">
        <v>704923.20051473414</v>
      </c>
      <c r="AK61" s="1566">
        <v>394401.434736736</v>
      </c>
      <c r="AL61" s="1582">
        <v>9770099.9466157276</v>
      </c>
      <c r="AM61" s="1567">
        <v>53113.70802428278</v>
      </c>
      <c r="AN61" s="1600">
        <v>9823213.6546400096</v>
      </c>
      <c r="AO61" s="1576">
        <f t="shared" si="46"/>
        <v>1</v>
      </c>
    </row>
    <row r="62" spans="1:41">
      <c r="A62" s="1568"/>
      <c r="B62" s="1569" t="s">
        <v>11830</v>
      </c>
      <c r="C62" s="1569"/>
      <c r="D62" s="1570">
        <v>73807.371861675856</v>
      </c>
      <c r="E62" s="1570">
        <v>2738.1361503842754</v>
      </c>
      <c r="F62" s="1570">
        <v>11965.756724229725</v>
      </c>
      <c r="G62" s="1570">
        <v>4748.9129210075562</v>
      </c>
      <c r="H62" s="1570">
        <v>546376.22335949354</v>
      </c>
      <c r="I62" s="1570">
        <v>31324.432148230309</v>
      </c>
      <c r="J62" s="1570">
        <v>67121.547726707984</v>
      </c>
      <c r="K62" s="1570">
        <v>444405.9695414445</v>
      </c>
      <c r="L62" s="1570">
        <v>35303.718337316546</v>
      </c>
      <c r="M62" s="1570">
        <v>79953.533927089447</v>
      </c>
      <c r="N62" s="1570">
        <v>550292.11362627486</v>
      </c>
      <c r="O62" s="1570">
        <v>206650.14451293129</v>
      </c>
      <c r="P62" s="1570">
        <v>584623.58124906162</v>
      </c>
      <c r="Q62" s="1570">
        <v>96135.868127211012</v>
      </c>
      <c r="R62" s="1570">
        <v>410702.35637043044</v>
      </c>
      <c r="S62" s="1570">
        <v>223676.21212862129</v>
      </c>
      <c r="T62" s="1570">
        <v>303990.52396264771</v>
      </c>
      <c r="U62" s="1570">
        <v>33044.687117383444</v>
      </c>
      <c r="V62" s="1570">
        <v>235493.88778260542</v>
      </c>
      <c r="W62" s="1570">
        <v>532276.65259189287</v>
      </c>
      <c r="X62" s="1570">
        <v>468799.92988413176</v>
      </c>
      <c r="Y62" s="1570">
        <v>283326.63681587938</v>
      </c>
      <c r="Z62" s="1570">
        <v>185473.29306825239</v>
      </c>
      <c r="AA62" s="1570">
        <v>1016910.3224279538</v>
      </c>
      <c r="AB62" s="1570">
        <v>603413.87665882229</v>
      </c>
      <c r="AC62" s="1570">
        <v>311867.38943232596</v>
      </c>
      <c r="AD62" s="1570">
        <v>265289.79083493125</v>
      </c>
      <c r="AE62" s="1570">
        <v>262719.85280089034</v>
      </c>
      <c r="AF62" s="1570">
        <v>856106.72527465189</v>
      </c>
      <c r="AG62" s="1570">
        <v>439025.32881143154</v>
      </c>
      <c r="AH62" s="1570">
        <v>233900.87889721172</v>
      </c>
      <c r="AI62" s="1570">
        <v>245758.15673922951</v>
      </c>
      <c r="AJ62" s="1570">
        <v>707592.33830056875</v>
      </c>
      <c r="AK62" s="1570">
        <v>402828.93825896573</v>
      </c>
      <c r="AL62" s="1583">
        <v>10288845.158487756</v>
      </c>
      <c r="AM62" s="1571">
        <v>55933.789893753274</v>
      </c>
      <c r="AN62" s="1601">
        <v>10344778.94838151</v>
      </c>
      <c r="AO62" s="1577">
        <f t="shared" si="46"/>
        <v>1.5</v>
      </c>
    </row>
    <row r="63" spans="1:41">
      <c r="A63" s="1573" t="s">
        <v>11848</v>
      </c>
      <c r="B63" s="1565" t="s">
        <v>11827</v>
      </c>
      <c r="C63" s="1565"/>
      <c r="D63" s="1566">
        <v>27272.960581990006</v>
      </c>
      <c r="E63" s="1566">
        <v>2850.6864596441001</v>
      </c>
      <c r="F63" s="1566">
        <v>9201.6120539387412</v>
      </c>
      <c r="G63" s="1566">
        <v>4474.4287491843552</v>
      </c>
      <c r="H63" s="1566">
        <v>486274.66134674905</v>
      </c>
      <c r="I63" s="1566">
        <v>28967.070836824339</v>
      </c>
      <c r="J63" s="1566">
        <v>63967.904910055542</v>
      </c>
      <c r="K63" s="1566">
        <v>448038.62059834768</v>
      </c>
      <c r="L63" s="1566">
        <v>27764.426383037706</v>
      </c>
      <c r="M63" s="1566">
        <v>80981.575285228566</v>
      </c>
      <c r="N63" s="1566">
        <v>540067.81411101588</v>
      </c>
      <c r="O63" s="1566">
        <v>196808.24149534048</v>
      </c>
      <c r="P63" s="1566">
        <v>654762.9447513948</v>
      </c>
      <c r="Q63" s="1566">
        <v>98781.678844115435</v>
      </c>
      <c r="R63" s="1566">
        <v>452745.06372712657</v>
      </c>
      <c r="S63" s="1566">
        <v>265172.85489805823</v>
      </c>
      <c r="T63" s="1566">
        <v>313197.67941426375</v>
      </c>
      <c r="U63" s="1566">
        <v>27217.953087455189</v>
      </c>
      <c r="V63" s="1566">
        <v>232801.30234433585</v>
      </c>
      <c r="W63" s="1566">
        <v>519886.68255929387</v>
      </c>
      <c r="X63" s="1566">
        <v>533001.21582935262</v>
      </c>
      <c r="Y63" s="1566">
        <v>327912.82825828722</v>
      </c>
      <c r="Z63" s="1566">
        <v>205088.3875710654</v>
      </c>
      <c r="AA63" s="1566">
        <v>898531.73140162276</v>
      </c>
      <c r="AB63" s="1566">
        <v>480471.57428704138</v>
      </c>
      <c r="AC63" s="1566">
        <v>287900.5004732401</v>
      </c>
      <c r="AD63" s="1566">
        <v>247716.95896414906</v>
      </c>
      <c r="AE63" s="1566">
        <v>266084.93848231121</v>
      </c>
      <c r="AF63" s="1566">
        <v>859029.50517668237</v>
      </c>
      <c r="AG63" s="1566">
        <v>428432.44688672334</v>
      </c>
      <c r="AH63" s="1566">
        <v>209523.19160926976</v>
      </c>
      <c r="AI63" s="1566">
        <v>271876.68319095875</v>
      </c>
      <c r="AJ63" s="1566">
        <v>677540.98796587461</v>
      </c>
      <c r="AK63" s="1566">
        <v>387156.29108150292</v>
      </c>
      <c r="AL63" s="1582">
        <v>10028502.187786128</v>
      </c>
      <c r="AM63" s="1567">
        <v>54518.473714023661</v>
      </c>
      <c r="AN63" s="1600">
        <v>10083020.661500152</v>
      </c>
      <c r="AO63" s="1576">
        <f t="shared" si="46"/>
        <v>-0.2</v>
      </c>
    </row>
    <row r="64" spans="1:41">
      <c r="A64" s="1564">
        <v>2015</v>
      </c>
      <c r="B64" s="1565" t="s">
        <v>11828</v>
      </c>
      <c r="C64" s="1565"/>
      <c r="D64" s="1566">
        <v>23953.004170938279</v>
      </c>
      <c r="E64" s="1566">
        <v>2775.315135828303</v>
      </c>
      <c r="F64" s="1566">
        <v>9592.6834371727746</v>
      </c>
      <c r="G64" s="1566">
        <v>4046.8208196469086</v>
      </c>
      <c r="H64" s="1566">
        <v>499093.25151038077</v>
      </c>
      <c r="I64" s="1566">
        <v>31523.280247800994</v>
      </c>
      <c r="J64" s="1566">
        <v>69452.262662985144</v>
      </c>
      <c r="K64" s="1566">
        <v>540382.81467687176</v>
      </c>
      <c r="L64" s="1566">
        <v>33103.295699573056</v>
      </c>
      <c r="M64" s="1566">
        <v>67099.244452656014</v>
      </c>
      <c r="N64" s="1566">
        <v>522637.08955225779</v>
      </c>
      <c r="O64" s="1566">
        <v>182993.15926594759</v>
      </c>
      <c r="P64" s="1566">
        <v>632156.66802269197</v>
      </c>
      <c r="Q64" s="1566">
        <v>84100.811066308248</v>
      </c>
      <c r="R64" s="1566">
        <v>383706.30688626651</v>
      </c>
      <c r="S64" s="1566">
        <v>183804.5201151993</v>
      </c>
      <c r="T64" s="1566">
        <v>299816.6978570848</v>
      </c>
      <c r="U64" s="1566">
        <v>34469.515655346346</v>
      </c>
      <c r="V64" s="1566">
        <v>246168.06705936033</v>
      </c>
      <c r="W64" s="1566">
        <v>423838.52859780943</v>
      </c>
      <c r="X64" s="1566">
        <v>461412.38901519554</v>
      </c>
      <c r="Y64" s="1566">
        <v>283460.81366834918</v>
      </c>
      <c r="Z64" s="1566">
        <v>177951.57534684637</v>
      </c>
      <c r="AA64" s="1566">
        <v>895736.07300191582</v>
      </c>
      <c r="AB64" s="1566">
        <v>582080.57447874011</v>
      </c>
      <c r="AC64" s="1566">
        <v>315729.21898342884</v>
      </c>
      <c r="AD64" s="1566">
        <v>290941.87857931684</v>
      </c>
      <c r="AE64" s="1566">
        <v>268921.94622068788</v>
      </c>
      <c r="AF64" s="1566">
        <v>862544.9871181373</v>
      </c>
      <c r="AG64" s="1566">
        <v>477021.58908759535</v>
      </c>
      <c r="AH64" s="1566">
        <v>233279.83108342052</v>
      </c>
      <c r="AI64" s="1566">
        <v>263559.78387369501</v>
      </c>
      <c r="AJ64" s="1566">
        <v>722731.21359309321</v>
      </c>
      <c r="AK64" s="1566">
        <v>419147.05528316303</v>
      </c>
      <c r="AL64" s="1582">
        <v>10067819.877210516</v>
      </c>
      <c r="AM64" s="1567">
        <v>47164.960076085466</v>
      </c>
      <c r="AN64" s="1600">
        <v>10114984.837286603</v>
      </c>
      <c r="AO64" s="1576">
        <f t="shared" si="46"/>
        <v>3</v>
      </c>
    </row>
    <row r="65" spans="1:41">
      <c r="A65" s="1564"/>
      <c r="B65" s="1565" t="s">
        <v>11829</v>
      </c>
      <c r="C65" s="1565"/>
      <c r="D65" s="1566">
        <v>33557.274845094682</v>
      </c>
      <c r="E65" s="1566">
        <v>2696.7456742303766</v>
      </c>
      <c r="F65" s="1566">
        <v>11791.549291073828</v>
      </c>
      <c r="G65" s="1566">
        <v>3997.4908749916476</v>
      </c>
      <c r="H65" s="1566">
        <v>460566.05181795039</v>
      </c>
      <c r="I65" s="1566">
        <v>31789.266416591701</v>
      </c>
      <c r="J65" s="1566">
        <v>70673.149045788465</v>
      </c>
      <c r="K65" s="1566">
        <v>494674.13297477277</v>
      </c>
      <c r="L65" s="1566">
        <v>34009.434124911531</v>
      </c>
      <c r="M65" s="1566">
        <v>73284.376545645733</v>
      </c>
      <c r="N65" s="1566">
        <v>497157.76788843825</v>
      </c>
      <c r="O65" s="1566">
        <v>190672.34139039073</v>
      </c>
      <c r="P65" s="1566">
        <v>659339.94997985824</v>
      </c>
      <c r="Q65" s="1566">
        <v>86194.47682300811</v>
      </c>
      <c r="R65" s="1566">
        <v>430816.4837933277</v>
      </c>
      <c r="S65" s="1566">
        <v>192711.21953554382</v>
      </c>
      <c r="T65" s="1566">
        <v>312274.12460857787</v>
      </c>
      <c r="U65" s="1566">
        <v>37999.985999738659</v>
      </c>
      <c r="V65" s="1566">
        <v>236010.89893440512</v>
      </c>
      <c r="W65" s="1566">
        <v>449834.76134895277</v>
      </c>
      <c r="X65" s="1566">
        <v>467030.97263713554</v>
      </c>
      <c r="Y65" s="1566">
        <v>301478.80294873635</v>
      </c>
      <c r="Z65" s="1566">
        <v>165552.16968839918</v>
      </c>
      <c r="AA65" s="1566">
        <v>900481.11492403212</v>
      </c>
      <c r="AB65" s="1566">
        <v>592736.13331188657</v>
      </c>
      <c r="AC65" s="1566">
        <v>331017.80225108465</v>
      </c>
      <c r="AD65" s="1566">
        <v>280947.80622141174</v>
      </c>
      <c r="AE65" s="1566">
        <v>268866.93089039682</v>
      </c>
      <c r="AF65" s="1566">
        <v>861113.52686997061</v>
      </c>
      <c r="AG65" s="1566">
        <v>471092.76159572607</v>
      </c>
      <c r="AH65" s="1566">
        <v>203124.57643180259</v>
      </c>
      <c r="AI65" s="1566">
        <v>261600.97504793011</v>
      </c>
      <c r="AJ65" s="1566">
        <v>733990.67405873304</v>
      </c>
      <c r="AK65" s="1566">
        <v>402201.63851834286</v>
      </c>
      <c r="AL65" s="1582">
        <v>10084256.394671746</v>
      </c>
      <c r="AM65" s="1567">
        <v>47241.960628270906</v>
      </c>
      <c r="AN65" s="1600">
        <v>10131498.355300017</v>
      </c>
      <c r="AO65" s="1576">
        <f t="shared" si="46"/>
        <v>3.1</v>
      </c>
    </row>
    <row r="66" spans="1:41">
      <c r="A66" s="1564"/>
      <c r="B66" s="1565" t="s">
        <v>11830</v>
      </c>
      <c r="C66" s="1565"/>
      <c r="D66" s="1566">
        <v>81288.082350986719</v>
      </c>
      <c r="E66" s="1566">
        <v>2853.8845974262299</v>
      </c>
      <c r="F66" s="1566">
        <v>13012.459508574164</v>
      </c>
      <c r="G66" s="1566">
        <v>4110.6739355436921</v>
      </c>
      <c r="H66" s="1566">
        <v>542864.66357588035</v>
      </c>
      <c r="I66" s="1566">
        <v>33001.267945181484</v>
      </c>
      <c r="J66" s="1566">
        <v>71268.580305018855</v>
      </c>
      <c r="K66" s="1566">
        <v>495716.32766676927</v>
      </c>
      <c r="L66" s="1566">
        <v>30557.851856860892</v>
      </c>
      <c r="M66" s="1566">
        <v>83403.871912093848</v>
      </c>
      <c r="N66" s="1566">
        <v>493184.02825457335</v>
      </c>
      <c r="O66" s="1566">
        <v>215748.4470109606</v>
      </c>
      <c r="P66" s="1566">
        <v>568563.5945232996</v>
      </c>
      <c r="Q66" s="1566">
        <v>81687.078242577205</v>
      </c>
      <c r="R66" s="1566">
        <v>414590.5560061374</v>
      </c>
      <c r="S66" s="1566">
        <v>158407.09507215436</v>
      </c>
      <c r="T66" s="1566">
        <v>354524.70305735688</v>
      </c>
      <c r="U66" s="1566">
        <v>34907.20682011747</v>
      </c>
      <c r="V66" s="1566">
        <v>249708.57165851782</v>
      </c>
      <c r="W66" s="1566">
        <v>491530.22811096243</v>
      </c>
      <c r="X66" s="1566">
        <v>431220.90066079749</v>
      </c>
      <c r="Y66" s="1566">
        <v>265139.65441729274</v>
      </c>
      <c r="Z66" s="1566">
        <v>166081.24624350475</v>
      </c>
      <c r="AA66" s="1566">
        <v>987134.2033817413</v>
      </c>
      <c r="AB66" s="1566">
        <v>577141.0851194514</v>
      </c>
      <c r="AC66" s="1566">
        <v>332465.16691672953</v>
      </c>
      <c r="AD66" s="1566">
        <v>272614.41615200508</v>
      </c>
      <c r="AE66" s="1566">
        <v>269996.90262529737</v>
      </c>
      <c r="AF66" s="1566">
        <v>862976.77565404936</v>
      </c>
      <c r="AG66" s="1566">
        <v>476213.74176067411</v>
      </c>
      <c r="AH66" s="1566">
        <v>238278.49923602064</v>
      </c>
      <c r="AI66" s="1566">
        <v>263411.72481667047</v>
      </c>
      <c r="AJ66" s="1566">
        <v>736243.59494164307</v>
      </c>
      <c r="AK66" s="1566">
        <v>399737.96429071651</v>
      </c>
      <c r="AL66" s="1582">
        <v>10268364.147966787</v>
      </c>
      <c r="AM66" s="1567">
        <v>48104.454687537327</v>
      </c>
      <c r="AN66" s="1600">
        <v>10316468.602654325</v>
      </c>
      <c r="AO66" s="1576">
        <f t="shared" si="46"/>
        <v>-0.3</v>
      </c>
    </row>
    <row r="67" spans="1:41">
      <c r="A67" s="1572" t="s">
        <v>11849</v>
      </c>
      <c r="B67" s="1561" t="s">
        <v>11827</v>
      </c>
      <c r="C67" s="1561"/>
      <c r="D67" s="1562">
        <v>28192.638632980317</v>
      </c>
      <c r="E67" s="1562">
        <v>2891.0545925150914</v>
      </c>
      <c r="F67" s="1562">
        <v>10559.307763179228</v>
      </c>
      <c r="G67" s="1562">
        <v>3482.0143698177508</v>
      </c>
      <c r="H67" s="1562">
        <v>487332.03309578856</v>
      </c>
      <c r="I67" s="1562">
        <v>29812.185390425828</v>
      </c>
      <c r="J67" s="1562">
        <v>67892.007986207522</v>
      </c>
      <c r="K67" s="1562">
        <v>513964.72468158632</v>
      </c>
      <c r="L67" s="1562">
        <v>26465.418318654523</v>
      </c>
      <c r="M67" s="1562">
        <v>76784.507089604391</v>
      </c>
      <c r="N67" s="1562">
        <v>481556.11430473073</v>
      </c>
      <c r="O67" s="1562">
        <v>202455.05233270102</v>
      </c>
      <c r="P67" s="1562">
        <v>675702.78747415007</v>
      </c>
      <c r="Q67" s="1562">
        <v>77311.633868106423</v>
      </c>
      <c r="R67" s="1562">
        <v>458479.65331426839</v>
      </c>
      <c r="S67" s="1562">
        <v>266001.1652771025</v>
      </c>
      <c r="T67" s="1562">
        <v>357237.47447698039</v>
      </c>
      <c r="U67" s="1562">
        <v>31551.291524797529</v>
      </c>
      <c r="V67" s="1562">
        <v>238931.4623477167</v>
      </c>
      <c r="W67" s="1562">
        <v>521401.48194227531</v>
      </c>
      <c r="X67" s="1562">
        <v>483412.73768687138</v>
      </c>
      <c r="Y67" s="1562">
        <v>298408.72896562167</v>
      </c>
      <c r="Z67" s="1562">
        <v>185004.0087212497</v>
      </c>
      <c r="AA67" s="1562">
        <v>876227.78127764841</v>
      </c>
      <c r="AB67" s="1562">
        <v>560829.715101226</v>
      </c>
      <c r="AC67" s="1562">
        <v>325231.81184875709</v>
      </c>
      <c r="AD67" s="1562">
        <v>273433.89904726628</v>
      </c>
      <c r="AE67" s="1562">
        <v>272755.22026361793</v>
      </c>
      <c r="AF67" s="1562">
        <v>865351.09711486369</v>
      </c>
      <c r="AG67" s="1562">
        <v>475858.90755600465</v>
      </c>
      <c r="AH67" s="1562">
        <v>215095.09324875617</v>
      </c>
      <c r="AI67" s="1562">
        <v>255999.51626170453</v>
      </c>
      <c r="AJ67" s="1562">
        <v>735466.51740653045</v>
      </c>
      <c r="AK67" s="1562">
        <v>380126.34190777759</v>
      </c>
      <c r="AL67" s="1581">
        <v>10277792.647504613</v>
      </c>
      <c r="AM67" s="1563">
        <v>48148.624608106278</v>
      </c>
      <c r="AN67" s="1599">
        <v>10325941.27211272</v>
      </c>
      <c r="AO67" s="1575">
        <f t="shared" si="46"/>
        <v>2.4</v>
      </c>
    </row>
    <row r="68" spans="1:41">
      <c r="A68" s="1564">
        <v>2016</v>
      </c>
      <c r="B68" s="1565" t="s">
        <v>11828</v>
      </c>
      <c r="C68" s="1565"/>
      <c r="D68" s="1566">
        <v>24727.877757127277</v>
      </c>
      <c r="E68" s="1566">
        <v>2621.2084499089833</v>
      </c>
      <c r="F68" s="1566">
        <v>11111.53713143493</v>
      </c>
      <c r="G68" s="1566">
        <v>2671.4885858342104</v>
      </c>
      <c r="H68" s="1566">
        <v>516074.87775627407</v>
      </c>
      <c r="I68" s="1566">
        <v>32087.451665727429</v>
      </c>
      <c r="J68" s="1566">
        <v>68473.531641082242</v>
      </c>
      <c r="K68" s="1566">
        <v>552609.52165742638</v>
      </c>
      <c r="L68" s="1566">
        <v>32384.53272218569</v>
      </c>
      <c r="M68" s="1566">
        <v>68969.967759732841</v>
      </c>
      <c r="N68" s="1566">
        <v>457726.30543800048</v>
      </c>
      <c r="O68" s="1566">
        <v>194251.43936835529</v>
      </c>
      <c r="P68" s="1566">
        <v>585228.76806632709</v>
      </c>
      <c r="Q68" s="1566">
        <v>83771.045371789703</v>
      </c>
      <c r="R68" s="1566">
        <v>371668.67205855646</v>
      </c>
      <c r="S68" s="1566">
        <v>94702.159430317464</v>
      </c>
      <c r="T68" s="1566">
        <v>371411.60945926816</v>
      </c>
      <c r="U68" s="1566">
        <v>33699.479886765388</v>
      </c>
      <c r="V68" s="1566">
        <v>259995.44427814241</v>
      </c>
      <c r="W68" s="1566">
        <v>445014.97478124517</v>
      </c>
      <c r="X68" s="1566">
        <v>422007.60678080458</v>
      </c>
      <c r="Y68" s="1566">
        <v>249057.19696195045</v>
      </c>
      <c r="Z68" s="1566">
        <v>172950.40981885415</v>
      </c>
      <c r="AA68" s="1566">
        <v>876163.04701417603</v>
      </c>
      <c r="AB68" s="1566">
        <v>468880.48930435191</v>
      </c>
      <c r="AC68" s="1566">
        <v>324069.52386625163</v>
      </c>
      <c r="AD68" s="1566">
        <v>281384.16236342554</v>
      </c>
      <c r="AE68" s="1566">
        <v>256327.16761203404</v>
      </c>
      <c r="AF68" s="1566">
        <v>860931.51140795671</v>
      </c>
      <c r="AG68" s="1566">
        <v>499332.56127193884</v>
      </c>
      <c r="AH68" s="1566">
        <v>238435.88358979835</v>
      </c>
      <c r="AI68" s="1566">
        <v>282737.96538759308</v>
      </c>
      <c r="AJ68" s="1566">
        <v>708311.38385435671</v>
      </c>
      <c r="AK68" s="1566">
        <v>405990.93812114402</v>
      </c>
      <c r="AL68" s="1582">
        <v>9833774.1338393334</v>
      </c>
      <c r="AM68" s="1567">
        <v>39895.276305532236</v>
      </c>
      <c r="AN68" s="1600">
        <v>9873669.4101448655</v>
      </c>
      <c r="AO68" s="1576">
        <f t="shared" si="46"/>
        <v>-2.4</v>
      </c>
    </row>
    <row r="69" spans="1:41">
      <c r="A69" s="1564"/>
      <c r="B69" s="1565" t="s">
        <v>11829</v>
      </c>
      <c r="C69" s="1565"/>
      <c r="D69" s="1566">
        <v>33694.085023794702</v>
      </c>
      <c r="E69" s="1566">
        <v>2499.7751703013469</v>
      </c>
      <c r="F69" s="1566">
        <v>13753.677265770568</v>
      </c>
      <c r="G69" s="1566">
        <v>3290.2557475162744</v>
      </c>
      <c r="H69" s="1566">
        <v>454565.48593631102</v>
      </c>
      <c r="I69" s="1566">
        <v>30970.367619727545</v>
      </c>
      <c r="J69" s="1566">
        <v>69671.690378248226</v>
      </c>
      <c r="K69" s="1566">
        <v>495701.34246224345</v>
      </c>
      <c r="L69" s="1566">
        <v>33820.480993543824</v>
      </c>
      <c r="M69" s="1566">
        <v>70855.687250208226</v>
      </c>
      <c r="N69" s="1566">
        <v>451644.59758660657</v>
      </c>
      <c r="O69" s="1566">
        <v>193006.21679240238</v>
      </c>
      <c r="P69" s="1566">
        <v>610203.83228189219</v>
      </c>
      <c r="Q69" s="1566">
        <v>90509.681919944327</v>
      </c>
      <c r="R69" s="1566">
        <v>384255.23186547385</v>
      </c>
      <c r="S69" s="1566">
        <v>109965.48058032386</v>
      </c>
      <c r="T69" s="1566">
        <v>376855.20963262027</v>
      </c>
      <c r="U69" s="1566">
        <v>36935.063910213277</v>
      </c>
      <c r="V69" s="1566">
        <v>247604.74207618349</v>
      </c>
      <c r="W69" s="1566">
        <v>487167.51923255116</v>
      </c>
      <c r="X69" s="1566">
        <v>446546.13730712183</v>
      </c>
      <c r="Y69" s="1566">
        <v>276757.18474221416</v>
      </c>
      <c r="Z69" s="1566">
        <v>169788.95256490767</v>
      </c>
      <c r="AA69" s="1566">
        <v>887013.77482104721</v>
      </c>
      <c r="AB69" s="1566">
        <v>552648.46489993553</v>
      </c>
      <c r="AC69" s="1566">
        <v>345668.50374844699</v>
      </c>
      <c r="AD69" s="1566">
        <v>276024.7252880758</v>
      </c>
      <c r="AE69" s="1566">
        <v>258210.26163788786</v>
      </c>
      <c r="AF69" s="1566">
        <v>859910.10782644653</v>
      </c>
      <c r="AG69" s="1566">
        <v>495246.79425768071</v>
      </c>
      <c r="AH69" s="1566">
        <v>207065.24945176978</v>
      </c>
      <c r="AI69" s="1566">
        <v>278450.64329455711</v>
      </c>
      <c r="AJ69" s="1566">
        <v>721645.63875087246</v>
      </c>
      <c r="AK69" s="1566">
        <v>388828.29291775427</v>
      </c>
      <c r="AL69" s="1582">
        <v>9914229.0179274734</v>
      </c>
      <c r="AM69" s="1567">
        <v>40221.678944757048</v>
      </c>
      <c r="AN69" s="1600">
        <v>9954450.6968722306</v>
      </c>
      <c r="AO69" s="1576">
        <f t="shared" si="46"/>
        <v>-1.7</v>
      </c>
    </row>
    <row r="70" spans="1:41">
      <c r="A70" s="1568"/>
      <c r="B70" s="1569" t="s">
        <v>11830</v>
      </c>
      <c r="C70" s="1569"/>
      <c r="D70" s="1570">
        <v>88043.860348869654</v>
      </c>
      <c r="E70" s="1570">
        <v>2533.6889691106867</v>
      </c>
      <c r="F70" s="1570">
        <v>15633.615774788599</v>
      </c>
      <c r="G70" s="1570">
        <v>3380.0574262196587</v>
      </c>
      <c r="H70" s="1570">
        <v>557310.21574421239</v>
      </c>
      <c r="I70" s="1570">
        <v>31833.539403890747</v>
      </c>
      <c r="J70" s="1570">
        <v>69881.319246847939</v>
      </c>
      <c r="K70" s="1570">
        <v>502614.90019543876</v>
      </c>
      <c r="L70" s="1570">
        <v>36309.247051334525</v>
      </c>
      <c r="M70" s="1570">
        <v>73887.17762775837</v>
      </c>
      <c r="N70" s="1570">
        <v>459345.52826815232</v>
      </c>
      <c r="O70" s="1570">
        <v>214767.89858643012</v>
      </c>
      <c r="P70" s="1570">
        <v>579973.08032060473</v>
      </c>
      <c r="Q70" s="1570">
        <v>81811.182875415485</v>
      </c>
      <c r="R70" s="1570">
        <v>386279.92559219175</v>
      </c>
      <c r="S70" s="1570">
        <v>129687.57521552013</v>
      </c>
      <c r="T70" s="1570">
        <v>381500.48406639008</v>
      </c>
      <c r="U70" s="1570">
        <v>35383.977367656946</v>
      </c>
      <c r="V70" s="1570">
        <v>254345.72644801319</v>
      </c>
      <c r="W70" s="1570">
        <v>545254.36125679489</v>
      </c>
      <c r="X70" s="1570">
        <v>405138.7536816803</v>
      </c>
      <c r="Y70" s="1570">
        <v>238028.86802544611</v>
      </c>
      <c r="Z70" s="1570">
        <v>167109.88565623423</v>
      </c>
      <c r="AA70" s="1570">
        <v>979060.02641329588</v>
      </c>
      <c r="AB70" s="1570">
        <v>556901.07663445245</v>
      </c>
      <c r="AC70" s="1570">
        <v>343375.66998525034</v>
      </c>
      <c r="AD70" s="1570">
        <v>279945.58911595913</v>
      </c>
      <c r="AE70" s="1570">
        <v>259141.3328224484</v>
      </c>
      <c r="AF70" s="1570">
        <v>861655.90114306065</v>
      </c>
      <c r="AG70" s="1570">
        <v>500614.09799477295</v>
      </c>
      <c r="AH70" s="1570">
        <v>240417.37326659061</v>
      </c>
      <c r="AI70" s="1570">
        <v>251668.37538756244</v>
      </c>
      <c r="AJ70" s="1570">
        <v>805191.75341978297</v>
      </c>
      <c r="AK70" s="1570">
        <v>399318.64426272979</v>
      </c>
      <c r="AL70" s="1583">
        <v>10332205.955913227</v>
      </c>
      <c r="AM70" s="1571">
        <v>41917.396703099701</v>
      </c>
      <c r="AN70" s="1601">
        <v>10374123.352616327</v>
      </c>
      <c r="AO70" s="1577">
        <f t="shared" si="46"/>
        <v>0.6</v>
      </c>
    </row>
    <row r="71" spans="1:41">
      <c r="A71" s="1573" t="s">
        <v>11850</v>
      </c>
      <c r="B71" s="1565" t="s">
        <v>11827</v>
      </c>
      <c r="C71" s="1565"/>
      <c r="D71" s="1566">
        <v>27810.176870208372</v>
      </c>
      <c r="E71" s="1566">
        <v>2510.3274106789831</v>
      </c>
      <c r="F71" s="1566">
        <v>10757.169828005906</v>
      </c>
      <c r="G71" s="1566">
        <v>3448.1982404298565</v>
      </c>
      <c r="H71" s="1566">
        <v>502724.42056320229</v>
      </c>
      <c r="I71" s="1566">
        <v>29933.641310654275</v>
      </c>
      <c r="J71" s="1566">
        <v>67657.458733821608</v>
      </c>
      <c r="K71" s="1566">
        <v>545269.23568489146</v>
      </c>
      <c r="L71" s="1566">
        <v>40062.739232935957</v>
      </c>
      <c r="M71" s="1566">
        <v>70920.167362300548</v>
      </c>
      <c r="N71" s="1566">
        <v>510631.56870724069</v>
      </c>
      <c r="O71" s="1566">
        <v>215288.44525281226</v>
      </c>
      <c r="P71" s="1566">
        <v>678694.31933117576</v>
      </c>
      <c r="Q71" s="1566">
        <v>81452.089832850485</v>
      </c>
      <c r="R71" s="1566">
        <v>398299.170483778</v>
      </c>
      <c r="S71" s="1566">
        <v>164074.78477383853</v>
      </c>
      <c r="T71" s="1566">
        <v>407620.69684172148</v>
      </c>
      <c r="U71" s="1566">
        <v>32984.478835364389</v>
      </c>
      <c r="V71" s="1566">
        <v>249245.08719766096</v>
      </c>
      <c r="W71" s="1566">
        <v>552130.14472940878</v>
      </c>
      <c r="X71" s="1566">
        <v>471075.50223039312</v>
      </c>
      <c r="Y71" s="1566">
        <v>276026.7502703892</v>
      </c>
      <c r="Z71" s="1566">
        <v>195048.75196000392</v>
      </c>
      <c r="AA71" s="1566">
        <v>859339.35379437474</v>
      </c>
      <c r="AB71" s="1566">
        <v>550376.87815676234</v>
      </c>
      <c r="AC71" s="1566">
        <v>322710.30240005109</v>
      </c>
      <c r="AD71" s="1566">
        <v>275677.52323253948</v>
      </c>
      <c r="AE71" s="1566">
        <v>261920.23792762967</v>
      </c>
      <c r="AF71" s="1566">
        <v>863847.52566905646</v>
      </c>
      <c r="AG71" s="1566">
        <v>504515.5464756072</v>
      </c>
      <c r="AH71" s="1566">
        <v>214973.49369184126</v>
      </c>
      <c r="AI71" s="1566">
        <v>271571.01593028737</v>
      </c>
      <c r="AJ71" s="1566">
        <v>721559.22397498821</v>
      </c>
      <c r="AK71" s="1566">
        <v>383995.12469837192</v>
      </c>
      <c r="AL71" s="1582">
        <v>10293076.049404882</v>
      </c>
      <c r="AM71" s="1567">
        <v>41758.64804661103</v>
      </c>
      <c r="AN71" s="1600">
        <v>10334834.697451493</v>
      </c>
      <c r="AO71" s="1576">
        <f t="shared" si="46"/>
        <v>0.1</v>
      </c>
    </row>
    <row r="72" spans="1:41">
      <c r="A72" s="1564">
        <v>2017</v>
      </c>
      <c r="B72" s="1565" t="s">
        <v>11828</v>
      </c>
      <c r="C72" s="1565"/>
      <c r="D72" s="1566">
        <v>24446.261182661197</v>
      </c>
      <c r="E72" s="1566">
        <v>2661.2484969519069</v>
      </c>
      <c r="F72" s="1566">
        <v>10775.254472290388</v>
      </c>
      <c r="G72" s="1566">
        <v>3250.4728156529518</v>
      </c>
      <c r="H72" s="1566">
        <v>509305.10531269363</v>
      </c>
      <c r="I72" s="1566">
        <v>31645.729477007881</v>
      </c>
      <c r="J72" s="1566">
        <v>68495.931047190155</v>
      </c>
      <c r="K72" s="1566">
        <v>549052.89535101142</v>
      </c>
      <c r="L72" s="1566">
        <v>40258.365692241183</v>
      </c>
      <c r="M72" s="1566">
        <v>76638.615137712361</v>
      </c>
      <c r="N72" s="1566">
        <v>535954.44649625523</v>
      </c>
      <c r="O72" s="1566">
        <v>194575.46476226699</v>
      </c>
      <c r="P72" s="1566">
        <v>598527.23449027701</v>
      </c>
      <c r="Q72" s="1566">
        <v>88686.17512989555</v>
      </c>
      <c r="R72" s="1566">
        <v>377845.58647665678</v>
      </c>
      <c r="S72" s="1566">
        <v>109189.19918206267</v>
      </c>
      <c r="T72" s="1566">
        <v>377276.27283171436</v>
      </c>
      <c r="U72" s="1566">
        <v>30328.885814207326</v>
      </c>
      <c r="V72" s="1566">
        <v>256948.39531165909</v>
      </c>
      <c r="W72" s="1566">
        <v>438217.83283260796</v>
      </c>
      <c r="X72" s="1566">
        <v>397672.05306020402</v>
      </c>
      <c r="Y72" s="1566">
        <v>220497.88657262889</v>
      </c>
      <c r="Z72" s="1566">
        <v>177174.1664875751</v>
      </c>
      <c r="AA72" s="1566">
        <v>896676.01739975694</v>
      </c>
      <c r="AB72" s="1566">
        <v>533644.08233507152</v>
      </c>
      <c r="AC72" s="1566">
        <v>343332.35407263716</v>
      </c>
      <c r="AD72" s="1566">
        <v>273160.20982755802</v>
      </c>
      <c r="AE72" s="1566">
        <v>258379.0115728284</v>
      </c>
      <c r="AF72" s="1566">
        <v>853708.0378821328</v>
      </c>
      <c r="AG72" s="1566">
        <v>510469.51600892487</v>
      </c>
      <c r="AH72" s="1566">
        <v>229037.04893938819</v>
      </c>
      <c r="AI72" s="1566">
        <v>295172.41407389205</v>
      </c>
      <c r="AJ72" s="1566">
        <v>738778.09959492669</v>
      </c>
      <c r="AK72" s="1566">
        <v>425214.58499609958</v>
      </c>
      <c r="AL72" s="1582">
        <v>10079322.802076437</v>
      </c>
      <c r="AM72" s="1567">
        <v>43293.443009607559</v>
      </c>
      <c r="AN72" s="1600">
        <v>10122616.245086044</v>
      </c>
      <c r="AO72" s="1576">
        <f t="shared" si="46"/>
        <v>2.5</v>
      </c>
    </row>
    <row r="73" spans="1:41">
      <c r="A73" s="1564"/>
      <c r="B73" s="1565" t="s">
        <v>11829</v>
      </c>
      <c r="C73" s="1565"/>
      <c r="D73" s="1566">
        <v>32796.265830089425</v>
      </c>
      <c r="E73" s="1566">
        <v>2615.1321874104747</v>
      </c>
      <c r="F73" s="1566">
        <v>13732.169847980662</v>
      </c>
      <c r="G73" s="1566">
        <v>3231.8789438041322</v>
      </c>
      <c r="H73" s="1566">
        <v>474318.8079347614</v>
      </c>
      <c r="I73" s="1566">
        <v>31158.599037279298</v>
      </c>
      <c r="J73" s="1566">
        <v>70208.267008134819</v>
      </c>
      <c r="K73" s="1566">
        <v>519487.00884918438</v>
      </c>
      <c r="L73" s="1566">
        <v>41475.685457046224</v>
      </c>
      <c r="M73" s="1566">
        <v>74975.603341476264</v>
      </c>
      <c r="N73" s="1566">
        <v>530573.64013099496</v>
      </c>
      <c r="O73" s="1566">
        <v>193437.81113324699</v>
      </c>
      <c r="P73" s="1566">
        <v>626168.00026705756</v>
      </c>
      <c r="Q73" s="1566">
        <v>90727.895131950136</v>
      </c>
      <c r="R73" s="1566">
        <v>366752.25869968173</v>
      </c>
      <c r="S73" s="1566">
        <v>105683.44922338083</v>
      </c>
      <c r="T73" s="1566">
        <v>404292.42465310119</v>
      </c>
      <c r="U73" s="1566">
        <v>30256.552050463866</v>
      </c>
      <c r="V73" s="1566">
        <v>243419.50677463782</v>
      </c>
      <c r="W73" s="1566">
        <v>478945.18783743418</v>
      </c>
      <c r="X73" s="1566">
        <v>423352.96819047368</v>
      </c>
      <c r="Y73" s="1566">
        <v>247911.1815287497</v>
      </c>
      <c r="Z73" s="1566">
        <v>175441.78666172398</v>
      </c>
      <c r="AA73" s="1566">
        <v>916398.80414371588</v>
      </c>
      <c r="AB73" s="1566">
        <v>553444.12493219215</v>
      </c>
      <c r="AC73" s="1566">
        <v>337878.67798289919</v>
      </c>
      <c r="AD73" s="1566">
        <v>277068.77275701019</v>
      </c>
      <c r="AE73" s="1566">
        <v>259191.09355485308</v>
      </c>
      <c r="AF73" s="1566">
        <v>854559.35338312725</v>
      </c>
      <c r="AG73" s="1566">
        <v>514224.88355855201</v>
      </c>
      <c r="AH73" s="1566">
        <v>199328.0610584114</v>
      </c>
      <c r="AI73" s="1566">
        <v>291501.26413584838</v>
      </c>
      <c r="AJ73" s="1566">
        <v>730802.61718077585</v>
      </c>
      <c r="AK73" s="1566">
        <v>413320.9969929544</v>
      </c>
      <c r="AL73" s="1582">
        <v>10105327.762209931</v>
      </c>
      <c r="AM73" s="1567">
        <v>43405.141412527504</v>
      </c>
      <c r="AN73" s="1600">
        <v>10148732.90362246</v>
      </c>
      <c r="AO73" s="1576">
        <f t="shared" si="46"/>
        <v>2</v>
      </c>
    </row>
    <row r="74" spans="1:41">
      <c r="A74" s="1564"/>
      <c r="B74" s="1565" t="s">
        <v>11830</v>
      </c>
      <c r="C74" s="1565"/>
      <c r="D74" s="1566">
        <v>84371.05887602811</v>
      </c>
      <c r="E74" s="1566">
        <v>2646.6262524631597</v>
      </c>
      <c r="F74" s="1566">
        <v>13704.234398972443</v>
      </c>
      <c r="G74" s="1566">
        <v>3332.5944907705129</v>
      </c>
      <c r="H74" s="1566">
        <v>571498.52512758272</v>
      </c>
      <c r="I74" s="1566">
        <v>31991.268435616996</v>
      </c>
      <c r="J74" s="1566">
        <v>71270.617136029148</v>
      </c>
      <c r="K74" s="1566">
        <v>519988.50983794295</v>
      </c>
      <c r="L74" s="1566">
        <v>44960.613263054191</v>
      </c>
      <c r="M74" s="1566">
        <v>73327.995876876026</v>
      </c>
      <c r="N74" s="1566">
        <v>547931.56859149365</v>
      </c>
      <c r="O74" s="1566">
        <v>218974.03869770616</v>
      </c>
      <c r="P74" s="1566">
        <v>642561.60178111971</v>
      </c>
      <c r="Q74" s="1566">
        <v>92458.146782291122</v>
      </c>
      <c r="R74" s="1566">
        <v>383915.91625748761</v>
      </c>
      <c r="S74" s="1566">
        <v>116762.52962247466</v>
      </c>
      <c r="T74" s="1566">
        <v>451767.04302278935</v>
      </c>
      <c r="U74" s="1566">
        <v>29837.592759123214</v>
      </c>
      <c r="V74" s="1566">
        <v>252839.05636363008</v>
      </c>
      <c r="W74" s="1566">
        <v>531714.08368676237</v>
      </c>
      <c r="X74" s="1566">
        <v>406595.02468748973</v>
      </c>
      <c r="Y74" s="1566">
        <v>218808.59954156252</v>
      </c>
      <c r="Z74" s="1566">
        <v>187786.42514592723</v>
      </c>
      <c r="AA74" s="1566">
        <v>1007593.9828542561</v>
      </c>
      <c r="AB74" s="1566">
        <v>558905.58004433312</v>
      </c>
      <c r="AC74" s="1566">
        <v>346677.22436855856</v>
      </c>
      <c r="AD74" s="1566">
        <v>284316.70801610895</v>
      </c>
      <c r="AE74" s="1566">
        <v>260216.13937965303</v>
      </c>
      <c r="AF74" s="1566">
        <v>854277.20002971403</v>
      </c>
      <c r="AG74" s="1566">
        <v>517158.47599891591</v>
      </c>
      <c r="AH74" s="1566">
        <v>231023.01706393383</v>
      </c>
      <c r="AI74" s="1566">
        <v>292154.18636113213</v>
      </c>
      <c r="AJ74" s="1566">
        <v>737457.53237793967</v>
      </c>
      <c r="AK74" s="1566">
        <v>405636.25388844416</v>
      </c>
      <c r="AL74" s="1582">
        <v>10587864.946330693</v>
      </c>
      <c r="AM74" s="1567">
        <v>45477.770347126658</v>
      </c>
      <c r="AN74" s="1600">
        <v>10633342.716677818</v>
      </c>
      <c r="AO74" s="1576">
        <f t="shared" si="46"/>
        <v>2.5</v>
      </c>
    </row>
    <row r="75" spans="1:41">
      <c r="A75" s="1572" t="s">
        <v>11851</v>
      </c>
      <c r="B75" s="1561" t="s">
        <v>11827</v>
      </c>
      <c r="C75" s="1561"/>
      <c r="D75" s="1562">
        <v>27836.414111221271</v>
      </c>
      <c r="E75" s="1562">
        <v>2326.9930631744596</v>
      </c>
      <c r="F75" s="1562">
        <v>11757.341280756513</v>
      </c>
      <c r="G75" s="1562">
        <v>3262.0537497724022</v>
      </c>
      <c r="H75" s="1562">
        <v>490827.5616249622</v>
      </c>
      <c r="I75" s="1562">
        <v>29476.403050095832</v>
      </c>
      <c r="J75" s="1562">
        <v>67523.184808645892</v>
      </c>
      <c r="K75" s="1562">
        <v>570705.58596186119</v>
      </c>
      <c r="L75" s="1562">
        <v>47024.335587658388</v>
      </c>
      <c r="M75" s="1562">
        <v>74692.785643935349</v>
      </c>
      <c r="N75" s="1562">
        <v>545281.34478125616</v>
      </c>
      <c r="O75" s="1562">
        <v>216459.68540677984</v>
      </c>
      <c r="P75" s="1562">
        <v>715647.1634615456</v>
      </c>
      <c r="Q75" s="1562">
        <v>91048.782955863193</v>
      </c>
      <c r="R75" s="1562">
        <v>459085.23856617388</v>
      </c>
      <c r="S75" s="1562">
        <v>175675.82197208182</v>
      </c>
      <c r="T75" s="1562">
        <v>445179.2594923951</v>
      </c>
      <c r="U75" s="1562">
        <v>28434.96937620559</v>
      </c>
      <c r="V75" s="1562">
        <v>243713.04155007296</v>
      </c>
      <c r="W75" s="1562">
        <v>509085.89564319554</v>
      </c>
      <c r="X75" s="1562">
        <v>470264.95406183257</v>
      </c>
      <c r="Y75" s="1562">
        <v>260836.33235705891</v>
      </c>
      <c r="Z75" s="1562">
        <v>209428.62170477366</v>
      </c>
      <c r="AA75" s="1562">
        <v>887042.89070295915</v>
      </c>
      <c r="AB75" s="1562">
        <v>553129.52253355249</v>
      </c>
      <c r="AC75" s="1562">
        <v>348984.74357590504</v>
      </c>
      <c r="AD75" s="1562">
        <v>288449.3093993229</v>
      </c>
      <c r="AE75" s="1562">
        <v>262560.75549266546</v>
      </c>
      <c r="AF75" s="1562">
        <v>856296.79760699812</v>
      </c>
      <c r="AG75" s="1562">
        <v>524065.12443360739</v>
      </c>
      <c r="AH75" s="1562">
        <v>208016.87293826661</v>
      </c>
      <c r="AI75" s="1562">
        <v>262587.13542912767</v>
      </c>
      <c r="AJ75" s="1562">
        <v>814906.7508463579</v>
      </c>
      <c r="AK75" s="1562">
        <v>393970.16412250197</v>
      </c>
      <c r="AL75" s="1581">
        <v>10625318.883230748</v>
      </c>
      <c r="AM75" s="1563">
        <v>45638.645230738279</v>
      </c>
      <c r="AN75" s="1599">
        <v>10670957.528461486</v>
      </c>
      <c r="AO75" s="1575">
        <f t="shared" si="46"/>
        <v>3.3</v>
      </c>
    </row>
    <row r="76" spans="1:41">
      <c r="A76" s="1564">
        <v>2018</v>
      </c>
      <c r="B76" s="1565" t="s">
        <v>11828</v>
      </c>
      <c r="C76" s="1565"/>
      <c r="D76" s="1566">
        <v>23405.372567334718</v>
      </c>
      <c r="E76" s="1566">
        <v>2564.3394897585013</v>
      </c>
      <c r="F76" s="1566">
        <v>11827.051140887586</v>
      </c>
      <c r="G76" s="1566">
        <v>3319.5596947283734</v>
      </c>
      <c r="H76" s="1566">
        <v>549138.9891509295</v>
      </c>
      <c r="I76" s="1566">
        <v>31273.880148618329</v>
      </c>
      <c r="J76" s="1566">
        <v>74660.615701523027</v>
      </c>
      <c r="K76" s="1566">
        <v>547686.91031969665</v>
      </c>
      <c r="L76" s="1566">
        <v>41432.723670015977</v>
      </c>
      <c r="M76" s="1566">
        <v>71821.322733245077</v>
      </c>
      <c r="N76" s="1566">
        <v>560699.80194231169</v>
      </c>
      <c r="O76" s="1566">
        <v>208197.04330174084</v>
      </c>
      <c r="P76" s="1566">
        <v>628233.49982543546</v>
      </c>
      <c r="Q76" s="1566">
        <v>100697.60383373436</v>
      </c>
      <c r="R76" s="1566">
        <v>362043.79719085566</v>
      </c>
      <c r="S76" s="1566">
        <v>101038.36075711327</v>
      </c>
      <c r="T76" s="1566">
        <v>411347.26417215698</v>
      </c>
      <c r="U76" s="1566">
        <v>31420.462082496317</v>
      </c>
      <c r="V76" s="1566">
        <v>253625.30607152605</v>
      </c>
      <c r="W76" s="1566">
        <v>449867.44840806781</v>
      </c>
      <c r="X76" s="1566">
        <v>380357.8607985928</v>
      </c>
      <c r="Y76" s="1566">
        <v>201338.46387937671</v>
      </c>
      <c r="Z76" s="1566">
        <v>179019.39691921609</v>
      </c>
      <c r="AA76" s="1566">
        <v>908106.43942455086</v>
      </c>
      <c r="AB76" s="1566">
        <v>510601.90649157146</v>
      </c>
      <c r="AC76" s="1566">
        <v>350941.6762898491</v>
      </c>
      <c r="AD76" s="1566">
        <v>292297.14441846375</v>
      </c>
      <c r="AE76" s="1566">
        <v>258504.38615653268</v>
      </c>
      <c r="AF76" s="1566">
        <v>861428.50672446587</v>
      </c>
      <c r="AG76" s="1566">
        <v>509298.63568015001</v>
      </c>
      <c r="AH76" s="1566">
        <v>231914.38026565465</v>
      </c>
      <c r="AI76" s="1566">
        <v>287214.63175046089</v>
      </c>
      <c r="AJ76" s="1566">
        <v>758608.60755358764</v>
      </c>
      <c r="AK76" s="1566">
        <v>420893.86809407431</v>
      </c>
      <c r="AL76" s="1582">
        <v>10234469.395850129</v>
      </c>
      <c r="AM76" s="1567">
        <v>48227.513297695659</v>
      </c>
      <c r="AN76" s="1600">
        <v>10282696.909147825</v>
      </c>
      <c r="AO76" s="1576">
        <f t="shared" si="46"/>
        <v>1.6</v>
      </c>
    </row>
    <row r="77" spans="1:41">
      <c r="A77" s="1564"/>
      <c r="B77" s="1565" t="s">
        <v>11829</v>
      </c>
      <c r="C77" s="1565"/>
      <c r="D77" s="1566">
        <v>33080.499429403535</v>
      </c>
      <c r="E77" s="1566">
        <v>2395.7459805909616</v>
      </c>
      <c r="F77" s="1566">
        <v>12823.084320039399</v>
      </c>
      <c r="G77" s="1566">
        <v>3130.2148495210768</v>
      </c>
      <c r="H77" s="1566">
        <v>501605.83755032689</v>
      </c>
      <c r="I77" s="1566">
        <v>31300.734124375474</v>
      </c>
      <c r="J77" s="1566">
        <v>69410.393170820273</v>
      </c>
      <c r="K77" s="1566">
        <v>514992.68070682924</v>
      </c>
      <c r="L77" s="1566">
        <v>45192.727601641876</v>
      </c>
      <c r="M77" s="1566">
        <v>73960.406723987835</v>
      </c>
      <c r="N77" s="1566">
        <v>535245.99741575727</v>
      </c>
      <c r="O77" s="1566">
        <v>204516.46629365138</v>
      </c>
      <c r="P77" s="1566">
        <v>667932.83115733496</v>
      </c>
      <c r="Q77" s="1566">
        <v>96882.761652235597</v>
      </c>
      <c r="R77" s="1566">
        <v>372112.96106273658</v>
      </c>
      <c r="S77" s="1566">
        <v>83636.4295022445</v>
      </c>
      <c r="T77" s="1566">
        <v>415521.83506248932</v>
      </c>
      <c r="U77" s="1566">
        <v>32133.097286324621</v>
      </c>
      <c r="V77" s="1566">
        <v>238893.96587875631</v>
      </c>
      <c r="W77" s="1566">
        <v>474215.23903759819</v>
      </c>
      <c r="X77" s="1566">
        <v>423836.29793868726</v>
      </c>
      <c r="Y77" s="1566">
        <v>237409.48552045698</v>
      </c>
      <c r="Z77" s="1566">
        <v>186426.81241823026</v>
      </c>
      <c r="AA77" s="1566">
        <v>937754.58641325869</v>
      </c>
      <c r="AB77" s="1566">
        <v>507719.19879823201</v>
      </c>
      <c r="AC77" s="1566">
        <v>351161.56825296994</v>
      </c>
      <c r="AD77" s="1566">
        <v>292679.52879400196</v>
      </c>
      <c r="AE77" s="1566">
        <v>259093.22423794359</v>
      </c>
      <c r="AF77" s="1566">
        <v>861290.68267574778</v>
      </c>
      <c r="AG77" s="1566">
        <v>528975.62816923729</v>
      </c>
      <c r="AH77" s="1566">
        <v>200406.57663375777</v>
      </c>
      <c r="AI77" s="1566">
        <v>283821.65706471063</v>
      </c>
      <c r="AJ77" s="1566">
        <v>770625.73286068812</v>
      </c>
      <c r="AK77" s="1566">
        <v>407962.68718340655</v>
      </c>
      <c r="AL77" s="1582">
        <v>10234311.277829304</v>
      </c>
      <c r="AM77" s="1567">
        <v>48226.768203968073</v>
      </c>
      <c r="AN77" s="1600">
        <v>10282538.046033273</v>
      </c>
      <c r="AO77" s="1576">
        <f t="shared" si="46"/>
        <v>1.3</v>
      </c>
    </row>
    <row r="78" spans="1:41">
      <c r="A78" s="1568"/>
      <c r="B78" s="1569" t="s">
        <v>11830</v>
      </c>
      <c r="C78" s="1569"/>
      <c r="D78" s="1570">
        <v>78576.537146536197</v>
      </c>
      <c r="E78" s="1570">
        <v>2558.9702697213179</v>
      </c>
      <c r="F78" s="1570">
        <v>15371.624167559039</v>
      </c>
      <c r="G78" s="1570">
        <v>3375.7625359112149</v>
      </c>
      <c r="H78" s="1570">
        <v>582527.38315512601</v>
      </c>
      <c r="I78" s="1570">
        <v>33218.761316360964</v>
      </c>
      <c r="J78" s="1570">
        <v>69828.171522637946</v>
      </c>
      <c r="K78" s="1570">
        <v>565374.67648455361</v>
      </c>
      <c r="L78" s="1570">
        <v>44111.940426219597</v>
      </c>
      <c r="M78" s="1570">
        <v>80974.40111268092</v>
      </c>
      <c r="N78" s="1570">
        <v>569873.67659941909</v>
      </c>
      <c r="O78" s="1570">
        <v>234151.2912948255</v>
      </c>
      <c r="P78" s="1570">
        <v>640436.76145316532</v>
      </c>
      <c r="Q78" s="1570">
        <v>93275.884640881937</v>
      </c>
      <c r="R78" s="1570">
        <v>390152.67513307283</v>
      </c>
      <c r="S78" s="1570">
        <v>89634.875243450428</v>
      </c>
      <c r="T78" s="1570">
        <v>496789.29152364383</v>
      </c>
      <c r="U78" s="1570">
        <v>32332.715455923153</v>
      </c>
      <c r="V78" s="1570">
        <v>258273.15292000567</v>
      </c>
      <c r="W78" s="1570">
        <v>512836.5405056458</v>
      </c>
      <c r="X78" s="1570">
        <v>397514.34715807519</v>
      </c>
      <c r="Y78" s="1570">
        <v>203565.26889438895</v>
      </c>
      <c r="Z78" s="1570">
        <v>193949.07826368621</v>
      </c>
      <c r="AA78" s="1570">
        <v>1029843.1863513475</v>
      </c>
      <c r="AB78" s="1570">
        <v>523751.97443149379</v>
      </c>
      <c r="AC78" s="1570">
        <v>353239.97397475969</v>
      </c>
      <c r="AD78" s="1570">
        <v>293250.55205256084</v>
      </c>
      <c r="AE78" s="1570">
        <v>259903.99370416955</v>
      </c>
      <c r="AF78" s="1570">
        <v>863839.336175367</v>
      </c>
      <c r="AG78" s="1570">
        <v>539982.3873595139</v>
      </c>
      <c r="AH78" s="1570">
        <v>232907.40783030368</v>
      </c>
      <c r="AI78" s="1570">
        <v>284568.85167014087</v>
      </c>
      <c r="AJ78" s="1570">
        <v>763338.39708508388</v>
      </c>
      <c r="AK78" s="1570">
        <v>414134.61942211934</v>
      </c>
      <c r="AL78" s="1583">
        <v>10749950.120122274</v>
      </c>
      <c r="AM78" s="1571">
        <v>50656.594134521554</v>
      </c>
      <c r="AN78" s="1601">
        <v>10800606.714256795</v>
      </c>
      <c r="AO78" s="1577">
        <f t="shared" si="46"/>
        <v>1.6</v>
      </c>
    </row>
    <row r="79" spans="1:41">
      <c r="A79" s="1573" t="s">
        <v>11852</v>
      </c>
      <c r="B79" s="1565" t="s">
        <v>11827</v>
      </c>
      <c r="C79" s="1565"/>
      <c r="D79" s="1566">
        <v>25964.590856725554</v>
      </c>
      <c r="E79" s="1566">
        <v>2435.9442599292202</v>
      </c>
      <c r="F79" s="1566">
        <v>12335.240371513974</v>
      </c>
      <c r="G79" s="1566">
        <v>3266.462919839335</v>
      </c>
      <c r="H79" s="1566">
        <v>496239.79014361784</v>
      </c>
      <c r="I79" s="1566">
        <v>28152.624410645221</v>
      </c>
      <c r="J79" s="1566">
        <v>71065.81960501874</v>
      </c>
      <c r="K79" s="1566">
        <v>627418.73248892056</v>
      </c>
      <c r="L79" s="1566">
        <v>39742.608302122535</v>
      </c>
      <c r="M79" s="1566">
        <v>67914.869430086153</v>
      </c>
      <c r="N79" s="1566">
        <v>536386.52404251206</v>
      </c>
      <c r="O79" s="1566">
        <v>211060.19910978229</v>
      </c>
      <c r="P79" s="1566">
        <v>683092.90756406402</v>
      </c>
      <c r="Q79" s="1566">
        <v>72565.749873148074</v>
      </c>
      <c r="R79" s="1566">
        <v>374439.56661333493</v>
      </c>
      <c r="S79" s="1566">
        <v>138755.33449719186</v>
      </c>
      <c r="T79" s="1566">
        <v>476143.60924170999</v>
      </c>
      <c r="U79" s="1566">
        <v>31420.725175255913</v>
      </c>
      <c r="V79" s="1566">
        <v>234177.57512971191</v>
      </c>
      <c r="W79" s="1566">
        <v>532546.77204868814</v>
      </c>
      <c r="X79" s="1566">
        <v>461333.49410464487</v>
      </c>
      <c r="Y79" s="1566">
        <v>242872.78170577742</v>
      </c>
      <c r="Z79" s="1566">
        <v>218460.71239886744</v>
      </c>
      <c r="AA79" s="1566">
        <v>904124.601702724</v>
      </c>
      <c r="AB79" s="1566">
        <v>583638.60350630549</v>
      </c>
      <c r="AC79" s="1566">
        <v>308165.78148242127</v>
      </c>
      <c r="AD79" s="1566">
        <v>284303.77473497356</v>
      </c>
      <c r="AE79" s="1566">
        <v>261403.39590135418</v>
      </c>
      <c r="AF79" s="1566">
        <v>864616.69905658904</v>
      </c>
      <c r="AG79" s="1566">
        <v>549922.34879109892</v>
      </c>
      <c r="AH79" s="1566">
        <v>208387.63527028391</v>
      </c>
      <c r="AI79" s="1566">
        <v>291708.85951468756</v>
      </c>
      <c r="AJ79" s="1566">
        <v>752684.26250064035</v>
      </c>
      <c r="AK79" s="1566">
        <v>397978.82530039968</v>
      </c>
      <c r="AL79" s="1582">
        <v>10533393.927949941</v>
      </c>
      <c r="AM79" s="1567">
        <v>49636.124363814692</v>
      </c>
      <c r="AN79" s="1600">
        <v>10583030.052313756</v>
      </c>
      <c r="AO79" s="1576">
        <f t="shared" si="46"/>
        <v>-0.8</v>
      </c>
    </row>
    <row r="80" spans="1:41">
      <c r="A80" s="1564">
        <v>2019</v>
      </c>
      <c r="B80" s="1565" t="s">
        <v>11828</v>
      </c>
      <c r="C80" s="1565"/>
      <c r="D80" s="1566">
        <v>22887.126764651886</v>
      </c>
      <c r="E80" s="1566">
        <v>2594.8338921084119</v>
      </c>
      <c r="F80" s="1566">
        <v>11025.793055896145</v>
      </c>
      <c r="G80" s="1566">
        <v>3449.7338040681757</v>
      </c>
      <c r="H80" s="1566">
        <v>537494.25213821104</v>
      </c>
      <c r="I80" s="1566">
        <v>29774.736054117187</v>
      </c>
      <c r="J80" s="1566">
        <v>77803.119749818143</v>
      </c>
      <c r="K80" s="1566">
        <v>555520.14129229099</v>
      </c>
      <c r="L80" s="1566">
        <v>43987.32316422899</v>
      </c>
      <c r="M80" s="1566">
        <v>68989.239733108901</v>
      </c>
      <c r="N80" s="1566">
        <v>541116.97897044872</v>
      </c>
      <c r="O80" s="1566">
        <v>210385.00641128217</v>
      </c>
      <c r="P80" s="1566">
        <v>660004.06472345861</v>
      </c>
      <c r="Q80" s="1566">
        <v>87693.427003525372</v>
      </c>
      <c r="R80" s="1566">
        <v>379001.07024718798</v>
      </c>
      <c r="S80" s="1566">
        <v>118950.72065277537</v>
      </c>
      <c r="T80" s="1566">
        <v>402368.35346132854</v>
      </c>
      <c r="U80" s="1566">
        <v>31248.835859490329</v>
      </c>
      <c r="V80" s="1566">
        <v>248125.4573887696</v>
      </c>
      <c r="W80" s="1566">
        <v>430599.22386796342</v>
      </c>
      <c r="X80" s="1566">
        <v>413568.90656504792</v>
      </c>
      <c r="Y80" s="1566">
        <v>213863.55477758421</v>
      </c>
      <c r="Z80" s="1566">
        <v>199705.35178746367</v>
      </c>
      <c r="AA80" s="1566">
        <v>891677.26461620606</v>
      </c>
      <c r="AB80" s="1566">
        <v>551550.0720648414</v>
      </c>
      <c r="AC80" s="1566">
        <v>326739.507134674</v>
      </c>
      <c r="AD80" s="1566">
        <v>282081.70688963047</v>
      </c>
      <c r="AE80" s="1566">
        <v>275888.27186397708</v>
      </c>
      <c r="AF80" s="1566">
        <v>874751.44544747239</v>
      </c>
      <c r="AG80" s="1566">
        <v>563861.68514977931</v>
      </c>
      <c r="AH80" s="1566">
        <v>237447.14466606753</v>
      </c>
      <c r="AI80" s="1566">
        <v>274713.68595999765</v>
      </c>
      <c r="AJ80" s="1566">
        <v>781496.60017331527</v>
      </c>
      <c r="AK80" s="1566">
        <v>432072.64946873882</v>
      </c>
      <c r="AL80" s="1582">
        <v>10368868.37823448</v>
      </c>
      <c r="AM80" s="1567">
        <v>42784.615159952213</v>
      </c>
      <c r="AN80" s="1600">
        <v>10411652.993394433</v>
      </c>
      <c r="AO80" s="1576">
        <f t="shared" si="46"/>
        <v>1.3</v>
      </c>
    </row>
    <row r="81" spans="1:41">
      <c r="A81" s="1564"/>
      <c r="B81" s="1565" t="s">
        <v>11829</v>
      </c>
      <c r="C81" s="1565"/>
      <c r="D81" s="1566">
        <v>31453.487542775703</v>
      </c>
      <c r="E81" s="1566">
        <v>2512.1256295040212</v>
      </c>
      <c r="F81" s="1566">
        <v>11958.662419739334</v>
      </c>
      <c r="G81" s="1566">
        <v>3102.6934184489787</v>
      </c>
      <c r="H81" s="1566">
        <v>488133.2886901013</v>
      </c>
      <c r="I81" s="1566">
        <v>27895.916729635144</v>
      </c>
      <c r="J81" s="1566">
        <v>73336.192687792995</v>
      </c>
      <c r="K81" s="1566">
        <v>526481.84905582201</v>
      </c>
      <c r="L81" s="1566">
        <v>43905.436734220937</v>
      </c>
      <c r="M81" s="1566">
        <v>65693.020601684577</v>
      </c>
      <c r="N81" s="1566">
        <v>512600.91727852606</v>
      </c>
      <c r="O81" s="1566">
        <v>199862.55006880657</v>
      </c>
      <c r="P81" s="1566">
        <v>706919.24044049275</v>
      </c>
      <c r="Q81" s="1566">
        <v>83877.562599970668</v>
      </c>
      <c r="R81" s="1566">
        <v>412540.46197648614</v>
      </c>
      <c r="S81" s="1566">
        <v>136444.83059769979</v>
      </c>
      <c r="T81" s="1566">
        <v>414848.79295377835</v>
      </c>
      <c r="U81" s="1566">
        <v>33373.490170665769</v>
      </c>
      <c r="V81" s="1566">
        <v>236643.131674245</v>
      </c>
      <c r="W81" s="1566">
        <v>467314.51600610086</v>
      </c>
      <c r="X81" s="1566">
        <v>429151.74006812362</v>
      </c>
      <c r="Y81" s="1566">
        <v>236790.74905441896</v>
      </c>
      <c r="Z81" s="1566">
        <v>192360.99101370465</v>
      </c>
      <c r="AA81" s="1566">
        <v>944121.83284321893</v>
      </c>
      <c r="AB81" s="1566">
        <v>545012.06334576895</v>
      </c>
      <c r="AC81" s="1566">
        <v>333250.2688172253</v>
      </c>
      <c r="AD81" s="1566">
        <v>298934.08228319749</v>
      </c>
      <c r="AE81" s="1566">
        <v>276068.39261219418</v>
      </c>
      <c r="AF81" s="1566">
        <v>878403.16642631229</v>
      </c>
      <c r="AG81" s="1566">
        <v>537696.31641914905</v>
      </c>
      <c r="AH81" s="1566">
        <v>206225.92940403213</v>
      </c>
      <c r="AI81" s="1566">
        <v>306665.73606342974</v>
      </c>
      <c r="AJ81" s="1566">
        <v>794594.03772175324</v>
      </c>
      <c r="AK81" s="1566">
        <v>420372.10092007311</v>
      </c>
      <c r="AL81" s="1582">
        <v>10449393.834200975</v>
      </c>
      <c r="AM81" s="1567">
        <v>43116.883881902446</v>
      </c>
      <c r="AN81" s="1600">
        <v>10492510.718082877</v>
      </c>
      <c r="AO81" s="1576">
        <f t="shared" si="46"/>
        <v>2</v>
      </c>
    </row>
    <row r="82" spans="1:41">
      <c r="A82" s="1564"/>
      <c r="B82" s="1565" t="s">
        <v>11830</v>
      </c>
      <c r="C82" s="1565"/>
      <c r="D82" s="1566">
        <v>77370.316722342453</v>
      </c>
      <c r="E82" s="1566">
        <v>2534.1811661985253</v>
      </c>
      <c r="F82" s="1566">
        <v>13736.107262670223</v>
      </c>
      <c r="G82" s="1566">
        <v>3088.6020828440855</v>
      </c>
      <c r="H82" s="1566">
        <v>565665.4648235084</v>
      </c>
      <c r="I82" s="1566">
        <v>33162.099491731962</v>
      </c>
      <c r="J82" s="1566">
        <v>82027.432397928686</v>
      </c>
      <c r="K82" s="1566">
        <v>673516.86992203642</v>
      </c>
      <c r="L82" s="1566">
        <v>42036.989622192523</v>
      </c>
      <c r="M82" s="1566">
        <v>80289.98885037782</v>
      </c>
      <c r="N82" s="1566">
        <v>514960.65968858509</v>
      </c>
      <c r="O82" s="1566">
        <v>227846.16432510858</v>
      </c>
      <c r="P82" s="1566">
        <v>649227.27490635519</v>
      </c>
      <c r="Q82" s="1566">
        <v>87057.098897933247</v>
      </c>
      <c r="R82" s="1566">
        <v>381620.03605530306</v>
      </c>
      <c r="S82" s="1566">
        <v>119942.11640630683</v>
      </c>
      <c r="T82" s="1566">
        <v>444454.70879058697</v>
      </c>
      <c r="U82" s="1566">
        <v>33422.064940492208</v>
      </c>
      <c r="V82" s="1566">
        <v>247114.06456024549</v>
      </c>
      <c r="W82" s="1566">
        <v>531994.5574318493</v>
      </c>
      <c r="X82" s="1566">
        <v>400435.47658144002</v>
      </c>
      <c r="Y82" s="1566">
        <v>203938.38724774602</v>
      </c>
      <c r="Z82" s="1566">
        <v>196497.08933369399</v>
      </c>
      <c r="AA82" s="1566">
        <v>974086.00103901222</v>
      </c>
      <c r="AB82" s="1566">
        <v>537528.95792733773</v>
      </c>
      <c r="AC82" s="1566">
        <v>321633.03234179725</v>
      </c>
      <c r="AD82" s="1566">
        <v>299843.33441403526</v>
      </c>
      <c r="AE82" s="1566">
        <v>277095.55349707097</v>
      </c>
      <c r="AF82" s="1566">
        <v>879706.18743951444</v>
      </c>
      <c r="AG82" s="1566">
        <v>544693.22242613987</v>
      </c>
      <c r="AH82" s="1566">
        <v>241619.77998506615</v>
      </c>
      <c r="AI82" s="1566">
        <v>307161.94216803834</v>
      </c>
      <c r="AJ82" s="1566">
        <v>822031.31630773691</v>
      </c>
      <c r="AK82" s="1566">
        <v>404451.58929284324</v>
      </c>
      <c r="AL82" s="1582">
        <v>10821353.19176463</v>
      </c>
      <c r="AM82" s="1567">
        <v>44651.683764395872</v>
      </c>
      <c r="AN82" s="1600">
        <v>10866004.875529027</v>
      </c>
      <c r="AO82" s="1576">
        <f t="shared" si="46"/>
        <v>0.6</v>
      </c>
    </row>
    <row r="83" spans="1:41">
      <c r="A83" s="1572" t="s">
        <v>11835</v>
      </c>
      <c r="B83" s="1561" t="s">
        <v>11827</v>
      </c>
      <c r="C83" s="1561"/>
      <c r="D83" s="1562">
        <v>26064.068970229942</v>
      </c>
      <c r="E83" s="1562">
        <v>2236.8593121890417</v>
      </c>
      <c r="F83" s="1562">
        <v>11800.437261694296</v>
      </c>
      <c r="G83" s="1562">
        <v>2952.9706946387601</v>
      </c>
      <c r="H83" s="1562">
        <v>522470.99434817932</v>
      </c>
      <c r="I83" s="1562">
        <v>28760.247724515692</v>
      </c>
      <c r="J83" s="1562">
        <v>80137.255164460206</v>
      </c>
      <c r="K83" s="1562">
        <v>491761.13972985063</v>
      </c>
      <c r="L83" s="1562">
        <v>41839.250479357543</v>
      </c>
      <c r="M83" s="1562">
        <v>83236.750814828702</v>
      </c>
      <c r="N83" s="1562">
        <v>484767.44406244013</v>
      </c>
      <c r="O83" s="1562">
        <v>211028.27919480272</v>
      </c>
      <c r="P83" s="1562">
        <v>752783.41992969369</v>
      </c>
      <c r="Q83" s="1562">
        <v>93849.911498570742</v>
      </c>
      <c r="R83" s="1562">
        <v>390478.43172102276</v>
      </c>
      <c r="S83" s="1562">
        <v>112533.33234321799</v>
      </c>
      <c r="T83" s="1562">
        <v>501579.14479430596</v>
      </c>
      <c r="U83" s="1562">
        <v>32733.609029351712</v>
      </c>
      <c r="V83" s="1562">
        <v>269186.34637673997</v>
      </c>
      <c r="W83" s="1562">
        <v>550854.70269408647</v>
      </c>
      <c r="X83" s="1562">
        <v>450183.87678538845</v>
      </c>
      <c r="Y83" s="1562">
        <v>228595.30892025074</v>
      </c>
      <c r="Z83" s="1562">
        <v>221588.56786513774</v>
      </c>
      <c r="AA83" s="1562">
        <v>890224.28319381725</v>
      </c>
      <c r="AB83" s="1562">
        <v>482849.07343449129</v>
      </c>
      <c r="AC83" s="1562">
        <v>319809.19170630351</v>
      </c>
      <c r="AD83" s="1562">
        <v>280471.87641313684</v>
      </c>
      <c r="AE83" s="1562">
        <v>279471.78202675778</v>
      </c>
      <c r="AF83" s="1562">
        <v>880909.05952245858</v>
      </c>
      <c r="AG83" s="1562">
        <v>538706.77600493177</v>
      </c>
      <c r="AH83" s="1562">
        <v>213592.14594483419</v>
      </c>
      <c r="AI83" s="1562">
        <v>288753.63580853428</v>
      </c>
      <c r="AJ83" s="1562">
        <v>792175.04579719435</v>
      </c>
      <c r="AK83" s="1562">
        <v>360079.66031834483</v>
      </c>
      <c r="AL83" s="1581">
        <v>10468281.003100369</v>
      </c>
      <c r="AM83" s="1563">
        <v>43194.817193749455</v>
      </c>
      <c r="AN83" s="1599">
        <v>10511475.820294119</v>
      </c>
      <c r="AO83" s="1575">
        <f t="shared" si="46"/>
        <v>-0.7</v>
      </c>
    </row>
    <row r="84" spans="1:41">
      <c r="A84" s="1573">
        <v>2020</v>
      </c>
      <c r="B84" s="1565" t="s">
        <v>11828</v>
      </c>
      <c r="C84" s="1565"/>
      <c r="D84" s="1566">
        <v>23002.967257779972</v>
      </c>
      <c r="E84" s="1566">
        <v>2231.7144466654631</v>
      </c>
      <c r="F84" s="1566">
        <v>12003.45571824155</v>
      </c>
      <c r="G84" s="1566">
        <v>3602.791013675379</v>
      </c>
      <c r="H84" s="1566">
        <v>534832.0118820502</v>
      </c>
      <c r="I84" s="1566">
        <v>28021.534300782598</v>
      </c>
      <c r="J84" s="1566">
        <v>71231.525268856858</v>
      </c>
      <c r="K84" s="1566">
        <v>562477.86745148327</v>
      </c>
      <c r="L84" s="1566">
        <v>29674.268419998647</v>
      </c>
      <c r="M84" s="1566">
        <v>74072.928214914791</v>
      </c>
      <c r="N84" s="1566">
        <v>363128.43304565299</v>
      </c>
      <c r="O84" s="1566">
        <v>186226.60172777914</v>
      </c>
      <c r="P84" s="1566">
        <v>588241.65527191292</v>
      </c>
      <c r="Q84" s="1566">
        <v>87309.192718746301</v>
      </c>
      <c r="R84" s="1566">
        <v>295717.41818008077</v>
      </c>
      <c r="S84" s="1566">
        <v>84801.931574836344</v>
      </c>
      <c r="T84" s="1566">
        <v>295379.13223675691</v>
      </c>
      <c r="U84" s="1566">
        <v>38388.354258278421</v>
      </c>
      <c r="V84" s="1566">
        <v>221732.6493807552</v>
      </c>
      <c r="W84" s="1566">
        <v>494011.23391886003</v>
      </c>
      <c r="X84" s="1566">
        <v>392394.41003885254</v>
      </c>
      <c r="Y84" s="1566">
        <v>212071.02522654698</v>
      </c>
      <c r="Z84" s="1566">
        <v>180323.38481230556</v>
      </c>
      <c r="AA84" s="1566">
        <v>788796.28437662986</v>
      </c>
      <c r="AB84" s="1566">
        <v>409658.93755106634</v>
      </c>
      <c r="AC84" s="1566">
        <v>210023.07602279176</v>
      </c>
      <c r="AD84" s="1566">
        <v>297171.18241472408</v>
      </c>
      <c r="AE84" s="1566">
        <v>270577.54038456577</v>
      </c>
      <c r="AF84" s="1566">
        <v>882666.82357978681</v>
      </c>
      <c r="AG84" s="1566">
        <v>527152.81496159965</v>
      </c>
      <c r="AH84" s="1566">
        <v>234278.30164207477</v>
      </c>
      <c r="AI84" s="1566">
        <v>309135.21955781401</v>
      </c>
      <c r="AJ84" s="1566">
        <v>799741.29808966536</v>
      </c>
      <c r="AK84" s="1566">
        <v>310273.46713903616</v>
      </c>
      <c r="AL84" s="1582">
        <v>9427957.022046715</v>
      </c>
      <c r="AM84" s="1567">
        <v>44515.701915630132</v>
      </c>
      <c r="AN84" s="1600">
        <v>9472472.7239623442</v>
      </c>
      <c r="AO84" s="1576">
        <f t="shared" si="46"/>
        <v>-9</v>
      </c>
    </row>
    <row r="85" spans="1:41">
      <c r="A85" s="1573"/>
      <c r="B85" s="1565" t="s">
        <v>11829</v>
      </c>
      <c r="C85" s="1565"/>
      <c r="D85" s="1566">
        <v>31748.06139610066</v>
      </c>
      <c r="E85" s="1566">
        <v>2056.7637796069262</v>
      </c>
      <c r="F85" s="1566">
        <v>11385.125761718009</v>
      </c>
      <c r="G85" s="1566">
        <v>2805.456694154529</v>
      </c>
      <c r="H85" s="1566">
        <v>491823.26395355351</v>
      </c>
      <c r="I85" s="1566">
        <v>26990.58318334322</v>
      </c>
      <c r="J85" s="1566">
        <v>72583.707896025342</v>
      </c>
      <c r="K85" s="1566">
        <v>506456.88783017336</v>
      </c>
      <c r="L85" s="1566">
        <v>35125.874181450898</v>
      </c>
      <c r="M85" s="1566">
        <v>76813.443653277209</v>
      </c>
      <c r="N85" s="1566">
        <v>390406.90311562043</v>
      </c>
      <c r="O85" s="1566">
        <v>193897.28088083927</v>
      </c>
      <c r="P85" s="1566">
        <v>609184.6560047894</v>
      </c>
      <c r="Q85" s="1566">
        <v>87520.032553070807</v>
      </c>
      <c r="R85" s="1566">
        <v>296046.70379065117</v>
      </c>
      <c r="S85" s="1566">
        <v>105055.30846178874</v>
      </c>
      <c r="T85" s="1566">
        <v>378553.1038678427</v>
      </c>
      <c r="U85" s="1566">
        <v>41055.26977053209</v>
      </c>
      <c r="V85" s="1566">
        <v>211676.28852970616</v>
      </c>
      <c r="W85" s="1566">
        <v>526477.3842025816</v>
      </c>
      <c r="X85" s="1566">
        <v>431797.31211030553</v>
      </c>
      <c r="Y85" s="1566">
        <v>250501.73767254452</v>
      </c>
      <c r="Z85" s="1566">
        <v>181295.57443776104</v>
      </c>
      <c r="AA85" s="1566">
        <v>894337.10438248806</v>
      </c>
      <c r="AB85" s="1566">
        <v>413215.77586677449</v>
      </c>
      <c r="AC85" s="1566">
        <v>221715.64940783425</v>
      </c>
      <c r="AD85" s="1566">
        <v>306209.57371874579</v>
      </c>
      <c r="AE85" s="1566">
        <v>277444.49880709808</v>
      </c>
      <c r="AF85" s="1566">
        <v>889771.90252888855</v>
      </c>
      <c r="AG85" s="1566">
        <v>518017.24189644988</v>
      </c>
      <c r="AH85" s="1566">
        <v>207303.86462282881</v>
      </c>
      <c r="AI85" s="1566">
        <v>321983.10786839656</v>
      </c>
      <c r="AJ85" s="1566">
        <v>772322.2073453865</v>
      </c>
      <c r="AK85" s="1566">
        <v>360325.26491505519</v>
      </c>
      <c r="AL85" s="1582">
        <v>9712105.6029770765</v>
      </c>
      <c r="AM85" s="1567">
        <v>45857.35774826345</v>
      </c>
      <c r="AN85" s="1600">
        <v>9757962.9607253391</v>
      </c>
      <c r="AO85" s="1576">
        <f t="shared" si="46"/>
        <v>-7</v>
      </c>
    </row>
    <row r="86" spans="1:41">
      <c r="A86" s="1574"/>
      <c r="B86" s="1569" t="s">
        <v>11830</v>
      </c>
      <c r="C86" s="1569"/>
      <c r="D86" s="1570">
        <v>74064.94821866072</v>
      </c>
      <c r="E86" s="1570">
        <v>2279.8258801065608</v>
      </c>
      <c r="F86" s="1570">
        <v>15589.676856044807</v>
      </c>
      <c r="G86" s="1570">
        <v>2712.7155225611546</v>
      </c>
      <c r="H86" s="1570">
        <v>573524.91534890002</v>
      </c>
      <c r="I86" s="1570">
        <v>28008.621562839649</v>
      </c>
      <c r="J86" s="1570">
        <v>76527.715425420349</v>
      </c>
      <c r="K86" s="1570">
        <v>537663.72422981902</v>
      </c>
      <c r="L86" s="1570">
        <v>36944.66648874979</v>
      </c>
      <c r="M86" s="1570">
        <v>81281.086471348986</v>
      </c>
      <c r="N86" s="1570">
        <v>506360.14368476166</v>
      </c>
      <c r="O86" s="1570">
        <v>223230.03557926638</v>
      </c>
      <c r="P86" s="1570">
        <v>679628.59844526416</v>
      </c>
      <c r="Q86" s="1570">
        <v>91543.816439420669</v>
      </c>
      <c r="R86" s="1570">
        <v>329734.79909344233</v>
      </c>
      <c r="S86" s="1570">
        <v>128592.91435035136</v>
      </c>
      <c r="T86" s="1570">
        <v>463896.39487271284</v>
      </c>
      <c r="U86" s="1570">
        <v>42201.495575669353</v>
      </c>
      <c r="V86" s="1570">
        <v>226803.49673651147</v>
      </c>
      <c r="W86" s="1570">
        <v>612517.00010560243</v>
      </c>
      <c r="X86" s="1570">
        <v>401834.19929474866</v>
      </c>
      <c r="Y86" s="1570">
        <v>203117.77586081234</v>
      </c>
      <c r="Z86" s="1570">
        <v>198716.42343393632</v>
      </c>
      <c r="AA86" s="1570">
        <v>950973.73265272379</v>
      </c>
      <c r="AB86" s="1570">
        <v>421124.64868608845</v>
      </c>
      <c r="AC86" s="1570">
        <v>223783.46568553275</v>
      </c>
      <c r="AD86" s="1570">
        <v>313458.73587277241</v>
      </c>
      <c r="AE86" s="1570">
        <v>279032.54505300353</v>
      </c>
      <c r="AF86" s="1570">
        <v>889039.33750541299</v>
      </c>
      <c r="AG86" s="1570">
        <v>526313.88566898834</v>
      </c>
      <c r="AH86" s="1570">
        <v>240615.91608569148</v>
      </c>
      <c r="AI86" s="1570">
        <v>329669.20248417626</v>
      </c>
      <c r="AJ86" s="1570">
        <v>793648.89984956186</v>
      </c>
      <c r="AK86" s="1570">
        <v>382416.40451325051</v>
      </c>
      <c r="AL86" s="1583">
        <v>10485017.564239405</v>
      </c>
      <c r="AM86" s="1571">
        <v>49506.792975229466</v>
      </c>
      <c r="AN86" s="1601">
        <v>10534524.357214635</v>
      </c>
      <c r="AO86" s="1577">
        <f t="shared" si="46"/>
        <v>-3.1</v>
      </c>
    </row>
    <row r="87" spans="1:41">
      <c r="A87" s="1573" t="s">
        <v>11836</v>
      </c>
      <c r="B87" s="1565" t="s">
        <v>11827</v>
      </c>
      <c r="C87" s="1565"/>
      <c r="D87" s="1566">
        <v>26431.023127458659</v>
      </c>
      <c r="E87" s="1566">
        <v>2835.6958936210494</v>
      </c>
      <c r="F87" s="1566">
        <v>9923.7416639956373</v>
      </c>
      <c r="G87" s="1566">
        <v>3258.036769608937</v>
      </c>
      <c r="H87" s="1566">
        <v>518702.80881549628</v>
      </c>
      <c r="I87" s="1566">
        <v>25937.260953034543</v>
      </c>
      <c r="J87" s="1566">
        <v>74716.051409697451</v>
      </c>
      <c r="K87" s="1566">
        <v>566843.52048852423</v>
      </c>
      <c r="L87" s="1566">
        <v>41710.190909800665</v>
      </c>
      <c r="M87" s="1566">
        <v>78374.541660458985</v>
      </c>
      <c r="N87" s="1566">
        <v>546748.52015396499</v>
      </c>
      <c r="O87" s="1566">
        <v>220019.08181211521</v>
      </c>
      <c r="P87" s="1566">
        <v>779360.09027803352</v>
      </c>
      <c r="Q87" s="1566">
        <v>104292.95828876219</v>
      </c>
      <c r="R87" s="1566">
        <v>323933.07893582573</v>
      </c>
      <c r="S87" s="1566">
        <v>153277.84561302362</v>
      </c>
      <c r="T87" s="1566">
        <v>403132.36902268766</v>
      </c>
      <c r="U87" s="1566">
        <v>41026.880395520158</v>
      </c>
      <c r="V87" s="1566">
        <v>235588.56535302717</v>
      </c>
      <c r="W87" s="1566">
        <v>603180.38177295588</v>
      </c>
      <c r="X87" s="1566">
        <v>457513.07855609327</v>
      </c>
      <c r="Y87" s="1566">
        <v>238267.46124009619</v>
      </c>
      <c r="Z87" s="1566">
        <v>219245.61731599708</v>
      </c>
      <c r="AA87" s="1566">
        <v>842879.48275801085</v>
      </c>
      <c r="AB87" s="1566">
        <v>438905.48492116586</v>
      </c>
      <c r="AC87" s="1566">
        <v>218469.80888384132</v>
      </c>
      <c r="AD87" s="1566">
        <v>283482.50799375767</v>
      </c>
      <c r="AE87" s="1566">
        <v>251771.41575533259</v>
      </c>
      <c r="AF87" s="1566">
        <v>894308.50556984404</v>
      </c>
      <c r="AG87" s="1566">
        <v>547639.0574729623</v>
      </c>
      <c r="AH87" s="1566">
        <v>214310.9176494049</v>
      </c>
      <c r="AI87" s="1566">
        <v>231318.47008961317</v>
      </c>
      <c r="AJ87" s="1566">
        <v>790388.59471538651</v>
      </c>
      <c r="AK87" s="1566">
        <v>357424.86343265814</v>
      </c>
      <c r="AL87" s="1582">
        <v>10287704.831115684</v>
      </c>
      <c r="AM87" s="1567">
        <v>48575.147360876952</v>
      </c>
      <c r="AN87" s="1600">
        <v>10336279.97847656</v>
      </c>
      <c r="AO87" s="1576">
        <f t="shared" si="46"/>
        <v>-1.7</v>
      </c>
    </row>
    <row r="88" spans="1:41">
      <c r="A88" s="1573">
        <v>2021</v>
      </c>
      <c r="B88" s="1565" t="s">
        <v>11828</v>
      </c>
      <c r="C88" s="1565"/>
      <c r="D88" s="1566">
        <v>24330.694318901911</v>
      </c>
      <c r="E88" s="1566">
        <v>2595.7683530021145</v>
      </c>
      <c r="F88" s="1566">
        <v>9382.3123939691159</v>
      </c>
      <c r="G88" s="1566">
        <v>2794.7997480985841</v>
      </c>
      <c r="H88" s="1566">
        <v>549079.28411444719</v>
      </c>
      <c r="I88" s="1566">
        <v>26251.174333949049</v>
      </c>
      <c r="J88" s="1566">
        <v>74171.327890884</v>
      </c>
      <c r="K88" s="1566">
        <v>570328.9077443328</v>
      </c>
      <c r="L88" s="1566">
        <v>37874.11438564222</v>
      </c>
      <c r="M88" s="1566">
        <v>81715.331370586107</v>
      </c>
      <c r="N88" s="1566">
        <v>559510.32698334393</v>
      </c>
      <c r="O88" s="1566">
        <v>246818.47400655755</v>
      </c>
      <c r="P88" s="1566">
        <v>729639.6823899718</v>
      </c>
      <c r="Q88" s="1566">
        <v>94301.942342719136</v>
      </c>
      <c r="R88" s="1566">
        <v>379092.6749916955</v>
      </c>
      <c r="S88" s="1566">
        <v>99898.658633416577</v>
      </c>
      <c r="T88" s="1566">
        <v>330369.63095832634</v>
      </c>
      <c r="U88" s="1566">
        <v>28376.869661917073</v>
      </c>
      <c r="V88" s="1566">
        <v>251357.24713044526</v>
      </c>
      <c r="W88" s="1566">
        <v>489525.83615222503</v>
      </c>
      <c r="X88" s="1566">
        <v>377029.4213494662</v>
      </c>
      <c r="Y88" s="1566">
        <v>177913.12796267288</v>
      </c>
      <c r="Z88" s="1566">
        <v>199116.29338679335</v>
      </c>
      <c r="AA88" s="1566">
        <v>855818.57132433204</v>
      </c>
      <c r="AB88" s="1566">
        <v>481083.61000587622</v>
      </c>
      <c r="AC88" s="1566">
        <v>214453.67160115784</v>
      </c>
      <c r="AD88" s="1566">
        <v>328260.20667463058</v>
      </c>
      <c r="AE88" s="1566">
        <v>279934.43355344946</v>
      </c>
      <c r="AF88" s="1566">
        <v>900601.31580419524</v>
      </c>
      <c r="AG88" s="1566">
        <v>563120.95383898937</v>
      </c>
      <c r="AH88" s="1566">
        <v>241767.01062667658</v>
      </c>
      <c r="AI88" s="1566">
        <v>270335.18101638532</v>
      </c>
      <c r="AJ88" s="1566">
        <v>819335.41340036958</v>
      </c>
      <c r="AK88" s="1566">
        <v>385059.57738724072</v>
      </c>
      <c r="AL88" s="1582">
        <v>10304214.4244872</v>
      </c>
      <c r="AM88" s="1567">
        <v>61401.639215934534</v>
      </c>
      <c r="AN88" s="1600">
        <v>10365616.063703135</v>
      </c>
      <c r="AO88" s="1576">
        <f t="shared" si="46"/>
        <v>9.4</v>
      </c>
    </row>
    <row r="89" spans="1:41">
      <c r="A89" s="1573"/>
      <c r="B89" s="1565" t="s">
        <v>11829</v>
      </c>
      <c r="C89" s="1565"/>
      <c r="D89" s="1566">
        <v>33103.115130978236</v>
      </c>
      <c r="E89" s="1566">
        <v>2560.1030085211928</v>
      </c>
      <c r="F89" s="1566">
        <v>10047.249453009912</v>
      </c>
      <c r="G89" s="1566">
        <v>2922.3449716039281</v>
      </c>
      <c r="H89" s="1566">
        <v>490345.03788909363</v>
      </c>
      <c r="I89" s="1566">
        <v>25830.539748335137</v>
      </c>
      <c r="J89" s="1566">
        <v>79050.191586980116</v>
      </c>
      <c r="K89" s="1566">
        <v>564778.30871772987</v>
      </c>
      <c r="L89" s="1566">
        <v>41023.208752151717</v>
      </c>
      <c r="M89" s="1566">
        <v>83895.079046282102</v>
      </c>
      <c r="N89" s="1566">
        <v>590697.07038261916</v>
      </c>
      <c r="O89" s="1566">
        <v>200668.89638876647</v>
      </c>
      <c r="P89" s="1566">
        <v>726779.80893256189</v>
      </c>
      <c r="Q89" s="1566">
        <v>100677.69791670857</v>
      </c>
      <c r="R89" s="1566">
        <v>376549.79324852844</v>
      </c>
      <c r="S89" s="1566">
        <v>111414.56354057041</v>
      </c>
      <c r="T89" s="1566">
        <v>317548.14184396411</v>
      </c>
      <c r="U89" s="1566">
        <v>28103.820531028745</v>
      </c>
      <c r="V89" s="1566">
        <v>251674.73854059921</v>
      </c>
      <c r="W89" s="1566">
        <v>533505.29588743311</v>
      </c>
      <c r="X89" s="1566">
        <v>407648.72702028626</v>
      </c>
      <c r="Y89" s="1566">
        <v>209606.36247186424</v>
      </c>
      <c r="Z89" s="1566">
        <v>198042.36454842199</v>
      </c>
      <c r="AA89" s="1566">
        <v>909473.04099429178</v>
      </c>
      <c r="AB89" s="1566">
        <v>484927.83809302276</v>
      </c>
      <c r="AC89" s="1566">
        <v>208692.09422288043</v>
      </c>
      <c r="AD89" s="1566">
        <v>320186.01921010792</v>
      </c>
      <c r="AE89" s="1566">
        <v>281891.64698699163</v>
      </c>
      <c r="AF89" s="1566">
        <v>899200.06288876105</v>
      </c>
      <c r="AG89" s="1566">
        <v>585518.6429268776</v>
      </c>
      <c r="AH89" s="1566">
        <v>214658.75920980042</v>
      </c>
      <c r="AI89" s="1566">
        <v>319075.83304538653</v>
      </c>
      <c r="AJ89" s="1566">
        <v>828976.09811844805</v>
      </c>
      <c r="AK89" s="1566">
        <v>366509.11464450345</v>
      </c>
      <c r="AL89" s="1582">
        <v>10397932.882878825</v>
      </c>
      <c r="AM89" s="1567">
        <v>61960.09682686712</v>
      </c>
      <c r="AN89" s="1600">
        <v>10459892.979705691</v>
      </c>
      <c r="AO89" s="1576">
        <f t="shared" si="46"/>
        <v>7.2</v>
      </c>
    </row>
    <row r="90" spans="1:41">
      <c r="A90" s="1573"/>
      <c r="B90" s="1565" t="s">
        <v>11830</v>
      </c>
      <c r="C90" s="1565"/>
      <c r="D90" s="1566">
        <v>74521.653532780969</v>
      </c>
      <c r="E90" s="1566">
        <v>2616.9446512876621</v>
      </c>
      <c r="F90" s="1566">
        <v>11710.260969438585</v>
      </c>
      <c r="G90" s="1566">
        <v>3082.6167941168915</v>
      </c>
      <c r="H90" s="1566">
        <v>590340.0996844063</v>
      </c>
      <c r="I90" s="1566">
        <v>28959.585569189709</v>
      </c>
      <c r="J90" s="1566">
        <v>80308.557826916425</v>
      </c>
      <c r="K90" s="1566">
        <v>624367.24700420327</v>
      </c>
      <c r="L90" s="1566">
        <v>44414.017846162154</v>
      </c>
      <c r="M90" s="1566">
        <v>84071.842462264482</v>
      </c>
      <c r="N90" s="1566">
        <v>628482.77904987661</v>
      </c>
      <c r="O90" s="1566">
        <v>179505.29930301811</v>
      </c>
      <c r="P90" s="1566">
        <v>766855.30082103855</v>
      </c>
      <c r="Q90" s="1566">
        <v>96179.67663061482</v>
      </c>
      <c r="R90" s="1566">
        <v>380548.99805888097</v>
      </c>
      <c r="S90" s="1566">
        <v>87996.948694307095</v>
      </c>
      <c r="T90" s="1566">
        <v>371385.93133506854</v>
      </c>
      <c r="U90" s="1566">
        <v>29282.013888849157</v>
      </c>
      <c r="V90" s="1566">
        <v>271994.18236724817</v>
      </c>
      <c r="W90" s="1566">
        <v>619175.86273385817</v>
      </c>
      <c r="X90" s="1566">
        <v>413468.37341974885</v>
      </c>
      <c r="Y90" s="1566">
        <v>193847.81712489703</v>
      </c>
      <c r="Z90" s="1566">
        <v>219620.55629485182</v>
      </c>
      <c r="AA90" s="1566">
        <v>1002783.9699139051</v>
      </c>
      <c r="AB90" s="1566">
        <v>482015.58174009732</v>
      </c>
      <c r="AC90" s="1566">
        <v>227937.52318789429</v>
      </c>
      <c r="AD90" s="1566">
        <v>311064.51144554757</v>
      </c>
      <c r="AE90" s="1566">
        <v>280935.91392763879</v>
      </c>
      <c r="AF90" s="1566">
        <v>886571.31304353033</v>
      </c>
      <c r="AG90" s="1566">
        <v>576817.70567807963</v>
      </c>
      <c r="AH90" s="1566">
        <v>243816.04791227117</v>
      </c>
      <c r="AI90" s="1566">
        <v>317946.900167279</v>
      </c>
      <c r="AJ90" s="1566">
        <v>809919.3910974703</v>
      </c>
      <c r="AK90" s="1566">
        <v>391637.56867080822</v>
      </c>
      <c r="AL90" s="1582">
        <v>10920714.619427798</v>
      </c>
      <c r="AM90" s="1567">
        <v>65075.293604990969</v>
      </c>
      <c r="AN90" s="1600">
        <v>10985789.913032789</v>
      </c>
      <c r="AO90" s="1576">
        <f t="shared" si="46"/>
        <v>4.3</v>
      </c>
    </row>
    <row r="91" spans="1:41">
      <c r="A91" s="1572" t="s">
        <v>11837</v>
      </c>
      <c r="B91" s="1561" t="s">
        <v>11827</v>
      </c>
      <c r="C91" s="1561"/>
      <c r="D91" s="1562">
        <v>26399.537017338887</v>
      </c>
      <c r="E91" s="1562">
        <v>2840.1839871890306</v>
      </c>
      <c r="F91" s="1562">
        <v>10147.177183582387</v>
      </c>
      <c r="G91" s="1562">
        <v>3171.2384861805967</v>
      </c>
      <c r="H91" s="1562">
        <v>530665.578312053</v>
      </c>
      <c r="I91" s="1562">
        <v>27721.700348526105</v>
      </c>
      <c r="J91" s="1562">
        <v>76387.922695219488</v>
      </c>
      <c r="K91" s="1562">
        <v>623344.5365337343</v>
      </c>
      <c r="L91" s="1562">
        <v>46702.659016043901</v>
      </c>
      <c r="M91" s="1562">
        <v>85272.747120867323</v>
      </c>
      <c r="N91" s="1562">
        <v>617251.82358416019</v>
      </c>
      <c r="O91" s="1562">
        <v>229755.33030165776</v>
      </c>
      <c r="P91" s="1562">
        <v>812659.20785642776</v>
      </c>
      <c r="Q91" s="1562">
        <v>88794.683109957477</v>
      </c>
      <c r="R91" s="1562">
        <v>401185.53370089486</v>
      </c>
      <c r="S91" s="1562">
        <v>115133.82913170595</v>
      </c>
      <c r="T91" s="1562">
        <v>363529.29586264089</v>
      </c>
      <c r="U91" s="1562">
        <v>28855.295918205022</v>
      </c>
      <c r="V91" s="1562">
        <v>264378.83196170733</v>
      </c>
      <c r="W91" s="1562">
        <v>637296.00522648368</v>
      </c>
      <c r="X91" s="1562">
        <v>510176.4782104987</v>
      </c>
      <c r="Y91" s="1562">
        <v>249385.69244056576</v>
      </c>
      <c r="Z91" s="1562">
        <v>260790.7857699329</v>
      </c>
      <c r="AA91" s="1562">
        <v>880948.6485440291</v>
      </c>
      <c r="AB91" s="1562">
        <v>437880.48391560517</v>
      </c>
      <c r="AC91" s="1562">
        <v>259802.71098806747</v>
      </c>
      <c r="AD91" s="1562">
        <v>256101.26266971388</v>
      </c>
      <c r="AE91" s="1562">
        <v>281120.00553192012</v>
      </c>
      <c r="AF91" s="1562">
        <v>896579.13132088224</v>
      </c>
      <c r="AG91" s="1562">
        <v>593021.69755605352</v>
      </c>
      <c r="AH91" s="1562">
        <v>220580.18225125177</v>
      </c>
      <c r="AI91" s="1562">
        <v>340386.08577094908</v>
      </c>
      <c r="AJ91" s="1562">
        <v>817171.09738371219</v>
      </c>
      <c r="AK91" s="1562">
        <v>387571.73929744761</v>
      </c>
      <c r="AL91" s="1581">
        <v>10872832.640794707</v>
      </c>
      <c r="AM91" s="1563">
        <v>64789.970352207391</v>
      </c>
      <c r="AN91" s="1599">
        <v>10937622.611146916</v>
      </c>
      <c r="AO91" s="1575">
        <f t="shared" si="46"/>
        <v>5.8</v>
      </c>
    </row>
    <row r="92" spans="1:41">
      <c r="A92" s="1573">
        <v>2022</v>
      </c>
      <c r="B92" s="1565" t="s">
        <v>11828</v>
      </c>
      <c r="C92" s="1565"/>
      <c r="D92" s="1566">
        <v>23362.597834012297</v>
      </c>
      <c r="E92" s="1566">
        <v>3139.8627667493433</v>
      </c>
      <c r="F92" s="1566">
        <v>10036.168134080122</v>
      </c>
      <c r="G92" s="1566">
        <v>3555.4406647299525</v>
      </c>
      <c r="H92" s="1566">
        <v>576025.6622703328</v>
      </c>
      <c r="I92" s="1566">
        <v>26616.030549789488</v>
      </c>
      <c r="J92" s="1566">
        <v>80875.516010943466</v>
      </c>
      <c r="K92" s="1566">
        <v>612752.02420461806</v>
      </c>
      <c r="L92" s="1566">
        <v>70968.579896848983</v>
      </c>
      <c r="M92" s="1566">
        <v>89161.231675324932</v>
      </c>
      <c r="N92" s="1566">
        <v>711612.86484862806</v>
      </c>
      <c r="O92" s="1566">
        <v>234663.56049065269</v>
      </c>
      <c r="P92" s="1566">
        <v>653397.96575361444</v>
      </c>
      <c r="Q92" s="1566">
        <v>103047.33054418652</v>
      </c>
      <c r="R92" s="1566">
        <v>414409.61812135612</v>
      </c>
      <c r="S92" s="1566">
        <v>89993.004600666798</v>
      </c>
      <c r="T92" s="1566">
        <v>391542.4699362641</v>
      </c>
      <c r="U92" s="1566">
        <v>31436.233847643165</v>
      </c>
      <c r="V92" s="1566">
        <v>281344.62844164396</v>
      </c>
      <c r="W92" s="1566">
        <v>483840.38188820437</v>
      </c>
      <c r="X92" s="1566">
        <v>389604.78982348496</v>
      </c>
      <c r="Y92" s="1566">
        <v>184965.95730935989</v>
      </c>
      <c r="Z92" s="1566">
        <v>204638.83251412504</v>
      </c>
      <c r="AA92" s="1566">
        <v>910299.39692386647</v>
      </c>
      <c r="AB92" s="1566">
        <v>525373.92560239229</v>
      </c>
      <c r="AC92" s="1566">
        <v>256432.58308193085</v>
      </c>
      <c r="AD92" s="1566">
        <v>310442.93096878572</v>
      </c>
      <c r="AE92" s="1566">
        <v>290974.61059751507</v>
      </c>
      <c r="AF92" s="1566">
        <v>910536.68057775253</v>
      </c>
      <c r="AG92" s="1566">
        <v>617631.14744013699</v>
      </c>
      <c r="AH92" s="1566">
        <v>246383.32088703438</v>
      </c>
      <c r="AI92" s="1566">
        <v>346038.62495216785</v>
      </c>
      <c r="AJ92" s="1566">
        <v>826327.09338268987</v>
      </c>
      <c r="AK92" s="1566">
        <v>385816.86239800329</v>
      </c>
      <c r="AL92" s="1582">
        <v>10907643.139116051</v>
      </c>
      <c r="AM92" s="1567">
        <v>80459.681274993141</v>
      </c>
      <c r="AN92" s="1600">
        <v>10988102.820391044</v>
      </c>
      <c r="AO92" s="1576">
        <f t="shared" si="46"/>
        <v>6</v>
      </c>
    </row>
    <row r="93" spans="1:41">
      <c r="A93" s="1573"/>
      <c r="B93" s="1565" t="s">
        <v>11829</v>
      </c>
      <c r="C93" s="1565"/>
      <c r="D93" s="1566">
        <v>32608.047270006828</v>
      </c>
      <c r="E93" s="1566">
        <v>2917.129595419317</v>
      </c>
      <c r="F93" s="1566">
        <v>10174.067134159839</v>
      </c>
      <c r="G93" s="1566">
        <v>3453.2969262487113</v>
      </c>
      <c r="H93" s="1566">
        <v>518332.63211446931</v>
      </c>
      <c r="I93" s="1566">
        <v>25832.561994858443</v>
      </c>
      <c r="J93" s="1566">
        <v>81230.639058803892</v>
      </c>
      <c r="K93" s="1566">
        <v>568876.60525117978</v>
      </c>
      <c r="L93" s="1566">
        <v>67465.871503616538</v>
      </c>
      <c r="M93" s="1566">
        <v>92879.432691859198</v>
      </c>
      <c r="N93" s="1566">
        <v>716461.59673189302</v>
      </c>
      <c r="O93" s="1566">
        <v>227490.94250663003</v>
      </c>
      <c r="P93" s="1566">
        <v>781673.82786363503</v>
      </c>
      <c r="Q93" s="1566">
        <v>93224.225576880184</v>
      </c>
      <c r="R93" s="1566">
        <v>431218.82462055219</v>
      </c>
      <c r="S93" s="1566">
        <v>115331.53479094099</v>
      </c>
      <c r="T93" s="1566">
        <v>436325.5499496148</v>
      </c>
      <c r="U93" s="1566">
        <v>30490.278105962469</v>
      </c>
      <c r="V93" s="1566">
        <v>275495.49222448212</v>
      </c>
      <c r="W93" s="1566">
        <v>521044.78853343485</v>
      </c>
      <c r="X93" s="1566">
        <v>442341.03790856391</v>
      </c>
      <c r="Y93" s="1566">
        <v>232167.98483137289</v>
      </c>
      <c r="Z93" s="1566">
        <v>210173.05307719103</v>
      </c>
      <c r="AA93" s="1566">
        <v>938151.56537525938</v>
      </c>
      <c r="AB93" s="1566">
        <v>523611.82942405465</v>
      </c>
      <c r="AC93" s="1566">
        <v>267917.32036591432</v>
      </c>
      <c r="AD93" s="1566">
        <v>299964.89053330407</v>
      </c>
      <c r="AE93" s="1566">
        <v>297474.20699110191</v>
      </c>
      <c r="AF93" s="1566">
        <v>906492.55740090762</v>
      </c>
      <c r="AG93" s="1566">
        <v>586421.25527576311</v>
      </c>
      <c r="AH93" s="1566">
        <v>220295.74880360818</v>
      </c>
      <c r="AI93" s="1566">
        <v>305970.84234192059</v>
      </c>
      <c r="AJ93" s="1566">
        <v>840790.03272839973</v>
      </c>
      <c r="AK93" s="1566">
        <v>382580.12980302493</v>
      </c>
      <c r="AL93" s="1582">
        <v>11044538.76139647</v>
      </c>
      <c r="AM93" s="1567">
        <v>81469.484950832601</v>
      </c>
      <c r="AN93" s="1600">
        <v>11126008.246347303</v>
      </c>
      <c r="AO93" s="1576">
        <f t="shared" si="46"/>
        <v>6.4</v>
      </c>
    </row>
    <row r="94" spans="1:41">
      <c r="A94" s="1574"/>
      <c r="B94" s="1569" t="s">
        <v>11830</v>
      </c>
      <c r="C94" s="1569"/>
      <c r="D94" s="1570">
        <v>81940.735880398017</v>
      </c>
      <c r="E94" s="1570">
        <v>2848.2847970082175</v>
      </c>
      <c r="F94" s="1570">
        <v>11562.052538316773</v>
      </c>
      <c r="G94" s="1570">
        <v>3657.7295395620531</v>
      </c>
      <c r="H94" s="1570">
        <v>635397.625126853</v>
      </c>
      <c r="I94" s="1570">
        <v>27626.466979351113</v>
      </c>
      <c r="J94" s="1570">
        <v>86379.691008218535</v>
      </c>
      <c r="K94" s="1570">
        <v>596990.79032806435</v>
      </c>
      <c r="L94" s="1570">
        <v>60743.951844602474</v>
      </c>
      <c r="M94" s="1570">
        <v>98249.787002772209</v>
      </c>
      <c r="N94" s="1570">
        <v>741935.27782466984</v>
      </c>
      <c r="O94" s="1570">
        <v>257627.22070403743</v>
      </c>
      <c r="P94" s="1570">
        <v>837406.6024685984</v>
      </c>
      <c r="Q94" s="1570">
        <v>85959.263691916363</v>
      </c>
      <c r="R94" s="1570">
        <v>453109.05682957842</v>
      </c>
      <c r="S94" s="1570">
        <v>117330.4328151974</v>
      </c>
      <c r="T94" s="1570">
        <v>496879.41792134574</v>
      </c>
      <c r="U94" s="1570">
        <v>32242.933956378587</v>
      </c>
      <c r="V94" s="1570">
        <v>284654.99377347663</v>
      </c>
      <c r="W94" s="1570">
        <v>610523.22100590554</v>
      </c>
      <c r="X94" s="1570">
        <v>423252.42475027882</v>
      </c>
      <c r="Y94" s="1570">
        <v>202971.07358254027</v>
      </c>
      <c r="Z94" s="1570">
        <v>220281.35116773858</v>
      </c>
      <c r="AA94" s="1570">
        <v>1048021.2550989331</v>
      </c>
      <c r="AB94" s="1570">
        <v>521947.4084457836</v>
      </c>
      <c r="AC94" s="1570">
        <v>286185.45773248113</v>
      </c>
      <c r="AD94" s="1570">
        <v>300917.03402411623</v>
      </c>
      <c r="AE94" s="1570">
        <v>301316.06907119678</v>
      </c>
      <c r="AF94" s="1570">
        <v>909639.93391244579</v>
      </c>
      <c r="AG94" s="1570">
        <v>578519.93082248024</v>
      </c>
      <c r="AH94" s="1570">
        <v>256156.57342731836</v>
      </c>
      <c r="AI94" s="1570">
        <v>296290.82571596344</v>
      </c>
      <c r="AJ94" s="1570">
        <v>844880.98686388053</v>
      </c>
      <c r="AK94" s="1570">
        <v>399167.62680175836</v>
      </c>
      <c r="AL94" s="1583">
        <v>11689361.062702885</v>
      </c>
      <c r="AM94" s="1571">
        <v>86225.98424040564</v>
      </c>
      <c r="AN94" s="1601">
        <v>11775587.04694329</v>
      </c>
      <c r="AO94" s="1577">
        <f t="shared" si="46"/>
        <v>7.2</v>
      </c>
    </row>
    <row r="95" spans="1:41">
      <c r="A95" s="1573" t="s">
        <v>11838</v>
      </c>
      <c r="B95" s="1565" t="s">
        <v>11827</v>
      </c>
      <c r="C95" s="1565"/>
      <c r="D95" s="1566">
        <v>28754.619015582837</v>
      </c>
      <c r="E95" s="1566">
        <v>2357.7228408231213</v>
      </c>
      <c r="F95" s="1566">
        <v>11799.712193443263</v>
      </c>
      <c r="G95" s="1566">
        <v>2962.5328694592822</v>
      </c>
      <c r="H95" s="1566">
        <v>574912.08048834454</v>
      </c>
      <c r="I95" s="1566">
        <v>27544.940476000938</v>
      </c>
      <c r="J95" s="1566">
        <v>83522.153922034107</v>
      </c>
      <c r="K95" s="1566">
        <v>698324.58021613769</v>
      </c>
      <c r="L95" s="1566">
        <v>60999.596754932005</v>
      </c>
      <c r="M95" s="1566">
        <v>80202.548630043661</v>
      </c>
      <c r="N95" s="1566">
        <v>733314.2605948092</v>
      </c>
      <c r="O95" s="1566">
        <v>238628.27629867991</v>
      </c>
      <c r="P95" s="1566">
        <v>844350.60391415225</v>
      </c>
      <c r="Q95" s="1566">
        <v>78669.180187016958</v>
      </c>
      <c r="R95" s="1566">
        <v>520766.5004285131</v>
      </c>
      <c r="S95" s="1566">
        <v>139290.02779319481</v>
      </c>
      <c r="T95" s="1566">
        <v>450299.56219277531</v>
      </c>
      <c r="U95" s="1566">
        <v>29720.554090015787</v>
      </c>
      <c r="V95" s="1566">
        <v>269386.88556039718</v>
      </c>
      <c r="W95" s="1566">
        <v>620650.60857245512</v>
      </c>
      <c r="X95" s="1566">
        <v>462196.74751767225</v>
      </c>
      <c r="Y95" s="1566">
        <v>210647.9842767269</v>
      </c>
      <c r="Z95" s="1566">
        <v>251548.76324094535</v>
      </c>
      <c r="AA95" s="1566">
        <v>922583.35483198462</v>
      </c>
      <c r="AB95" s="1566">
        <v>538830.60098886164</v>
      </c>
      <c r="AC95" s="1566">
        <v>256738.63881967371</v>
      </c>
      <c r="AD95" s="1566">
        <v>304436.14447379397</v>
      </c>
      <c r="AE95" s="1566">
        <v>303760.11334018625</v>
      </c>
      <c r="AF95" s="1566">
        <v>910328.95866694883</v>
      </c>
      <c r="AG95" s="1566">
        <v>574012.66646161966</v>
      </c>
      <c r="AH95" s="1566">
        <v>232213.35688203902</v>
      </c>
      <c r="AI95" s="1566">
        <v>341318.70698994817</v>
      </c>
      <c r="AJ95" s="1566">
        <v>844586.88702502986</v>
      </c>
      <c r="AK95" s="1566">
        <v>402509.38099721342</v>
      </c>
      <c r="AL95" s="1582">
        <v>11589972.504033783</v>
      </c>
      <c r="AM95" s="1567">
        <v>85492.849533768647</v>
      </c>
      <c r="AN95" s="1600">
        <v>11675465.353567552</v>
      </c>
      <c r="AO95" s="1576">
        <f t="shared" si="46"/>
        <v>6.7</v>
      </c>
    </row>
    <row r="96" spans="1:41">
      <c r="A96" s="1573">
        <v>2023</v>
      </c>
      <c r="B96" s="1565" t="s">
        <v>11828</v>
      </c>
      <c r="C96" s="1565"/>
      <c r="D96" s="1566">
        <v>25455.15480047146</v>
      </c>
      <c r="E96" s="1566">
        <v>2382.6363386608291</v>
      </c>
      <c r="F96" s="1566">
        <v>13236.572046222953</v>
      </c>
      <c r="G96" s="1566">
        <v>2832.6723883005866</v>
      </c>
      <c r="H96" s="1566">
        <v>612158.51181381382</v>
      </c>
      <c r="I96" s="1566">
        <v>27246.196879658943</v>
      </c>
      <c r="J96" s="1566">
        <v>84582.223666982056</v>
      </c>
      <c r="K96" s="1566">
        <v>665363.51748365536</v>
      </c>
      <c r="L96" s="1566">
        <v>61101.394912502408</v>
      </c>
      <c r="M96" s="1566">
        <v>81550.388831932709</v>
      </c>
      <c r="N96" s="1566">
        <v>705353.03450001334</v>
      </c>
      <c r="O96" s="1566">
        <v>197478.97676932625</v>
      </c>
      <c r="P96" s="1566">
        <v>700511.57049597998</v>
      </c>
      <c r="Q96" s="1566">
        <v>69013.552685947841</v>
      </c>
      <c r="R96" s="1566">
        <v>475642.32975263312</v>
      </c>
      <c r="S96" s="1566">
        <v>101646.61866723068</v>
      </c>
      <c r="T96" s="1566">
        <v>410107.53285967675</v>
      </c>
      <c r="U96" s="1566">
        <v>35428.570776550274</v>
      </c>
      <c r="V96" s="1566">
        <v>272184.26531580463</v>
      </c>
      <c r="W96" s="1566">
        <v>529228.29648162657</v>
      </c>
      <c r="X96" s="1566">
        <v>352249.37710000406</v>
      </c>
      <c r="Y96" s="1566">
        <v>152967.88443868872</v>
      </c>
      <c r="Z96" s="1566">
        <v>199281.49266131534</v>
      </c>
      <c r="AA96" s="1566">
        <v>943027.18815548439</v>
      </c>
      <c r="AB96" s="1566">
        <v>545537.85478976264</v>
      </c>
      <c r="AC96" s="1566">
        <v>262518.86932996515</v>
      </c>
      <c r="AD96" s="1566">
        <v>294753.56215896475</v>
      </c>
      <c r="AE96" s="1566">
        <v>304161.85062385083</v>
      </c>
      <c r="AF96" s="1566">
        <v>910338.44062836748</v>
      </c>
      <c r="AG96" s="1566">
        <v>592016.99859189941</v>
      </c>
      <c r="AH96" s="1566">
        <v>250797.24980497174</v>
      </c>
      <c r="AI96" s="1566">
        <v>362639.89090196171</v>
      </c>
      <c r="AJ96" s="1566">
        <v>877933.53171426605</v>
      </c>
      <c r="AK96" s="1566">
        <v>421237.06153904484</v>
      </c>
      <c r="AL96" s="1582">
        <v>11189715.892805533</v>
      </c>
      <c r="AM96" s="1567">
        <v>82540.376762437794</v>
      </c>
      <c r="AN96" s="1600">
        <v>11272256.269567972</v>
      </c>
      <c r="AO96" s="1576">
        <f t="shared" ref="AO96:AO102" si="47">ROUND((AN96-AN92)/AN92*100,1)</f>
        <v>2.6</v>
      </c>
    </row>
    <row r="97" spans="1:41">
      <c r="A97" s="1573"/>
      <c r="B97" s="1565" t="s">
        <v>11829</v>
      </c>
      <c r="C97" s="1565"/>
      <c r="D97" s="1566">
        <v>35175.548198291894</v>
      </c>
      <c r="E97" s="1566">
        <v>2150.4878360821835</v>
      </c>
      <c r="F97" s="1566">
        <v>12148.566382128407</v>
      </c>
      <c r="G97" s="1566">
        <v>2678.3870719186993</v>
      </c>
      <c r="H97" s="1566">
        <v>539626.09004636505</v>
      </c>
      <c r="I97" s="1566">
        <v>27672.41714841549</v>
      </c>
      <c r="J97" s="1566">
        <v>89688.035901651238</v>
      </c>
      <c r="K97" s="1566">
        <v>639708.78103490872</v>
      </c>
      <c r="L97" s="1566">
        <v>61991.309054136043</v>
      </c>
      <c r="M97" s="1566">
        <v>78495.783555462433</v>
      </c>
      <c r="N97" s="1566">
        <v>725661.48387355998</v>
      </c>
      <c r="O97" s="1566">
        <v>183177.80882610707</v>
      </c>
      <c r="P97" s="1566">
        <v>647242.37286754197</v>
      </c>
      <c r="Q97" s="1566">
        <v>69081.195530844256</v>
      </c>
      <c r="R97" s="1566">
        <v>469785.98815134721</v>
      </c>
      <c r="S97" s="1566">
        <v>118450.52597521291</v>
      </c>
      <c r="T97" s="1566">
        <v>478532.70544602035</v>
      </c>
      <c r="U97" s="1566">
        <v>33902.615871040944</v>
      </c>
      <c r="V97" s="1566">
        <v>259719.67911881741</v>
      </c>
      <c r="W97" s="1566">
        <v>569806.24925788783</v>
      </c>
      <c r="X97" s="1566">
        <v>368337.40830650704</v>
      </c>
      <c r="Y97" s="1566">
        <v>177924.04431777334</v>
      </c>
      <c r="Z97" s="1566">
        <v>190413.36398873368</v>
      </c>
      <c r="AA97" s="1566">
        <v>979767.31106673204</v>
      </c>
      <c r="AB97" s="1566">
        <v>548644.68176730024</v>
      </c>
      <c r="AC97" s="1566">
        <v>244867.40932414122</v>
      </c>
      <c r="AD97" s="1566">
        <v>286469.0796478574</v>
      </c>
      <c r="AE97" s="1566">
        <v>305262.21189300885</v>
      </c>
      <c r="AF97" s="1566">
        <v>912339.8047977906</v>
      </c>
      <c r="AG97" s="1566">
        <v>595148.74481137353</v>
      </c>
      <c r="AH97" s="1566">
        <v>222875.23634146663</v>
      </c>
      <c r="AI97" s="1566">
        <v>331558.6930656748</v>
      </c>
      <c r="AJ97" s="1566">
        <v>879255.63415776461</v>
      </c>
      <c r="AK97" s="1566">
        <v>410416.51741844707</v>
      </c>
      <c r="AL97" s="1582">
        <v>11129638.763745805</v>
      </c>
      <c r="AM97" s="1567">
        <v>82097.220840080219</v>
      </c>
      <c r="AN97" s="1600">
        <v>11211735.984585885</v>
      </c>
      <c r="AO97" s="1576">
        <f t="shared" si="47"/>
        <v>0.8</v>
      </c>
    </row>
    <row r="98" spans="1:41">
      <c r="A98" s="1573"/>
      <c r="B98" s="1565" t="s">
        <v>11830</v>
      </c>
      <c r="C98" s="1565"/>
      <c r="D98" s="1566">
        <v>84101.289107936915</v>
      </c>
      <c r="E98" s="1566">
        <v>2376.9741800613501</v>
      </c>
      <c r="F98" s="1566">
        <v>13156.766003859455</v>
      </c>
      <c r="G98" s="1566">
        <v>2915.9225991524277</v>
      </c>
      <c r="H98" s="1566">
        <v>639776.85746657243</v>
      </c>
      <c r="I98" s="1566">
        <v>29083.642894408542</v>
      </c>
      <c r="J98" s="1566">
        <v>92617.822159641786</v>
      </c>
      <c r="K98" s="1566">
        <v>643971.06964776863</v>
      </c>
      <c r="L98" s="1566">
        <v>48336.712499109126</v>
      </c>
      <c r="M98" s="1566">
        <v>76389.997266056263</v>
      </c>
      <c r="N98" s="1566">
        <v>705106.18870256771</v>
      </c>
      <c r="O98" s="1566">
        <v>196525.81039547178</v>
      </c>
      <c r="P98" s="1566">
        <v>671809.91636420239</v>
      </c>
      <c r="Q98" s="1566">
        <v>74211.070436053356</v>
      </c>
      <c r="R98" s="1566">
        <v>458206.45322968392</v>
      </c>
      <c r="S98" s="1566">
        <v>120796.69034038379</v>
      </c>
      <c r="T98" s="1566">
        <v>554086.26363987988</v>
      </c>
      <c r="U98" s="1566">
        <v>34851.459087028983</v>
      </c>
      <c r="V98" s="1566">
        <v>267075.89069153828</v>
      </c>
      <c r="W98" s="1566">
        <v>690449.28498902998</v>
      </c>
      <c r="X98" s="1566">
        <v>367147.72453111439</v>
      </c>
      <c r="Y98" s="1566">
        <v>166511.97644257749</v>
      </c>
      <c r="Z98" s="1566">
        <v>200635.7480885369</v>
      </c>
      <c r="AA98" s="1566">
        <v>1076795.0693277733</v>
      </c>
      <c r="AB98" s="1566">
        <v>544374.14966088324</v>
      </c>
      <c r="AC98" s="1566">
        <v>280911.38346469856</v>
      </c>
      <c r="AD98" s="1566">
        <v>290688.441241925</v>
      </c>
      <c r="AE98" s="1566">
        <v>306585.3806485681</v>
      </c>
      <c r="AF98" s="1566">
        <v>916099.50107771438</v>
      </c>
      <c r="AG98" s="1566">
        <v>620160.09662298649</v>
      </c>
      <c r="AH98" s="1566">
        <v>256541.61829037243</v>
      </c>
      <c r="AI98" s="1566">
        <v>311573.34415260988</v>
      </c>
      <c r="AJ98" s="1566">
        <v>877429.43274091533</v>
      </c>
      <c r="AK98" s="1566">
        <v>426775.61319691775</v>
      </c>
      <c r="AL98" s="1582">
        <v>11680927.836656885</v>
      </c>
      <c r="AM98" s="1567">
        <v>86163.776972426014</v>
      </c>
      <c r="AN98" s="1600">
        <v>11767091.613629311</v>
      </c>
      <c r="AO98" s="1576">
        <f t="shared" si="47"/>
        <v>-0.1</v>
      </c>
    </row>
    <row r="99" spans="1:41">
      <c r="A99" s="1572" t="s">
        <v>11839</v>
      </c>
      <c r="B99" s="1561" t="s">
        <v>11827</v>
      </c>
      <c r="C99" s="1561"/>
      <c r="D99" s="1562">
        <v>26006.515901970157</v>
      </c>
      <c r="E99" s="1562">
        <v>2114.2500210455173</v>
      </c>
      <c r="F99" s="1562">
        <v>10326.737221098481</v>
      </c>
      <c r="G99" s="1562">
        <v>3341.7988811836854</v>
      </c>
      <c r="H99" s="1562">
        <v>589844.85198090936</v>
      </c>
      <c r="I99" s="1562">
        <v>26239.049986914953</v>
      </c>
      <c r="J99" s="1562">
        <v>85466.066424182049</v>
      </c>
      <c r="K99" s="1562">
        <v>652923.43725380325</v>
      </c>
      <c r="L99" s="1562">
        <v>53489.863343410085</v>
      </c>
      <c r="M99" s="1562">
        <v>73705.822580529406</v>
      </c>
      <c r="N99" s="1562">
        <v>718867.35484860581</v>
      </c>
      <c r="O99" s="1562">
        <v>199105.81760650387</v>
      </c>
      <c r="P99" s="1562">
        <v>747536.57595442957</v>
      </c>
      <c r="Q99" s="1562">
        <v>64921.973099931012</v>
      </c>
      <c r="R99" s="1562">
        <v>499477.22962963255</v>
      </c>
      <c r="S99" s="1562">
        <v>120726.2771878699</v>
      </c>
      <c r="T99" s="1562">
        <v>545922.44356813934</v>
      </c>
      <c r="U99" s="1562">
        <v>33814.975835463571</v>
      </c>
      <c r="V99" s="1562">
        <v>242849.81261149884</v>
      </c>
      <c r="W99" s="1562">
        <v>682088.28156384232</v>
      </c>
      <c r="X99" s="1562">
        <v>415175.75880711188</v>
      </c>
      <c r="Y99" s="1562">
        <v>191593.51663392546</v>
      </c>
      <c r="Z99" s="1562">
        <v>223582.24217318639</v>
      </c>
      <c r="AA99" s="1562">
        <v>964739.67327346525</v>
      </c>
      <c r="AB99" s="1562">
        <v>501880.88799099653</v>
      </c>
      <c r="AC99" s="1562">
        <v>238067.80736141096</v>
      </c>
      <c r="AD99" s="1562">
        <v>342560.36178134574</v>
      </c>
      <c r="AE99" s="1562">
        <v>309006.06147269194</v>
      </c>
      <c r="AF99" s="1562">
        <v>917649.34016024519</v>
      </c>
      <c r="AG99" s="1562">
        <v>654043.62794398854</v>
      </c>
      <c r="AH99" s="1562">
        <v>228167.2553739298</v>
      </c>
      <c r="AI99" s="1562">
        <v>443854.8095665258</v>
      </c>
      <c r="AJ99" s="1562">
        <v>951887.70611652615</v>
      </c>
      <c r="AK99" s="1562">
        <v>387147.59624551109</v>
      </c>
      <c r="AL99" s="1581">
        <v>11732950.021594714</v>
      </c>
      <c r="AM99" s="1563">
        <v>86547.516004400415</v>
      </c>
      <c r="AN99" s="1599">
        <v>11819497.537599115</v>
      </c>
      <c r="AO99" s="1575">
        <f t="shared" si="47"/>
        <v>1.2</v>
      </c>
    </row>
    <row r="100" spans="1:41">
      <c r="A100" s="1573">
        <v>2024</v>
      </c>
      <c r="B100" s="1565" t="s">
        <v>11828</v>
      </c>
      <c r="C100" s="1565"/>
      <c r="D100" s="1566">
        <v>22539.058668040685</v>
      </c>
      <c r="E100" s="1566">
        <v>2140.2959506031211</v>
      </c>
      <c r="F100" s="1566">
        <v>11445.531264293619</v>
      </c>
      <c r="G100" s="1566">
        <v>3586.223547204781</v>
      </c>
      <c r="H100" s="1566">
        <v>642807.87789861893</v>
      </c>
      <c r="I100" s="1566">
        <v>26552.4597167555</v>
      </c>
      <c r="J100" s="1566">
        <v>90478.854039344791</v>
      </c>
      <c r="K100" s="1566">
        <v>675762.32792468718</v>
      </c>
      <c r="L100" s="1566">
        <v>59152.706274485005</v>
      </c>
      <c r="M100" s="1566">
        <v>75636.359331752275</v>
      </c>
      <c r="N100" s="1566">
        <v>736132.38552176999</v>
      </c>
      <c r="O100" s="1566">
        <v>190047.13381376857</v>
      </c>
      <c r="P100" s="1566">
        <v>594259.33326567523</v>
      </c>
      <c r="Q100" s="1566">
        <v>66739.534276690698</v>
      </c>
      <c r="R100" s="1566">
        <v>419684.04237219354</v>
      </c>
      <c r="S100" s="1566">
        <v>87033.789852985254</v>
      </c>
      <c r="T100" s="1566">
        <v>454821.85536566627</v>
      </c>
      <c r="U100" s="1566">
        <v>33903.638989738873</v>
      </c>
      <c r="V100" s="1566">
        <v>263563.85784626642</v>
      </c>
      <c r="W100" s="1566">
        <v>615378.94920240552</v>
      </c>
      <c r="X100" s="1566">
        <v>367737.49639349733</v>
      </c>
      <c r="Y100" s="1566">
        <v>172136.5901712784</v>
      </c>
      <c r="Z100" s="1566">
        <v>195600.90622221897</v>
      </c>
      <c r="AA100" s="1566">
        <v>968424.74127362738</v>
      </c>
      <c r="AB100" s="1566">
        <v>529921.94727716525</v>
      </c>
      <c r="AC100" s="1566">
        <v>243018.99100189962</v>
      </c>
      <c r="AD100" s="1566">
        <v>340696.83109199483</v>
      </c>
      <c r="AE100" s="1566">
        <v>309814.6646010892</v>
      </c>
      <c r="AF100" s="1566">
        <v>917936.60030351207</v>
      </c>
      <c r="AG100" s="1566">
        <v>694236.52130387386</v>
      </c>
      <c r="AH100" s="1566">
        <v>258689.10427456044</v>
      </c>
      <c r="AI100" s="1566">
        <v>413982.46348958678</v>
      </c>
      <c r="AJ100" s="1566">
        <v>1000330.8524035896</v>
      </c>
      <c r="AK100" s="1566">
        <v>414889.71587949863</v>
      </c>
      <c r="AL100" s="1582">
        <v>11531346.144416839</v>
      </c>
      <c r="AM100" s="1567">
        <v>85060.395139273765</v>
      </c>
      <c r="AN100" s="1600">
        <v>11616406.539556112</v>
      </c>
      <c r="AO100" s="1576">
        <f t="shared" si="47"/>
        <v>3.1</v>
      </c>
    </row>
    <row r="101" spans="1:41">
      <c r="A101" s="1573"/>
      <c r="B101" s="1565" t="s">
        <v>11829</v>
      </c>
      <c r="C101" s="1565"/>
      <c r="D101" s="1566">
        <v>33368.324492073669</v>
      </c>
      <c r="E101" s="1566">
        <v>2016.8608931344754</v>
      </c>
      <c r="F101" s="1566">
        <v>12127.716933370713</v>
      </c>
      <c r="G101" s="1566">
        <v>3708.3735253386635</v>
      </c>
      <c r="H101" s="1566">
        <v>613961.88670686842</v>
      </c>
      <c r="I101" s="1566">
        <v>28163.538210354345</v>
      </c>
      <c r="J101" s="1566">
        <v>91446.269456814596</v>
      </c>
      <c r="K101" s="1566">
        <v>655953.12802582048</v>
      </c>
      <c r="L101" s="1566">
        <v>62071.06420497191</v>
      </c>
      <c r="M101" s="1566">
        <v>76191.461563602657</v>
      </c>
      <c r="N101" s="1566">
        <v>758976.38436164113</v>
      </c>
      <c r="O101" s="1566">
        <v>186290.96446556511</v>
      </c>
      <c r="P101" s="1566">
        <v>743325.97358535579</v>
      </c>
      <c r="Q101" s="1566">
        <v>69359.249569529595</v>
      </c>
      <c r="R101" s="1566">
        <v>469989.04284966574</v>
      </c>
      <c r="S101" s="1566">
        <v>87954.451557812354</v>
      </c>
      <c r="T101" s="1566">
        <v>470353.10126918374</v>
      </c>
      <c r="U101" s="1566">
        <v>37139.876509999151</v>
      </c>
      <c r="V101" s="1566">
        <v>261822.48217720925</v>
      </c>
      <c r="W101" s="1566">
        <v>658723.41695380176</v>
      </c>
      <c r="X101" s="1566">
        <v>434644.68728746637</v>
      </c>
      <c r="Y101" s="1566">
        <v>230068.39161707883</v>
      </c>
      <c r="Z101" s="1566">
        <v>204576.29567038751</v>
      </c>
      <c r="AA101" s="1566">
        <v>1000279.737535171</v>
      </c>
      <c r="AB101" s="1566">
        <v>534166.69670844369</v>
      </c>
      <c r="AC101" s="1566">
        <v>259623.82339897423</v>
      </c>
      <c r="AD101" s="1566">
        <v>364141.19407195947</v>
      </c>
      <c r="AE101" s="1566">
        <v>310894.51162597502</v>
      </c>
      <c r="AF101" s="1566">
        <v>916981.31326741469</v>
      </c>
      <c r="AG101" s="1566">
        <v>698069.65868784254</v>
      </c>
      <c r="AH101" s="1566">
        <v>229057.86727262</v>
      </c>
      <c r="AI101" s="1566">
        <v>424898.11417913641</v>
      </c>
      <c r="AJ101" s="1566">
        <v>971582.354256058</v>
      </c>
      <c r="AK101" s="1566">
        <v>421341.35603640345</v>
      </c>
      <c r="AL101" s="1582">
        <v>11888624.881639579</v>
      </c>
      <c r="AM101" s="1567">
        <v>87695.843783553821</v>
      </c>
      <c r="AN101" s="1600">
        <v>11976320.725423133</v>
      </c>
      <c r="AO101" s="1576">
        <f t="shared" si="47"/>
        <v>6.8</v>
      </c>
    </row>
    <row r="102" spans="1:41">
      <c r="A102" s="1578"/>
      <c r="B102" s="1579" t="s">
        <v>11830</v>
      </c>
      <c r="C102" s="1579"/>
      <c r="D102" s="1580">
        <v>91992.873610944429</v>
      </c>
      <c r="E102" s="1580">
        <v>2115.3824527654133</v>
      </c>
      <c r="F102" s="1580">
        <v>13056.692025112719</v>
      </c>
      <c r="G102" s="1580">
        <v>3432.1575479753019</v>
      </c>
      <c r="H102" s="1580">
        <v>689675.22068210063</v>
      </c>
      <c r="I102" s="1580">
        <v>28494.836825594095</v>
      </c>
      <c r="J102" s="1580">
        <v>96276.674559289953</v>
      </c>
      <c r="K102" s="1580">
        <v>683251.59626235883</v>
      </c>
      <c r="L102" s="1580">
        <v>60342.87217329596</v>
      </c>
      <c r="M102" s="1580">
        <v>82174.697030235606</v>
      </c>
      <c r="N102" s="1580">
        <v>756534.23476270202</v>
      </c>
      <c r="O102" s="1580">
        <v>216492.15179513569</v>
      </c>
      <c r="P102" s="1580">
        <v>740440.07112698175</v>
      </c>
      <c r="Q102" s="1580">
        <v>73421.376722488727</v>
      </c>
      <c r="R102" s="1580">
        <v>503897.69849682919</v>
      </c>
      <c r="S102" s="1580">
        <v>93472.647524484477</v>
      </c>
      <c r="T102" s="1580">
        <v>527545.59690112493</v>
      </c>
      <c r="U102" s="1580">
        <v>38965.036367154775</v>
      </c>
      <c r="V102" s="1580">
        <v>276779.02939773054</v>
      </c>
      <c r="W102" s="1580">
        <v>694908.79372181499</v>
      </c>
      <c r="X102" s="1580">
        <v>393406.10098793701</v>
      </c>
      <c r="Y102" s="1580">
        <v>183755.29545422824</v>
      </c>
      <c r="Z102" s="1580">
        <v>209650.80553370877</v>
      </c>
      <c r="AA102" s="1580">
        <v>1094082.7915606445</v>
      </c>
      <c r="AB102" s="1580">
        <v>560031.30150509579</v>
      </c>
      <c r="AC102" s="1580">
        <v>264770.68599134823</v>
      </c>
      <c r="AD102" s="1580">
        <v>371200.29238589935</v>
      </c>
      <c r="AE102" s="1580">
        <v>312525.39404561778</v>
      </c>
      <c r="AF102" s="1580">
        <v>920931.9486290887</v>
      </c>
      <c r="AG102" s="1580">
        <v>737008.49614398612</v>
      </c>
      <c r="AH102" s="1580">
        <v>267455.13580112357</v>
      </c>
      <c r="AI102" s="1580">
        <v>442958.24668970512</v>
      </c>
      <c r="AJ102" s="1580">
        <v>977166.51136160211</v>
      </c>
      <c r="AK102" s="1580">
        <v>446396.92776434822</v>
      </c>
      <c r="AL102" s="1583">
        <v>12461203.472852517</v>
      </c>
      <c r="AM102" s="1580">
        <v>91919.440977402875</v>
      </c>
      <c r="AN102" s="1601">
        <v>12553122.913829919</v>
      </c>
      <c r="AO102" s="1577">
        <f t="shared" si="47"/>
        <v>6.7</v>
      </c>
    </row>
    <row r="103" spans="1:41">
      <c r="A103" s="1572" t="s">
        <v>12087</v>
      </c>
      <c r="B103" s="1561" t="s">
        <v>11827</v>
      </c>
      <c r="C103" s="135"/>
      <c r="D103" s="866">
        <v>32037.005183311834</v>
      </c>
      <c r="E103" s="866">
        <v>2128.9716334041632</v>
      </c>
      <c r="F103" s="866">
        <v>9673.1902111584131</v>
      </c>
      <c r="G103" s="866">
        <v>3193.1384047105862</v>
      </c>
      <c r="H103" s="866">
        <v>630625.62433248968</v>
      </c>
      <c r="I103" s="866">
        <v>25472.283409819651</v>
      </c>
      <c r="J103" s="866">
        <v>87846.353000887961</v>
      </c>
      <c r="K103" s="866">
        <v>649982.82201035181</v>
      </c>
      <c r="L103" s="866">
        <v>65749.757343254983</v>
      </c>
      <c r="M103" s="866">
        <v>76346.732184989494</v>
      </c>
      <c r="N103" s="866">
        <v>729800.8718338965</v>
      </c>
      <c r="O103" s="866">
        <v>215219.53297521145</v>
      </c>
      <c r="P103" s="866">
        <v>702772.54177056812</v>
      </c>
      <c r="Q103" s="866">
        <v>69543.097992013674</v>
      </c>
      <c r="R103" s="866">
        <v>483592.29904365202</v>
      </c>
      <c r="S103" s="866">
        <v>113420.72495525914</v>
      </c>
      <c r="T103" s="866">
        <v>553302.05188028584</v>
      </c>
      <c r="U103" s="866">
        <v>33857.081811035277</v>
      </c>
      <c r="V103" s="866">
        <v>261617.3487313622</v>
      </c>
      <c r="W103" s="866">
        <v>697256.23053248064</v>
      </c>
      <c r="X103" s="866">
        <v>455436.49755444331</v>
      </c>
      <c r="Y103" s="866">
        <v>219905.54981214294</v>
      </c>
      <c r="Z103" s="866">
        <v>235530.9477423004</v>
      </c>
      <c r="AA103" s="866">
        <v>952007.3347405314</v>
      </c>
      <c r="AB103" s="866">
        <v>511258.27176842972</v>
      </c>
      <c r="AC103" s="866">
        <v>267700.79165120434</v>
      </c>
      <c r="AD103" s="866">
        <v>370706.34588689974</v>
      </c>
      <c r="AE103" s="866">
        <v>314516.98526038066</v>
      </c>
      <c r="AF103" s="866">
        <v>930464.20073177549</v>
      </c>
      <c r="AG103" s="866">
        <v>690633.73461587436</v>
      </c>
      <c r="AH103" s="866">
        <v>236317.17162959822</v>
      </c>
      <c r="AI103" s="866">
        <v>459918.34623556415</v>
      </c>
      <c r="AJ103" s="866">
        <v>945683.00335910509</v>
      </c>
      <c r="AK103" s="866">
        <v>436660.66170716565</v>
      </c>
      <c r="AL103" s="866">
        <v>12014741.004381116</v>
      </c>
      <c r="AM103" s="866">
        <v>88626.133022943468</v>
      </c>
      <c r="AN103" s="866">
        <v>12103367.13740406</v>
      </c>
    </row>
    <row r="104" spans="1:41">
      <c r="A104" s="1573">
        <v>2025</v>
      </c>
      <c r="B104" s="1565" t="s">
        <v>11828</v>
      </c>
      <c r="C104" s="135"/>
      <c r="D104" s="866">
        <v>29327.434765859656</v>
      </c>
      <c r="E104" s="866">
        <v>2230.8904881947883</v>
      </c>
      <c r="F104" s="866">
        <v>11632.996695178785</v>
      </c>
      <c r="G104" s="866">
        <v>3400.559751767511</v>
      </c>
      <c r="H104" s="866">
        <v>678033.47544019949</v>
      </c>
      <c r="I104" s="866">
        <v>25943.617701312232</v>
      </c>
      <c r="J104" s="866">
        <v>92527.645958200286</v>
      </c>
      <c r="K104" s="866">
        <v>649191.99599413516</v>
      </c>
      <c r="L104" s="866">
        <v>63880.410837264848</v>
      </c>
      <c r="M104" s="866">
        <v>81737.729996789843</v>
      </c>
      <c r="N104" s="866">
        <v>768767.61574649264</v>
      </c>
      <c r="O104" s="866">
        <v>194924.91193277432</v>
      </c>
      <c r="P104" s="866">
        <v>721397.80508431944</v>
      </c>
      <c r="Q104" s="866">
        <v>66363.54304902564</v>
      </c>
      <c r="R104" s="866">
        <v>433921.6439447194</v>
      </c>
      <c r="S104" s="866">
        <v>90454.151912095724</v>
      </c>
      <c r="T104" s="866">
        <v>493396.26288792893</v>
      </c>
      <c r="U104" s="866">
        <v>35107.620031454644</v>
      </c>
      <c r="V104" s="866">
        <v>273658.69187897316</v>
      </c>
      <c r="W104" s="866">
        <v>647608.7032810977</v>
      </c>
      <c r="X104" s="866">
        <v>397270.40198582935</v>
      </c>
      <c r="Y104" s="866">
        <v>189392.82491567341</v>
      </c>
      <c r="Z104" s="866">
        <v>207877.57707015594</v>
      </c>
      <c r="AA104" s="866">
        <v>944454.32959945023</v>
      </c>
      <c r="AB104" s="866">
        <v>510357.56914939871</v>
      </c>
      <c r="AC104" s="866">
        <v>290309.17558437702</v>
      </c>
      <c r="AD104" s="866">
        <v>404540.87059272762</v>
      </c>
      <c r="AE104" s="866">
        <v>317929.75773111457</v>
      </c>
      <c r="AF104" s="866">
        <v>928552.11254847981</v>
      </c>
      <c r="AG104" s="866">
        <v>845329.43869154132</v>
      </c>
      <c r="AH104" s="866">
        <v>265627.93000859005</v>
      </c>
      <c r="AI104" s="866">
        <v>481331.73440132092</v>
      </c>
      <c r="AJ104" s="866">
        <v>987311.76446530316</v>
      </c>
      <c r="AK104" s="866">
        <v>479926.88265291683</v>
      </c>
      <c r="AL104" s="866">
        <v>12216449.674788836</v>
      </c>
      <c r="AM104" s="866">
        <v>90114.026890061927</v>
      </c>
      <c r="AN104" s="866">
        <v>12306563.701678898</v>
      </c>
    </row>
    <row r="105" spans="1:41">
      <c r="A105" s="1573"/>
      <c r="B105" s="1565" t="s">
        <v>11829</v>
      </c>
      <c r="C105" s="135"/>
      <c r="D105" s="866">
        <v>42039.406795446266</v>
      </c>
      <c r="E105" s="866">
        <v>2145.9581092026001</v>
      </c>
      <c r="F105" s="866">
        <v>12958.747559451409</v>
      </c>
      <c r="G105" s="866">
        <v>3286.0600719499371</v>
      </c>
      <c r="H105" s="866">
        <v>665421.85278212978</v>
      </c>
      <c r="I105" s="866">
        <v>26448.209862104584</v>
      </c>
      <c r="J105" s="866">
        <v>92789.801229628792</v>
      </c>
      <c r="K105" s="866">
        <v>608183.75596392644</v>
      </c>
      <c r="L105" s="866">
        <v>61784.80979552296</v>
      </c>
      <c r="M105" s="866">
        <v>81087.57302423245</v>
      </c>
      <c r="N105" s="866">
        <v>763623.16949663626</v>
      </c>
      <c r="O105" s="866">
        <v>196714.98966103708</v>
      </c>
      <c r="P105" s="866">
        <v>724493.82814545208</v>
      </c>
      <c r="Q105" s="866">
        <v>69683.042313606056</v>
      </c>
      <c r="R105" s="866">
        <v>504442.4038913073</v>
      </c>
      <c r="S105" s="866">
        <v>92948.355612852451</v>
      </c>
      <c r="T105" s="866">
        <v>425347.19405236165</v>
      </c>
      <c r="U105" s="866">
        <v>34961.44289076655</v>
      </c>
      <c r="V105" s="866">
        <v>270017.89744726231</v>
      </c>
      <c r="W105" s="866">
        <v>633284.80424430361</v>
      </c>
      <c r="X105" s="866">
        <v>440921.02812005859</v>
      </c>
      <c r="Y105" s="866">
        <v>236886.51935518481</v>
      </c>
      <c r="Z105" s="866">
        <v>204034.50876487381</v>
      </c>
      <c r="AA105" s="866">
        <v>981049.87432233593</v>
      </c>
      <c r="AB105" s="866">
        <v>553753.88251563371</v>
      </c>
      <c r="AC105" s="866">
        <v>292718.22207289975</v>
      </c>
      <c r="AD105" s="866">
        <v>400464.26896712213</v>
      </c>
      <c r="AE105" s="866">
        <v>319725.32394505403</v>
      </c>
      <c r="AF105" s="866">
        <v>929780.66427180986</v>
      </c>
      <c r="AG105" s="866">
        <v>816708.45926271449</v>
      </c>
      <c r="AH105" s="866">
        <v>235295.786257131</v>
      </c>
      <c r="AI105" s="866">
        <v>461294.08747932897</v>
      </c>
      <c r="AJ105" s="866">
        <v>957045.05871382181</v>
      </c>
      <c r="AK105" s="866">
        <v>464109.44449830789</v>
      </c>
      <c r="AL105" s="866">
        <v>12164529.403375397</v>
      </c>
      <c r="AM105" s="866">
        <v>89731.039618076902</v>
      </c>
      <c r="AN105" s="866">
        <v>12254260.442993473</v>
      </c>
    </row>
    <row r="106" spans="1:41">
      <c r="A106" s="1578"/>
      <c r="B106" s="1579" t="s">
        <v>11830</v>
      </c>
      <c r="C106" s="1655"/>
      <c r="D106" s="866">
        <f>ROUND(D102*SUM(D103:D105)/SUM(D99:D101),0)</f>
        <v>116127</v>
      </c>
      <c r="E106" s="866">
        <f t="shared" ref="E106:AM106" si="48">ROUND(E102*SUM(E103:E105)/SUM(E99:E101),0)</f>
        <v>2194</v>
      </c>
      <c r="F106" s="866">
        <f t="shared" si="48"/>
        <v>13197</v>
      </c>
      <c r="G106" s="866">
        <f t="shared" si="48"/>
        <v>3188</v>
      </c>
      <c r="H106" s="866">
        <f t="shared" si="48"/>
        <v>737281</v>
      </c>
      <c r="I106" s="866">
        <f t="shared" si="48"/>
        <v>27407</v>
      </c>
      <c r="J106" s="866">
        <f t="shared" si="48"/>
        <v>98355</v>
      </c>
      <c r="K106" s="866">
        <f t="shared" si="48"/>
        <v>656646</v>
      </c>
      <c r="L106" s="866">
        <f t="shared" si="48"/>
        <v>66111</v>
      </c>
      <c r="M106" s="866">
        <f t="shared" si="48"/>
        <v>87144</v>
      </c>
      <c r="N106" s="866">
        <f t="shared" si="48"/>
        <v>773010</v>
      </c>
      <c r="O106" s="866">
        <f t="shared" si="48"/>
        <v>228311</v>
      </c>
      <c r="P106" s="866">
        <f t="shared" si="48"/>
        <v>763004</v>
      </c>
      <c r="Q106" s="866">
        <f t="shared" si="48"/>
        <v>75090</v>
      </c>
      <c r="R106" s="866">
        <f t="shared" si="48"/>
        <v>515798</v>
      </c>
      <c r="S106" s="866">
        <f t="shared" si="48"/>
        <v>93823</v>
      </c>
      <c r="T106" s="866">
        <f t="shared" si="48"/>
        <v>527886</v>
      </c>
      <c r="U106" s="866">
        <f t="shared" si="48"/>
        <v>38619</v>
      </c>
      <c r="V106" s="866">
        <f t="shared" si="48"/>
        <v>290130</v>
      </c>
      <c r="W106" s="866">
        <f t="shared" si="48"/>
        <v>702709</v>
      </c>
      <c r="X106" s="866">
        <f t="shared" si="48"/>
        <v>417985</v>
      </c>
      <c r="Y106" s="866">
        <f t="shared" si="48"/>
        <v>199967</v>
      </c>
      <c r="Z106" s="866">
        <f t="shared" si="48"/>
        <v>217611</v>
      </c>
      <c r="AA106" s="866">
        <f t="shared" si="48"/>
        <v>1073222</v>
      </c>
      <c r="AB106" s="866">
        <f t="shared" si="48"/>
        <v>563393</v>
      </c>
      <c r="AC106" s="866">
        <f t="shared" si="48"/>
        <v>304097</v>
      </c>
      <c r="AD106" s="866">
        <f t="shared" si="48"/>
        <v>416675</v>
      </c>
      <c r="AE106" s="866">
        <f t="shared" si="48"/>
        <v>320074</v>
      </c>
      <c r="AF106" s="866">
        <f t="shared" si="48"/>
        <v>933053</v>
      </c>
      <c r="AG106" s="866">
        <f t="shared" si="48"/>
        <v>847333</v>
      </c>
      <c r="AH106" s="866">
        <f t="shared" si="48"/>
        <v>275422</v>
      </c>
      <c r="AI106" s="866">
        <f t="shared" si="48"/>
        <v>484331</v>
      </c>
      <c r="AJ106" s="866">
        <f t="shared" si="48"/>
        <v>965883</v>
      </c>
      <c r="AK106" s="866">
        <f t="shared" si="48"/>
        <v>503801</v>
      </c>
      <c r="AL106" s="866">
        <f t="shared" si="48"/>
        <v>12901758</v>
      </c>
      <c r="AM106" s="866">
        <f t="shared" si="48"/>
        <v>95169</v>
      </c>
      <c r="AN106" s="1641">
        <f>SUM(D106:AM106)</f>
        <v>26335804</v>
      </c>
    </row>
  </sheetData>
  <mergeCells count="1">
    <mergeCell ref="A25:B26"/>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FD149-20F1-4FF2-9354-4FC536A163C8}">
  <dimension ref="A1:AM140"/>
  <sheetViews>
    <sheetView workbookViewId="0">
      <pane xSplit="3" ySplit="10" topLeftCell="Z126" activePane="bottomRight" state="frozen"/>
      <selection pane="topRight" activeCell="D1" sqref="D1"/>
      <selection pane="bottomLeft" activeCell="A11" sqref="A11"/>
      <selection pane="bottomRight" activeCell="AH132" sqref="AH132"/>
    </sheetView>
  </sheetViews>
  <sheetFormatPr defaultRowHeight="13"/>
  <cols>
    <col min="1" max="1" width="5.5" style="133" customWidth="1"/>
    <col min="2" max="2" width="3.25" style="133" customWidth="1"/>
    <col min="3" max="3" width="7.83203125" style="133" customWidth="1"/>
    <col min="4" max="16384" width="8.6640625" style="133"/>
  </cols>
  <sheetData>
    <row r="1" spans="1:39">
      <c r="A1" s="133" t="s">
        <v>12082</v>
      </c>
    </row>
    <row r="2" spans="1:39">
      <c r="A2" s="133" t="s">
        <v>12083</v>
      </c>
    </row>
    <row r="3" spans="1:39">
      <c r="B3" s="133" t="s">
        <v>11864</v>
      </c>
    </row>
    <row r="4" spans="1:39">
      <c r="B4" s="133" t="s">
        <v>11865</v>
      </c>
    </row>
    <row r="5" spans="1:39">
      <c r="C5" s="133" t="s">
        <v>11866</v>
      </c>
      <c r="AJ5" s="133" t="s">
        <v>11867</v>
      </c>
      <c r="AM5" s="133" t="s">
        <v>11868</v>
      </c>
    </row>
    <row r="6" spans="1:39">
      <c r="C6" s="133" t="s">
        <v>11869</v>
      </c>
      <c r="AJ6" s="133" t="s">
        <v>11870</v>
      </c>
      <c r="AM6" s="133" t="s">
        <v>11871</v>
      </c>
    </row>
    <row r="7" spans="1:39">
      <c r="D7" s="133" t="s">
        <v>11872</v>
      </c>
      <c r="E7" s="133" t="s">
        <v>11873</v>
      </c>
      <c r="F7" s="133" t="s">
        <v>11874</v>
      </c>
      <c r="U7" s="133" t="s">
        <v>11875</v>
      </c>
      <c r="V7" s="133" t="s">
        <v>11876</v>
      </c>
      <c r="W7" s="133" t="s">
        <v>11877</v>
      </c>
      <c r="X7" s="133" t="s">
        <v>11878</v>
      </c>
      <c r="Y7" s="133" t="s">
        <v>11879</v>
      </c>
      <c r="Z7" s="133" t="s">
        <v>11880</v>
      </c>
      <c r="AA7" s="133" t="s">
        <v>11881</v>
      </c>
      <c r="AB7" s="133" t="s">
        <v>11882</v>
      </c>
      <c r="AC7" s="133" t="s">
        <v>11883</v>
      </c>
      <c r="AD7" s="133" t="s">
        <v>11884</v>
      </c>
      <c r="AE7" s="133" t="s">
        <v>11885</v>
      </c>
      <c r="AF7" s="133" t="s">
        <v>11886</v>
      </c>
      <c r="AG7" s="133" t="s">
        <v>11887</v>
      </c>
      <c r="AH7" s="133" t="s">
        <v>11888</v>
      </c>
      <c r="AI7" s="133" t="s">
        <v>7672</v>
      </c>
    </row>
    <row r="8" spans="1:39">
      <c r="D8" s="133" t="s">
        <v>11891</v>
      </c>
      <c r="E8" s="133" t="s">
        <v>11892</v>
      </c>
      <c r="F8" s="133" t="s">
        <v>11893</v>
      </c>
      <c r="U8" s="133" t="s">
        <v>11894</v>
      </c>
      <c r="V8" s="133" t="s">
        <v>11895</v>
      </c>
      <c r="W8" s="133" t="s">
        <v>11896</v>
      </c>
      <c r="X8" s="133" t="s">
        <v>11897</v>
      </c>
      <c r="Y8" s="133" t="s">
        <v>11898</v>
      </c>
      <c r="Z8" s="133" t="s">
        <v>11899</v>
      </c>
      <c r="AA8" s="133" t="s">
        <v>11900</v>
      </c>
      <c r="AB8" s="133" t="s">
        <v>11901</v>
      </c>
      <c r="AC8" s="133" t="s">
        <v>11902</v>
      </c>
      <c r="AD8" s="133" t="s">
        <v>11903</v>
      </c>
      <c r="AE8" s="133" t="s">
        <v>11904</v>
      </c>
      <c r="AF8" s="133" t="s">
        <v>11905</v>
      </c>
      <c r="AG8" s="133" t="s">
        <v>11906</v>
      </c>
      <c r="AH8" s="133" t="s">
        <v>11907</v>
      </c>
      <c r="AI8" s="133" t="s">
        <v>12084</v>
      </c>
    </row>
    <row r="9" spans="1:39">
      <c r="A9" s="133" t="s">
        <v>11911</v>
      </c>
      <c r="B9" s="133" t="s">
        <v>11912</v>
      </c>
      <c r="G9" s="133" t="s">
        <v>11778</v>
      </c>
      <c r="H9" s="133" t="s">
        <v>11913</v>
      </c>
      <c r="I9" s="133" t="s">
        <v>11914</v>
      </c>
      <c r="J9" s="133" t="s">
        <v>11781</v>
      </c>
      <c r="K9" s="133" t="s">
        <v>11915</v>
      </c>
      <c r="L9" s="133" t="s">
        <v>11916</v>
      </c>
      <c r="M9" s="133" t="s">
        <v>11917</v>
      </c>
      <c r="N9" s="133" t="s">
        <v>11785</v>
      </c>
      <c r="O9" s="133" t="s">
        <v>11918</v>
      </c>
      <c r="P9" s="133" t="s">
        <v>11919</v>
      </c>
      <c r="Q9" s="133" t="s">
        <v>11920</v>
      </c>
      <c r="R9" s="133" t="s">
        <v>11921</v>
      </c>
      <c r="S9" s="133" t="s">
        <v>11922</v>
      </c>
      <c r="T9" s="133" t="s">
        <v>11923</v>
      </c>
      <c r="AJ9" s="133" t="s">
        <v>11924</v>
      </c>
      <c r="AK9" s="133" t="s">
        <v>11925</v>
      </c>
      <c r="AL9" s="133" t="s">
        <v>11926</v>
      </c>
    </row>
    <row r="10" spans="1:39">
      <c r="A10" s="133" t="s">
        <v>11927</v>
      </c>
      <c r="B10" s="133" t="s">
        <v>11928</v>
      </c>
      <c r="G10" s="133" t="s">
        <v>11929</v>
      </c>
      <c r="H10" s="133" t="s">
        <v>11930</v>
      </c>
      <c r="I10" s="133" t="s">
        <v>11931</v>
      </c>
      <c r="J10" s="133" t="s">
        <v>11932</v>
      </c>
      <c r="K10" s="133" t="s">
        <v>11933</v>
      </c>
      <c r="L10" s="133" t="s">
        <v>11934</v>
      </c>
      <c r="M10" s="133" t="s">
        <v>11935</v>
      </c>
      <c r="N10" s="133" t="s">
        <v>11936</v>
      </c>
      <c r="O10" s="133" t="s">
        <v>11937</v>
      </c>
      <c r="P10" s="133" t="s">
        <v>11938</v>
      </c>
      <c r="Q10" s="133" t="s">
        <v>11939</v>
      </c>
      <c r="R10" s="133" t="s">
        <v>11940</v>
      </c>
      <c r="S10" s="133" t="s">
        <v>11941</v>
      </c>
      <c r="T10" s="133" t="s">
        <v>11942</v>
      </c>
      <c r="AJ10" s="133" t="s">
        <v>11943</v>
      </c>
      <c r="AK10" s="133" t="s">
        <v>11944</v>
      </c>
      <c r="AL10" s="133" t="s">
        <v>11945</v>
      </c>
    </row>
    <row r="11" spans="1:39">
      <c r="A11" s="133">
        <v>1994</v>
      </c>
      <c r="B11" s="133" t="s">
        <v>11946</v>
      </c>
      <c r="C11" s="133" t="s">
        <v>11947</v>
      </c>
      <c r="D11" s="1616">
        <v>4195.3999999999996</v>
      </c>
      <c r="E11" s="1616">
        <v>411.9</v>
      </c>
      <c r="F11" s="1616">
        <v>75074.2</v>
      </c>
      <c r="G11" s="1616">
        <v>8472.7999999999993</v>
      </c>
      <c r="H11" s="1616">
        <v>3095.9</v>
      </c>
      <c r="I11" s="1616">
        <v>2180.6</v>
      </c>
      <c r="J11" s="1616">
        <v>6128.1</v>
      </c>
      <c r="K11" s="1616">
        <v>2829</v>
      </c>
      <c r="L11" s="1616">
        <v>2473.1</v>
      </c>
      <c r="M11" s="1616">
        <v>6277.8</v>
      </c>
      <c r="N11" s="1616">
        <v>3285.7</v>
      </c>
      <c r="O11" s="1616">
        <v>7269.1</v>
      </c>
      <c r="P11" s="1616">
        <v>2831</v>
      </c>
      <c r="Q11" s="1616">
        <v>4918</v>
      </c>
      <c r="R11" s="1616">
        <v>4473.8</v>
      </c>
      <c r="S11" s="1616">
        <v>11986.6</v>
      </c>
      <c r="T11" s="1616">
        <v>8852.7000000000007</v>
      </c>
      <c r="U11" s="1616">
        <v>6266</v>
      </c>
      <c r="V11" s="1616">
        <v>21641.9</v>
      </c>
      <c r="W11" s="1616">
        <v>23440.1</v>
      </c>
      <c r="X11" s="1616">
        <v>10385.6</v>
      </c>
      <c r="Y11" s="1616">
        <v>7684.5</v>
      </c>
      <c r="Z11" s="1616">
        <v>7628.6</v>
      </c>
      <c r="AA11" s="1616">
        <v>9645.2999999999993</v>
      </c>
      <c r="AB11" s="1616">
        <v>14598.9</v>
      </c>
      <c r="AC11" s="1616">
        <v>9249.9</v>
      </c>
      <c r="AD11" s="1616">
        <v>7732.3</v>
      </c>
      <c r="AE11" s="1616">
        <v>4666.8</v>
      </c>
      <c r="AF11" s="1616">
        <v>8247.7999999999993</v>
      </c>
      <c r="AG11" s="1616">
        <v>11224.2</v>
      </c>
      <c r="AH11" s="1616">
        <v>222093.5</v>
      </c>
      <c r="AI11" s="1616">
        <v>222305.8</v>
      </c>
      <c r="AJ11" s="1616">
        <v>4195.3999999999996</v>
      </c>
      <c r="AK11" s="1616">
        <v>97128</v>
      </c>
      <c r="AL11" s="1616">
        <v>120770.1</v>
      </c>
    </row>
    <row r="12" spans="1:39">
      <c r="A12" s="133">
        <v>1994</v>
      </c>
      <c r="B12" s="133" t="s">
        <v>11948</v>
      </c>
      <c r="C12" s="133" t="s">
        <v>11949</v>
      </c>
      <c r="D12" s="1616">
        <v>3395.5</v>
      </c>
      <c r="E12" s="1616">
        <v>410.9</v>
      </c>
      <c r="F12" s="1616">
        <v>75893.8</v>
      </c>
      <c r="G12" s="1616">
        <v>9041.1</v>
      </c>
      <c r="H12" s="1616">
        <v>3284.1</v>
      </c>
      <c r="I12" s="1616">
        <v>2249.9</v>
      </c>
      <c r="J12" s="1616">
        <v>6333.4</v>
      </c>
      <c r="K12" s="1616">
        <v>2503.1999999999998</v>
      </c>
      <c r="L12" s="1616">
        <v>2473.6999999999998</v>
      </c>
      <c r="M12" s="1616">
        <v>6852.4</v>
      </c>
      <c r="N12" s="1616">
        <v>3864.3</v>
      </c>
      <c r="O12" s="1616">
        <v>8002</v>
      </c>
      <c r="P12" s="1616">
        <v>3359.9</v>
      </c>
      <c r="Q12" s="1616">
        <v>4833.3999999999996</v>
      </c>
      <c r="R12" s="1616">
        <v>4315</v>
      </c>
      <c r="S12" s="1616">
        <v>10126.6</v>
      </c>
      <c r="T12" s="1616">
        <v>8654.7999999999993</v>
      </c>
      <c r="U12" s="1616">
        <v>5847.8</v>
      </c>
      <c r="V12" s="1616">
        <v>20042.8</v>
      </c>
      <c r="W12" s="1616">
        <v>24887.599999999999</v>
      </c>
      <c r="X12" s="1616">
        <v>10606.5</v>
      </c>
      <c r="Y12" s="1616">
        <v>7721.7</v>
      </c>
      <c r="Z12" s="1616">
        <v>5703.9</v>
      </c>
      <c r="AA12" s="1616">
        <v>9547.4</v>
      </c>
      <c r="AB12" s="1616">
        <v>14911.6</v>
      </c>
      <c r="AC12" s="1616">
        <v>9014.1</v>
      </c>
      <c r="AD12" s="1616">
        <v>9081.7000000000007</v>
      </c>
      <c r="AE12" s="1616">
        <v>5899.6</v>
      </c>
      <c r="AF12" s="1616">
        <v>8844.1</v>
      </c>
      <c r="AG12" s="1616">
        <v>11246.5</v>
      </c>
      <c r="AH12" s="1616">
        <v>223055.4</v>
      </c>
      <c r="AI12" s="1616">
        <v>223286.6</v>
      </c>
      <c r="AJ12" s="1616">
        <v>3395.5</v>
      </c>
      <c r="AK12" s="1616">
        <v>96347.4</v>
      </c>
      <c r="AL12" s="1616">
        <v>123312.5</v>
      </c>
    </row>
    <row r="13" spans="1:39">
      <c r="A13" s="133">
        <v>1994</v>
      </c>
      <c r="B13" s="133" t="s">
        <v>11950</v>
      </c>
      <c r="C13" s="133" t="s">
        <v>11951</v>
      </c>
      <c r="D13" s="1616">
        <v>4856.5</v>
      </c>
      <c r="E13" s="1616">
        <v>427.2</v>
      </c>
      <c r="F13" s="1616">
        <v>77372.399999999994</v>
      </c>
      <c r="G13" s="1616">
        <v>8884.1</v>
      </c>
      <c r="H13" s="1616">
        <v>3122.1</v>
      </c>
      <c r="I13" s="1616">
        <v>2221.6</v>
      </c>
      <c r="J13" s="1616">
        <v>6487.3</v>
      </c>
      <c r="K13" s="1616">
        <v>2784.2</v>
      </c>
      <c r="L13" s="1616">
        <v>2458.6999999999998</v>
      </c>
      <c r="M13" s="1616">
        <v>6811.5</v>
      </c>
      <c r="N13" s="1616">
        <v>4100.2</v>
      </c>
      <c r="O13" s="1616">
        <v>8016.2</v>
      </c>
      <c r="P13" s="1616">
        <v>3406.4</v>
      </c>
      <c r="Q13" s="1616">
        <v>4941.5</v>
      </c>
      <c r="R13" s="1616">
        <v>4533.5</v>
      </c>
      <c r="S13" s="1616">
        <v>10686.5</v>
      </c>
      <c r="T13" s="1616">
        <v>8918.5</v>
      </c>
      <c r="U13" s="1616">
        <v>6979.4</v>
      </c>
      <c r="V13" s="1616">
        <v>22044.3</v>
      </c>
      <c r="W13" s="1616">
        <v>25198.3</v>
      </c>
      <c r="X13" s="1616">
        <v>11214</v>
      </c>
      <c r="Y13" s="1616">
        <v>8828</v>
      </c>
      <c r="Z13" s="1616">
        <v>6793</v>
      </c>
      <c r="AA13" s="1616">
        <v>9610.5</v>
      </c>
      <c r="AB13" s="1616">
        <v>15089.8</v>
      </c>
      <c r="AC13" s="1616">
        <v>9579.1</v>
      </c>
      <c r="AD13" s="1616">
        <v>7221.1</v>
      </c>
      <c r="AE13" s="1616">
        <v>4409.5</v>
      </c>
      <c r="AF13" s="1616">
        <v>8470.6</v>
      </c>
      <c r="AG13" s="1616">
        <v>11180.4</v>
      </c>
      <c r="AH13" s="1616">
        <v>229274.1</v>
      </c>
      <c r="AI13" s="1616">
        <v>229546</v>
      </c>
      <c r="AJ13" s="1616">
        <v>4856.5</v>
      </c>
      <c r="AK13" s="1616">
        <v>99844</v>
      </c>
      <c r="AL13" s="1616">
        <v>124573.6</v>
      </c>
    </row>
    <row r="14" spans="1:39">
      <c r="A14" s="133">
        <v>1994</v>
      </c>
      <c r="B14" s="133" t="s">
        <v>11952</v>
      </c>
      <c r="C14" s="133" t="s">
        <v>11953</v>
      </c>
      <c r="D14" s="1616">
        <v>4557.3</v>
      </c>
      <c r="E14" s="1616">
        <v>478.2</v>
      </c>
      <c r="F14" s="1616">
        <v>80468.100000000006</v>
      </c>
      <c r="G14" s="1616">
        <v>8946.7999999999993</v>
      </c>
      <c r="H14" s="1616">
        <v>3112</v>
      </c>
      <c r="I14" s="1616">
        <v>2364.4</v>
      </c>
      <c r="J14" s="1616">
        <v>6861.5</v>
      </c>
      <c r="K14" s="1616">
        <v>2866.8</v>
      </c>
      <c r="L14" s="1616">
        <v>2680.5</v>
      </c>
      <c r="M14" s="1616">
        <v>7258.9</v>
      </c>
      <c r="N14" s="1616">
        <v>4453.7</v>
      </c>
      <c r="O14" s="1616">
        <v>8070.5</v>
      </c>
      <c r="P14" s="1616">
        <v>3752.8</v>
      </c>
      <c r="Q14" s="1616">
        <v>5457.5</v>
      </c>
      <c r="R14" s="1616">
        <v>4467.8</v>
      </c>
      <c r="S14" s="1616">
        <v>10737.5</v>
      </c>
      <c r="T14" s="1616">
        <v>9437.4</v>
      </c>
      <c r="U14" s="1616">
        <v>6275.9</v>
      </c>
      <c r="V14" s="1616">
        <v>24895.7</v>
      </c>
      <c r="W14" s="1616">
        <v>26505.1</v>
      </c>
      <c r="X14" s="1616">
        <v>11424.9</v>
      </c>
      <c r="Y14" s="1616">
        <v>8605.4</v>
      </c>
      <c r="Z14" s="1616">
        <v>6063.7</v>
      </c>
      <c r="AA14" s="1616">
        <v>9482</v>
      </c>
      <c r="AB14" s="1616">
        <v>15268.3</v>
      </c>
      <c r="AC14" s="1616">
        <v>9365.9</v>
      </c>
      <c r="AD14" s="1616">
        <v>9560.1</v>
      </c>
      <c r="AE14" s="1616">
        <v>6372</v>
      </c>
      <c r="AF14" s="1616">
        <v>9088.2999999999993</v>
      </c>
      <c r="AG14" s="1616">
        <v>11181</v>
      </c>
      <c r="AH14" s="1616">
        <v>239591.9</v>
      </c>
      <c r="AI14" s="1616">
        <v>239846.6</v>
      </c>
      <c r="AJ14" s="1616">
        <v>4557.3</v>
      </c>
      <c r="AK14" s="1616">
        <v>105842.1</v>
      </c>
      <c r="AL14" s="1616">
        <v>129192.5</v>
      </c>
    </row>
    <row r="15" spans="1:39">
      <c r="A15" s="133">
        <v>1995</v>
      </c>
      <c r="B15" s="133" t="s">
        <v>11946</v>
      </c>
      <c r="C15" s="133" t="s">
        <v>11954</v>
      </c>
      <c r="D15" s="1616">
        <v>3666.1</v>
      </c>
      <c r="E15" s="1616">
        <v>425.6</v>
      </c>
      <c r="F15" s="1616">
        <v>76863.100000000006</v>
      </c>
      <c r="G15" s="1616">
        <v>8299.7999999999993</v>
      </c>
      <c r="H15" s="1616">
        <v>3037.6</v>
      </c>
      <c r="I15" s="1616">
        <v>2242</v>
      </c>
      <c r="J15" s="1616">
        <v>6635.3</v>
      </c>
      <c r="K15" s="1616">
        <v>2771.1</v>
      </c>
      <c r="L15" s="1616">
        <v>2461.1999999999998</v>
      </c>
      <c r="M15" s="1616">
        <v>6918.2</v>
      </c>
      <c r="N15" s="1616">
        <v>3339.1</v>
      </c>
      <c r="O15" s="1616">
        <v>7770</v>
      </c>
      <c r="P15" s="1616">
        <v>3192</v>
      </c>
      <c r="Q15" s="1616">
        <v>5186.2</v>
      </c>
      <c r="R15" s="1616">
        <v>4437.2</v>
      </c>
      <c r="S15" s="1616">
        <v>11687.2</v>
      </c>
      <c r="T15" s="1616">
        <v>8886.5</v>
      </c>
      <c r="U15" s="1616">
        <v>6533.3</v>
      </c>
      <c r="V15" s="1616">
        <v>21267</v>
      </c>
      <c r="W15" s="1616">
        <v>24294.2</v>
      </c>
      <c r="X15" s="1616">
        <v>10789.1</v>
      </c>
      <c r="Y15" s="1616">
        <v>7713</v>
      </c>
      <c r="Z15" s="1616">
        <v>7838.9</v>
      </c>
      <c r="AA15" s="1616">
        <v>9684.1</v>
      </c>
      <c r="AB15" s="1616">
        <v>15067.6</v>
      </c>
      <c r="AC15" s="1616">
        <v>9410.6</v>
      </c>
      <c r="AD15" s="1616">
        <v>8079.8</v>
      </c>
      <c r="AE15" s="1616">
        <v>4843.3</v>
      </c>
      <c r="AF15" s="1616">
        <v>8775.2999999999993</v>
      </c>
      <c r="AG15" s="1616">
        <v>11060.6</v>
      </c>
      <c r="AH15" s="1616">
        <v>226311.6</v>
      </c>
      <c r="AI15" s="1616">
        <v>226569.7</v>
      </c>
      <c r="AJ15" s="1616">
        <v>3666.1</v>
      </c>
      <c r="AK15" s="1616">
        <v>98555.7</v>
      </c>
      <c r="AL15" s="1616">
        <v>124089.8</v>
      </c>
    </row>
    <row r="16" spans="1:39">
      <c r="A16" s="133">
        <v>1995</v>
      </c>
      <c r="B16" s="133" t="s">
        <v>11948</v>
      </c>
      <c r="C16" s="133" t="s">
        <v>11955</v>
      </c>
      <c r="D16" s="1616">
        <v>3785.9</v>
      </c>
      <c r="E16" s="1616">
        <v>400.3</v>
      </c>
      <c r="F16" s="1616">
        <v>78507.199999999997</v>
      </c>
      <c r="G16" s="1616">
        <v>8806.2000000000007</v>
      </c>
      <c r="H16" s="1616">
        <v>3191.8</v>
      </c>
      <c r="I16" s="1616">
        <v>2389.5</v>
      </c>
      <c r="J16" s="1616">
        <v>6748.7</v>
      </c>
      <c r="K16" s="1616">
        <v>2490.9</v>
      </c>
      <c r="L16" s="1616">
        <v>2458.6999999999998</v>
      </c>
      <c r="M16" s="1616">
        <v>7132</v>
      </c>
      <c r="N16" s="1616">
        <v>3795</v>
      </c>
      <c r="O16" s="1616">
        <v>8969.5</v>
      </c>
      <c r="P16" s="1616">
        <v>3799.5</v>
      </c>
      <c r="Q16" s="1616">
        <v>5067.7</v>
      </c>
      <c r="R16" s="1616">
        <v>4392.1000000000004</v>
      </c>
      <c r="S16" s="1616">
        <v>10650.6</v>
      </c>
      <c r="T16" s="1616">
        <v>8614.9</v>
      </c>
      <c r="U16" s="1616">
        <v>6096.1</v>
      </c>
      <c r="V16" s="1616">
        <v>18995.099999999999</v>
      </c>
      <c r="W16" s="1616">
        <v>25720.1</v>
      </c>
      <c r="X16" s="1616">
        <v>10994.2</v>
      </c>
      <c r="Y16" s="1616">
        <v>7937.2</v>
      </c>
      <c r="Z16" s="1616">
        <v>6128.1</v>
      </c>
      <c r="AA16" s="1616">
        <v>9158.2000000000007</v>
      </c>
      <c r="AB16" s="1616">
        <v>15244.4</v>
      </c>
      <c r="AC16" s="1616">
        <v>9082</v>
      </c>
      <c r="AD16" s="1616">
        <v>9473.5</v>
      </c>
      <c r="AE16" s="1616">
        <v>6070.1</v>
      </c>
      <c r="AF16" s="1616">
        <v>9243.4</v>
      </c>
      <c r="AG16" s="1616">
        <v>10984.2</v>
      </c>
      <c r="AH16" s="1616">
        <v>227820.1</v>
      </c>
      <c r="AI16" s="1616">
        <v>228014.9</v>
      </c>
      <c r="AJ16" s="1616">
        <v>3785.9</v>
      </c>
      <c r="AK16" s="1616">
        <v>97902.6</v>
      </c>
      <c r="AL16" s="1616">
        <v>126131.5</v>
      </c>
    </row>
    <row r="17" spans="1:38">
      <c r="A17" s="133">
        <v>1995</v>
      </c>
      <c r="B17" s="133" t="s">
        <v>11950</v>
      </c>
      <c r="C17" s="133" t="s">
        <v>11956</v>
      </c>
      <c r="D17" s="1616">
        <v>4223.7</v>
      </c>
      <c r="E17" s="1616">
        <v>403.1</v>
      </c>
      <c r="F17" s="1616">
        <v>77636.800000000003</v>
      </c>
      <c r="G17" s="1616">
        <v>8676.6</v>
      </c>
      <c r="H17" s="1616">
        <v>2957.5</v>
      </c>
      <c r="I17" s="1616">
        <v>2339.1999999999998</v>
      </c>
      <c r="J17" s="1616">
        <v>6663.1</v>
      </c>
      <c r="K17" s="1616">
        <v>2659.3</v>
      </c>
      <c r="L17" s="1616">
        <v>2392.1</v>
      </c>
      <c r="M17" s="1616">
        <v>6782.5</v>
      </c>
      <c r="N17" s="1616">
        <v>4034.8</v>
      </c>
      <c r="O17" s="1616">
        <v>8402.5</v>
      </c>
      <c r="P17" s="1616">
        <v>3831.4</v>
      </c>
      <c r="Q17" s="1616">
        <v>5068.3999999999996</v>
      </c>
      <c r="R17" s="1616">
        <v>4679.7</v>
      </c>
      <c r="S17" s="1616">
        <v>10268.5</v>
      </c>
      <c r="T17" s="1616">
        <v>8881.1</v>
      </c>
      <c r="U17" s="1616">
        <v>7029.9</v>
      </c>
      <c r="V17" s="1616">
        <v>22003.1</v>
      </c>
      <c r="W17" s="1616">
        <v>26168.3</v>
      </c>
      <c r="X17" s="1616">
        <v>11745.1</v>
      </c>
      <c r="Y17" s="1616">
        <v>8951</v>
      </c>
      <c r="Z17" s="1616">
        <v>7206.8</v>
      </c>
      <c r="AA17" s="1616">
        <v>9434.4</v>
      </c>
      <c r="AB17" s="1616">
        <v>15213.6</v>
      </c>
      <c r="AC17" s="1616">
        <v>9397.2999999999993</v>
      </c>
      <c r="AD17" s="1616">
        <v>7509.2</v>
      </c>
      <c r="AE17" s="1616">
        <v>4523.3</v>
      </c>
      <c r="AF17" s="1616">
        <v>8861.7000000000007</v>
      </c>
      <c r="AG17" s="1616">
        <v>10810.5</v>
      </c>
      <c r="AH17" s="1616">
        <v>231117.8</v>
      </c>
      <c r="AI17" s="1616">
        <v>231341.7</v>
      </c>
      <c r="AJ17" s="1616">
        <v>4223.7</v>
      </c>
      <c r="AK17" s="1616">
        <v>100043</v>
      </c>
      <c r="AL17" s="1616">
        <v>126851.1</v>
      </c>
    </row>
    <row r="18" spans="1:38">
      <c r="A18" s="133">
        <v>1995</v>
      </c>
      <c r="B18" s="133" t="s">
        <v>11952</v>
      </c>
      <c r="C18" s="133" t="s">
        <v>11957</v>
      </c>
      <c r="D18" s="1616">
        <v>4028</v>
      </c>
      <c r="E18" s="1616">
        <v>450</v>
      </c>
      <c r="F18" s="1616">
        <v>81160.100000000006</v>
      </c>
      <c r="G18" s="1616">
        <v>8969.2000000000007</v>
      </c>
      <c r="H18" s="1616">
        <v>2948.3</v>
      </c>
      <c r="I18" s="1616">
        <v>2522</v>
      </c>
      <c r="J18" s="1616">
        <v>6986.5</v>
      </c>
      <c r="K18" s="1616">
        <v>2789.2</v>
      </c>
      <c r="L18" s="1616">
        <v>2626.5</v>
      </c>
      <c r="M18" s="1616">
        <v>7103.5</v>
      </c>
      <c r="N18" s="1616">
        <v>4498.8</v>
      </c>
      <c r="O18" s="1616">
        <v>8343.2000000000007</v>
      </c>
      <c r="P18" s="1616">
        <v>4202.3</v>
      </c>
      <c r="Q18" s="1616">
        <v>5646.2</v>
      </c>
      <c r="R18" s="1616">
        <v>4939.7</v>
      </c>
      <c r="S18" s="1616">
        <v>10161.299999999999</v>
      </c>
      <c r="T18" s="1616">
        <v>9423.5</v>
      </c>
      <c r="U18" s="1616">
        <v>6550.1</v>
      </c>
      <c r="V18" s="1616">
        <v>25829.5</v>
      </c>
      <c r="W18" s="1616">
        <v>27420.3</v>
      </c>
      <c r="X18" s="1616">
        <v>11949.7</v>
      </c>
      <c r="Y18" s="1616">
        <v>8788.7999999999993</v>
      </c>
      <c r="Z18" s="1616">
        <v>6700.7</v>
      </c>
      <c r="AA18" s="1616">
        <v>9505.7999999999993</v>
      </c>
      <c r="AB18" s="1616">
        <v>15364.9</v>
      </c>
      <c r="AC18" s="1616">
        <v>9462.2999999999993</v>
      </c>
      <c r="AD18" s="1616">
        <v>9861.1</v>
      </c>
      <c r="AE18" s="1616">
        <v>6508.8</v>
      </c>
      <c r="AF18" s="1616">
        <v>9654.4</v>
      </c>
      <c r="AG18" s="1616">
        <v>10850.2</v>
      </c>
      <c r="AH18" s="1616">
        <v>244084.7</v>
      </c>
      <c r="AI18" s="1616">
        <v>244325.3</v>
      </c>
      <c r="AJ18" s="1616">
        <v>4028</v>
      </c>
      <c r="AK18" s="1616">
        <v>107439.6</v>
      </c>
      <c r="AL18" s="1616">
        <v>132617</v>
      </c>
    </row>
    <row r="19" spans="1:38">
      <c r="A19" s="133">
        <v>1996</v>
      </c>
      <c r="B19" s="133" t="s">
        <v>11946</v>
      </c>
      <c r="C19" s="133" t="s">
        <v>11958</v>
      </c>
      <c r="D19" s="1616">
        <v>3514</v>
      </c>
      <c r="E19" s="1616">
        <v>435.1</v>
      </c>
      <c r="F19" s="1616">
        <v>77091.5</v>
      </c>
      <c r="G19" s="1616">
        <v>8012.5</v>
      </c>
      <c r="H19" s="1616">
        <v>2740.4</v>
      </c>
      <c r="I19" s="1616">
        <v>2344.8000000000002</v>
      </c>
      <c r="J19" s="1616">
        <v>6740</v>
      </c>
      <c r="K19" s="1616">
        <v>3182</v>
      </c>
      <c r="L19" s="1616">
        <v>2464.8000000000002</v>
      </c>
      <c r="M19" s="1616">
        <v>6645.1</v>
      </c>
      <c r="N19" s="1616">
        <v>3314.6</v>
      </c>
      <c r="O19" s="1616">
        <v>7985.9</v>
      </c>
      <c r="P19" s="1616">
        <v>3923.4</v>
      </c>
      <c r="Q19" s="1616">
        <v>5047.1000000000004</v>
      </c>
      <c r="R19" s="1616">
        <v>5016</v>
      </c>
      <c r="S19" s="1616">
        <v>10973.9</v>
      </c>
      <c r="T19" s="1616">
        <v>8700.9</v>
      </c>
      <c r="U19" s="1616">
        <v>6690</v>
      </c>
      <c r="V19" s="1616">
        <v>22738.7</v>
      </c>
      <c r="W19" s="1616">
        <v>25743.3</v>
      </c>
      <c r="X19" s="1616">
        <v>10337</v>
      </c>
      <c r="Y19" s="1616">
        <v>8311.2999999999993</v>
      </c>
      <c r="Z19" s="1616">
        <v>8772.7999999999993</v>
      </c>
      <c r="AA19" s="1616">
        <v>9898.5</v>
      </c>
      <c r="AB19" s="1616">
        <v>15309.4</v>
      </c>
      <c r="AC19" s="1616">
        <v>10142.700000000001</v>
      </c>
      <c r="AD19" s="1616">
        <v>8259.6</v>
      </c>
      <c r="AE19" s="1616">
        <v>4955.8</v>
      </c>
      <c r="AF19" s="1616">
        <v>9039.2000000000007</v>
      </c>
      <c r="AG19" s="1616">
        <v>11099.8</v>
      </c>
      <c r="AH19" s="1616">
        <v>232338.6</v>
      </c>
      <c r="AI19" s="1616">
        <v>232545.7</v>
      </c>
      <c r="AJ19" s="1616">
        <v>3514</v>
      </c>
      <c r="AK19" s="1616">
        <v>100265.3</v>
      </c>
      <c r="AL19" s="1616">
        <v>128559.4</v>
      </c>
    </row>
    <row r="20" spans="1:38">
      <c r="A20" s="133">
        <v>1996</v>
      </c>
      <c r="B20" s="133" t="s">
        <v>11948</v>
      </c>
      <c r="C20" s="133" t="s">
        <v>11959</v>
      </c>
      <c r="D20" s="1616">
        <v>3672.6</v>
      </c>
      <c r="E20" s="1616">
        <v>407</v>
      </c>
      <c r="F20" s="1616">
        <v>79238.3</v>
      </c>
      <c r="G20" s="1616">
        <v>9156.7000000000007</v>
      </c>
      <c r="H20" s="1616">
        <v>2967.1</v>
      </c>
      <c r="I20" s="1616">
        <v>2389.3000000000002</v>
      </c>
      <c r="J20" s="1616">
        <v>6641.7</v>
      </c>
      <c r="K20" s="1616">
        <v>2839.1</v>
      </c>
      <c r="L20" s="1616">
        <v>2452.5</v>
      </c>
      <c r="M20" s="1616">
        <v>6765.9</v>
      </c>
      <c r="N20" s="1616">
        <v>3954.8</v>
      </c>
      <c r="O20" s="1616">
        <v>9335.4</v>
      </c>
      <c r="P20" s="1616">
        <v>3948.4</v>
      </c>
      <c r="Q20" s="1616">
        <v>5078</v>
      </c>
      <c r="R20" s="1616">
        <v>5016.6000000000004</v>
      </c>
      <c r="S20" s="1616">
        <v>10057.9</v>
      </c>
      <c r="T20" s="1616">
        <v>8635</v>
      </c>
      <c r="U20" s="1616">
        <v>6258.3</v>
      </c>
      <c r="V20" s="1616">
        <v>20674</v>
      </c>
      <c r="W20" s="1616">
        <v>25655.3</v>
      </c>
      <c r="X20" s="1616">
        <v>10463</v>
      </c>
      <c r="Y20" s="1616">
        <v>8287.9</v>
      </c>
      <c r="Z20" s="1616">
        <v>6946.3</v>
      </c>
      <c r="AA20" s="1616">
        <v>10119.700000000001</v>
      </c>
      <c r="AB20" s="1616">
        <v>15578.3</v>
      </c>
      <c r="AC20" s="1616">
        <v>9584.5</v>
      </c>
      <c r="AD20" s="1616">
        <v>9567.7999999999993</v>
      </c>
      <c r="AE20" s="1616">
        <v>6192.5</v>
      </c>
      <c r="AF20" s="1616">
        <v>9786.4</v>
      </c>
      <c r="AG20" s="1616">
        <v>11166.5</v>
      </c>
      <c r="AH20" s="1616">
        <v>233598.4</v>
      </c>
      <c r="AI20" s="1616">
        <v>233820.5</v>
      </c>
      <c r="AJ20" s="1616">
        <v>3672.6</v>
      </c>
      <c r="AK20" s="1616">
        <v>100319.3</v>
      </c>
      <c r="AL20" s="1616">
        <v>129606.5</v>
      </c>
    </row>
    <row r="21" spans="1:38">
      <c r="A21" s="133">
        <v>1996</v>
      </c>
      <c r="B21" s="133" t="s">
        <v>11950</v>
      </c>
      <c r="C21" s="133" t="s">
        <v>11960</v>
      </c>
      <c r="D21" s="1616">
        <v>4235</v>
      </c>
      <c r="E21" s="1616">
        <v>408</v>
      </c>
      <c r="F21" s="1616">
        <v>80045.399999999994</v>
      </c>
      <c r="G21" s="1616">
        <v>8642</v>
      </c>
      <c r="H21" s="1616">
        <v>2767.1</v>
      </c>
      <c r="I21" s="1616">
        <v>2337.1</v>
      </c>
      <c r="J21" s="1616">
        <v>6810.8</v>
      </c>
      <c r="K21" s="1616">
        <v>3077.2</v>
      </c>
      <c r="L21" s="1616">
        <v>2429.4</v>
      </c>
      <c r="M21" s="1616">
        <v>6635.7</v>
      </c>
      <c r="N21" s="1616">
        <v>4170.3</v>
      </c>
      <c r="O21" s="1616">
        <v>8964.2999999999993</v>
      </c>
      <c r="P21" s="1616">
        <v>3757.3</v>
      </c>
      <c r="Q21" s="1616">
        <v>5237</v>
      </c>
      <c r="R21" s="1616">
        <v>5190.3999999999996</v>
      </c>
      <c r="S21" s="1616">
        <v>11046</v>
      </c>
      <c r="T21" s="1616">
        <v>8980.7000000000007</v>
      </c>
      <c r="U21" s="1616">
        <v>7085.1</v>
      </c>
      <c r="V21" s="1616">
        <v>22770.9</v>
      </c>
      <c r="W21" s="1616">
        <v>26270.799999999999</v>
      </c>
      <c r="X21" s="1616">
        <v>11082.1</v>
      </c>
      <c r="Y21" s="1616">
        <v>9120.7999999999993</v>
      </c>
      <c r="Z21" s="1616">
        <v>8282.7999999999993</v>
      </c>
      <c r="AA21" s="1616">
        <v>10142.5</v>
      </c>
      <c r="AB21" s="1616">
        <v>15701.2</v>
      </c>
      <c r="AC21" s="1616">
        <v>9978.9</v>
      </c>
      <c r="AD21" s="1616">
        <v>7580.1</v>
      </c>
      <c r="AE21" s="1616">
        <v>4622.6000000000004</v>
      </c>
      <c r="AF21" s="1616">
        <v>9347.9</v>
      </c>
      <c r="AG21" s="1616">
        <v>11098.7</v>
      </c>
      <c r="AH21" s="1616">
        <v>237772.7</v>
      </c>
      <c r="AI21" s="1616">
        <v>238011.8</v>
      </c>
      <c r="AJ21" s="1616">
        <v>4235</v>
      </c>
      <c r="AK21" s="1616">
        <v>103224.2</v>
      </c>
      <c r="AL21" s="1616">
        <v>130313.5</v>
      </c>
    </row>
    <row r="22" spans="1:38">
      <c r="A22" s="133">
        <v>1996</v>
      </c>
      <c r="B22" s="133" t="s">
        <v>11952</v>
      </c>
      <c r="C22" s="133" t="s">
        <v>11961</v>
      </c>
      <c r="D22" s="1616">
        <v>4141</v>
      </c>
      <c r="E22" s="1616">
        <v>466.3</v>
      </c>
      <c r="F22" s="1616">
        <v>84452</v>
      </c>
      <c r="G22" s="1616">
        <v>9303.5</v>
      </c>
      <c r="H22" s="1616">
        <v>2813.2</v>
      </c>
      <c r="I22" s="1616">
        <v>2454.6</v>
      </c>
      <c r="J22" s="1616">
        <v>7095.2</v>
      </c>
      <c r="K22" s="1616">
        <v>3299.4</v>
      </c>
      <c r="L22" s="1616">
        <v>2655.6</v>
      </c>
      <c r="M22" s="1616">
        <v>7004.5</v>
      </c>
      <c r="N22" s="1616">
        <v>4569.2</v>
      </c>
      <c r="O22" s="1616">
        <v>8977.5</v>
      </c>
      <c r="P22" s="1616">
        <v>4013.5</v>
      </c>
      <c r="Q22" s="1616">
        <v>5807.6</v>
      </c>
      <c r="R22" s="1616">
        <v>5320.3</v>
      </c>
      <c r="S22" s="1616">
        <v>11334.6</v>
      </c>
      <c r="T22" s="1616">
        <v>9803.2000000000007</v>
      </c>
      <c r="U22" s="1616">
        <v>6801.9</v>
      </c>
      <c r="V22" s="1616">
        <v>26218.799999999999</v>
      </c>
      <c r="W22" s="1616">
        <v>27189.8</v>
      </c>
      <c r="X22" s="1616">
        <v>11225.3</v>
      </c>
      <c r="Y22" s="1616">
        <v>8958.1</v>
      </c>
      <c r="Z22" s="1616">
        <v>7583.6</v>
      </c>
      <c r="AA22" s="1616">
        <v>10176.5</v>
      </c>
      <c r="AB22" s="1616">
        <v>15839.2</v>
      </c>
      <c r="AC22" s="1616">
        <v>9884.9</v>
      </c>
      <c r="AD22" s="1616">
        <v>9990.7000000000007</v>
      </c>
      <c r="AE22" s="1616">
        <v>6641</v>
      </c>
      <c r="AF22" s="1616">
        <v>10139.9</v>
      </c>
      <c r="AG22" s="1616">
        <v>11138.3</v>
      </c>
      <c r="AH22" s="1616">
        <v>250847.4</v>
      </c>
      <c r="AI22" s="1616">
        <v>251091.9</v>
      </c>
      <c r="AJ22" s="1616">
        <v>4141</v>
      </c>
      <c r="AK22" s="1616">
        <v>111137.2</v>
      </c>
      <c r="AL22" s="1616">
        <v>135569.20000000001</v>
      </c>
    </row>
    <row r="23" spans="1:38">
      <c r="A23" s="133">
        <v>1997</v>
      </c>
      <c r="B23" s="133" t="s">
        <v>11946</v>
      </c>
      <c r="C23" s="133" t="s">
        <v>11962</v>
      </c>
      <c r="D23" s="1616">
        <v>3492.8</v>
      </c>
      <c r="E23" s="1616">
        <v>418.3</v>
      </c>
      <c r="F23" s="1616">
        <v>82125.3</v>
      </c>
      <c r="G23" s="1616">
        <v>8061</v>
      </c>
      <c r="H23" s="1616">
        <v>2664.7</v>
      </c>
      <c r="I23" s="1616">
        <v>2350.8000000000002</v>
      </c>
      <c r="J23" s="1616">
        <v>7089.4</v>
      </c>
      <c r="K23" s="1616">
        <v>3440.8</v>
      </c>
      <c r="L23" s="1616">
        <v>2514</v>
      </c>
      <c r="M23" s="1616">
        <v>7007.3</v>
      </c>
      <c r="N23" s="1616">
        <v>3688.5</v>
      </c>
      <c r="O23" s="1616">
        <v>8837.7000000000007</v>
      </c>
      <c r="P23" s="1616">
        <v>3763.9</v>
      </c>
      <c r="Q23" s="1616">
        <v>5364.6</v>
      </c>
      <c r="R23" s="1616">
        <v>5520.1</v>
      </c>
      <c r="S23" s="1616">
        <v>12715.2</v>
      </c>
      <c r="T23" s="1616">
        <v>9107.2000000000007</v>
      </c>
      <c r="U23" s="1616">
        <v>6874.8</v>
      </c>
      <c r="V23" s="1616">
        <v>21730.1</v>
      </c>
      <c r="W23" s="1616">
        <v>27077.5</v>
      </c>
      <c r="X23" s="1616">
        <v>10635.8</v>
      </c>
      <c r="Y23" s="1616">
        <v>8373.2000000000007</v>
      </c>
      <c r="Z23" s="1616">
        <v>9694.1</v>
      </c>
      <c r="AA23" s="1616">
        <v>10427.5</v>
      </c>
      <c r="AB23" s="1616">
        <v>15714.4</v>
      </c>
      <c r="AC23" s="1616">
        <v>10541.3</v>
      </c>
      <c r="AD23" s="1616">
        <v>8407.4</v>
      </c>
      <c r="AE23" s="1616">
        <v>5072.7</v>
      </c>
      <c r="AF23" s="1616">
        <v>9483.2000000000007</v>
      </c>
      <c r="AG23" s="1616">
        <v>11258.7</v>
      </c>
      <c r="AH23" s="1616">
        <v>241327.2</v>
      </c>
      <c r="AI23" s="1616">
        <v>241653.2</v>
      </c>
      <c r="AJ23" s="1616">
        <v>3492.8</v>
      </c>
      <c r="AK23" s="1616">
        <v>104273.8</v>
      </c>
      <c r="AL23" s="1616">
        <v>133560.6</v>
      </c>
    </row>
    <row r="24" spans="1:38">
      <c r="A24" s="133">
        <v>1997</v>
      </c>
      <c r="B24" s="133" t="s">
        <v>11948</v>
      </c>
      <c r="C24" s="133" t="s">
        <v>11963</v>
      </c>
      <c r="D24" s="1616">
        <v>3761.6</v>
      </c>
      <c r="E24" s="1616">
        <v>397</v>
      </c>
      <c r="F24" s="1616">
        <v>83460.2</v>
      </c>
      <c r="G24" s="1616">
        <v>9279.2999999999993</v>
      </c>
      <c r="H24" s="1616">
        <v>2857.8</v>
      </c>
      <c r="I24" s="1616">
        <v>2430.5</v>
      </c>
      <c r="J24" s="1616">
        <v>7245.7</v>
      </c>
      <c r="K24" s="1616">
        <v>3151.6</v>
      </c>
      <c r="L24" s="1616">
        <v>2497.4</v>
      </c>
      <c r="M24" s="1616">
        <v>7408.7</v>
      </c>
      <c r="N24" s="1616">
        <v>4053</v>
      </c>
      <c r="O24" s="1616">
        <v>9511.7999999999993</v>
      </c>
      <c r="P24" s="1616">
        <v>4292.3</v>
      </c>
      <c r="Q24" s="1616">
        <v>5201.2</v>
      </c>
      <c r="R24" s="1616">
        <v>5343.2</v>
      </c>
      <c r="S24" s="1616">
        <v>11072.1</v>
      </c>
      <c r="T24" s="1616">
        <v>9115.5</v>
      </c>
      <c r="U24" s="1616">
        <v>6707</v>
      </c>
      <c r="V24" s="1616">
        <v>19788.3</v>
      </c>
      <c r="W24" s="1616">
        <v>26480.2</v>
      </c>
      <c r="X24" s="1616">
        <v>10607.6</v>
      </c>
      <c r="Y24" s="1616">
        <v>8508.5</v>
      </c>
      <c r="Z24" s="1616">
        <v>7548.9</v>
      </c>
      <c r="AA24" s="1616">
        <v>10129.700000000001</v>
      </c>
      <c r="AB24" s="1616">
        <v>16034.7</v>
      </c>
      <c r="AC24" s="1616">
        <v>10086.1</v>
      </c>
      <c r="AD24" s="1616">
        <v>9842.9</v>
      </c>
      <c r="AE24" s="1616">
        <v>6298.3</v>
      </c>
      <c r="AF24" s="1616">
        <v>10088.6</v>
      </c>
      <c r="AG24" s="1616">
        <v>11333.6</v>
      </c>
      <c r="AH24" s="1616">
        <v>241073.2</v>
      </c>
      <c r="AI24" s="1616">
        <v>241117.7</v>
      </c>
      <c r="AJ24" s="1616">
        <v>3761.6</v>
      </c>
      <c r="AK24" s="1616">
        <v>103645.5</v>
      </c>
      <c r="AL24" s="1616">
        <v>133666.1</v>
      </c>
    </row>
    <row r="25" spans="1:38">
      <c r="A25" s="133">
        <v>1997</v>
      </c>
      <c r="B25" s="133" t="s">
        <v>11950</v>
      </c>
      <c r="C25" s="133" t="s">
        <v>11964</v>
      </c>
      <c r="D25" s="1616">
        <v>4191.6000000000004</v>
      </c>
      <c r="E25" s="1616">
        <v>391.2</v>
      </c>
      <c r="F25" s="1616">
        <v>82692.899999999994</v>
      </c>
      <c r="G25" s="1616">
        <v>8787.9</v>
      </c>
      <c r="H25" s="1616">
        <v>2639.2</v>
      </c>
      <c r="I25" s="1616">
        <v>2360.1</v>
      </c>
      <c r="J25" s="1616">
        <v>7108.1</v>
      </c>
      <c r="K25" s="1616">
        <v>3318.1</v>
      </c>
      <c r="L25" s="1616">
        <v>2417.9</v>
      </c>
      <c r="M25" s="1616">
        <v>7267.4</v>
      </c>
      <c r="N25" s="1616">
        <v>4022.1</v>
      </c>
      <c r="O25" s="1616">
        <v>9365.7999999999993</v>
      </c>
      <c r="P25" s="1616">
        <v>4501.7</v>
      </c>
      <c r="Q25" s="1616">
        <v>5317.1</v>
      </c>
      <c r="R25" s="1616">
        <v>5373.2</v>
      </c>
      <c r="S25" s="1616">
        <v>11292.7</v>
      </c>
      <c r="T25" s="1616">
        <v>8921.4</v>
      </c>
      <c r="U25" s="1616">
        <v>7634.3</v>
      </c>
      <c r="V25" s="1616">
        <v>21607.9</v>
      </c>
      <c r="W25" s="1616">
        <v>26588.400000000001</v>
      </c>
      <c r="X25" s="1616">
        <v>11259</v>
      </c>
      <c r="Y25" s="1616">
        <v>9488.2999999999993</v>
      </c>
      <c r="Z25" s="1616">
        <v>9267</v>
      </c>
      <c r="AA25" s="1616">
        <v>10196.200000000001</v>
      </c>
      <c r="AB25" s="1616">
        <v>16089.6</v>
      </c>
      <c r="AC25" s="1616">
        <v>10420.4</v>
      </c>
      <c r="AD25" s="1616">
        <v>7709.9</v>
      </c>
      <c r="AE25" s="1616">
        <v>4659.3</v>
      </c>
      <c r="AF25" s="1616">
        <v>9520.2999999999993</v>
      </c>
      <c r="AG25" s="1616">
        <v>11259.9</v>
      </c>
      <c r="AH25" s="1616">
        <v>242976.1</v>
      </c>
      <c r="AI25" s="1616">
        <v>243001.4</v>
      </c>
      <c r="AJ25" s="1616">
        <v>4191.6000000000004</v>
      </c>
      <c r="AK25" s="1616">
        <v>104691.9</v>
      </c>
      <c r="AL25" s="1616">
        <v>134092.6</v>
      </c>
    </row>
    <row r="26" spans="1:38">
      <c r="A26" s="133">
        <v>1997</v>
      </c>
      <c r="B26" s="133" t="s">
        <v>11952</v>
      </c>
      <c r="C26" s="133" t="s">
        <v>11965</v>
      </c>
      <c r="D26" s="1616">
        <v>3845</v>
      </c>
      <c r="E26" s="1616">
        <v>423.6</v>
      </c>
      <c r="F26" s="1616">
        <v>83584.399999999994</v>
      </c>
      <c r="G26" s="1616">
        <v>9190.7000000000007</v>
      </c>
      <c r="H26" s="1616">
        <v>2614.3000000000002</v>
      </c>
      <c r="I26" s="1616">
        <v>2443.8000000000002</v>
      </c>
      <c r="J26" s="1616">
        <v>7350.6</v>
      </c>
      <c r="K26" s="1616">
        <v>3441.8</v>
      </c>
      <c r="L26" s="1616">
        <v>2564.9</v>
      </c>
      <c r="M26" s="1616">
        <v>7356.9</v>
      </c>
      <c r="N26" s="1616">
        <v>4249.3999999999996</v>
      </c>
      <c r="O26" s="1616">
        <v>9252</v>
      </c>
      <c r="P26" s="1616">
        <v>4351.7</v>
      </c>
      <c r="Q26" s="1616">
        <v>5627.3</v>
      </c>
      <c r="R26" s="1616">
        <v>5051.8</v>
      </c>
      <c r="S26" s="1616">
        <v>10763.2</v>
      </c>
      <c r="T26" s="1616">
        <v>9326</v>
      </c>
      <c r="U26" s="1616">
        <v>7045.9</v>
      </c>
      <c r="V26" s="1616">
        <v>24626.7</v>
      </c>
      <c r="W26" s="1616">
        <v>27728.2</v>
      </c>
      <c r="X26" s="1616">
        <v>11234</v>
      </c>
      <c r="Y26" s="1616">
        <v>9247</v>
      </c>
      <c r="Z26" s="1616">
        <v>8168.1</v>
      </c>
      <c r="AA26" s="1616">
        <v>9971.4</v>
      </c>
      <c r="AB26" s="1616">
        <v>16140.7</v>
      </c>
      <c r="AC26" s="1616">
        <v>10353.700000000001</v>
      </c>
      <c r="AD26" s="1616">
        <v>10311.6</v>
      </c>
      <c r="AE26" s="1616">
        <v>6787.3</v>
      </c>
      <c r="AF26" s="1616">
        <v>10365</v>
      </c>
      <c r="AG26" s="1616">
        <v>11325.5</v>
      </c>
      <c r="AH26" s="1616">
        <v>251158.1</v>
      </c>
      <c r="AI26" s="1616">
        <v>251080.4</v>
      </c>
      <c r="AJ26" s="1616">
        <v>3845</v>
      </c>
      <c r="AK26" s="1616">
        <v>108634.7</v>
      </c>
      <c r="AL26" s="1616">
        <v>138678.39999999999</v>
      </c>
    </row>
    <row r="27" spans="1:38">
      <c r="A27" s="133">
        <v>1998</v>
      </c>
      <c r="B27" s="133" t="s">
        <v>11946</v>
      </c>
      <c r="C27" s="133" t="s">
        <v>11966</v>
      </c>
      <c r="D27" s="1616">
        <v>3338.6</v>
      </c>
      <c r="E27" s="1616">
        <v>388.9</v>
      </c>
      <c r="F27" s="1616">
        <v>79048.800000000003</v>
      </c>
      <c r="G27" s="1616">
        <v>8211.2999999999993</v>
      </c>
      <c r="H27" s="1616">
        <v>2557.3000000000002</v>
      </c>
      <c r="I27" s="1616">
        <v>2361.8000000000002</v>
      </c>
      <c r="J27" s="1616">
        <v>6807.8</v>
      </c>
      <c r="K27" s="1616">
        <v>3203.6</v>
      </c>
      <c r="L27" s="1616">
        <v>2360.1999999999998</v>
      </c>
      <c r="M27" s="1616">
        <v>6568</v>
      </c>
      <c r="N27" s="1616">
        <v>3341.6</v>
      </c>
      <c r="O27" s="1616">
        <v>9093.4</v>
      </c>
      <c r="P27" s="1616">
        <v>3770.3</v>
      </c>
      <c r="Q27" s="1616">
        <v>4979.6000000000004</v>
      </c>
      <c r="R27" s="1616">
        <v>5401.2</v>
      </c>
      <c r="S27" s="1616">
        <v>11746.2</v>
      </c>
      <c r="T27" s="1616">
        <v>8646.4</v>
      </c>
      <c r="U27" s="1616">
        <v>7155.2</v>
      </c>
      <c r="V27" s="1616">
        <v>19996.900000000001</v>
      </c>
      <c r="W27" s="1616">
        <v>25812.6</v>
      </c>
      <c r="X27" s="1616">
        <v>10441</v>
      </c>
      <c r="Y27" s="1616">
        <v>8504.2999999999993</v>
      </c>
      <c r="Z27" s="1616">
        <v>11060.6</v>
      </c>
      <c r="AA27" s="1616">
        <v>9996.7999999999993</v>
      </c>
      <c r="AB27" s="1616">
        <v>16066.1</v>
      </c>
      <c r="AC27" s="1616">
        <v>11252</v>
      </c>
      <c r="AD27" s="1616">
        <v>8559.6</v>
      </c>
      <c r="AE27" s="1616">
        <v>5162.2</v>
      </c>
      <c r="AF27" s="1616">
        <v>9609.6</v>
      </c>
      <c r="AG27" s="1616">
        <v>11149.9</v>
      </c>
      <c r="AH27" s="1616">
        <v>237543</v>
      </c>
      <c r="AI27" s="1616">
        <v>237600.5</v>
      </c>
      <c r="AJ27" s="1616">
        <v>3338.6</v>
      </c>
      <c r="AK27" s="1616">
        <v>99434.6</v>
      </c>
      <c r="AL27" s="1616">
        <v>134769.9</v>
      </c>
    </row>
    <row r="28" spans="1:38">
      <c r="A28" s="133">
        <v>1998</v>
      </c>
      <c r="B28" s="133" t="s">
        <v>11948</v>
      </c>
      <c r="C28" s="133" t="s">
        <v>11967</v>
      </c>
      <c r="D28" s="1616">
        <v>3641.5</v>
      </c>
      <c r="E28" s="1616">
        <v>342.1</v>
      </c>
      <c r="F28" s="1616">
        <v>77545.2</v>
      </c>
      <c r="G28" s="1616">
        <v>9248.2999999999993</v>
      </c>
      <c r="H28" s="1616">
        <v>2621.8</v>
      </c>
      <c r="I28" s="1616">
        <v>2300.8000000000002</v>
      </c>
      <c r="J28" s="1616">
        <v>6762.7</v>
      </c>
      <c r="K28" s="1616">
        <v>2813.7</v>
      </c>
      <c r="L28" s="1616">
        <v>2259.1999999999998</v>
      </c>
      <c r="M28" s="1616">
        <v>6388.7</v>
      </c>
      <c r="N28" s="1616">
        <v>3720.8</v>
      </c>
      <c r="O28" s="1616">
        <v>9303</v>
      </c>
      <c r="P28" s="1616">
        <v>4102.3999999999996</v>
      </c>
      <c r="Q28" s="1616">
        <v>4778.8</v>
      </c>
      <c r="R28" s="1616">
        <v>4650.8</v>
      </c>
      <c r="S28" s="1616">
        <v>10316.799999999999</v>
      </c>
      <c r="T28" s="1616">
        <v>8277.2999999999993</v>
      </c>
      <c r="U28" s="1616">
        <v>6679.5</v>
      </c>
      <c r="V28" s="1616">
        <v>18081.900000000001</v>
      </c>
      <c r="W28" s="1616">
        <v>25339.7</v>
      </c>
      <c r="X28" s="1616">
        <v>10470.700000000001</v>
      </c>
      <c r="Y28" s="1616">
        <v>8609.7000000000007</v>
      </c>
      <c r="Z28" s="1616">
        <v>8333.5</v>
      </c>
      <c r="AA28" s="1616">
        <v>9803.4</v>
      </c>
      <c r="AB28" s="1616">
        <v>16179.3</v>
      </c>
      <c r="AC28" s="1616">
        <v>10438.700000000001</v>
      </c>
      <c r="AD28" s="1616">
        <v>9953.7000000000007</v>
      </c>
      <c r="AE28" s="1616">
        <v>6295.7</v>
      </c>
      <c r="AF28" s="1616">
        <v>10323.6</v>
      </c>
      <c r="AG28" s="1616">
        <v>11194.8</v>
      </c>
      <c r="AH28" s="1616">
        <v>233233.1</v>
      </c>
      <c r="AI28" s="1616">
        <v>233228.79999999999</v>
      </c>
      <c r="AJ28" s="1616">
        <v>3641.5</v>
      </c>
      <c r="AK28" s="1616">
        <v>95969.3</v>
      </c>
      <c r="AL28" s="1616">
        <v>133622.29999999999</v>
      </c>
    </row>
    <row r="29" spans="1:38">
      <c r="A29" s="133">
        <v>1998</v>
      </c>
      <c r="B29" s="133" t="s">
        <v>11950</v>
      </c>
      <c r="C29" s="133" t="s">
        <v>11968</v>
      </c>
      <c r="D29" s="1616">
        <v>3973.2</v>
      </c>
      <c r="E29" s="1616">
        <v>355.8</v>
      </c>
      <c r="F29" s="1616">
        <v>76953.8</v>
      </c>
      <c r="G29" s="1616">
        <v>8786.2000000000007</v>
      </c>
      <c r="H29" s="1616">
        <v>2379</v>
      </c>
      <c r="I29" s="1616">
        <v>2185.1999999999998</v>
      </c>
      <c r="J29" s="1616">
        <v>6825.2</v>
      </c>
      <c r="K29" s="1616">
        <v>3061.8</v>
      </c>
      <c r="L29" s="1616">
        <v>2205.1</v>
      </c>
      <c r="M29" s="1616">
        <v>6185.5</v>
      </c>
      <c r="N29" s="1616">
        <v>3734.5</v>
      </c>
      <c r="O29" s="1616">
        <v>8699.9</v>
      </c>
      <c r="P29" s="1616">
        <v>4039.9</v>
      </c>
      <c r="Q29" s="1616">
        <v>4841.1000000000004</v>
      </c>
      <c r="R29" s="1616">
        <v>4812.6000000000004</v>
      </c>
      <c r="S29" s="1616">
        <v>10795.8</v>
      </c>
      <c r="T29" s="1616">
        <v>8401.9</v>
      </c>
      <c r="U29" s="1616">
        <v>7558.1</v>
      </c>
      <c r="V29" s="1616">
        <v>20165.599999999999</v>
      </c>
      <c r="W29" s="1616">
        <v>26329.7</v>
      </c>
      <c r="X29" s="1616">
        <v>11105.3</v>
      </c>
      <c r="Y29" s="1616">
        <v>9517.1</v>
      </c>
      <c r="Z29" s="1616">
        <v>9767.6</v>
      </c>
      <c r="AA29" s="1616">
        <v>9984.7999999999993</v>
      </c>
      <c r="AB29" s="1616">
        <v>16141.4</v>
      </c>
      <c r="AC29" s="1616">
        <v>10601.8</v>
      </c>
      <c r="AD29" s="1616">
        <v>7813.1</v>
      </c>
      <c r="AE29" s="1616">
        <v>4651.6000000000004</v>
      </c>
      <c r="AF29" s="1616">
        <v>9734.4</v>
      </c>
      <c r="AG29" s="1616">
        <v>11121.8</v>
      </c>
      <c r="AH29" s="1616">
        <v>235775.1</v>
      </c>
      <c r="AI29" s="1616">
        <v>235872.2</v>
      </c>
      <c r="AJ29" s="1616">
        <v>3973.2</v>
      </c>
      <c r="AK29" s="1616">
        <v>97475.199999999997</v>
      </c>
      <c r="AL29" s="1616">
        <v>134326.6</v>
      </c>
    </row>
    <row r="30" spans="1:38">
      <c r="A30" s="133">
        <v>1998</v>
      </c>
      <c r="B30" s="133" t="s">
        <v>11952</v>
      </c>
      <c r="C30" s="133" t="s">
        <v>11969</v>
      </c>
      <c r="D30" s="1616">
        <v>4431.3999999999996</v>
      </c>
      <c r="E30" s="1616">
        <v>395.3</v>
      </c>
      <c r="F30" s="1616">
        <v>78119.7</v>
      </c>
      <c r="G30" s="1616">
        <v>9394.9</v>
      </c>
      <c r="H30" s="1616">
        <v>2357.9</v>
      </c>
      <c r="I30" s="1616">
        <v>2267.8000000000002</v>
      </c>
      <c r="J30" s="1616">
        <v>7027.5</v>
      </c>
      <c r="K30" s="1616">
        <v>3108.2</v>
      </c>
      <c r="L30" s="1616">
        <v>2316.9</v>
      </c>
      <c r="M30" s="1616">
        <v>6103.4</v>
      </c>
      <c r="N30" s="1616">
        <v>4094.9</v>
      </c>
      <c r="O30" s="1616">
        <v>8087.3</v>
      </c>
      <c r="P30" s="1616">
        <v>4213.3</v>
      </c>
      <c r="Q30" s="1616">
        <v>5026.8999999999996</v>
      </c>
      <c r="R30" s="1616">
        <v>4685.8</v>
      </c>
      <c r="S30" s="1616">
        <v>10399.4</v>
      </c>
      <c r="T30" s="1616">
        <v>9035.5</v>
      </c>
      <c r="U30" s="1616">
        <v>6922.9</v>
      </c>
      <c r="V30" s="1616">
        <v>24382.2</v>
      </c>
      <c r="W30" s="1616">
        <v>27268.5</v>
      </c>
      <c r="X30" s="1616">
        <v>10830.5</v>
      </c>
      <c r="Y30" s="1616">
        <v>9226.6</v>
      </c>
      <c r="Z30" s="1616">
        <v>8551.4</v>
      </c>
      <c r="AA30" s="1616">
        <v>9846.2000000000007</v>
      </c>
      <c r="AB30" s="1616">
        <v>16217.9</v>
      </c>
      <c r="AC30" s="1616">
        <v>10405.799999999999</v>
      </c>
      <c r="AD30" s="1616">
        <v>10426.700000000001</v>
      </c>
      <c r="AE30" s="1616">
        <v>6760.2</v>
      </c>
      <c r="AF30" s="1616">
        <v>10681.3</v>
      </c>
      <c r="AG30" s="1616">
        <v>11196.3</v>
      </c>
      <c r="AH30" s="1616">
        <v>245663</v>
      </c>
      <c r="AI30" s="1616">
        <v>245547.5</v>
      </c>
      <c r="AJ30" s="1616">
        <v>4431.3999999999996</v>
      </c>
      <c r="AK30" s="1616">
        <v>102897.2</v>
      </c>
      <c r="AL30" s="1616">
        <v>138334.39999999999</v>
      </c>
    </row>
    <row r="31" spans="1:38">
      <c r="A31" s="133">
        <v>1999</v>
      </c>
      <c r="B31" s="133" t="s">
        <v>11946</v>
      </c>
      <c r="C31" s="133" t="s">
        <v>11970</v>
      </c>
      <c r="D31" s="1616">
        <v>3494.6</v>
      </c>
      <c r="E31" s="1616">
        <v>364</v>
      </c>
      <c r="F31" s="1616">
        <v>72312.7</v>
      </c>
      <c r="G31" s="1616">
        <v>8018.7</v>
      </c>
      <c r="H31" s="1616">
        <v>2176.9</v>
      </c>
      <c r="I31" s="1616">
        <v>2130.4</v>
      </c>
      <c r="J31" s="1616">
        <v>6575.1</v>
      </c>
      <c r="K31" s="1616">
        <v>2773</v>
      </c>
      <c r="L31" s="1616">
        <v>2145.6999999999998</v>
      </c>
      <c r="M31" s="1616">
        <v>5270.4</v>
      </c>
      <c r="N31" s="1616">
        <v>2877.7</v>
      </c>
      <c r="O31" s="1616">
        <v>7969.2</v>
      </c>
      <c r="P31" s="1616">
        <v>3523.5</v>
      </c>
      <c r="Q31" s="1616">
        <v>4361.8</v>
      </c>
      <c r="R31" s="1616">
        <v>5056.8999999999996</v>
      </c>
      <c r="S31" s="1616">
        <v>11408.6</v>
      </c>
      <c r="T31" s="1616">
        <v>8024.6</v>
      </c>
      <c r="U31" s="1616">
        <v>7164</v>
      </c>
      <c r="V31" s="1616">
        <v>19187.099999999999</v>
      </c>
      <c r="W31" s="1616">
        <v>25958.5</v>
      </c>
      <c r="X31" s="1616">
        <v>10063.4</v>
      </c>
      <c r="Y31" s="1616">
        <v>8582.4</v>
      </c>
      <c r="Z31" s="1616">
        <v>11838.7</v>
      </c>
      <c r="AA31" s="1616">
        <v>9805.7000000000007</v>
      </c>
      <c r="AB31" s="1616">
        <v>16159.1</v>
      </c>
      <c r="AC31" s="1616">
        <v>10760.7</v>
      </c>
      <c r="AD31" s="1616">
        <v>8603.4</v>
      </c>
      <c r="AE31" s="1616">
        <v>5139.7</v>
      </c>
      <c r="AF31" s="1616">
        <v>10137.9</v>
      </c>
      <c r="AG31" s="1616">
        <v>11172.7</v>
      </c>
      <c r="AH31" s="1616">
        <v>230744.5</v>
      </c>
      <c r="AI31" s="1616">
        <v>230816.5</v>
      </c>
      <c r="AJ31" s="1616">
        <v>3494.6</v>
      </c>
      <c r="AK31" s="1616">
        <v>91863.7</v>
      </c>
      <c r="AL31" s="1616">
        <v>135386.29999999999</v>
      </c>
    </row>
    <row r="32" spans="1:38">
      <c r="A32" s="133">
        <v>1999</v>
      </c>
      <c r="B32" s="133" t="s">
        <v>11948</v>
      </c>
      <c r="C32" s="133" t="s">
        <v>11971</v>
      </c>
      <c r="D32" s="1616">
        <v>3547.1</v>
      </c>
      <c r="E32" s="1616">
        <v>326</v>
      </c>
      <c r="F32" s="1616">
        <v>72657</v>
      </c>
      <c r="G32" s="1616">
        <v>9056.2000000000007</v>
      </c>
      <c r="H32" s="1616">
        <v>2322.4</v>
      </c>
      <c r="I32" s="1616">
        <v>2174.1</v>
      </c>
      <c r="J32" s="1616">
        <v>6660.4</v>
      </c>
      <c r="K32" s="1616">
        <v>2640.3</v>
      </c>
      <c r="L32" s="1616">
        <v>2052.8000000000002</v>
      </c>
      <c r="M32" s="1616">
        <v>5633.5</v>
      </c>
      <c r="N32" s="1616">
        <v>3378.6</v>
      </c>
      <c r="O32" s="1616">
        <v>8317</v>
      </c>
      <c r="P32" s="1616">
        <v>4249.3999999999996</v>
      </c>
      <c r="Q32" s="1616">
        <v>4357.3</v>
      </c>
      <c r="R32" s="1616">
        <v>4381.8999999999996</v>
      </c>
      <c r="S32" s="1616">
        <v>9642.7999999999993</v>
      </c>
      <c r="T32" s="1616">
        <v>7790.3</v>
      </c>
      <c r="U32" s="1616">
        <v>6662.1</v>
      </c>
      <c r="V32" s="1616">
        <v>18108.3</v>
      </c>
      <c r="W32" s="1616">
        <v>25790</v>
      </c>
      <c r="X32" s="1616">
        <v>10230.200000000001</v>
      </c>
      <c r="Y32" s="1616">
        <v>8607.7999999999993</v>
      </c>
      <c r="Z32" s="1616">
        <v>8580.1</v>
      </c>
      <c r="AA32" s="1616">
        <v>9685.1</v>
      </c>
      <c r="AB32" s="1616">
        <v>16247.2</v>
      </c>
      <c r="AC32" s="1616">
        <v>10107.200000000001</v>
      </c>
      <c r="AD32" s="1616">
        <v>10230.700000000001</v>
      </c>
      <c r="AE32" s="1616">
        <v>6376.7</v>
      </c>
      <c r="AF32" s="1616">
        <v>10512</v>
      </c>
      <c r="AG32" s="1616">
        <v>11118.6</v>
      </c>
      <c r="AH32" s="1616">
        <v>228786</v>
      </c>
      <c r="AI32" s="1616">
        <v>228864.6</v>
      </c>
      <c r="AJ32" s="1616">
        <v>3547.1</v>
      </c>
      <c r="AK32" s="1616">
        <v>91091.3</v>
      </c>
      <c r="AL32" s="1616">
        <v>134147.70000000001</v>
      </c>
    </row>
    <row r="33" spans="1:38">
      <c r="A33" s="133">
        <v>1999</v>
      </c>
      <c r="B33" s="133" t="s">
        <v>11950</v>
      </c>
      <c r="C33" s="133" t="s">
        <v>11972</v>
      </c>
      <c r="D33" s="1616">
        <v>4231.6000000000004</v>
      </c>
      <c r="E33" s="1616">
        <v>333.4</v>
      </c>
      <c r="F33" s="1616">
        <v>74156.899999999994</v>
      </c>
      <c r="G33" s="1616">
        <v>8735.1</v>
      </c>
      <c r="H33" s="1616">
        <v>2138.6</v>
      </c>
      <c r="I33" s="1616">
        <v>2160.4</v>
      </c>
      <c r="J33" s="1616">
        <v>6733.7</v>
      </c>
      <c r="K33" s="1616">
        <v>2981.5</v>
      </c>
      <c r="L33" s="1616">
        <v>2052.6999999999998</v>
      </c>
      <c r="M33" s="1616">
        <v>5719.8</v>
      </c>
      <c r="N33" s="1616">
        <v>3408.1</v>
      </c>
      <c r="O33" s="1616">
        <v>8129.8</v>
      </c>
      <c r="P33" s="1616">
        <v>4434.3999999999996</v>
      </c>
      <c r="Q33" s="1616">
        <v>4495.8999999999996</v>
      </c>
      <c r="R33" s="1616">
        <v>4669.5</v>
      </c>
      <c r="S33" s="1616">
        <v>10210.6</v>
      </c>
      <c r="T33" s="1616">
        <v>8286.7999999999993</v>
      </c>
      <c r="U33" s="1616">
        <v>7625</v>
      </c>
      <c r="V33" s="1616">
        <v>19760.599999999999</v>
      </c>
      <c r="W33" s="1616">
        <v>25691.3</v>
      </c>
      <c r="X33" s="1616">
        <v>10926.7</v>
      </c>
      <c r="Y33" s="1616">
        <v>9522.7999999999993</v>
      </c>
      <c r="Z33" s="1616">
        <v>10870</v>
      </c>
      <c r="AA33" s="1616">
        <v>9699.4</v>
      </c>
      <c r="AB33" s="1616">
        <v>16181.7</v>
      </c>
      <c r="AC33" s="1616">
        <v>10537.6</v>
      </c>
      <c r="AD33" s="1616">
        <v>7973</v>
      </c>
      <c r="AE33" s="1616">
        <v>4699.7</v>
      </c>
      <c r="AF33" s="1616">
        <v>10016.299999999999</v>
      </c>
      <c r="AG33" s="1616">
        <v>11044</v>
      </c>
      <c r="AH33" s="1616">
        <v>233269.9</v>
      </c>
      <c r="AI33" s="1616">
        <v>233412.2</v>
      </c>
      <c r="AJ33" s="1616">
        <v>4231.6000000000004</v>
      </c>
      <c r="AK33" s="1616">
        <v>94250.9</v>
      </c>
      <c r="AL33" s="1616">
        <v>134787.29999999999</v>
      </c>
    </row>
    <row r="34" spans="1:38">
      <c r="A34" s="133">
        <v>1999</v>
      </c>
      <c r="B34" s="133" t="s">
        <v>11952</v>
      </c>
      <c r="C34" s="133" t="s">
        <v>11973</v>
      </c>
      <c r="D34" s="1616">
        <v>3741.5</v>
      </c>
      <c r="E34" s="1616">
        <v>378.3</v>
      </c>
      <c r="F34" s="1616">
        <v>77244.5</v>
      </c>
      <c r="G34" s="1616">
        <v>9351.7000000000007</v>
      </c>
      <c r="H34" s="1616">
        <v>2113.6999999999998</v>
      </c>
      <c r="I34" s="1616">
        <v>2298.1999999999998</v>
      </c>
      <c r="J34" s="1616">
        <v>7133.9</v>
      </c>
      <c r="K34" s="1616">
        <v>3277.8</v>
      </c>
      <c r="L34" s="1616">
        <v>2254.9</v>
      </c>
      <c r="M34" s="1616">
        <v>5984.2</v>
      </c>
      <c r="N34" s="1616">
        <v>3864.6</v>
      </c>
      <c r="O34" s="1616">
        <v>7847.6</v>
      </c>
      <c r="P34" s="1616">
        <v>4922.5</v>
      </c>
      <c r="Q34" s="1616">
        <v>4829</v>
      </c>
      <c r="R34" s="1616">
        <v>4619.8999999999996</v>
      </c>
      <c r="S34" s="1616">
        <v>10244.1</v>
      </c>
      <c r="T34" s="1616">
        <v>8502.2999999999993</v>
      </c>
      <c r="U34" s="1616">
        <v>7027.5</v>
      </c>
      <c r="V34" s="1616">
        <v>22222.2</v>
      </c>
      <c r="W34" s="1616">
        <v>27043.7</v>
      </c>
      <c r="X34" s="1616">
        <v>10841.6</v>
      </c>
      <c r="Y34" s="1616">
        <v>9219.4</v>
      </c>
      <c r="Z34" s="1616">
        <v>9354.7999999999993</v>
      </c>
      <c r="AA34" s="1616">
        <v>9738.4</v>
      </c>
      <c r="AB34" s="1616">
        <v>16308.2</v>
      </c>
      <c r="AC34" s="1616">
        <v>10775.7</v>
      </c>
      <c r="AD34" s="1616">
        <v>10345.5</v>
      </c>
      <c r="AE34" s="1616">
        <v>6605.9</v>
      </c>
      <c r="AF34" s="1616">
        <v>10897.3</v>
      </c>
      <c r="AG34" s="1616">
        <v>11115.1</v>
      </c>
      <c r="AH34" s="1616">
        <v>242859.5</v>
      </c>
      <c r="AI34" s="1616">
        <v>242958.8</v>
      </c>
      <c r="AJ34" s="1616">
        <v>3741.5</v>
      </c>
      <c r="AK34" s="1616">
        <v>99844.9</v>
      </c>
      <c r="AL34" s="1616">
        <v>139273.1</v>
      </c>
    </row>
    <row r="35" spans="1:38">
      <c r="A35" s="133">
        <v>2000</v>
      </c>
      <c r="B35" s="133" t="s">
        <v>11946</v>
      </c>
      <c r="C35" s="133" t="s">
        <v>11974</v>
      </c>
      <c r="D35" s="1616">
        <v>3374.2</v>
      </c>
      <c r="E35" s="1616">
        <v>355.6</v>
      </c>
      <c r="F35" s="1616">
        <v>74788.399999999994</v>
      </c>
      <c r="G35" s="1616">
        <v>7915.1</v>
      </c>
      <c r="H35" s="1616">
        <v>2017.9</v>
      </c>
      <c r="I35" s="1616">
        <v>2174.8000000000002</v>
      </c>
      <c r="J35" s="1616">
        <v>6782.7</v>
      </c>
      <c r="K35" s="1616">
        <v>3277.5</v>
      </c>
      <c r="L35" s="1616">
        <v>2096.5</v>
      </c>
      <c r="M35" s="1616">
        <v>5818.1</v>
      </c>
      <c r="N35" s="1616">
        <v>2828.9</v>
      </c>
      <c r="O35" s="1616">
        <v>8572.6</v>
      </c>
      <c r="P35" s="1616">
        <v>4208.6000000000004</v>
      </c>
      <c r="Q35" s="1616">
        <v>4651.1000000000004</v>
      </c>
      <c r="R35" s="1616">
        <v>5193.3</v>
      </c>
      <c r="S35" s="1616">
        <v>11020.2</v>
      </c>
      <c r="T35" s="1616">
        <v>8231.2999999999993</v>
      </c>
      <c r="U35" s="1616">
        <v>7222.5</v>
      </c>
      <c r="V35" s="1616">
        <v>18571</v>
      </c>
      <c r="W35" s="1616">
        <v>26222</v>
      </c>
      <c r="X35" s="1616">
        <v>10155.5</v>
      </c>
      <c r="Y35" s="1616">
        <v>8643.6</v>
      </c>
      <c r="Z35" s="1616">
        <v>12120.2</v>
      </c>
      <c r="AA35" s="1616">
        <v>10003</v>
      </c>
      <c r="AB35" s="1616">
        <v>16398.400000000001</v>
      </c>
      <c r="AC35" s="1616">
        <v>11782.6</v>
      </c>
      <c r="AD35" s="1616">
        <v>8801.6</v>
      </c>
      <c r="AE35" s="1616">
        <v>5160.3</v>
      </c>
      <c r="AF35" s="1616">
        <v>10391.200000000001</v>
      </c>
      <c r="AG35" s="1616">
        <v>11470.7</v>
      </c>
      <c r="AH35" s="1616">
        <v>235460.8</v>
      </c>
      <c r="AI35" s="1616">
        <v>235581.4</v>
      </c>
      <c r="AJ35" s="1616">
        <v>3374.2</v>
      </c>
      <c r="AK35" s="1616">
        <v>93715</v>
      </c>
      <c r="AL35" s="1616">
        <v>138371.70000000001</v>
      </c>
    </row>
    <row r="36" spans="1:38">
      <c r="A36" s="133">
        <v>2000</v>
      </c>
      <c r="B36" s="133" t="s">
        <v>11948</v>
      </c>
      <c r="C36" s="133" t="s">
        <v>11975</v>
      </c>
      <c r="D36" s="1616">
        <v>3562.6</v>
      </c>
      <c r="E36" s="1616">
        <v>324.2</v>
      </c>
      <c r="F36" s="1616">
        <v>75573.5</v>
      </c>
      <c r="G36" s="1616">
        <v>8883.1</v>
      </c>
      <c r="H36" s="1616">
        <v>2106.4</v>
      </c>
      <c r="I36" s="1616">
        <v>2253.6999999999998</v>
      </c>
      <c r="J36" s="1616">
        <v>6885.1</v>
      </c>
      <c r="K36" s="1616">
        <v>2999.3</v>
      </c>
      <c r="L36" s="1616">
        <v>2051.1</v>
      </c>
      <c r="M36" s="1616">
        <v>6160.3</v>
      </c>
      <c r="N36" s="1616">
        <v>3171.3</v>
      </c>
      <c r="O36" s="1616">
        <v>8442.5</v>
      </c>
      <c r="P36" s="1616">
        <v>4900.5</v>
      </c>
      <c r="Q36" s="1616">
        <v>4522.6000000000004</v>
      </c>
      <c r="R36" s="1616">
        <v>4597.8999999999996</v>
      </c>
      <c r="S36" s="1616">
        <v>10733.7</v>
      </c>
      <c r="T36" s="1616">
        <v>7866</v>
      </c>
      <c r="U36" s="1616">
        <v>6756.2</v>
      </c>
      <c r="V36" s="1616">
        <v>17361.400000000001</v>
      </c>
      <c r="W36" s="1616">
        <v>24658.9</v>
      </c>
      <c r="X36" s="1616">
        <v>10297.200000000001</v>
      </c>
      <c r="Y36" s="1616">
        <v>8432.2000000000007</v>
      </c>
      <c r="Z36" s="1616">
        <v>9893.6</v>
      </c>
      <c r="AA36" s="1616">
        <v>9594.6</v>
      </c>
      <c r="AB36" s="1616">
        <v>16538.7</v>
      </c>
      <c r="AC36" s="1616">
        <v>11222</v>
      </c>
      <c r="AD36" s="1616">
        <v>10332.1</v>
      </c>
      <c r="AE36" s="1616">
        <v>6325.3</v>
      </c>
      <c r="AF36" s="1616">
        <v>10842.7</v>
      </c>
      <c r="AG36" s="1616">
        <v>11840.1</v>
      </c>
      <c r="AH36" s="1616">
        <v>233555.5</v>
      </c>
      <c r="AI36" s="1616">
        <v>233627.3</v>
      </c>
      <c r="AJ36" s="1616">
        <v>3562.6</v>
      </c>
      <c r="AK36" s="1616">
        <v>93259.1</v>
      </c>
      <c r="AL36" s="1616">
        <v>136733.79999999999</v>
      </c>
    </row>
    <row r="37" spans="1:38">
      <c r="A37" s="133">
        <v>2000</v>
      </c>
      <c r="B37" s="133" t="s">
        <v>11950</v>
      </c>
      <c r="C37" s="133" t="s">
        <v>11976</v>
      </c>
      <c r="D37" s="1616">
        <v>4094.7</v>
      </c>
      <c r="E37" s="1616">
        <v>337.8</v>
      </c>
      <c r="F37" s="1616">
        <v>76567.100000000006</v>
      </c>
      <c r="G37" s="1616">
        <v>8439.1</v>
      </c>
      <c r="H37" s="1616">
        <v>1883.4</v>
      </c>
      <c r="I37" s="1616">
        <v>2247.4</v>
      </c>
      <c r="J37" s="1616">
        <v>7048.7</v>
      </c>
      <c r="K37" s="1616">
        <v>3412.7</v>
      </c>
      <c r="L37" s="1616">
        <v>2071.8000000000002</v>
      </c>
      <c r="M37" s="1616">
        <v>6128.1</v>
      </c>
      <c r="N37" s="1616">
        <v>3411.6</v>
      </c>
      <c r="O37" s="1616">
        <v>8870.7999999999993</v>
      </c>
      <c r="P37" s="1616">
        <v>5289.7</v>
      </c>
      <c r="Q37" s="1616">
        <v>4771.6000000000004</v>
      </c>
      <c r="R37" s="1616">
        <v>5000.5</v>
      </c>
      <c r="S37" s="1616">
        <v>10053.299999999999</v>
      </c>
      <c r="T37" s="1616">
        <v>7938.5</v>
      </c>
      <c r="U37" s="1616">
        <v>7788.5</v>
      </c>
      <c r="V37" s="1616">
        <v>19356.3</v>
      </c>
      <c r="W37" s="1616">
        <v>25149.599999999999</v>
      </c>
      <c r="X37" s="1616">
        <v>10819.3</v>
      </c>
      <c r="Y37" s="1616">
        <v>9315.7000000000007</v>
      </c>
      <c r="Z37" s="1616">
        <v>11414.9</v>
      </c>
      <c r="AA37" s="1616">
        <v>9618.9</v>
      </c>
      <c r="AB37" s="1616">
        <v>16616.5</v>
      </c>
      <c r="AC37" s="1616">
        <v>11662.3</v>
      </c>
      <c r="AD37" s="1616">
        <v>8154.8</v>
      </c>
      <c r="AE37" s="1616">
        <v>4731.3</v>
      </c>
      <c r="AF37" s="1616">
        <v>10491.2</v>
      </c>
      <c r="AG37" s="1616">
        <v>11484.4</v>
      </c>
      <c r="AH37" s="1616">
        <v>237603.4</v>
      </c>
      <c r="AI37" s="1616">
        <v>237722.2</v>
      </c>
      <c r="AJ37" s="1616">
        <v>4094.7</v>
      </c>
      <c r="AK37" s="1616">
        <v>96261.2</v>
      </c>
      <c r="AL37" s="1616">
        <v>137247.5</v>
      </c>
    </row>
    <row r="38" spans="1:38">
      <c r="A38" s="133">
        <v>2000</v>
      </c>
      <c r="B38" s="133" t="s">
        <v>11952</v>
      </c>
      <c r="C38" s="133" t="s">
        <v>11977</v>
      </c>
      <c r="D38" s="1616">
        <v>3763.6</v>
      </c>
      <c r="E38" s="1616">
        <v>379.3</v>
      </c>
      <c r="F38" s="1616">
        <v>80139.899999999994</v>
      </c>
      <c r="G38" s="1616">
        <v>8878.7000000000007</v>
      </c>
      <c r="H38" s="1616">
        <v>1930.6</v>
      </c>
      <c r="I38" s="1616">
        <v>2348.6</v>
      </c>
      <c r="J38" s="1616">
        <v>7380.3</v>
      </c>
      <c r="K38" s="1616">
        <v>3461.3</v>
      </c>
      <c r="L38" s="1616">
        <v>2268.4</v>
      </c>
      <c r="M38" s="1616">
        <v>6504.7</v>
      </c>
      <c r="N38" s="1616">
        <v>3904.2</v>
      </c>
      <c r="O38" s="1616">
        <v>8166.3</v>
      </c>
      <c r="P38" s="1616">
        <v>5412.4</v>
      </c>
      <c r="Q38" s="1616">
        <v>5254.3</v>
      </c>
      <c r="R38" s="1616">
        <v>4942.6000000000004</v>
      </c>
      <c r="S38" s="1616">
        <v>11179.1</v>
      </c>
      <c r="T38" s="1616">
        <v>8508.2999999999993</v>
      </c>
      <c r="U38" s="1616">
        <v>6993.8</v>
      </c>
      <c r="V38" s="1616">
        <v>22028.5</v>
      </c>
      <c r="W38" s="1616">
        <v>26437.1</v>
      </c>
      <c r="X38" s="1616">
        <v>10982.1</v>
      </c>
      <c r="Y38" s="1616">
        <v>9086</v>
      </c>
      <c r="Z38" s="1616">
        <v>10445.700000000001</v>
      </c>
      <c r="AA38" s="1616">
        <v>9766.9</v>
      </c>
      <c r="AB38" s="1616">
        <v>16692.599999999999</v>
      </c>
      <c r="AC38" s="1616">
        <v>11754.7</v>
      </c>
      <c r="AD38" s="1616">
        <v>10563.2</v>
      </c>
      <c r="AE38" s="1616">
        <v>6568.8</v>
      </c>
      <c r="AF38" s="1616">
        <v>11273</v>
      </c>
      <c r="AG38" s="1616">
        <v>11535.7</v>
      </c>
      <c r="AH38" s="1616">
        <v>248410.7</v>
      </c>
      <c r="AI38" s="1616">
        <v>248496</v>
      </c>
      <c r="AJ38" s="1616">
        <v>3763.6</v>
      </c>
      <c r="AK38" s="1616">
        <v>102547.7</v>
      </c>
      <c r="AL38" s="1616">
        <v>142099.5</v>
      </c>
    </row>
    <row r="39" spans="1:38">
      <c r="A39" s="133">
        <v>2001</v>
      </c>
      <c r="B39" s="133" t="s">
        <v>11946</v>
      </c>
      <c r="C39" s="133" t="s">
        <v>11978</v>
      </c>
      <c r="D39" s="1616">
        <v>3345.6</v>
      </c>
      <c r="E39" s="1616">
        <v>340.2</v>
      </c>
      <c r="F39" s="1616">
        <v>75787.7</v>
      </c>
      <c r="G39" s="1616">
        <v>7853.3</v>
      </c>
      <c r="H39" s="1616">
        <v>1754</v>
      </c>
      <c r="I39" s="1616">
        <v>2184.3000000000002</v>
      </c>
      <c r="J39" s="1616">
        <v>6921.8</v>
      </c>
      <c r="K39" s="1616">
        <v>3455.3</v>
      </c>
      <c r="L39" s="1616">
        <v>2162.6</v>
      </c>
      <c r="M39" s="1616">
        <v>6063.7</v>
      </c>
      <c r="N39" s="1616">
        <v>2719.6</v>
      </c>
      <c r="O39" s="1616">
        <v>8904.1</v>
      </c>
      <c r="P39" s="1616">
        <v>4973.5</v>
      </c>
      <c r="Q39" s="1616">
        <v>4998.2</v>
      </c>
      <c r="R39" s="1616">
        <v>5007.8</v>
      </c>
      <c r="S39" s="1616">
        <v>10822.1</v>
      </c>
      <c r="T39" s="1616">
        <v>7967.3</v>
      </c>
      <c r="U39" s="1616">
        <v>7395.1</v>
      </c>
      <c r="V39" s="1616">
        <v>19333.099999999999</v>
      </c>
      <c r="W39" s="1616">
        <v>26465.200000000001</v>
      </c>
      <c r="X39" s="1616">
        <v>10563.3</v>
      </c>
      <c r="Y39" s="1616">
        <v>8536.2000000000007</v>
      </c>
      <c r="Z39" s="1616">
        <v>12695.1</v>
      </c>
      <c r="AA39" s="1616">
        <v>9957.7999999999993</v>
      </c>
      <c r="AB39" s="1616">
        <v>16727.8</v>
      </c>
      <c r="AC39" s="1616">
        <v>12022.6</v>
      </c>
      <c r="AD39" s="1616">
        <v>9097.2999999999993</v>
      </c>
      <c r="AE39" s="1616">
        <v>5216.1000000000004</v>
      </c>
      <c r="AF39" s="1616">
        <v>10607.7</v>
      </c>
      <c r="AG39" s="1616">
        <v>10886.9</v>
      </c>
      <c r="AH39" s="1616">
        <v>238977.9</v>
      </c>
      <c r="AI39" s="1616">
        <v>239112.3</v>
      </c>
      <c r="AJ39" s="1616">
        <v>3345.6</v>
      </c>
      <c r="AK39" s="1616">
        <v>95461</v>
      </c>
      <c r="AL39" s="1616">
        <v>140171.29999999999</v>
      </c>
    </row>
    <row r="40" spans="1:38">
      <c r="A40" s="133">
        <v>2001</v>
      </c>
      <c r="B40" s="133" t="s">
        <v>11948</v>
      </c>
      <c r="C40" s="133" t="s">
        <v>11979</v>
      </c>
      <c r="D40" s="1616">
        <v>3519.9</v>
      </c>
      <c r="E40" s="1616">
        <v>325.39999999999998</v>
      </c>
      <c r="F40" s="1616">
        <v>75292.899999999994</v>
      </c>
      <c r="G40" s="1616">
        <v>8935.6</v>
      </c>
      <c r="H40" s="1616">
        <v>1844.3</v>
      </c>
      <c r="I40" s="1616">
        <v>2150.6</v>
      </c>
      <c r="J40" s="1616">
        <v>6931.4</v>
      </c>
      <c r="K40" s="1616">
        <v>3296</v>
      </c>
      <c r="L40" s="1616">
        <v>2026.7</v>
      </c>
      <c r="M40" s="1616">
        <v>6268.1</v>
      </c>
      <c r="N40" s="1616">
        <v>3233.5</v>
      </c>
      <c r="O40" s="1616">
        <v>8334.9</v>
      </c>
      <c r="P40" s="1616">
        <v>4341.6000000000004</v>
      </c>
      <c r="Q40" s="1616">
        <v>4620</v>
      </c>
      <c r="R40" s="1616">
        <v>4495.5</v>
      </c>
      <c r="S40" s="1616">
        <v>11170.4</v>
      </c>
      <c r="T40" s="1616">
        <v>7644.4</v>
      </c>
      <c r="U40" s="1616">
        <v>6894.5</v>
      </c>
      <c r="V40" s="1616">
        <v>16052</v>
      </c>
      <c r="W40" s="1616">
        <v>25539.3</v>
      </c>
      <c r="X40" s="1616">
        <v>10554.2</v>
      </c>
      <c r="Y40" s="1616">
        <v>8468.7000000000007</v>
      </c>
      <c r="Z40" s="1616">
        <v>10524.9</v>
      </c>
      <c r="AA40" s="1616">
        <v>10207.299999999999</v>
      </c>
      <c r="AB40" s="1616">
        <v>16836.599999999999</v>
      </c>
      <c r="AC40" s="1616">
        <v>11430.3</v>
      </c>
      <c r="AD40" s="1616">
        <v>10552.3</v>
      </c>
      <c r="AE40" s="1616">
        <v>6377.9</v>
      </c>
      <c r="AF40" s="1616">
        <v>11308.1</v>
      </c>
      <c r="AG40" s="1616">
        <v>11222</v>
      </c>
      <c r="AH40" s="1616">
        <v>235106.4</v>
      </c>
      <c r="AI40" s="1616">
        <v>235231.6</v>
      </c>
      <c r="AJ40" s="1616">
        <v>3519.9</v>
      </c>
      <c r="AK40" s="1616">
        <v>91670.399999999994</v>
      </c>
      <c r="AL40" s="1616">
        <v>139916.1</v>
      </c>
    </row>
    <row r="41" spans="1:38">
      <c r="A41" s="133">
        <v>2001</v>
      </c>
      <c r="B41" s="133" t="s">
        <v>11950</v>
      </c>
      <c r="C41" s="133" t="s">
        <v>11980</v>
      </c>
      <c r="D41" s="1616">
        <v>3690.8</v>
      </c>
      <c r="E41" s="1616">
        <v>324.10000000000002</v>
      </c>
      <c r="F41" s="1616">
        <v>71081.399999999994</v>
      </c>
      <c r="G41" s="1616">
        <v>8354.2999999999993</v>
      </c>
      <c r="H41" s="1616">
        <v>1645.3</v>
      </c>
      <c r="I41" s="1616">
        <v>2056</v>
      </c>
      <c r="J41" s="1616">
        <v>6724.2</v>
      </c>
      <c r="K41" s="1616">
        <v>3491.2</v>
      </c>
      <c r="L41" s="1616">
        <v>1918.6</v>
      </c>
      <c r="M41" s="1616">
        <v>5725</v>
      </c>
      <c r="N41" s="1616">
        <v>3238.3</v>
      </c>
      <c r="O41" s="1616">
        <v>7958</v>
      </c>
      <c r="P41" s="1616">
        <v>3388.9</v>
      </c>
      <c r="Q41" s="1616">
        <v>4320.8</v>
      </c>
      <c r="R41" s="1616">
        <v>4136.8</v>
      </c>
      <c r="S41" s="1616">
        <v>10564.5</v>
      </c>
      <c r="T41" s="1616">
        <v>7559.5</v>
      </c>
      <c r="U41" s="1616">
        <v>7784</v>
      </c>
      <c r="V41" s="1616">
        <v>17741.2</v>
      </c>
      <c r="W41" s="1616">
        <v>25635.599999999999</v>
      </c>
      <c r="X41" s="1616">
        <v>10890.5</v>
      </c>
      <c r="Y41" s="1616">
        <v>9406.4</v>
      </c>
      <c r="Z41" s="1616">
        <v>11897.8</v>
      </c>
      <c r="AA41" s="1616">
        <v>10295.700000000001</v>
      </c>
      <c r="AB41" s="1616">
        <v>16861</v>
      </c>
      <c r="AC41" s="1616">
        <v>11729.1</v>
      </c>
      <c r="AD41" s="1616">
        <v>8437.6</v>
      </c>
      <c r="AE41" s="1616">
        <v>4779.8</v>
      </c>
      <c r="AF41" s="1616">
        <v>10779.7</v>
      </c>
      <c r="AG41" s="1616">
        <v>11103.9</v>
      </c>
      <c r="AH41" s="1616">
        <v>232438.6</v>
      </c>
      <c r="AI41" s="1616">
        <v>232616.7</v>
      </c>
      <c r="AJ41" s="1616">
        <v>3690.8</v>
      </c>
      <c r="AK41" s="1616">
        <v>89146.8</v>
      </c>
      <c r="AL41" s="1616">
        <v>139601</v>
      </c>
    </row>
    <row r="42" spans="1:38">
      <c r="A42" s="133">
        <v>2001</v>
      </c>
      <c r="B42" s="133" t="s">
        <v>11952</v>
      </c>
      <c r="C42" s="133" t="s">
        <v>11981</v>
      </c>
      <c r="D42" s="1616">
        <v>3356.9</v>
      </c>
      <c r="E42" s="1616">
        <v>347.4</v>
      </c>
      <c r="F42" s="1616">
        <v>71655.899999999994</v>
      </c>
      <c r="G42" s="1616">
        <v>8749.4</v>
      </c>
      <c r="H42" s="1616">
        <v>1650.6</v>
      </c>
      <c r="I42" s="1616">
        <v>2124.3000000000002</v>
      </c>
      <c r="J42" s="1616">
        <v>6907.7</v>
      </c>
      <c r="K42" s="1616">
        <v>3303.7</v>
      </c>
      <c r="L42" s="1616">
        <v>2064.9</v>
      </c>
      <c r="M42" s="1616">
        <v>5666.2</v>
      </c>
      <c r="N42" s="1616">
        <v>3764</v>
      </c>
      <c r="O42" s="1616">
        <v>7151.7</v>
      </c>
      <c r="P42" s="1616">
        <v>3029.6</v>
      </c>
      <c r="Q42" s="1616">
        <v>4441.8</v>
      </c>
      <c r="R42" s="1616">
        <v>3868.8</v>
      </c>
      <c r="S42" s="1616">
        <v>11045.7</v>
      </c>
      <c r="T42" s="1616">
        <v>7887.6</v>
      </c>
      <c r="U42" s="1616">
        <v>7264.9</v>
      </c>
      <c r="V42" s="1616">
        <v>20230.400000000001</v>
      </c>
      <c r="W42" s="1616">
        <v>26678.9</v>
      </c>
      <c r="X42" s="1616">
        <v>10469</v>
      </c>
      <c r="Y42" s="1616">
        <v>8796.4</v>
      </c>
      <c r="Z42" s="1616">
        <v>10833.9</v>
      </c>
      <c r="AA42" s="1616">
        <v>10524.1</v>
      </c>
      <c r="AB42" s="1616">
        <v>16917.099999999999</v>
      </c>
      <c r="AC42" s="1616">
        <v>11683</v>
      </c>
      <c r="AD42" s="1616">
        <v>10790.8</v>
      </c>
      <c r="AE42" s="1616">
        <v>6588.1</v>
      </c>
      <c r="AF42" s="1616">
        <v>11711.3</v>
      </c>
      <c r="AG42" s="1616">
        <v>11270.1</v>
      </c>
      <c r="AH42" s="1616">
        <v>239118.3</v>
      </c>
      <c r="AI42" s="1616">
        <v>239231.1</v>
      </c>
      <c r="AJ42" s="1616">
        <v>3356.9</v>
      </c>
      <c r="AK42" s="1616">
        <v>92233.8</v>
      </c>
      <c r="AL42" s="1616">
        <v>143527.6</v>
      </c>
    </row>
    <row r="43" spans="1:38">
      <c r="A43" s="133">
        <v>2002</v>
      </c>
      <c r="B43" s="133" t="s">
        <v>11946</v>
      </c>
      <c r="C43" s="133" t="s">
        <v>11982</v>
      </c>
      <c r="D43" s="1616">
        <v>2991.1</v>
      </c>
      <c r="E43" s="1616">
        <v>314.3</v>
      </c>
      <c r="F43" s="1616">
        <v>67766.600000000006</v>
      </c>
      <c r="G43" s="1616">
        <v>7608.2</v>
      </c>
      <c r="H43" s="1616">
        <v>1539.4</v>
      </c>
      <c r="I43" s="1616">
        <v>1982.8</v>
      </c>
      <c r="J43" s="1616">
        <v>6428.2</v>
      </c>
      <c r="K43" s="1616">
        <v>3263.8</v>
      </c>
      <c r="L43" s="1616">
        <v>1862.3</v>
      </c>
      <c r="M43" s="1616">
        <v>5594.6</v>
      </c>
      <c r="N43" s="1616">
        <v>2560.1</v>
      </c>
      <c r="O43" s="1616">
        <v>6867.8</v>
      </c>
      <c r="P43" s="1616">
        <v>3260.3</v>
      </c>
      <c r="Q43" s="1616">
        <v>3948.8</v>
      </c>
      <c r="R43" s="1616">
        <v>4029.2</v>
      </c>
      <c r="S43" s="1616">
        <v>11470.2</v>
      </c>
      <c r="T43" s="1616">
        <v>7350.9</v>
      </c>
      <c r="U43" s="1616">
        <v>7374.8</v>
      </c>
      <c r="V43" s="1616">
        <v>17819.7</v>
      </c>
      <c r="W43" s="1616">
        <v>25749.9</v>
      </c>
      <c r="X43" s="1616">
        <v>10171</v>
      </c>
      <c r="Y43" s="1616">
        <v>8493.9</v>
      </c>
      <c r="Z43" s="1616">
        <v>13093.9</v>
      </c>
      <c r="AA43" s="1616">
        <v>10692.1</v>
      </c>
      <c r="AB43" s="1616">
        <v>16872.900000000001</v>
      </c>
      <c r="AC43" s="1616">
        <v>11776.8</v>
      </c>
      <c r="AD43" s="1616">
        <v>9342.6</v>
      </c>
      <c r="AE43" s="1616">
        <v>5248.2</v>
      </c>
      <c r="AF43" s="1616">
        <v>11067</v>
      </c>
      <c r="AG43" s="1616">
        <v>11143.6</v>
      </c>
      <c r="AH43" s="1616">
        <v>229918.4</v>
      </c>
      <c r="AI43" s="1616">
        <v>230137.3</v>
      </c>
      <c r="AJ43" s="1616">
        <v>2991.1</v>
      </c>
      <c r="AK43" s="1616">
        <v>85900.7</v>
      </c>
      <c r="AL43" s="1616">
        <v>141026.6</v>
      </c>
    </row>
    <row r="44" spans="1:38">
      <c r="A44" s="133">
        <v>2002</v>
      </c>
      <c r="B44" s="133" t="s">
        <v>11948</v>
      </c>
      <c r="C44" s="133" t="s">
        <v>11983</v>
      </c>
      <c r="D44" s="1616">
        <v>3288.7</v>
      </c>
      <c r="E44" s="1616">
        <v>294.7</v>
      </c>
      <c r="F44" s="1616">
        <v>70173.600000000006</v>
      </c>
      <c r="G44" s="1616">
        <v>8800.1</v>
      </c>
      <c r="H44" s="1616">
        <v>1615.3</v>
      </c>
      <c r="I44" s="1616">
        <v>2004.7</v>
      </c>
      <c r="J44" s="1616">
        <v>6614.1</v>
      </c>
      <c r="K44" s="1616">
        <v>3241.2</v>
      </c>
      <c r="L44" s="1616">
        <v>1797.8</v>
      </c>
      <c r="M44" s="1616">
        <v>5663.4</v>
      </c>
      <c r="N44" s="1616">
        <v>3161.4</v>
      </c>
      <c r="O44" s="1616">
        <v>7342.5</v>
      </c>
      <c r="P44" s="1616">
        <v>4073.8</v>
      </c>
      <c r="Q44" s="1616">
        <v>3811.7</v>
      </c>
      <c r="R44" s="1616">
        <v>3631.7</v>
      </c>
      <c r="S44" s="1616">
        <v>11374.4</v>
      </c>
      <c r="T44" s="1616">
        <v>7041.5</v>
      </c>
      <c r="U44" s="1616">
        <v>6822.5</v>
      </c>
      <c r="V44" s="1616">
        <v>15100.8</v>
      </c>
      <c r="W44" s="1616">
        <v>25851.5</v>
      </c>
      <c r="X44" s="1616">
        <v>10355.200000000001</v>
      </c>
      <c r="Y44" s="1616">
        <v>8247.5</v>
      </c>
      <c r="Z44" s="1616">
        <v>10681.8</v>
      </c>
      <c r="AA44" s="1616">
        <v>10833.4</v>
      </c>
      <c r="AB44" s="1616">
        <v>16864.5</v>
      </c>
      <c r="AC44" s="1616">
        <v>11292.5</v>
      </c>
      <c r="AD44" s="1616">
        <v>10696.5</v>
      </c>
      <c r="AE44" s="1616">
        <v>6426.1</v>
      </c>
      <c r="AF44" s="1616">
        <v>11229.6</v>
      </c>
      <c r="AG44" s="1616">
        <v>11374.6</v>
      </c>
      <c r="AH44" s="1616">
        <v>229533.5</v>
      </c>
      <c r="AI44" s="1616">
        <v>229755.6</v>
      </c>
      <c r="AJ44" s="1616">
        <v>3288.7</v>
      </c>
      <c r="AK44" s="1616">
        <v>85569.1</v>
      </c>
      <c r="AL44" s="1616">
        <v>140675.70000000001</v>
      </c>
    </row>
    <row r="45" spans="1:38">
      <c r="A45" s="133">
        <v>2002</v>
      </c>
      <c r="B45" s="133" t="s">
        <v>11950</v>
      </c>
      <c r="C45" s="133" t="s">
        <v>11984</v>
      </c>
      <c r="D45" s="1616">
        <v>3753.8</v>
      </c>
      <c r="E45" s="1616">
        <v>294.2</v>
      </c>
      <c r="F45" s="1616">
        <v>70428.100000000006</v>
      </c>
      <c r="G45" s="1616">
        <v>8216.7999999999993</v>
      </c>
      <c r="H45" s="1616">
        <v>1461.3</v>
      </c>
      <c r="I45" s="1616">
        <v>1984.3</v>
      </c>
      <c r="J45" s="1616">
        <v>6804.8</v>
      </c>
      <c r="K45" s="1616">
        <v>3393.9</v>
      </c>
      <c r="L45" s="1616">
        <v>1793.7</v>
      </c>
      <c r="M45" s="1616">
        <v>5709.8</v>
      </c>
      <c r="N45" s="1616">
        <v>3166</v>
      </c>
      <c r="O45" s="1616">
        <v>7651.7</v>
      </c>
      <c r="P45" s="1616">
        <v>4009</v>
      </c>
      <c r="Q45" s="1616">
        <v>3991</v>
      </c>
      <c r="R45" s="1616">
        <v>3657</v>
      </c>
      <c r="S45" s="1616">
        <v>11075.2</v>
      </c>
      <c r="T45" s="1616">
        <v>7513.5</v>
      </c>
      <c r="U45" s="1616">
        <v>7760.1</v>
      </c>
      <c r="V45" s="1616">
        <v>16824.3</v>
      </c>
      <c r="W45" s="1616">
        <v>26094.6</v>
      </c>
      <c r="X45" s="1616">
        <v>10980.9</v>
      </c>
      <c r="Y45" s="1616">
        <v>9090.1</v>
      </c>
      <c r="Z45" s="1616">
        <v>11964.4</v>
      </c>
      <c r="AA45" s="1616">
        <v>10800.9</v>
      </c>
      <c r="AB45" s="1616">
        <v>17003</v>
      </c>
      <c r="AC45" s="1616">
        <v>11553.2</v>
      </c>
      <c r="AD45" s="1616">
        <v>8496.2999999999993</v>
      </c>
      <c r="AE45" s="1616">
        <v>4803.2</v>
      </c>
      <c r="AF45" s="1616">
        <v>10879.2</v>
      </c>
      <c r="AG45" s="1616">
        <v>11114.3</v>
      </c>
      <c r="AH45" s="1616">
        <v>231840.7</v>
      </c>
      <c r="AI45" s="1616">
        <v>232063.5</v>
      </c>
      <c r="AJ45" s="1616">
        <v>3753.8</v>
      </c>
      <c r="AK45" s="1616">
        <v>87546.6</v>
      </c>
      <c r="AL45" s="1616">
        <v>140540.29999999999</v>
      </c>
    </row>
    <row r="46" spans="1:38">
      <c r="A46" s="133">
        <v>2002</v>
      </c>
      <c r="B46" s="133" t="s">
        <v>11952</v>
      </c>
      <c r="C46" s="133" t="s">
        <v>11985</v>
      </c>
      <c r="D46" s="1616">
        <v>3630.3</v>
      </c>
      <c r="E46" s="1616">
        <v>327.8</v>
      </c>
      <c r="F46" s="1616">
        <v>73487.5</v>
      </c>
      <c r="G46" s="1616">
        <v>8601.5</v>
      </c>
      <c r="H46" s="1616">
        <v>1499.6</v>
      </c>
      <c r="I46" s="1616">
        <v>2084.3000000000002</v>
      </c>
      <c r="J46" s="1616">
        <v>6969.9</v>
      </c>
      <c r="K46" s="1616">
        <v>3557.1</v>
      </c>
      <c r="L46" s="1616">
        <v>1967.7</v>
      </c>
      <c r="M46" s="1616">
        <v>6047.1</v>
      </c>
      <c r="N46" s="1616">
        <v>3393.4</v>
      </c>
      <c r="O46" s="1616">
        <v>7523.7</v>
      </c>
      <c r="P46" s="1616">
        <v>3827.5</v>
      </c>
      <c r="Q46" s="1616">
        <v>4133.1000000000004</v>
      </c>
      <c r="R46" s="1616">
        <v>3605.3</v>
      </c>
      <c r="S46" s="1616">
        <v>12498.1</v>
      </c>
      <c r="T46" s="1616">
        <v>7779.3</v>
      </c>
      <c r="U46" s="1616">
        <v>7151.7</v>
      </c>
      <c r="V46" s="1616">
        <v>19135.5</v>
      </c>
      <c r="W46" s="1616">
        <v>26686</v>
      </c>
      <c r="X46" s="1616">
        <v>11083.1</v>
      </c>
      <c r="Y46" s="1616">
        <v>8545.1</v>
      </c>
      <c r="Z46" s="1616">
        <v>11105.2</v>
      </c>
      <c r="AA46" s="1616">
        <v>10858.2</v>
      </c>
      <c r="AB46" s="1616">
        <v>17024.900000000001</v>
      </c>
      <c r="AC46" s="1616">
        <v>11628.6</v>
      </c>
      <c r="AD46" s="1616">
        <v>10842.7</v>
      </c>
      <c r="AE46" s="1616">
        <v>6623.7</v>
      </c>
      <c r="AF46" s="1616">
        <v>11514.5</v>
      </c>
      <c r="AG46" s="1616">
        <v>11044.4</v>
      </c>
      <c r="AH46" s="1616">
        <v>240689.2</v>
      </c>
      <c r="AI46" s="1616">
        <v>240883.9</v>
      </c>
      <c r="AJ46" s="1616">
        <v>3630.3</v>
      </c>
      <c r="AK46" s="1616">
        <v>92950.8</v>
      </c>
      <c r="AL46" s="1616">
        <v>144108.1</v>
      </c>
    </row>
    <row r="47" spans="1:38">
      <c r="A47" s="133">
        <v>2003</v>
      </c>
      <c r="B47" s="133" t="s">
        <v>11946</v>
      </c>
      <c r="C47" s="133" t="s">
        <v>11986</v>
      </c>
      <c r="D47" s="1616">
        <v>2835.9</v>
      </c>
      <c r="E47" s="1616">
        <v>298.10000000000002</v>
      </c>
      <c r="F47" s="1616">
        <v>69719.3</v>
      </c>
      <c r="G47" s="1616">
        <v>7502.7</v>
      </c>
      <c r="H47" s="1616">
        <v>1427.8</v>
      </c>
      <c r="I47" s="1616">
        <v>1975</v>
      </c>
      <c r="J47" s="1616">
        <v>6781.6</v>
      </c>
      <c r="K47" s="1616">
        <v>3678.6</v>
      </c>
      <c r="L47" s="1616">
        <v>1795.9</v>
      </c>
      <c r="M47" s="1616">
        <v>5707.7</v>
      </c>
      <c r="N47" s="1616">
        <v>2848.7</v>
      </c>
      <c r="O47" s="1616">
        <v>7175.5</v>
      </c>
      <c r="P47" s="1616">
        <v>3567.4</v>
      </c>
      <c r="Q47" s="1616">
        <v>4074.4</v>
      </c>
      <c r="R47" s="1616">
        <v>3936.7</v>
      </c>
      <c r="S47" s="1616">
        <v>12003.8</v>
      </c>
      <c r="T47" s="1616">
        <v>7243.5</v>
      </c>
      <c r="U47" s="1616">
        <v>7352.1</v>
      </c>
      <c r="V47" s="1616">
        <v>16860</v>
      </c>
      <c r="W47" s="1616">
        <v>26063</v>
      </c>
      <c r="X47" s="1616">
        <v>10345.1</v>
      </c>
      <c r="Y47" s="1616">
        <v>8178</v>
      </c>
      <c r="Z47" s="1616">
        <v>13105.8</v>
      </c>
      <c r="AA47" s="1616">
        <v>10873.3</v>
      </c>
      <c r="AB47" s="1616">
        <v>16947.900000000001</v>
      </c>
      <c r="AC47" s="1616">
        <v>11876.6</v>
      </c>
      <c r="AD47" s="1616">
        <v>8967.2999999999993</v>
      </c>
      <c r="AE47" s="1616">
        <v>5026.8999999999996</v>
      </c>
      <c r="AF47" s="1616">
        <v>10935.5</v>
      </c>
      <c r="AG47" s="1616">
        <v>11549</v>
      </c>
      <c r="AH47" s="1616">
        <v>230933.8</v>
      </c>
      <c r="AI47" s="1616">
        <v>231229.5</v>
      </c>
      <c r="AJ47" s="1616">
        <v>2835.9</v>
      </c>
      <c r="AK47" s="1616">
        <v>86877.4</v>
      </c>
      <c r="AL47" s="1616">
        <v>141220.5</v>
      </c>
    </row>
    <row r="48" spans="1:38">
      <c r="A48" s="133">
        <v>2003</v>
      </c>
      <c r="B48" s="133" t="s">
        <v>11948</v>
      </c>
      <c r="C48" s="133" t="s">
        <v>11987</v>
      </c>
      <c r="D48" s="1616">
        <v>2981.7</v>
      </c>
      <c r="E48" s="1616">
        <v>273</v>
      </c>
      <c r="F48" s="1616">
        <v>70607.100000000006</v>
      </c>
      <c r="G48" s="1616">
        <v>8630.2000000000007</v>
      </c>
      <c r="H48" s="1616">
        <v>1477.5</v>
      </c>
      <c r="I48" s="1616">
        <v>2019.9</v>
      </c>
      <c r="J48" s="1616">
        <v>6768.1</v>
      </c>
      <c r="K48" s="1616">
        <v>3288.5</v>
      </c>
      <c r="L48" s="1616">
        <v>1745.5</v>
      </c>
      <c r="M48" s="1616">
        <v>5978.5</v>
      </c>
      <c r="N48" s="1616">
        <v>2905.8</v>
      </c>
      <c r="O48" s="1616">
        <v>7297.2</v>
      </c>
      <c r="P48" s="1616">
        <v>4001.7</v>
      </c>
      <c r="Q48" s="1616">
        <v>3830.1</v>
      </c>
      <c r="R48" s="1616">
        <v>3603.7</v>
      </c>
      <c r="S48" s="1616">
        <v>11875.4</v>
      </c>
      <c r="T48" s="1616">
        <v>7185</v>
      </c>
      <c r="U48" s="1616">
        <v>6880.7</v>
      </c>
      <c r="V48" s="1616">
        <v>14503.5</v>
      </c>
      <c r="W48" s="1616">
        <v>25876.1</v>
      </c>
      <c r="X48" s="1616">
        <v>10170.4</v>
      </c>
      <c r="Y48" s="1616">
        <v>7899.1</v>
      </c>
      <c r="Z48" s="1616">
        <v>10810.1</v>
      </c>
      <c r="AA48" s="1616">
        <v>10889.8</v>
      </c>
      <c r="AB48" s="1616">
        <v>16995.8</v>
      </c>
      <c r="AC48" s="1616">
        <v>11323.6</v>
      </c>
      <c r="AD48" s="1616">
        <v>11058</v>
      </c>
      <c r="AE48" s="1616">
        <v>6526.6</v>
      </c>
      <c r="AF48" s="1616">
        <v>11434.2</v>
      </c>
      <c r="AG48" s="1616">
        <v>11129.4</v>
      </c>
      <c r="AH48" s="1616">
        <v>229359.1</v>
      </c>
      <c r="AI48" s="1616">
        <v>229598.3</v>
      </c>
      <c r="AJ48" s="1616">
        <v>2981.7</v>
      </c>
      <c r="AK48" s="1616">
        <v>85383.6</v>
      </c>
      <c r="AL48" s="1616">
        <v>140993.79999999999</v>
      </c>
    </row>
    <row r="49" spans="1:38">
      <c r="A49" s="133">
        <v>2003</v>
      </c>
      <c r="B49" s="133" t="s">
        <v>11950</v>
      </c>
      <c r="C49" s="133" t="s">
        <v>11988</v>
      </c>
      <c r="D49" s="1616">
        <v>3358.3</v>
      </c>
      <c r="E49" s="1616">
        <v>268.39999999999998</v>
      </c>
      <c r="F49" s="1616">
        <v>70785.8</v>
      </c>
      <c r="G49" s="1616">
        <v>8145.1</v>
      </c>
      <c r="H49" s="1616">
        <v>1383.7</v>
      </c>
      <c r="I49" s="1616">
        <v>2010.8</v>
      </c>
      <c r="J49" s="1616">
        <v>6726.6</v>
      </c>
      <c r="K49" s="1616">
        <v>3321.7</v>
      </c>
      <c r="L49" s="1616">
        <v>1729.7</v>
      </c>
      <c r="M49" s="1616">
        <v>5887.1</v>
      </c>
      <c r="N49" s="1616">
        <v>2849.4</v>
      </c>
      <c r="O49" s="1616">
        <v>7931</v>
      </c>
      <c r="P49" s="1616">
        <v>4269</v>
      </c>
      <c r="Q49" s="1616">
        <v>3848.6</v>
      </c>
      <c r="R49" s="1616">
        <v>3629.2</v>
      </c>
      <c r="S49" s="1616">
        <v>11734.1</v>
      </c>
      <c r="T49" s="1616">
        <v>7319.7</v>
      </c>
      <c r="U49" s="1616">
        <v>7441.5</v>
      </c>
      <c r="V49" s="1616">
        <v>16247.5</v>
      </c>
      <c r="W49" s="1616">
        <v>26063.5</v>
      </c>
      <c r="X49" s="1616">
        <v>11253</v>
      </c>
      <c r="Y49" s="1616">
        <v>8715.7000000000007</v>
      </c>
      <c r="Z49" s="1616">
        <v>11972.1</v>
      </c>
      <c r="AA49" s="1616">
        <v>11030.9</v>
      </c>
      <c r="AB49" s="1616">
        <v>17061.5</v>
      </c>
      <c r="AC49" s="1616">
        <v>11536.8</v>
      </c>
      <c r="AD49" s="1616">
        <v>8669.9</v>
      </c>
      <c r="AE49" s="1616">
        <v>4808.7</v>
      </c>
      <c r="AF49" s="1616">
        <v>11032.3</v>
      </c>
      <c r="AG49" s="1616">
        <v>11113.9</v>
      </c>
      <c r="AH49" s="1616">
        <v>231359.7</v>
      </c>
      <c r="AI49" s="1616">
        <v>231587.9</v>
      </c>
      <c r="AJ49" s="1616">
        <v>3358.3</v>
      </c>
      <c r="AK49" s="1616">
        <v>87301.7</v>
      </c>
      <c r="AL49" s="1616">
        <v>140699.79999999999</v>
      </c>
    </row>
    <row r="50" spans="1:38">
      <c r="A50" s="133">
        <v>2003</v>
      </c>
      <c r="B50" s="133" t="s">
        <v>11952</v>
      </c>
      <c r="C50" s="133" t="s">
        <v>11989</v>
      </c>
      <c r="D50" s="1616">
        <v>3744.6</v>
      </c>
      <c r="E50" s="1616">
        <v>290.39999999999998</v>
      </c>
      <c r="F50" s="1616">
        <v>74300.2</v>
      </c>
      <c r="G50" s="1616">
        <v>8661.7999999999993</v>
      </c>
      <c r="H50" s="1616">
        <v>1378.4</v>
      </c>
      <c r="I50" s="1616">
        <v>2113.4</v>
      </c>
      <c r="J50" s="1616">
        <v>7047.8</v>
      </c>
      <c r="K50" s="1616">
        <v>3321</v>
      </c>
      <c r="L50" s="1616">
        <v>1908.4</v>
      </c>
      <c r="M50" s="1616">
        <v>6319.9</v>
      </c>
      <c r="N50" s="1616">
        <v>3174.7</v>
      </c>
      <c r="O50" s="1616">
        <v>7812.6</v>
      </c>
      <c r="P50" s="1616">
        <v>4522</v>
      </c>
      <c r="Q50" s="1616">
        <v>4121.3999999999996</v>
      </c>
      <c r="R50" s="1616">
        <v>3926.2</v>
      </c>
      <c r="S50" s="1616">
        <v>12277.1</v>
      </c>
      <c r="T50" s="1616">
        <v>7715.5</v>
      </c>
      <c r="U50" s="1616">
        <v>7070.7</v>
      </c>
      <c r="V50" s="1616">
        <v>18379.8</v>
      </c>
      <c r="W50" s="1616">
        <v>27426</v>
      </c>
      <c r="X50" s="1616">
        <v>11571.2</v>
      </c>
      <c r="Y50" s="1616">
        <v>8453.5</v>
      </c>
      <c r="Z50" s="1616">
        <v>11353.3</v>
      </c>
      <c r="AA50" s="1616">
        <v>10947.1</v>
      </c>
      <c r="AB50" s="1616">
        <v>17174.3</v>
      </c>
      <c r="AC50" s="1616">
        <v>11939.8</v>
      </c>
      <c r="AD50" s="1616">
        <v>10867.1</v>
      </c>
      <c r="AE50" s="1616">
        <v>6525.9</v>
      </c>
      <c r="AF50" s="1616">
        <v>11738.2</v>
      </c>
      <c r="AG50" s="1616">
        <v>10951</v>
      </c>
      <c r="AH50" s="1616">
        <v>242732.9</v>
      </c>
      <c r="AI50" s="1616">
        <v>242902.39999999999</v>
      </c>
      <c r="AJ50" s="1616">
        <v>3744.6</v>
      </c>
      <c r="AK50" s="1616">
        <v>92970.4</v>
      </c>
      <c r="AL50" s="1616">
        <v>146017.9</v>
      </c>
    </row>
    <row r="51" spans="1:38">
      <c r="A51" s="133">
        <v>2004</v>
      </c>
      <c r="B51" s="133" t="s">
        <v>11946</v>
      </c>
      <c r="C51" s="133" t="s">
        <v>11990</v>
      </c>
      <c r="D51" s="1616">
        <v>2881.6</v>
      </c>
      <c r="E51" s="1616">
        <v>270.2</v>
      </c>
      <c r="F51" s="1616">
        <v>72627.8</v>
      </c>
      <c r="G51" s="1616">
        <v>7632.6</v>
      </c>
      <c r="H51" s="1616">
        <v>1375.8</v>
      </c>
      <c r="I51" s="1616">
        <v>2008.4</v>
      </c>
      <c r="J51" s="1616">
        <v>6940.3</v>
      </c>
      <c r="K51" s="1616">
        <v>3363.2</v>
      </c>
      <c r="L51" s="1616">
        <v>1816</v>
      </c>
      <c r="M51" s="1616">
        <v>6552.3</v>
      </c>
      <c r="N51" s="1616">
        <v>2429.1999999999998</v>
      </c>
      <c r="O51" s="1616">
        <v>8173.4</v>
      </c>
      <c r="P51" s="1616">
        <v>4265.5</v>
      </c>
      <c r="Q51" s="1616">
        <v>4038</v>
      </c>
      <c r="R51" s="1616">
        <v>3868.4</v>
      </c>
      <c r="S51" s="1616">
        <v>12825.2</v>
      </c>
      <c r="T51" s="1616">
        <v>7339.4</v>
      </c>
      <c r="U51" s="1616">
        <v>7355.3</v>
      </c>
      <c r="V51" s="1616">
        <v>16189.4</v>
      </c>
      <c r="W51" s="1616">
        <v>27543.5</v>
      </c>
      <c r="X51" s="1616">
        <v>10680.4</v>
      </c>
      <c r="Y51" s="1616">
        <v>7981.2</v>
      </c>
      <c r="Z51" s="1616">
        <v>13028.2</v>
      </c>
      <c r="AA51" s="1616">
        <v>10923.4</v>
      </c>
      <c r="AB51" s="1616">
        <v>17117.3</v>
      </c>
      <c r="AC51" s="1616">
        <v>11895</v>
      </c>
      <c r="AD51" s="1616">
        <v>8970.6</v>
      </c>
      <c r="AE51" s="1616">
        <v>4919.1000000000004</v>
      </c>
      <c r="AF51" s="1616">
        <v>11085.3</v>
      </c>
      <c r="AG51" s="1616">
        <v>11142.4</v>
      </c>
      <c r="AH51" s="1616">
        <v>234610.8</v>
      </c>
      <c r="AI51" s="1616">
        <v>234805.8</v>
      </c>
      <c r="AJ51" s="1616">
        <v>2881.6</v>
      </c>
      <c r="AK51" s="1616">
        <v>89087.4</v>
      </c>
      <c r="AL51" s="1616">
        <v>142641.9</v>
      </c>
    </row>
    <row r="52" spans="1:38">
      <c r="A52" s="133">
        <v>2004</v>
      </c>
      <c r="B52" s="133" t="s">
        <v>11948</v>
      </c>
      <c r="C52" s="133" t="s">
        <v>11991</v>
      </c>
      <c r="D52" s="1616">
        <v>2975.5</v>
      </c>
      <c r="E52" s="1616">
        <v>245.9</v>
      </c>
      <c r="F52" s="1616">
        <v>73328.899999999994</v>
      </c>
      <c r="G52" s="1616">
        <v>8856.2999999999993</v>
      </c>
      <c r="H52" s="1616">
        <v>1386</v>
      </c>
      <c r="I52" s="1616">
        <v>2044.2</v>
      </c>
      <c r="J52" s="1616">
        <v>6704.2</v>
      </c>
      <c r="K52" s="1616">
        <v>3328.3</v>
      </c>
      <c r="L52" s="1616">
        <v>1736.7</v>
      </c>
      <c r="M52" s="1616">
        <v>6899.6</v>
      </c>
      <c r="N52" s="1616">
        <v>2942.5</v>
      </c>
      <c r="O52" s="1616">
        <v>7985.2</v>
      </c>
      <c r="P52" s="1616">
        <v>4620.6000000000004</v>
      </c>
      <c r="Q52" s="1616">
        <v>4026.2</v>
      </c>
      <c r="R52" s="1616">
        <v>3570.6</v>
      </c>
      <c r="S52" s="1616">
        <v>12040</v>
      </c>
      <c r="T52" s="1616">
        <v>7188.4</v>
      </c>
      <c r="U52" s="1616">
        <v>6901.5</v>
      </c>
      <c r="V52" s="1616">
        <v>14006.2</v>
      </c>
      <c r="W52" s="1616">
        <v>26829.8</v>
      </c>
      <c r="X52" s="1616">
        <v>10881.6</v>
      </c>
      <c r="Y52" s="1616">
        <v>7902.3</v>
      </c>
      <c r="Z52" s="1616">
        <v>10901.1</v>
      </c>
      <c r="AA52" s="1616">
        <v>10958.7</v>
      </c>
      <c r="AB52" s="1616">
        <v>17249.900000000001</v>
      </c>
      <c r="AC52" s="1616">
        <v>11465.6</v>
      </c>
      <c r="AD52" s="1616">
        <v>10796.5</v>
      </c>
      <c r="AE52" s="1616">
        <v>6436.8</v>
      </c>
      <c r="AF52" s="1616">
        <v>11582.6</v>
      </c>
      <c r="AG52" s="1616">
        <v>11147.6</v>
      </c>
      <c r="AH52" s="1616">
        <v>233610.4</v>
      </c>
      <c r="AI52" s="1616">
        <v>233835.5</v>
      </c>
      <c r="AJ52" s="1616">
        <v>2975.5</v>
      </c>
      <c r="AK52" s="1616">
        <v>87581</v>
      </c>
      <c r="AL52" s="1616">
        <v>143054</v>
      </c>
    </row>
    <row r="53" spans="1:38">
      <c r="A53" s="133">
        <v>2004</v>
      </c>
      <c r="B53" s="133" t="s">
        <v>11950</v>
      </c>
      <c r="C53" s="133" t="s">
        <v>11992</v>
      </c>
      <c r="D53" s="1616">
        <v>3344.3</v>
      </c>
      <c r="E53" s="1616">
        <v>249.2</v>
      </c>
      <c r="F53" s="1616">
        <v>74716.600000000006</v>
      </c>
      <c r="G53" s="1616">
        <v>8316.2999999999993</v>
      </c>
      <c r="H53" s="1616">
        <v>1259.5999999999999</v>
      </c>
      <c r="I53" s="1616">
        <v>2071.4</v>
      </c>
      <c r="J53" s="1616">
        <v>7043</v>
      </c>
      <c r="K53" s="1616">
        <v>3774.1</v>
      </c>
      <c r="L53" s="1616">
        <v>1746.2</v>
      </c>
      <c r="M53" s="1616">
        <v>7120.3</v>
      </c>
      <c r="N53" s="1616">
        <v>3026.1</v>
      </c>
      <c r="O53" s="1616">
        <v>8517.7000000000007</v>
      </c>
      <c r="P53" s="1616">
        <v>4457.8999999999996</v>
      </c>
      <c r="Q53" s="1616">
        <v>4030.8</v>
      </c>
      <c r="R53" s="1616">
        <v>3512.4</v>
      </c>
      <c r="S53" s="1616">
        <v>12493.2</v>
      </c>
      <c r="T53" s="1616">
        <v>7347.6</v>
      </c>
      <c r="U53" s="1616">
        <v>7672.3</v>
      </c>
      <c r="V53" s="1616">
        <v>15800.2</v>
      </c>
      <c r="W53" s="1616">
        <v>27013.599999999999</v>
      </c>
      <c r="X53" s="1616">
        <v>11602.9</v>
      </c>
      <c r="Y53" s="1616">
        <v>8493.9</v>
      </c>
      <c r="Z53" s="1616">
        <v>11789.3</v>
      </c>
      <c r="AA53" s="1616">
        <v>10737.3</v>
      </c>
      <c r="AB53" s="1616">
        <v>17272</v>
      </c>
      <c r="AC53" s="1616">
        <v>11840</v>
      </c>
      <c r="AD53" s="1616">
        <v>8518.1</v>
      </c>
      <c r="AE53" s="1616">
        <v>4772.8999999999996</v>
      </c>
      <c r="AF53" s="1616">
        <v>11175.6</v>
      </c>
      <c r="AG53" s="1616">
        <v>11568.2</v>
      </c>
      <c r="AH53" s="1616">
        <v>236566.39999999999</v>
      </c>
      <c r="AI53" s="1616">
        <v>236814</v>
      </c>
      <c r="AJ53" s="1616">
        <v>3344.3</v>
      </c>
      <c r="AK53" s="1616">
        <v>90766</v>
      </c>
      <c r="AL53" s="1616">
        <v>142456.20000000001</v>
      </c>
    </row>
    <row r="54" spans="1:38">
      <c r="A54" s="133">
        <v>2004</v>
      </c>
      <c r="B54" s="133" t="s">
        <v>11952</v>
      </c>
      <c r="C54" s="133" t="s">
        <v>11993</v>
      </c>
      <c r="D54" s="1616">
        <v>3633.5</v>
      </c>
      <c r="E54" s="1616">
        <v>273.10000000000002</v>
      </c>
      <c r="F54" s="1616">
        <v>77817.899999999994</v>
      </c>
      <c r="G54" s="1616">
        <v>8616.2000000000007</v>
      </c>
      <c r="H54" s="1616">
        <v>1284.9000000000001</v>
      </c>
      <c r="I54" s="1616">
        <v>2124</v>
      </c>
      <c r="J54" s="1616">
        <v>7546.6</v>
      </c>
      <c r="K54" s="1616">
        <v>3832.9</v>
      </c>
      <c r="L54" s="1616">
        <v>1890.5</v>
      </c>
      <c r="M54" s="1616">
        <v>7904.5</v>
      </c>
      <c r="N54" s="1616">
        <v>3355.4</v>
      </c>
      <c r="O54" s="1616">
        <v>8826.9</v>
      </c>
      <c r="P54" s="1616">
        <v>4242.8999999999996</v>
      </c>
      <c r="Q54" s="1616">
        <v>4150.6000000000004</v>
      </c>
      <c r="R54" s="1616">
        <v>3425.3</v>
      </c>
      <c r="S54" s="1616">
        <v>12838.6</v>
      </c>
      <c r="T54" s="1616">
        <v>7778.6</v>
      </c>
      <c r="U54" s="1616">
        <v>7009.8</v>
      </c>
      <c r="V54" s="1616">
        <v>18125.7</v>
      </c>
      <c r="W54" s="1616">
        <v>28339.8</v>
      </c>
      <c r="X54" s="1616">
        <v>11641.1</v>
      </c>
      <c r="Y54" s="1616">
        <v>8068.2</v>
      </c>
      <c r="Z54" s="1616">
        <v>11343.1</v>
      </c>
      <c r="AA54" s="1616">
        <v>10765.9</v>
      </c>
      <c r="AB54" s="1616">
        <v>17344.400000000001</v>
      </c>
      <c r="AC54" s="1616">
        <v>12121.4</v>
      </c>
      <c r="AD54" s="1616">
        <v>10994.3</v>
      </c>
      <c r="AE54" s="1616">
        <v>6667.9</v>
      </c>
      <c r="AF54" s="1616">
        <v>11954.6</v>
      </c>
      <c r="AG54" s="1616">
        <v>11450.7</v>
      </c>
      <c r="AH54" s="1616">
        <v>247551.5</v>
      </c>
      <c r="AI54" s="1616">
        <v>247771.4</v>
      </c>
      <c r="AJ54" s="1616">
        <v>3633.5</v>
      </c>
      <c r="AK54" s="1616">
        <v>96216.8</v>
      </c>
      <c r="AL54" s="1616">
        <v>147701.20000000001</v>
      </c>
    </row>
    <row r="55" spans="1:38">
      <c r="A55" s="133">
        <v>2005</v>
      </c>
      <c r="B55" s="133" t="s">
        <v>11946</v>
      </c>
      <c r="C55" s="133" t="s">
        <v>11994</v>
      </c>
      <c r="D55" s="1616">
        <v>2839.8</v>
      </c>
      <c r="E55" s="1616">
        <v>256</v>
      </c>
      <c r="F55" s="1616">
        <v>75289.7</v>
      </c>
      <c r="G55" s="1616">
        <v>7507.5</v>
      </c>
      <c r="H55" s="1616">
        <v>1282.2</v>
      </c>
      <c r="I55" s="1616">
        <v>2008.1</v>
      </c>
      <c r="J55" s="1616">
        <v>7270.3</v>
      </c>
      <c r="K55" s="1616">
        <v>3863.4</v>
      </c>
      <c r="L55" s="1616">
        <v>1799.9</v>
      </c>
      <c r="M55" s="1616">
        <v>7843.9</v>
      </c>
      <c r="N55" s="1616">
        <v>2574.1999999999998</v>
      </c>
      <c r="O55" s="1616">
        <v>8591.6</v>
      </c>
      <c r="P55" s="1616">
        <v>3911.8</v>
      </c>
      <c r="Q55" s="1616">
        <v>4087.3</v>
      </c>
      <c r="R55" s="1616">
        <v>3478.2</v>
      </c>
      <c r="S55" s="1616">
        <v>13591.3</v>
      </c>
      <c r="T55" s="1616">
        <v>7479.8</v>
      </c>
      <c r="U55" s="1616">
        <v>7434.6</v>
      </c>
      <c r="V55" s="1616">
        <v>15672.1</v>
      </c>
      <c r="W55" s="1616">
        <v>28677.599999999999</v>
      </c>
      <c r="X55" s="1616">
        <v>10687.7</v>
      </c>
      <c r="Y55" s="1616">
        <v>7850</v>
      </c>
      <c r="Z55" s="1616">
        <v>13038</v>
      </c>
      <c r="AA55" s="1616">
        <v>10946.1</v>
      </c>
      <c r="AB55" s="1616">
        <v>17355.8</v>
      </c>
      <c r="AC55" s="1616">
        <v>12510.7</v>
      </c>
      <c r="AD55" s="1616">
        <v>8814.1</v>
      </c>
      <c r="AE55" s="1616">
        <v>4893.1000000000004</v>
      </c>
      <c r="AF55" s="1616">
        <v>11452.8</v>
      </c>
      <c r="AG55" s="1616">
        <v>11341.6</v>
      </c>
      <c r="AH55" s="1616">
        <v>239059.7</v>
      </c>
      <c r="AI55" s="1616">
        <v>239330.7</v>
      </c>
      <c r="AJ55" s="1616">
        <v>2839.8</v>
      </c>
      <c r="AK55" s="1616">
        <v>91217.8</v>
      </c>
      <c r="AL55" s="1616">
        <v>145002.1</v>
      </c>
    </row>
    <row r="56" spans="1:38">
      <c r="A56" s="133">
        <v>2005</v>
      </c>
      <c r="B56" s="133" t="s">
        <v>11948</v>
      </c>
      <c r="C56" s="133" t="s">
        <v>11995</v>
      </c>
      <c r="D56" s="1616">
        <v>3126.4</v>
      </c>
      <c r="E56" s="1616">
        <v>244.8</v>
      </c>
      <c r="F56" s="1616">
        <v>77339.399999999994</v>
      </c>
      <c r="G56" s="1616">
        <v>8368.5</v>
      </c>
      <c r="H56" s="1616">
        <v>1291.5</v>
      </c>
      <c r="I56" s="1616">
        <v>2049.5</v>
      </c>
      <c r="J56" s="1616">
        <v>7113.7</v>
      </c>
      <c r="K56" s="1616">
        <v>4028.9</v>
      </c>
      <c r="L56" s="1616">
        <v>1785</v>
      </c>
      <c r="M56" s="1616">
        <v>8691.2000000000007</v>
      </c>
      <c r="N56" s="1616">
        <v>3153.7</v>
      </c>
      <c r="O56" s="1616">
        <v>8737.5</v>
      </c>
      <c r="P56" s="1616">
        <v>4210.8</v>
      </c>
      <c r="Q56" s="1616">
        <v>4086.4</v>
      </c>
      <c r="R56" s="1616">
        <v>3296.1</v>
      </c>
      <c r="S56" s="1616">
        <v>12987.1</v>
      </c>
      <c r="T56" s="1616">
        <v>7539.7</v>
      </c>
      <c r="U56" s="1616">
        <v>6922.8</v>
      </c>
      <c r="V56" s="1616">
        <v>13777.9</v>
      </c>
      <c r="W56" s="1616">
        <v>27980.3</v>
      </c>
      <c r="X56" s="1616">
        <v>11060.7</v>
      </c>
      <c r="Y56" s="1616">
        <v>7731.4</v>
      </c>
      <c r="Z56" s="1616">
        <v>10842.6</v>
      </c>
      <c r="AA56" s="1616">
        <v>10883.8</v>
      </c>
      <c r="AB56" s="1616">
        <v>17463.099999999999</v>
      </c>
      <c r="AC56" s="1616">
        <v>11999.2</v>
      </c>
      <c r="AD56" s="1616">
        <v>10675.1</v>
      </c>
      <c r="AE56" s="1616">
        <v>6480.5</v>
      </c>
      <c r="AF56" s="1616">
        <v>11903.8</v>
      </c>
      <c r="AG56" s="1616">
        <v>11007.7</v>
      </c>
      <c r="AH56" s="1616">
        <v>239439.5</v>
      </c>
      <c r="AI56" s="1616">
        <v>239786.1</v>
      </c>
      <c r="AJ56" s="1616">
        <v>3126.4</v>
      </c>
      <c r="AK56" s="1616">
        <v>91362.1</v>
      </c>
      <c r="AL56" s="1616">
        <v>144950.9</v>
      </c>
    </row>
    <row r="57" spans="1:38">
      <c r="A57" s="133">
        <v>2005</v>
      </c>
      <c r="B57" s="133" t="s">
        <v>11950</v>
      </c>
      <c r="C57" s="133" t="s">
        <v>11996</v>
      </c>
      <c r="D57" s="1616">
        <v>3070.4</v>
      </c>
      <c r="E57" s="1616">
        <v>245.1</v>
      </c>
      <c r="F57" s="1616">
        <v>78362</v>
      </c>
      <c r="G57" s="1616">
        <v>8164.2</v>
      </c>
      <c r="H57" s="1616">
        <v>1163.7</v>
      </c>
      <c r="I57" s="1616">
        <v>2026.1</v>
      </c>
      <c r="J57" s="1616">
        <v>7306.7</v>
      </c>
      <c r="K57" s="1616">
        <v>4575.7</v>
      </c>
      <c r="L57" s="1616">
        <v>1749.9</v>
      </c>
      <c r="M57" s="1616">
        <v>8423.9</v>
      </c>
      <c r="N57" s="1616">
        <v>3160.2</v>
      </c>
      <c r="O57" s="1616">
        <v>9169.9</v>
      </c>
      <c r="P57" s="1616">
        <v>4629.8</v>
      </c>
      <c r="Q57" s="1616">
        <v>4229.6000000000004</v>
      </c>
      <c r="R57" s="1616">
        <v>3231.7</v>
      </c>
      <c r="S57" s="1616">
        <v>13099.4</v>
      </c>
      <c r="T57" s="1616">
        <v>7431.1</v>
      </c>
      <c r="U57" s="1616">
        <v>7599.4</v>
      </c>
      <c r="V57" s="1616">
        <v>15757.6</v>
      </c>
      <c r="W57" s="1616">
        <v>28504.5</v>
      </c>
      <c r="X57" s="1616">
        <v>11747.4</v>
      </c>
      <c r="Y57" s="1616">
        <v>8319.9</v>
      </c>
      <c r="Z57" s="1616">
        <v>11850.3</v>
      </c>
      <c r="AA57" s="1616">
        <v>11124.1</v>
      </c>
      <c r="AB57" s="1616">
        <v>17558.2</v>
      </c>
      <c r="AC57" s="1616">
        <v>12382.1</v>
      </c>
      <c r="AD57" s="1616">
        <v>8441.1</v>
      </c>
      <c r="AE57" s="1616">
        <v>4824.6000000000004</v>
      </c>
      <c r="AF57" s="1616">
        <v>11481.5</v>
      </c>
      <c r="AG57" s="1616">
        <v>11457.3</v>
      </c>
      <c r="AH57" s="1616">
        <v>242725.5</v>
      </c>
      <c r="AI57" s="1616">
        <v>243176.8</v>
      </c>
      <c r="AJ57" s="1616">
        <v>3070.4</v>
      </c>
      <c r="AK57" s="1616">
        <v>94364.7</v>
      </c>
      <c r="AL57" s="1616">
        <v>145290.4</v>
      </c>
    </row>
    <row r="58" spans="1:38">
      <c r="A58" s="133">
        <v>2005</v>
      </c>
      <c r="B58" s="133" t="s">
        <v>11952</v>
      </c>
      <c r="C58" s="133" t="s">
        <v>11997</v>
      </c>
      <c r="D58" s="1616">
        <v>3089.7</v>
      </c>
      <c r="E58" s="1616">
        <v>268.39999999999998</v>
      </c>
      <c r="F58" s="1616">
        <v>81739.899999999994</v>
      </c>
      <c r="G58" s="1616">
        <v>8207</v>
      </c>
      <c r="H58" s="1616">
        <v>1203.5</v>
      </c>
      <c r="I58" s="1616">
        <v>2085.8000000000002</v>
      </c>
      <c r="J58" s="1616">
        <v>7653.3</v>
      </c>
      <c r="K58" s="1616">
        <v>4898.7</v>
      </c>
      <c r="L58" s="1616">
        <v>1908.2</v>
      </c>
      <c r="M58" s="1616">
        <v>8882.2999999999993</v>
      </c>
      <c r="N58" s="1616">
        <v>3509.7</v>
      </c>
      <c r="O58" s="1616">
        <v>9113.6</v>
      </c>
      <c r="P58" s="1616">
        <v>4749</v>
      </c>
      <c r="Q58" s="1616">
        <v>4424.1000000000004</v>
      </c>
      <c r="R58" s="1616">
        <v>3430</v>
      </c>
      <c r="S58" s="1616">
        <v>13965.2</v>
      </c>
      <c r="T58" s="1616">
        <v>7709.5</v>
      </c>
      <c r="U58" s="1616">
        <v>7309.5</v>
      </c>
      <c r="V58" s="1616">
        <v>18061.400000000001</v>
      </c>
      <c r="W58" s="1616">
        <v>29978.3</v>
      </c>
      <c r="X58" s="1616">
        <v>11916.7</v>
      </c>
      <c r="Y58" s="1616">
        <v>8086.1</v>
      </c>
      <c r="Z58" s="1616">
        <v>11370.6</v>
      </c>
      <c r="AA58" s="1616">
        <v>11546.7</v>
      </c>
      <c r="AB58" s="1616">
        <v>17651.400000000001</v>
      </c>
      <c r="AC58" s="1616">
        <v>12776.4</v>
      </c>
      <c r="AD58" s="1616">
        <v>10825.1</v>
      </c>
      <c r="AE58" s="1616">
        <v>6701.4</v>
      </c>
      <c r="AF58" s="1616">
        <v>12260.4</v>
      </c>
      <c r="AG58" s="1616">
        <v>11303.6</v>
      </c>
      <c r="AH58" s="1616">
        <v>254885.7</v>
      </c>
      <c r="AI58" s="1616">
        <v>255378.4</v>
      </c>
      <c r="AJ58" s="1616">
        <v>3089.7</v>
      </c>
      <c r="AK58" s="1616">
        <v>100069.7</v>
      </c>
      <c r="AL58" s="1616">
        <v>151726.20000000001</v>
      </c>
    </row>
    <row r="59" spans="1:38">
      <c r="A59" s="133">
        <v>2006</v>
      </c>
      <c r="B59" s="133" t="s">
        <v>11946</v>
      </c>
      <c r="C59" s="133" t="s">
        <v>11998</v>
      </c>
      <c r="D59" s="1616">
        <v>2653.2</v>
      </c>
      <c r="E59" s="1616">
        <v>249.8</v>
      </c>
      <c r="F59" s="1616">
        <v>80145.8</v>
      </c>
      <c r="G59" s="1616">
        <v>7510.1</v>
      </c>
      <c r="H59" s="1616">
        <v>1213.7</v>
      </c>
      <c r="I59" s="1616">
        <v>2017.8</v>
      </c>
      <c r="J59" s="1616">
        <v>7517.2</v>
      </c>
      <c r="K59" s="1616">
        <v>4986.3</v>
      </c>
      <c r="L59" s="1616">
        <v>1780.6</v>
      </c>
      <c r="M59" s="1616">
        <v>8659.7999999999993</v>
      </c>
      <c r="N59" s="1616">
        <v>2669.5</v>
      </c>
      <c r="O59" s="1616">
        <v>9493.1</v>
      </c>
      <c r="P59" s="1616">
        <v>4385.6000000000004</v>
      </c>
      <c r="Q59" s="1616">
        <v>4493.7</v>
      </c>
      <c r="R59" s="1616">
        <v>3477.7</v>
      </c>
      <c r="S59" s="1616">
        <v>14614.8</v>
      </c>
      <c r="T59" s="1616">
        <v>7325.8</v>
      </c>
      <c r="U59" s="1616">
        <v>7594.8</v>
      </c>
      <c r="V59" s="1616">
        <v>15994.8</v>
      </c>
      <c r="W59" s="1616">
        <v>29004.3</v>
      </c>
      <c r="X59" s="1616">
        <v>11088</v>
      </c>
      <c r="Y59" s="1616">
        <v>7783.4</v>
      </c>
      <c r="Z59" s="1616">
        <v>13168.8</v>
      </c>
      <c r="AA59" s="1616">
        <v>11427.3</v>
      </c>
      <c r="AB59" s="1616">
        <v>17679.400000000001</v>
      </c>
      <c r="AC59" s="1616">
        <v>13246.3</v>
      </c>
      <c r="AD59" s="1616">
        <v>8687.2999999999993</v>
      </c>
      <c r="AE59" s="1616">
        <v>4951.5</v>
      </c>
      <c r="AF59" s="1616">
        <v>11537.4</v>
      </c>
      <c r="AG59" s="1616">
        <v>11266.9</v>
      </c>
      <c r="AH59" s="1616">
        <v>246479</v>
      </c>
      <c r="AI59" s="1616">
        <v>247039.1</v>
      </c>
      <c r="AJ59" s="1616">
        <v>2653.2</v>
      </c>
      <c r="AK59" s="1616">
        <v>96390.5</v>
      </c>
      <c r="AL59" s="1616">
        <v>147435.4</v>
      </c>
    </row>
    <row r="60" spans="1:38">
      <c r="A60" s="133">
        <v>2006</v>
      </c>
      <c r="B60" s="133" t="s">
        <v>11948</v>
      </c>
      <c r="C60" s="133" t="s">
        <v>11999</v>
      </c>
      <c r="D60" s="1616">
        <v>2914</v>
      </c>
      <c r="E60" s="1616">
        <v>231.8</v>
      </c>
      <c r="F60" s="1616">
        <v>80976.100000000006</v>
      </c>
      <c r="G60" s="1616">
        <v>8287.2000000000007</v>
      </c>
      <c r="H60" s="1616">
        <v>1262.5</v>
      </c>
      <c r="I60" s="1616">
        <v>2059.1</v>
      </c>
      <c r="J60" s="1616">
        <v>7401.3</v>
      </c>
      <c r="K60" s="1616">
        <v>4641.1000000000004</v>
      </c>
      <c r="L60" s="1616">
        <v>1834.3</v>
      </c>
      <c r="M60" s="1616">
        <v>9535.9</v>
      </c>
      <c r="N60" s="1616">
        <v>3187.3</v>
      </c>
      <c r="O60" s="1616">
        <v>9292.6</v>
      </c>
      <c r="P60" s="1616">
        <v>4516.1000000000004</v>
      </c>
      <c r="Q60" s="1616">
        <v>4441.7</v>
      </c>
      <c r="R60" s="1616">
        <v>3445.8</v>
      </c>
      <c r="S60" s="1616">
        <v>13520.5</v>
      </c>
      <c r="T60" s="1616">
        <v>7550.5</v>
      </c>
      <c r="U60" s="1616">
        <v>7029</v>
      </c>
      <c r="V60" s="1616">
        <v>13930.6</v>
      </c>
      <c r="W60" s="1616">
        <v>27545.7</v>
      </c>
      <c r="X60" s="1616">
        <v>11304.6</v>
      </c>
      <c r="Y60" s="1616">
        <v>7746.5</v>
      </c>
      <c r="Z60" s="1616">
        <v>11064.6</v>
      </c>
      <c r="AA60" s="1616">
        <v>11076</v>
      </c>
      <c r="AB60" s="1616">
        <v>17929.5</v>
      </c>
      <c r="AC60" s="1616">
        <v>12898.7</v>
      </c>
      <c r="AD60" s="1616">
        <v>10594.3</v>
      </c>
      <c r="AE60" s="1616">
        <v>6499.9</v>
      </c>
      <c r="AF60" s="1616">
        <v>12009.7</v>
      </c>
      <c r="AG60" s="1616">
        <v>10883.3</v>
      </c>
      <c r="AH60" s="1616">
        <v>244634.3</v>
      </c>
      <c r="AI60" s="1616">
        <v>245151.4</v>
      </c>
      <c r="AJ60" s="1616">
        <v>2914</v>
      </c>
      <c r="AK60" s="1616">
        <v>95138.5</v>
      </c>
      <c r="AL60" s="1616">
        <v>146581.79999999999</v>
      </c>
    </row>
    <row r="61" spans="1:38">
      <c r="A61" s="133">
        <v>2006</v>
      </c>
      <c r="B61" s="133" t="s">
        <v>11950</v>
      </c>
      <c r="C61" s="133" t="s">
        <v>12000</v>
      </c>
      <c r="D61" s="1616">
        <v>3275.2</v>
      </c>
      <c r="E61" s="1616">
        <v>232.7</v>
      </c>
      <c r="F61" s="1616">
        <v>82637.399999999994</v>
      </c>
      <c r="G61" s="1616">
        <v>7947.6</v>
      </c>
      <c r="H61" s="1616">
        <v>1154.2</v>
      </c>
      <c r="I61" s="1616">
        <v>2051.1999999999998</v>
      </c>
      <c r="J61" s="1616">
        <v>7767.1</v>
      </c>
      <c r="K61" s="1616">
        <v>5314.1</v>
      </c>
      <c r="L61" s="1616">
        <v>1844.4</v>
      </c>
      <c r="M61" s="1616">
        <v>9623.7000000000007</v>
      </c>
      <c r="N61" s="1616">
        <v>3177.2</v>
      </c>
      <c r="O61" s="1616">
        <v>9595.7000000000007</v>
      </c>
      <c r="P61" s="1616">
        <v>4821.8</v>
      </c>
      <c r="Q61" s="1616">
        <v>4522.8999999999996</v>
      </c>
      <c r="R61" s="1616">
        <v>3322.2</v>
      </c>
      <c r="S61" s="1616">
        <v>13897.4</v>
      </c>
      <c r="T61" s="1616">
        <v>7597.8</v>
      </c>
      <c r="U61" s="1616">
        <v>7654.3</v>
      </c>
      <c r="V61" s="1616">
        <v>15360.2</v>
      </c>
      <c r="W61" s="1616">
        <v>27682.2</v>
      </c>
      <c r="X61" s="1616">
        <v>12011</v>
      </c>
      <c r="Y61" s="1616">
        <v>8393.5</v>
      </c>
      <c r="Z61" s="1616">
        <v>11847.2</v>
      </c>
      <c r="AA61" s="1616">
        <v>10869.1</v>
      </c>
      <c r="AB61" s="1616">
        <v>18047.8</v>
      </c>
      <c r="AC61" s="1616">
        <v>13070.2</v>
      </c>
      <c r="AD61" s="1616">
        <v>8318</v>
      </c>
      <c r="AE61" s="1616">
        <v>4843.1000000000004</v>
      </c>
      <c r="AF61" s="1616">
        <v>11558</v>
      </c>
      <c r="AG61" s="1616">
        <v>11243</v>
      </c>
      <c r="AH61" s="1616">
        <v>247043</v>
      </c>
      <c r="AI61" s="1616">
        <v>247596.9</v>
      </c>
      <c r="AJ61" s="1616">
        <v>3275.2</v>
      </c>
      <c r="AK61" s="1616">
        <v>98230.3</v>
      </c>
      <c r="AL61" s="1616">
        <v>145537.4</v>
      </c>
    </row>
    <row r="62" spans="1:38">
      <c r="A62" s="133">
        <v>2006</v>
      </c>
      <c r="B62" s="133" t="s">
        <v>11952</v>
      </c>
      <c r="C62" s="133" t="s">
        <v>12001</v>
      </c>
      <c r="D62" s="1616">
        <v>3208.4</v>
      </c>
      <c r="E62" s="1616">
        <v>255.4</v>
      </c>
      <c r="F62" s="1616">
        <v>87041.4</v>
      </c>
      <c r="G62" s="1616">
        <v>8362</v>
      </c>
      <c r="H62" s="1616">
        <v>1199.8</v>
      </c>
      <c r="I62" s="1616">
        <v>2128.8000000000002</v>
      </c>
      <c r="J62" s="1616">
        <v>7990.4</v>
      </c>
      <c r="K62" s="1616">
        <v>5022.3999999999996</v>
      </c>
      <c r="L62" s="1616">
        <v>2013.8</v>
      </c>
      <c r="M62" s="1616">
        <v>10331.1</v>
      </c>
      <c r="N62" s="1616">
        <v>3665</v>
      </c>
      <c r="O62" s="1616">
        <v>9802.5</v>
      </c>
      <c r="P62" s="1616">
        <v>4654.1000000000004</v>
      </c>
      <c r="Q62" s="1616">
        <v>4692.1000000000004</v>
      </c>
      <c r="R62" s="1616">
        <v>3794.9</v>
      </c>
      <c r="S62" s="1616">
        <v>15376.7</v>
      </c>
      <c r="T62" s="1616">
        <v>8007.9</v>
      </c>
      <c r="U62" s="1616">
        <v>7339.9</v>
      </c>
      <c r="V62" s="1616">
        <v>17570.099999999999</v>
      </c>
      <c r="W62" s="1616">
        <v>29339.5</v>
      </c>
      <c r="X62" s="1616">
        <v>12174</v>
      </c>
      <c r="Y62" s="1616">
        <v>8106.6</v>
      </c>
      <c r="Z62" s="1616">
        <v>11748.2</v>
      </c>
      <c r="AA62" s="1616">
        <v>11128.3</v>
      </c>
      <c r="AB62" s="1616">
        <v>18073.400000000001</v>
      </c>
      <c r="AC62" s="1616">
        <v>13351.4</v>
      </c>
      <c r="AD62" s="1616">
        <v>10707.8</v>
      </c>
      <c r="AE62" s="1616">
        <v>6720</v>
      </c>
      <c r="AF62" s="1616">
        <v>12314.9</v>
      </c>
      <c r="AG62" s="1616">
        <v>11255.3</v>
      </c>
      <c r="AH62" s="1616">
        <v>260334.7</v>
      </c>
      <c r="AI62" s="1616">
        <v>260868.5</v>
      </c>
      <c r="AJ62" s="1616">
        <v>3208.4</v>
      </c>
      <c r="AK62" s="1616">
        <v>104867</v>
      </c>
      <c r="AL62" s="1616">
        <v>152259.4</v>
      </c>
    </row>
    <row r="63" spans="1:38">
      <c r="A63" s="133">
        <v>2007</v>
      </c>
      <c r="B63" s="133" t="s">
        <v>11946</v>
      </c>
      <c r="C63" s="133" t="s">
        <v>12002</v>
      </c>
      <c r="D63" s="1616">
        <v>2691.7</v>
      </c>
      <c r="E63" s="1616">
        <v>235.4</v>
      </c>
      <c r="F63" s="1616">
        <v>84689.4</v>
      </c>
      <c r="G63" s="1616">
        <v>7520.2</v>
      </c>
      <c r="H63" s="1616">
        <v>1225.3</v>
      </c>
      <c r="I63" s="1616">
        <v>2067.1999999999998</v>
      </c>
      <c r="J63" s="1616">
        <v>7854.8</v>
      </c>
      <c r="K63" s="1616">
        <v>4926.5</v>
      </c>
      <c r="L63" s="1616">
        <v>1924.1</v>
      </c>
      <c r="M63" s="1616">
        <v>10165.299999999999</v>
      </c>
      <c r="N63" s="1616">
        <v>2785.9</v>
      </c>
      <c r="O63" s="1616">
        <v>10293.799999999999</v>
      </c>
      <c r="P63" s="1616">
        <v>4414.2</v>
      </c>
      <c r="Q63" s="1616">
        <v>4719.2</v>
      </c>
      <c r="R63" s="1616">
        <v>3675.6</v>
      </c>
      <c r="S63" s="1616">
        <v>15552.1</v>
      </c>
      <c r="T63" s="1616">
        <v>7565.2</v>
      </c>
      <c r="U63" s="1616">
        <v>7623.9</v>
      </c>
      <c r="V63" s="1616">
        <v>15528.6</v>
      </c>
      <c r="W63" s="1616">
        <v>28308.9</v>
      </c>
      <c r="X63" s="1616">
        <v>11438.3</v>
      </c>
      <c r="Y63" s="1616">
        <v>7936.3</v>
      </c>
      <c r="Z63" s="1616">
        <v>13336.1</v>
      </c>
      <c r="AA63" s="1616">
        <v>11493.6</v>
      </c>
      <c r="AB63" s="1616">
        <v>18082.900000000001</v>
      </c>
      <c r="AC63" s="1616">
        <v>13872.8</v>
      </c>
      <c r="AD63" s="1616">
        <v>8575.2999999999993</v>
      </c>
      <c r="AE63" s="1616">
        <v>4949</v>
      </c>
      <c r="AF63" s="1616">
        <v>11588.9</v>
      </c>
      <c r="AG63" s="1616">
        <v>11105.4</v>
      </c>
      <c r="AH63" s="1616">
        <v>251456.5</v>
      </c>
      <c r="AI63" s="1616">
        <v>251897.7</v>
      </c>
      <c r="AJ63" s="1616">
        <v>2691.7</v>
      </c>
      <c r="AK63" s="1616">
        <v>100453.4</v>
      </c>
      <c r="AL63" s="1616">
        <v>148311.4</v>
      </c>
    </row>
    <row r="64" spans="1:38">
      <c r="A64" s="133">
        <v>2007</v>
      </c>
      <c r="B64" s="133" t="s">
        <v>11948</v>
      </c>
      <c r="C64" s="133" t="s">
        <v>12003</v>
      </c>
      <c r="D64" s="1616">
        <v>2875.7</v>
      </c>
      <c r="E64" s="1616">
        <v>230.8</v>
      </c>
      <c r="F64" s="1616">
        <v>86035.3</v>
      </c>
      <c r="G64" s="1616">
        <v>8531.2999999999993</v>
      </c>
      <c r="H64" s="1616">
        <v>1242.8</v>
      </c>
      <c r="I64" s="1616">
        <v>2084.9</v>
      </c>
      <c r="J64" s="1616">
        <v>7830.4</v>
      </c>
      <c r="K64" s="1616">
        <v>4862.1000000000004</v>
      </c>
      <c r="L64" s="1616">
        <v>1963.9</v>
      </c>
      <c r="M64" s="1616">
        <v>11048.9</v>
      </c>
      <c r="N64" s="1616">
        <v>3212.3</v>
      </c>
      <c r="O64" s="1616">
        <v>9877.2999999999993</v>
      </c>
      <c r="P64" s="1616">
        <v>4660.2</v>
      </c>
      <c r="Q64" s="1616">
        <v>4677.2</v>
      </c>
      <c r="R64" s="1616">
        <v>3598.6</v>
      </c>
      <c r="S64" s="1616">
        <v>14663.9</v>
      </c>
      <c r="T64" s="1616">
        <v>7781.6</v>
      </c>
      <c r="U64" s="1616">
        <v>7247.3</v>
      </c>
      <c r="V64" s="1616">
        <v>13665.1</v>
      </c>
      <c r="W64" s="1616">
        <v>27800</v>
      </c>
      <c r="X64" s="1616">
        <v>11749.7</v>
      </c>
      <c r="Y64" s="1616">
        <v>7883.2</v>
      </c>
      <c r="Z64" s="1616">
        <v>11259.6</v>
      </c>
      <c r="AA64" s="1616">
        <v>11442.9</v>
      </c>
      <c r="AB64" s="1616">
        <v>18275.8</v>
      </c>
      <c r="AC64" s="1616">
        <v>13586.8</v>
      </c>
      <c r="AD64" s="1616">
        <v>10680</v>
      </c>
      <c r="AE64" s="1616">
        <v>6475.5</v>
      </c>
      <c r="AF64" s="1616">
        <v>12027.9</v>
      </c>
      <c r="AG64" s="1616">
        <v>10865.5</v>
      </c>
      <c r="AH64" s="1616">
        <v>252100.9</v>
      </c>
      <c r="AI64" s="1616">
        <v>252623.8</v>
      </c>
      <c r="AJ64" s="1616">
        <v>2875.7</v>
      </c>
      <c r="AK64" s="1616">
        <v>99931.1</v>
      </c>
      <c r="AL64" s="1616">
        <v>149294.1</v>
      </c>
    </row>
    <row r="65" spans="1:38">
      <c r="A65" s="133">
        <v>2007</v>
      </c>
      <c r="B65" s="133" t="s">
        <v>11950</v>
      </c>
      <c r="C65" s="133" t="s">
        <v>12004</v>
      </c>
      <c r="D65" s="1616">
        <v>3288.7</v>
      </c>
      <c r="E65" s="1616">
        <v>238.4</v>
      </c>
      <c r="F65" s="1616">
        <v>87335.5</v>
      </c>
      <c r="G65" s="1616">
        <v>8412</v>
      </c>
      <c r="H65" s="1616">
        <v>1140.9000000000001</v>
      </c>
      <c r="I65" s="1616">
        <v>2124</v>
      </c>
      <c r="J65" s="1616">
        <v>8059.8</v>
      </c>
      <c r="K65" s="1616">
        <v>5412.1</v>
      </c>
      <c r="L65" s="1616">
        <v>1900.3</v>
      </c>
      <c r="M65" s="1616">
        <v>10966.1</v>
      </c>
      <c r="N65" s="1616">
        <v>3268.5</v>
      </c>
      <c r="O65" s="1616">
        <v>10111.200000000001</v>
      </c>
      <c r="P65" s="1616">
        <v>5080.6000000000004</v>
      </c>
      <c r="Q65" s="1616">
        <v>4787.3</v>
      </c>
      <c r="R65" s="1616">
        <v>3631.9</v>
      </c>
      <c r="S65" s="1616">
        <v>14689.2</v>
      </c>
      <c r="T65" s="1616">
        <v>7751.6</v>
      </c>
      <c r="U65" s="1616">
        <v>7956.3</v>
      </c>
      <c r="V65" s="1616">
        <v>14477.5</v>
      </c>
      <c r="W65" s="1616">
        <v>27479</v>
      </c>
      <c r="X65" s="1616">
        <v>12436.4</v>
      </c>
      <c r="Y65" s="1616">
        <v>8508.5</v>
      </c>
      <c r="Z65" s="1616">
        <v>12139</v>
      </c>
      <c r="AA65" s="1616">
        <v>11255.6</v>
      </c>
      <c r="AB65" s="1616">
        <v>18215.599999999999</v>
      </c>
      <c r="AC65" s="1616">
        <v>13824.5</v>
      </c>
      <c r="AD65" s="1616">
        <v>8371.2000000000007</v>
      </c>
      <c r="AE65" s="1616">
        <v>4844</v>
      </c>
      <c r="AF65" s="1616">
        <v>11587</v>
      </c>
      <c r="AG65" s="1616">
        <v>11126.3</v>
      </c>
      <c r="AH65" s="1616">
        <v>253083.5</v>
      </c>
      <c r="AI65" s="1616">
        <v>253632.7</v>
      </c>
      <c r="AJ65" s="1616">
        <v>3288.7</v>
      </c>
      <c r="AK65" s="1616">
        <v>102051.4</v>
      </c>
      <c r="AL65" s="1616">
        <v>147743.4</v>
      </c>
    </row>
    <row r="66" spans="1:38">
      <c r="A66" s="133">
        <v>2007</v>
      </c>
      <c r="B66" s="133" t="s">
        <v>11952</v>
      </c>
      <c r="C66" s="133" t="s">
        <v>12005</v>
      </c>
      <c r="D66" s="1616">
        <v>3300.4</v>
      </c>
      <c r="E66" s="1616">
        <v>246</v>
      </c>
      <c r="F66" s="1616">
        <v>92671.2</v>
      </c>
      <c r="G66" s="1616">
        <v>8691</v>
      </c>
      <c r="H66" s="1616">
        <v>1177.3</v>
      </c>
      <c r="I66" s="1616">
        <v>2275.6</v>
      </c>
      <c r="J66" s="1616">
        <v>8528.2999999999993</v>
      </c>
      <c r="K66" s="1616">
        <v>5951.5</v>
      </c>
      <c r="L66" s="1616">
        <v>2031.4</v>
      </c>
      <c r="M66" s="1616">
        <v>11562.7</v>
      </c>
      <c r="N66" s="1616">
        <v>3651.5</v>
      </c>
      <c r="O66" s="1616">
        <v>10134.5</v>
      </c>
      <c r="P66" s="1616">
        <v>5249</v>
      </c>
      <c r="Q66" s="1616">
        <v>4854.6000000000004</v>
      </c>
      <c r="R66" s="1616">
        <v>3888.8</v>
      </c>
      <c r="S66" s="1616">
        <v>16632.900000000001</v>
      </c>
      <c r="T66" s="1616">
        <v>8042.1</v>
      </c>
      <c r="U66" s="1616">
        <v>7616.2</v>
      </c>
      <c r="V66" s="1616">
        <v>15831.9</v>
      </c>
      <c r="W66" s="1616">
        <v>29314.6</v>
      </c>
      <c r="X66" s="1616">
        <v>12570.7</v>
      </c>
      <c r="Y66" s="1616">
        <v>8085.3</v>
      </c>
      <c r="Z66" s="1616">
        <v>11787.9</v>
      </c>
      <c r="AA66" s="1616">
        <v>10965.5</v>
      </c>
      <c r="AB66" s="1616">
        <v>18357.099999999999</v>
      </c>
      <c r="AC66" s="1616">
        <v>14292.5</v>
      </c>
      <c r="AD66" s="1616">
        <v>10843.2</v>
      </c>
      <c r="AE66" s="1616">
        <v>6734.6</v>
      </c>
      <c r="AF66" s="1616">
        <v>12497.6</v>
      </c>
      <c r="AG66" s="1616">
        <v>11055.6</v>
      </c>
      <c r="AH66" s="1616">
        <v>266170.5</v>
      </c>
      <c r="AI66" s="1616">
        <v>266729.40000000002</v>
      </c>
      <c r="AJ66" s="1616">
        <v>3300.4</v>
      </c>
      <c r="AK66" s="1616">
        <v>108749.1</v>
      </c>
      <c r="AL66" s="1616">
        <v>154121</v>
      </c>
    </row>
    <row r="67" spans="1:38">
      <c r="A67" s="133">
        <v>2008</v>
      </c>
      <c r="B67" s="133" t="s">
        <v>11946</v>
      </c>
      <c r="C67" s="133" t="s">
        <v>12006</v>
      </c>
      <c r="D67" s="1616">
        <v>2721.5</v>
      </c>
      <c r="E67" s="1616">
        <v>228.4</v>
      </c>
      <c r="F67" s="1616">
        <v>89520.4</v>
      </c>
      <c r="G67" s="1616">
        <v>7809.8</v>
      </c>
      <c r="H67" s="1616">
        <v>1214.4000000000001</v>
      </c>
      <c r="I67" s="1616">
        <v>2214.6999999999998</v>
      </c>
      <c r="J67" s="1616">
        <v>8364</v>
      </c>
      <c r="K67" s="1616">
        <v>5803.8</v>
      </c>
      <c r="L67" s="1616">
        <v>1862.3</v>
      </c>
      <c r="M67" s="1616">
        <v>11819.5</v>
      </c>
      <c r="N67" s="1616">
        <v>2849</v>
      </c>
      <c r="O67" s="1616">
        <v>10313.6</v>
      </c>
      <c r="P67" s="1616">
        <v>4788.3</v>
      </c>
      <c r="Q67" s="1616">
        <v>4516.2</v>
      </c>
      <c r="R67" s="1616">
        <v>3663.7</v>
      </c>
      <c r="S67" s="1616">
        <v>16690</v>
      </c>
      <c r="T67" s="1616">
        <v>7611.1</v>
      </c>
      <c r="U67" s="1616">
        <v>8073.5</v>
      </c>
      <c r="V67" s="1616">
        <v>14315.2</v>
      </c>
      <c r="W67" s="1616">
        <v>29025.5</v>
      </c>
      <c r="X67" s="1616">
        <v>11577.1</v>
      </c>
      <c r="Y67" s="1616">
        <v>7953.5</v>
      </c>
      <c r="Z67" s="1616">
        <v>13519</v>
      </c>
      <c r="AA67" s="1616">
        <v>10635.5</v>
      </c>
      <c r="AB67" s="1616">
        <v>18475.900000000001</v>
      </c>
      <c r="AC67" s="1616">
        <v>15139.3</v>
      </c>
      <c r="AD67" s="1616">
        <v>8680.6</v>
      </c>
      <c r="AE67" s="1616">
        <v>4996.1000000000004</v>
      </c>
      <c r="AF67" s="1616">
        <v>11909</v>
      </c>
      <c r="AG67" s="1616">
        <v>10711.8</v>
      </c>
      <c r="AH67" s="1616">
        <v>257482.4</v>
      </c>
      <c r="AI67" s="1616">
        <v>258003.20000000001</v>
      </c>
      <c r="AJ67" s="1616">
        <v>2721.5</v>
      </c>
      <c r="AK67" s="1616">
        <v>104064</v>
      </c>
      <c r="AL67" s="1616">
        <v>150696.79999999999</v>
      </c>
    </row>
    <row r="68" spans="1:38">
      <c r="A68" s="133">
        <v>2008</v>
      </c>
      <c r="B68" s="133" t="s">
        <v>11948</v>
      </c>
      <c r="C68" s="133" t="s">
        <v>12007</v>
      </c>
      <c r="D68" s="1616">
        <v>3014.2</v>
      </c>
      <c r="E68" s="1616">
        <v>223.3</v>
      </c>
      <c r="F68" s="1616">
        <v>89951.5</v>
      </c>
      <c r="G68" s="1616">
        <v>8768.2000000000007</v>
      </c>
      <c r="H68" s="1616">
        <v>1210</v>
      </c>
      <c r="I68" s="1616">
        <v>2250.1999999999998</v>
      </c>
      <c r="J68" s="1616">
        <v>8257.7999999999993</v>
      </c>
      <c r="K68" s="1616">
        <v>5948.6</v>
      </c>
      <c r="L68" s="1616">
        <v>1915.9</v>
      </c>
      <c r="M68" s="1616">
        <v>12682.9</v>
      </c>
      <c r="N68" s="1616">
        <v>3310.2</v>
      </c>
      <c r="O68" s="1616">
        <v>9740.6</v>
      </c>
      <c r="P68" s="1616">
        <v>4918.1000000000004</v>
      </c>
      <c r="Q68" s="1616">
        <v>4455.5</v>
      </c>
      <c r="R68" s="1616">
        <v>3366</v>
      </c>
      <c r="S68" s="1616">
        <v>15426.5</v>
      </c>
      <c r="T68" s="1616">
        <v>7701.2</v>
      </c>
      <c r="U68" s="1616">
        <v>7427.9</v>
      </c>
      <c r="V68" s="1616">
        <v>12612.1</v>
      </c>
      <c r="W68" s="1616">
        <v>29684.6</v>
      </c>
      <c r="X68" s="1616">
        <v>11871.5</v>
      </c>
      <c r="Y68" s="1616">
        <v>7728.7</v>
      </c>
      <c r="Z68" s="1616">
        <v>11398.1</v>
      </c>
      <c r="AA68" s="1616">
        <v>9970</v>
      </c>
      <c r="AB68" s="1616">
        <v>18690.5</v>
      </c>
      <c r="AC68" s="1616">
        <v>14595.7</v>
      </c>
      <c r="AD68" s="1616">
        <v>10520.5</v>
      </c>
      <c r="AE68" s="1616">
        <v>6488.3</v>
      </c>
      <c r="AF68" s="1616">
        <v>12126.1</v>
      </c>
      <c r="AG68" s="1616">
        <v>10314.700000000001</v>
      </c>
      <c r="AH68" s="1616">
        <v>256617.5</v>
      </c>
      <c r="AI68" s="1616">
        <v>257221.9</v>
      </c>
      <c r="AJ68" s="1616">
        <v>3014.2</v>
      </c>
      <c r="AK68" s="1616">
        <v>102786.9</v>
      </c>
      <c r="AL68" s="1616">
        <v>150816.4</v>
      </c>
    </row>
    <row r="69" spans="1:38">
      <c r="A69" s="133">
        <v>2008</v>
      </c>
      <c r="B69" s="133" t="s">
        <v>11950</v>
      </c>
      <c r="C69" s="133" t="s">
        <v>12008</v>
      </c>
      <c r="D69" s="1616">
        <v>3297.6</v>
      </c>
      <c r="E69" s="1616">
        <v>235</v>
      </c>
      <c r="F69" s="1616">
        <v>92870.399999999994</v>
      </c>
      <c r="G69" s="1616">
        <v>8688.4</v>
      </c>
      <c r="H69" s="1616">
        <v>1087.3</v>
      </c>
      <c r="I69" s="1616">
        <v>2274</v>
      </c>
      <c r="J69" s="1616">
        <v>8451.7999999999993</v>
      </c>
      <c r="K69" s="1616">
        <v>7033</v>
      </c>
      <c r="L69" s="1616">
        <v>1913.2</v>
      </c>
      <c r="M69" s="1616">
        <v>13624.1</v>
      </c>
      <c r="N69" s="1616">
        <v>3222.8</v>
      </c>
      <c r="O69" s="1616">
        <v>10346.1</v>
      </c>
      <c r="P69" s="1616">
        <v>5097</v>
      </c>
      <c r="Q69" s="1616">
        <v>4481.6000000000004</v>
      </c>
      <c r="R69" s="1616">
        <v>3259.5</v>
      </c>
      <c r="S69" s="1616">
        <v>15760</v>
      </c>
      <c r="T69" s="1616">
        <v>7631.6</v>
      </c>
      <c r="U69" s="1616">
        <v>8318</v>
      </c>
      <c r="V69" s="1616">
        <v>14164.1</v>
      </c>
      <c r="W69" s="1616">
        <v>28883.7</v>
      </c>
      <c r="X69" s="1616">
        <v>12587</v>
      </c>
      <c r="Y69" s="1616">
        <v>8401.7000000000007</v>
      </c>
      <c r="Z69" s="1616">
        <v>12089.3</v>
      </c>
      <c r="AA69" s="1616">
        <v>9696.6</v>
      </c>
      <c r="AB69" s="1616">
        <v>18749.2</v>
      </c>
      <c r="AC69" s="1616">
        <v>14517.3</v>
      </c>
      <c r="AD69" s="1616">
        <v>8228</v>
      </c>
      <c r="AE69" s="1616">
        <v>4868.1000000000004</v>
      </c>
      <c r="AF69" s="1616">
        <v>11823.4</v>
      </c>
      <c r="AG69" s="1616">
        <v>10758.9</v>
      </c>
      <c r="AH69" s="1616">
        <v>259488.4</v>
      </c>
      <c r="AI69" s="1616">
        <v>260304.8</v>
      </c>
      <c r="AJ69" s="1616">
        <v>3297.6</v>
      </c>
      <c r="AK69" s="1616">
        <v>107269.6</v>
      </c>
      <c r="AL69" s="1616">
        <v>148921.20000000001</v>
      </c>
    </row>
    <row r="70" spans="1:38">
      <c r="A70" s="133">
        <v>2008</v>
      </c>
      <c r="B70" s="133" t="s">
        <v>11952</v>
      </c>
      <c r="C70" s="133" t="s">
        <v>12009</v>
      </c>
      <c r="D70" s="1616">
        <v>3251.4</v>
      </c>
      <c r="E70" s="1616">
        <v>233.2</v>
      </c>
      <c r="F70" s="1616">
        <v>83701.3</v>
      </c>
      <c r="G70" s="1616">
        <v>8677</v>
      </c>
      <c r="H70" s="1616">
        <v>1079.5999999999999</v>
      </c>
      <c r="I70" s="1616">
        <v>2151.3000000000002</v>
      </c>
      <c r="J70" s="1616">
        <v>7444.5</v>
      </c>
      <c r="K70" s="1616">
        <v>5214.5</v>
      </c>
      <c r="L70" s="1616">
        <v>1860.2</v>
      </c>
      <c r="M70" s="1616">
        <v>11706.1</v>
      </c>
      <c r="N70" s="1616">
        <v>3292.9</v>
      </c>
      <c r="O70" s="1616">
        <v>9314.6</v>
      </c>
      <c r="P70" s="1616">
        <v>4259.3</v>
      </c>
      <c r="Q70" s="1616">
        <v>4287.5</v>
      </c>
      <c r="R70" s="1616">
        <v>3280.2</v>
      </c>
      <c r="S70" s="1616">
        <v>13962.2</v>
      </c>
      <c r="T70" s="1616">
        <v>7171.3</v>
      </c>
      <c r="U70" s="1616">
        <v>7860.8</v>
      </c>
      <c r="V70" s="1616">
        <v>16373.6</v>
      </c>
      <c r="W70" s="1616">
        <v>28005.8</v>
      </c>
      <c r="X70" s="1616">
        <v>11998.1</v>
      </c>
      <c r="Y70" s="1616">
        <v>8084.9</v>
      </c>
      <c r="Z70" s="1616">
        <v>11620.2</v>
      </c>
      <c r="AA70" s="1616">
        <v>9380.5</v>
      </c>
      <c r="AB70" s="1616">
        <v>18696.7</v>
      </c>
      <c r="AC70" s="1616">
        <v>14431.8</v>
      </c>
      <c r="AD70" s="1616">
        <v>10626.1</v>
      </c>
      <c r="AE70" s="1616">
        <v>6695.9</v>
      </c>
      <c r="AF70" s="1616">
        <v>12545</v>
      </c>
      <c r="AG70" s="1616">
        <v>10849.3</v>
      </c>
      <c r="AH70" s="1616">
        <v>254354.6</v>
      </c>
      <c r="AI70" s="1616">
        <v>254749</v>
      </c>
      <c r="AJ70" s="1616">
        <v>3251.4</v>
      </c>
      <c r="AK70" s="1616">
        <v>100308.1</v>
      </c>
      <c r="AL70" s="1616">
        <v>150795</v>
      </c>
    </row>
    <row r="71" spans="1:38">
      <c r="A71" s="133">
        <v>2009</v>
      </c>
      <c r="B71" s="133" t="s">
        <v>11946</v>
      </c>
      <c r="C71" s="133" t="s">
        <v>12010</v>
      </c>
      <c r="D71" s="1616">
        <v>2651.3</v>
      </c>
      <c r="E71" s="1616">
        <v>192.7</v>
      </c>
      <c r="F71" s="1616">
        <v>62354.7</v>
      </c>
      <c r="G71" s="1616">
        <v>7487.9</v>
      </c>
      <c r="H71" s="1616">
        <v>1011.7</v>
      </c>
      <c r="I71" s="1616">
        <v>1810.3</v>
      </c>
      <c r="J71" s="1616">
        <v>6036.7</v>
      </c>
      <c r="K71" s="1616">
        <v>4081.4</v>
      </c>
      <c r="L71" s="1616">
        <v>1385.2</v>
      </c>
      <c r="M71" s="1616">
        <v>7328</v>
      </c>
      <c r="N71" s="1616">
        <v>2261.8000000000002</v>
      </c>
      <c r="O71" s="1616">
        <v>7653.5</v>
      </c>
      <c r="P71" s="1616">
        <v>2240</v>
      </c>
      <c r="Q71" s="1616">
        <v>3543.8</v>
      </c>
      <c r="R71" s="1616">
        <v>2542.5</v>
      </c>
      <c r="S71" s="1616">
        <v>9084.7000000000007</v>
      </c>
      <c r="T71" s="1616">
        <v>5887.2</v>
      </c>
      <c r="U71" s="1616">
        <v>8289</v>
      </c>
      <c r="V71" s="1616">
        <v>14249.9</v>
      </c>
      <c r="W71" s="1616">
        <v>25615.9</v>
      </c>
      <c r="X71" s="1616">
        <v>10069.299999999999</v>
      </c>
      <c r="Y71" s="1616">
        <v>7673</v>
      </c>
      <c r="Z71" s="1616">
        <v>12799.2</v>
      </c>
      <c r="AA71" s="1616">
        <v>9185.6</v>
      </c>
      <c r="AB71" s="1616">
        <v>18682</v>
      </c>
      <c r="AC71" s="1616">
        <v>14704.9</v>
      </c>
      <c r="AD71" s="1616">
        <v>8451.9</v>
      </c>
      <c r="AE71" s="1616">
        <v>4916.3999999999996</v>
      </c>
      <c r="AF71" s="1616">
        <v>12009.3</v>
      </c>
      <c r="AG71" s="1616">
        <v>10032</v>
      </c>
      <c r="AH71" s="1616">
        <v>221877.2</v>
      </c>
      <c r="AI71" s="1616">
        <v>222251.7</v>
      </c>
      <c r="AJ71" s="1616">
        <v>2651.3</v>
      </c>
      <c r="AK71" s="1616">
        <v>76797.3</v>
      </c>
      <c r="AL71" s="1616">
        <v>142428.6</v>
      </c>
    </row>
    <row r="72" spans="1:38">
      <c r="A72" s="133">
        <v>2009</v>
      </c>
      <c r="B72" s="133" t="s">
        <v>11948</v>
      </c>
      <c r="C72" s="133" t="s">
        <v>12011</v>
      </c>
      <c r="D72" s="1616">
        <v>2875.9</v>
      </c>
      <c r="E72" s="1616">
        <v>184.4</v>
      </c>
      <c r="F72" s="1616">
        <v>64545.7</v>
      </c>
      <c r="G72" s="1616">
        <v>8560.7999999999993</v>
      </c>
      <c r="H72" s="1616">
        <v>1007.4</v>
      </c>
      <c r="I72" s="1616">
        <v>1933.1</v>
      </c>
      <c r="J72" s="1616">
        <v>6499.8</v>
      </c>
      <c r="K72" s="1616">
        <v>3910.5</v>
      </c>
      <c r="L72" s="1616">
        <v>1437</v>
      </c>
      <c r="M72" s="1616">
        <v>7420.1</v>
      </c>
      <c r="N72" s="1616">
        <v>2548.9</v>
      </c>
      <c r="O72" s="1616">
        <v>6203.6</v>
      </c>
      <c r="P72" s="1616">
        <v>3325.6</v>
      </c>
      <c r="Q72" s="1616">
        <v>3510</v>
      </c>
      <c r="R72" s="1616">
        <v>2518.6</v>
      </c>
      <c r="S72" s="1616">
        <v>9486.1</v>
      </c>
      <c r="T72" s="1616">
        <v>6184.2</v>
      </c>
      <c r="U72" s="1616">
        <v>7174.6</v>
      </c>
      <c r="V72" s="1616">
        <v>12196.3</v>
      </c>
      <c r="W72" s="1616">
        <v>25943.5</v>
      </c>
      <c r="X72" s="1616">
        <v>9908.1</v>
      </c>
      <c r="Y72" s="1616">
        <v>7486</v>
      </c>
      <c r="Z72" s="1616">
        <v>11103.8</v>
      </c>
      <c r="AA72" s="1616">
        <v>9394.9</v>
      </c>
      <c r="AB72" s="1616">
        <v>18683.599999999999</v>
      </c>
      <c r="AC72" s="1616">
        <v>13677.1</v>
      </c>
      <c r="AD72" s="1616">
        <v>10318.4</v>
      </c>
      <c r="AE72" s="1616">
        <v>6316.1</v>
      </c>
      <c r="AF72" s="1616">
        <v>12487</v>
      </c>
      <c r="AG72" s="1616">
        <v>9703</v>
      </c>
      <c r="AH72" s="1616">
        <v>221998.6</v>
      </c>
      <c r="AI72" s="1616">
        <v>222369.7</v>
      </c>
      <c r="AJ72" s="1616">
        <v>2875.9</v>
      </c>
      <c r="AK72" s="1616">
        <v>76926.399999999994</v>
      </c>
      <c r="AL72" s="1616">
        <v>142196.29999999999</v>
      </c>
    </row>
    <row r="73" spans="1:38">
      <c r="A73" s="133">
        <v>2009</v>
      </c>
      <c r="B73" s="133" t="s">
        <v>11950</v>
      </c>
      <c r="C73" s="133" t="s">
        <v>12012</v>
      </c>
      <c r="D73" s="1616">
        <v>3140</v>
      </c>
      <c r="E73" s="1616">
        <v>206.1</v>
      </c>
      <c r="F73" s="1616">
        <v>70809</v>
      </c>
      <c r="G73" s="1616">
        <v>8338.1</v>
      </c>
      <c r="H73" s="1616">
        <v>896.8</v>
      </c>
      <c r="I73" s="1616">
        <v>1896.7</v>
      </c>
      <c r="J73" s="1616">
        <v>6850.9</v>
      </c>
      <c r="K73" s="1616">
        <v>4858.7</v>
      </c>
      <c r="L73" s="1616">
        <v>1491.9</v>
      </c>
      <c r="M73" s="1616">
        <v>8670.9</v>
      </c>
      <c r="N73" s="1616">
        <v>2676.8</v>
      </c>
      <c r="O73" s="1616">
        <v>6735.8</v>
      </c>
      <c r="P73" s="1616">
        <v>4095.9</v>
      </c>
      <c r="Q73" s="1616">
        <v>3782.8</v>
      </c>
      <c r="R73" s="1616">
        <v>2594.6999999999998</v>
      </c>
      <c r="S73" s="1616">
        <v>11557.6</v>
      </c>
      <c r="T73" s="1616">
        <v>6361.5</v>
      </c>
      <c r="U73" s="1616">
        <v>7470.3</v>
      </c>
      <c r="V73" s="1616">
        <v>12483.9</v>
      </c>
      <c r="W73" s="1616">
        <v>26373.7</v>
      </c>
      <c r="X73" s="1616">
        <v>10793.7</v>
      </c>
      <c r="Y73" s="1616">
        <v>8034</v>
      </c>
      <c r="Z73" s="1616">
        <v>11520.6</v>
      </c>
      <c r="AA73" s="1616">
        <v>9361.7999999999993</v>
      </c>
      <c r="AB73" s="1616">
        <v>18655.900000000001</v>
      </c>
      <c r="AC73" s="1616">
        <v>13385.1</v>
      </c>
      <c r="AD73" s="1616">
        <v>8358.1</v>
      </c>
      <c r="AE73" s="1616">
        <v>4847.7</v>
      </c>
      <c r="AF73" s="1616">
        <v>12219.6</v>
      </c>
      <c r="AG73" s="1616">
        <v>9941.1</v>
      </c>
      <c r="AH73" s="1616">
        <v>227600.6</v>
      </c>
      <c r="AI73" s="1616">
        <v>228127.9</v>
      </c>
      <c r="AJ73" s="1616">
        <v>3140</v>
      </c>
      <c r="AK73" s="1616">
        <v>83499</v>
      </c>
      <c r="AL73" s="1616">
        <v>140961.5</v>
      </c>
    </row>
    <row r="74" spans="1:38">
      <c r="A74" s="133">
        <v>2009</v>
      </c>
      <c r="B74" s="133" t="s">
        <v>11952</v>
      </c>
      <c r="C74" s="133" t="s">
        <v>12013</v>
      </c>
      <c r="D74" s="1616">
        <v>3039.5</v>
      </c>
      <c r="E74" s="1616">
        <v>237</v>
      </c>
      <c r="F74" s="1616">
        <v>75606.2</v>
      </c>
      <c r="G74" s="1616">
        <v>8570.6</v>
      </c>
      <c r="H74" s="1616">
        <v>937.2</v>
      </c>
      <c r="I74" s="1616">
        <v>1997.5</v>
      </c>
      <c r="J74" s="1616">
        <v>7270.3</v>
      </c>
      <c r="K74" s="1616">
        <v>5043</v>
      </c>
      <c r="L74" s="1616">
        <v>1650.3</v>
      </c>
      <c r="M74" s="1616">
        <v>9565.6</v>
      </c>
      <c r="N74" s="1616">
        <v>2859.9</v>
      </c>
      <c r="O74" s="1616">
        <v>6775.4</v>
      </c>
      <c r="P74" s="1616">
        <v>4063.7</v>
      </c>
      <c r="Q74" s="1616">
        <v>3902.5</v>
      </c>
      <c r="R74" s="1616">
        <v>3009.4</v>
      </c>
      <c r="S74" s="1616">
        <v>13377.6</v>
      </c>
      <c r="T74" s="1616">
        <v>6583.2</v>
      </c>
      <c r="U74" s="1616">
        <v>7293</v>
      </c>
      <c r="V74" s="1616">
        <v>13998.1</v>
      </c>
      <c r="W74" s="1616">
        <v>27189.9</v>
      </c>
      <c r="X74" s="1616">
        <v>10963.5</v>
      </c>
      <c r="Y74" s="1616">
        <v>7630.9</v>
      </c>
      <c r="Z74" s="1616">
        <v>11317.6</v>
      </c>
      <c r="AA74" s="1616">
        <v>9296.2999999999993</v>
      </c>
      <c r="AB74" s="1616">
        <v>18635.2</v>
      </c>
      <c r="AC74" s="1616">
        <v>13303.7</v>
      </c>
      <c r="AD74" s="1616">
        <v>10564.4</v>
      </c>
      <c r="AE74" s="1616">
        <v>6565.4</v>
      </c>
      <c r="AF74" s="1616">
        <v>12868.5</v>
      </c>
      <c r="AG74" s="1616">
        <v>10030.6</v>
      </c>
      <c r="AH74" s="1616">
        <v>238539.8</v>
      </c>
      <c r="AI74" s="1616">
        <v>239042.8</v>
      </c>
      <c r="AJ74" s="1616">
        <v>3039.5</v>
      </c>
      <c r="AK74" s="1616">
        <v>89841.3</v>
      </c>
      <c r="AL74" s="1616">
        <v>145659</v>
      </c>
    </row>
    <row r="75" spans="1:38">
      <c r="A75" s="133">
        <v>2010</v>
      </c>
      <c r="B75" s="133" t="s">
        <v>11946</v>
      </c>
      <c r="C75" s="133" t="s">
        <v>12014</v>
      </c>
      <c r="D75" s="1616">
        <v>2673.2</v>
      </c>
      <c r="E75" s="1616">
        <v>209.1</v>
      </c>
      <c r="F75" s="1616">
        <v>72983.899999999994</v>
      </c>
      <c r="G75" s="1616">
        <v>7681</v>
      </c>
      <c r="H75" s="1616">
        <v>918.5</v>
      </c>
      <c r="I75" s="1616">
        <v>1946.5</v>
      </c>
      <c r="J75" s="1616">
        <v>7210.5</v>
      </c>
      <c r="K75" s="1616">
        <v>4913.5</v>
      </c>
      <c r="L75" s="1616">
        <v>1553.7</v>
      </c>
      <c r="M75" s="1616">
        <v>8898.1</v>
      </c>
      <c r="N75" s="1616">
        <v>2329.6999999999998</v>
      </c>
      <c r="O75" s="1616">
        <v>7290.4</v>
      </c>
      <c r="P75" s="1616">
        <v>3410.8</v>
      </c>
      <c r="Q75" s="1616">
        <v>3958.2</v>
      </c>
      <c r="R75" s="1616">
        <v>2887.3</v>
      </c>
      <c r="S75" s="1616">
        <v>13572.5</v>
      </c>
      <c r="T75" s="1616">
        <v>6413.1</v>
      </c>
      <c r="U75" s="1616">
        <v>7789</v>
      </c>
      <c r="V75" s="1616">
        <v>13764.1</v>
      </c>
      <c r="W75" s="1616">
        <v>26858.6</v>
      </c>
      <c r="X75" s="1616">
        <v>10207.299999999999</v>
      </c>
      <c r="Y75" s="1616">
        <v>7518.5</v>
      </c>
      <c r="Z75" s="1616">
        <v>12464.1</v>
      </c>
      <c r="AA75" s="1616">
        <v>9229.6</v>
      </c>
      <c r="AB75" s="1616">
        <v>18765.400000000001</v>
      </c>
      <c r="AC75" s="1616">
        <v>14127.1</v>
      </c>
      <c r="AD75" s="1616">
        <v>8563.2999999999993</v>
      </c>
      <c r="AE75" s="1616">
        <v>4870.3</v>
      </c>
      <c r="AF75" s="1616">
        <v>12253.4</v>
      </c>
      <c r="AG75" s="1616">
        <v>9807.5</v>
      </c>
      <c r="AH75" s="1616">
        <v>232084.7</v>
      </c>
      <c r="AI75" s="1616">
        <v>232617.1</v>
      </c>
      <c r="AJ75" s="1616">
        <v>2673.2</v>
      </c>
      <c r="AK75" s="1616">
        <v>86957.1</v>
      </c>
      <c r="AL75" s="1616">
        <v>142454.29999999999</v>
      </c>
    </row>
    <row r="76" spans="1:38">
      <c r="A76" s="133">
        <v>2010</v>
      </c>
      <c r="B76" s="133" t="s">
        <v>11948</v>
      </c>
      <c r="C76" s="133" t="s">
        <v>12015</v>
      </c>
      <c r="D76" s="1616">
        <v>2855.7</v>
      </c>
      <c r="E76" s="1616">
        <v>201</v>
      </c>
      <c r="F76" s="1616">
        <v>74786.3</v>
      </c>
      <c r="G76" s="1616">
        <v>8449.6</v>
      </c>
      <c r="H76" s="1616">
        <v>932.2</v>
      </c>
      <c r="I76" s="1616">
        <v>2001.5</v>
      </c>
      <c r="J76" s="1616">
        <v>7118.8</v>
      </c>
      <c r="K76" s="1616">
        <v>4898.2</v>
      </c>
      <c r="L76" s="1616">
        <v>1573.7</v>
      </c>
      <c r="M76" s="1616">
        <v>10014.799999999999</v>
      </c>
      <c r="N76" s="1616">
        <v>2495.5</v>
      </c>
      <c r="O76" s="1616">
        <v>7334</v>
      </c>
      <c r="P76" s="1616">
        <v>3838.3</v>
      </c>
      <c r="Q76" s="1616">
        <v>3940.3</v>
      </c>
      <c r="R76" s="1616">
        <v>2707</v>
      </c>
      <c r="S76" s="1616">
        <v>12926.8</v>
      </c>
      <c r="T76" s="1616">
        <v>6555.8</v>
      </c>
      <c r="U76" s="1616">
        <v>7009.4</v>
      </c>
      <c r="V76" s="1616">
        <v>10701.5</v>
      </c>
      <c r="W76" s="1616">
        <v>26734.2</v>
      </c>
      <c r="X76" s="1616">
        <v>10339.4</v>
      </c>
      <c r="Y76" s="1616">
        <v>7296.4</v>
      </c>
      <c r="Z76" s="1616">
        <v>11064.4</v>
      </c>
      <c r="AA76" s="1616">
        <v>9192.5</v>
      </c>
      <c r="AB76" s="1616">
        <v>18882.3</v>
      </c>
      <c r="AC76" s="1616">
        <v>13529.9</v>
      </c>
      <c r="AD76" s="1616">
        <v>10488</v>
      </c>
      <c r="AE76" s="1616">
        <v>6243.7</v>
      </c>
      <c r="AF76" s="1616">
        <v>12979.5</v>
      </c>
      <c r="AG76" s="1616">
        <v>9631.2999999999993</v>
      </c>
      <c r="AH76" s="1616">
        <v>231935.3</v>
      </c>
      <c r="AI76" s="1616">
        <v>232514.4</v>
      </c>
      <c r="AJ76" s="1616">
        <v>2855.7</v>
      </c>
      <c r="AK76" s="1616">
        <v>85688.7</v>
      </c>
      <c r="AL76" s="1616">
        <v>143390.9</v>
      </c>
    </row>
    <row r="77" spans="1:38">
      <c r="A77" s="133">
        <v>2010</v>
      </c>
      <c r="B77" s="133" t="s">
        <v>11950</v>
      </c>
      <c r="C77" s="133" t="s">
        <v>12016</v>
      </c>
      <c r="D77" s="1616">
        <v>3250.5</v>
      </c>
      <c r="E77" s="1616">
        <v>200</v>
      </c>
      <c r="F77" s="1616">
        <v>77267.5</v>
      </c>
      <c r="G77" s="1616">
        <v>8649.5</v>
      </c>
      <c r="H77" s="1616">
        <v>882.7</v>
      </c>
      <c r="I77" s="1616">
        <v>2000.7</v>
      </c>
      <c r="J77" s="1616">
        <v>7345.9</v>
      </c>
      <c r="K77" s="1616">
        <v>4990.2</v>
      </c>
      <c r="L77" s="1616">
        <v>1610.8</v>
      </c>
      <c r="M77" s="1616">
        <v>10292.5</v>
      </c>
      <c r="N77" s="1616">
        <v>2614.6999999999998</v>
      </c>
      <c r="O77" s="1616">
        <v>7965.8</v>
      </c>
      <c r="P77" s="1616">
        <v>3954.3</v>
      </c>
      <c r="Q77" s="1616">
        <v>4214.3999999999996</v>
      </c>
      <c r="R77" s="1616">
        <v>2749.1</v>
      </c>
      <c r="S77" s="1616">
        <v>13381.6</v>
      </c>
      <c r="T77" s="1616">
        <v>6615.3</v>
      </c>
      <c r="U77" s="1616">
        <v>8063.6</v>
      </c>
      <c r="V77" s="1616">
        <v>12071.5</v>
      </c>
      <c r="W77" s="1616">
        <v>27092.400000000001</v>
      </c>
      <c r="X77" s="1616">
        <v>10835.7</v>
      </c>
      <c r="Y77" s="1616">
        <v>7951.8</v>
      </c>
      <c r="Z77" s="1616">
        <v>11624.2</v>
      </c>
      <c r="AA77" s="1616">
        <v>8919.7999999999993</v>
      </c>
      <c r="AB77" s="1616">
        <v>18884.7</v>
      </c>
      <c r="AC77" s="1616">
        <v>13405.4</v>
      </c>
      <c r="AD77" s="1616">
        <v>8433</v>
      </c>
      <c r="AE77" s="1616">
        <v>4795.8999999999996</v>
      </c>
      <c r="AF77" s="1616">
        <v>12702.6</v>
      </c>
      <c r="AG77" s="1616">
        <v>10043</v>
      </c>
      <c r="AH77" s="1616">
        <v>235541.3</v>
      </c>
      <c r="AI77" s="1616">
        <v>236131.5</v>
      </c>
      <c r="AJ77" s="1616">
        <v>3250.5</v>
      </c>
      <c r="AK77" s="1616">
        <v>89538.9</v>
      </c>
      <c r="AL77" s="1616">
        <v>142751.9</v>
      </c>
    </row>
    <row r="78" spans="1:38">
      <c r="A78" s="133">
        <v>2010</v>
      </c>
      <c r="B78" s="133" t="s">
        <v>11952</v>
      </c>
      <c r="C78" s="133" t="s">
        <v>12017</v>
      </c>
      <c r="D78" s="1616">
        <v>3222.2</v>
      </c>
      <c r="E78" s="1616">
        <v>208.1</v>
      </c>
      <c r="F78" s="1616">
        <v>77504.399999999994</v>
      </c>
      <c r="G78" s="1616">
        <v>8421.6</v>
      </c>
      <c r="H78" s="1616">
        <v>924.6</v>
      </c>
      <c r="I78" s="1616">
        <v>2065.3000000000002</v>
      </c>
      <c r="J78" s="1616">
        <v>7741.9</v>
      </c>
      <c r="K78" s="1616">
        <v>5001.8</v>
      </c>
      <c r="L78" s="1616">
        <v>1731.8</v>
      </c>
      <c r="M78" s="1616">
        <v>10878.3</v>
      </c>
      <c r="N78" s="1616">
        <v>2874.3</v>
      </c>
      <c r="O78" s="1616">
        <v>7638.8</v>
      </c>
      <c r="P78" s="1616">
        <v>3736.5</v>
      </c>
      <c r="Q78" s="1616">
        <v>4150.1000000000004</v>
      </c>
      <c r="R78" s="1616">
        <v>3035.7</v>
      </c>
      <c r="S78" s="1616">
        <v>12572.1</v>
      </c>
      <c r="T78" s="1616">
        <v>6731.5</v>
      </c>
      <c r="U78" s="1616">
        <v>7505.8</v>
      </c>
      <c r="V78" s="1616">
        <v>14153.2</v>
      </c>
      <c r="W78" s="1616">
        <v>28210.9</v>
      </c>
      <c r="X78" s="1616">
        <v>10706.3</v>
      </c>
      <c r="Y78" s="1616">
        <v>7625.5</v>
      </c>
      <c r="Z78" s="1616">
        <v>11312.4</v>
      </c>
      <c r="AA78" s="1616">
        <v>8886.5</v>
      </c>
      <c r="AB78" s="1616">
        <v>18971.099999999999</v>
      </c>
      <c r="AC78" s="1616">
        <v>13295.3</v>
      </c>
      <c r="AD78" s="1616">
        <v>10533.2</v>
      </c>
      <c r="AE78" s="1616">
        <v>6419.4</v>
      </c>
      <c r="AF78" s="1616">
        <v>13370.4</v>
      </c>
      <c r="AG78" s="1616">
        <v>10084.6</v>
      </c>
      <c r="AH78" s="1616">
        <v>242009.2</v>
      </c>
      <c r="AI78" s="1616">
        <v>242392.9</v>
      </c>
      <c r="AJ78" s="1616">
        <v>3222.2</v>
      </c>
      <c r="AK78" s="1616">
        <v>91865.600000000006</v>
      </c>
      <c r="AL78" s="1616">
        <v>146921.29999999999</v>
      </c>
    </row>
    <row r="79" spans="1:38">
      <c r="A79" s="133">
        <v>2011</v>
      </c>
      <c r="B79" s="133" t="s">
        <v>11946</v>
      </c>
      <c r="C79" s="133" t="s">
        <v>12018</v>
      </c>
      <c r="D79" s="1616">
        <v>2646.8</v>
      </c>
      <c r="E79" s="1616">
        <v>194.2</v>
      </c>
      <c r="F79" s="1616">
        <v>73606.7</v>
      </c>
      <c r="G79" s="1616">
        <v>7537.3</v>
      </c>
      <c r="H79" s="1616">
        <v>995</v>
      </c>
      <c r="I79" s="1616">
        <v>1956.7</v>
      </c>
      <c r="J79" s="1616">
        <v>7380.6</v>
      </c>
      <c r="K79" s="1616">
        <v>5375.3</v>
      </c>
      <c r="L79" s="1616">
        <v>1597</v>
      </c>
      <c r="M79" s="1616">
        <v>10492.3</v>
      </c>
      <c r="N79" s="1616">
        <v>2180.5</v>
      </c>
      <c r="O79" s="1616">
        <v>7966.7</v>
      </c>
      <c r="P79" s="1616">
        <v>3553.5</v>
      </c>
      <c r="Q79" s="1616">
        <v>3963.7</v>
      </c>
      <c r="R79" s="1616">
        <v>2684.4</v>
      </c>
      <c r="S79" s="1616">
        <v>11630</v>
      </c>
      <c r="T79" s="1616">
        <v>6293.6</v>
      </c>
      <c r="U79" s="1616">
        <v>7863.5</v>
      </c>
      <c r="V79" s="1616">
        <v>14700.2</v>
      </c>
      <c r="W79" s="1616">
        <v>26786.9</v>
      </c>
      <c r="X79" s="1616">
        <v>9753.4</v>
      </c>
      <c r="Y79" s="1616">
        <v>7101.8</v>
      </c>
      <c r="Z79" s="1616">
        <v>12341.7</v>
      </c>
      <c r="AA79" s="1616">
        <v>8804</v>
      </c>
      <c r="AB79" s="1616">
        <v>18935.2</v>
      </c>
      <c r="AC79" s="1616">
        <v>14302.8</v>
      </c>
      <c r="AD79" s="1616">
        <v>8767.9</v>
      </c>
      <c r="AE79" s="1616">
        <v>4908.2</v>
      </c>
      <c r="AF79" s="1616">
        <v>12819.4</v>
      </c>
      <c r="AG79" s="1616">
        <v>9421.7000000000007</v>
      </c>
      <c r="AH79" s="1616">
        <v>232954.3</v>
      </c>
      <c r="AI79" s="1616">
        <v>233515.8</v>
      </c>
      <c r="AJ79" s="1616">
        <v>2646.8</v>
      </c>
      <c r="AK79" s="1616">
        <v>88501.1</v>
      </c>
      <c r="AL79" s="1616">
        <v>141806.29999999999</v>
      </c>
    </row>
    <row r="80" spans="1:38">
      <c r="A80" s="133">
        <v>2011</v>
      </c>
      <c r="B80" s="133" t="s">
        <v>11948</v>
      </c>
      <c r="C80" s="133" t="s">
        <v>12019</v>
      </c>
      <c r="D80" s="1616">
        <v>2774.5</v>
      </c>
      <c r="E80" s="1616">
        <v>182.4</v>
      </c>
      <c r="F80" s="1616">
        <v>69842.3</v>
      </c>
      <c r="G80" s="1616">
        <v>8499.6</v>
      </c>
      <c r="H80" s="1616">
        <v>990.9</v>
      </c>
      <c r="I80" s="1616">
        <v>1911.3</v>
      </c>
      <c r="J80" s="1616">
        <v>7325.5</v>
      </c>
      <c r="K80" s="1616">
        <v>4822</v>
      </c>
      <c r="L80" s="1616">
        <v>1572.6</v>
      </c>
      <c r="M80" s="1616">
        <v>9716</v>
      </c>
      <c r="N80" s="1616">
        <v>2412.6</v>
      </c>
      <c r="O80" s="1616">
        <v>7723.9</v>
      </c>
      <c r="P80" s="1616">
        <v>3348.4</v>
      </c>
      <c r="Q80" s="1616">
        <v>3738.4</v>
      </c>
      <c r="R80" s="1616">
        <v>2200.1999999999998</v>
      </c>
      <c r="S80" s="1616">
        <v>9145.7000000000007</v>
      </c>
      <c r="T80" s="1616">
        <v>6435.1</v>
      </c>
      <c r="U80" s="1616">
        <v>7105.4</v>
      </c>
      <c r="V80" s="1616">
        <v>11238.3</v>
      </c>
      <c r="W80" s="1616">
        <v>26957.7</v>
      </c>
      <c r="X80" s="1616">
        <v>9608.7999999999993</v>
      </c>
      <c r="Y80" s="1616">
        <v>6861.9</v>
      </c>
      <c r="Z80" s="1616">
        <v>10936.2</v>
      </c>
      <c r="AA80" s="1616">
        <v>8715.7999999999993</v>
      </c>
      <c r="AB80" s="1616">
        <v>18979.900000000001</v>
      </c>
      <c r="AC80" s="1616">
        <v>13899.2</v>
      </c>
      <c r="AD80" s="1616">
        <v>10442</v>
      </c>
      <c r="AE80" s="1616">
        <v>6319.2</v>
      </c>
      <c r="AF80" s="1616">
        <v>13402.4</v>
      </c>
      <c r="AG80" s="1616">
        <v>9368.7999999999993</v>
      </c>
      <c r="AH80" s="1616">
        <v>226634.8</v>
      </c>
      <c r="AI80" s="1616">
        <v>227446.39999999999</v>
      </c>
      <c r="AJ80" s="1616">
        <v>2774.5</v>
      </c>
      <c r="AK80" s="1616">
        <v>81263</v>
      </c>
      <c r="AL80" s="1616">
        <v>142597.4</v>
      </c>
    </row>
    <row r="81" spans="1:38">
      <c r="A81" s="133">
        <v>2011</v>
      </c>
      <c r="B81" s="133" t="s">
        <v>11950</v>
      </c>
      <c r="C81" s="133" t="s">
        <v>12020</v>
      </c>
      <c r="D81" s="1616">
        <v>3103.3</v>
      </c>
      <c r="E81" s="1616">
        <v>185.5</v>
      </c>
      <c r="F81" s="1616">
        <v>77185.100000000006</v>
      </c>
      <c r="G81" s="1616">
        <v>8140.4</v>
      </c>
      <c r="H81" s="1616">
        <v>907.7</v>
      </c>
      <c r="I81" s="1616">
        <v>1910.2</v>
      </c>
      <c r="J81" s="1616">
        <v>7432.7</v>
      </c>
      <c r="K81" s="1616">
        <v>5148.3</v>
      </c>
      <c r="L81" s="1616">
        <v>1677.1</v>
      </c>
      <c r="M81" s="1616">
        <v>10603.9</v>
      </c>
      <c r="N81" s="1616">
        <v>2585.1999999999998</v>
      </c>
      <c r="O81" s="1616">
        <v>8341.4</v>
      </c>
      <c r="P81" s="1616">
        <v>3898.9</v>
      </c>
      <c r="Q81" s="1616">
        <v>4110.8</v>
      </c>
      <c r="R81" s="1616">
        <v>2540.1</v>
      </c>
      <c r="S81" s="1616">
        <v>13297.8</v>
      </c>
      <c r="T81" s="1616">
        <v>6590.7</v>
      </c>
      <c r="U81" s="1616">
        <v>7953</v>
      </c>
      <c r="V81" s="1616">
        <v>12672.7</v>
      </c>
      <c r="W81" s="1616">
        <v>27998.1</v>
      </c>
      <c r="X81" s="1616">
        <v>10805.1</v>
      </c>
      <c r="Y81" s="1616">
        <v>7741.9</v>
      </c>
      <c r="Z81" s="1616">
        <v>11550.1</v>
      </c>
      <c r="AA81" s="1616">
        <v>8684</v>
      </c>
      <c r="AB81" s="1616">
        <v>19000.5</v>
      </c>
      <c r="AC81" s="1616">
        <v>14033.6</v>
      </c>
      <c r="AD81" s="1616">
        <v>8376.2000000000007</v>
      </c>
      <c r="AE81" s="1616">
        <v>4854.1000000000004</v>
      </c>
      <c r="AF81" s="1616">
        <v>13140.6</v>
      </c>
      <c r="AG81" s="1616">
        <v>9865.7000000000007</v>
      </c>
      <c r="AH81" s="1616">
        <v>237149.4</v>
      </c>
      <c r="AI81" s="1616">
        <v>237916.7</v>
      </c>
      <c r="AJ81" s="1616">
        <v>3103.3</v>
      </c>
      <c r="AK81" s="1616">
        <v>90043.3</v>
      </c>
      <c r="AL81" s="1616">
        <v>144002.79999999999</v>
      </c>
    </row>
    <row r="82" spans="1:38">
      <c r="A82" s="133">
        <v>2011</v>
      </c>
      <c r="B82" s="133" t="s">
        <v>11952</v>
      </c>
      <c r="C82" s="133" t="s">
        <v>12021</v>
      </c>
      <c r="D82" s="1616">
        <v>3192.9</v>
      </c>
      <c r="E82" s="1616">
        <v>204.7</v>
      </c>
      <c r="F82" s="1616">
        <v>77632.3</v>
      </c>
      <c r="G82" s="1616">
        <v>8564.2000000000007</v>
      </c>
      <c r="H82" s="1616">
        <v>932.3</v>
      </c>
      <c r="I82" s="1616">
        <v>2030</v>
      </c>
      <c r="J82" s="1616">
        <v>7392.6</v>
      </c>
      <c r="K82" s="1616">
        <v>5074.8</v>
      </c>
      <c r="L82" s="1616">
        <v>1692.2</v>
      </c>
      <c r="M82" s="1616">
        <v>10405</v>
      </c>
      <c r="N82" s="1616">
        <v>2896.6</v>
      </c>
      <c r="O82" s="1616">
        <v>8263.4</v>
      </c>
      <c r="P82" s="1616">
        <v>3547.8</v>
      </c>
      <c r="Q82" s="1616">
        <v>4029.2</v>
      </c>
      <c r="R82" s="1616">
        <v>2172.6</v>
      </c>
      <c r="S82" s="1616">
        <v>13939.1</v>
      </c>
      <c r="T82" s="1616">
        <v>6692.5</v>
      </c>
      <c r="U82" s="1616">
        <v>7794.2</v>
      </c>
      <c r="V82" s="1616">
        <v>14242.3</v>
      </c>
      <c r="W82" s="1616">
        <v>28886.5</v>
      </c>
      <c r="X82" s="1616">
        <v>10772.7</v>
      </c>
      <c r="Y82" s="1616">
        <v>7644.7</v>
      </c>
      <c r="Z82" s="1616">
        <v>11440.2</v>
      </c>
      <c r="AA82" s="1616">
        <v>8560.6</v>
      </c>
      <c r="AB82" s="1616">
        <v>19048.3</v>
      </c>
      <c r="AC82" s="1616">
        <v>14215.2</v>
      </c>
      <c r="AD82" s="1616">
        <v>10481.799999999999</v>
      </c>
      <c r="AE82" s="1616">
        <v>6481.8</v>
      </c>
      <c r="AF82" s="1616">
        <v>13735.1</v>
      </c>
      <c r="AG82" s="1616">
        <v>10077.299999999999</v>
      </c>
      <c r="AH82" s="1616">
        <v>244410.5</v>
      </c>
      <c r="AI82" s="1616">
        <v>245089.2</v>
      </c>
      <c r="AJ82" s="1616">
        <v>3192.9</v>
      </c>
      <c r="AK82" s="1616">
        <v>92079.2</v>
      </c>
      <c r="AL82" s="1616">
        <v>149138.29999999999</v>
      </c>
    </row>
    <row r="83" spans="1:38">
      <c r="A83" s="133">
        <v>2012</v>
      </c>
      <c r="B83" s="133" t="s">
        <v>11946</v>
      </c>
      <c r="C83" s="133" t="s">
        <v>12022</v>
      </c>
      <c r="D83" s="1616">
        <v>2860.8</v>
      </c>
      <c r="E83" s="1616">
        <v>196.2</v>
      </c>
      <c r="F83" s="1616">
        <v>76957.600000000006</v>
      </c>
      <c r="G83" s="1616">
        <v>7862.3</v>
      </c>
      <c r="H83" s="1616">
        <v>1044.5</v>
      </c>
      <c r="I83" s="1616">
        <v>1914.5</v>
      </c>
      <c r="J83" s="1616">
        <v>7275.4</v>
      </c>
      <c r="K83" s="1616">
        <v>5633.8</v>
      </c>
      <c r="L83" s="1616">
        <v>1533.7</v>
      </c>
      <c r="M83" s="1616">
        <v>10330.799999999999</v>
      </c>
      <c r="N83" s="1616">
        <v>2445.4</v>
      </c>
      <c r="O83" s="1616">
        <v>8469.9</v>
      </c>
      <c r="P83" s="1616">
        <v>2960.4</v>
      </c>
      <c r="Q83" s="1616">
        <v>3989.1</v>
      </c>
      <c r="R83" s="1616">
        <v>2454.6</v>
      </c>
      <c r="S83" s="1616">
        <v>14615.6</v>
      </c>
      <c r="T83" s="1616">
        <v>6427.6</v>
      </c>
      <c r="U83" s="1616">
        <v>8411.2000000000007</v>
      </c>
      <c r="V83" s="1616">
        <v>14375.6</v>
      </c>
      <c r="W83" s="1616">
        <v>27928.2</v>
      </c>
      <c r="X83" s="1616">
        <v>10400.200000000001</v>
      </c>
      <c r="Y83" s="1616">
        <v>7440.1</v>
      </c>
      <c r="Z83" s="1616">
        <v>12678.3</v>
      </c>
      <c r="AA83" s="1616">
        <v>8673.6</v>
      </c>
      <c r="AB83" s="1616">
        <v>19013.5</v>
      </c>
      <c r="AC83" s="1616">
        <v>14320</v>
      </c>
      <c r="AD83" s="1616">
        <v>8684.7000000000007</v>
      </c>
      <c r="AE83" s="1616">
        <v>4911.8999999999996</v>
      </c>
      <c r="AF83" s="1616">
        <v>13522.3</v>
      </c>
      <c r="AG83" s="1616">
        <v>9763.5</v>
      </c>
      <c r="AH83" s="1616">
        <v>240137.7</v>
      </c>
      <c r="AI83" s="1616">
        <v>240788.8</v>
      </c>
      <c r="AJ83" s="1616">
        <v>2860.8</v>
      </c>
      <c r="AK83" s="1616">
        <v>91529.4</v>
      </c>
      <c r="AL83" s="1616">
        <v>145747.5</v>
      </c>
    </row>
    <row r="84" spans="1:38">
      <c r="A84" s="133">
        <v>2012</v>
      </c>
      <c r="B84" s="133" t="s">
        <v>11948</v>
      </c>
      <c r="C84" s="133" t="s">
        <v>12023</v>
      </c>
      <c r="D84" s="1616">
        <v>2876.7</v>
      </c>
      <c r="E84" s="1616">
        <v>189.1</v>
      </c>
      <c r="F84" s="1616">
        <v>74503</v>
      </c>
      <c r="G84" s="1616">
        <v>8473.2000000000007</v>
      </c>
      <c r="H84" s="1616">
        <v>1003.7</v>
      </c>
      <c r="I84" s="1616">
        <v>1885</v>
      </c>
      <c r="J84" s="1616">
        <v>7237.3</v>
      </c>
      <c r="K84" s="1616">
        <v>5146.7</v>
      </c>
      <c r="L84" s="1616">
        <v>1479.9</v>
      </c>
      <c r="M84" s="1616">
        <v>10275.799999999999</v>
      </c>
      <c r="N84" s="1616">
        <v>2597.1</v>
      </c>
      <c r="O84" s="1616">
        <v>8078.9</v>
      </c>
      <c r="P84" s="1616">
        <v>2952.9</v>
      </c>
      <c r="Q84" s="1616">
        <v>3982</v>
      </c>
      <c r="R84" s="1616">
        <v>1919.1</v>
      </c>
      <c r="S84" s="1616">
        <v>12984</v>
      </c>
      <c r="T84" s="1616">
        <v>6487.4</v>
      </c>
      <c r="U84" s="1616">
        <v>7359.8</v>
      </c>
      <c r="V84" s="1616">
        <v>11362.1</v>
      </c>
      <c r="W84" s="1616">
        <v>27440.2</v>
      </c>
      <c r="X84" s="1616">
        <v>10462</v>
      </c>
      <c r="Y84" s="1616">
        <v>7091.2</v>
      </c>
      <c r="Z84" s="1616">
        <v>11273.8</v>
      </c>
      <c r="AA84" s="1616">
        <v>8416.2000000000007</v>
      </c>
      <c r="AB84" s="1616">
        <v>19078.5</v>
      </c>
      <c r="AC84" s="1616">
        <v>14061.6</v>
      </c>
      <c r="AD84" s="1616">
        <v>10249.9</v>
      </c>
      <c r="AE84" s="1616">
        <v>6222.3</v>
      </c>
      <c r="AF84" s="1616">
        <v>13886.9</v>
      </c>
      <c r="AG84" s="1616">
        <v>9522.4</v>
      </c>
      <c r="AH84" s="1616">
        <v>233995.8</v>
      </c>
      <c r="AI84" s="1616">
        <v>234753.7</v>
      </c>
      <c r="AJ84" s="1616">
        <v>2876.7</v>
      </c>
      <c r="AK84" s="1616">
        <v>86054.2</v>
      </c>
      <c r="AL84" s="1616">
        <v>145064.9</v>
      </c>
    </row>
    <row r="85" spans="1:38">
      <c r="A85" s="133">
        <v>2012</v>
      </c>
      <c r="B85" s="133" t="s">
        <v>11950</v>
      </c>
      <c r="C85" s="133" t="s">
        <v>12024</v>
      </c>
      <c r="D85" s="1616">
        <v>3147.2</v>
      </c>
      <c r="E85" s="1616">
        <v>190.2</v>
      </c>
      <c r="F85" s="1616">
        <v>73145.8</v>
      </c>
      <c r="G85" s="1616">
        <v>8183</v>
      </c>
      <c r="H85" s="1616">
        <v>890.1</v>
      </c>
      <c r="I85" s="1616">
        <v>1834.9</v>
      </c>
      <c r="J85" s="1616">
        <v>7047.8</v>
      </c>
      <c r="K85" s="1616">
        <v>5179.3</v>
      </c>
      <c r="L85" s="1616">
        <v>1514.5</v>
      </c>
      <c r="M85" s="1616">
        <v>9951.6</v>
      </c>
      <c r="N85" s="1616">
        <v>2666.4</v>
      </c>
      <c r="O85" s="1616">
        <v>8241.6</v>
      </c>
      <c r="P85" s="1616">
        <v>3053.3</v>
      </c>
      <c r="Q85" s="1616">
        <v>4003.7</v>
      </c>
      <c r="R85" s="1616">
        <v>1921.9</v>
      </c>
      <c r="S85" s="1616">
        <v>12309.8</v>
      </c>
      <c r="T85" s="1616">
        <v>6348</v>
      </c>
      <c r="U85" s="1616">
        <v>8276.1</v>
      </c>
      <c r="V85" s="1616">
        <v>12770.6</v>
      </c>
      <c r="W85" s="1616">
        <v>27509.5</v>
      </c>
      <c r="X85" s="1616">
        <v>10952.9</v>
      </c>
      <c r="Y85" s="1616">
        <v>7764.7</v>
      </c>
      <c r="Z85" s="1616">
        <v>11916.5</v>
      </c>
      <c r="AA85" s="1616">
        <v>8248.5</v>
      </c>
      <c r="AB85" s="1616">
        <v>19102.8</v>
      </c>
      <c r="AC85" s="1616">
        <v>13990.6</v>
      </c>
      <c r="AD85" s="1616">
        <v>8309.2000000000007</v>
      </c>
      <c r="AE85" s="1616">
        <v>4806.3999999999996</v>
      </c>
      <c r="AF85" s="1616">
        <v>13596.4</v>
      </c>
      <c r="AG85" s="1616">
        <v>9916.9</v>
      </c>
      <c r="AH85" s="1616">
        <v>233644.3</v>
      </c>
      <c r="AI85" s="1616">
        <v>234386.7</v>
      </c>
      <c r="AJ85" s="1616">
        <v>3147.2</v>
      </c>
      <c r="AK85" s="1616">
        <v>86106.6</v>
      </c>
      <c r="AL85" s="1616">
        <v>144390.5</v>
      </c>
    </row>
    <row r="86" spans="1:38">
      <c r="A86" s="133">
        <v>2012</v>
      </c>
      <c r="B86" s="133" t="s">
        <v>11952</v>
      </c>
      <c r="C86" s="133" t="s">
        <v>12025</v>
      </c>
      <c r="D86" s="1616">
        <v>3181</v>
      </c>
      <c r="E86" s="1616">
        <v>211.3</v>
      </c>
      <c r="F86" s="1616">
        <v>72779.399999999994</v>
      </c>
      <c r="G86" s="1616">
        <v>8576.5</v>
      </c>
      <c r="H86" s="1616">
        <v>913.5</v>
      </c>
      <c r="I86" s="1616">
        <v>1849</v>
      </c>
      <c r="J86" s="1616">
        <v>7383.5</v>
      </c>
      <c r="K86" s="1616">
        <v>5393.1</v>
      </c>
      <c r="L86" s="1616">
        <v>1544.4</v>
      </c>
      <c r="M86" s="1616">
        <v>9367</v>
      </c>
      <c r="N86" s="1616">
        <v>3001.9</v>
      </c>
      <c r="O86" s="1616">
        <v>7691.4</v>
      </c>
      <c r="P86" s="1616">
        <v>3160.1</v>
      </c>
      <c r="Q86" s="1616">
        <v>3974.2</v>
      </c>
      <c r="R86" s="1616">
        <v>1801.9</v>
      </c>
      <c r="S86" s="1616">
        <v>11687.9</v>
      </c>
      <c r="T86" s="1616">
        <v>6435.1</v>
      </c>
      <c r="U86" s="1616">
        <v>8040.9</v>
      </c>
      <c r="V86" s="1616">
        <v>14844.6</v>
      </c>
      <c r="W86" s="1616">
        <v>29039.5</v>
      </c>
      <c r="X86" s="1616">
        <v>10926.2</v>
      </c>
      <c r="Y86" s="1616">
        <v>7510.8</v>
      </c>
      <c r="Z86" s="1616">
        <v>11634.1</v>
      </c>
      <c r="AA86" s="1616">
        <v>8407</v>
      </c>
      <c r="AB86" s="1616">
        <v>19117.099999999999</v>
      </c>
      <c r="AC86" s="1616">
        <v>14442.2</v>
      </c>
      <c r="AD86" s="1616">
        <v>10320</v>
      </c>
      <c r="AE86" s="1616">
        <v>6379</v>
      </c>
      <c r="AF86" s="1616">
        <v>14385.2</v>
      </c>
      <c r="AG86" s="1616">
        <v>10048.299999999999</v>
      </c>
      <c r="AH86" s="1616">
        <v>241266.5</v>
      </c>
      <c r="AI86" s="1616">
        <v>241977.60000000001</v>
      </c>
      <c r="AJ86" s="1616">
        <v>3181</v>
      </c>
      <c r="AK86" s="1616">
        <v>87835.4</v>
      </c>
      <c r="AL86" s="1616">
        <v>150250.1</v>
      </c>
    </row>
    <row r="87" spans="1:38">
      <c r="A87" s="133">
        <v>2013</v>
      </c>
      <c r="B87" s="133" t="s">
        <v>11946</v>
      </c>
      <c r="C87" s="133" t="s">
        <v>12026</v>
      </c>
      <c r="D87" s="1616">
        <v>2755.3</v>
      </c>
      <c r="E87" s="1616">
        <v>209.5</v>
      </c>
      <c r="F87" s="1616">
        <v>72297.399999999994</v>
      </c>
      <c r="G87" s="1616">
        <v>7630.7</v>
      </c>
      <c r="H87" s="1616">
        <v>976.6</v>
      </c>
      <c r="I87" s="1616">
        <v>1775.1</v>
      </c>
      <c r="J87" s="1616">
        <v>7418.6</v>
      </c>
      <c r="K87" s="1616">
        <v>5835.5</v>
      </c>
      <c r="L87" s="1616">
        <v>1442.7</v>
      </c>
      <c r="M87" s="1616">
        <v>9390.1</v>
      </c>
      <c r="N87" s="1616">
        <v>2360.6</v>
      </c>
      <c r="O87" s="1616">
        <v>7676.4</v>
      </c>
      <c r="P87" s="1616">
        <v>2613.8000000000002</v>
      </c>
      <c r="Q87" s="1616">
        <v>4037.5</v>
      </c>
      <c r="R87" s="1616">
        <v>1954.7</v>
      </c>
      <c r="S87" s="1616">
        <v>13042</v>
      </c>
      <c r="T87" s="1616">
        <v>6142.8</v>
      </c>
      <c r="U87" s="1616">
        <v>8339.2000000000007</v>
      </c>
      <c r="V87" s="1616">
        <v>14768.5</v>
      </c>
      <c r="W87" s="1616">
        <v>28378.799999999999</v>
      </c>
      <c r="X87" s="1616">
        <v>10358.799999999999</v>
      </c>
      <c r="Y87" s="1616">
        <v>7328.2</v>
      </c>
      <c r="Z87" s="1616">
        <v>13081.9</v>
      </c>
      <c r="AA87" s="1616">
        <v>8767.4</v>
      </c>
      <c r="AB87" s="1616">
        <v>19172.2</v>
      </c>
      <c r="AC87" s="1616">
        <v>14724.9</v>
      </c>
      <c r="AD87" s="1616">
        <v>8642.6</v>
      </c>
      <c r="AE87" s="1616">
        <v>4870.7</v>
      </c>
      <c r="AF87" s="1616">
        <v>13769.3</v>
      </c>
      <c r="AG87" s="1616">
        <v>9695.7999999999993</v>
      </c>
      <c r="AH87" s="1616">
        <v>237160.4</v>
      </c>
      <c r="AI87" s="1616">
        <v>237975.3</v>
      </c>
      <c r="AJ87" s="1616">
        <v>2755.3</v>
      </c>
      <c r="AK87" s="1616">
        <v>87275.3</v>
      </c>
      <c r="AL87" s="1616">
        <v>147129.79999999999</v>
      </c>
    </row>
    <row r="88" spans="1:38">
      <c r="A88" s="133">
        <v>2013</v>
      </c>
      <c r="B88" s="133" t="s">
        <v>11948</v>
      </c>
      <c r="C88" s="133" t="s">
        <v>12027</v>
      </c>
      <c r="D88" s="1616">
        <v>2898</v>
      </c>
      <c r="E88" s="1616">
        <v>199.6</v>
      </c>
      <c r="F88" s="1616">
        <v>73153.7</v>
      </c>
      <c r="G88" s="1616">
        <v>8608.7000000000007</v>
      </c>
      <c r="H88" s="1616">
        <v>973.7</v>
      </c>
      <c r="I88" s="1616">
        <v>1837.9</v>
      </c>
      <c r="J88" s="1616">
        <v>7534.7</v>
      </c>
      <c r="K88" s="1616">
        <v>5177.3</v>
      </c>
      <c r="L88" s="1616">
        <v>1499.3</v>
      </c>
      <c r="M88" s="1616">
        <v>10049.200000000001</v>
      </c>
      <c r="N88" s="1616">
        <v>2571.3000000000002</v>
      </c>
      <c r="O88" s="1616">
        <v>7605.7</v>
      </c>
      <c r="P88" s="1616">
        <v>2910.4</v>
      </c>
      <c r="Q88" s="1616">
        <v>3779.4</v>
      </c>
      <c r="R88" s="1616">
        <v>1684.3</v>
      </c>
      <c r="S88" s="1616">
        <v>12434.4</v>
      </c>
      <c r="T88" s="1616">
        <v>6487.4</v>
      </c>
      <c r="U88" s="1616">
        <v>7751.4</v>
      </c>
      <c r="V88" s="1616">
        <v>12268.4</v>
      </c>
      <c r="W88" s="1616">
        <v>28327.4</v>
      </c>
      <c r="X88" s="1616">
        <v>10588.5</v>
      </c>
      <c r="Y88" s="1616">
        <v>7165.5</v>
      </c>
      <c r="Z88" s="1616">
        <v>11576</v>
      </c>
      <c r="AA88" s="1616">
        <v>9019</v>
      </c>
      <c r="AB88" s="1616">
        <v>19271.5</v>
      </c>
      <c r="AC88" s="1616">
        <v>14637.6</v>
      </c>
      <c r="AD88" s="1616">
        <v>10405</v>
      </c>
      <c r="AE88" s="1616">
        <v>6192.9</v>
      </c>
      <c r="AF88" s="1616">
        <v>14310</v>
      </c>
      <c r="AG88" s="1616">
        <v>9441.7999999999993</v>
      </c>
      <c r="AH88" s="1616">
        <v>237206.2</v>
      </c>
      <c r="AI88" s="1616">
        <v>238087.8</v>
      </c>
      <c r="AJ88" s="1616">
        <v>2898</v>
      </c>
      <c r="AK88" s="1616">
        <v>85621.7</v>
      </c>
      <c r="AL88" s="1616">
        <v>148686.6</v>
      </c>
    </row>
    <row r="89" spans="1:38">
      <c r="A89" s="133">
        <v>2013</v>
      </c>
      <c r="B89" s="133" t="s">
        <v>11950</v>
      </c>
      <c r="C89" s="133" t="s">
        <v>12028</v>
      </c>
      <c r="D89" s="1616">
        <v>3317.8</v>
      </c>
      <c r="E89" s="1616">
        <v>206.5</v>
      </c>
      <c r="F89" s="1616">
        <v>76135.100000000006</v>
      </c>
      <c r="G89" s="1616">
        <v>8490.7000000000007</v>
      </c>
      <c r="H89" s="1616">
        <v>872.8</v>
      </c>
      <c r="I89" s="1616">
        <v>1876.7</v>
      </c>
      <c r="J89" s="1616">
        <v>7578.7</v>
      </c>
      <c r="K89" s="1616">
        <v>5769</v>
      </c>
      <c r="L89" s="1616">
        <v>1545.6</v>
      </c>
      <c r="M89" s="1616">
        <v>9640.5</v>
      </c>
      <c r="N89" s="1616">
        <v>2758.6</v>
      </c>
      <c r="O89" s="1616">
        <v>8145.6</v>
      </c>
      <c r="P89" s="1616">
        <v>3366.8</v>
      </c>
      <c r="Q89" s="1616">
        <v>4068.2</v>
      </c>
      <c r="R89" s="1616">
        <v>1921.6</v>
      </c>
      <c r="S89" s="1616">
        <v>13534.6</v>
      </c>
      <c r="T89" s="1616">
        <v>6565.6</v>
      </c>
      <c r="U89" s="1616">
        <v>8879.7999999999993</v>
      </c>
      <c r="V89" s="1616">
        <v>14421.5</v>
      </c>
      <c r="W89" s="1616">
        <v>28282</v>
      </c>
      <c r="X89" s="1616">
        <v>11310.8</v>
      </c>
      <c r="Y89" s="1616">
        <v>7821.9</v>
      </c>
      <c r="Z89" s="1616">
        <v>12194.5</v>
      </c>
      <c r="AA89" s="1616">
        <v>8557.7000000000007</v>
      </c>
      <c r="AB89" s="1616">
        <v>19331.400000000001</v>
      </c>
      <c r="AC89" s="1616">
        <v>14640.8</v>
      </c>
      <c r="AD89" s="1616">
        <v>8416.4</v>
      </c>
      <c r="AE89" s="1616">
        <v>4737.3999999999996</v>
      </c>
      <c r="AF89" s="1616">
        <v>13996.7</v>
      </c>
      <c r="AG89" s="1616">
        <v>9983.9</v>
      </c>
      <c r="AH89" s="1616">
        <v>242234.1</v>
      </c>
      <c r="AI89" s="1616">
        <v>243147.9</v>
      </c>
      <c r="AJ89" s="1616">
        <v>3317.8</v>
      </c>
      <c r="AK89" s="1616">
        <v>90763.1</v>
      </c>
      <c r="AL89" s="1616">
        <v>148153.29999999999</v>
      </c>
    </row>
    <row r="90" spans="1:38">
      <c r="A90" s="133">
        <v>2013</v>
      </c>
      <c r="B90" s="133" t="s">
        <v>11952</v>
      </c>
      <c r="C90" s="133" t="s">
        <v>12029</v>
      </c>
      <c r="D90" s="1616">
        <v>3339.7</v>
      </c>
      <c r="E90" s="1616">
        <v>222.7</v>
      </c>
      <c r="F90" s="1616">
        <v>78425.2</v>
      </c>
      <c r="G90" s="1616">
        <v>8578.7000000000007</v>
      </c>
      <c r="H90" s="1616">
        <v>885.3</v>
      </c>
      <c r="I90" s="1616">
        <v>1944.9</v>
      </c>
      <c r="J90" s="1616">
        <v>8024.2</v>
      </c>
      <c r="K90" s="1616">
        <v>5792.2</v>
      </c>
      <c r="L90" s="1616">
        <v>1640.8</v>
      </c>
      <c r="M90" s="1616">
        <v>10038.6</v>
      </c>
      <c r="N90" s="1616">
        <v>3145</v>
      </c>
      <c r="O90" s="1616">
        <v>7940.9</v>
      </c>
      <c r="P90" s="1616">
        <v>3251.7</v>
      </c>
      <c r="Q90" s="1616">
        <v>4204.8</v>
      </c>
      <c r="R90" s="1616">
        <v>2104.1</v>
      </c>
      <c r="S90" s="1616">
        <v>14050.3</v>
      </c>
      <c r="T90" s="1616">
        <v>6823.8</v>
      </c>
      <c r="U90" s="1616">
        <v>8596.1</v>
      </c>
      <c r="V90" s="1616">
        <v>16847.7</v>
      </c>
      <c r="W90" s="1616">
        <v>29769.5</v>
      </c>
      <c r="X90" s="1616">
        <v>11320</v>
      </c>
      <c r="Y90" s="1616">
        <v>7582.4</v>
      </c>
      <c r="Z90" s="1616">
        <v>12039.4</v>
      </c>
      <c r="AA90" s="1616">
        <v>8625.1</v>
      </c>
      <c r="AB90" s="1616">
        <v>19385.7</v>
      </c>
      <c r="AC90" s="1616">
        <v>14959.5</v>
      </c>
      <c r="AD90" s="1616">
        <v>10387.9</v>
      </c>
      <c r="AE90" s="1616">
        <v>6267.6</v>
      </c>
      <c r="AF90" s="1616">
        <v>14580.5</v>
      </c>
      <c r="AG90" s="1616">
        <v>10012.200000000001</v>
      </c>
      <c r="AH90" s="1616">
        <v>252360.9</v>
      </c>
      <c r="AI90" s="1616">
        <v>253277.5</v>
      </c>
      <c r="AJ90" s="1616">
        <v>3339.7</v>
      </c>
      <c r="AK90" s="1616">
        <v>95495.6</v>
      </c>
      <c r="AL90" s="1616">
        <v>153525.6</v>
      </c>
    </row>
    <row r="91" spans="1:38">
      <c r="A91" s="133">
        <v>2014</v>
      </c>
      <c r="B91" s="133" t="s">
        <v>11946</v>
      </c>
      <c r="C91" s="133" t="s">
        <v>12030</v>
      </c>
      <c r="D91" s="1616">
        <v>2837.4</v>
      </c>
      <c r="E91" s="1616">
        <v>215</v>
      </c>
      <c r="F91" s="1616">
        <v>78014.8</v>
      </c>
      <c r="G91" s="1616">
        <v>7745.4</v>
      </c>
      <c r="H91" s="1616">
        <v>969.8</v>
      </c>
      <c r="I91" s="1616">
        <v>1922.1</v>
      </c>
      <c r="J91" s="1616">
        <v>7768.2</v>
      </c>
      <c r="K91" s="1616">
        <v>6204.2</v>
      </c>
      <c r="L91" s="1616">
        <v>1551.8</v>
      </c>
      <c r="M91" s="1616">
        <v>10026.1</v>
      </c>
      <c r="N91" s="1616">
        <v>2730.1</v>
      </c>
      <c r="O91" s="1616">
        <v>8258.5</v>
      </c>
      <c r="P91" s="1616">
        <v>2853.2</v>
      </c>
      <c r="Q91" s="1616">
        <v>4502.6000000000004</v>
      </c>
      <c r="R91" s="1616">
        <v>2217.3000000000002</v>
      </c>
      <c r="S91" s="1616">
        <v>14695.2</v>
      </c>
      <c r="T91" s="1616">
        <v>6570.3</v>
      </c>
      <c r="U91" s="1616">
        <v>9178.9</v>
      </c>
      <c r="V91" s="1616">
        <v>15990.7</v>
      </c>
      <c r="W91" s="1616">
        <v>29212.5</v>
      </c>
      <c r="X91" s="1616">
        <v>11223.6</v>
      </c>
      <c r="Y91" s="1616">
        <v>7469</v>
      </c>
      <c r="Z91" s="1616">
        <v>13484.1</v>
      </c>
      <c r="AA91" s="1616">
        <v>8655.4</v>
      </c>
      <c r="AB91" s="1616">
        <v>19377.2</v>
      </c>
      <c r="AC91" s="1616">
        <v>15453.7</v>
      </c>
      <c r="AD91" s="1616">
        <v>8834.6</v>
      </c>
      <c r="AE91" s="1616">
        <v>4841.3</v>
      </c>
      <c r="AF91" s="1616">
        <v>14044.7</v>
      </c>
      <c r="AG91" s="1616">
        <v>9778.7999999999993</v>
      </c>
      <c r="AH91" s="1616">
        <v>248611.7</v>
      </c>
      <c r="AI91" s="1616">
        <v>249605</v>
      </c>
      <c r="AJ91" s="1616">
        <v>2837.4</v>
      </c>
      <c r="AK91" s="1616">
        <v>94220.5</v>
      </c>
      <c r="AL91" s="1616">
        <v>151553.9</v>
      </c>
    </row>
    <row r="92" spans="1:38">
      <c r="A92" s="133">
        <v>2014</v>
      </c>
      <c r="B92" s="133" t="s">
        <v>11948</v>
      </c>
      <c r="C92" s="133" t="s">
        <v>12031</v>
      </c>
      <c r="D92" s="1616">
        <v>2984.4</v>
      </c>
      <c r="E92" s="1616">
        <v>214</v>
      </c>
      <c r="F92" s="1616">
        <v>76866.8</v>
      </c>
      <c r="G92" s="1616">
        <v>8810.4</v>
      </c>
      <c r="H92" s="1616">
        <v>941.9</v>
      </c>
      <c r="I92" s="1616">
        <v>1889.6</v>
      </c>
      <c r="J92" s="1616">
        <v>7525.8</v>
      </c>
      <c r="K92" s="1616">
        <v>5500.8</v>
      </c>
      <c r="L92" s="1616">
        <v>1582.4</v>
      </c>
      <c r="M92" s="1616">
        <v>10449.5</v>
      </c>
      <c r="N92" s="1616">
        <v>2720.6</v>
      </c>
      <c r="O92" s="1616">
        <v>8242.2999999999993</v>
      </c>
      <c r="P92" s="1616">
        <v>3077.3</v>
      </c>
      <c r="Q92" s="1616">
        <v>4236.5</v>
      </c>
      <c r="R92" s="1616">
        <v>1856.7</v>
      </c>
      <c r="S92" s="1616">
        <v>13429.4</v>
      </c>
      <c r="T92" s="1616">
        <v>6603.6</v>
      </c>
      <c r="U92" s="1616">
        <v>8451.7000000000007</v>
      </c>
      <c r="V92" s="1616">
        <v>12673.6</v>
      </c>
      <c r="W92" s="1616">
        <v>27072.799999999999</v>
      </c>
      <c r="X92" s="1616">
        <v>11071.2</v>
      </c>
      <c r="Y92" s="1616">
        <v>7509.9</v>
      </c>
      <c r="Z92" s="1616">
        <v>11890.2</v>
      </c>
      <c r="AA92" s="1616">
        <v>8520.7999999999993</v>
      </c>
      <c r="AB92" s="1616">
        <v>19617.400000000001</v>
      </c>
      <c r="AC92" s="1616">
        <v>15200.5</v>
      </c>
      <c r="AD92" s="1616">
        <v>10468.5</v>
      </c>
      <c r="AE92" s="1616">
        <v>6289</v>
      </c>
      <c r="AF92" s="1616">
        <v>14613.8</v>
      </c>
      <c r="AG92" s="1616">
        <v>9495.7999999999993</v>
      </c>
      <c r="AH92" s="1616">
        <v>242940.3</v>
      </c>
      <c r="AI92" s="1616">
        <v>243808.5</v>
      </c>
      <c r="AJ92" s="1616">
        <v>2984.4</v>
      </c>
      <c r="AK92" s="1616">
        <v>89754.3</v>
      </c>
      <c r="AL92" s="1616">
        <v>150201.60000000001</v>
      </c>
    </row>
    <row r="93" spans="1:38">
      <c r="A93" s="133">
        <v>2014</v>
      </c>
      <c r="B93" s="133" t="s">
        <v>11950</v>
      </c>
      <c r="C93" s="133" t="s">
        <v>12032</v>
      </c>
      <c r="D93" s="1616">
        <v>3315.9</v>
      </c>
      <c r="E93" s="1616">
        <v>222.8</v>
      </c>
      <c r="F93" s="1616">
        <v>78359.8</v>
      </c>
      <c r="G93" s="1616">
        <v>8531</v>
      </c>
      <c r="H93" s="1616">
        <v>861.4</v>
      </c>
      <c r="I93" s="1616">
        <v>1889.3</v>
      </c>
      <c r="J93" s="1616">
        <v>7718.5</v>
      </c>
      <c r="K93" s="1616">
        <v>5897.3</v>
      </c>
      <c r="L93" s="1616">
        <v>1597.7</v>
      </c>
      <c r="M93" s="1616">
        <v>10323.299999999999</v>
      </c>
      <c r="N93" s="1616">
        <v>2870.8</v>
      </c>
      <c r="O93" s="1616">
        <v>8617.5</v>
      </c>
      <c r="P93" s="1616">
        <v>3510.5</v>
      </c>
      <c r="Q93" s="1616">
        <v>4433.8</v>
      </c>
      <c r="R93" s="1616">
        <v>1916.9</v>
      </c>
      <c r="S93" s="1616">
        <v>13605.8</v>
      </c>
      <c r="T93" s="1616">
        <v>6586</v>
      </c>
      <c r="U93" s="1616">
        <v>9209.2000000000007</v>
      </c>
      <c r="V93" s="1616">
        <v>14329.9</v>
      </c>
      <c r="W93" s="1616">
        <v>27505.1</v>
      </c>
      <c r="X93" s="1616">
        <v>11931.5</v>
      </c>
      <c r="Y93" s="1616">
        <v>7955.9</v>
      </c>
      <c r="Z93" s="1616">
        <v>12628.7</v>
      </c>
      <c r="AA93" s="1616">
        <v>8574.1</v>
      </c>
      <c r="AB93" s="1616">
        <v>19590.5</v>
      </c>
      <c r="AC93" s="1616">
        <v>15295.2</v>
      </c>
      <c r="AD93" s="1616">
        <v>8516.9</v>
      </c>
      <c r="AE93" s="1616">
        <v>4844.8</v>
      </c>
      <c r="AF93" s="1616">
        <v>14316.6</v>
      </c>
      <c r="AG93" s="1616">
        <v>9942</v>
      </c>
      <c r="AH93" s="1616">
        <v>246539.1</v>
      </c>
      <c r="AI93" s="1616">
        <v>247603.3</v>
      </c>
      <c r="AJ93" s="1616">
        <v>3315.9</v>
      </c>
      <c r="AK93" s="1616">
        <v>92912.5</v>
      </c>
      <c r="AL93" s="1616">
        <v>150310.70000000001</v>
      </c>
    </row>
    <row r="94" spans="1:38">
      <c r="A94" s="133">
        <v>2014</v>
      </c>
      <c r="B94" s="133" t="s">
        <v>11952</v>
      </c>
      <c r="C94" s="133" t="s">
        <v>12033</v>
      </c>
      <c r="D94" s="1616">
        <v>3150.5</v>
      </c>
      <c r="E94" s="1616">
        <v>236.2</v>
      </c>
      <c r="F94" s="1616">
        <v>80040.899999999994</v>
      </c>
      <c r="G94" s="1616">
        <v>8920.9</v>
      </c>
      <c r="H94" s="1616">
        <v>923.5</v>
      </c>
      <c r="I94" s="1616">
        <v>2002.1</v>
      </c>
      <c r="J94" s="1616">
        <v>8036.2</v>
      </c>
      <c r="K94" s="1616">
        <v>5371.6</v>
      </c>
      <c r="L94" s="1616">
        <v>1682.6</v>
      </c>
      <c r="M94" s="1616">
        <v>10316.299999999999</v>
      </c>
      <c r="N94" s="1616">
        <v>3188.3</v>
      </c>
      <c r="O94" s="1616">
        <v>8133.6</v>
      </c>
      <c r="P94" s="1616">
        <v>4092.2</v>
      </c>
      <c r="Q94" s="1616">
        <v>4379.8999999999996</v>
      </c>
      <c r="R94" s="1616">
        <v>2025.1</v>
      </c>
      <c r="S94" s="1616">
        <v>14057.3</v>
      </c>
      <c r="T94" s="1616">
        <v>6911.2</v>
      </c>
      <c r="U94" s="1616">
        <v>9151.2999999999993</v>
      </c>
      <c r="V94" s="1616">
        <v>16453.900000000001</v>
      </c>
      <c r="W94" s="1616">
        <v>28673.599999999999</v>
      </c>
      <c r="X94" s="1616">
        <v>12069</v>
      </c>
      <c r="Y94" s="1616">
        <v>7800.5</v>
      </c>
      <c r="Z94" s="1616">
        <v>12626</v>
      </c>
      <c r="AA94" s="1616">
        <v>8884.4</v>
      </c>
      <c r="AB94" s="1616">
        <v>19560.7</v>
      </c>
      <c r="AC94" s="1616">
        <v>15411.4</v>
      </c>
      <c r="AD94" s="1616">
        <v>10614.3</v>
      </c>
      <c r="AE94" s="1616">
        <v>6460.1</v>
      </c>
      <c r="AF94" s="1616">
        <v>14911.2</v>
      </c>
      <c r="AG94" s="1616">
        <v>10008.4</v>
      </c>
      <c r="AH94" s="1616">
        <v>256052.2</v>
      </c>
      <c r="AI94" s="1616">
        <v>257122.2</v>
      </c>
      <c r="AJ94" s="1616">
        <v>3150.5</v>
      </c>
      <c r="AK94" s="1616">
        <v>96731</v>
      </c>
      <c r="AL94" s="1616">
        <v>156170.70000000001</v>
      </c>
    </row>
    <row r="95" spans="1:38">
      <c r="A95" s="133">
        <v>2015</v>
      </c>
      <c r="B95" s="133" t="s">
        <v>11946</v>
      </c>
      <c r="C95" s="133" t="s">
        <v>12034</v>
      </c>
      <c r="D95" s="1616">
        <v>2841.6</v>
      </c>
      <c r="E95" s="1616">
        <v>214.4</v>
      </c>
      <c r="F95" s="1616">
        <v>78884.100000000006</v>
      </c>
      <c r="G95" s="1616">
        <v>8086</v>
      </c>
      <c r="H95" s="1616">
        <v>1103.7</v>
      </c>
      <c r="I95" s="1616">
        <v>2024.4</v>
      </c>
      <c r="J95" s="1616">
        <v>7649.2</v>
      </c>
      <c r="K95" s="1616">
        <v>4518.8</v>
      </c>
      <c r="L95" s="1616">
        <v>1590.3</v>
      </c>
      <c r="M95" s="1616">
        <v>9931.5</v>
      </c>
      <c r="N95" s="1616">
        <v>2664.3</v>
      </c>
      <c r="O95" s="1616">
        <v>9391.2000000000007</v>
      </c>
      <c r="P95" s="1616">
        <v>3257.9</v>
      </c>
      <c r="Q95" s="1616">
        <v>4518.8999999999996</v>
      </c>
      <c r="R95" s="1616">
        <v>2295.3000000000002</v>
      </c>
      <c r="S95" s="1616">
        <v>15086.3</v>
      </c>
      <c r="T95" s="1616">
        <v>6766.4</v>
      </c>
      <c r="U95" s="1616">
        <v>9865.9</v>
      </c>
      <c r="V95" s="1616">
        <v>15945.5</v>
      </c>
      <c r="W95" s="1616">
        <v>27772.2</v>
      </c>
      <c r="X95" s="1616">
        <v>11538.1</v>
      </c>
      <c r="Y95" s="1616">
        <v>7494.1</v>
      </c>
      <c r="Z95" s="1616">
        <v>14366.1</v>
      </c>
      <c r="AA95" s="1616">
        <v>8895.7999999999993</v>
      </c>
      <c r="AB95" s="1616">
        <v>19680.5</v>
      </c>
      <c r="AC95" s="1616">
        <v>16641.7</v>
      </c>
      <c r="AD95" s="1616">
        <v>9032.2999999999993</v>
      </c>
      <c r="AE95" s="1616">
        <v>4920.8</v>
      </c>
      <c r="AF95" s="1616">
        <v>14473.8</v>
      </c>
      <c r="AG95" s="1616">
        <v>9689.5</v>
      </c>
      <c r="AH95" s="1616">
        <v>252256.3</v>
      </c>
      <c r="AI95" s="1616">
        <v>253088.8</v>
      </c>
      <c r="AJ95" s="1616">
        <v>2841.6</v>
      </c>
      <c r="AK95" s="1616">
        <v>95044</v>
      </c>
      <c r="AL95" s="1616">
        <v>154370.70000000001</v>
      </c>
    </row>
    <row r="96" spans="1:38">
      <c r="A96" s="133">
        <v>2015</v>
      </c>
      <c r="B96" s="133" t="s">
        <v>11948</v>
      </c>
      <c r="C96" s="133" t="s">
        <v>12035</v>
      </c>
      <c r="D96" s="1616">
        <v>3042.2</v>
      </c>
      <c r="E96" s="1616">
        <v>215.2</v>
      </c>
      <c r="F96" s="1616">
        <v>77735.399999999994</v>
      </c>
      <c r="G96" s="1616">
        <v>9220.1</v>
      </c>
      <c r="H96" s="1616">
        <v>1046.3</v>
      </c>
      <c r="I96" s="1616">
        <v>2014.6</v>
      </c>
      <c r="J96" s="1616">
        <v>7712.8</v>
      </c>
      <c r="K96" s="1616">
        <v>4431.2</v>
      </c>
      <c r="L96" s="1616">
        <v>1611.1</v>
      </c>
      <c r="M96" s="1616">
        <v>9415.1</v>
      </c>
      <c r="N96" s="1616">
        <v>2817.1</v>
      </c>
      <c r="O96" s="1616">
        <v>8915.7999999999993</v>
      </c>
      <c r="P96" s="1616">
        <v>3519.6</v>
      </c>
      <c r="Q96" s="1616">
        <v>4270.7</v>
      </c>
      <c r="R96" s="1616">
        <v>1805.2</v>
      </c>
      <c r="S96" s="1616">
        <v>14066.4</v>
      </c>
      <c r="T96" s="1616">
        <v>6889.5</v>
      </c>
      <c r="U96" s="1616">
        <v>8551.9</v>
      </c>
      <c r="V96" s="1616">
        <v>12992.5</v>
      </c>
      <c r="W96" s="1616">
        <v>27534.9</v>
      </c>
      <c r="X96" s="1616">
        <v>11509.5</v>
      </c>
      <c r="Y96" s="1616">
        <v>7736.8</v>
      </c>
      <c r="Z96" s="1616">
        <v>12305.8</v>
      </c>
      <c r="AA96" s="1616">
        <v>8944.4</v>
      </c>
      <c r="AB96" s="1616">
        <v>19699.400000000001</v>
      </c>
      <c r="AC96" s="1616">
        <v>15608.9</v>
      </c>
      <c r="AD96" s="1616">
        <v>10569.5</v>
      </c>
      <c r="AE96" s="1616">
        <v>6308.1</v>
      </c>
      <c r="AF96" s="1616">
        <v>15064.2</v>
      </c>
      <c r="AG96" s="1616">
        <v>9666.7999999999993</v>
      </c>
      <c r="AH96" s="1616">
        <v>247485.4</v>
      </c>
      <c r="AI96" s="1616">
        <v>248236.2</v>
      </c>
      <c r="AJ96" s="1616">
        <v>3042.2</v>
      </c>
      <c r="AK96" s="1616">
        <v>90943.1</v>
      </c>
      <c r="AL96" s="1616">
        <v>153500.20000000001</v>
      </c>
    </row>
    <row r="97" spans="1:38">
      <c r="A97" s="133">
        <v>2015</v>
      </c>
      <c r="B97" s="133" t="s">
        <v>11950</v>
      </c>
      <c r="C97" s="133" t="s">
        <v>12036</v>
      </c>
      <c r="D97" s="1616">
        <v>3293.5</v>
      </c>
      <c r="E97" s="1616">
        <v>208.1</v>
      </c>
      <c r="F97" s="1616">
        <v>78477.5</v>
      </c>
      <c r="G97" s="1616">
        <v>9092</v>
      </c>
      <c r="H97" s="1616">
        <v>926.4</v>
      </c>
      <c r="I97" s="1616">
        <v>2005.6</v>
      </c>
      <c r="J97" s="1616">
        <v>7618.6</v>
      </c>
      <c r="K97" s="1616">
        <v>4367</v>
      </c>
      <c r="L97" s="1616">
        <v>1617.3</v>
      </c>
      <c r="M97" s="1616">
        <v>9349.7000000000007</v>
      </c>
      <c r="N97" s="1616">
        <v>3015.4</v>
      </c>
      <c r="O97" s="1616">
        <v>8808.9</v>
      </c>
      <c r="P97" s="1616">
        <v>3685.7</v>
      </c>
      <c r="Q97" s="1616">
        <v>4319.2</v>
      </c>
      <c r="R97" s="1616">
        <v>1907.5</v>
      </c>
      <c r="S97" s="1616">
        <v>14883.2</v>
      </c>
      <c r="T97" s="1616">
        <v>6881.1</v>
      </c>
      <c r="U97" s="1616">
        <v>8713.7999999999993</v>
      </c>
      <c r="V97" s="1616">
        <v>14989.2</v>
      </c>
      <c r="W97" s="1616">
        <v>27913.200000000001</v>
      </c>
      <c r="X97" s="1616">
        <v>12032.6</v>
      </c>
      <c r="Y97" s="1616">
        <v>8265.1</v>
      </c>
      <c r="Z97" s="1616">
        <v>12990.4</v>
      </c>
      <c r="AA97" s="1616">
        <v>8959</v>
      </c>
      <c r="AB97" s="1616">
        <v>19712</v>
      </c>
      <c r="AC97" s="1616">
        <v>15858.3</v>
      </c>
      <c r="AD97" s="1616">
        <v>8604.1</v>
      </c>
      <c r="AE97" s="1616">
        <v>4859.3</v>
      </c>
      <c r="AF97" s="1616">
        <v>14731.6</v>
      </c>
      <c r="AG97" s="1616">
        <v>9688.2000000000007</v>
      </c>
      <c r="AH97" s="1616">
        <v>249296</v>
      </c>
      <c r="AI97" s="1616">
        <v>250140.1</v>
      </c>
      <c r="AJ97" s="1616">
        <v>3293.5</v>
      </c>
      <c r="AK97" s="1616">
        <v>93674.8</v>
      </c>
      <c r="AL97" s="1616">
        <v>152327.6</v>
      </c>
    </row>
    <row r="98" spans="1:38">
      <c r="A98" s="133">
        <v>2015</v>
      </c>
      <c r="B98" s="133" t="s">
        <v>11952</v>
      </c>
      <c r="C98" s="133" t="s">
        <v>12037</v>
      </c>
      <c r="D98" s="1616">
        <v>3256</v>
      </c>
      <c r="E98" s="1616">
        <v>213.7</v>
      </c>
      <c r="F98" s="1616">
        <v>79550.5</v>
      </c>
      <c r="G98" s="1616">
        <v>9323.1</v>
      </c>
      <c r="H98" s="1616">
        <v>952.8</v>
      </c>
      <c r="I98" s="1616">
        <v>1988</v>
      </c>
      <c r="J98" s="1616">
        <v>7969.2</v>
      </c>
      <c r="K98" s="1616">
        <v>4047.8</v>
      </c>
      <c r="L98" s="1616">
        <v>1672.7</v>
      </c>
      <c r="M98" s="1616">
        <v>9112.1</v>
      </c>
      <c r="N98" s="1616">
        <v>3256.2</v>
      </c>
      <c r="O98" s="1616">
        <v>8376.6</v>
      </c>
      <c r="P98" s="1616">
        <v>4045.5</v>
      </c>
      <c r="Q98" s="1616">
        <v>4454.5</v>
      </c>
      <c r="R98" s="1616">
        <v>1901.8</v>
      </c>
      <c r="S98" s="1616">
        <v>15389.8</v>
      </c>
      <c r="T98" s="1616">
        <v>7060.3</v>
      </c>
      <c r="U98" s="1616">
        <v>8115.5</v>
      </c>
      <c r="V98" s="1616">
        <v>16964.099999999999</v>
      </c>
      <c r="W98" s="1616">
        <v>29158.9</v>
      </c>
      <c r="X98" s="1616">
        <v>11938.8</v>
      </c>
      <c r="Y98" s="1616">
        <v>8212.2000000000007</v>
      </c>
      <c r="Z98" s="1616">
        <v>13185.5</v>
      </c>
      <c r="AA98" s="1616">
        <v>8843.1</v>
      </c>
      <c r="AB98" s="1616">
        <v>19734.400000000001</v>
      </c>
      <c r="AC98" s="1616">
        <v>16304.1</v>
      </c>
      <c r="AD98" s="1616">
        <v>10754.9</v>
      </c>
      <c r="AE98" s="1616">
        <v>6515.3</v>
      </c>
      <c r="AF98" s="1616">
        <v>15612.1</v>
      </c>
      <c r="AG98" s="1616">
        <v>9873</v>
      </c>
      <c r="AH98" s="1616">
        <v>258231.9</v>
      </c>
      <c r="AI98" s="1616">
        <v>258909.2</v>
      </c>
      <c r="AJ98" s="1616">
        <v>3256</v>
      </c>
      <c r="AK98" s="1616">
        <v>96728.3</v>
      </c>
      <c r="AL98" s="1616">
        <v>158247.6</v>
      </c>
    </row>
    <row r="99" spans="1:38">
      <c r="A99" s="133">
        <v>2016</v>
      </c>
      <c r="B99" s="133" t="s">
        <v>11946</v>
      </c>
      <c r="C99" s="133" t="s">
        <v>12038</v>
      </c>
      <c r="D99" s="1616">
        <v>2977.5</v>
      </c>
      <c r="E99" s="1616">
        <v>196.9</v>
      </c>
      <c r="F99" s="1616">
        <v>75733</v>
      </c>
      <c r="G99" s="1616">
        <v>8283.4</v>
      </c>
      <c r="H99" s="1616">
        <v>1072.5</v>
      </c>
      <c r="I99" s="1616">
        <v>2067.8000000000002</v>
      </c>
      <c r="J99" s="1616">
        <v>7395.3</v>
      </c>
      <c r="K99" s="1616">
        <v>3638.8</v>
      </c>
      <c r="L99" s="1616">
        <v>1524.6</v>
      </c>
      <c r="M99" s="1616">
        <v>8912.1</v>
      </c>
      <c r="N99" s="1616">
        <v>2757.1</v>
      </c>
      <c r="O99" s="1616">
        <v>8857.6</v>
      </c>
      <c r="P99" s="1616">
        <v>3024.7</v>
      </c>
      <c r="Q99" s="1616">
        <v>4183.7</v>
      </c>
      <c r="R99" s="1616">
        <v>1993.7</v>
      </c>
      <c r="S99" s="1616">
        <v>15380</v>
      </c>
      <c r="T99" s="1616">
        <v>6641.8</v>
      </c>
      <c r="U99" s="1616">
        <v>8370.1</v>
      </c>
      <c r="V99" s="1616">
        <v>16346.4</v>
      </c>
      <c r="W99" s="1616">
        <v>27570.400000000001</v>
      </c>
      <c r="X99" s="1616">
        <v>11258.9</v>
      </c>
      <c r="Y99" s="1616">
        <v>7679.9</v>
      </c>
      <c r="Z99" s="1616">
        <v>14552.1</v>
      </c>
      <c r="AA99" s="1616">
        <v>8882.2000000000007</v>
      </c>
      <c r="AB99" s="1616">
        <v>19823.900000000001</v>
      </c>
      <c r="AC99" s="1616">
        <v>17015.099999999999</v>
      </c>
      <c r="AD99" s="1616">
        <v>9168.2999999999993</v>
      </c>
      <c r="AE99" s="1616">
        <v>5003.1000000000004</v>
      </c>
      <c r="AF99" s="1616">
        <v>15478.4</v>
      </c>
      <c r="AG99" s="1616">
        <v>9617.5</v>
      </c>
      <c r="AH99" s="1616">
        <v>249673.9</v>
      </c>
      <c r="AI99" s="1616">
        <v>250174.8</v>
      </c>
      <c r="AJ99" s="1616">
        <v>2977.5</v>
      </c>
      <c r="AK99" s="1616">
        <v>92276.4</v>
      </c>
      <c r="AL99" s="1616">
        <v>154420.1</v>
      </c>
    </row>
    <row r="100" spans="1:38">
      <c r="A100" s="133">
        <v>2016</v>
      </c>
      <c r="B100" s="133" t="s">
        <v>11948</v>
      </c>
      <c r="C100" s="133" t="s">
        <v>12039</v>
      </c>
      <c r="D100" s="1616">
        <v>3115.1</v>
      </c>
      <c r="E100" s="1616">
        <v>185.1</v>
      </c>
      <c r="F100" s="1616">
        <v>73391.5</v>
      </c>
      <c r="G100" s="1616">
        <v>9193.5</v>
      </c>
      <c r="H100" s="1616">
        <v>934.8</v>
      </c>
      <c r="I100" s="1616">
        <v>1961.1</v>
      </c>
      <c r="J100" s="1616">
        <v>7257.2</v>
      </c>
      <c r="K100" s="1616">
        <v>3531.8</v>
      </c>
      <c r="L100" s="1616">
        <v>1474.8</v>
      </c>
      <c r="M100" s="1616">
        <v>8728.9</v>
      </c>
      <c r="N100" s="1616">
        <v>2807.7</v>
      </c>
      <c r="O100" s="1616">
        <v>8679.7000000000007</v>
      </c>
      <c r="P100" s="1616">
        <v>3135.2</v>
      </c>
      <c r="Q100" s="1616">
        <v>4094.3</v>
      </c>
      <c r="R100" s="1616">
        <v>1533.3</v>
      </c>
      <c r="S100" s="1616">
        <v>13523.9</v>
      </c>
      <c r="T100" s="1616">
        <v>6535.4</v>
      </c>
      <c r="U100" s="1616">
        <v>7672.9</v>
      </c>
      <c r="V100" s="1616">
        <v>13451.8</v>
      </c>
      <c r="W100" s="1616">
        <v>27048.3</v>
      </c>
      <c r="X100" s="1616">
        <v>11172.5</v>
      </c>
      <c r="Y100" s="1616">
        <v>7789.9</v>
      </c>
      <c r="Z100" s="1616">
        <v>12574.5</v>
      </c>
      <c r="AA100" s="1616">
        <v>8597.2000000000007</v>
      </c>
      <c r="AB100" s="1616">
        <v>19825.2</v>
      </c>
      <c r="AC100" s="1616">
        <v>15890.8</v>
      </c>
      <c r="AD100" s="1616">
        <v>10795.8</v>
      </c>
      <c r="AE100" s="1616">
        <v>6343.1</v>
      </c>
      <c r="AF100" s="1616">
        <v>15436.2</v>
      </c>
      <c r="AG100" s="1616">
        <v>9433.6</v>
      </c>
      <c r="AH100" s="1616">
        <v>242723.6</v>
      </c>
      <c r="AI100" s="1616">
        <v>243102.1</v>
      </c>
      <c r="AJ100" s="1616">
        <v>3115.1</v>
      </c>
      <c r="AK100" s="1616">
        <v>87028.4</v>
      </c>
      <c r="AL100" s="1616">
        <v>152580.1</v>
      </c>
    </row>
    <row r="101" spans="1:38">
      <c r="A101" s="133">
        <v>2016</v>
      </c>
      <c r="B101" s="133" t="s">
        <v>11950</v>
      </c>
      <c r="C101" s="133" t="s">
        <v>12040</v>
      </c>
      <c r="D101" s="1616">
        <v>3309.8</v>
      </c>
      <c r="E101" s="1616">
        <v>193.4</v>
      </c>
      <c r="F101" s="1616">
        <v>74520.800000000003</v>
      </c>
      <c r="G101" s="1616">
        <v>8920.5</v>
      </c>
      <c r="H101" s="1616">
        <v>841.6</v>
      </c>
      <c r="I101" s="1616">
        <v>1909.1</v>
      </c>
      <c r="J101" s="1616">
        <v>7219.2</v>
      </c>
      <c r="K101" s="1616">
        <v>3755.1</v>
      </c>
      <c r="L101" s="1616">
        <v>1518.8</v>
      </c>
      <c r="M101" s="1616">
        <v>8569.1</v>
      </c>
      <c r="N101" s="1616">
        <v>2968.3</v>
      </c>
      <c r="O101" s="1616">
        <v>8842.7999999999993</v>
      </c>
      <c r="P101" s="1616">
        <v>3409</v>
      </c>
      <c r="Q101" s="1616">
        <v>4216.3</v>
      </c>
      <c r="R101" s="1616">
        <v>1648.1</v>
      </c>
      <c r="S101" s="1616">
        <v>14164.5</v>
      </c>
      <c r="T101" s="1616">
        <v>6538.3</v>
      </c>
      <c r="U101" s="1616">
        <v>8213.7999999999993</v>
      </c>
      <c r="V101" s="1616">
        <v>15676.9</v>
      </c>
      <c r="W101" s="1616">
        <v>27609.7</v>
      </c>
      <c r="X101" s="1616">
        <v>11754.7</v>
      </c>
      <c r="Y101" s="1616">
        <v>8321.6</v>
      </c>
      <c r="Z101" s="1616">
        <v>13165.7</v>
      </c>
      <c r="AA101" s="1616">
        <v>8546</v>
      </c>
      <c r="AB101" s="1616">
        <v>19839.7</v>
      </c>
      <c r="AC101" s="1616">
        <v>16164.1</v>
      </c>
      <c r="AD101" s="1616">
        <v>8730.1</v>
      </c>
      <c r="AE101" s="1616">
        <v>4856.8</v>
      </c>
      <c r="AF101" s="1616">
        <v>15110.9</v>
      </c>
      <c r="AG101" s="1616">
        <v>9460.7999999999993</v>
      </c>
      <c r="AH101" s="1616">
        <v>245474.9</v>
      </c>
      <c r="AI101" s="1616">
        <v>245997.9</v>
      </c>
      <c r="AJ101" s="1616">
        <v>3309.8</v>
      </c>
      <c r="AK101" s="1616">
        <v>90391.1</v>
      </c>
      <c r="AL101" s="1616">
        <v>151774</v>
      </c>
    </row>
    <row r="102" spans="1:38">
      <c r="A102" s="133">
        <v>2016</v>
      </c>
      <c r="B102" s="133" t="s">
        <v>11952</v>
      </c>
      <c r="C102" s="133" t="s">
        <v>12041</v>
      </c>
      <c r="D102" s="1616">
        <v>3607.7</v>
      </c>
      <c r="E102" s="1616">
        <v>212.5</v>
      </c>
      <c r="F102" s="1616">
        <v>78123.100000000006</v>
      </c>
      <c r="G102" s="1616">
        <v>9075.2000000000007</v>
      </c>
      <c r="H102" s="1616">
        <v>844.9</v>
      </c>
      <c r="I102" s="1616">
        <v>1967.8</v>
      </c>
      <c r="J102" s="1616">
        <v>7645.6</v>
      </c>
      <c r="K102" s="1616">
        <v>4158.5</v>
      </c>
      <c r="L102" s="1616">
        <v>1624.1</v>
      </c>
      <c r="M102" s="1616">
        <v>8960.6</v>
      </c>
      <c r="N102" s="1616">
        <v>3289.4</v>
      </c>
      <c r="O102" s="1616">
        <v>8885.7999999999993</v>
      </c>
      <c r="P102" s="1616">
        <v>4059.3</v>
      </c>
      <c r="Q102" s="1616">
        <v>4277.8999999999996</v>
      </c>
      <c r="R102" s="1616">
        <v>1646.8</v>
      </c>
      <c r="S102" s="1616">
        <v>14907.6</v>
      </c>
      <c r="T102" s="1616">
        <v>6779.6</v>
      </c>
      <c r="U102" s="1616">
        <v>7943</v>
      </c>
      <c r="V102" s="1616">
        <v>17506.2</v>
      </c>
      <c r="W102" s="1616">
        <v>29431.9</v>
      </c>
      <c r="X102" s="1616">
        <v>11871.4</v>
      </c>
      <c r="Y102" s="1616">
        <v>8298.2000000000007</v>
      </c>
      <c r="Z102" s="1616">
        <v>13329.1</v>
      </c>
      <c r="AA102" s="1616">
        <v>8767.2999999999993</v>
      </c>
      <c r="AB102" s="1616">
        <v>19835.099999999999</v>
      </c>
      <c r="AC102" s="1616">
        <v>16914.5</v>
      </c>
      <c r="AD102" s="1616">
        <v>10838.9</v>
      </c>
      <c r="AE102" s="1616">
        <v>6500.5</v>
      </c>
      <c r="AF102" s="1616">
        <v>15740.9</v>
      </c>
      <c r="AG102" s="1616">
        <v>9686.2000000000007</v>
      </c>
      <c r="AH102" s="1616">
        <v>258606.5</v>
      </c>
      <c r="AI102" s="1616">
        <v>259179.2</v>
      </c>
      <c r="AJ102" s="1616">
        <v>3607.7</v>
      </c>
      <c r="AK102" s="1616">
        <v>95841.9</v>
      </c>
      <c r="AL102" s="1616">
        <v>159157</v>
      </c>
    </row>
    <row r="103" spans="1:38">
      <c r="A103" s="133">
        <v>2017</v>
      </c>
      <c r="B103" s="133" t="s">
        <v>11946</v>
      </c>
      <c r="C103" s="133" t="s">
        <v>12042</v>
      </c>
      <c r="D103" s="1616">
        <v>3061.6</v>
      </c>
      <c r="E103" s="1616">
        <v>216.8</v>
      </c>
      <c r="F103" s="1616">
        <v>78802.399999999994</v>
      </c>
      <c r="G103" s="1616">
        <v>8245.2999999999993</v>
      </c>
      <c r="H103" s="1616">
        <v>998.6</v>
      </c>
      <c r="I103" s="1616">
        <v>1955.6</v>
      </c>
      <c r="J103" s="1616">
        <v>7663.3</v>
      </c>
      <c r="K103" s="1616">
        <v>4693.5</v>
      </c>
      <c r="L103" s="1616">
        <v>1539.1</v>
      </c>
      <c r="M103" s="1616">
        <v>9440.2999999999993</v>
      </c>
      <c r="N103" s="1616">
        <v>2926.8</v>
      </c>
      <c r="O103" s="1616">
        <v>9240.1</v>
      </c>
      <c r="P103" s="1616">
        <v>3447.1</v>
      </c>
      <c r="Q103" s="1616">
        <v>4348.8</v>
      </c>
      <c r="R103" s="1616">
        <v>1984.4</v>
      </c>
      <c r="S103" s="1616">
        <v>15708.9</v>
      </c>
      <c r="T103" s="1616">
        <v>6610.6</v>
      </c>
      <c r="U103" s="1616">
        <v>8606.5</v>
      </c>
      <c r="V103" s="1616">
        <v>16790.5</v>
      </c>
      <c r="W103" s="1616">
        <v>28234.9</v>
      </c>
      <c r="X103" s="1616">
        <v>11661.3</v>
      </c>
      <c r="Y103" s="1616">
        <v>7739.5</v>
      </c>
      <c r="Z103" s="1616">
        <v>14762.2</v>
      </c>
      <c r="AA103" s="1616">
        <v>8809.1</v>
      </c>
      <c r="AB103" s="1616">
        <v>19862.400000000001</v>
      </c>
      <c r="AC103" s="1616">
        <v>17435.099999999999</v>
      </c>
      <c r="AD103" s="1616">
        <v>9175.2999999999993</v>
      </c>
      <c r="AE103" s="1616">
        <v>4980.8</v>
      </c>
      <c r="AF103" s="1616">
        <v>15325.4</v>
      </c>
      <c r="AG103" s="1616">
        <v>9542.7999999999993</v>
      </c>
      <c r="AH103" s="1616">
        <v>255006.4</v>
      </c>
      <c r="AI103" s="1616">
        <v>255646.1</v>
      </c>
      <c r="AJ103" s="1616">
        <v>3061.6</v>
      </c>
      <c r="AK103" s="1616">
        <v>95809.600000000006</v>
      </c>
      <c r="AL103" s="1616">
        <v>156135.20000000001</v>
      </c>
    </row>
    <row r="104" spans="1:38">
      <c r="A104" s="133">
        <v>2017</v>
      </c>
      <c r="B104" s="133" t="s">
        <v>11948</v>
      </c>
      <c r="C104" s="133" t="s">
        <v>12043</v>
      </c>
      <c r="D104" s="1616">
        <v>3195.6</v>
      </c>
      <c r="E104" s="1616">
        <v>195.1</v>
      </c>
      <c r="F104" s="1616">
        <v>78051.5</v>
      </c>
      <c r="G104" s="1616">
        <v>9327.9</v>
      </c>
      <c r="H104" s="1616">
        <v>923.5</v>
      </c>
      <c r="I104" s="1616">
        <v>1975.5</v>
      </c>
      <c r="J104" s="1616">
        <v>7458.9</v>
      </c>
      <c r="K104" s="1616">
        <v>3876.4</v>
      </c>
      <c r="L104" s="1616">
        <v>1562.3</v>
      </c>
      <c r="M104" s="1616">
        <v>9868.9</v>
      </c>
      <c r="N104" s="1616">
        <v>2958.5</v>
      </c>
      <c r="O104" s="1616">
        <v>9290.4</v>
      </c>
      <c r="P104" s="1616">
        <v>3542.2</v>
      </c>
      <c r="Q104" s="1616">
        <v>4323.6000000000004</v>
      </c>
      <c r="R104" s="1616">
        <v>1515.3</v>
      </c>
      <c r="S104" s="1616">
        <v>14657.4</v>
      </c>
      <c r="T104" s="1616">
        <v>6770.8</v>
      </c>
      <c r="U104" s="1616">
        <v>7776.8</v>
      </c>
      <c r="V104" s="1616">
        <v>14380.9</v>
      </c>
      <c r="W104" s="1616">
        <v>27943.599999999999</v>
      </c>
      <c r="X104" s="1616">
        <v>11537.5</v>
      </c>
      <c r="Y104" s="1616">
        <v>7994.3</v>
      </c>
      <c r="Z104" s="1616">
        <v>12600.3</v>
      </c>
      <c r="AA104" s="1616">
        <v>8705.7999999999993</v>
      </c>
      <c r="AB104" s="1616">
        <v>19815.400000000001</v>
      </c>
      <c r="AC104" s="1616">
        <v>16180.2</v>
      </c>
      <c r="AD104" s="1616">
        <v>10699.9</v>
      </c>
      <c r="AE104" s="1616">
        <v>6398.5</v>
      </c>
      <c r="AF104" s="1616">
        <v>15799.4</v>
      </c>
      <c r="AG104" s="1616">
        <v>9873.4</v>
      </c>
      <c r="AH104" s="1616">
        <v>251148</v>
      </c>
      <c r="AI104" s="1616">
        <v>251770.4</v>
      </c>
      <c r="AJ104" s="1616">
        <v>3195.6</v>
      </c>
      <c r="AK104" s="1616">
        <v>92627.5</v>
      </c>
      <c r="AL104" s="1616">
        <v>155324.9</v>
      </c>
    </row>
    <row r="105" spans="1:38">
      <c r="A105" s="133">
        <v>2017</v>
      </c>
      <c r="B105" s="133" t="s">
        <v>11950</v>
      </c>
      <c r="C105" s="133" t="s">
        <v>12044</v>
      </c>
      <c r="D105" s="1616">
        <v>3361.3</v>
      </c>
      <c r="E105" s="1616">
        <v>192.5</v>
      </c>
      <c r="F105" s="1616">
        <v>79521.600000000006</v>
      </c>
      <c r="G105" s="1616">
        <v>9071.2000000000007</v>
      </c>
      <c r="H105" s="1616">
        <v>841.4</v>
      </c>
      <c r="I105" s="1616">
        <v>2005.2</v>
      </c>
      <c r="J105" s="1616">
        <v>7738.6</v>
      </c>
      <c r="K105" s="1616">
        <v>4129.3</v>
      </c>
      <c r="L105" s="1616">
        <v>1627.2</v>
      </c>
      <c r="M105" s="1616">
        <v>9824.6</v>
      </c>
      <c r="N105" s="1616">
        <v>3100.9</v>
      </c>
      <c r="O105" s="1616">
        <v>9532.7000000000007</v>
      </c>
      <c r="P105" s="1616">
        <v>3858.1</v>
      </c>
      <c r="Q105" s="1616">
        <v>4424.1000000000004</v>
      </c>
      <c r="R105" s="1616">
        <v>1649.3</v>
      </c>
      <c r="S105" s="1616">
        <v>14911.9</v>
      </c>
      <c r="T105" s="1616">
        <v>6807.3</v>
      </c>
      <c r="U105" s="1616">
        <v>8694.6</v>
      </c>
      <c r="V105" s="1616">
        <v>16083.8</v>
      </c>
      <c r="W105" s="1616">
        <v>28003.599999999999</v>
      </c>
      <c r="X105" s="1616">
        <v>12191.4</v>
      </c>
      <c r="Y105" s="1616">
        <v>8313.7000000000007</v>
      </c>
      <c r="Z105" s="1616">
        <v>13227.4</v>
      </c>
      <c r="AA105" s="1616">
        <v>8659.4</v>
      </c>
      <c r="AB105" s="1616">
        <v>19752.099999999999</v>
      </c>
      <c r="AC105" s="1616">
        <v>16443.3</v>
      </c>
      <c r="AD105" s="1616">
        <v>8675.1</v>
      </c>
      <c r="AE105" s="1616">
        <v>4895.8999999999996</v>
      </c>
      <c r="AF105" s="1616">
        <v>15453.6</v>
      </c>
      <c r="AG105" s="1616">
        <v>9656.9</v>
      </c>
      <c r="AH105" s="1616">
        <v>253126.1</v>
      </c>
      <c r="AI105" s="1616">
        <v>253763.9</v>
      </c>
      <c r="AJ105" s="1616">
        <v>3361.3</v>
      </c>
      <c r="AK105" s="1616">
        <v>95797.9</v>
      </c>
      <c r="AL105" s="1616">
        <v>153966.9</v>
      </c>
    </row>
    <row r="106" spans="1:38">
      <c r="A106" s="133">
        <v>2017</v>
      </c>
      <c r="B106" s="133" t="s">
        <v>11952</v>
      </c>
      <c r="C106" s="133" t="s">
        <v>12045</v>
      </c>
      <c r="D106" s="1616">
        <v>3539.5</v>
      </c>
      <c r="E106" s="1616">
        <v>213.3</v>
      </c>
      <c r="F106" s="1616">
        <v>83994.8</v>
      </c>
      <c r="G106" s="1616">
        <v>9188.6</v>
      </c>
      <c r="H106" s="1616">
        <v>867.2</v>
      </c>
      <c r="I106" s="1616">
        <v>2119.4</v>
      </c>
      <c r="J106" s="1616">
        <v>8210.7000000000007</v>
      </c>
      <c r="K106" s="1616">
        <v>4567.5</v>
      </c>
      <c r="L106" s="1616">
        <v>1723.7</v>
      </c>
      <c r="M106" s="1616">
        <v>10300.5</v>
      </c>
      <c r="N106" s="1616">
        <v>3446.4</v>
      </c>
      <c r="O106" s="1616">
        <v>9967.1</v>
      </c>
      <c r="P106" s="1616">
        <v>3981.5</v>
      </c>
      <c r="Q106" s="1616">
        <v>4576.7</v>
      </c>
      <c r="R106" s="1616">
        <v>1685</v>
      </c>
      <c r="S106" s="1616">
        <v>16232.8</v>
      </c>
      <c r="T106" s="1616">
        <v>7127.8</v>
      </c>
      <c r="U106" s="1616">
        <v>8673.2000000000007</v>
      </c>
      <c r="V106" s="1616">
        <v>17785.3</v>
      </c>
      <c r="W106" s="1616">
        <v>29635.3</v>
      </c>
      <c r="X106" s="1616">
        <v>12384.1</v>
      </c>
      <c r="Y106" s="1616">
        <v>8329.2000000000007</v>
      </c>
      <c r="Z106" s="1616">
        <v>13412.6</v>
      </c>
      <c r="AA106" s="1616">
        <v>8955.2000000000007</v>
      </c>
      <c r="AB106" s="1616">
        <v>19754.599999999999</v>
      </c>
      <c r="AC106" s="1616">
        <v>16940.2</v>
      </c>
      <c r="AD106" s="1616">
        <v>10736.7</v>
      </c>
      <c r="AE106" s="1616">
        <v>6544.3</v>
      </c>
      <c r="AF106" s="1616">
        <v>16131.9</v>
      </c>
      <c r="AG106" s="1616">
        <v>9807.9</v>
      </c>
      <c r="AH106" s="1616">
        <v>266838</v>
      </c>
      <c r="AI106" s="1616">
        <v>267578.09999999998</v>
      </c>
      <c r="AJ106" s="1616">
        <v>3539.5</v>
      </c>
      <c r="AK106" s="1616">
        <v>101993.4</v>
      </c>
      <c r="AL106" s="1616">
        <v>161305.1</v>
      </c>
    </row>
    <row r="107" spans="1:38">
      <c r="A107" s="133">
        <v>2018</v>
      </c>
      <c r="B107" s="133" t="s">
        <v>11946</v>
      </c>
      <c r="C107" s="133" t="s">
        <v>12046</v>
      </c>
      <c r="D107" s="1616">
        <v>3153.6</v>
      </c>
      <c r="E107" s="1616">
        <v>205.5</v>
      </c>
      <c r="F107" s="1616">
        <v>82459.5</v>
      </c>
      <c r="G107" s="1616">
        <v>8503.2000000000007</v>
      </c>
      <c r="H107" s="1616">
        <v>1023.7</v>
      </c>
      <c r="I107" s="1616">
        <v>2050.5</v>
      </c>
      <c r="J107" s="1616">
        <v>7866</v>
      </c>
      <c r="K107" s="1616">
        <v>4771.6000000000004</v>
      </c>
      <c r="L107" s="1616">
        <v>1549.6</v>
      </c>
      <c r="M107" s="1616">
        <v>10299.5</v>
      </c>
      <c r="N107" s="1616">
        <v>3103.9</v>
      </c>
      <c r="O107" s="1616">
        <v>10141.5</v>
      </c>
      <c r="P107" s="1616">
        <v>3505.2</v>
      </c>
      <c r="Q107" s="1616">
        <v>4846.1000000000004</v>
      </c>
      <c r="R107" s="1616">
        <v>2005.1</v>
      </c>
      <c r="S107" s="1616">
        <v>15935.7</v>
      </c>
      <c r="T107" s="1616">
        <v>6857.9</v>
      </c>
      <c r="U107" s="1616">
        <v>9178.2000000000007</v>
      </c>
      <c r="V107" s="1616">
        <v>17540.3</v>
      </c>
      <c r="W107" s="1616">
        <v>27996.400000000001</v>
      </c>
      <c r="X107" s="1616">
        <v>11997.3</v>
      </c>
      <c r="Y107" s="1616">
        <v>7691.3</v>
      </c>
      <c r="Z107" s="1616">
        <v>14992.5</v>
      </c>
      <c r="AA107" s="1616">
        <v>8945.5</v>
      </c>
      <c r="AB107" s="1616">
        <v>19756.900000000001</v>
      </c>
      <c r="AC107" s="1616">
        <v>17670.400000000001</v>
      </c>
      <c r="AD107" s="1616">
        <v>9202</v>
      </c>
      <c r="AE107" s="1616">
        <v>5027.6000000000004</v>
      </c>
      <c r="AF107" s="1616">
        <v>15831.5</v>
      </c>
      <c r="AG107" s="1616">
        <v>9640.1</v>
      </c>
      <c r="AH107" s="1616">
        <v>261288.6</v>
      </c>
      <c r="AI107" s="1616">
        <v>261992.6</v>
      </c>
      <c r="AJ107" s="1616">
        <v>3153.6</v>
      </c>
      <c r="AK107" s="1616">
        <v>100205.3</v>
      </c>
      <c r="AL107" s="1616">
        <v>157929.70000000001</v>
      </c>
    </row>
    <row r="108" spans="1:38">
      <c r="A108" s="133">
        <v>2018</v>
      </c>
      <c r="B108" s="133" t="s">
        <v>11948</v>
      </c>
      <c r="C108" s="133" t="s">
        <v>12047</v>
      </c>
      <c r="D108" s="1616">
        <v>3077.8</v>
      </c>
      <c r="E108" s="1616">
        <v>200.4</v>
      </c>
      <c r="F108" s="1616">
        <v>81915.100000000006</v>
      </c>
      <c r="G108" s="1616">
        <v>9475.2000000000007</v>
      </c>
      <c r="H108" s="1616">
        <v>953.9</v>
      </c>
      <c r="I108" s="1616">
        <v>2070.6</v>
      </c>
      <c r="J108" s="1616">
        <v>7778.2</v>
      </c>
      <c r="K108" s="1616">
        <v>4439.8</v>
      </c>
      <c r="L108" s="1616">
        <v>1618.7</v>
      </c>
      <c r="M108" s="1616">
        <v>10594</v>
      </c>
      <c r="N108" s="1616">
        <v>3172.1</v>
      </c>
      <c r="O108" s="1616">
        <v>9665.5</v>
      </c>
      <c r="P108" s="1616">
        <v>3770.4</v>
      </c>
      <c r="Q108" s="1616">
        <v>4743.5</v>
      </c>
      <c r="R108" s="1616">
        <v>1551.8</v>
      </c>
      <c r="S108" s="1616">
        <v>15166</v>
      </c>
      <c r="T108" s="1616">
        <v>6915.3</v>
      </c>
      <c r="U108" s="1616">
        <v>7989.8</v>
      </c>
      <c r="V108" s="1616">
        <v>14392.8</v>
      </c>
      <c r="W108" s="1616">
        <v>28067.599999999999</v>
      </c>
      <c r="X108" s="1616">
        <v>11618.3</v>
      </c>
      <c r="Y108" s="1616">
        <v>7875.9</v>
      </c>
      <c r="Z108" s="1616">
        <v>13015.6</v>
      </c>
      <c r="AA108" s="1616">
        <v>8995.2000000000007</v>
      </c>
      <c r="AB108" s="1616">
        <v>19808.8</v>
      </c>
      <c r="AC108" s="1616">
        <v>16434.099999999999</v>
      </c>
      <c r="AD108" s="1616">
        <v>10970.4</v>
      </c>
      <c r="AE108" s="1616">
        <v>6496.7</v>
      </c>
      <c r="AF108" s="1616">
        <v>16031.6</v>
      </c>
      <c r="AG108" s="1616">
        <v>9660.6</v>
      </c>
      <c r="AH108" s="1616">
        <v>256550.6</v>
      </c>
      <c r="AI108" s="1616">
        <v>257218.1</v>
      </c>
      <c r="AJ108" s="1616">
        <v>3077.8</v>
      </c>
      <c r="AK108" s="1616">
        <v>96508.3</v>
      </c>
      <c r="AL108" s="1616">
        <v>156964.6</v>
      </c>
    </row>
    <row r="109" spans="1:38">
      <c r="A109" s="133">
        <v>2018</v>
      </c>
      <c r="B109" s="133" t="s">
        <v>11950</v>
      </c>
      <c r="C109" s="133" t="s">
        <v>12048</v>
      </c>
      <c r="D109" s="1616">
        <v>3364.9</v>
      </c>
      <c r="E109" s="1616">
        <v>203.3</v>
      </c>
      <c r="F109" s="1616">
        <v>81668.100000000006</v>
      </c>
      <c r="G109" s="1616">
        <v>9226.4</v>
      </c>
      <c r="H109" s="1616">
        <v>857.3</v>
      </c>
      <c r="I109" s="1616">
        <v>2025.5</v>
      </c>
      <c r="J109" s="1616">
        <v>8098.7</v>
      </c>
      <c r="K109" s="1616">
        <v>4971.3999999999996</v>
      </c>
      <c r="L109" s="1616">
        <v>1669.2</v>
      </c>
      <c r="M109" s="1616">
        <v>9790.9</v>
      </c>
      <c r="N109" s="1616">
        <v>3185.6</v>
      </c>
      <c r="O109" s="1616">
        <v>10009.6</v>
      </c>
      <c r="P109" s="1616">
        <v>3930.1</v>
      </c>
      <c r="Q109" s="1616">
        <v>4821</v>
      </c>
      <c r="R109" s="1616">
        <v>1629.9</v>
      </c>
      <c r="S109" s="1616">
        <v>14601.5</v>
      </c>
      <c r="T109" s="1616">
        <v>6850.9</v>
      </c>
      <c r="U109" s="1616">
        <v>9159.7000000000007</v>
      </c>
      <c r="V109" s="1616">
        <v>16157.3</v>
      </c>
      <c r="W109" s="1616">
        <v>28253.599999999999</v>
      </c>
      <c r="X109" s="1616">
        <v>12055.4</v>
      </c>
      <c r="Y109" s="1616">
        <v>8144.9</v>
      </c>
      <c r="Z109" s="1616">
        <v>13586.9</v>
      </c>
      <c r="AA109" s="1616">
        <v>8993.2999999999993</v>
      </c>
      <c r="AB109" s="1616">
        <v>19830.599999999999</v>
      </c>
      <c r="AC109" s="1616">
        <v>16825.3</v>
      </c>
      <c r="AD109" s="1616">
        <v>8795.7999999999993</v>
      </c>
      <c r="AE109" s="1616">
        <v>4942.2</v>
      </c>
      <c r="AF109" s="1616">
        <v>15633.4</v>
      </c>
      <c r="AG109" s="1616">
        <v>9577</v>
      </c>
      <c r="AH109" s="1616">
        <v>257191.6</v>
      </c>
      <c r="AI109" s="1616">
        <v>258010.8</v>
      </c>
      <c r="AJ109" s="1616">
        <v>3364.9</v>
      </c>
      <c r="AK109" s="1616">
        <v>98028.7</v>
      </c>
      <c r="AL109" s="1616">
        <v>155798</v>
      </c>
    </row>
    <row r="110" spans="1:38">
      <c r="A110" s="133">
        <v>2018</v>
      </c>
      <c r="B110" s="133" t="s">
        <v>11952</v>
      </c>
      <c r="C110" s="133" t="s">
        <v>12049</v>
      </c>
      <c r="D110" s="1616">
        <v>3421.5</v>
      </c>
      <c r="E110" s="1616">
        <v>221.8</v>
      </c>
      <c r="F110" s="1616">
        <v>86401.7</v>
      </c>
      <c r="G110" s="1616">
        <v>9307.4</v>
      </c>
      <c r="H110" s="1616">
        <v>886.8</v>
      </c>
      <c r="I110" s="1616">
        <v>2145.4</v>
      </c>
      <c r="J110" s="1616">
        <v>8525.6</v>
      </c>
      <c r="K110" s="1616">
        <v>4968.6000000000004</v>
      </c>
      <c r="L110" s="1616">
        <v>1782</v>
      </c>
      <c r="M110" s="1616">
        <v>10139.1</v>
      </c>
      <c r="N110" s="1616">
        <v>3654.2</v>
      </c>
      <c r="O110" s="1616">
        <v>10152.5</v>
      </c>
      <c r="P110" s="1616">
        <v>4106.1000000000004</v>
      </c>
      <c r="Q110" s="1616">
        <v>4940.6000000000004</v>
      </c>
      <c r="R110" s="1616">
        <v>1787.9</v>
      </c>
      <c r="S110" s="1616">
        <v>16709.099999999999</v>
      </c>
      <c r="T110" s="1616">
        <v>7296.3</v>
      </c>
      <c r="U110" s="1616">
        <v>8889</v>
      </c>
      <c r="V110" s="1616">
        <v>17755</v>
      </c>
      <c r="W110" s="1616">
        <v>30195.5</v>
      </c>
      <c r="X110" s="1616">
        <v>12488.8</v>
      </c>
      <c r="Y110" s="1616">
        <v>8289.4</v>
      </c>
      <c r="Z110" s="1616">
        <v>13968.4</v>
      </c>
      <c r="AA110" s="1616">
        <v>9076.7999999999993</v>
      </c>
      <c r="AB110" s="1616">
        <v>19850.099999999999</v>
      </c>
      <c r="AC110" s="1616">
        <v>17408.099999999999</v>
      </c>
      <c r="AD110" s="1616">
        <v>10862.1</v>
      </c>
      <c r="AE110" s="1616">
        <v>6573.3</v>
      </c>
      <c r="AF110" s="1616">
        <v>16505.900000000001</v>
      </c>
      <c r="AG110" s="1616">
        <v>9895.2000000000007</v>
      </c>
      <c r="AH110" s="1616">
        <v>271802.59999999998</v>
      </c>
      <c r="AI110" s="1616">
        <v>272546.59999999998</v>
      </c>
      <c r="AJ110" s="1616">
        <v>3421.5</v>
      </c>
      <c r="AK110" s="1616">
        <v>104378.5</v>
      </c>
      <c r="AL110" s="1616">
        <v>164002.6</v>
      </c>
    </row>
    <row r="111" spans="1:38">
      <c r="A111" s="133">
        <v>2019</v>
      </c>
      <c r="B111" s="133" t="s">
        <v>11946</v>
      </c>
      <c r="C111" s="133" t="s">
        <v>12050</v>
      </c>
      <c r="D111" s="1616">
        <v>3055</v>
      </c>
      <c r="E111" s="1616">
        <v>206.9</v>
      </c>
      <c r="F111" s="1616">
        <v>81053.5</v>
      </c>
      <c r="G111" s="1616">
        <v>8553.1</v>
      </c>
      <c r="H111" s="1616">
        <v>1035.9000000000001</v>
      </c>
      <c r="I111" s="1616">
        <v>2072.5</v>
      </c>
      <c r="J111" s="1616">
        <v>7961.3</v>
      </c>
      <c r="K111" s="1616">
        <v>4626.2</v>
      </c>
      <c r="L111" s="1616">
        <v>1633.5</v>
      </c>
      <c r="M111" s="1616">
        <v>9616</v>
      </c>
      <c r="N111" s="1616">
        <v>3098.9</v>
      </c>
      <c r="O111" s="1616">
        <v>9961.2999999999993</v>
      </c>
      <c r="P111" s="1616">
        <v>3220.4</v>
      </c>
      <c r="Q111" s="1616">
        <v>4632.8</v>
      </c>
      <c r="R111" s="1616">
        <v>1885.6</v>
      </c>
      <c r="S111" s="1616">
        <v>15804.5</v>
      </c>
      <c r="T111" s="1616">
        <v>6951.5</v>
      </c>
      <c r="U111" s="1616">
        <v>9601.2000000000007</v>
      </c>
      <c r="V111" s="1616">
        <v>17614.099999999999</v>
      </c>
      <c r="W111" s="1616">
        <v>27961.3</v>
      </c>
      <c r="X111" s="1616">
        <v>12161.4</v>
      </c>
      <c r="Y111" s="1616">
        <v>7621.8</v>
      </c>
      <c r="Z111" s="1616">
        <v>15268.3</v>
      </c>
      <c r="AA111" s="1616">
        <v>8996.2999999999993</v>
      </c>
      <c r="AB111" s="1616">
        <v>20025.5</v>
      </c>
      <c r="AC111" s="1616">
        <v>18016.099999999999</v>
      </c>
      <c r="AD111" s="1616">
        <v>9260.2000000000007</v>
      </c>
      <c r="AE111" s="1616">
        <v>5046.5</v>
      </c>
      <c r="AF111" s="1616">
        <v>15906.8</v>
      </c>
      <c r="AG111" s="1616">
        <v>9778.7999999999993</v>
      </c>
      <c r="AH111" s="1616">
        <v>261573.6</v>
      </c>
      <c r="AI111" s="1616">
        <v>262125.5</v>
      </c>
      <c r="AJ111" s="1616">
        <v>3055</v>
      </c>
      <c r="AK111" s="1616">
        <v>98874.5</v>
      </c>
      <c r="AL111" s="1616">
        <v>159644.1</v>
      </c>
    </row>
    <row r="112" spans="1:38">
      <c r="A112" s="133">
        <v>2019</v>
      </c>
      <c r="B112" s="133" t="s">
        <v>11948</v>
      </c>
      <c r="C112" s="133" t="s">
        <v>12051</v>
      </c>
      <c r="D112" s="1616">
        <v>3116.8</v>
      </c>
      <c r="E112" s="1616">
        <v>198.7</v>
      </c>
      <c r="F112" s="1616">
        <v>80864.5</v>
      </c>
      <c r="G112" s="1616">
        <v>9426.9</v>
      </c>
      <c r="H112" s="1616">
        <v>933.5</v>
      </c>
      <c r="I112" s="1616">
        <v>2082.6999999999998</v>
      </c>
      <c r="J112" s="1616">
        <v>7689.3</v>
      </c>
      <c r="K112" s="1616">
        <v>4415.6000000000004</v>
      </c>
      <c r="L112" s="1616">
        <v>1632.8</v>
      </c>
      <c r="M112" s="1616">
        <v>10109.6</v>
      </c>
      <c r="N112" s="1616">
        <v>3199.1</v>
      </c>
      <c r="O112" s="1616">
        <v>9517.7999999999993</v>
      </c>
      <c r="P112" s="1616">
        <v>3184.5</v>
      </c>
      <c r="Q112" s="1616">
        <v>4627</v>
      </c>
      <c r="R112" s="1616">
        <v>1616.5</v>
      </c>
      <c r="S112" s="1616">
        <v>15400</v>
      </c>
      <c r="T112" s="1616">
        <v>7029.2</v>
      </c>
      <c r="U112" s="1616">
        <v>8294.2000000000007</v>
      </c>
      <c r="V112" s="1616">
        <v>14794.6</v>
      </c>
      <c r="W112" s="1616">
        <v>27969.7</v>
      </c>
      <c r="X112" s="1616">
        <v>11778.2</v>
      </c>
      <c r="Y112" s="1616">
        <v>7832.5</v>
      </c>
      <c r="Z112" s="1616">
        <v>13177.7</v>
      </c>
      <c r="AA112" s="1616">
        <v>8961.2000000000007</v>
      </c>
      <c r="AB112" s="1616">
        <v>19957.3</v>
      </c>
      <c r="AC112" s="1616">
        <v>16862.400000000001</v>
      </c>
      <c r="AD112" s="1616">
        <v>11239.3</v>
      </c>
      <c r="AE112" s="1616">
        <v>6514</v>
      </c>
      <c r="AF112" s="1616">
        <v>16508.400000000001</v>
      </c>
      <c r="AG112" s="1616">
        <v>9788.7999999999993</v>
      </c>
      <c r="AH112" s="1616">
        <v>257858.2</v>
      </c>
      <c r="AI112" s="1616">
        <v>258486.5</v>
      </c>
      <c r="AJ112" s="1616">
        <v>3116.8</v>
      </c>
      <c r="AK112" s="1616">
        <v>95857.8</v>
      </c>
      <c r="AL112" s="1616">
        <v>158883.70000000001</v>
      </c>
    </row>
    <row r="113" spans="1:38">
      <c r="A113" s="133">
        <v>2019</v>
      </c>
      <c r="B113" s="133" t="s">
        <v>11950</v>
      </c>
      <c r="C113" s="133" t="s">
        <v>12052</v>
      </c>
      <c r="D113" s="1616">
        <v>3271.9</v>
      </c>
      <c r="E113" s="1616">
        <v>193.9</v>
      </c>
      <c r="F113" s="1616">
        <v>80589.3</v>
      </c>
      <c r="G113" s="1616">
        <v>9192.7000000000007</v>
      </c>
      <c r="H113" s="1616">
        <v>831.8</v>
      </c>
      <c r="I113" s="1616">
        <v>2119.1</v>
      </c>
      <c r="J113" s="1616">
        <v>7745.9</v>
      </c>
      <c r="K113" s="1616">
        <v>4533.7</v>
      </c>
      <c r="L113" s="1616">
        <v>1604.6</v>
      </c>
      <c r="M113" s="1616">
        <v>9455.7000000000007</v>
      </c>
      <c r="N113" s="1616">
        <v>3316.7</v>
      </c>
      <c r="O113" s="1616">
        <v>9703.7000000000007</v>
      </c>
      <c r="P113" s="1616">
        <v>3604.5</v>
      </c>
      <c r="Q113" s="1616">
        <v>4712.8</v>
      </c>
      <c r="R113" s="1616">
        <v>1651.7</v>
      </c>
      <c r="S113" s="1616">
        <v>15193</v>
      </c>
      <c r="T113" s="1616">
        <v>6923.6</v>
      </c>
      <c r="U113" s="1616">
        <v>9097.7000000000007</v>
      </c>
      <c r="V113" s="1616">
        <v>16439.7</v>
      </c>
      <c r="W113" s="1616">
        <v>28790.5</v>
      </c>
      <c r="X113" s="1616">
        <v>12105.7</v>
      </c>
      <c r="Y113" s="1616">
        <v>8148</v>
      </c>
      <c r="Z113" s="1616">
        <v>13893.9</v>
      </c>
      <c r="AA113" s="1616">
        <v>8973.7999999999993</v>
      </c>
      <c r="AB113" s="1616">
        <v>20015.5</v>
      </c>
      <c r="AC113" s="1616">
        <v>17427.900000000001</v>
      </c>
      <c r="AD113" s="1616">
        <v>8989.7999999999993</v>
      </c>
      <c r="AE113" s="1616">
        <v>4930</v>
      </c>
      <c r="AF113" s="1616">
        <v>16200.2</v>
      </c>
      <c r="AG113" s="1616">
        <v>9723.9</v>
      </c>
      <c r="AH113" s="1616">
        <v>258791.6</v>
      </c>
      <c r="AI113" s="1616">
        <v>259494.3</v>
      </c>
      <c r="AJ113" s="1616">
        <v>3271.9</v>
      </c>
      <c r="AK113" s="1616">
        <v>97222.8</v>
      </c>
      <c r="AL113" s="1616">
        <v>158296.9</v>
      </c>
    </row>
    <row r="114" spans="1:38">
      <c r="A114" s="133">
        <v>2019</v>
      </c>
      <c r="B114" s="133" t="s">
        <v>11952</v>
      </c>
      <c r="C114" s="133" t="s">
        <v>12053</v>
      </c>
      <c r="D114" s="1616">
        <v>3388.5</v>
      </c>
      <c r="E114" s="1616">
        <v>209</v>
      </c>
      <c r="F114" s="1616">
        <v>80819.8</v>
      </c>
      <c r="G114" s="1616">
        <v>9329.2000000000007</v>
      </c>
      <c r="H114" s="1616">
        <v>845.5</v>
      </c>
      <c r="I114" s="1616">
        <v>2064.5</v>
      </c>
      <c r="J114" s="1616">
        <v>7823.5</v>
      </c>
      <c r="K114" s="1616">
        <v>4599.7</v>
      </c>
      <c r="L114" s="1616">
        <v>1680.8</v>
      </c>
      <c r="M114" s="1616">
        <v>9734.7000000000007</v>
      </c>
      <c r="N114" s="1616">
        <v>3512.6</v>
      </c>
      <c r="O114" s="1616">
        <v>9260.7000000000007</v>
      </c>
      <c r="P114" s="1616">
        <v>3787</v>
      </c>
      <c r="Q114" s="1616">
        <v>4671.7</v>
      </c>
      <c r="R114" s="1616">
        <v>1669.2</v>
      </c>
      <c r="S114" s="1616">
        <v>14791.8</v>
      </c>
      <c r="T114" s="1616">
        <v>7049</v>
      </c>
      <c r="U114" s="1616">
        <v>8775.4</v>
      </c>
      <c r="V114" s="1616">
        <v>18095.5</v>
      </c>
      <c r="W114" s="1616">
        <v>28572.2</v>
      </c>
      <c r="X114" s="1616">
        <v>12234.4</v>
      </c>
      <c r="Y114" s="1616">
        <v>8239.4</v>
      </c>
      <c r="Z114" s="1616">
        <v>13919.5</v>
      </c>
      <c r="AA114" s="1616">
        <v>9083.2000000000007</v>
      </c>
      <c r="AB114" s="1616">
        <v>20105.5</v>
      </c>
      <c r="AC114" s="1616">
        <v>18022</v>
      </c>
      <c r="AD114" s="1616">
        <v>11318.8</v>
      </c>
      <c r="AE114" s="1616">
        <v>6676.6</v>
      </c>
      <c r="AF114" s="1616">
        <v>17078.2</v>
      </c>
      <c r="AG114" s="1616">
        <v>9813.4</v>
      </c>
      <c r="AH114" s="1616">
        <v>266351.3</v>
      </c>
      <c r="AI114" s="1616">
        <v>266976.2</v>
      </c>
      <c r="AJ114" s="1616">
        <v>3388.5</v>
      </c>
      <c r="AK114" s="1616">
        <v>99124.2</v>
      </c>
      <c r="AL114" s="1616">
        <v>163838.5</v>
      </c>
    </row>
    <row r="115" spans="1:38">
      <c r="A115" s="133">
        <v>2020</v>
      </c>
      <c r="B115" s="133" t="s">
        <v>11946</v>
      </c>
      <c r="C115" s="133" t="s">
        <v>12054</v>
      </c>
      <c r="D115" s="1616">
        <v>3012</v>
      </c>
      <c r="E115" s="1616">
        <v>225.5</v>
      </c>
      <c r="F115" s="1616">
        <v>79436</v>
      </c>
      <c r="G115" s="1616">
        <v>8458.4</v>
      </c>
      <c r="H115" s="1616">
        <v>1048.9000000000001</v>
      </c>
      <c r="I115" s="1616">
        <v>2017.3</v>
      </c>
      <c r="J115" s="1616">
        <v>7989.7</v>
      </c>
      <c r="K115" s="1616">
        <v>4415.2</v>
      </c>
      <c r="L115" s="1616">
        <v>1667.6</v>
      </c>
      <c r="M115" s="1616">
        <v>9904.1</v>
      </c>
      <c r="N115" s="1616">
        <v>2969.3</v>
      </c>
      <c r="O115" s="1616">
        <v>9563.2000000000007</v>
      </c>
      <c r="P115" s="1616">
        <v>3310.4</v>
      </c>
      <c r="Q115" s="1616">
        <v>4707.1000000000004</v>
      </c>
      <c r="R115" s="1616">
        <v>1844.5</v>
      </c>
      <c r="S115" s="1616">
        <v>14508.2</v>
      </c>
      <c r="T115" s="1616">
        <v>7032.1</v>
      </c>
      <c r="U115" s="1616">
        <v>9225.1</v>
      </c>
      <c r="V115" s="1616">
        <v>17721.900000000001</v>
      </c>
      <c r="W115" s="1616">
        <v>28995.8</v>
      </c>
      <c r="X115" s="1616">
        <v>10982.4</v>
      </c>
      <c r="Y115" s="1616">
        <v>6808.6</v>
      </c>
      <c r="Z115" s="1616">
        <v>15419</v>
      </c>
      <c r="AA115" s="1616">
        <v>9342.5</v>
      </c>
      <c r="AB115" s="1616">
        <v>20163.099999999999</v>
      </c>
      <c r="AC115" s="1616">
        <v>18980.5</v>
      </c>
      <c r="AD115" s="1616">
        <v>9504.2000000000007</v>
      </c>
      <c r="AE115" s="1616">
        <v>5044.1000000000004</v>
      </c>
      <c r="AF115" s="1616">
        <v>16270.8</v>
      </c>
      <c r="AG115" s="1616">
        <v>9293.7999999999993</v>
      </c>
      <c r="AH115" s="1616">
        <v>260425.4</v>
      </c>
      <c r="AI115" s="1616">
        <v>260916.3</v>
      </c>
      <c r="AJ115" s="1616">
        <v>3012</v>
      </c>
      <c r="AK115" s="1616">
        <v>97383.3</v>
      </c>
      <c r="AL115" s="1616">
        <v>160030.1</v>
      </c>
    </row>
    <row r="116" spans="1:38">
      <c r="A116" s="133">
        <v>2020</v>
      </c>
      <c r="B116" s="133" t="s">
        <v>11948</v>
      </c>
      <c r="C116" s="133" t="s">
        <v>12055</v>
      </c>
      <c r="D116" s="1616">
        <v>3102.1</v>
      </c>
      <c r="E116" s="1616">
        <v>176.8</v>
      </c>
      <c r="F116" s="1616">
        <v>64845.2</v>
      </c>
      <c r="G116" s="1616">
        <v>9040.1</v>
      </c>
      <c r="H116" s="1616">
        <v>854.1</v>
      </c>
      <c r="I116" s="1616">
        <v>1787.1</v>
      </c>
      <c r="J116" s="1616">
        <v>7153.9</v>
      </c>
      <c r="K116" s="1616">
        <v>2545</v>
      </c>
      <c r="L116" s="1616">
        <v>1502.8</v>
      </c>
      <c r="M116" s="1616">
        <v>7448.2</v>
      </c>
      <c r="N116" s="1616">
        <v>2763.3</v>
      </c>
      <c r="O116" s="1616">
        <v>8098.4</v>
      </c>
      <c r="P116" s="1616">
        <v>3303.9</v>
      </c>
      <c r="Q116" s="1616">
        <v>4030.7</v>
      </c>
      <c r="R116" s="1616">
        <v>1376.3</v>
      </c>
      <c r="S116" s="1616">
        <v>8984.9</v>
      </c>
      <c r="T116" s="1616">
        <v>5956.5</v>
      </c>
      <c r="U116" s="1616">
        <v>7902.4</v>
      </c>
      <c r="V116" s="1616">
        <v>14675.8</v>
      </c>
      <c r="W116" s="1616">
        <v>25856.6</v>
      </c>
      <c r="X116" s="1616">
        <v>7975.9</v>
      </c>
      <c r="Y116" s="1616">
        <v>3753.2</v>
      </c>
      <c r="Z116" s="1616">
        <v>13036.7</v>
      </c>
      <c r="AA116" s="1616">
        <v>8889.7000000000007</v>
      </c>
      <c r="AB116" s="1616">
        <v>19829.8</v>
      </c>
      <c r="AC116" s="1616">
        <v>15797</v>
      </c>
      <c r="AD116" s="1616">
        <v>11667.4</v>
      </c>
      <c r="AE116" s="1616">
        <v>6510.5</v>
      </c>
      <c r="AF116" s="1616">
        <v>16215</v>
      </c>
      <c r="AG116" s="1616">
        <v>7587.3</v>
      </c>
      <c r="AH116" s="1616">
        <v>227821.4</v>
      </c>
      <c r="AI116" s="1616">
        <v>228244.9</v>
      </c>
      <c r="AJ116" s="1616">
        <v>3102.1</v>
      </c>
      <c r="AK116" s="1616">
        <v>79697.8</v>
      </c>
      <c r="AL116" s="1616">
        <v>145021.5</v>
      </c>
    </row>
    <row r="117" spans="1:38">
      <c r="A117" s="133">
        <v>2020</v>
      </c>
      <c r="B117" s="133" t="s">
        <v>11950</v>
      </c>
      <c r="C117" s="133" t="s">
        <v>12056</v>
      </c>
      <c r="D117" s="1616">
        <v>3239.6</v>
      </c>
      <c r="E117" s="1616">
        <v>185.5</v>
      </c>
      <c r="F117" s="1616">
        <v>70518.899999999994</v>
      </c>
      <c r="G117" s="1616">
        <v>8811.6</v>
      </c>
      <c r="H117" s="1616">
        <v>709.9</v>
      </c>
      <c r="I117" s="1616">
        <v>1792.5</v>
      </c>
      <c r="J117" s="1616">
        <v>7278</v>
      </c>
      <c r="K117" s="1616">
        <v>3166.7</v>
      </c>
      <c r="L117" s="1616">
        <v>1511.1</v>
      </c>
      <c r="M117" s="1616">
        <v>7434.6</v>
      </c>
      <c r="N117" s="1616">
        <v>3034.3</v>
      </c>
      <c r="O117" s="1616">
        <v>8082.8</v>
      </c>
      <c r="P117" s="1616">
        <v>3860.2</v>
      </c>
      <c r="Q117" s="1616">
        <v>4179.2</v>
      </c>
      <c r="R117" s="1616">
        <v>1513.3</v>
      </c>
      <c r="S117" s="1616">
        <v>12751</v>
      </c>
      <c r="T117" s="1616">
        <v>6393.9</v>
      </c>
      <c r="U117" s="1616">
        <v>8766</v>
      </c>
      <c r="V117" s="1616">
        <v>16038.3</v>
      </c>
      <c r="W117" s="1616">
        <v>27742.5</v>
      </c>
      <c r="X117" s="1616">
        <v>8860.4</v>
      </c>
      <c r="Y117" s="1616">
        <v>5850.1</v>
      </c>
      <c r="Z117" s="1616">
        <v>13704.7</v>
      </c>
      <c r="AA117" s="1616">
        <v>8740.1</v>
      </c>
      <c r="AB117" s="1616">
        <v>20004.400000000001</v>
      </c>
      <c r="AC117" s="1616">
        <v>16352.3</v>
      </c>
      <c r="AD117" s="1616">
        <v>9452.6</v>
      </c>
      <c r="AE117" s="1616">
        <v>4991.5</v>
      </c>
      <c r="AF117" s="1616">
        <v>16351.3</v>
      </c>
      <c r="AG117" s="1616">
        <v>8648.2000000000007</v>
      </c>
      <c r="AH117" s="1616">
        <v>239446.6</v>
      </c>
      <c r="AI117" s="1616">
        <v>239905.7</v>
      </c>
      <c r="AJ117" s="1616">
        <v>3239.6</v>
      </c>
      <c r="AK117" s="1616">
        <v>86742.8</v>
      </c>
      <c r="AL117" s="1616">
        <v>149464.20000000001</v>
      </c>
    </row>
    <row r="118" spans="1:38">
      <c r="A118" s="133">
        <v>2020</v>
      </c>
      <c r="B118" s="133" t="s">
        <v>11952</v>
      </c>
      <c r="C118" s="133" t="s">
        <v>12057</v>
      </c>
      <c r="D118" s="1616">
        <v>3335</v>
      </c>
      <c r="E118" s="1616">
        <v>218.7</v>
      </c>
      <c r="F118" s="1616">
        <v>78003.899999999994</v>
      </c>
      <c r="G118" s="1616">
        <v>8763.1</v>
      </c>
      <c r="H118" s="1616">
        <v>751.2</v>
      </c>
      <c r="I118" s="1616">
        <v>1937.4</v>
      </c>
      <c r="J118" s="1616">
        <v>7723.9</v>
      </c>
      <c r="K118" s="1616">
        <v>3479.8</v>
      </c>
      <c r="L118" s="1616">
        <v>1689.2</v>
      </c>
      <c r="M118" s="1616">
        <v>8554.4</v>
      </c>
      <c r="N118" s="1616">
        <v>3423.5</v>
      </c>
      <c r="O118" s="1616">
        <v>9255.5</v>
      </c>
      <c r="P118" s="1616">
        <v>3726.1</v>
      </c>
      <c r="Q118" s="1616">
        <v>4768.8999999999996</v>
      </c>
      <c r="R118" s="1616">
        <v>1735.6</v>
      </c>
      <c r="S118" s="1616">
        <v>15070</v>
      </c>
      <c r="T118" s="1616">
        <v>7125.3</v>
      </c>
      <c r="U118" s="1616">
        <v>8327.5</v>
      </c>
      <c r="V118" s="1616">
        <v>17845.099999999999</v>
      </c>
      <c r="W118" s="1616">
        <v>30248.5</v>
      </c>
      <c r="X118" s="1616">
        <v>9931.4</v>
      </c>
      <c r="Y118" s="1616">
        <v>6543.7</v>
      </c>
      <c r="Z118" s="1616">
        <v>13924.6</v>
      </c>
      <c r="AA118" s="1616">
        <v>8904.9</v>
      </c>
      <c r="AB118" s="1616">
        <v>20017.8</v>
      </c>
      <c r="AC118" s="1616">
        <v>17324.5</v>
      </c>
      <c r="AD118" s="1616">
        <v>11611.9</v>
      </c>
      <c r="AE118" s="1616">
        <v>6692</v>
      </c>
      <c r="AF118" s="1616">
        <v>17272.2</v>
      </c>
      <c r="AG118" s="1616">
        <v>9049.2000000000007</v>
      </c>
      <c r="AH118" s="1616">
        <v>259251</v>
      </c>
      <c r="AI118" s="1616">
        <v>259690.1</v>
      </c>
      <c r="AJ118" s="1616">
        <v>3335</v>
      </c>
      <c r="AK118" s="1616">
        <v>96067.8</v>
      </c>
      <c r="AL118" s="1616">
        <v>159848.20000000001</v>
      </c>
    </row>
    <row r="119" spans="1:38">
      <c r="A119" s="133">
        <v>2021</v>
      </c>
      <c r="B119" s="133" t="s">
        <v>11946</v>
      </c>
      <c r="C119" s="133" t="s">
        <v>12058</v>
      </c>
      <c r="D119" s="1616">
        <v>3004.5</v>
      </c>
      <c r="E119" s="1616">
        <v>186.2</v>
      </c>
      <c r="F119" s="1616">
        <v>79038.8</v>
      </c>
      <c r="G119" s="1616">
        <v>8463.7999999999993</v>
      </c>
      <c r="H119" s="1616">
        <v>962.6</v>
      </c>
      <c r="I119" s="1616">
        <v>1895.4</v>
      </c>
      <c r="J119" s="1616">
        <v>8059.2</v>
      </c>
      <c r="K119" s="1616">
        <v>3734.5</v>
      </c>
      <c r="L119" s="1616">
        <v>1622.2</v>
      </c>
      <c r="M119" s="1616">
        <v>9616.9</v>
      </c>
      <c r="N119" s="1616">
        <v>3125.1</v>
      </c>
      <c r="O119" s="1616">
        <v>9471</v>
      </c>
      <c r="P119" s="1616">
        <v>3680.6</v>
      </c>
      <c r="Q119" s="1616">
        <v>4911.3999999999996</v>
      </c>
      <c r="R119" s="1616">
        <v>1869.2</v>
      </c>
      <c r="S119" s="1616">
        <v>14738</v>
      </c>
      <c r="T119" s="1616">
        <v>6889</v>
      </c>
      <c r="U119" s="1616">
        <v>8814.4</v>
      </c>
      <c r="V119" s="1616">
        <v>17602.2</v>
      </c>
      <c r="W119" s="1616">
        <v>28530.9</v>
      </c>
      <c r="X119" s="1616">
        <v>9254.9</v>
      </c>
      <c r="Y119" s="1616">
        <v>4946.6000000000004</v>
      </c>
      <c r="Z119" s="1616">
        <v>15449.8</v>
      </c>
      <c r="AA119" s="1616">
        <v>8976</v>
      </c>
      <c r="AB119" s="1616">
        <v>20089.599999999999</v>
      </c>
      <c r="AC119" s="1616">
        <v>18248.2</v>
      </c>
      <c r="AD119" s="1616">
        <v>9898.6</v>
      </c>
      <c r="AE119" s="1616">
        <v>5101.3</v>
      </c>
      <c r="AF119" s="1616">
        <v>16568.900000000001</v>
      </c>
      <c r="AG119" s="1616">
        <v>8843.4</v>
      </c>
      <c r="AH119" s="1616">
        <v>254554.3</v>
      </c>
      <c r="AI119" s="1616">
        <v>255010.4</v>
      </c>
      <c r="AJ119" s="1616">
        <v>3004.5</v>
      </c>
      <c r="AK119" s="1616">
        <v>96827.199999999997</v>
      </c>
      <c r="AL119" s="1616">
        <v>154722.6</v>
      </c>
    </row>
    <row r="120" spans="1:38">
      <c r="A120" s="133">
        <v>2021</v>
      </c>
      <c r="B120" s="133" t="s">
        <v>11948</v>
      </c>
      <c r="C120" s="133" t="s">
        <v>12059</v>
      </c>
      <c r="D120" s="1616">
        <v>3200.2</v>
      </c>
      <c r="E120" s="1616">
        <v>195.3</v>
      </c>
      <c r="F120" s="1616">
        <v>80947.7</v>
      </c>
      <c r="G120" s="1616">
        <v>9348</v>
      </c>
      <c r="H120" s="1616">
        <v>948.5</v>
      </c>
      <c r="I120" s="1616">
        <v>1936.6</v>
      </c>
      <c r="J120" s="1616">
        <v>8374.6</v>
      </c>
      <c r="K120" s="1616">
        <v>3709.6</v>
      </c>
      <c r="L120" s="1616">
        <v>1667.9</v>
      </c>
      <c r="M120" s="1616">
        <v>10849.3</v>
      </c>
      <c r="N120" s="1616">
        <v>3164.3</v>
      </c>
      <c r="O120" s="1616">
        <v>9682.9</v>
      </c>
      <c r="P120" s="1616">
        <v>3835</v>
      </c>
      <c r="Q120" s="1616">
        <v>4799.8</v>
      </c>
      <c r="R120" s="1616">
        <v>1521</v>
      </c>
      <c r="S120" s="1616">
        <v>13984</v>
      </c>
      <c r="T120" s="1616">
        <v>7126.1</v>
      </c>
      <c r="U120" s="1616">
        <v>7970.9</v>
      </c>
      <c r="V120" s="1616">
        <v>14948.4</v>
      </c>
      <c r="W120" s="1616">
        <v>28493.200000000001</v>
      </c>
      <c r="X120" s="1616">
        <v>9153.4</v>
      </c>
      <c r="Y120" s="1616">
        <v>4644.2</v>
      </c>
      <c r="Z120" s="1616">
        <v>13634.1</v>
      </c>
      <c r="AA120" s="1616">
        <v>9094.7999999999993</v>
      </c>
      <c r="AB120" s="1616">
        <v>19971.8</v>
      </c>
      <c r="AC120" s="1616">
        <v>17074.7</v>
      </c>
      <c r="AD120" s="1616">
        <v>12064.3</v>
      </c>
      <c r="AE120" s="1616">
        <v>6495.1</v>
      </c>
      <c r="AF120" s="1616">
        <v>17576.7</v>
      </c>
      <c r="AG120" s="1616">
        <v>8822.2999999999993</v>
      </c>
      <c r="AH120" s="1616">
        <v>254287</v>
      </c>
      <c r="AI120" s="1616">
        <v>255084.2</v>
      </c>
      <c r="AJ120" s="1616">
        <v>3200.2</v>
      </c>
      <c r="AK120" s="1616">
        <v>96091.4</v>
      </c>
      <c r="AL120" s="1616">
        <v>154995.4</v>
      </c>
    </row>
    <row r="121" spans="1:38">
      <c r="A121" s="133">
        <v>2021</v>
      </c>
      <c r="B121" s="133" t="s">
        <v>11950</v>
      </c>
      <c r="C121" s="133" t="s">
        <v>12060</v>
      </c>
      <c r="D121" s="1616">
        <v>3306.3</v>
      </c>
      <c r="E121" s="1616">
        <v>196.5</v>
      </c>
      <c r="F121" s="1616">
        <v>80331</v>
      </c>
      <c r="G121" s="1616">
        <v>9167.9</v>
      </c>
      <c r="H121" s="1616">
        <v>806.7</v>
      </c>
      <c r="I121" s="1616">
        <v>1927.2</v>
      </c>
      <c r="J121" s="1616">
        <v>8602.1</v>
      </c>
      <c r="K121" s="1616">
        <v>4276.2</v>
      </c>
      <c r="L121" s="1616">
        <v>1660.5</v>
      </c>
      <c r="M121" s="1616">
        <v>10823.7</v>
      </c>
      <c r="N121" s="1616">
        <v>3246.1</v>
      </c>
      <c r="O121" s="1616">
        <v>9864.2000000000007</v>
      </c>
      <c r="P121" s="1616">
        <v>4250.1000000000004</v>
      </c>
      <c r="Q121" s="1616">
        <v>4747.5</v>
      </c>
      <c r="R121" s="1616">
        <v>1454.4</v>
      </c>
      <c r="S121" s="1616">
        <v>12554.1</v>
      </c>
      <c r="T121" s="1616">
        <v>6950.2</v>
      </c>
      <c r="U121" s="1616">
        <v>9001.6</v>
      </c>
      <c r="V121" s="1616">
        <v>16898.400000000001</v>
      </c>
      <c r="W121" s="1616">
        <v>29600.9</v>
      </c>
      <c r="X121" s="1616">
        <v>9431.1</v>
      </c>
      <c r="Y121" s="1616">
        <v>4840</v>
      </c>
      <c r="Z121" s="1616">
        <v>13917.1</v>
      </c>
      <c r="AA121" s="1616">
        <v>9198.7000000000007</v>
      </c>
      <c r="AB121" s="1616">
        <v>19981.099999999999</v>
      </c>
      <c r="AC121" s="1616">
        <v>17681.400000000001</v>
      </c>
      <c r="AD121" s="1616">
        <v>9977.2999999999993</v>
      </c>
      <c r="AE121" s="1616">
        <v>4993</v>
      </c>
      <c r="AF121" s="1616">
        <v>17433.400000000001</v>
      </c>
      <c r="AG121" s="1616">
        <v>8796.6</v>
      </c>
      <c r="AH121" s="1616">
        <v>255584.3</v>
      </c>
      <c r="AI121" s="1616">
        <v>256536.7</v>
      </c>
      <c r="AJ121" s="1616">
        <v>3306.3</v>
      </c>
      <c r="AK121" s="1616">
        <v>97425.9</v>
      </c>
      <c r="AL121" s="1616">
        <v>154852.1</v>
      </c>
    </row>
    <row r="122" spans="1:38">
      <c r="A122" s="133">
        <v>2021</v>
      </c>
      <c r="B122" s="133" t="s">
        <v>11952</v>
      </c>
      <c r="C122" s="133" t="s">
        <v>12061</v>
      </c>
      <c r="D122" s="1616">
        <v>3267.6</v>
      </c>
      <c r="E122" s="1616">
        <v>213.7</v>
      </c>
      <c r="F122" s="1616">
        <v>86439.9</v>
      </c>
      <c r="G122" s="1616">
        <v>9198.7999999999993</v>
      </c>
      <c r="H122" s="1616">
        <v>871.8</v>
      </c>
      <c r="I122" s="1616">
        <v>2018</v>
      </c>
      <c r="J122" s="1616">
        <v>9154.2000000000007</v>
      </c>
      <c r="K122" s="1616">
        <v>5102.3999999999996</v>
      </c>
      <c r="L122" s="1616">
        <v>1788.3</v>
      </c>
      <c r="M122" s="1616">
        <v>12064.7</v>
      </c>
      <c r="N122" s="1616">
        <v>3430.5</v>
      </c>
      <c r="O122" s="1616">
        <v>10743.4</v>
      </c>
      <c r="P122" s="1616">
        <v>4537.1000000000004</v>
      </c>
      <c r="Q122" s="1616">
        <v>4993.3999999999996</v>
      </c>
      <c r="R122" s="1616">
        <v>1538</v>
      </c>
      <c r="S122" s="1616">
        <v>13722.7</v>
      </c>
      <c r="T122" s="1616">
        <v>7276.6</v>
      </c>
      <c r="U122" s="1616">
        <v>9250.7999999999993</v>
      </c>
      <c r="V122" s="1616">
        <v>18730.5</v>
      </c>
      <c r="W122" s="1616">
        <v>32254</v>
      </c>
      <c r="X122" s="1616">
        <v>10606.6</v>
      </c>
      <c r="Y122" s="1616">
        <v>6300.4</v>
      </c>
      <c r="Z122" s="1616">
        <v>14414.7</v>
      </c>
      <c r="AA122" s="1616">
        <v>9379.6</v>
      </c>
      <c r="AB122" s="1616">
        <v>19991.7</v>
      </c>
      <c r="AC122" s="1616">
        <v>18260.400000000001</v>
      </c>
      <c r="AD122" s="1616">
        <v>11914.8</v>
      </c>
      <c r="AE122" s="1616">
        <v>6674.1</v>
      </c>
      <c r="AF122" s="1616">
        <v>18005.8</v>
      </c>
      <c r="AG122" s="1616">
        <v>9064.4</v>
      </c>
      <c r="AH122" s="1616">
        <v>274768.90000000002</v>
      </c>
      <c r="AI122" s="1616">
        <v>275830.09999999998</v>
      </c>
      <c r="AJ122" s="1616">
        <v>3267.6</v>
      </c>
      <c r="AK122" s="1616">
        <v>105384.1</v>
      </c>
      <c r="AL122" s="1616">
        <v>166117.20000000001</v>
      </c>
    </row>
    <row r="123" spans="1:38">
      <c r="A123" s="133">
        <v>2022</v>
      </c>
      <c r="B123" s="133" t="s">
        <v>11946</v>
      </c>
      <c r="C123" s="133" t="s">
        <v>12062</v>
      </c>
      <c r="D123" s="1616">
        <v>3000.4</v>
      </c>
      <c r="E123" s="1616">
        <v>214.7</v>
      </c>
      <c r="F123" s="1616">
        <v>86657.7</v>
      </c>
      <c r="G123" s="1616">
        <v>8762.9</v>
      </c>
      <c r="H123" s="1616">
        <v>951.3</v>
      </c>
      <c r="I123" s="1616">
        <v>1996.3</v>
      </c>
      <c r="J123" s="1616">
        <v>9043.1</v>
      </c>
      <c r="K123" s="1616">
        <v>5510.2</v>
      </c>
      <c r="L123" s="1616">
        <v>1663.7</v>
      </c>
      <c r="M123" s="1616">
        <v>12209</v>
      </c>
      <c r="N123" s="1616">
        <v>3175.7</v>
      </c>
      <c r="O123" s="1616">
        <v>10578.9</v>
      </c>
      <c r="P123" s="1616">
        <v>3984</v>
      </c>
      <c r="Q123" s="1616">
        <v>5157.8</v>
      </c>
      <c r="R123" s="1616">
        <v>1811.3</v>
      </c>
      <c r="S123" s="1616">
        <v>14544.3</v>
      </c>
      <c r="T123" s="1616">
        <v>7269.4</v>
      </c>
      <c r="U123" s="1616">
        <v>10802.4</v>
      </c>
      <c r="V123" s="1616">
        <v>18575.5</v>
      </c>
      <c r="W123" s="1616">
        <v>31474.2</v>
      </c>
      <c r="X123" s="1616">
        <v>10049.700000000001</v>
      </c>
      <c r="Y123" s="1616">
        <v>4918.5</v>
      </c>
      <c r="Z123" s="1616">
        <v>15447.3</v>
      </c>
      <c r="AA123" s="1616">
        <v>9507.2000000000007</v>
      </c>
      <c r="AB123" s="1616">
        <v>20153.7</v>
      </c>
      <c r="AC123" s="1616">
        <v>18778.900000000001</v>
      </c>
      <c r="AD123" s="1616">
        <v>10488.4</v>
      </c>
      <c r="AE123" s="1616">
        <v>5132.1000000000004</v>
      </c>
      <c r="AF123" s="1616">
        <v>17329</v>
      </c>
      <c r="AG123" s="1616">
        <v>9053.2999999999993</v>
      </c>
      <c r="AH123" s="1616">
        <v>271583</v>
      </c>
      <c r="AI123" s="1616">
        <v>272518.8</v>
      </c>
      <c r="AJ123" s="1616">
        <v>3000.4</v>
      </c>
      <c r="AK123" s="1616">
        <v>105447.8</v>
      </c>
      <c r="AL123" s="1616">
        <v>163134.70000000001</v>
      </c>
    </row>
    <row r="124" spans="1:38">
      <c r="A124" s="133">
        <v>2022</v>
      </c>
      <c r="B124" s="133" t="s">
        <v>11948</v>
      </c>
      <c r="C124" s="133" t="s">
        <v>12063</v>
      </c>
      <c r="D124" s="1616">
        <v>3231.2</v>
      </c>
      <c r="E124" s="1616">
        <v>228.2</v>
      </c>
      <c r="F124" s="1616">
        <v>87347.4</v>
      </c>
      <c r="G124" s="1616">
        <v>9736.9</v>
      </c>
      <c r="H124" s="1616">
        <v>941</v>
      </c>
      <c r="I124" s="1616">
        <v>2055.6</v>
      </c>
      <c r="J124" s="1616">
        <v>9221.6</v>
      </c>
      <c r="K124" s="1616">
        <v>5551.6</v>
      </c>
      <c r="L124" s="1616">
        <v>1775.3</v>
      </c>
      <c r="M124" s="1616">
        <v>13090.9</v>
      </c>
      <c r="N124" s="1616">
        <v>3373.9</v>
      </c>
      <c r="O124" s="1616">
        <v>10333.4</v>
      </c>
      <c r="P124" s="1616">
        <v>3987.2</v>
      </c>
      <c r="Q124" s="1616">
        <v>4989.2</v>
      </c>
      <c r="R124" s="1616">
        <v>1394.8</v>
      </c>
      <c r="S124" s="1616">
        <v>13472.7</v>
      </c>
      <c r="T124" s="1616">
        <v>7423.3</v>
      </c>
      <c r="U124" s="1616">
        <v>9424.9</v>
      </c>
      <c r="V124" s="1616">
        <v>15383.4</v>
      </c>
      <c r="W124" s="1616">
        <v>31379.4</v>
      </c>
      <c r="X124" s="1616">
        <v>10669.3</v>
      </c>
      <c r="Y124" s="1616">
        <v>6126.9</v>
      </c>
      <c r="Z124" s="1616">
        <v>14022.1</v>
      </c>
      <c r="AA124" s="1616">
        <v>9633</v>
      </c>
      <c r="AB124" s="1616">
        <v>20063.400000000001</v>
      </c>
      <c r="AC124" s="1616">
        <v>17432.900000000001</v>
      </c>
      <c r="AD124" s="1616">
        <v>11976.1</v>
      </c>
      <c r="AE124" s="1616">
        <v>6499.5</v>
      </c>
      <c r="AF124" s="1616">
        <v>18232.2</v>
      </c>
      <c r="AG124" s="1616">
        <v>9329.6</v>
      </c>
      <c r="AH124" s="1616">
        <v>270979.5</v>
      </c>
      <c r="AI124" s="1616">
        <v>272446.7</v>
      </c>
      <c r="AJ124" s="1616">
        <v>3231.2</v>
      </c>
      <c r="AK124" s="1616">
        <v>102959.1</v>
      </c>
      <c r="AL124" s="1616">
        <v>164789.29999999999</v>
      </c>
    </row>
    <row r="125" spans="1:38">
      <c r="A125" s="133">
        <v>2022</v>
      </c>
      <c r="B125" s="133" t="s">
        <v>11950</v>
      </c>
      <c r="C125" s="133" t="s">
        <v>12064</v>
      </c>
      <c r="D125" s="1616">
        <v>3294.1</v>
      </c>
      <c r="E125" s="1616">
        <v>222.2</v>
      </c>
      <c r="F125" s="1616">
        <v>91313.5</v>
      </c>
      <c r="G125" s="1616">
        <v>9647.7000000000007</v>
      </c>
      <c r="H125" s="1616">
        <v>828.2</v>
      </c>
      <c r="I125" s="1616">
        <v>2126.4</v>
      </c>
      <c r="J125" s="1616">
        <v>9365.6</v>
      </c>
      <c r="K125" s="1616">
        <v>5971.5</v>
      </c>
      <c r="L125" s="1616">
        <v>1760.7</v>
      </c>
      <c r="M125" s="1616">
        <v>12500.7</v>
      </c>
      <c r="N125" s="1616">
        <v>3566.8</v>
      </c>
      <c r="O125" s="1616">
        <v>11291.3</v>
      </c>
      <c r="P125" s="1616">
        <v>4572.8999999999996</v>
      </c>
      <c r="Q125" s="1616">
        <v>5277.7</v>
      </c>
      <c r="R125" s="1616">
        <v>1458.4</v>
      </c>
      <c r="S125" s="1616">
        <v>15486.4</v>
      </c>
      <c r="T125" s="1616">
        <v>7459.1</v>
      </c>
      <c r="U125" s="1616">
        <v>11213.4</v>
      </c>
      <c r="V125" s="1616">
        <v>17433</v>
      </c>
      <c r="W125" s="1616">
        <v>31798.400000000001</v>
      </c>
      <c r="X125" s="1616">
        <v>11131.6</v>
      </c>
      <c r="Y125" s="1616">
        <v>6381.2</v>
      </c>
      <c r="Z125" s="1616">
        <v>14327.6</v>
      </c>
      <c r="AA125" s="1616">
        <v>9736.7999999999993</v>
      </c>
      <c r="AB125" s="1616">
        <v>20094.3</v>
      </c>
      <c r="AC125" s="1616">
        <v>17754.2</v>
      </c>
      <c r="AD125" s="1616">
        <v>10073.799999999999</v>
      </c>
      <c r="AE125" s="1616">
        <v>5121.1000000000004</v>
      </c>
      <c r="AF125" s="1616">
        <v>17848.5</v>
      </c>
      <c r="AG125" s="1616">
        <v>9257.2999999999993</v>
      </c>
      <c r="AH125" s="1616">
        <v>277001.09999999998</v>
      </c>
      <c r="AI125" s="1616">
        <v>278758.2</v>
      </c>
      <c r="AJ125" s="1616">
        <v>3294.1</v>
      </c>
      <c r="AK125" s="1616">
        <v>108968.7</v>
      </c>
      <c r="AL125" s="1616">
        <v>164738.29999999999</v>
      </c>
    </row>
    <row r="126" spans="1:38">
      <c r="A126" s="133">
        <v>2022</v>
      </c>
      <c r="B126" s="133" t="s">
        <v>11952</v>
      </c>
      <c r="C126" s="133" t="s">
        <v>12065</v>
      </c>
      <c r="D126" s="1616">
        <v>3428.2</v>
      </c>
      <c r="E126" s="1616">
        <v>232</v>
      </c>
      <c r="F126" s="1616">
        <v>93828.2</v>
      </c>
      <c r="G126" s="1616">
        <v>10038.1</v>
      </c>
      <c r="H126" s="1616">
        <v>888.7</v>
      </c>
      <c r="I126" s="1616">
        <v>2243.1999999999998</v>
      </c>
      <c r="J126" s="1616">
        <v>9641.7999999999993</v>
      </c>
      <c r="K126" s="1616">
        <v>5639.9</v>
      </c>
      <c r="L126" s="1616">
        <v>1891.7</v>
      </c>
      <c r="M126" s="1616">
        <v>13293.1</v>
      </c>
      <c r="N126" s="1616">
        <v>3737.7</v>
      </c>
      <c r="O126" s="1616">
        <v>10822.6</v>
      </c>
      <c r="P126" s="1616">
        <v>4432.8</v>
      </c>
      <c r="Q126" s="1616">
        <v>5520.6</v>
      </c>
      <c r="R126" s="1616">
        <v>1557</v>
      </c>
      <c r="S126" s="1616">
        <v>16254.2</v>
      </c>
      <c r="T126" s="1616">
        <v>7866.9</v>
      </c>
      <c r="U126" s="1616">
        <v>11691.3</v>
      </c>
      <c r="V126" s="1616">
        <v>19328.7</v>
      </c>
      <c r="W126" s="1616">
        <v>33797.9</v>
      </c>
      <c r="X126" s="1616">
        <v>11764.4</v>
      </c>
      <c r="Y126" s="1616">
        <v>7063.6</v>
      </c>
      <c r="Z126" s="1616">
        <v>14652.9</v>
      </c>
      <c r="AA126" s="1616">
        <v>10033.9</v>
      </c>
      <c r="AB126" s="1616">
        <v>20175.599999999999</v>
      </c>
      <c r="AC126" s="1616">
        <v>18382.599999999999</v>
      </c>
      <c r="AD126" s="1616">
        <v>12497</v>
      </c>
      <c r="AE126" s="1616">
        <v>6844.1</v>
      </c>
      <c r="AF126" s="1616">
        <v>18756</v>
      </c>
      <c r="AG126" s="1616">
        <v>9575.7999999999993</v>
      </c>
      <c r="AH126" s="1616">
        <v>292052.2</v>
      </c>
      <c r="AI126" s="1616">
        <v>293779.3</v>
      </c>
      <c r="AJ126" s="1616">
        <v>3428.2</v>
      </c>
      <c r="AK126" s="1616">
        <v>113388.9</v>
      </c>
      <c r="AL126" s="1616">
        <v>175235.20000000001</v>
      </c>
    </row>
    <row r="127" spans="1:38">
      <c r="A127" s="133">
        <v>2023</v>
      </c>
      <c r="B127" s="133" t="s">
        <v>11946</v>
      </c>
      <c r="C127" s="133" t="s">
        <v>12066</v>
      </c>
      <c r="D127" s="1616">
        <v>3169.6</v>
      </c>
      <c r="E127" s="1616">
        <v>221.2</v>
      </c>
      <c r="F127" s="1616">
        <v>91912</v>
      </c>
      <c r="G127" s="1616">
        <v>9618.7999999999993</v>
      </c>
      <c r="H127" s="1616">
        <v>972.9</v>
      </c>
      <c r="I127" s="1616">
        <v>2197.9</v>
      </c>
      <c r="J127" s="1616">
        <v>9243.7999999999993</v>
      </c>
      <c r="K127" s="1616">
        <v>5391</v>
      </c>
      <c r="L127" s="1616">
        <v>1749.8</v>
      </c>
      <c r="M127" s="1616">
        <v>13281.4</v>
      </c>
      <c r="N127" s="1616">
        <v>3395.8</v>
      </c>
      <c r="O127" s="1616">
        <v>11011.4</v>
      </c>
      <c r="P127" s="1616">
        <v>3666</v>
      </c>
      <c r="Q127" s="1616">
        <v>5413.1</v>
      </c>
      <c r="R127" s="1616">
        <v>1694.8</v>
      </c>
      <c r="S127" s="1616">
        <v>16637.900000000001</v>
      </c>
      <c r="T127" s="1616">
        <v>7637.5</v>
      </c>
      <c r="U127" s="1616">
        <v>12559.3</v>
      </c>
      <c r="V127" s="1616">
        <v>19650</v>
      </c>
      <c r="W127" s="1616">
        <v>32503.1</v>
      </c>
      <c r="X127" s="1616">
        <v>11539.2</v>
      </c>
      <c r="Y127" s="1616">
        <v>6710.3</v>
      </c>
      <c r="Z127" s="1616">
        <v>15647.4</v>
      </c>
      <c r="AA127" s="1616">
        <v>10230.9</v>
      </c>
      <c r="AB127" s="1616">
        <v>20263.3</v>
      </c>
      <c r="AC127" s="1616">
        <v>19705.8</v>
      </c>
      <c r="AD127" s="1616">
        <v>10612</v>
      </c>
      <c r="AE127" s="1616">
        <v>5382.7</v>
      </c>
      <c r="AF127" s="1616">
        <v>18338.099999999999</v>
      </c>
      <c r="AG127" s="1616">
        <v>9596.4</v>
      </c>
      <c r="AH127" s="1616">
        <v>288041.40000000002</v>
      </c>
      <c r="AI127" s="1616">
        <v>289137.5</v>
      </c>
      <c r="AJ127" s="1616">
        <v>3169.6</v>
      </c>
      <c r="AK127" s="1616">
        <v>111783.2</v>
      </c>
      <c r="AL127" s="1616">
        <v>173088.6</v>
      </c>
    </row>
    <row r="128" spans="1:38">
      <c r="A128" s="133">
        <v>2023</v>
      </c>
      <c r="B128" s="133" t="s">
        <v>11948</v>
      </c>
      <c r="C128" s="133" t="s">
        <v>12067</v>
      </c>
      <c r="D128" s="1616">
        <v>3318</v>
      </c>
      <c r="E128" s="1616">
        <v>215.1</v>
      </c>
      <c r="F128" s="1616">
        <v>92215.1</v>
      </c>
      <c r="G128" s="1616">
        <v>10586.2</v>
      </c>
      <c r="H128" s="1616">
        <v>981.8</v>
      </c>
      <c r="I128" s="1616">
        <v>2240.6</v>
      </c>
      <c r="J128" s="1616">
        <v>9305.7000000000007</v>
      </c>
      <c r="K128" s="1616">
        <v>4936.7</v>
      </c>
      <c r="L128" s="1616">
        <v>1838.8</v>
      </c>
      <c r="M128" s="1616">
        <v>13422.4</v>
      </c>
      <c r="N128" s="1616">
        <v>3455.6</v>
      </c>
      <c r="O128" s="1616">
        <v>10501.7</v>
      </c>
      <c r="P128" s="1616">
        <v>3694.5</v>
      </c>
      <c r="Q128" s="1616">
        <v>5335.9</v>
      </c>
      <c r="R128" s="1616">
        <v>1425.2</v>
      </c>
      <c r="S128" s="1616">
        <v>16809.3</v>
      </c>
      <c r="T128" s="1616">
        <v>7680.8</v>
      </c>
      <c r="U128" s="1616">
        <v>9807.7000000000007</v>
      </c>
      <c r="V128" s="1616">
        <v>16048.7</v>
      </c>
      <c r="W128" s="1616">
        <v>32013.5</v>
      </c>
      <c r="X128" s="1616">
        <v>11652.1</v>
      </c>
      <c r="Y128" s="1616">
        <v>7132.9</v>
      </c>
      <c r="Z128" s="1616">
        <v>14454.4</v>
      </c>
      <c r="AA128" s="1616">
        <v>10631.3</v>
      </c>
      <c r="AB128" s="1616">
        <v>20195.900000000001</v>
      </c>
      <c r="AC128" s="1616">
        <v>18348.8</v>
      </c>
      <c r="AD128" s="1616">
        <v>12216.8</v>
      </c>
      <c r="AE128" s="1616">
        <v>6759.8</v>
      </c>
      <c r="AF128" s="1616">
        <v>18339.7</v>
      </c>
      <c r="AG128" s="1616">
        <v>9545</v>
      </c>
      <c r="AH128" s="1616">
        <v>282894.8</v>
      </c>
      <c r="AI128" s="1616">
        <v>283991.09999999998</v>
      </c>
      <c r="AJ128" s="1616">
        <v>3318</v>
      </c>
      <c r="AK128" s="1616">
        <v>108478.9</v>
      </c>
      <c r="AL128" s="1616">
        <v>171097.9</v>
      </c>
    </row>
    <row r="129" spans="1:38">
      <c r="A129" s="133">
        <v>2023</v>
      </c>
      <c r="B129" s="133" t="s">
        <v>11950</v>
      </c>
      <c r="C129" s="133" t="s">
        <v>12068</v>
      </c>
      <c r="D129" s="1616">
        <v>3381.3</v>
      </c>
      <c r="E129" s="1616">
        <v>218.3</v>
      </c>
      <c r="F129" s="1616">
        <v>93164.7</v>
      </c>
      <c r="G129" s="1616">
        <v>10317.4</v>
      </c>
      <c r="H129" s="1616">
        <v>841.8</v>
      </c>
      <c r="I129" s="1616">
        <v>2228.3000000000002</v>
      </c>
      <c r="J129" s="1616">
        <v>9167.2000000000007</v>
      </c>
      <c r="K129" s="1616">
        <v>5514.5</v>
      </c>
      <c r="L129" s="1616">
        <v>1891.5</v>
      </c>
      <c r="M129" s="1616">
        <v>12756.1</v>
      </c>
      <c r="N129" s="1616">
        <v>3575.1</v>
      </c>
      <c r="O129" s="1616">
        <v>10526.7</v>
      </c>
      <c r="P129" s="1616">
        <v>3971.9</v>
      </c>
      <c r="Q129" s="1616">
        <v>5158.8999999999996</v>
      </c>
      <c r="R129" s="1616">
        <v>1497.2</v>
      </c>
      <c r="S129" s="1616">
        <v>18069.099999999999</v>
      </c>
      <c r="T129" s="1616">
        <v>7648.9</v>
      </c>
      <c r="U129" s="1616">
        <v>10530.7</v>
      </c>
      <c r="V129" s="1616">
        <v>17677.5</v>
      </c>
      <c r="W129" s="1616">
        <v>33182.400000000001</v>
      </c>
      <c r="X129" s="1616">
        <v>11995.4</v>
      </c>
      <c r="Y129" s="1616">
        <v>7569.1</v>
      </c>
      <c r="Z129" s="1616">
        <v>14775.3</v>
      </c>
      <c r="AA129" s="1616">
        <v>10831.3</v>
      </c>
      <c r="AB129" s="1616">
        <v>20238.900000000001</v>
      </c>
      <c r="AC129" s="1616">
        <v>18410.2</v>
      </c>
      <c r="AD129" s="1616">
        <v>10217</v>
      </c>
      <c r="AE129" s="1616">
        <v>5212.8999999999996</v>
      </c>
      <c r="AF129" s="1616">
        <v>17974</v>
      </c>
      <c r="AG129" s="1616">
        <v>9526.7000000000007</v>
      </c>
      <c r="AH129" s="1616">
        <v>284905.7</v>
      </c>
      <c r="AI129" s="1616">
        <v>286130.8</v>
      </c>
      <c r="AJ129" s="1616">
        <v>3381.3</v>
      </c>
      <c r="AK129" s="1616">
        <v>111060.5</v>
      </c>
      <c r="AL129" s="1616">
        <v>170463.9</v>
      </c>
    </row>
    <row r="130" spans="1:38">
      <c r="A130" s="133">
        <v>2023</v>
      </c>
      <c r="B130" s="133" t="s">
        <v>11952</v>
      </c>
      <c r="C130" s="133" t="s">
        <v>12069</v>
      </c>
      <c r="D130" s="1616">
        <v>3487.3</v>
      </c>
      <c r="E130" s="1616">
        <v>239.4</v>
      </c>
      <c r="F130" s="1616">
        <v>97233.9</v>
      </c>
      <c r="G130" s="1616">
        <v>10289.799999999999</v>
      </c>
      <c r="H130" s="1616">
        <v>927.4</v>
      </c>
      <c r="I130" s="1616">
        <v>2274.1999999999998</v>
      </c>
      <c r="J130" s="1616">
        <v>9629.6</v>
      </c>
      <c r="K130" s="1616">
        <v>5316.4</v>
      </c>
      <c r="L130" s="1616">
        <v>1992.2</v>
      </c>
      <c r="M130" s="1616">
        <v>12970.2</v>
      </c>
      <c r="N130" s="1616">
        <v>3817.4</v>
      </c>
      <c r="O130" s="1616">
        <v>10902.3</v>
      </c>
      <c r="P130" s="1616">
        <v>4307.8</v>
      </c>
      <c r="Q130" s="1616">
        <v>5609.2</v>
      </c>
      <c r="R130" s="1616">
        <v>1667.4</v>
      </c>
      <c r="S130" s="1616">
        <v>19526.3</v>
      </c>
      <c r="T130" s="1616">
        <v>8003.9</v>
      </c>
      <c r="U130" s="1616">
        <v>9974.2000000000007</v>
      </c>
      <c r="V130" s="1616">
        <v>19221.599999999999</v>
      </c>
      <c r="W130" s="1616">
        <v>35035.9</v>
      </c>
      <c r="X130" s="1616">
        <v>12455.7</v>
      </c>
      <c r="Y130" s="1616">
        <v>7815.7</v>
      </c>
      <c r="Z130" s="1616">
        <v>15002.6</v>
      </c>
      <c r="AA130" s="1616">
        <v>11086</v>
      </c>
      <c r="AB130" s="1616">
        <v>20326.099999999999</v>
      </c>
      <c r="AC130" s="1616">
        <v>19417.599999999999</v>
      </c>
      <c r="AD130" s="1616">
        <v>12467.2</v>
      </c>
      <c r="AE130" s="1616">
        <v>6997.6</v>
      </c>
      <c r="AF130" s="1616">
        <v>18731.7</v>
      </c>
      <c r="AG130" s="1616">
        <v>9781.7000000000007</v>
      </c>
      <c r="AH130" s="1616">
        <v>299274.2</v>
      </c>
      <c r="AI130" s="1616">
        <v>300595.90000000002</v>
      </c>
      <c r="AJ130" s="1616">
        <v>3487.3</v>
      </c>
      <c r="AK130" s="1616">
        <v>116694.9</v>
      </c>
      <c r="AL130" s="1616">
        <v>179091.9</v>
      </c>
    </row>
    <row r="131" spans="1:38">
      <c r="A131" s="133">
        <v>2024</v>
      </c>
      <c r="B131" s="133" t="s">
        <v>11946</v>
      </c>
      <c r="C131" s="133" t="s">
        <v>12070</v>
      </c>
      <c r="D131" s="1616">
        <v>3096.8</v>
      </c>
      <c r="E131" s="1616">
        <v>237.6</v>
      </c>
      <c r="F131" s="1616">
        <v>91539.4</v>
      </c>
      <c r="G131" s="1616">
        <v>9897.5</v>
      </c>
      <c r="H131" s="1616">
        <v>977.1</v>
      </c>
      <c r="I131" s="1616">
        <v>2203.4</v>
      </c>
      <c r="J131" s="1616">
        <v>9239.4</v>
      </c>
      <c r="K131" s="1616">
        <v>5451.2</v>
      </c>
      <c r="L131" s="1616">
        <v>1845.7</v>
      </c>
      <c r="M131" s="1616">
        <v>12806.2</v>
      </c>
      <c r="N131" s="1616">
        <v>3221.4</v>
      </c>
      <c r="O131" s="1616">
        <v>10654.1</v>
      </c>
      <c r="P131" s="1616">
        <v>3840.1</v>
      </c>
      <c r="Q131" s="1616">
        <v>5318.9</v>
      </c>
      <c r="R131" s="1616">
        <v>1827.8</v>
      </c>
      <c r="S131" s="1616">
        <v>16827</v>
      </c>
      <c r="T131" s="1616">
        <v>7429.7</v>
      </c>
      <c r="U131" s="1616">
        <v>10928</v>
      </c>
      <c r="V131" s="1616">
        <v>18498</v>
      </c>
      <c r="W131" s="1616">
        <v>33232.300000000003</v>
      </c>
      <c r="X131" s="1616">
        <v>11906.7</v>
      </c>
      <c r="Y131" s="1616">
        <v>7240.7</v>
      </c>
      <c r="Z131" s="1616">
        <v>15969.5</v>
      </c>
      <c r="AA131" s="1616">
        <v>11598</v>
      </c>
      <c r="AB131" s="1616">
        <v>20357.5</v>
      </c>
      <c r="AC131" s="1616">
        <v>19951.3</v>
      </c>
      <c r="AD131" s="1616">
        <v>10539.3</v>
      </c>
      <c r="AE131" s="1616">
        <v>5289.3</v>
      </c>
      <c r="AF131" s="1616">
        <v>18011.3</v>
      </c>
      <c r="AG131" s="1616">
        <v>9685.2999999999993</v>
      </c>
      <c r="AH131" s="1616">
        <v>288081</v>
      </c>
      <c r="AI131" s="1616">
        <v>288932.40000000002</v>
      </c>
      <c r="AJ131" s="1616">
        <v>3096.8</v>
      </c>
      <c r="AK131" s="1616">
        <v>110275</v>
      </c>
      <c r="AL131" s="1616">
        <v>174709.2</v>
      </c>
    </row>
    <row r="132" spans="1:38">
      <c r="A132" s="133">
        <v>2024</v>
      </c>
      <c r="B132" s="133" t="s">
        <v>11948</v>
      </c>
      <c r="C132" s="133" t="s">
        <v>12071</v>
      </c>
      <c r="D132" s="1616">
        <v>3252.7</v>
      </c>
      <c r="E132" s="1616">
        <v>224</v>
      </c>
      <c r="F132" s="1616">
        <v>93330</v>
      </c>
      <c r="G132" s="1616">
        <v>11064.6</v>
      </c>
      <c r="H132" s="1616">
        <v>999.5</v>
      </c>
      <c r="I132" s="1616">
        <v>2187.1</v>
      </c>
      <c r="J132" s="1616">
        <v>9128.7000000000007</v>
      </c>
      <c r="K132" s="1616">
        <v>5057.3999999999996</v>
      </c>
      <c r="L132" s="1616">
        <v>1895.1</v>
      </c>
      <c r="M132" s="1616">
        <v>13291.3</v>
      </c>
      <c r="N132" s="1616">
        <v>3426.4</v>
      </c>
      <c r="O132" s="1616">
        <v>10453.700000000001</v>
      </c>
      <c r="P132" s="1616">
        <v>4006.3</v>
      </c>
      <c r="Q132" s="1616">
        <v>5189.7</v>
      </c>
      <c r="R132" s="1616">
        <v>1481.4</v>
      </c>
      <c r="S132" s="1616">
        <v>17448.099999999999</v>
      </c>
      <c r="T132" s="1616">
        <v>7700.7</v>
      </c>
      <c r="U132" s="1616">
        <v>9536.6</v>
      </c>
      <c r="V132" s="1616">
        <v>15888.7</v>
      </c>
      <c r="W132" s="1616">
        <v>33855</v>
      </c>
      <c r="X132" s="1616">
        <v>12086.7</v>
      </c>
      <c r="Y132" s="1616">
        <v>7463.8</v>
      </c>
      <c r="Z132" s="1616">
        <v>14630.3</v>
      </c>
      <c r="AA132" s="1616">
        <v>11398.5</v>
      </c>
      <c r="AB132" s="1616">
        <v>20336.599999999999</v>
      </c>
      <c r="AC132" s="1616">
        <v>18480.900000000001</v>
      </c>
      <c r="AD132" s="1616">
        <v>12762</v>
      </c>
      <c r="AE132" s="1616">
        <v>6984.1</v>
      </c>
      <c r="AF132" s="1616">
        <v>18491.400000000001</v>
      </c>
      <c r="AG132" s="1616">
        <v>9663.4</v>
      </c>
      <c r="AH132" s="1616">
        <v>288384.59999999998</v>
      </c>
      <c r="AI132" s="1616">
        <v>289717.7</v>
      </c>
      <c r="AJ132" s="1616">
        <v>3252.7</v>
      </c>
      <c r="AK132" s="1616">
        <v>109442.7</v>
      </c>
      <c r="AL132" s="1616">
        <v>175689.2</v>
      </c>
    </row>
    <row r="133" spans="1:38">
      <c r="A133" s="133">
        <v>2024</v>
      </c>
      <c r="B133" s="133" t="s">
        <v>11950</v>
      </c>
      <c r="C133" s="133" t="s">
        <v>12072</v>
      </c>
      <c r="D133" s="1616">
        <v>3510.4</v>
      </c>
      <c r="E133" s="1616">
        <v>227.2</v>
      </c>
      <c r="F133" s="1616">
        <v>94371.199999999997</v>
      </c>
      <c r="G133" s="1616">
        <v>10803.2</v>
      </c>
      <c r="H133" s="1616">
        <v>871.3</v>
      </c>
      <c r="I133" s="1616">
        <v>2231.3000000000002</v>
      </c>
      <c r="J133" s="1616">
        <v>9396.1</v>
      </c>
      <c r="K133" s="1616">
        <v>4939.8</v>
      </c>
      <c r="L133" s="1616">
        <v>1887.7</v>
      </c>
      <c r="M133" s="1616">
        <v>13067.8</v>
      </c>
      <c r="N133" s="1616">
        <v>3564.5</v>
      </c>
      <c r="O133" s="1616">
        <v>10457.9</v>
      </c>
      <c r="P133" s="1616">
        <v>4692.5</v>
      </c>
      <c r="Q133" s="1616">
        <v>5214.8</v>
      </c>
      <c r="R133" s="1616">
        <v>1577.7</v>
      </c>
      <c r="S133" s="1616">
        <v>17927</v>
      </c>
      <c r="T133" s="1616">
        <v>7739.5</v>
      </c>
      <c r="U133" s="1616">
        <v>11589.6</v>
      </c>
      <c r="V133" s="1616">
        <v>17797.599999999999</v>
      </c>
      <c r="W133" s="1616">
        <v>34791.199999999997</v>
      </c>
      <c r="X133" s="1616">
        <v>12393.6</v>
      </c>
      <c r="Y133" s="1616">
        <v>7742</v>
      </c>
      <c r="Z133" s="1616">
        <v>15068.5</v>
      </c>
      <c r="AA133" s="1616">
        <v>11445.3</v>
      </c>
      <c r="AB133" s="1616">
        <v>20378.400000000001</v>
      </c>
      <c r="AC133" s="1616">
        <v>18901.599999999999</v>
      </c>
      <c r="AD133" s="1616">
        <v>10562.9</v>
      </c>
      <c r="AE133" s="1616">
        <v>5356.6</v>
      </c>
      <c r="AF133" s="1616">
        <v>18203.7</v>
      </c>
      <c r="AG133" s="1616">
        <v>9683.5</v>
      </c>
      <c r="AH133" s="1616">
        <v>292023.2</v>
      </c>
      <c r="AI133" s="1616">
        <v>293248.7</v>
      </c>
      <c r="AJ133" s="1616">
        <v>3510.4</v>
      </c>
      <c r="AK133" s="1616">
        <v>112395.9</v>
      </c>
      <c r="AL133" s="1616">
        <v>176116.9</v>
      </c>
    </row>
    <row r="134" spans="1:38">
      <c r="A134" s="133">
        <v>2024</v>
      </c>
      <c r="B134" s="133" t="s">
        <v>11952</v>
      </c>
      <c r="C134" s="133" t="s">
        <v>12073</v>
      </c>
      <c r="D134" s="1616">
        <v>3932.4</v>
      </c>
      <c r="E134" s="1616">
        <v>248.4</v>
      </c>
      <c r="F134" s="1616">
        <v>97592.9</v>
      </c>
      <c r="G134" s="1616">
        <v>10938.4</v>
      </c>
      <c r="H134" s="1616">
        <v>929.5</v>
      </c>
      <c r="I134" s="1616">
        <v>2294.1999999999998</v>
      </c>
      <c r="J134" s="1616">
        <v>9535.6</v>
      </c>
      <c r="K134" s="1616">
        <v>5265.5</v>
      </c>
      <c r="L134" s="1616">
        <v>2003.8</v>
      </c>
      <c r="M134" s="1616">
        <v>12860.1</v>
      </c>
      <c r="N134" s="1616">
        <v>3915.2</v>
      </c>
      <c r="O134" s="1616">
        <v>11281.3</v>
      </c>
      <c r="P134" s="1616">
        <v>4310.8999999999996</v>
      </c>
      <c r="Q134" s="1616">
        <v>5658.3</v>
      </c>
      <c r="R134" s="1616">
        <v>1707.3</v>
      </c>
      <c r="S134" s="1616">
        <v>18805.599999999999</v>
      </c>
      <c r="T134" s="1616">
        <v>8087.3</v>
      </c>
      <c r="U134" s="1616">
        <v>10818.3</v>
      </c>
      <c r="V134" s="1616">
        <v>19661.7</v>
      </c>
      <c r="W134" s="1616">
        <v>37186.400000000001</v>
      </c>
      <c r="X134" s="1616">
        <v>12937.7</v>
      </c>
      <c r="Y134" s="1616">
        <v>8154.1</v>
      </c>
      <c r="Z134" s="1616">
        <v>15575.7</v>
      </c>
      <c r="AA134" s="1616">
        <v>11468.4</v>
      </c>
      <c r="AB134" s="1616">
        <v>20419.2</v>
      </c>
      <c r="AC134" s="1616">
        <v>19823</v>
      </c>
      <c r="AD134" s="1616">
        <v>13126.7</v>
      </c>
      <c r="AE134" s="1616">
        <v>7285.5</v>
      </c>
      <c r="AF134" s="1616">
        <v>19110.599999999999</v>
      </c>
      <c r="AG134" s="1616">
        <v>9892</v>
      </c>
      <c r="AH134" s="1616">
        <v>307233</v>
      </c>
      <c r="AI134" s="1616">
        <v>308488.09999999998</v>
      </c>
      <c r="AJ134" s="1616">
        <v>3932.4</v>
      </c>
      <c r="AK134" s="1616">
        <v>117503</v>
      </c>
      <c r="AL134" s="1616">
        <v>185797.6</v>
      </c>
    </row>
    <row r="135" spans="1:38">
      <c r="A135" s="133">
        <v>2025</v>
      </c>
      <c r="B135" s="133" t="s">
        <v>11946</v>
      </c>
      <c r="C135" s="133" t="s">
        <v>12074</v>
      </c>
      <c r="D135" s="1616">
        <v>3612.9</v>
      </c>
      <c r="E135" s="1616">
        <v>235.9</v>
      </c>
      <c r="F135" s="1616">
        <v>94910.8</v>
      </c>
      <c r="G135" s="1616">
        <v>10161.5</v>
      </c>
      <c r="H135" s="1616">
        <v>971.8</v>
      </c>
      <c r="I135" s="1616">
        <v>2173.6999999999998</v>
      </c>
      <c r="J135" s="1616">
        <v>9510.2999999999993</v>
      </c>
      <c r="K135" s="1616">
        <v>5172.7</v>
      </c>
      <c r="L135" s="1616">
        <v>1826.8</v>
      </c>
      <c r="M135" s="1616">
        <v>12803.5</v>
      </c>
      <c r="N135" s="1616">
        <v>3314.7</v>
      </c>
      <c r="O135" s="1616">
        <v>10769.7</v>
      </c>
      <c r="P135" s="1616">
        <v>3895.5</v>
      </c>
      <c r="Q135" s="1616">
        <v>5538.2</v>
      </c>
      <c r="R135" s="1616">
        <v>2041</v>
      </c>
      <c r="S135" s="1616">
        <v>18918.3</v>
      </c>
      <c r="T135" s="1616">
        <v>7813.1</v>
      </c>
      <c r="U135" s="1616">
        <v>11750</v>
      </c>
      <c r="V135" s="1616">
        <v>19526.099999999999</v>
      </c>
      <c r="W135" s="1616">
        <v>35424.300000000003</v>
      </c>
      <c r="X135" s="1616">
        <v>12434.2</v>
      </c>
      <c r="Y135" s="1616">
        <v>7752.1</v>
      </c>
      <c r="Z135" s="1616">
        <v>17074.900000000001</v>
      </c>
      <c r="AA135" s="1616">
        <v>11285.9</v>
      </c>
      <c r="AB135" s="1616">
        <v>20603</v>
      </c>
      <c r="AC135" s="1616">
        <v>21611.599999999999</v>
      </c>
      <c r="AD135" s="1616">
        <v>11108.6</v>
      </c>
      <c r="AE135" s="1616">
        <v>5472.7</v>
      </c>
      <c r="AF135" s="1616">
        <v>18200</v>
      </c>
      <c r="AG135" s="1616">
        <v>9833.2000000000007</v>
      </c>
      <c r="AH135" s="1616">
        <v>300836.3</v>
      </c>
      <c r="AI135" s="1616">
        <v>301709.40000000002</v>
      </c>
      <c r="AJ135" s="1616">
        <v>3612.9</v>
      </c>
      <c r="AK135" s="1616">
        <v>114672.8</v>
      </c>
      <c r="AL135" s="1616">
        <v>182550.6</v>
      </c>
    </row>
    <row r="136" spans="1:38">
      <c r="A136" s="133">
        <v>2025</v>
      </c>
      <c r="B136" s="133" t="s">
        <v>11948</v>
      </c>
      <c r="C136" s="133" t="s">
        <v>12075</v>
      </c>
      <c r="D136" s="1616">
        <v>3693.5</v>
      </c>
      <c r="E136" s="1616">
        <v>228.1</v>
      </c>
      <c r="F136" s="1616">
        <v>94738.5</v>
      </c>
      <c r="G136" s="1616">
        <v>11481.9</v>
      </c>
      <c r="H136" s="1616">
        <v>999.6</v>
      </c>
      <c r="I136" s="1616">
        <v>2149.1</v>
      </c>
      <c r="J136" s="1616">
        <v>10024.299999999999</v>
      </c>
      <c r="K136" s="1616">
        <v>4806.6000000000004</v>
      </c>
      <c r="L136" s="1616">
        <v>1902.5</v>
      </c>
      <c r="M136" s="1616">
        <v>12296.7</v>
      </c>
      <c r="N136" s="1616">
        <v>3467</v>
      </c>
      <c r="O136" s="1616">
        <v>10673.6</v>
      </c>
      <c r="P136" s="1616">
        <v>4102.1000000000004</v>
      </c>
      <c r="Q136" s="1616">
        <v>5568.9</v>
      </c>
      <c r="R136" s="1616">
        <v>1496.6</v>
      </c>
      <c r="S136" s="1616">
        <v>17924</v>
      </c>
      <c r="T136" s="1616">
        <v>7845.6</v>
      </c>
      <c r="U136" s="1616">
        <v>10168.4</v>
      </c>
      <c r="V136" s="1616">
        <v>16601.900000000001</v>
      </c>
      <c r="W136" s="1616">
        <v>35041.9</v>
      </c>
      <c r="X136" s="1616">
        <v>12565.3</v>
      </c>
      <c r="Y136" s="1616">
        <v>8068</v>
      </c>
      <c r="Z136" s="1616">
        <v>15379.1</v>
      </c>
      <c r="AA136" s="1616">
        <v>10636.4</v>
      </c>
      <c r="AB136" s="1616">
        <v>20656.599999999999</v>
      </c>
      <c r="AC136" s="1616">
        <v>20547</v>
      </c>
      <c r="AD136" s="1616">
        <v>13006.6</v>
      </c>
      <c r="AE136" s="1616">
        <v>7079.5</v>
      </c>
      <c r="AF136" s="1616">
        <v>18923.099999999999</v>
      </c>
      <c r="AG136" s="1616">
        <v>9837</v>
      </c>
      <c r="AH136" s="1616">
        <v>297170.8</v>
      </c>
      <c r="AI136" s="1616">
        <v>298147.5</v>
      </c>
      <c r="AJ136" s="1616">
        <v>3693.5</v>
      </c>
      <c r="AK136" s="1616">
        <v>111568.5</v>
      </c>
      <c r="AL136" s="1616">
        <v>181908.8</v>
      </c>
    </row>
    <row r="138" spans="1:38">
      <c r="A138" s="133" t="s">
        <v>12076</v>
      </c>
      <c r="B138" s="133" t="s">
        <v>12085</v>
      </c>
    </row>
    <row r="140" spans="1:38">
      <c r="A140" s="133" t="s">
        <v>12079</v>
      </c>
      <c r="B140" s="133" t="s">
        <v>12086</v>
      </c>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5CF9E-B685-4A5F-9502-B6A857D2D18D}">
  <dimension ref="A1:AO142"/>
  <sheetViews>
    <sheetView workbookViewId="0">
      <pane xSplit="3" ySplit="10" topLeftCell="AB126" activePane="bottomRight" state="frozen"/>
      <selection pane="topRight" activeCell="D1" sqref="D1"/>
      <selection pane="bottomLeft" activeCell="A11" sqref="A11"/>
      <selection pane="bottomRight" activeCell="AL132" sqref="AL132"/>
    </sheetView>
  </sheetViews>
  <sheetFormatPr defaultRowHeight="13"/>
  <cols>
    <col min="1" max="1" width="6.58203125" style="133" customWidth="1"/>
    <col min="2" max="2" width="5.4140625" style="133" customWidth="1"/>
    <col min="3" max="3" width="7.4140625" style="133" customWidth="1"/>
    <col min="4" max="16384" width="8.6640625" style="133"/>
  </cols>
  <sheetData>
    <row r="1" spans="1:41">
      <c r="A1" s="133" t="s">
        <v>11862</v>
      </c>
    </row>
    <row r="2" spans="1:41">
      <c r="A2" s="133" t="s">
        <v>11863</v>
      </c>
    </row>
    <row r="3" spans="1:41">
      <c r="B3" s="133" t="s">
        <v>11864</v>
      </c>
    </row>
    <row r="4" spans="1:41">
      <c r="B4" s="133" t="s">
        <v>11865</v>
      </c>
    </row>
    <row r="5" spans="1:41">
      <c r="C5" s="133" t="s">
        <v>11866</v>
      </c>
      <c r="AL5" s="133" t="s">
        <v>11867</v>
      </c>
      <c r="AO5" s="133" t="s">
        <v>11868</v>
      </c>
    </row>
    <row r="6" spans="1:41">
      <c r="C6" s="133" t="s">
        <v>11869</v>
      </c>
      <c r="AL6" s="133" t="s">
        <v>11870</v>
      </c>
      <c r="AO6" s="133" t="s">
        <v>11871</v>
      </c>
    </row>
    <row r="7" spans="1:41">
      <c r="D7" s="133" t="s">
        <v>11872</v>
      </c>
      <c r="E7" s="133" t="s">
        <v>11873</v>
      </c>
      <c r="F7" s="133" t="s">
        <v>11874</v>
      </c>
      <c r="U7" s="133" t="s">
        <v>11875</v>
      </c>
      <c r="V7" s="133" t="s">
        <v>11876</v>
      </c>
      <c r="W7" s="133" t="s">
        <v>11877</v>
      </c>
      <c r="X7" s="133" t="s">
        <v>11878</v>
      </c>
      <c r="Y7" s="133" t="s">
        <v>11879</v>
      </c>
      <c r="Z7" s="133" t="s">
        <v>11880</v>
      </c>
      <c r="AA7" s="133" t="s">
        <v>11881</v>
      </c>
      <c r="AB7" s="133" t="s">
        <v>11882</v>
      </c>
      <c r="AC7" s="133" t="s">
        <v>11883</v>
      </c>
      <c r="AD7" s="133" t="s">
        <v>11884</v>
      </c>
      <c r="AE7" s="133" t="s">
        <v>11885</v>
      </c>
      <c r="AF7" s="133" t="s">
        <v>11886</v>
      </c>
      <c r="AG7" s="133" t="s">
        <v>11887</v>
      </c>
      <c r="AH7" s="133" t="s">
        <v>11888</v>
      </c>
      <c r="AI7" s="133" t="s">
        <v>7672</v>
      </c>
      <c r="AJ7" s="133" t="s">
        <v>11889</v>
      </c>
      <c r="AK7" s="133" t="s">
        <v>11890</v>
      </c>
    </row>
    <row r="8" spans="1:41">
      <c r="D8" s="133" t="s">
        <v>11891</v>
      </c>
      <c r="E8" s="133" t="s">
        <v>11892</v>
      </c>
      <c r="F8" s="133" t="s">
        <v>11893</v>
      </c>
      <c r="U8" s="133" t="s">
        <v>11894</v>
      </c>
      <c r="V8" s="133" t="s">
        <v>11895</v>
      </c>
      <c r="W8" s="133" t="s">
        <v>11896</v>
      </c>
      <c r="X8" s="133" t="s">
        <v>11897</v>
      </c>
      <c r="Y8" s="133" t="s">
        <v>11898</v>
      </c>
      <c r="Z8" s="133" t="s">
        <v>11899</v>
      </c>
      <c r="AA8" s="133" t="s">
        <v>11900</v>
      </c>
      <c r="AB8" s="133" t="s">
        <v>11901</v>
      </c>
      <c r="AC8" s="133" t="s">
        <v>11902</v>
      </c>
      <c r="AD8" s="133" t="s">
        <v>11903</v>
      </c>
      <c r="AE8" s="133" t="s">
        <v>11904</v>
      </c>
      <c r="AF8" s="133" t="s">
        <v>11905</v>
      </c>
      <c r="AG8" s="133" t="s">
        <v>11906</v>
      </c>
      <c r="AH8" s="133" t="s">
        <v>11907</v>
      </c>
      <c r="AI8" s="133" t="s">
        <v>11908</v>
      </c>
      <c r="AJ8" s="133" t="s">
        <v>11909</v>
      </c>
      <c r="AK8" s="133" t="s">
        <v>11910</v>
      </c>
    </row>
    <row r="9" spans="1:41">
      <c r="A9" s="133" t="s">
        <v>11911</v>
      </c>
      <c r="B9" s="133" t="s">
        <v>11912</v>
      </c>
      <c r="G9" s="133" t="s">
        <v>11778</v>
      </c>
      <c r="H9" s="133" t="s">
        <v>11913</v>
      </c>
      <c r="I9" s="133" t="s">
        <v>11914</v>
      </c>
      <c r="J9" s="133" t="s">
        <v>11781</v>
      </c>
      <c r="K9" s="133" t="s">
        <v>11915</v>
      </c>
      <c r="L9" s="133" t="s">
        <v>11916</v>
      </c>
      <c r="M9" s="133" t="s">
        <v>11917</v>
      </c>
      <c r="N9" s="133" t="s">
        <v>11785</v>
      </c>
      <c r="O9" s="133" t="s">
        <v>11918</v>
      </c>
      <c r="P9" s="133" t="s">
        <v>11919</v>
      </c>
      <c r="Q9" s="133" t="s">
        <v>11920</v>
      </c>
      <c r="R9" s="133" t="s">
        <v>11921</v>
      </c>
      <c r="S9" s="133" t="s">
        <v>11922</v>
      </c>
      <c r="T9" s="133" t="s">
        <v>11923</v>
      </c>
      <c r="AL9" s="133" t="s">
        <v>11924</v>
      </c>
      <c r="AM9" s="133" t="s">
        <v>11925</v>
      </c>
      <c r="AN9" s="133" t="s">
        <v>11926</v>
      </c>
    </row>
    <row r="10" spans="1:41">
      <c r="A10" s="133" t="s">
        <v>11927</v>
      </c>
      <c r="B10" s="133" t="s">
        <v>11928</v>
      </c>
      <c r="G10" s="133" t="s">
        <v>11929</v>
      </c>
      <c r="H10" s="133" t="s">
        <v>11930</v>
      </c>
      <c r="I10" s="133" t="s">
        <v>11931</v>
      </c>
      <c r="J10" s="133" t="s">
        <v>11932</v>
      </c>
      <c r="K10" s="133" t="s">
        <v>11933</v>
      </c>
      <c r="L10" s="133" t="s">
        <v>11934</v>
      </c>
      <c r="M10" s="133" t="s">
        <v>11935</v>
      </c>
      <c r="N10" s="133" t="s">
        <v>11936</v>
      </c>
      <c r="O10" s="133" t="s">
        <v>11937</v>
      </c>
      <c r="P10" s="133" t="s">
        <v>11938</v>
      </c>
      <c r="Q10" s="133" t="s">
        <v>11939</v>
      </c>
      <c r="R10" s="133" t="s">
        <v>11940</v>
      </c>
      <c r="S10" s="133" t="s">
        <v>11941</v>
      </c>
      <c r="T10" s="133" t="s">
        <v>11942</v>
      </c>
      <c r="AL10" s="133" t="s">
        <v>11943</v>
      </c>
      <c r="AM10" s="133" t="s">
        <v>11944</v>
      </c>
      <c r="AN10" s="133" t="s">
        <v>11945</v>
      </c>
    </row>
    <row r="11" spans="1:41">
      <c r="A11" s="133">
        <v>1994</v>
      </c>
      <c r="B11" s="133" t="s">
        <v>11946</v>
      </c>
      <c r="C11" s="133" t="s">
        <v>11947</v>
      </c>
      <c r="D11" s="1616">
        <v>2430.1999999999998</v>
      </c>
      <c r="E11" s="1616">
        <v>195</v>
      </c>
      <c r="F11" s="1616">
        <v>29346.799999999999</v>
      </c>
      <c r="G11" s="1616">
        <v>3200.2</v>
      </c>
      <c r="H11" s="1616">
        <v>1248.9000000000001</v>
      </c>
      <c r="I11" s="1616">
        <v>792.6</v>
      </c>
      <c r="J11" s="1616">
        <v>2550.3000000000002</v>
      </c>
      <c r="K11" s="1616">
        <v>1486.8</v>
      </c>
      <c r="L11" s="1616">
        <v>1163.4000000000001</v>
      </c>
      <c r="M11" s="1616">
        <v>1864.9</v>
      </c>
      <c r="N11" s="1616">
        <v>1437.4</v>
      </c>
      <c r="O11" s="1616">
        <v>3071.3</v>
      </c>
      <c r="P11" s="1616">
        <v>1176.4000000000001</v>
      </c>
      <c r="Q11" s="1616">
        <v>2232.5</v>
      </c>
      <c r="R11" s="1616">
        <v>1991</v>
      </c>
      <c r="S11" s="1616">
        <v>3485.4</v>
      </c>
      <c r="T11" s="1616">
        <v>3645.7</v>
      </c>
      <c r="U11" s="1616">
        <v>3749.5</v>
      </c>
      <c r="V11" s="1616">
        <v>9803.4</v>
      </c>
      <c r="W11" s="1616">
        <v>16194.9</v>
      </c>
      <c r="X11" s="1616">
        <v>6560</v>
      </c>
      <c r="Y11" s="1616">
        <v>3608.5</v>
      </c>
      <c r="Z11" s="1616">
        <v>4615.2</v>
      </c>
      <c r="AA11" s="1616">
        <v>6774.4</v>
      </c>
      <c r="AB11" s="1616">
        <v>12830.7</v>
      </c>
      <c r="AC11" s="1616">
        <v>5745.3</v>
      </c>
      <c r="AD11" s="1616">
        <v>5221.8999999999996</v>
      </c>
      <c r="AE11" s="1616">
        <v>3915.8</v>
      </c>
      <c r="AF11" s="1616">
        <v>4726.1000000000004</v>
      </c>
      <c r="AG11" s="1616">
        <v>6949.7</v>
      </c>
      <c r="AH11" s="1616">
        <v>122667.4</v>
      </c>
      <c r="AI11" s="1616">
        <v>122879.7</v>
      </c>
      <c r="AJ11" s="1616">
        <v>576.79999999999995</v>
      </c>
      <c r="AK11" s="1616">
        <v>123456.5</v>
      </c>
      <c r="AL11" s="1616">
        <v>2430.1999999999998</v>
      </c>
      <c r="AM11" s="1616">
        <v>39345.199999999997</v>
      </c>
      <c r="AN11" s="1616">
        <v>80891.899999999994</v>
      </c>
    </row>
    <row r="12" spans="1:41">
      <c r="A12" s="133">
        <v>1994</v>
      </c>
      <c r="B12" s="133" t="s">
        <v>11948</v>
      </c>
      <c r="C12" s="133" t="s">
        <v>11949</v>
      </c>
      <c r="D12" s="1616">
        <v>1765.1</v>
      </c>
      <c r="E12" s="1616">
        <v>197.4</v>
      </c>
      <c r="F12" s="1616">
        <v>29675.1</v>
      </c>
      <c r="G12" s="1616">
        <v>3420.3</v>
      </c>
      <c r="H12" s="1616">
        <v>1310.8</v>
      </c>
      <c r="I12" s="1616">
        <v>822.2</v>
      </c>
      <c r="J12" s="1616">
        <v>2643.6</v>
      </c>
      <c r="K12" s="1616">
        <v>1314.5</v>
      </c>
      <c r="L12" s="1616">
        <v>1160.5</v>
      </c>
      <c r="M12" s="1616">
        <v>2012.9</v>
      </c>
      <c r="N12" s="1616">
        <v>1687.5</v>
      </c>
      <c r="O12" s="1616">
        <v>3394.1</v>
      </c>
      <c r="P12" s="1616">
        <v>1381.4</v>
      </c>
      <c r="Q12" s="1616">
        <v>2185.6</v>
      </c>
      <c r="R12" s="1616">
        <v>1897.8</v>
      </c>
      <c r="S12" s="1616">
        <v>2883.7</v>
      </c>
      <c r="T12" s="1616">
        <v>3560.3</v>
      </c>
      <c r="U12" s="1616">
        <v>3561.3</v>
      </c>
      <c r="V12" s="1616">
        <v>9123.5</v>
      </c>
      <c r="W12" s="1616">
        <v>17190.400000000001</v>
      </c>
      <c r="X12" s="1616">
        <v>6709.4</v>
      </c>
      <c r="Y12" s="1616">
        <v>3704.5</v>
      </c>
      <c r="Z12" s="1616">
        <v>3529.8</v>
      </c>
      <c r="AA12" s="1616">
        <v>6800.2</v>
      </c>
      <c r="AB12" s="1616">
        <v>13071.8</v>
      </c>
      <c r="AC12" s="1616">
        <v>5596.3</v>
      </c>
      <c r="AD12" s="1616">
        <v>6623.4</v>
      </c>
      <c r="AE12" s="1616">
        <v>5134.3</v>
      </c>
      <c r="AF12" s="1616">
        <v>5300.3</v>
      </c>
      <c r="AG12" s="1616">
        <v>6981.9</v>
      </c>
      <c r="AH12" s="1616">
        <v>124964.6</v>
      </c>
      <c r="AI12" s="1616">
        <v>125195.8</v>
      </c>
      <c r="AJ12" s="1616">
        <v>-288.7</v>
      </c>
      <c r="AK12" s="1616">
        <v>124907.2</v>
      </c>
      <c r="AL12" s="1616">
        <v>1765.1</v>
      </c>
      <c r="AM12" s="1616">
        <v>38995.9</v>
      </c>
      <c r="AN12" s="1616">
        <v>84203.6</v>
      </c>
    </row>
    <row r="13" spans="1:41">
      <c r="A13" s="133">
        <v>1994</v>
      </c>
      <c r="B13" s="133" t="s">
        <v>11950</v>
      </c>
      <c r="C13" s="133" t="s">
        <v>11951</v>
      </c>
      <c r="D13" s="1616">
        <v>2872.4</v>
      </c>
      <c r="E13" s="1616">
        <v>212.1</v>
      </c>
      <c r="F13" s="1616">
        <v>29920.400000000001</v>
      </c>
      <c r="G13" s="1616">
        <v>3330.8</v>
      </c>
      <c r="H13" s="1616">
        <v>1249.8</v>
      </c>
      <c r="I13" s="1616">
        <v>803.4</v>
      </c>
      <c r="J13" s="1616">
        <v>2682.7</v>
      </c>
      <c r="K13" s="1616">
        <v>1423.2</v>
      </c>
      <c r="L13" s="1616">
        <v>1139.5999999999999</v>
      </c>
      <c r="M13" s="1616">
        <v>1965.2</v>
      </c>
      <c r="N13" s="1616">
        <v>1782</v>
      </c>
      <c r="O13" s="1616">
        <v>3374.1</v>
      </c>
      <c r="P13" s="1616">
        <v>1372</v>
      </c>
      <c r="Q13" s="1616">
        <v>2216</v>
      </c>
      <c r="R13" s="1616">
        <v>1939.9</v>
      </c>
      <c r="S13" s="1616">
        <v>2975.1</v>
      </c>
      <c r="T13" s="1616">
        <v>3666.7</v>
      </c>
      <c r="U13" s="1616">
        <v>4314.1000000000004</v>
      </c>
      <c r="V13" s="1616">
        <v>10005.1</v>
      </c>
      <c r="W13" s="1616">
        <v>17391.400000000001</v>
      </c>
      <c r="X13" s="1616">
        <v>7051.5</v>
      </c>
      <c r="Y13" s="1616">
        <v>4217.2</v>
      </c>
      <c r="Z13" s="1616">
        <v>4157</v>
      </c>
      <c r="AA13" s="1616">
        <v>6873.3</v>
      </c>
      <c r="AB13" s="1616">
        <v>13207.7</v>
      </c>
      <c r="AC13" s="1616">
        <v>5983.1</v>
      </c>
      <c r="AD13" s="1616">
        <v>4845.3999999999996</v>
      </c>
      <c r="AE13" s="1616">
        <v>3672.1</v>
      </c>
      <c r="AF13" s="1616">
        <v>4916.3</v>
      </c>
      <c r="AG13" s="1616">
        <v>6906.3</v>
      </c>
      <c r="AH13" s="1616">
        <v>126545.4</v>
      </c>
      <c r="AI13" s="1616">
        <v>126817.4</v>
      </c>
      <c r="AJ13" s="1616">
        <v>-1078.0999999999999</v>
      </c>
      <c r="AK13" s="1616">
        <v>125739.3</v>
      </c>
      <c r="AL13" s="1616">
        <v>2872.4</v>
      </c>
      <c r="AM13" s="1616">
        <v>40137.699999999997</v>
      </c>
      <c r="AN13" s="1616">
        <v>83535.399999999994</v>
      </c>
    </row>
    <row r="14" spans="1:41">
      <c r="A14" s="133">
        <v>1994</v>
      </c>
      <c r="B14" s="133" t="s">
        <v>11952</v>
      </c>
      <c r="C14" s="133" t="s">
        <v>11953</v>
      </c>
      <c r="D14" s="1616">
        <v>2599.5</v>
      </c>
      <c r="E14" s="1616">
        <v>238.9</v>
      </c>
      <c r="F14" s="1616">
        <v>30965.8</v>
      </c>
      <c r="G14" s="1616">
        <v>3188.8</v>
      </c>
      <c r="H14" s="1616">
        <v>1256.9000000000001</v>
      </c>
      <c r="I14" s="1616">
        <v>845.8</v>
      </c>
      <c r="J14" s="1616">
        <v>2861.1</v>
      </c>
      <c r="K14" s="1616">
        <v>1492.3</v>
      </c>
      <c r="L14" s="1616">
        <v>1252.5999999999999</v>
      </c>
      <c r="M14" s="1616">
        <v>2045</v>
      </c>
      <c r="N14" s="1616">
        <v>1920.4</v>
      </c>
      <c r="O14" s="1616">
        <v>3392.3</v>
      </c>
      <c r="P14" s="1616">
        <v>1498.8</v>
      </c>
      <c r="Q14" s="1616">
        <v>2433.8000000000002</v>
      </c>
      <c r="R14" s="1616">
        <v>1897.8</v>
      </c>
      <c r="S14" s="1616">
        <v>3003.3</v>
      </c>
      <c r="T14" s="1616">
        <v>3877</v>
      </c>
      <c r="U14" s="1616">
        <v>3820.3</v>
      </c>
      <c r="V14" s="1616">
        <v>11412.5</v>
      </c>
      <c r="W14" s="1616">
        <v>18387</v>
      </c>
      <c r="X14" s="1616">
        <v>7214.3</v>
      </c>
      <c r="Y14" s="1616">
        <v>4115.2</v>
      </c>
      <c r="Z14" s="1616">
        <v>3744</v>
      </c>
      <c r="AA14" s="1616">
        <v>6808.8</v>
      </c>
      <c r="AB14" s="1616">
        <v>13357.8</v>
      </c>
      <c r="AC14" s="1616">
        <v>5775.2</v>
      </c>
      <c r="AD14" s="1616">
        <v>7068.3</v>
      </c>
      <c r="AE14" s="1616">
        <v>5606.7</v>
      </c>
      <c r="AF14" s="1616">
        <v>5512.6</v>
      </c>
      <c r="AG14" s="1616">
        <v>6932.4</v>
      </c>
      <c r="AH14" s="1616">
        <v>133559.4</v>
      </c>
      <c r="AI14" s="1616">
        <v>133814</v>
      </c>
      <c r="AJ14" s="1616">
        <v>2999.2</v>
      </c>
      <c r="AK14" s="1616">
        <v>136813.20000000001</v>
      </c>
      <c r="AL14" s="1616">
        <v>2599.5</v>
      </c>
      <c r="AM14" s="1616">
        <v>42617.2</v>
      </c>
      <c r="AN14" s="1616">
        <v>88342.8</v>
      </c>
    </row>
    <row r="15" spans="1:41">
      <c r="A15" s="133">
        <v>1995</v>
      </c>
      <c r="B15" s="133" t="s">
        <v>11946</v>
      </c>
      <c r="C15" s="133" t="s">
        <v>11954</v>
      </c>
      <c r="D15" s="1616">
        <v>2012.4</v>
      </c>
      <c r="E15" s="1616">
        <v>213.8</v>
      </c>
      <c r="F15" s="1616">
        <v>29771.4</v>
      </c>
      <c r="G15" s="1616">
        <v>3132.1</v>
      </c>
      <c r="H15" s="1616">
        <v>1204.9000000000001</v>
      </c>
      <c r="I15" s="1616">
        <v>827.2</v>
      </c>
      <c r="J15" s="1616">
        <v>2694.2</v>
      </c>
      <c r="K15" s="1616">
        <v>1406.7</v>
      </c>
      <c r="L15" s="1616">
        <v>1160</v>
      </c>
      <c r="M15" s="1616">
        <v>2008</v>
      </c>
      <c r="N15" s="1616">
        <v>1451.2</v>
      </c>
      <c r="O15" s="1616">
        <v>3237</v>
      </c>
      <c r="P15" s="1616">
        <v>1305.5</v>
      </c>
      <c r="Q15" s="1616">
        <v>2346.1999999999998</v>
      </c>
      <c r="R15" s="1616">
        <v>1897.9</v>
      </c>
      <c r="S15" s="1616">
        <v>3451.1</v>
      </c>
      <c r="T15" s="1616">
        <v>3649.4</v>
      </c>
      <c r="U15" s="1616">
        <v>3968.3</v>
      </c>
      <c r="V15" s="1616">
        <v>9451.5</v>
      </c>
      <c r="W15" s="1616">
        <v>16783.599999999999</v>
      </c>
      <c r="X15" s="1616">
        <v>6796.4</v>
      </c>
      <c r="Y15" s="1616">
        <v>3627.3</v>
      </c>
      <c r="Z15" s="1616">
        <v>4801.3</v>
      </c>
      <c r="AA15" s="1616">
        <v>6790.5</v>
      </c>
      <c r="AB15" s="1616">
        <v>13234.1</v>
      </c>
      <c r="AC15" s="1616">
        <v>5889</v>
      </c>
      <c r="AD15" s="1616">
        <v>5425.7</v>
      </c>
      <c r="AE15" s="1616">
        <v>4067.8</v>
      </c>
      <c r="AF15" s="1616">
        <v>5147.3</v>
      </c>
      <c r="AG15" s="1616">
        <v>6914.8</v>
      </c>
      <c r="AH15" s="1616">
        <v>124895</v>
      </c>
      <c r="AI15" s="1616">
        <v>125153.2</v>
      </c>
      <c r="AJ15" s="1616">
        <v>-654</v>
      </c>
      <c r="AK15" s="1616">
        <v>124499.2</v>
      </c>
      <c r="AL15" s="1616">
        <v>2012.4</v>
      </c>
      <c r="AM15" s="1616">
        <v>39436.699999999997</v>
      </c>
      <c r="AN15" s="1616">
        <v>83446</v>
      </c>
    </row>
    <row r="16" spans="1:41">
      <c r="A16" s="133">
        <v>1995</v>
      </c>
      <c r="B16" s="133" t="s">
        <v>11948</v>
      </c>
      <c r="C16" s="133" t="s">
        <v>11955</v>
      </c>
      <c r="D16" s="1616">
        <v>2081.4</v>
      </c>
      <c r="E16" s="1616">
        <v>198.9</v>
      </c>
      <c r="F16" s="1616">
        <v>30459.3</v>
      </c>
      <c r="G16" s="1616">
        <v>3288.3</v>
      </c>
      <c r="H16" s="1616">
        <v>1281.2</v>
      </c>
      <c r="I16" s="1616">
        <v>878</v>
      </c>
      <c r="J16" s="1616">
        <v>2773.9</v>
      </c>
      <c r="K16" s="1616">
        <v>1306.5</v>
      </c>
      <c r="L16" s="1616">
        <v>1163.5</v>
      </c>
      <c r="M16" s="1616">
        <v>2180.5</v>
      </c>
      <c r="N16" s="1616">
        <v>1649.9</v>
      </c>
      <c r="O16" s="1616">
        <v>3743.3</v>
      </c>
      <c r="P16" s="1616">
        <v>1505.7</v>
      </c>
      <c r="Q16" s="1616">
        <v>2291.4</v>
      </c>
      <c r="R16" s="1616">
        <v>1846.1</v>
      </c>
      <c r="S16" s="1616">
        <v>3032.4</v>
      </c>
      <c r="T16" s="1616">
        <v>3518.4</v>
      </c>
      <c r="U16" s="1616">
        <v>3761.3</v>
      </c>
      <c r="V16" s="1616">
        <v>8468.9</v>
      </c>
      <c r="W16" s="1616">
        <v>17830.400000000001</v>
      </c>
      <c r="X16" s="1616">
        <v>6952</v>
      </c>
      <c r="Y16" s="1616">
        <v>3767.4</v>
      </c>
      <c r="Z16" s="1616">
        <v>3818.4</v>
      </c>
      <c r="AA16" s="1616">
        <v>6415.5</v>
      </c>
      <c r="AB16" s="1616">
        <v>13411.7</v>
      </c>
      <c r="AC16" s="1616">
        <v>5722.7</v>
      </c>
      <c r="AD16" s="1616">
        <v>6839.8</v>
      </c>
      <c r="AE16" s="1616">
        <v>5288.4</v>
      </c>
      <c r="AF16" s="1616">
        <v>5603.7</v>
      </c>
      <c r="AG16" s="1616">
        <v>6864.8</v>
      </c>
      <c r="AH16" s="1616">
        <v>127484.8</v>
      </c>
      <c r="AI16" s="1616">
        <v>127679.6</v>
      </c>
      <c r="AJ16" s="1616">
        <v>-198.4</v>
      </c>
      <c r="AK16" s="1616">
        <v>127481.3</v>
      </c>
      <c r="AL16" s="1616">
        <v>2081.4</v>
      </c>
      <c r="AM16" s="1616">
        <v>39127.1</v>
      </c>
      <c r="AN16" s="1616">
        <v>86276.3</v>
      </c>
    </row>
    <row r="17" spans="1:40">
      <c r="A17" s="133">
        <v>1995</v>
      </c>
      <c r="B17" s="133" t="s">
        <v>11950</v>
      </c>
      <c r="C17" s="133" t="s">
        <v>11956</v>
      </c>
      <c r="D17" s="1616">
        <v>2339.4</v>
      </c>
      <c r="E17" s="1616">
        <v>201.7</v>
      </c>
      <c r="F17" s="1616">
        <v>30434.1</v>
      </c>
      <c r="G17" s="1616">
        <v>3347.7</v>
      </c>
      <c r="H17" s="1616">
        <v>1182.3</v>
      </c>
      <c r="I17" s="1616">
        <v>842.2</v>
      </c>
      <c r="J17" s="1616">
        <v>2752</v>
      </c>
      <c r="K17" s="1616">
        <v>1361.3</v>
      </c>
      <c r="L17" s="1616">
        <v>1126.5999999999999</v>
      </c>
      <c r="M17" s="1616">
        <v>2031.6</v>
      </c>
      <c r="N17" s="1616">
        <v>1761.5</v>
      </c>
      <c r="O17" s="1616">
        <v>3534.4</v>
      </c>
      <c r="P17" s="1616">
        <v>1573.9</v>
      </c>
      <c r="Q17" s="1616">
        <v>2302.6999999999998</v>
      </c>
      <c r="R17" s="1616">
        <v>1960.4</v>
      </c>
      <c r="S17" s="1616">
        <v>3041.2</v>
      </c>
      <c r="T17" s="1616">
        <v>3616.3</v>
      </c>
      <c r="U17" s="1616">
        <v>4379</v>
      </c>
      <c r="V17" s="1616">
        <v>9927.1</v>
      </c>
      <c r="W17" s="1616">
        <v>18118.3</v>
      </c>
      <c r="X17" s="1616">
        <v>7441</v>
      </c>
      <c r="Y17" s="1616">
        <v>4274.2</v>
      </c>
      <c r="Z17" s="1616">
        <v>4458.3</v>
      </c>
      <c r="AA17" s="1616">
        <v>6608.2</v>
      </c>
      <c r="AB17" s="1616">
        <v>13406.6</v>
      </c>
      <c r="AC17" s="1616">
        <v>5919.5</v>
      </c>
      <c r="AD17" s="1616">
        <v>4990.1000000000004</v>
      </c>
      <c r="AE17" s="1616">
        <v>3771</v>
      </c>
      <c r="AF17" s="1616">
        <v>5220</v>
      </c>
      <c r="AG17" s="1616">
        <v>6768.8</v>
      </c>
      <c r="AH17" s="1616">
        <v>128257.5</v>
      </c>
      <c r="AI17" s="1616">
        <v>128481.4</v>
      </c>
      <c r="AJ17" s="1616">
        <v>216.9</v>
      </c>
      <c r="AK17" s="1616">
        <v>128698.3</v>
      </c>
      <c r="AL17" s="1616">
        <v>2339.4</v>
      </c>
      <c r="AM17" s="1616">
        <v>40562.9</v>
      </c>
      <c r="AN17" s="1616">
        <v>85355.1</v>
      </c>
    </row>
    <row r="18" spans="1:40">
      <c r="A18" s="133">
        <v>1995</v>
      </c>
      <c r="B18" s="133" t="s">
        <v>11952</v>
      </c>
      <c r="C18" s="133" t="s">
        <v>11957</v>
      </c>
      <c r="D18" s="1616">
        <v>2147.6</v>
      </c>
      <c r="E18" s="1616">
        <v>225.7</v>
      </c>
      <c r="F18" s="1616">
        <v>31767</v>
      </c>
      <c r="G18" s="1616">
        <v>3329.8</v>
      </c>
      <c r="H18" s="1616">
        <v>1167.4000000000001</v>
      </c>
      <c r="I18" s="1616">
        <v>901.1</v>
      </c>
      <c r="J18" s="1616">
        <v>2863</v>
      </c>
      <c r="K18" s="1616">
        <v>1375.3</v>
      </c>
      <c r="L18" s="1616">
        <v>1238.4000000000001</v>
      </c>
      <c r="M18" s="1616">
        <v>2086.1999999999998</v>
      </c>
      <c r="N18" s="1616">
        <v>2001.1</v>
      </c>
      <c r="O18" s="1616">
        <v>3529.3</v>
      </c>
      <c r="P18" s="1616">
        <v>1761.4</v>
      </c>
      <c r="Q18" s="1616">
        <v>2544.5</v>
      </c>
      <c r="R18" s="1616">
        <v>2048.1</v>
      </c>
      <c r="S18" s="1616">
        <v>3088.1</v>
      </c>
      <c r="T18" s="1616">
        <v>3833.2</v>
      </c>
      <c r="U18" s="1616">
        <v>4015.8</v>
      </c>
      <c r="V18" s="1616">
        <v>11755.3</v>
      </c>
      <c r="W18" s="1616">
        <v>19025</v>
      </c>
      <c r="X18" s="1616">
        <v>7573.3</v>
      </c>
      <c r="Y18" s="1616">
        <v>4193.6000000000004</v>
      </c>
      <c r="Z18" s="1616">
        <v>4156.3999999999996</v>
      </c>
      <c r="AA18" s="1616">
        <v>6666.3</v>
      </c>
      <c r="AB18" s="1616">
        <v>13544.6</v>
      </c>
      <c r="AC18" s="1616">
        <v>5933.6</v>
      </c>
      <c r="AD18" s="1616">
        <v>7243.4</v>
      </c>
      <c r="AE18" s="1616">
        <v>5730.2</v>
      </c>
      <c r="AF18" s="1616">
        <v>5910</v>
      </c>
      <c r="AG18" s="1616">
        <v>6781.7</v>
      </c>
      <c r="AH18" s="1616">
        <v>136669.4</v>
      </c>
      <c r="AI18" s="1616">
        <v>136910</v>
      </c>
      <c r="AJ18" s="1616">
        <v>4024.8</v>
      </c>
      <c r="AK18" s="1616">
        <v>140934.79999999999</v>
      </c>
      <c r="AL18" s="1616">
        <v>2147.6</v>
      </c>
      <c r="AM18" s="1616">
        <v>43748</v>
      </c>
      <c r="AN18" s="1616">
        <v>90773.8</v>
      </c>
    </row>
    <row r="19" spans="1:40">
      <c r="A19" s="133">
        <v>1996</v>
      </c>
      <c r="B19" s="133" t="s">
        <v>11946</v>
      </c>
      <c r="C19" s="133" t="s">
        <v>11958</v>
      </c>
      <c r="D19" s="1616">
        <v>2000.3</v>
      </c>
      <c r="E19" s="1616">
        <v>220.2</v>
      </c>
      <c r="F19" s="1616">
        <v>30235.4</v>
      </c>
      <c r="G19" s="1616">
        <v>2994.5</v>
      </c>
      <c r="H19" s="1616">
        <v>1098.0999999999999</v>
      </c>
      <c r="I19" s="1616">
        <v>849</v>
      </c>
      <c r="J19" s="1616">
        <v>2796.3</v>
      </c>
      <c r="K19" s="1616">
        <v>1616.9</v>
      </c>
      <c r="L19" s="1616">
        <v>1175</v>
      </c>
      <c r="M19" s="1616">
        <v>2001.2</v>
      </c>
      <c r="N19" s="1616">
        <v>1462.3</v>
      </c>
      <c r="O19" s="1616">
        <v>3360.6</v>
      </c>
      <c r="P19" s="1616">
        <v>1651.8</v>
      </c>
      <c r="Q19" s="1616">
        <v>2220.9</v>
      </c>
      <c r="R19" s="1616">
        <v>2131.6</v>
      </c>
      <c r="S19" s="1616">
        <v>3330</v>
      </c>
      <c r="T19" s="1616">
        <v>3547.3</v>
      </c>
      <c r="U19" s="1616">
        <v>4096.7</v>
      </c>
      <c r="V19" s="1616">
        <v>10083.4</v>
      </c>
      <c r="W19" s="1616">
        <v>17691.099999999999</v>
      </c>
      <c r="X19" s="1616">
        <v>6604.1</v>
      </c>
      <c r="Y19" s="1616">
        <v>3896.6</v>
      </c>
      <c r="Z19" s="1616">
        <v>5423.9</v>
      </c>
      <c r="AA19" s="1616">
        <v>6845.3</v>
      </c>
      <c r="AB19" s="1616">
        <v>13454.3</v>
      </c>
      <c r="AC19" s="1616">
        <v>6383.5</v>
      </c>
      <c r="AD19" s="1616">
        <v>5584.2</v>
      </c>
      <c r="AE19" s="1616">
        <v>4154.3</v>
      </c>
      <c r="AF19" s="1616">
        <v>5347.3</v>
      </c>
      <c r="AG19" s="1616">
        <v>6831.1</v>
      </c>
      <c r="AH19" s="1616">
        <v>128851.9</v>
      </c>
      <c r="AI19" s="1616">
        <v>129058.9</v>
      </c>
      <c r="AJ19" s="1616">
        <v>-873.8</v>
      </c>
      <c r="AK19" s="1616">
        <v>128185.1</v>
      </c>
      <c r="AL19" s="1616">
        <v>2000.3</v>
      </c>
      <c r="AM19" s="1616">
        <v>40538.9</v>
      </c>
      <c r="AN19" s="1616">
        <v>86312.6</v>
      </c>
    </row>
    <row r="20" spans="1:40">
      <c r="A20" s="133">
        <v>1996</v>
      </c>
      <c r="B20" s="133" t="s">
        <v>11948</v>
      </c>
      <c r="C20" s="133" t="s">
        <v>11959</v>
      </c>
      <c r="D20" s="1616">
        <v>2074.1</v>
      </c>
      <c r="E20" s="1616">
        <v>197.8</v>
      </c>
      <c r="F20" s="1616">
        <v>31013.5</v>
      </c>
      <c r="G20" s="1616">
        <v>3411.8</v>
      </c>
      <c r="H20" s="1616">
        <v>1183.9000000000001</v>
      </c>
      <c r="I20" s="1616">
        <v>884</v>
      </c>
      <c r="J20" s="1616">
        <v>2714.7</v>
      </c>
      <c r="K20" s="1616">
        <v>1422</v>
      </c>
      <c r="L20" s="1616">
        <v>1165.2</v>
      </c>
      <c r="M20" s="1616">
        <v>2032.7</v>
      </c>
      <c r="N20" s="1616">
        <v>1747</v>
      </c>
      <c r="O20" s="1616">
        <v>3961.6</v>
      </c>
      <c r="P20" s="1616">
        <v>1588.2</v>
      </c>
      <c r="Q20" s="1616">
        <v>2230.6999999999998</v>
      </c>
      <c r="R20" s="1616">
        <v>2110.3000000000002</v>
      </c>
      <c r="S20" s="1616">
        <v>3053</v>
      </c>
      <c r="T20" s="1616">
        <v>3508.5</v>
      </c>
      <c r="U20" s="1616">
        <v>3839.9</v>
      </c>
      <c r="V20" s="1616">
        <v>9185.2999999999993</v>
      </c>
      <c r="W20" s="1616">
        <v>17622.8</v>
      </c>
      <c r="X20" s="1616">
        <v>6645.8</v>
      </c>
      <c r="Y20" s="1616">
        <v>3921.6</v>
      </c>
      <c r="Z20" s="1616">
        <v>4360.3999999999996</v>
      </c>
      <c r="AA20" s="1616">
        <v>7077.7</v>
      </c>
      <c r="AB20" s="1616">
        <v>13659.4</v>
      </c>
      <c r="AC20" s="1616">
        <v>6066.5</v>
      </c>
      <c r="AD20" s="1616">
        <v>7026.8</v>
      </c>
      <c r="AE20" s="1616">
        <v>5391.3</v>
      </c>
      <c r="AF20" s="1616">
        <v>6016.9</v>
      </c>
      <c r="AG20" s="1616">
        <v>6847</v>
      </c>
      <c r="AH20" s="1616">
        <v>130946.8</v>
      </c>
      <c r="AI20" s="1616">
        <v>131168.9</v>
      </c>
      <c r="AJ20" s="1616">
        <v>357.6</v>
      </c>
      <c r="AK20" s="1616">
        <v>131526.39999999999</v>
      </c>
      <c r="AL20" s="1616">
        <v>2074.1</v>
      </c>
      <c r="AM20" s="1616">
        <v>40396.6</v>
      </c>
      <c r="AN20" s="1616">
        <v>88476.1</v>
      </c>
    </row>
    <row r="21" spans="1:40">
      <c r="A21" s="133">
        <v>1996</v>
      </c>
      <c r="B21" s="133" t="s">
        <v>11950</v>
      </c>
      <c r="C21" s="133" t="s">
        <v>11960</v>
      </c>
      <c r="D21" s="1616">
        <v>2434.1</v>
      </c>
      <c r="E21" s="1616">
        <v>196.2</v>
      </c>
      <c r="F21" s="1616">
        <v>31174.1</v>
      </c>
      <c r="G21" s="1616">
        <v>3251.8</v>
      </c>
      <c r="H21" s="1616">
        <v>1102.3</v>
      </c>
      <c r="I21" s="1616">
        <v>856.3</v>
      </c>
      <c r="J21" s="1616">
        <v>2743.9</v>
      </c>
      <c r="K21" s="1616">
        <v>1514.6</v>
      </c>
      <c r="L21" s="1616">
        <v>1147</v>
      </c>
      <c r="M21" s="1616">
        <v>2016.9</v>
      </c>
      <c r="N21" s="1616">
        <v>1856.3</v>
      </c>
      <c r="O21" s="1616">
        <v>3809.8</v>
      </c>
      <c r="P21" s="1616">
        <v>1424.5</v>
      </c>
      <c r="Q21" s="1616">
        <v>2316.6</v>
      </c>
      <c r="R21" s="1616">
        <v>2142.8000000000002</v>
      </c>
      <c r="S21" s="1616">
        <v>3375.4</v>
      </c>
      <c r="T21" s="1616">
        <v>3615.8</v>
      </c>
      <c r="U21" s="1616">
        <v>4411.5</v>
      </c>
      <c r="V21" s="1616">
        <v>10152.700000000001</v>
      </c>
      <c r="W21" s="1616">
        <v>18015.3</v>
      </c>
      <c r="X21" s="1616">
        <v>7031.5</v>
      </c>
      <c r="Y21" s="1616">
        <v>4334.1000000000004</v>
      </c>
      <c r="Z21" s="1616">
        <v>5176.3</v>
      </c>
      <c r="AA21" s="1616">
        <v>7127.4</v>
      </c>
      <c r="AB21" s="1616">
        <v>13760.5</v>
      </c>
      <c r="AC21" s="1616">
        <v>6288.7</v>
      </c>
      <c r="AD21" s="1616">
        <v>5147.3</v>
      </c>
      <c r="AE21" s="1616">
        <v>3849.6</v>
      </c>
      <c r="AF21" s="1616">
        <v>5584</v>
      </c>
      <c r="AG21" s="1616">
        <v>6823.9</v>
      </c>
      <c r="AH21" s="1616">
        <v>131507.1</v>
      </c>
      <c r="AI21" s="1616">
        <v>131746.20000000001</v>
      </c>
      <c r="AJ21" s="1616">
        <v>-297.2</v>
      </c>
      <c r="AK21" s="1616">
        <v>131449</v>
      </c>
      <c r="AL21" s="1616">
        <v>2434.1</v>
      </c>
      <c r="AM21" s="1616">
        <v>41523</v>
      </c>
      <c r="AN21" s="1616">
        <v>87550</v>
      </c>
    </row>
    <row r="22" spans="1:40">
      <c r="A22" s="133">
        <v>1996</v>
      </c>
      <c r="B22" s="133" t="s">
        <v>11952</v>
      </c>
      <c r="C22" s="133" t="s">
        <v>11961</v>
      </c>
      <c r="D22" s="1616">
        <v>2347.1</v>
      </c>
      <c r="E22" s="1616">
        <v>223.7</v>
      </c>
      <c r="F22" s="1616">
        <v>32690.6</v>
      </c>
      <c r="G22" s="1616">
        <v>3480.3</v>
      </c>
      <c r="H22" s="1616">
        <v>1116.4000000000001</v>
      </c>
      <c r="I22" s="1616">
        <v>899.2</v>
      </c>
      <c r="J22" s="1616">
        <v>2844.4</v>
      </c>
      <c r="K22" s="1616">
        <v>1493.2</v>
      </c>
      <c r="L22" s="1616">
        <v>1257.3</v>
      </c>
      <c r="M22" s="1616">
        <v>2123.9</v>
      </c>
      <c r="N22" s="1616">
        <v>2046.3</v>
      </c>
      <c r="O22" s="1616">
        <v>3825.8</v>
      </c>
      <c r="P22" s="1616">
        <v>1478.2</v>
      </c>
      <c r="Q22" s="1616">
        <v>2545.3000000000002</v>
      </c>
      <c r="R22" s="1616">
        <v>2191.6999999999998</v>
      </c>
      <c r="S22" s="1616">
        <v>3476.5</v>
      </c>
      <c r="T22" s="1616">
        <v>3912</v>
      </c>
      <c r="U22" s="1616">
        <v>4117.8</v>
      </c>
      <c r="V22" s="1616">
        <v>11783.8</v>
      </c>
      <c r="W22" s="1616">
        <v>18688.900000000001</v>
      </c>
      <c r="X22" s="1616">
        <v>7067.8</v>
      </c>
      <c r="Y22" s="1616">
        <v>4211.3</v>
      </c>
      <c r="Z22" s="1616">
        <v>4758</v>
      </c>
      <c r="AA22" s="1616">
        <v>7153.6</v>
      </c>
      <c r="AB22" s="1616">
        <v>13888.8</v>
      </c>
      <c r="AC22" s="1616">
        <v>6219.1</v>
      </c>
      <c r="AD22" s="1616">
        <v>7446.3</v>
      </c>
      <c r="AE22" s="1616">
        <v>5838</v>
      </c>
      <c r="AF22" s="1616">
        <v>6275.4</v>
      </c>
      <c r="AG22" s="1616">
        <v>6818.7</v>
      </c>
      <c r="AH22" s="1616">
        <v>139529.1</v>
      </c>
      <c r="AI22" s="1616">
        <v>139773.70000000001</v>
      </c>
      <c r="AJ22" s="1616">
        <v>4627.8</v>
      </c>
      <c r="AK22" s="1616">
        <v>144401.5</v>
      </c>
      <c r="AL22" s="1616">
        <v>2347.1</v>
      </c>
      <c r="AM22" s="1616">
        <v>44698.1</v>
      </c>
      <c r="AN22" s="1616">
        <v>92483.9</v>
      </c>
    </row>
    <row r="23" spans="1:40">
      <c r="A23" s="133">
        <v>1997</v>
      </c>
      <c r="B23" s="133" t="s">
        <v>11946</v>
      </c>
      <c r="C23" s="133" t="s">
        <v>11962</v>
      </c>
      <c r="D23" s="1616">
        <v>1896.1</v>
      </c>
      <c r="E23" s="1616">
        <v>202.2</v>
      </c>
      <c r="F23" s="1616">
        <v>31384.400000000001</v>
      </c>
      <c r="G23" s="1616">
        <v>3025.1</v>
      </c>
      <c r="H23" s="1616">
        <v>1049.5</v>
      </c>
      <c r="I23" s="1616">
        <v>834.5</v>
      </c>
      <c r="J23" s="1616">
        <v>2780.4</v>
      </c>
      <c r="K23" s="1616">
        <v>1536</v>
      </c>
      <c r="L23" s="1616">
        <v>1179.8</v>
      </c>
      <c r="M23" s="1616">
        <v>2057.9</v>
      </c>
      <c r="N23" s="1616">
        <v>1654.4</v>
      </c>
      <c r="O23" s="1616">
        <v>3764.1</v>
      </c>
      <c r="P23" s="1616">
        <v>1521.2</v>
      </c>
      <c r="Q23" s="1616">
        <v>2379.3000000000002</v>
      </c>
      <c r="R23" s="1616">
        <v>2261.3000000000002</v>
      </c>
      <c r="S23" s="1616">
        <v>3697</v>
      </c>
      <c r="T23" s="1616">
        <v>3644</v>
      </c>
      <c r="U23" s="1616">
        <v>4109.1000000000004</v>
      </c>
      <c r="V23" s="1616">
        <v>9646.6</v>
      </c>
      <c r="W23" s="1616">
        <v>18648.099999999999</v>
      </c>
      <c r="X23" s="1616">
        <v>6637.2</v>
      </c>
      <c r="Y23" s="1616">
        <v>3951.3</v>
      </c>
      <c r="Z23" s="1616">
        <v>5958.2</v>
      </c>
      <c r="AA23" s="1616">
        <v>7349.1</v>
      </c>
      <c r="AB23" s="1616">
        <v>13742.9</v>
      </c>
      <c r="AC23" s="1616">
        <v>6596.6</v>
      </c>
      <c r="AD23" s="1616">
        <v>5781.9</v>
      </c>
      <c r="AE23" s="1616">
        <v>4249.3999999999996</v>
      </c>
      <c r="AF23" s="1616">
        <v>5735.4</v>
      </c>
      <c r="AG23" s="1616">
        <v>6878.3</v>
      </c>
      <c r="AH23" s="1616">
        <v>132766.79999999999</v>
      </c>
      <c r="AI23" s="1616">
        <v>133092.9</v>
      </c>
      <c r="AJ23" s="1616">
        <v>-1810.2</v>
      </c>
      <c r="AK23" s="1616">
        <v>131282.70000000001</v>
      </c>
      <c r="AL23" s="1616">
        <v>1896.1</v>
      </c>
      <c r="AM23" s="1616">
        <v>41233.199999999997</v>
      </c>
      <c r="AN23" s="1616">
        <v>89637.5</v>
      </c>
    </row>
    <row r="24" spans="1:40">
      <c r="A24" s="133">
        <v>1997</v>
      </c>
      <c r="B24" s="133" t="s">
        <v>11948</v>
      </c>
      <c r="C24" s="133" t="s">
        <v>11963</v>
      </c>
      <c r="D24" s="1616">
        <v>2057.3000000000002</v>
      </c>
      <c r="E24" s="1616">
        <v>190.6</v>
      </c>
      <c r="F24" s="1616">
        <v>31876.6</v>
      </c>
      <c r="G24" s="1616">
        <v>3474.1</v>
      </c>
      <c r="H24" s="1616">
        <v>1122.5</v>
      </c>
      <c r="I24" s="1616">
        <v>867.7</v>
      </c>
      <c r="J24" s="1616">
        <v>2829</v>
      </c>
      <c r="K24" s="1616">
        <v>1530.1</v>
      </c>
      <c r="L24" s="1616">
        <v>1171.2</v>
      </c>
      <c r="M24" s="1616">
        <v>2162.1999999999998</v>
      </c>
      <c r="N24" s="1616">
        <v>1800.9</v>
      </c>
      <c r="O24" s="1616">
        <v>4025.6</v>
      </c>
      <c r="P24" s="1616">
        <v>1699.4</v>
      </c>
      <c r="Q24" s="1616">
        <v>2271</v>
      </c>
      <c r="R24" s="1616">
        <v>2144.8000000000002</v>
      </c>
      <c r="S24" s="1616">
        <v>3133.3</v>
      </c>
      <c r="T24" s="1616">
        <v>3644.6</v>
      </c>
      <c r="U24" s="1616">
        <v>4126.3</v>
      </c>
      <c r="V24" s="1616">
        <v>8844</v>
      </c>
      <c r="W24" s="1616">
        <v>18298.7</v>
      </c>
      <c r="X24" s="1616">
        <v>6637.1</v>
      </c>
      <c r="Y24" s="1616">
        <v>4092.6</v>
      </c>
      <c r="Z24" s="1616">
        <v>4738.6000000000004</v>
      </c>
      <c r="AA24" s="1616">
        <v>7084.7</v>
      </c>
      <c r="AB24" s="1616">
        <v>14049.5</v>
      </c>
      <c r="AC24" s="1616">
        <v>6390.6</v>
      </c>
      <c r="AD24" s="1616">
        <v>7253</v>
      </c>
      <c r="AE24" s="1616">
        <v>5486.4</v>
      </c>
      <c r="AF24" s="1616">
        <v>6248.6</v>
      </c>
      <c r="AG24" s="1616">
        <v>6914.8</v>
      </c>
      <c r="AH24" s="1616">
        <v>134289.60000000001</v>
      </c>
      <c r="AI24" s="1616">
        <v>134334.20000000001</v>
      </c>
      <c r="AJ24" s="1616">
        <v>-557.9</v>
      </c>
      <c r="AK24" s="1616">
        <v>133776.29999999999</v>
      </c>
      <c r="AL24" s="1616">
        <v>2057.3000000000002</v>
      </c>
      <c r="AM24" s="1616">
        <v>40911.300000000003</v>
      </c>
      <c r="AN24" s="1616">
        <v>91321.1</v>
      </c>
    </row>
    <row r="25" spans="1:40">
      <c r="A25" s="133">
        <v>1997</v>
      </c>
      <c r="B25" s="133" t="s">
        <v>11950</v>
      </c>
      <c r="C25" s="133" t="s">
        <v>11964</v>
      </c>
      <c r="D25" s="1616">
        <v>2300.5</v>
      </c>
      <c r="E25" s="1616">
        <v>186.5</v>
      </c>
      <c r="F25" s="1616">
        <v>31597.4</v>
      </c>
      <c r="G25" s="1616">
        <v>3388.6</v>
      </c>
      <c r="H25" s="1616">
        <v>1039.3</v>
      </c>
      <c r="I25" s="1616">
        <v>839.4</v>
      </c>
      <c r="J25" s="1616">
        <v>2781.4</v>
      </c>
      <c r="K25" s="1616">
        <v>1665.7</v>
      </c>
      <c r="L25" s="1616">
        <v>1133.4000000000001</v>
      </c>
      <c r="M25" s="1616">
        <v>2093.6999999999998</v>
      </c>
      <c r="N25" s="1616">
        <v>1771.8</v>
      </c>
      <c r="O25" s="1616">
        <v>3955.7</v>
      </c>
      <c r="P25" s="1616">
        <v>1758</v>
      </c>
      <c r="Q25" s="1616">
        <v>2306.3000000000002</v>
      </c>
      <c r="R25" s="1616">
        <v>2124.8000000000002</v>
      </c>
      <c r="S25" s="1616">
        <v>3168.3</v>
      </c>
      <c r="T25" s="1616">
        <v>3571.1</v>
      </c>
      <c r="U25" s="1616">
        <v>4835.1000000000004</v>
      </c>
      <c r="V25" s="1616">
        <v>9650.7000000000007</v>
      </c>
      <c r="W25" s="1616">
        <v>18384.900000000001</v>
      </c>
      <c r="X25" s="1616">
        <v>7079.6</v>
      </c>
      <c r="Y25" s="1616">
        <v>4630.7</v>
      </c>
      <c r="Z25" s="1616">
        <v>5763</v>
      </c>
      <c r="AA25" s="1616">
        <v>7111.1</v>
      </c>
      <c r="AB25" s="1616">
        <v>14114</v>
      </c>
      <c r="AC25" s="1616">
        <v>6578.9</v>
      </c>
      <c r="AD25" s="1616">
        <v>5262.8</v>
      </c>
      <c r="AE25" s="1616">
        <v>3880.2</v>
      </c>
      <c r="AF25" s="1616">
        <v>5746.9</v>
      </c>
      <c r="AG25" s="1616">
        <v>6906.1</v>
      </c>
      <c r="AH25" s="1616">
        <v>134028.20000000001</v>
      </c>
      <c r="AI25" s="1616">
        <v>134053.6</v>
      </c>
      <c r="AJ25" s="1616">
        <v>-610.20000000000005</v>
      </c>
      <c r="AK25" s="1616">
        <v>133443.4</v>
      </c>
      <c r="AL25" s="1616">
        <v>2300.5</v>
      </c>
      <c r="AM25" s="1616">
        <v>41434.6</v>
      </c>
      <c r="AN25" s="1616">
        <v>90293.2</v>
      </c>
    </row>
    <row r="26" spans="1:40">
      <c r="A26" s="133">
        <v>1997</v>
      </c>
      <c r="B26" s="133" t="s">
        <v>11952</v>
      </c>
      <c r="C26" s="133" t="s">
        <v>11965</v>
      </c>
      <c r="D26" s="1616">
        <v>2051.1</v>
      </c>
      <c r="E26" s="1616">
        <v>202</v>
      </c>
      <c r="F26" s="1616">
        <v>32062.1</v>
      </c>
      <c r="G26" s="1616">
        <v>3481.5</v>
      </c>
      <c r="H26" s="1616">
        <v>1034.5</v>
      </c>
      <c r="I26" s="1616">
        <v>863.2</v>
      </c>
      <c r="J26" s="1616">
        <v>2883.2</v>
      </c>
      <c r="K26" s="1616">
        <v>1646.4</v>
      </c>
      <c r="L26" s="1616">
        <v>1203.2</v>
      </c>
      <c r="M26" s="1616">
        <v>2144.8000000000002</v>
      </c>
      <c r="N26" s="1616">
        <v>1883.4</v>
      </c>
      <c r="O26" s="1616">
        <v>3932.6</v>
      </c>
      <c r="P26" s="1616">
        <v>1709.1</v>
      </c>
      <c r="Q26" s="1616">
        <v>2427.4</v>
      </c>
      <c r="R26" s="1616">
        <v>2010.7</v>
      </c>
      <c r="S26" s="1616">
        <v>3094</v>
      </c>
      <c r="T26" s="1616">
        <v>3748.1</v>
      </c>
      <c r="U26" s="1616">
        <v>4373.3</v>
      </c>
      <c r="V26" s="1616">
        <v>11130.9</v>
      </c>
      <c r="W26" s="1616">
        <v>19193.599999999999</v>
      </c>
      <c r="X26" s="1616">
        <v>7048.2</v>
      </c>
      <c r="Y26" s="1616">
        <v>4526.3999999999996</v>
      </c>
      <c r="Z26" s="1616">
        <v>5072.8999999999996</v>
      </c>
      <c r="AA26" s="1616">
        <v>6934</v>
      </c>
      <c r="AB26" s="1616">
        <v>14168.5</v>
      </c>
      <c r="AC26" s="1616">
        <v>6534.8</v>
      </c>
      <c r="AD26" s="1616">
        <v>7747.8</v>
      </c>
      <c r="AE26" s="1616">
        <v>5978.3</v>
      </c>
      <c r="AF26" s="1616">
        <v>6502.6</v>
      </c>
      <c r="AG26" s="1616">
        <v>6918.3</v>
      </c>
      <c r="AH26" s="1616">
        <v>140444.6</v>
      </c>
      <c r="AI26" s="1616">
        <v>140366.9</v>
      </c>
      <c r="AJ26" s="1616">
        <v>4676</v>
      </c>
      <c r="AK26" s="1616">
        <v>145042.9</v>
      </c>
      <c r="AL26" s="1616">
        <v>2051.1</v>
      </c>
      <c r="AM26" s="1616">
        <v>43395</v>
      </c>
      <c r="AN26" s="1616">
        <v>94998.6</v>
      </c>
    </row>
    <row r="27" spans="1:40">
      <c r="A27" s="133">
        <v>1998</v>
      </c>
      <c r="B27" s="133" t="s">
        <v>11946</v>
      </c>
      <c r="C27" s="133" t="s">
        <v>11966</v>
      </c>
      <c r="D27" s="1616">
        <v>1818.3</v>
      </c>
      <c r="E27" s="1616">
        <v>190</v>
      </c>
      <c r="F27" s="1616">
        <v>30805.8</v>
      </c>
      <c r="G27" s="1616">
        <v>3095.1</v>
      </c>
      <c r="H27" s="1616">
        <v>1022.5</v>
      </c>
      <c r="I27" s="1616">
        <v>852.4</v>
      </c>
      <c r="J27" s="1616">
        <v>2649.8</v>
      </c>
      <c r="K27" s="1616">
        <v>1512.4</v>
      </c>
      <c r="L27" s="1616">
        <v>1102.3</v>
      </c>
      <c r="M27" s="1616">
        <v>1855.5</v>
      </c>
      <c r="N27" s="1616">
        <v>1477.5</v>
      </c>
      <c r="O27" s="1616">
        <v>3863.4</v>
      </c>
      <c r="P27" s="1616">
        <v>1507.2</v>
      </c>
      <c r="Q27" s="1616">
        <v>2241.6999999999998</v>
      </c>
      <c r="R27" s="1616">
        <v>2296.3000000000002</v>
      </c>
      <c r="S27" s="1616">
        <v>3742.3</v>
      </c>
      <c r="T27" s="1616">
        <v>3587.4</v>
      </c>
      <c r="U27" s="1616">
        <v>4432.8999999999996</v>
      </c>
      <c r="V27" s="1616">
        <v>9122.2000000000007</v>
      </c>
      <c r="W27" s="1616">
        <v>17732.7</v>
      </c>
      <c r="X27" s="1616">
        <v>6432.9</v>
      </c>
      <c r="Y27" s="1616">
        <v>4071.2</v>
      </c>
      <c r="Z27" s="1616">
        <v>6807</v>
      </c>
      <c r="AA27" s="1616">
        <v>6808.7</v>
      </c>
      <c r="AB27" s="1616">
        <v>13958.5</v>
      </c>
      <c r="AC27" s="1616">
        <v>7047.7</v>
      </c>
      <c r="AD27" s="1616">
        <v>5946.5</v>
      </c>
      <c r="AE27" s="1616">
        <v>4333.3999999999996</v>
      </c>
      <c r="AF27" s="1616">
        <v>5841.9</v>
      </c>
      <c r="AG27" s="1616">
        <v>6848.7</v>
      </c>
      <c r="AH27" s="1616">
        <v>132198.5</v>
      </c>
      <c r="AI27" s="1616">
        <v>132256</v>
      </c>
      <c r="AJ27" s="1616">
        <v>-2010.7</v>
      </c>
      <c r="AK27" s="1616">
        <v>130245.3</v>
      </c>
      <c r="AL27" s="1616">
        <v>1818.3</v>
      </c>
      <c r="AM27" s="1616">
        <v>40118</v>
      </c>
      <c r="AN27" s="1616">
        <v>90262.1</v>
      </c>
    </row>
    <row r="28" spans="1:40">
      <c r="A28" s="133">
        <v>1998</v>
      </c>
      <c r="B28" s="133" t="s">
        <v>11948</v>
      </c>
      <c r="C28" s="133" t="s">
        <v>11967</v>
      </c>
      <c r="D28" s="1616">
        <v>2008.3</v>
      </c>
      <c r="E28" s="1616">
        <v>164.8</v>
      </c>
      <c r="F28" s="1616">
        <v>30524</v>
      </c>
      <c r="G28" s="1616">
        <v>3558.7</v>
      </c>
      <c r="H28" s="1616">
        <v>1053.5</v>
      </c>
      <c r="I28" s="1616">
        <v>826</v>
      </c>
      <c r="J28" s="1616">
        <v>2665.1</v>
      </c>
      <c r="K28" s="1616">
        <v>1350.4</v>
      </c>
      <c r="L28" s="1616">
        <v>1062.9000000000001</v>
      </c>
      <c r="M28" s="1616">
        <v>1799.4</v>
      </c>
      <c r="N28" s="1616">
        <v>1652.6</v>
      </c>
      <c r="O28" s="1616">
        <v>3983.5</v>
      </c>
      <c r="P28" s="1616">
        <v>1646.7</v>
      </c>
      <c r="Q28" s="1616">
        <v>2125.4</v>
      </c>
      <c r="R28" s="1616">
        <v>1990.4</v>
      </c>
      <c r="S28" s="1616">
        <v>3346.4</v>
      </c>
      <c r="T28" s="1616">
        <v>3463.3</v>
      </c>
      <c r="U28" s="1616">
        <v>4202.8999999999996</v>
      </c>
      <c r="V28" s="1616">
        <v>8276.5</v>
      </c>
      <c r="W28" s="1616">
        <v>17430.5</v>
      </c>
      <c r="X28" s="1616">
        <v>6513.2</v>
      </c>
      <c r="Y28" s="1616">
        <v>4161.3</v>
      </c>
      <c r="Z28" s="1616">
        <v>5178.1000000000004</v>
      </c>
      <c r="AA28" s="1616">
        <v>6698.9</v>
      </c>
      <c r="AB28" s="1616">
        <v>14076</v>
      </c>
      <c r="AC28" s="1616">
        <v>6579.9</v>
      </c>
      <c r="AD28" s="1616">
        <v>7346</v>
      </c>
      <c r="AE28" s="1616">
        <v>5507</v>
      </c>
      <c r="AF28" s="1616">
        <v>6499.5</v>
      </c>
      <c r="AG28" s="1616">
        <v>6895.5</v>
      </c>
      <c r="AH28" s="1616">
        <v>132062.39999999999</v>
      </c>
      <c r="AI28" s="1616">
        <v>132058.1</v>
      </c>
      <c r="AJ28" s="1616">
        <v>-94.2</v>
      </c>
      <c r="AK28" s="1616">
        <v>131963.9</v>
      </c>
      <c r="AL28" s="1616">
        <v>2008.3</v>
      </c>
      <c r="AM28" s="1616">
        <v>38965.300000000003</v>
      </c>
      <c r="AN28" s="1616">
        <v>91088.8</v>
      </c>
    </row>
    <row r="29" spans="1:40">
      <c r="A29" s="133">
        <v>1998</v>
      </c>
      <c r="B29" s="133" t="s">
        <v>11950</v>
      </c>
      <c r="C29" s="133" t="s">
        <v>11968</v>
      </c>
      <c r="D29" s="1616">
        <v>2172.6999999999998</v>
      </c>
      <c r="E29" s="1616">
        <v>171.3</v>
      </c>
      <c r="F29" s="1616">
        <v>30374.7</v>
      </c>
      <c r="G29" s="1616">
        <v>3470.2</v>
      </c>
      <c r="H29" s="1616">
        <v>960.8</v>
      </c>
      <c r="I29" s="1616">
        <v>778</v>
      </c>
      <c r="J29" s="1616">
        <v>2705.7</v>
      </c>
      <c r="K29" s="1616">
        <v>1480.6</v>
      </c>
      <c r="L29" s="1616">
        <v>1035.5999999999999</v>
      </c>
      <c r="M29" s="1616">
        <v>1691.3</v>
      </c>
      <c r="N29" s="1616">
        <v>1655.2</v>
      </c>
      <c r="O29" s="1616">
        <v>3727.3</v>
      </c>
      <c r="P29" s="1616">
        <v>1613.1</v>
      </c>
      <c r="Q29" s="1616">
        <v>2162.1</v>
      </c>
      <c r="R29" s="1616">
        <v>2063.6999999999998</v>
      </c>
      <c r="S29" s="1616">
        <v>3527.7</v>
      </c>
      <c r="T29" s="1616">
        <v>3503.3</v>
      </c>
      <c r="U29" s="1616">
        <v>4836.7</v>
      </c>
      <c r="V29" s="1616">
        <v>9236.2000000000007</v>
      </c>
      <c r="W29" s="1616">
        <v>18073.400000000001</v>
      </c>
      <c r="X29" s="1616">
        <v>6885.6</v>
      </c>
      <c r="Y29" s="1616">
        <v>4652</v>
      </c>
      <c r="Z29" s="1616">
        <v>6066.7</v>
      </c>
      <c r="AA29" s="1616">
        <v>6822</v>
      </c>
      <c r="AB29" s="1616">
        <v>14058.8</v>
      </c>
      <c r="AC29" s="1616">
        <v>6659.5</v>
      </c>
      <c r="AD29" s="1616">
        <v>5334.4</v>
      </c>
      <c r="AE29" s="1616">
        <v>3892.5</v>
      </c>
      <c r="AF29" s="1616">
        <v>5950.7</v>
      </c>
      <c r="AG29" s="1616">
        <v>6876.2</v>
      </c>
      <c r="AH29" s="1616">
        <v>132063.20000000001</v>
      </c>
      <c r="AI29" s="1616">
        <v>132160.29999999999</v>
      </c>
      <c r="AJ29" s="1616">
        <v>-1217.8</v>
      </c>
      <c r="AK29" s="1616">
        <v>130942.6</v>
      </c>
      <c r="AL29" s="1616">
        <v>2172.6999999999998</v>
      </c>
      <c r="AM29" s="1616">
        <v>39782.199999999997</v>
      </c>
      <c r="AN29" s="1616">
        <v>90108.4</v>
      </c>
    </row>
    <row r="30" spans="1:40">
      <c r="A30" s="133">
        <v>1998</v>
      </c>
      <c r="B30" s="133" t="s">
        <v>11952</v>
      </c>
      <c r="C30" s="133" t="s">
        <v>11969</v>
      </c>
      <c r="D30" s="1616">
        <v>2602.4</v>
      </c>
      <c r="E30" s="1616">
        <v>190.4</v>
      </c>
      <c r="F30" s="1616">
        <v>30813.4</v>
      </c>
      <c r="G30" s="1616">
        <v>3649.4</v>
      </c>
      <c r="H30" s="1616">
        <v>966.3</v>
      </c>
      <c r="I30" s="1616">
        <v>825</v>
      </c>
      <c r="J30" s="1616">
        <v>2779.4</v>
      </c>
      <c r="K30" s="1616">
        <v>1626</v>
      </c>
      <c r="L30" s="1616">
        <v>1102.5999999999999</v>
      </c>
      <c r="M30" s="1616">
        <v>1727.6</v>
      </c>
      <c r="N30" s="1616">
        <v>1847.2</v>
      </c>
      <c r="O30" s="1616">
        <v>3435.9</v>
      </c>
      <c r="P30" s="1616">
        <v>1650.8</v>
      </c>
      <c r="Q30" s="1616">
        <v>2242.6999999999998</v>
      </c>
      <c r="R30" s="1616">
        <v>1967</v>
      </c>
      <c r="S30" s="1616">
        <v>3220.5</v>
      </c>
      <c r="T30" s="1616">
        <v>3772.9</v>
      </c>
      <c r="U30" s="1616">
        <v>4409.1000000000004</v>
      </c>
      <c r="V30" s="1616">
        <v>11315.7</v>
      </c>
      <c r="W30" s="1616">
        <v>18840.099999999999</v>
      </c>
      <c r="X30" s="1616">
        <v>6745</v>
      </c>
      <c r="Y30" s="1616">
        <v>4420.3999999999996</v>
      </c>
      <c r="Z30" s="1616">
        <v>5325.9</v>
      </c>
      <c r="AA30" s="1616">
        <v>6753.4</v>
      </c>
      <c r="AB30" s="1616">
        <v>14126.2</v>
      </c>
      <c r="AC30" s="1616">
        <v>6533.7</v>
      </c>
      <c r="AD30" s="1616">
        <v>7815.5</v>
      </c>
      <c r="AE30" s="1616">
        <v>5970.1</v>
      </c>
      <c r="AF30" s="1616">
        <v>6805.2</v>
      </c>
      <c r="AG30" s="1616">
        <v>6886.5</v>
      </c>
      <c r="AH30" s="1616">
        <v>139552.9</v>
      </c>
      <c r="AI30" s="1616">
        <v>139437.4</v>
      </c>
      <c r="AJ30" s="1616">
        <v>3908.2</v>
      </c>
      <c r="AK30" s="1616">
        <v>143345.60000000001</v>
      </c>
      <c r="AL30" s="1616">
        <v>2602.4</v>
      </c>
      <c r="AM30" s="1616">
        <v>42319.5</v>
      </c>
      <c r="AN30" s="1616">
        <v>94631</v>
      </c>
    </row>
    <row r="31" spans="1:40">
      <c r="A31" s="133">
        <v>1999</v>
      </c>
      <c r="B31" s="133" t="s">
        <v>11946</v>
      </c>
      <c r="C31" s="133" t="s">
        <v>11970</v>
      </c>
      <c r="D31" s="1616">
        <v>1945.1</v>
      </c>
      <c r="E31" s="1616">
        <v>173.5</v>
      </c>
      <c r="F31" s="1616">
        <v>29057.9</v>
      </c>
      <c r="G31" s="1616">
        <v>3205.2</v>
      </c>
      <c r="H31" s="1616">
        <v>863.7</v>
      </c>
      <c r="I31" s="1616">
        <v>760.7</v>
      </c>
      <c r="J31" s="1616">
        <v>2713.7</v>
      </c>
      <c r="K31" s="1616">
        <v>1497.1</v>
      </c>
      <c r="L31" s="1616">
        <v>1015.1</v>
      </c>
      <c r="M31" s="1616">
        <v>1643.9</v>
      </c>
      <c r="N31" s="1616">
        <v>1316.9</v>
      </c>
      <c r="O31" s="1616">
        <v>3443.6</v>
      </c>
      <c r="P31" s="1616">
        <v>1429.8</v>
      </c>
      <c r="Q31" s="1616">
        <v>1995.9</v>
      </c>
      <c r="R31" s="1616">
        <v>2132.6</v>
      </c>
      <c r="S31" s="1616">
        <v>3691.7</v>
      </c>
      <c r="T31" s="1616">
        <v>3348</v>
      </c>
      <c r="U31" s="1616">
        <v>4572.2</v>
      </c>
      <c r="V31" s="1616">
        <v>8831.7999999999993</v>
      </c>
      <c r="W31" s="1616">
        <v>17744.3</v>
      </c>
      <c r="X31" s="1616">
        <v>6294.7</v>
      </c>
      <c r="Y31" s="1616">
        <v>4048.4</v>
      </c>
      <c r="Z31" s="1616">
        <v>7016.4</v>
      </c>
      <c r="AA31" s="1616">
        <v>6700.7</v>
      </c>
      <c r="AB31" s="1616">
        <v>14045.5</v>
      </c>
      <c r="AC31" s="1616">
        <v>6743.6</v>
      </c>
      <c r="AD31" s="1616">
        <v>5934.5</v>
      </c>
      <c r="AE31" s="1616">
        <v>4331.2</v>
      </c>
      <c r="AF31" s="1616">
        <v>6216.5</v>
      </c>
      <c r="AG31" s="1616">
        <v>6821.9</v>
      </c>
      <c r="AH31" s="1616">
        <v>130478.1</v>
      </c>
      <c r="AI31" s="1616">
        <v>130550.1</v>
      </c>
      <c r="AJ31" s="1616">
        <v>-2238.1</v>
      </c>
      <c r="AK31" s="1616">
        <v>128312</v>
      </c>
      <c r="AL31" s="1616">
        <v>1945.1</v>
      </c>
      <c r="AM31" s="1616">
        <v>38063.199999999997</v>
      </c>
      <c r="AN31" s="1616">
        <v>90469.8</v>
      </c>
    </row>
    <row r="32" spans="1:40">
      <c r="A32" s="133">
        <v>1999</v>
      </c>
      <c r="B32" s="133" t="s">
        <v>11948</v>
      </c>
      <c r="C32" s="133" t="s">
        <v>11971</v>
      </c>
      <c r="D32" s="1616">
        <v>1937.8</v>
      </c>
      <c r="E32" s="1616">
        <v>147</v>
      </c>
      <c r="F32" s="1616">
        <v>29215.5</v>
      </c>
      <c r="G32" s="1616">
        <v>3616.1</v>
      </c>
      <c r="H32" s="1616">
        <v>919</v>
      </c>
      <c r="I32" s="1616">
        <v>773.6</v>
      </c>
      <c r="J32" s="1616">
        <v>2749.7</v>
      </c>
      <c r="K32" s="1616">
        <v>1327.2</v>
      </c>
      <c r="L32" s="1616">
        <v>970.7</v>
      </c>
      <c r="M32" s="1616">
        <v>1713.7</v>
      </c>
      <c r="N32" s="1616">
        <v>1549.7</v>
      </c>
      <c r="O32" s="1616">
        <v>3605</v>
      </c>
      <c r="P32" s="1616">
        <v>1740.1</v>
      </c>
      <c r="Q32" s="1616">
        <v>1975.9</v>
      </c>
      <c r="R32" s="1616">
        <v>1864.8</v>
      </c>
      <c r="S32" s="1616">
        <v>3155.6</v>
      </c>
      <c r="T32" s="1616">
        <v>3254.5</v>
      </c>
      <c r="U32" s="1616">
        <v>4213.3999999999996</v>
      </c>
      <c r="V32" s="1616">
        <v>8349.9</v>
      </c>
      <c r="W32" s="1616">
        <v>17638.599999999999</v>
      </c>
      <c r="X32" s="1616">
        <v>6374.2</v>
      </c>
      <c r="Y32" s="1616">
        <v>4104.3999999999996</v>
      </c>
      <c r="Z32" s="1616">
        <v>5067.7</v>
      </c>
      <c r="AA32" s="1616">
        <v>6620.3</v>
      </c>
      <c r="AB32" s="1616">
        <v>14171.4</v>
      </c>
      <c r="AC32" s="1616">
        <v>6384.8</v>
      </c>
      <c r="AD32" s="1616">
        <v>7486.9</v>
      </c>
      <c r="AE32" s="1616">
        <v>5562.3</v>
      </c>
      <c r="AF32" s="1616">
        <v>6633.7</v>
      </c>
      <c r="AG32" s="1616">
        <v>6764.4</v>
      </c>
      <c r="AH32" s="1616">
        <v>130672.3</v>
      </c>
      <c r="AI32" s="1616">
        <v>130750.9</v>
      </c>
      <c r="AJ32" s="1616">
        <v>-250.9</v>
      </c>
      <c r="AK32" s="1616">
        <v>130500</v>
      </c>
      <c r="AL32" s="1616">
        <v>1937.8</v>
      </c>
      <c r="AM32" s="1616">
        <v>37712.400000000001</v>
      </c>
      <c r="AN32" s="1616">
        <v>91022.1</v>
      </c>
    </row>
    <row r="33" spans="1:40">
      <c r="A33" s="133">
        <v>1999</v>
      </c>
      <c r="B33" s="133" t="s">
        <v>11950</v>
      </c>
      <c r="C33" s="133" t="s">
        <v>11972</v>
      </c>
      <c r="D33" s="1616">
        <v>2389.8000000000002</v>
      </c>
      <c r="E33" s="1616">
        <v>144.19999999999999</v>
      </c>
      <c r="F33" s="1616">
        <v>29542.6</v>
      </c>
      <c r="G33" s="1616">
        <v>3600.1</v>
      </c>
      <c r="H33" s="1616">
        <v>844</v>
      </c>
      <c r="I33" s="1616">
        <v>764</v>
      </c>
      <c r="J33" s="1616">
        <v>2726</v>
      </c>
      <c r="K33" s="1616">
        <v>1422</v>
      </c>
      <c r="L33" s="1616">
        <v>965.8</v>
      </c>
      <c r="M33" s="1616">
        <v>1730.8</v>
      </c>
      <c r="N33" s="1616">
        <v>1556.8</v>
      </c>
      <c r="O33" s="1616">
        <v>3499.7</v>
      </c>
      <c r="P33" s="1616">
        <v>1796.6</v>
      </c>
      <c r="Q33" s="1616">
        <v>2040.4</v>
      </c>
      <c r="R33" s="1616">
        <v>1947.3</v>
      </c>
      <c r="S33" s="1616">
        <v>3223.8</v>
      </c>
      <c r="T33" s="1616">
        <v>3425.3</v>
      </c>
      <c r="U33" s="1616">
        <v>4811.1000000000004</v>
      </c>
      <c r="V33" s="1616">
        <v>9155.5</v>
      </c>
      <c r="W33" s="1616">
        <v>17605.8</v>
      </c>
      <c r="X33" s="1616">
        <v>6751.1</v>
      </c>
      <c r="Y33" s="1616">
        <v>4589.1000000000004</v>
      </c>
      <c r="Z33" s="1616">
        <v>6462.6</v>
      </c>
      <c r="AA33" s="1616">
        <v>6602.3</v>
      </c>
      <c r="AB33" s="1616">
        <v>14161</v>
      </c>
      <c r="AC33" s="1616">
        <v>6640</v>
      </c>
      <c r="AD33" s="1616">
        <v>5385.4</v>
      </c>
      <c r="AE33" s="1616">
        <v>3917.5</v>
      </c>
      <c r="AF33" s="1616">
        <v>6066</v>
      </c>
      <c r="AG33" s="1616">
        <v>6746.8</v>
      </c>
      <c r="AH33" s="1616">
        <v>130970.9</v>
      </c>
      <c r="AI33" s="1616">
        <v>131113.20000000001</v>
      </c>
      <c r="AJ33" s="1616">
        <v>-1628.1</v>
      </c>
      <c r="AK33" s="1616">
        <v>129485.1</v>
      </c>
      <c r="AL33" s="1616">
        <v>2389.8000000000002</v>
      </c>
      <c r="AM33" s="1616">
        <v>38842.400000000001</v>
      </c>
      <c r="AN33" s="1616">
        <v>89738.8</v>
      </c>
    </row>
    <row r="34" spans="1:40">
      <c r="A34" s="133">
        <v>1999</v>
      </c>
      <c r="B34" s="133" t="s">
        <v>11952</v>
      </c>
      <c r="C34" s="133" t="s">
        <v>11973</v>
      </c>
      <c r="D34" s="1616">
        <v>2050</v>
      </c>
      <c r="E34" s="1616">
        <v>162.80000000000001</v>
      </c>
      <c r="F34" s="1616">
        <v>30481.4</v>
      </c>
      <c r="G34" s="1616">
        <v>3817.1</v>
      </c>
      <c r="H34" s="1616">
        <v>839.4</v>
      </c>
      <c r="I34" s="1616">
        <v>819.6</v>
      </c>
      <c r="J34" s="1616">
        <v>2878.2</v>
      </c>
      <c r="K34" s="1616">
        <v>1471.3</v>
      </c>
      <c r="L34" s="1616">
        <v>1060.7</v>
      </c>
      <c r="M34" s="1616">
        <v>1855.9</v>
      </c>
      <c r="N34" s="1616">
        <v>1758.3</v>
      </c>
      <c r="O34" s="1616">
        <v>3349.3</v>
      </c>
      <c r="P34" s="1616">
        <v>1985.3</v>
      </c>
      <c r="Q34" s="1616">
        <v>2165.9</v>
      </c>
      <c r="R34" s="1616">
        <v>1888.7</v>
      </c>
      <c r="S34" s="1616">
        <v>3126.3</v>
      </c>
      <c r="T34" s="1616">
        <v>3465.2</v>
      </c>
      <c r="U34" s="1616">
        <v>4313</v>
      </c>
      <c r="V34" s="1616">
        <v>10416.700000000001</v>
      </c>
      <c r="W34" s="1616">
        <v>18568</v>
      </c>
      <c r="X34" s="1616">
        <v>6673.9</v>
      </c>
      <c r="Y34" s="1616">
        <v>4469.6000000000004</v>
      </c>
      <c r="Z34" s="1616">
        <v>5525.7</v>
      </c>
      <c r="AA34" s="1616">
        <v>6612.5</v>
      </c>
      <c r="AB34" s="1616">
        <v>14267.6</v>
      </c>
      <c r="AC34" s="1616">
        <v>6772.5</v>
      </c>
      <c r="AD34" s="1616">
        <v>7617.4</v>
      </c>
      <c r="AE34" s="1616">
        <v>5792.5</v>
      </c>
      <c r="AF34" s="1616">
        <v>6854.8</v>
      </c>
      <c r="AG34" s="1616">
        <v>6749.1</v>
      </c>
      <c r="AH34" s="1616">
        <v>137327.5</v>
      </c>
      <c r="AI34" s="1616">
        <v>137426.79999999999</v>
      </c>
      <c r="AJ34" s="1616">
        <v>2346</v>
      </c>
      <c r="AK34" s="1616">
        <v>139772.79999999999</v>
      </c>
      <c r="AL34" s="1616">
        <v>2050</v>
      </c>
      <c r="AM34" s="1616">
        <v>41060.9</v>
      </c>
      <c r="AN34" s="1616">
        <v>94216.6</v>
      </c>
    </row>
    <row r="35" spans="1:40">
      <c r="A35" s="133">
        <v>2000</v>
      </c>
      <c r="B35" s="133" t="s">
        <v>11946</v>
      </c>
      <c r="C35" s="133" t="s">
        <v>11974</v>
      </c>
      <c r="D35" s="1616">
        <v>1837.4</v>
      </c>
      <c r="E35" s="1616">
        <v>160.80000000000001</v>
      </c>
      <c r="F35" s="1616">
        <v>29380.6</v>
      </c>
      <c r="G35" s="1616">
        <v>3209.3</v>
      </c>
      <c r="H35" s="1616">
        <v>802.6</v>
      </c>
      <c r="I35" s="1616">
        <v>800.6</v>
      </c>
      <c r="J35" s="1616">
        <v>2641.6</v>
      </c>
      <c r="K35" s="1616">
        <v>1417.2</v>
      </c>
      <c r="L35" s="1616">
        <v>1004.1</v>
      </c>
      <c r="M35" s="1616">
        <v>1811</v>
      </c>
      <c r="N35" s="1616">
        <v>1306.4000000000001</v>
      </c>
      <c r="O35" s="1616">
        <v>3641.8</v>
      </c>
      <c r="P35" s="1616">
        <v>1728.1</v>
      </c>
      <c r="Q35" s="1616">
        <v>2063.8000000000002</v>
      </c>
      <c r="R35" s="1616">
        <v>2146.6999999999998</v>
      </c>
      <c r="S35" s="1616">
        <v>3332.3</v>
      </c>
      <c r="T35" s="1616">
        <v>3475.2</v>
      </c>
      <c r="U35" s="1616">
        <v>4402.3</v>
      </c>
      <c r="V35" s="1616">
        <v>8541.7999999999993</v>
      </c>
      <c r="W35" s="1616">
        <v>17891.599999999999</v>
      </c>
      <c r="X35" s="1616">
        <v>6316</v>
      </c>
      <c r="Y35" s="1616">
        <v>4028.7</v>
      </c>
      <c r="Z35" s="1616">
        <v>7028.5</v>
      </c>
      <c r="AA35" s="1616">
        <v>6845.7</v>
      </c>
      <c r="AB35" s="1616">
        <v>14343.2</v>
      </c>
      <c r="AC35" s="1616">
        <v>7486.9</v>
      </c>
      <c r="AD35" s="1616">
        <v>6024.1</v>
      </c>
      <c r="AE35" s="1616">
        <v>4324</v>
      </c>
      <c r="AF35" s="1616">
        <v>6425.7</v>
      </c>
      <c r="AG35" s="1616">
        <v>6955.7</v>
      </c>
      <c r="AH35" s="1616">
        <v>131993.1</v>
      </c>
      <c r="AI35" s="1616">
        <v>132113.60000000001</v>
      </c>
      <c r="AJ35" s="1616">
        <v>-1572.9</v>
      </c>
      <c r="AK35" s="1616">
        <v>130540.7</v>
      </c>
      <c r="AL35" s="1616">
        <v>1837.4</v>
      </c>
      <c r="AM35" s="1616">
        <v>38083.199999999997</v>
      </c>
      <c r="AN35" s="1616">
        <v>92072.4</v>
      </c>
    </row>
    <row r="36" spans="1:40">
      <c r="A36" s="133">
        <v>2000</v>
      </c>
      <c r="B36" s="133" t="s">
        <v>11948</v>
      </c>
      <c r="C36" s="133" t="s">
        <v>11975</v>
      </c>
      <c r="D36" s="1616">
        <v>1943.6</v>
      </c>
      <c r="E36" s="1616">
        <v>141.1</v>
      </c>
      <c r="F36" s="1616">
        <v>29717.599999999999</v>
      </c>
      <c r="G36" s="1616">
        <v>3705.2</v>
      </c>
      <c r="H36" s="1616">
        <v>835.3</v>
      </c>
      <c r="I36" s="1616">
        <v>825.7</v>
      </c>
      <c r="J36" s="1616">
        <v>2673.4</v>
      </c>
      <c r="K36" s="1616">
        <v>1309.2</v>
      </c>
      <c r="L36" s="1616">
        <v>979.6</v>
      </c>
      <c r="M36" s="1616">
        <v>1934.2</v>
      </c>
      <c r="N36" s="1616">
        <v>1467.6</v>
      </c>
      <c r="O36" s="1616">
        <v>3589</v>
      </c>
      <c r="P36" s="1616">
        <v>2015.1</v>
      </c>
      <c r="Q36" s="1616">
        <v>1996</v>
      </c>
      <c r="R36" s="1616">
        <v>1901</v>
      </c>
      <c r="S36" s="1616">
        <v>3191.2</v>
      </c>
      <c r="T36" s="1616">
        <v>3295</v>
      </c>
      <c r="U36" s="1616">
        <v>4165.3</v>
      </c>
      <c r="V36" s="1616">
        <v>7940.6</v>
      </c>
      <c r="W36" s="1616">
        <v>16792.3</v>
      </c>
      <c r="X36" s="1616">
        <v>6387.4</v>
      </c>
      <c r="Y36" s="1616">
        <v>3955.3</v>
      </c>
      <c r="Z36" s="1616">
        <v>5631</v>
      </c>
      <c r="AA36" s="1616">
        <v>6564.6</v>
      </c>
      <c r="AB36" s="1616">
        <v>14464.5</v>
      </c>
      <c r="AC36" s="1616">
        <v>7094.4</v>
      </c>
      <c r="AD36" s="1616">
        <v>7600.9</v>
      </c>
      <c r="AE36" s="1616">
        <v>5500.3</v>
      </c>
      <c r="AF36" s="1616">
        <v>6963.1</v>
      </c>
      <c r="AG36" s="1616">
        <v>7179.7</v>
      </c>
      <c r="AH36" s="1616">
        <v>132041.70000000001</v>
      </c>
      <c r="AI36" s="1616">
        <v>132113.5</v>
      </c>
      <c r="AJ36" s="1616">
        <v>74.5</v>
      </c>
      <c r="AK36" s="1616">
        <v>132188.1</v>
      </c>
      <c r="AL36" s="1616">
        <v>1943.6</v>
      </c>
      <c r="AM36" s="1616">
        <v>37799.300000000003</v>
      </c>
      <c r="AN36" s="1616">
        <v>92298.8</v>
      </c>
    </row>
    <row r="37" spans="1:40">
      <c r="A37" s="133">
        <v>2000</v>
      </c>
      <c r="B37" s="133" t="s">
        <v>11950</v>
      </c>
      <c r="C37" s="133" t="s">
        <v>11976</v>
      </c>
      <c r="D37" s="1616">
        <v>2285.4</v>
      </c>
      <c r="E37" s="1616">
        <v>146.1</v>
      </c>
      <c r="F37" s="1616">
        <v>30046.5</v>
      </c>
      <c r="G37" s="1616">
        <v>3596.1</v>
      </c>
      <c r="H37" s="1616">
        <v>736.9</v>
      </c>
      <c r="I37" s="1616">
        <v>812.6</v>
      </c>
      <c r="J37" s="1616">
        <v>2699.8</v>
      </c>
      <c r="K37" s="1616">
        <v>1409.4</v>
      </c>
      <c r="L37" s="1616">
        <v>982.5</v>
      </c>
      <c r="M37" s="1616">
        <v>1891.2</v>
      </c>
      <c r="N37" s="1616">
        <v>1577.4</v>
      </c>
      <c r="O37" s="1616">
        <v>3773.1</v>
      </c>
      <c r="P37" s="1616">
        <v>2181.4</v>
      </c>
      <c r="Q37" s="1616">
        <v>2111.1999999999998</v>
      </c>
      <c r="R37" s="1616">
        <v>2024.1</v>
      </c>
      <c r="S37" s="1616">
        <v>2943.5</v>
      </c>
      <c r="T37" s="1616">
        <v>3307.3</v>
      </c>
      <c r="U37" s="1616">
        <v>4827.1000000000004</v>
      </c>
      <c r="V37" s="1616">
        <v>8944.9</v>
      </c>
      <c r="W37" s="1616">
        <v>17110</v>
      </c>
      <c r="X37" s="1616">
        <v>6673.4</v>
      </c>
      <c r="Y37" s="1616">
        <v>4392.8</v>
      </c>
      <c r="Z37" s="1616">
        <v>6572.4</v>
      </c>
      <c r="AA37" s="1616">
        <v>6614.7</v>
      </c>
      <c r="AB37" s="1616">
        <v>14511.1</v>
      </c>
      <c r="AC37" s="1616">
        <v>7377.3</v>
      </c>
      <c r="AD37" s="1616">
        <v>5565.4</v>
      </c>
      <c r="AE37" s="1616">
        <v>3938</v>
      </c>
      <c r="AF37" s="1616">
        <v>6587.6</v>
      </c>
      <c r="AG37" s="1616">
        <v>6947.6</v>
      </c>
      <c r="AH37" s="1616">
        <v>132540.20000000001</v>
      </c>
      <c r="AI37" s="1616">
        <v>132658.9</v>
      </c>
      <c r="AJ37" s="1616">
        <v>-1574.3</v>
      </c>
      <c r="AK37" s="1616">
        <v>131084.70000000001</v>
      </c>
      <c r="AL37" s="1616">
        <v>2285.4</v>
      </c>
      <c r="AM37" s="1616">
        <v>39137.5</v>
      </c>
      <c r="AN37" s="1616">
        <v>91117.3</v>
      </c>
    </row>
    <row r="38" spans="1:40">
      <c r="A38" s="133">
        <v>2000</v>
      </c>
      <c r="B38" s="133" t="s">
        <v>11952</v>
      </c>
      <c r="C38" s="133" t="s">
        <v>11977</v>
      </c>
      <c r="D38" s="1616">
        <v>2060.6</v>
      </c>
      <c r="E38" s="1616">
        <v>163.30000000000001</v>
      </c>
      <c r="F38" s="1616">
        <v>31068.400000000001</v>
      </c>
      <c r="G38" s="1616">
        <v>3666</v>
      </c>
      <c r="H38" s="1616">
        <v>762.4</v>
      </c>
      <c r="I38" s="1616">
        <v>856</v>
      </c>
      <c r="J38" s="1616">
        <v>2795.5</v>
      </c>
      <c r="K38" s="1616">
        <v>1376.8</v>
      </c>
      <c r="L38" s="1616">
        <v>1076.7</v>
      </c>
      <c r="M38" s="1616">
        <v>2016.3</v>
      </c>
      <c r="N38" s="1616">
        <v>1811.4</v>
      </c>
      <c r="O38" s="1616">
        <v>3475.2</v>
      </c>
      <c r="P38" s="1616">
        <v>2183.3000000000002</v>
      </c>
      <c r="Q38" s="1616">
        <v>2310.5</v>
      </c>
      <c r="R38" s="1616">
        <v>1956.1</v>
      </c>
      <c r="S38" s="1616">
        <v>3276</v>
      </c>
      <c r="T38" s="1616">
        <v>3506.1</v>
      </c>
      <c r="U38" s="1616">
        <v>4168.7</v>
      </c>
      <c r="V38" s="1616">
        <v>10268.4</v>
      </c>
      <c r="W38" s="1616">
        <v>17991.099999999999</v>
      </c>
      <c r="X38" s="1616">
        <v>6746.1</v>
      </c>
      <c r="Y38" s="1616">
        <v>4283.3</v>
      </c>
      <c r="Z38" s="1616">
        <v>5950.6</v>
      </c>
      <c r="AA38" s="1616">
        <v>6762.9</v>
      </c>
      <c r="AB38" s="1616">
        <v>14536.3</v>
      </c>
      <c r="AC38" s="1616">
        <v>7375.1</v>
      </c>
      <c r="AD38" s="1616">
        <v>7782</v>
      </c>
      <c r="AE38" s="1616">
        <v>5736.7</v>
      </c>
      <c r="AF38" s="1616">
        <v>7268.6</v>
      </c>
      <c r="AG38" s="1616">
        <v>6959.6</v>
      </c>
      <c r="AH38" s="1616">
        <v>139121.79999999999</v>
      </c>
      <c r="AI38" s="1616">
        <v>139207.1</v>
      </c>
      <c r="AJ38" s="1616">
        <v>2397.1999999999998</v>
      </c>
      <c r="AK38" s="1616">
        <v>141604.29999999999</v>
      </c>
      <c r="AL38" s="1616">
        <v>2060.6</v>
      </c>
      <c r="AM38" s="1616">
        <v>41500</v>
      </c>
      <c r="AN38" s="1616">
        <v>95561.2</v>
      </c>
    </row>
    <row r="39" spans="1:40">
      <c r="A39" s="133">
        <v>2001</v>
      </c>
      <c r="B39" s="133" t="s">
        <v>11946</v>
      </c>
      <c r="C39" s="133" t="s">
        <v>11978</v>
      </c>
      <c r="D39" s="1616">
        <v>1817</v>
      </c>
      <c r="E39" s="1616">
        <v>156.4</v>
      </c>
      <c r="F39" s="1616">
        <v>28916</v>
      </c>
      <c r="G39" s="1616">
        <v>3176.9</v>
      </c>
      <c r="H39" s="1616">
        <v>669.2</v>
      </c>
      <c r="I39" s="1616">
        <v>775.5</v>
      </c>
      <c r="J39" s="1616">
        <v>2649</v>
      </c>
      <c r="K39" s="1616">
        <v>1392.4</v>
      </c>
      <c r="L39" s="1616">
        <v>1031.8</v>
      </c>
      <c r="M39" s="1616">
        <v>1785.2</v>
      </c>
      <c r="N39" s="1616">
        <v>1230.0999999999999</v>
      </c>
      <c r="O39" s="1616">
        <v>3755.2</v>
      </c>
      <c r="P39" s="1616">
        <v>1960.8</v>
      </c>
      <c r="Q39" s="1616">
        <v>2112.3000000000002</v>
      </c>
      <c r="R39" s="1616">
        <v>1893.6</v>
      </c>
      <c r="S39" s="1616">
        <v>3260.2</v>
      </c>
      <c r="T39" s="1616">
        <v>3223.8</v>
      </c>
      <c r="U39" s="1616">
        <v>4449.8</v>
      </c>
      <c r="V39" s="1616">
        <v>8966</v>
      </c>
      <c r="W39" s="1616">
        <v>17865.8</v>
      </c>
      <c r="X39" s="1616">
        <v>6504.3</v>
      </c>
      <c r="Y39" s="1616">
        <v>3879.9</v>
      </c>
      <c r="Z39" s="1616">
        <v>7297.2</v>
      </c>
      <c r="AA39" s="1616">
        <v>6984.2</v>
      </c>
      <c r="AB39" s="1616">
        <v>14288.7</v>
      </c>
      <c r="AC39" s="1616">
        <v>7622.4</v>
      </c>
      <c r="AD39" s="1616">
        <v>6215.6</v>
      </c>
      <c r="AE39" s="1616">
        <v>4347.5</v>
      </c>
      <c r="AF39" s="1616">
        <v>6713</v>
      </c>
      <c r="AG39" s="1616">
        <v>6515.6</v>
      </c>
      <c r="AH39" s="1616">
        <v>132539.29999999999</v>
      </c>
      <c r="AI39" s="1616">
        <v>132673.70000000001</v>
      </c>
      <c r="AJ39" s="1616">
        <v>63.5</v>
      </c>
      <c r="AK39" s="1616">
        <v>132737.20000000001</v>
      </c>
      <c r="AL39" s="1616">
        <v>1817</v>
      </c>
      <c r="AM39" s="1616">
        <v>38038.400000000001</v>
      </c>
      <c r="AN39" s="1616">
        <v>92684</v>
      </c>
    </row>
    <row r="40" spans="1:40">
      <c r="A40" s="133">
        <v>2001</v>
      </c>
      <c r="B40" s="133" t="s">
        <v>11948</v>
      </c>
      <c r="C40" s="133" t="s">
        <v>11979</v>
      </c>
      <c r="D40" s="1616">
        <v>1847.4</v>
      </c>
      <c r="E40" s="1616">
        <v>147.1</v>
      </c>
      <c r="F40" s="1616">
        <v>28586.2</v>
      </c>
      <c r="G40" s="1616">
        <v>3725.9</v>
      </c>
      <c r="H40" s="1616">
        <v>704.5</v>
      </c>
      <c r="I40" s="1616">
        <v>769.5</v>
      </c>
      <c r="J40" s="1616">
        <v>2640.4</v>
      </c>
      <c r="K40" s="1616">
        <v>1273.0999999999999</v>
      </c>
      <c r="L40" s="1616">
        <v>956.1</v>
      </c>
      <c r="M40" s="1616">
        <v>1818.4</v>
      </c>
      <c r="N40" s="1616">
        <v>1479.5</v>
      </c>
      <c r="O40" s="1616">
        <v>3512.7</v>
      </c>
      <c r="P40" s="1616">
        <v>1666.2</v>
      </c>
      <c r="Q40" s="1616">
        <v>1923.4</v>
      </c>
      <c r="R40" s="1616">
        <v>1684.5</v>
      </c>
      <c r="S40" s="1616">
        <v>3340.8</v>
      </c>
      <c r="T40" s="1616">
        <v>3091.2</v>
      </c>
      <c r="U40" s="1616">
        <v>4153.8999999999996</v>
      </c>
      <c r="V40" s="1616">
        <v>7395.9</v>
      </c>
      <c r="W40" s="1616">
        <v>17192.599999999999</v>
      </c>
      <c r="X40" s="1616">
        <v>6470.9</v>
      </c>
      <c r="Y40" s="1616">
        <v>3930.1</v>
      </c>
      <c r="Z40" s="1616">
        <v>5913</v>
      </c>
      <c r="AA40" s="1616">
        <v>7232.9</v>
      </c>
      <c r="AB40" s="1616">
        <v>14352.6</v>
      </c>
      <c r="AC40" s="1616">
        <v>7229.3</v>
      </c>
      <c r="AD40" s="1616">
        <v>7612.7</v>
      </c>
      <c r="AE40" s="1616">
        <v>5524</v>
      </c>
      <c r="AF40" s="1616">
        <v>7307.9</v>
      </c>
      <c r="AG40" s="1616">
        <v>6702.2</v>
      </c>
      <c r="AH40" s="1616">
        <v>131598.70000000001</v>
      </c>
      <c r="AI40" s="1616">
        <v>131723.9</v>
      </c>
      <c r="AJ40" s="1616">
        <v>342.8</v>
      </c>
      <c r="AK40" s="1616">
        <v>132066.79999999999</v>
      </c>
      <c r="AL40" s="1616">
        <v>1847.4</v>
      </c>
      <c r="AM40" s="1616">
        <v>36129.199999999997</v>
      </c>
      <c r="AN40" s="1616">
        <v>93622.1</v>
      </c>
    </row>
    <row r="41" spans="1:40">
      <c r="A41" s="133">
        <v>2001</v>
      </c>
      <c r="B41" s="133" t="s">
        <v>11950</v>
      </c>
      <c r="C41" s="133" t="s">
        <v>11980</v>
      </c>
      <c r="D41" s="1616">
        <v>1934.3</v>
      </c>
      <c r="E41" s="1616">
        <v>144.9</v>
      </c>
      <c r="F41" s="1616">
        <v>27201.7</v>
      </c>
      <c r="G41" s="1616">
        <v>3530.7</v>
      </c>
      <c r="H41" s="1616">
        <v>623.79999999999995</v>
      </c>
      <c r="I41" s="1616">
        <v>741.3</v>
      </c>
      <c r="J41" s="1616">
        <v>2583.9</v>
      </c>
      <c r="K41" s="1616">
        <v>1404.3</v>
      </c>
      <c r="L41" s="1616">
        <v>902.3</v>
      </c>
      <c r="M41" s="1616">
        <v>1669.1</v>
      </c>
      <c r="N41" s="1616">
        <v>1484.4</v>
      </c>
      <c r="O41" s="1616">
        <v>3363.5</v>
      </c>
      <c r="P41" s="1616">
        <v>1260.9000000000001</v>
      </c>
      <c r="Q41" s="1616">
        <v>1816.6</v>
      </c>
      <c r="R41" s="1616">
        <v>1555.7</v>
      </c>
      <c r="S41" s="1616">
        <v>3189</v>
      </c>
      <c r="T41" s="1616">
        <v>3076.1</v>
      </c>
      <c r="U41" s="1616">
        <v>4752.8</v>
      </c>
      <c r="V41" s="1616">
        <v>8180.6</v>
      </c>
      <c r="W41" s="1616">
        <v>17219.7</v>
      </c>
      <c r="X41" s="1616">
        <v>6685.6</v>
      </c>
      <c r="Y41" s="1616">
        <v>4385.2</v>
      </c>
      <c r="Z41" s="1616">
        <v>6765.3</v>
      </c>
      <c r="AA41" s="1616">
        <v>7371.8</v>
      </c>
      <c r="AB41" s="1616">
        <v>14348</v>
      </c>
      <c r="AC41" s="1616">
        <v>7434.4</v>
      </c>
      <c r="AD41" s="1616">
        <v>5574.8</v>
      </c>
      <c r="AE41" s="1616">
        <v>3950.8</v>
      </c>
      <c r="AF41" s="1616">
        <v>6822.2</v>
      </c>
      <c r="AG41" s="1616">
        <v>6621.5</v>
      </c>
      <c r="AH41" s="1616">
        <v>129393.60000000001</v>
      </c>
      <c r="AI41" s="1616">
        <v>129571.8</v>
      </c>
      <c r="AJ41" s="1616">
        <v>-430.5</v>
      </c>
      <c r="AK41" s="1616">
        <v>129141.2</v>
      </c>
      <c r="AL41" s="1616">
        <v>1934.3</v>
      </c>
      <c r="AM41" s="1616">
        <v>35527.199999999997</v>
      </c>
      <c r="AN41" s="1616">
        <v>91932.1</v>
      </c>
    </row>
    <row r="42" spans="1:40">
      <c r="A42" s="133">
        <v>2001</v>
      </c>
      <c r="B42" s="133" t="s">
        <v>11952</v>
      </c>
      <c r="C42" s="133" t="s">
        <v>11981</v>
      </c>
      <c r="D42" s="1616">
        <v>1671.8</v>
      </c>
      <c r="E42" s="1616">
        <v>153</v>
      </c>
      <c r="F42" s="1616">
        <v>27579.9</v>
      </c>
      <c r="G42" s="1616">
        <v>3671.9</v>
      </c>
      <c r="H42" s="1616">
        <v>639.6</v>
      </c>
      <c r="I42" s="1616">
        <v>771.2</v>
      </c>
      <c r="J42" s="1616">
        <v>2694.2</v>
      </c>
      <c r="K42" s="1616">
        <v>1449.3</v>
      </c>
      <c r="L42" s="1616">
        <v>983</v>
      </c>
      <c r="M42" s="1616">
        <v>1660.8</v>
      </c>
      <c r="N42" s="1616">
        <v>1740.6</v>
      </c>
      <c r="O42" s="1616">
        <v>3027.7</v>
      </c>
      <c r="P42" s="1616">
        <v>1097.8</v>
      </c>
      <c r="Q42" s="1616">
        <v>1850.7</v>
      </c>
      <c r="R42" s="1616">
        <v>1434.9</v>
      </c>
      <c r="S42" s="1616">
        <v>3347.1</v>
      </c>
      <c r="T42" s="1616">
        <v>3211</v>
      </c>
      <c r="U42" s="1616">
        <v>4457.3</v>
      </c>
      <c r="V42" s="1616">
        <v>9471.5</v>
      </c>
      <c r="W42" s="1616">
        <v>17895.3</v>
      </c>
      <c r="X42" s="1616">
        <v>6462.5</v>
      </c>
      <c r="Y42" s="1616">
        <v>4120.1000000000004</v>
      </c>
      <c r="Z42" s="1616">
        <v>6096.4</v>
      </c>
      <c r="AA42" s="1616">
        <v>7587.6</v>
      </c>
      <c r="AB42" s="1616">
        <v>14365.4</v>
      </c>
      <c r="AC42" s="1616">
        <v>7389</v>
      </c>
      <c r="AD42" s="1616">
        <v>7732.6</v>
      </c>
      <c r="AE42" s="1616">
        <v>5719.6</v>
      </c>
      <c r="AF42" s="1616">
        <v>7602.5</v>
      </c>
      <c r="AG42" s="1616">
        <v>6707.8</v>
      </c>
      <c r="AH42" s="1616">
        <v>135012.20000000001</v>
      </c>
      <c r="AI42" s="1616">
        <v>135125</v>
      </c>
      <c r="AJ42" s="1616">
        <v>2583.6999999999998</v>
      </c>
      <c r="AK42" s="1616">
        <v>137708.70000000001</v>
      </c>
      <c r="AL42" s="1616">
        <v>1671.8</v>
      </c>
      <c r="AM42" s="1616">
        <v>37204.300000000003</v>
      </c>
      <c r="AN42" s="1616">
        <v>96136.1</v>
      </c>
    </row>
    <row r="43" spans="1:40">
      <c r="A43" s="133">
        <v>2002</v>
      </c>
      <c r="B43" s="133" t="s">
        <v>11946</v>
      </c>
      <c r="C43" s="133" t="s">
        <v>11982</v>
      </c>
      <c r="D43" s="1616">
        <v>1504.7</v>
      </c>
      <c r="E43" s="1616">
        <v>136</v>
      </c>
      <c r="F43" s="1616">
        <v>26355.9</v>
      </c>
      <c r="G43" s="1616">
        <v>3164.3</v>
      </c>
      <c r="H43" s="1616">
        <v>596.6</v>
      </c>
      <c r="I43" s="1616">
        <v>683.2</v>
      </c>
      <c r="J43" s="1616">
        <v>2619.5</v>
      </c>
      <c r="K43" s="1616">
        <v>1421.3</v>
      </c>
      <c r="L43" s="1616">
        <v>898.4</v>
      </c>
      <c r="M43" s="1616">
        <v>1480.8</v>
      </c>
      <c r="N43" s="1616">
        <v>1141</v>
      </c>
      <c r="O43" s="1616">
        <v>2879.7</v>
      </c>
      <c r="P43" s="1616">
        <v>1352.3</v>
      </c>
      <c r="Q43" s="1616">
        <v>1738.5</v>
      </c>
      <c r="R43" s="1616">
        <v>1656.4</v>
      </c>
      <c r="S43" s="1616">
        <v>3699.5</v>
      </c>
      <c r="T43" s="1616">
        <v>3024.5</v>
      </c>
      <c r="U43" s="1616">
        <v>4470.8999999999996</v>
      </c>
      <c r="V43" s="1616">
        <v>8285.2999999999993</v>
      </c>
      <c r="W43" s="1616">
        <v>17091.400000000001</v>
      </c>
      <c r="X43" s="1616">
        <v>6284.2</v>
      </c>
      <c r="Y43" s="1616">
        <v>4000.6</v>
      </c>
      <c r="Z43" s="1616">
        <v>7491.2</v>
      </c>
      <c r="AA43" s="1616">
        <v>7703.7</v>
      </c>
      <c r="AB43" s="1616">
        <v>14157.2</v>
      </c>
      <c r="AC43" s="1616">
        <v>7571.4</v>
      </c>
      <c r="AD43" s="1616">
        <v>6195</v>
      </c>
      <c r="AE43" s="1616">
        <v>4349.3999999999996</v>
      </c>
      <c r="AF43" s="1616">
        <v>6963.9</v>
      </c>
      <c r="AG43" s="1616">
        <v>6726.8</v>
      </c>
      <c r="AH43" s="1616">
        <v>129287.7</v>
      </c>
      <c r="AI43" s="1616">
        <v>129506.6</v>
      </c>
      <c r="AJ43" s="1616">
        <v>-1012.7</v>
      </c>
      <c r="AK43" s="1616">
        <v>128493.9</v>
      </c>
      <c r="AL43" s="1616">
        <v>1504.7</v>
      </c>
      <c r="AM43" s="1616">
        <v>34777.199999999997</v>
      </c>
      <c r="AN43" s="1616">
        <v>93005.8</v>
      </c>
    </row>
    <row r="44" spans="1:40">
      <c r="A44" s="133">
        <v>2002</v>
      </c>
      <c r="B44" s="133" t="s">
        <v>11948</v>
      </c>
      <c r="C44" s="133" t="s">
        <v>11983</v>
      </c>
      <c r="D44" s="1616">
        <v>1736.7</v>
      </c>
      <c r="E44" s="1616">
        <v>123.4</v>
      </c>
      <c r="F44" s="1616">
        <v>27099.599999999999</v>
      </c>
      <c r="G44" s="1616">
        <v>3696.7</v>
      </c>
      <c r="H44" s="1616">
        <v>626.70000000000005</v>
      </c>
      <c r="I44" s="1616">
        <v>687.2</v>
      </c>
      <c r="J44" s="1616">
        <v>2622.9</v>
      </c>
      <c r="K44" s="1616">
        <v>1342.6</v>
      </c>
      <c r="L44" s="1616">
        <v>855.9</v>
      </c>
      <c r="M44" s="1616">
        <v>1509.7</v>
      </c>
      <c r="N44" s="1616">
        <v>1414.8</v>
      </c>
      <c r="O44" s="1616">
        <v>3067.9</v>
      </c>
      <c r="P44" s="1616">
        <v>1677.4</v>
      </c>
      <c r="Q44" s="1616">
        <v>1633</v>
      </c>
      <c r="R44" s="1616">
        <v>1429.8</v>
      </c>
      <c r="S44" s="1616">
        <v>3646.4</v>
      </c>
      <c r="T44" s="1616">
        <v>2888.7</v>
      </c>
      <c r="U44" s="1616">
        <v>4063</v>
      </c>
      <c r="V44" s="1616">
        <v>6934.6</v>
      </c>
      <c r="W44" s="1616">
        <v>17225</v>
      </c>
      <c r="X44" s="1616">
        <v>6372.6</v>
      </c>
      <c r="Y44" s="1616">
        <v>3864.8</v>
      </c>
      <c r="Z44" s="1616">
        <v>5993.7</v>
      </c>
      <c r="AA44" s="1616">
        <v>7856</v>
      </c>
      <c r="AB44" s="1616">
        <v>14172.2</v>
      </c>
      <c r="AC44" s="1616">
        <v>7235.6</v>
      </c>
      <c r="AD44" s="1616">
        <v>7645.2</v>
      </c>
      <c r="AE44" s="1616">
        <v>5547.1</v>
      </c>
      <c r="AF44" s="1616">
        <v>7185.4</v>
      </c>
      <c r="AG44" s="1616">
        <v>6826.4</v>
      </c>
      <c r="AH44" s="1616">
        <v>129881.3</v>
      </c>
      <c r="AI44" s="1616">
        <v>130103.4</v>
      </c>
      <c r="AJ44" s="1616">
        <v>-237.9</v>
      </c>
      <c r="AK44" s="1616">
        <v>129865.4</v>
      </c>
      <c r="AL44" s="1616">
        <v>1736.7</v>
      </c>
      <c r="AM44" s="1616">
        <v>34157.599999999999</v>
      </c>
      <c r="AN44" s="1616">
        <v>93987</v>
      </c>
    </row>
    <row r="45" spans="1:40">
      <c r="A45" s="133">
        <v>2002</v>
      </c>
      <c r="B45" s="133" t="s">
        <v>11950</v>
      </c>
      <c r="C45" s="133" t="s">
        <v>11984</v>
      </c>
      <c r="D45" s="1616">
        <v>2032.9</v>
      </c>
      <c r="E45" s="1616">
        <v>123</v>
      </c>
      <c r="F45" s="1616">
        <v>27155.1</v>
      </c>
      <c r="G45" s="1616">
        <v>3473.8</v>
      </c>
      <c r="H45" s="1616">
        <v>559.5</v>
      </c>
      <c r="I45" s="1616">
        <v>671.3</v>
      </c>
      <c r="J45" s="1616">
        <v>2686.7</v>
      </c>
      <c r="K45" s="1616">
        <v>1444.7</v>
      </c>
      <c r="L45" s="1616">
        <v>850.1</v>
      </c>
      <c r="M45" s="1616">
        <v>1545.1</v>
      </c>
      <c r="N45" s="1616">
        <v>1410.3</v>
      </c>
      <c r="O45" s="1616">
        <v>3201.4</v>
      </c>
      <c r="P45" s="1616">
        <v>1592</v>
      </c>
      <c r="Q45" s="1616">
        <v>1721</v>
      </c>
      <c r="R45" s="1616">
        <v>1421.4</v>
      </c>
      <c r="S45" s="1616">
        <v>3540.8</v>
      </c>
      <c r="T45" s="1616">
        <v>3036.9</v>
      </c>
      <c r="U45" s="1616">
        <v>4685.3999999999996</v>
      </c>
      <c r="V45" s="1616">
        <v>7776.4</v>
      </c>
      <c r="W45" s="1616">
        <v>17386.8</v>
      </c>
      <c r="X45" s="1616">
        <v>6774.4</v>
      </c>
      <c r="Y45" s="1616">
        <v>4302.2</v>
      </c>
      <c r="Z45" s="1616">
        <v>6788</v>
      </c>
      <c r="AA45" s="1616">
        <v>7866.6</v>
      </c>
      <c r="AB45" s="1616">
        <v>14299.5</v>
      </c>
      <c r="AC45" s="1616">
        <v>7434.7</v>
      </c>
      <c r="AD45" s="1616">
        <v>5579.9</v>
      </c>
      <c r="AE45" s="1616">
        <v>3955.7</v>
      </c>
      <c r="AF45" s="1616">
        <v>6838.4</v>
      </c>
      <c r="AG45" s="1616">
        <v>6675.5</v>
      </c>
      <c r="AH45" s="1616">
        <v>129674.6</v>
      </c>
      <c r="AI45" s="1616">
        <v>129897.5</v>
      </c>
      <c r="AJ45" s="1616">
        <v>-1428.5</v>
      </c>
      <c r="AK45" s="1616">
        <v>128469</v>
      </c>
      <c r="AL45" s="1616">
        <v>2032.9</v>
      </c>
      <c r="AM45" s="1616">
        <v>35054.5</v>
      </c>
      <c r="AN45" s="1616">
        <v>92587.199999999997</v>
      </c>
    </row>
    <row r="46" spans="1:40">
      <c r="A46" s="133">
        <v>2002</v>
      </c>
      <c r="B46" s="133" t="s">
        <v>11952</v>
      </c>
      <c r="C46" s="133" t="s">
        <v>11985</v>
      </c>
      <c r="D46" s="1616">
        <v>1945</v>
      </c>
      <c r="E46" s="1616">
        <v>138.1</v>
      </c>
      <c r="F46" s="1616">
        <v>28033.599999999999</v>
      </c>
      <c r="G46" s="1616">
        <v>3500.9</v>
      </c>
      <c r="H46" s="1616">
        <v>577.9</v>
      </c>
      <c r="I46" s="1616">
        <v>719.5</v>
      </c>
      <c r="J46" s="1616">
        <v>2713.4</v>
      </c>
      <c r="K46" s="1616">
        <v>1469.8</v>
      </c>
      <c r="L46" s="1616">
        <v>933.8</v>
      </c>
      <c r="M46" s="1616">
        <v>1651.2</v>
      </c>
      <c r="N46" s="1616">
        <v>1510.3</v>
      </c>
      <c r="O46" s="1616">
        <v>3155.9</v>
      </c>
      <c r="P46" s="1616">
        <v>1495</v>
      </c>
      <c r="Q46" s="1616">
        <v>1762.2</v>
      </c>
      <c r="R46" s="1616">
        <v>1368.5</v>
      </c>
      <c r="S46" s="1616">
        <v>4055.9</v>
      </c>
      <c r="T46" s="1616">
        <v>3119</v>
      </c>
      <c r="U46" s="1616">
        <v>4169.2</v>
      </c>
      <c r="V46" s="1616">
        <v>8961.6</v>
      </c>
      <c r="W46" s="1616">
        <v>17800.599999999999</v>
      </c>
      <c r="X46" s="1616">
        <v>6801.9</v>
      </c>
      <c r="Y46" s="1616">
        <v>3999.7</v>
      </c>
      <c r="Z46" s="1616">
        <v>6226</v>
      </c>
      <c r="AA46" s="1616">
        <v>7917.3</v>
      </c>
      <c r="AB46" s="1616">
        <v>14314.7</v>
      </c>
      <c r="AC46" s="1616">
        <v>7431.7</v>
      </c>
      <c r="AD46" s="1616">
        <v>7775.9</v>
      </c>
      <c r="AE46" s="1616">
        <v>5742.5</v>
      </c>
      <c r="AF46" s="1616">
        <v>7415.7</v>
      </c>
      <c r="AG46" s="1616">
        <v>6604.7</v>
      </c>
      <c r="AH46" s="1616">
        <v>135278.29999999999</v>
      </c>
      <c r="AI46" s="1616">
        <v>135473</v>
      </c>
      <c r="AJ46" s="1616">
        <v>2177.4</v>
      </c>
      <c r="AK46" s="1616">
        <v>137650.4</v>
      </c>
      <c r="AL46" s="1616">
        <v>1945</v>
      </c>
      <c r="AM46" s="1616">
        <v>37133.300000000003</v>
      </c>
      <c r="AN46" s="1616">
        <v>96199.9</v>
      </c>
    </row>
    <row r="47" spans="1:40">
      <c r="A47" s="133">
        <v>2003</v>
      </c>
      <c r="B47" s="133" t="s">
        <v>11946</v>
      </c>
      <c r="C47" s="133" t="s">
        <v>11986</v>
      </c>
      <c r="D47" s="1616">
        <v>1469.6</v>
      </c>
      <c r="E47" s="1616">
        <v>130.9</v>
      </c>
      <c r="F47" s="1616">
        <v>26786.400000000001</v>
      </c>
      <c r="G47" s="1616">
        <v>3099.8</v>
      </c>
      <c r="H47" s="1616">
        <v>554.4</v>
      </c>
      <c r="I47" s="1616">
        <v>681.5</v>
      </c>
      <c r="J47" s="1616">
        <v>2653.2</v>
      </c>
      <c r="K47" s="1616">
        <v>1351.8</v>
      </c>
      <c r="L47" s="1616">
        <v>868.7</v>
      </c>
      <c r="M47" s="1616">
        <v>1603.7</v>
      </c>
      <c r="N47" s="1616">
        <v>1327.4</v>
      </c>
      <c r="O47" s="1616">
        <v>3055.8</v>
      </c>
      <c r="P47" s="1616">
        <v>1511.1</v>
      </c>
      <c r="Q47" s="1616">
        <v>1845.8</v>
      </c>
      <c r="R47" s="1616">
        <v>1635.2</v>
      </c>
      <c r="S47" s="1616">
        <v>3646.5</v>
      </c>
      <c r="T47" s="1616">
        <v>2951.5</v>
      </c>
      <c r="U47" s="1616">
        <v>4157.6000000000004</v>
      </c>
      <c r="V47" s="1616">
        <v>7844</v>
      </c>
      <c r="W47" s="1616">
        <v>17121.400000000001</v>
      </c>
      <c r="X47" s="1616">
        <v>6276.7</v>
      </c>
      <c r="Y47" s="1616">
        <v>3786.7</v>
      </c>
      <c r="Z47" s="1616">
        <v>7500.2</v>
      </c>
      <c r="AA47" s="1616">
        <v>8043.1</v>
      </c>
      <c r="AB47" s="1616">
        <v>14148.9</v>
      </c>
      <c r="AC47" s="1616">
        <v>7700.7</v>
      </c>
      <c r="AD47" s="1616">
        <v>5827.6</v>
      </c>
      <c r="AE47" s="1616">
        <v>4115.3</v>
      </c>
      <c r="AF47" s="1616">
        <v>6926</v>
      </c>
      <c r="AG47" s="1616">
        <v>7015.1</v>
      </c>
      <c r="AH47" s="1616">
        <v>128850.1</v>
      </c>
      <c r="AI47" s="1616">
        <v>129145.8</v>
      </c>
      <c r="AJ47" s="1616">
        <v>-1664.8</v>
      </c>
      <c r="AK47" s="1616">
        <v>127481.1</v>
      </c>
      <c r="AL47" s="1616">
        <v>1469.6</v>
      </c>
      <c r="AM47" s="1616">
        <v>34761.300000000003</v>
      </c>
      <c r="AN47" s="1616">
        <v>92619.199999999997</v>
      </c>
    </row>
    <row r="48" spans="1:40">
      <c r="A48" s="133">
        <v>2003</v>
      </c>
      <c r="B48" s="133" t="s">
        <v>11948</v>
      </c>
      <c r="C48" s="133" t="s">
        <v>11987</v>
      </c>
      <c r="D48" s="1616">
        <v>1547.1</v>
      </c>
      <c r="E48" s="1616">
        <v>118.2</v>
      </c>
      <c r="F48" s="1616">
        <v>27269.9</v>
      </c>
      <c r="G48" s="1616">
        <v>3628.3</v>
      </c>
      <c r="H48" s="1616">
        <v>575.29999999999995</v>
      </c>
      <c r="I48" s="1616">
        <v>688.5</v>
      </c>
      <c r="J48" s="1616">
        <v>2670.5</v>
      </c>
      <c r="K48" s="1616">
        <v>1276.4000000000001</v>
      </c>
      <c r="L48" s="1616">
        <v>844.3</v>
      </c>
      <c r="M48" s="1616">
        <v>1674.9</v>
      </c>
      <c r="N48" s="1616">
        <v>1352.2</v>
      </c>
      <c r="O48" s="1616">
        <v>3109.3</v>
      </c>
      <c r="P48" s="1616">
        <v>1685.3</v>
      </c>
      <c r="Q48" s="1616">
        <v>1705.3</v>
      </c>
      <c r="R48" s="1616">
        <v>1471.5</v>
      </c>
      <c r="S48" s="1616">
        <v>3683.7</v>
      </c>
      <c r="T48" s="1616">
        <v>2904.5</v>
      </c>
      <c r="U48" s="1616">
        <v>4017</v>
      </c>
      <c r="V48" s="1616">
        <v>6688.1</v>
      </c>
      <c r="W48" s="1616">
        <v>17017.7</v>
      </c>
      <c r="X48" s="1616">
        <v>6210.1</v>
      </c>
      <c r="Y48" s="1616">
        <v>3675.1</v>
      </c>
      <c r="Z48" s="1616">
        <v>6073</v>
      </c>
      <c r="AA48" s="1616">
        <v>8070.5</v>
      </c>
      <c r="AB48" s="1616">
        <v>14219.1</v>
      </c>
      <c r="AC48" s="1616">
        <v>7359.4</v>
      </c>
      <c r="AD48" s="1616">
        <v>7847.2</v>
      </c>
      <c r="AE48" s="1616">
        <v>5604.2</v>
      </c>
      <c r="AF48" s="1616">
        <v>7426.4</v>
      </c>
      <c r="AG48" s="1616">
        <v>6624.1</v>
      </c>
      <c r="AH48" s="1616">
        <v>129767</v>
      </c>
      <c r="AI48" s="1616">
        <v>130006.2</v>
      </c>
      <c r="AJ48" s="1616">
        <v>105.4</v>
      </c>
      <c r="AK48" s="1616">
        <v>130111.6</v>
      </c>
      <c r="AL48" s="1616">
        <v>1547.1</v>
      </c>
      <c r="AM48" s="1616">
        <v>34076.199999999997</v>
      </c>
      <c r="AN48" s="1616">
        <v>94143.8</v>
      </c>
    </row>
    <row r="49" spans="1:40">
      <c r="A49" s="133">
        <v>2003</v>
      </c>
      <c r="B49" s="133" t="s">
        <v>11950</v>
      </c>
      <c r="C49" s="133" t="s">
        <v>11988</v>
      </c>
      <c r="D49" s="1616">
        <v>1754.9</v>
      </c>
      <c r="E49" s="1616">
        <v>116.1</v>
      </c>
      <c r="F49" s="1616">
        <v>27192</v>
      </c>
      <c r="G49" s="1616">
        <v>3406.3</v>
      </c>
      <c r="H49" s="1616">
        <v>530.9</v>
      </c>
      <c r="I49" s="1616">
        <v>684.8</v>
      </c>
      <c r="J49" s="1616">
        <v>2665.9</v>
      </c>
      <c r="K49" s="1616">
        <v>1262.0999999999999</v>
      </c>
      <c r="L49" s="1616">
        <v>836.3</v>
      </c>
      <c r="M49" s="1616">
        <v>1625.1</v>
      </c>
      <c r="N49" s="1616">
        <v>1315.1</v>
      </c>
      <c r="O49" s="1616">
        <v>3372.1</v>
      </c>
      <c r="P49" s="1616">
        <v>1768.6</v>
      </c>
      <c r="Q49" s="1616">
        <v>1709.7</v>
      </c>
      <c r="R49" s="1616">
        <v>1440.6</v>
      </c>
      <c r="S49" s="1616">
        <v>3614.4</v>
      </c>
      <c r="T49" s="1616">
        <v>2960.2</v>
      </c>
      <c r="U49" s="1616">
        <v>4410.6000000000004</v>
      </c>
      <c r="V49" s="1616">
        <v>7566.4</v>
      </c>
      <c r="W49" s="1616">
        <v>17100.400000000001</v>
      </c>
      <c r="X49" s="1616">
        <v>6903.5</v>
      </c>
      <c r="Y49" s="1616">
        <v>4166.8999999999996</v>
      </c>
      <c r="Z49" s="1616">
        <v>6791.7</v>
      </c>
      <c r="AA49" s="1616">
        <v>8188.7</v>
      </c>
      <c r="AB49" s="1616">
        <v>14299.5</v>
      </c>
      <c r="AC49" s="1616">
        <v>7517.9</v>
      </c>
      <c r="AD49" s="1616">
        <v>5606.9</v>
      </c>
      <c r="AE49" s="1616">
        <v>3919.2</v>
      </c>
      <c r="AF49" s="1616">
        <v>7030.1</v>
      </c>
      <c r="AG49" s="1616">
        <v>6662</v>
      </c>
      <c r="AH49" s="1616">
        <v>129226.8</v>
      </c>
      <c r="AI49" s="1616">
        <v>129455</v>
      </c>
      <c r="AJ49" s="1616">
        <v>-997.5</v>
      </c>
      <c r="AK49" s="1616">
        <v>128457.5</v>
      </c>
      <c r="AL49" s="1616">
        <v>1754.9</v>
      </c>
      <c r="AM49" s="1616">
        <v>34874.5</v>
      </c>
      <c r="AN49" s="1616">
        <v>92597.4</v>
      </c>
    </row>
    <row r="50" spans="1:40">
      <c r="A50" s="133">
        <v>2003</v>
      </c>
      <c r="B50" s="133" t="s">
        <v>11952</v>
      </c>
      <c r="C50" s="133" t="s">
        <v>11989</v>
      </c>
      <c r="D50" s="1616">
        <v>2034.9</v>
      </c>
      <c r="E50" s="1616">
        <v>127.6</v>
      </c>
      <c r="F50" s="1616">
        <v>28350.9</v>
      </c>
      <c r="G50" s="1616">
        <v>3603.4</v>
      </c>
      <c r="H50" s="1616">
        <v>526.4</v>
      </c>
      <c r="I50" s="1616">
        <v>725.3</v>
      </c>
      <c r="J50" s="1616">
        <v>2792.6</v>
      </c>
      <c r="K50" s="1616">
        <v>1347.9</v>
      </c>
      <c r="L50" s="1616">
        <v>927.9</v>
      </c>
      <c r="M50" s="1616">
        <v>1737.2</v>
      </c>
      <c r="N50" s="1616">
        <v>1467.6</v>
      </c>
      <c r="O50" s="1616">
        <v>3299.2</v>
      </c>
      <c r="P50" s="1616">
        <v>1844.5</v>
      </c>
      <c r="Q50" s="1616">
        <v>1794.9</v>
      </c>
      <c r="R50" s="1616">
        <v>1497.8</v>
      </c>
      <c r="S50" s="1616">
        <v>3692.3</v>
      </c>
      <c r="T50" s="1616">
        <v>3093.9</v>
      </c>
      <c r="U50" s="1616">
        <v>4178.1000000000004</v>
      </c>
      <c r="V50" s="1616">
        <v>8650.4</v>
      </c>
      <c r="W50" s="1616">
        <v>18071.5</v>
      </c>
      <c r="X50" s="1616">
        <v>7082.9</v>
      </c>
      <c r="Y50" s="1616">
        <v>4026.2</v>
      </c>
      <c r="Z50" s="1616">
        <v>6406.5</v>
      </c>
      <c r="AA50" s="1616">
        <v>8121.1</v>
      </c>
      <c r="AB50" s="1616">
        <v>14402.5</v>
      </c>
      <c r="AC50" s="1616">
        <v>7711.7</v>
      </c>
      <c r="AD50" s="1616">
        <v>7674.8</v>
      </c>
      <c r="AE50" s="1616">
        <v>5605.1</v>
      </c>
      <c r="AF50" s="1616">
        <v>7656.3</v>
      </c>
      <c r="AG50" s="1616">
        <v>6513.2</v>
      </c>
      <c r="AH50" s="1616">
        <v>136613.6</v>
      </c>
      <c r="AI50" s="1616">
        <v>136783</v>
      </c>
      <c r="AJ50" s="1616">
        <v>1135.5</v>
      </c>
      <c r="AK50" s="1616">
        <v>137918.5</v>
      </c>
      <c r="AL50" s="1616">
        <v>2034.9</v>
      </c>
      <c r="AM50" s="1616">
        <v>37128.800000000003</v>
      </c>
      <c r="AN50" s="1616">
        <v>97449.8</v>
      </c>
    </row>
    <row r="51" spans="1:40">
      <c r="A51" s="133">
        <v>2004</v>
      </c>
      <c r="B51" s="133" t="s">
        <v>11946</v>
      </c>
      <c r="C51" s="133" t="s">
        <v>11990</v>
      </c>
      <c r="D51" s="1616">
        <v>1496.3</v>
      </c>
      <c r="E51" s="1616">
        <v>109.7</v>
      </c>
      <c r="F51" s="1616">
        <v>27737.1</v>
      </c>
      <c r="G51" s="1616">
        <v>3086.4</v>
      </c>
      <c r="H51" s="1616">
        <v>525.5</v>
      </c>
      <c r="I51" s="1616">
        <v>698.1</v>
      </c>
      <c r="J51" s="1616">
        <v>2659.8</v>
      </c>
      <c r="K51" s="1616">
        <v>1311.1</v>
      </c>
      <c r="L51" s="1616">
        <v>903.3</v>
      </c>
      <c r="M51" s="1616">
        <v>1765.9</v>
      </c>
      <c r="N51" s="1616">
        <v>1090.5</v>
      </c>
      <c r="O51" s="1616">
        <v>3439.3</v>
      </c>
      <c r="P51" s="1616">
        <v>1838.6</v>
      </c>
      <c r="Q51" s="1616">
        <v>1807.2</v>
      </c>
      <c r="R51" s="1616">
        <v>1607.9</v>
      </c>
      <c r="S51" s="1616">
        <v>3925.6</v>
      </c>
      <c r="T51" s="1616">
        <v>3077.9</v>
      </c>
      <c r="U51" s="1616">
        <v>4324.6000000000004</v>
      </c>
      <c r="V51" s="1616">
        <v>7612</v>
      </c>
      <c r="W51" s="1616">
        <v>18310.3</v>
      </c>
      <c r="X51" s="1616">
        <v>6551.3</v>
      </c>
      <c r="Y51" s="1616">
        <v>3655.4</v>
      </c>
      <c r="Z51" s="1616">
        <v>7398.8</v>
      </c>
      <c r="AA51" s="1616">
        <v>8079.2</v>
      </c>
      <c r="AB51" s="1616">
        <v>14284.3</v>
      </c>
      <c r="AC51" s="1616">
        <v>7801.5</v>
      </c>
      <c r="AD51" s="1616">
        <v>5696.6</v>
      </c>
      <c r="AE51" s="1616">
        <v>3971.6</v>
      </c>
      <c r="AF51" s="1616">
        <v>7069.4</v>
      </c>
      <c r="AG51" s="1616">
        <v>6584.8</v>
      </c>
      <c r="AH51" s="1616">
        <v>130682.9</v>
      </c>
      <c r="AI51" s="1616">
        <v>130877.9</v>
      </c>
      <c r="AJ51" s="1616">
        <v>-1145.5999999999999</v>
      </c>
      <c r="AK51" s="1616">
        <v>129732.3</v>
      </c>
      <c r="AL51" s="1616">
        <v>1496.3</v>
      </c>
      <c r="AM51" s="1616">
        <v>35458.800000000003</v>
      </c>
      <c r="AN51" s="1616">
        <v>93727.8</v>
      </c>
    </row>
    <row r="52" spans="1:40">
      <c r="A52" s="133">
        <v>2004</v>
      </c>
      <c r="B52" s="133" t="s">
        <v>11948</v>
      </c>
      <c r="C52" s="133" t="s">
        <v>11991</v>
      </c>
      <c r="D52" s="1616">
        <v>1477.6</v>
      </c>
      <c r="E52" s="1616">
        <v>98</v>
      </c>
      <c r="F52" s="1616">
        <v>27522.3</v>
      </c>
      <c r="G52" s="1616">
        <v>3585.6</v>
      </c>
      <c r="H52" s="1616">
        <v>532.4</v>
      </c>
      <c r="I52" s="1616">
        <v>698.4</v>
      </c>
      <c r="J52" s="1616">
        <v>2516.9</v>
      </c>
      <c r="K52" s="1616">
        <v>1207.4000000000001</v>
      </c>
      <c r="L52" s="1616">
        <v>849.4</v>
      </c>
      <c r="M52" s="1616">
        <v>1784.5</v>
      </c>
      <c r="N52" s="1616">
        <v>1315.6</v>
      </c>
      <c r="O52" s="1616">
        <v>3313.6</v>
      </c>
      <c r="P52" s="1616">
        <v>1963</v>
      </c>
      <c r="Q52" s="1616">
        <v>1759.4</v>
      </c>
      <c r="R52" s="1616">
        <v>1417.3</v>
      </c>
      <c r="S52" s="1616">
        <v>3616.1</v>
      </c>
      <c r="T52" s="1616">
        <v>2962.9</v>
      </c>
      <c r="U52" s="1616">
        <v>3968.3</v>
      </c>
      <c r="V52" s="1616">
        <v>6460.3</v>
      </c>
      <c r="W52" s="1616">
        <v>17888.7</v>
      </c>
      <c r="X52" s="1616">
        <v>6648.4</v>
      </c>
      <c r="Y52" s="1616">
        <v>3678.3</v>
      </c>
      <c r="Z52" s="1616">
        <v>6091.7</v>
      </c>
      <c r="AA52" s="1616">
        <v>8107.4</v>
      </c>
      <c r="AB52" s="1616">
        <v>14424.1</v>
      </c>
      <c r="AC52" s="1616">
        <v>7555.8</v>
      </c>
      <c r="AD52" s="1616">
        <v>7673.7</v>
      </c>
      <c r="AE52" s="1616">
        <v>5508.3</v>
      </c>
      <c r="AF52" s="1616">
        <v>7555.7</v>
      </c>
      <c r="AG52" s="1616">
        <v>6523.5</v>
      </c>
      <c r="AH52" s="1616">
        <v>131182</v>
      </c>
      <c r="AI52" s="1616">
        <v>131407.1</v>
      </c>
      <c r="AJ52" s="1616">
        <v>-551.9</v>
      </c>
      <c r="AK52" s="1616">
        <v>130855.3</v>
      </c>
      <c r="AL52" s="1616">
        <v>1477.6</v>
      </c>
      <c r="AM52" s="1616">
        <v>34080.6</v>
      </c>
      <c r="AN52" s="1616">
        <v>95623.8</v>
      </c>
    </row>
    <row r="53" spans="1:40">
      <c r="A53" s="133">
        <v>2004</v>
      </c>
      <c r="B53" s="133" t="s">
        <v>11950</v>
      </c>
      <c r="C53" s="133" t="s">
        <v>11992</v>
      </c>
      <c r="D53" s="1616">
        <v>1658.5</v>
      </c>
      <c r="E53" s="1616">
        <v>97.8</v>
      </c>
      <c r="F53" s="1616">
        <v>27902.7</v>
      </c>
      <c r="G53" s="1616">
        <v>3444</v>
      </c>
      <c r="H53" s="1616">
        <v>477.9</v>
      </c>
      <c r="I53" s="1616">
        <v>699.5</v>
      </c>
      <c r="J53" s="1616">
        <v>2637.8</v>
      </c>
      <c r="K53" s="1616">
        <v>1347.4</v>
      </c>
      <c r="L53" s="1616">
        <v>846.9</v>
      </c>
      <c r="M53" s="1616">
        <v>1819.1</v>
      </c>
      <c r="N53" s="1616">
        <v>1341.3</v>
      </c>
      <c r="O53" s="1616">
        <v>3529.6</v>
      </c>
      <c r="P53" s="1616">
        <v>1864.1</v>
      </c>
      <c r="Q53" s="1616">
        <v>1765.4</v>
      </c>
      <c r="R53" s="1616">
        <v>1402.6</v>
      </c>
      <c r="S53" s="1616">
        <v>3733.7</v>
      </c>
      <c r="T53" s="1616">
        <v>2993.4</v>
      </c>
      <c r="U53" s="1616">
        <v>4380.6000000000004</v>
      </c>
      <c r="V53" s="1616">
        <v>7282</v>
      </c>
      <c r="W53" s="1616">
        <v>18062.2</v>
      </c>
      <c r="X53" s="1616">
        <v>7055.4</v>
      </c>
      <c r="Y53" s="1616">
        <v>4003.2</v>
      </c>
      <c r="Z53" s="1616">
        <v>6641.1</v>
      </c>
      <c r="AA53" s="1616">
        <v>7942.7</v>
      </c>
      <c r="AB53" s="1616">
        <v>14464</v>
      </c>
      <c r="AC53" s="1616">
        <v>7816.4</v>
      </c>
      <c r="AD53" s="1616">
        <v>5544.5</v>
      </c>
      <c r="AE53" s="1616">
        <v>3875.4</v>
      </c>
      <c r="AF53" s="1616">
        <v>7160.5</v>
      </c>
      <c r="AG53" s="1616">
        <v>6867.7</v>
      </c>
      <c r="AH53" s="1616">
        <v>130754.7</v>
      </c>
      <c r="AI53" s="1616">
        <v>131002.2</v>
      </c>
      <c r="AJ53" s="1616">
        <v>-1010.5</v>
      </c>
      <c r="AK53" s="1616">
        <v>129991.7</v>
      </c>
      <c r="AL53" s="1616">
        <v>1658.5</v>
      </c>
      <c r="AM53" s="1616">
        <v>35282.6</v>
      </c>
      <c r="AN53" s="1616">
        <v>93813.6</v>
      </c>
    </row>
    <row r="54" spans="1:40">
      <c r="A54" s="133">
        <v>2004</v>
      </c>
      <c r="B54" s="133" t="s">
        <v>11952</v>
      </c>
      <c r="C54" s="133" t="s">
        <v>11993</v>
      </c>
      <c r="D54" s="1616">
        <v>1884.3</v>
      </c>
      <c r="E54" s="1616">
        <v>106.2</v>
      </c>
      <c r="F54" s="1616">
        <v>28650.5</v>
      </c>
      <c r="G54" s="1616">
        <v>3457.3</v>
      </c>
      <c r="H54" s="1616">
        <v>487.7</v>
      </c>
      <c r="I54" s="1616">
        <v>710</v>
      </c>
      <c r="J54" s="1616">
        <v>2774</v>
      </c>
      <c r="K54" s="1616">
        <v>1457.7</v>
      </c>
      <c r="L54" s="1616">
        <v>915.5</v>
      </c>
      <c r="M54" s="1616">
        <v>2039.7</v>
      </c>
      <c r="N54" s="1616">
        <v>1466.2</v>
      </c>
      <c r="O54" s="1616">
        <v>3632.1</v>
      </c>
      <c r="P54" s="1616">
        <v>1705</v>
      </c>
      <c r="Q54" s="1616">
        <v>1790.5</v>
      </c>
      <c r="R54" s="1616">
        <v>1348.8</v>
      </c>
      <c r="S54" s="1616">
        <v>3750.6</v>
      </c>
      <c r="T54" s="1616">
        <v>3115.3</v>
      </c>
      <c r="U54" s="1616">
        <v>3939.3</v>
      </c>
      <c r="V54" s="1616">
        <v>8454</v>
      </c>
      <c r="W54" s="1616">
        <v>19038.8</v>
      </c>
      <c r="X54" s="1616">
        <v>7030.3</v>
      </c>
      <c r="Y54" s="1616">
        <v>3721.9</v>
      </c>
      <c r="Z54" s="1616">
        <v>6351.4</v>
      </c>
      <c r="AA54" s="1616">
        <v>7969.1</v>
      </c>
      <c r="AB54" s="1616">
        <v>14521.5</v>
      </c>
      <c r="AC54" s="1616">
        <v>7932.1</v>
      </c>
      <c r="AD54" s="1616">
        <v>7882.1</v>
      </c>
      <c r="AE54" s="1616">
        <v>5739.9</v>
      </c>
      <c r="AF54" s="1616">
        <v>7830.4</v>
      </c>
      <c r="AG54" s="1616">
        <v>6722.5</v>
      </c>
      <c r="AH54" s="1616">
        <v>137774.29999999999</v>
      </c>
      <c r="AI54" s="1616">
        <v>137994.20000000001</v>
      </c>
      <c r="AJ54" s="1616">
        <v>827.4</v>
      </c>
      <c r="AK54" s="1616">
        <v>138821.6</v>
      </c>
      <c r="AL54" s="1616">
        <v>1884.3</v>
      </c>
      <c r="AM54" s="1616">
        <v>37210.6</v>
      </c>
      <c r="AN54" s="1616">
        <v>98679.4</v>
      </c>
    </row>
    <row r="55" spans="1:40">
      <c r="A55" s="133">
        <v>2005</v>
      </c>
      <c r="B55" s="133" t="s">
        <v>11946</v>
      </c>
      <c r="C55" s="133" t="s">
        <v>11994</v>
      </c>
      <c r="D55" s="1616">
        <v>1461.6</v>
      </c>
      <c r="E55" s="1616">
        <v>106.5</v>
      </c>
      <c r="F55" s="1616">
        <v>28064.2</v>
      </c>
      <c r="G55" s="1616">
        <v>3007.1</v>
      </c>
      <c r="H55" s="1616">
        <v>478.3</v>
      </c>
      <c r="I55" s="1616">
        <v>716.5</v>
      </c>
      <c r="J55" s="1616">
        <v>2686.8</v>
      </c>
      <c r="K55" s="1616">
        <v>1374.9</v>
      </c>
      <c r="L55" s="1616">
        <v>882.9</v>
      </c>
      <c r="M55" s="1616">
        <v>2066.9</v>
      </c>
      <c r="N55" s="1616">
        <v>1181.9000000000001</v>
      </c>
      <c r="O55" s="1616">
        <v>3550.8</v>
      </c>
      <c r="P55" s="1616">
        <v>1626.2</v>
      </c>
      <c r="Q55" s="1616">
        <v>1801.9</v>
      </c>
      <c r="R55" s="1616">
        <v>1492.5</v>
      </c>
      <c r="S55" s="1616">
        <v>4143</v>
      </c>
      <c r="T55" s="1616">
        <v>3054.4</v>
      </c>
      <c r="U55" s="1616">
        <v>4254.2</v>
      </c>
      <c r="V55" s="1616">
        <v>7176.3</v>
      </c>
      <c r="W55" s="1616">
        <v>18708</v>
      </c>
      <c r="X55" s="1616">
        <v>6490.4</v>
      </c>
      <c r="Y55" s="1616">
        <v>3460.7</v>
      </c>
      <c r="Z55" s="1616">
        <v>7522.7</v>
      </c>
      <c r="AA55" s="1616">
        <v>7964.7</v>
      </c>
      <c r="AB55" s="1616">
        <v>14537.7</v>
      </c>
      <c r="AC55" s="1616">
        <v>8268.9</v>
      </c>
      <c r="AD55" s="1616">
        <v>5652.3</v>
      </c>
      <c r="AE55" s="1616">
        <v>3940.3</v>
      </c>
      <c r="AF55" s="1616">
        <v>7296.2</v>
      </c>
      <c r="AG55" s="1616">
        <v>6650</v>
      </c>
      <c r="AH55" s="1616">
        <v>131554.6</v>
      </c>
      <c r="AI55" s="1616">
        <v>131825.60000000001</v>
      </c>
      <c r="AJ55" s="1616">
        <v>-1856.3</v>
      </c>
      <c r="AK55" s="1616">
        <v>129969.3</v>
      </c>
      <c r="AL55" s="1616">
        <v>1461.6</v>
      </c>
      <c r="AM55" s="1616">
        <v>35346.9</v>
      </c>
      <c r="AN55" s="1616">
        <v>94746.1</v>
      </c>
    </row>
    <row r="56" spans="1:40">
      <c r="A56" s="133">
        <v>2005</v>
      </c>
      <c r="B56" s="133" t="s">
        <v>11948</v>
      </c>
      <c r="C56" s="133" t="s">
        <v>11995</v>
      </c>
      <c r="D56" s="1616">
        <v>1540</v>
      </c>
      <c r="E56" s="1616">
        <v>98.8</v>
      </c>
      <c r="F56" s="1616">
        <v>28322.6</v>
      </c>
      <c r="G56" s="1616">
        <v>3339.5</v>
      </c>
      <c r="H56" s="1616">
        <v>481.8</v>
      </c>
      <c r="I56" s="1616">
        <v>718</v>
      </c>
      <c r="J56" s="1616">
        <v>2551.1</v>
      </c>
      <c r="K56" s="1616">
        <v>1244.8</v>
      </c>
      <c r="L56" s="1616">
        <v>862.7</v>
      </c>
      <c r="M56" s="1616">
        <v>2192.8000000000002</v>
      </c>
      <c r="N56" s="1616">
        <v>1438.7</v>
      </c>
      <c r="O56" s="1616">
        <v>3593.5</v>
      </c>
      <c r="P56" s="1616">
        <v>1699.8</v>
      </c>
      <c r="Q56" s="1616">
        <v>1765.2</v>
      </c>
      <c r="R56" s="1616">
        <v>1416.4</v>
      </c>
      <c r="S56" s="1616">
        <v>3941.8</v>
      </c>
      <c r="T56" s="1616">
        <v>3076.5</v>
      </c>
      <c r="U56" s="1616">
        <v>3778.8</v>
      </c>
      <c r="V56" s="1616">
        <v>6235.1</v>
      </c>
      <c r="W56" s="1616">
        <v>18268.5</v>
      </c>
      <c r="X56" s="1616">
        <v>6631.3</v>
      </c>
      <c r="Y56" s="1616">
        <v>3462</v>
      </c>
      <c r="Z56" s="1616">
        <v>6143.5</v>
      </c>
      <c r="AA56" s="1616">
        <v>7918.5</v>
      </c>
      <c r="AB56" s="1616">
        <v>14659.4</v>
      </c>
      <c r="AC56" s="1616">
        <v>7955.1</v>
      </c>
      <c r="AD56" s="1616">
        <v>7613.4</v>
      </c>
      <c r="AE56" s="1616">
        <v>5515.4</v>
      </c>
      <c r="AF56" s="1616">
        <v>7778.4</v>
      </c>
      <c r="AG56" s="1616">
        <v>6334.6</v>
      </c>
      <c r="AH56" s="1616">
        <v>132255.4</v>
      </c>
      <c r="AI56" s="1616">
        <v>132602</v>
      </c>
      <c r="AJ56" s="1616">
        <v>-969.2</v>
      </c>
      <c r="AK56" s="1616">
        <v>131632.9</v>
      </c>
      <c r="AL56" s="1616">
        <v>1540</v>
      </c>
      <c r="AM56" s="1616">
        <v>34656.5</v>
      </c>
      <c r="AN56" s="1616">
        <v>96058.9</v>
      </c>
    </row>
    <row r="57" spans="1:40">
      <c r="A57" s="133">
        <v>2005</v>
      </c>
      <c r="B57" s="133" t="s">
        <v>11950</v>
      </c>
      <c r="C57" s="133" t="s">
        <v>11996</v>
      </c>
      <c r="D57" s="1616">
        <v>1460.4</v>
      </c>
      <c r="E57" s="1616">
        <v>97.2</v>
      </c>
      <c r="F57" s="1616">
        <v>28469</v>
      </c>
      <c r="G57" s="1616">
        <v>3309.9</v>
      </c>
      <c r="H57" s="1616">
        <v>424.7</v>
      </c>
      <c r="I57" s="1616">
        <v>697.8</v>
      </c>
      <c r="J57" s="1616">
        <v>2578.1</v>
      </c>
      <c r="K57" s="1616">
        <v>1234.5999999999999</v>
      </c>
      <c r="L57" s="1616">
        <v>837.5</v>
      </c>
      <c r="M57" s="1616">
        <v>2106.6999999999998</v>
      </c>
      <c r="N57" s="1616">
        <v>1435</v>
      </c>
      <c r="O57" s="1616">
        <v>3780.2</v>
      </c>
      <c r="P57" s="1616">
        <v>1847.5</v>
      </c>
      <c r="Q57" s="1616">
        <v>1837.6</v>
      </c>
      <c r="R57" s="1616">
        <v>1393.9</v>
      </c>
      <c r="S57" s="1616">
        <v>3974.3</v>
      </c>
      <c r="T57" s="1616">
        <v>3011.1</v>
      </c>
      <c r="U57" s="1616">
        <v>4015</v>
      </c>
      <c r="V57" s="1616">
        <v>7119.8</v>
      </c>
      <c r="W57" s="1616">
        <v>18583.400000000001</v>
      </c>
      <c r="X57" s="1616">
        <v>6978.3</v>
      </c>
      <c r="Y57" s="1616">
        <v>3804.6</v>
      </c>
      <c r="Z57" s="1616">
        <v>6756.5</v>
      </c>
      <c r="AA57" s="1616">
        <v>8089.5</v>
      </c>
      <c r="AB57" s="1616">
        <v>14744.4</v>
      </c>
      <c r="AC57" s="1616">
        <v>8229.9</v>
      </c>
      <c r="AD57" s="1616">
        <v>5526.3</v>
      </c>
      <c r="AE57" s="1616">
        <v>3892.6</v>
      </c>
      <c r="AF57" s="1616">
        <v>7370.9</v>
      </c>
      <c r="AG57" s="1616">
        <v>6722.2</v>
      </c>
      <c r="AH57" s="1616">
        <v>131860.1</v>
      </c>
      <c r="AI57" s="1616">
        <v>132311.4</v>
      </c>
      <c r="AJ57" s="1616">
        <v>-1416.5</v>
      </c>
      <c r="AK57" s="1616">
        <v>130894.8</v>
      </c>
      <c r="AL57" s="1616">
        <v>1460.4</v>
      </c>
      <c r="AM57" s="1616">
        <v>35686</v>
      </c>
      <c r="AN57" s="1616">
        <v>94713.600000000006</v>
      </c>
    </row>
    <row r="58" spans="1:40">
      <c r="A58" s="133">
        <v>2005</v>
      </c>
      <c r="B58" s="133" t="s">
        <v>11952</v>
      </c>
      <c r="C58" s="133" t="s">
        <v>11997</v>
      </c>
      <c r="D58" s="1616">
        <v>1457.5</v>
      </c>
      <c r="E58" s="1616">
        <v>108.1</v>
      </c>
      <c r="F58" s="1616">
        <v>29227.1</v>
      </c>
      <c r="G58" s="1616">
        <v>3249.7</v>
      </c>
      <c r="H58" s="1616">
        <v>437.2</v>
      </c>
      <c r="I58" s="1616">
        <v>703.8</v>
      </c>
      <c r="J58" s="1616">
        <v>2597.8000000000002</v>
      </c>
      <c r="K58" s="1616">
        <v>1286.4000000000001</v>
      </c>
      <c r="L58" s="1616">
        <v>906.8</v>
      </c>
      <c r="M58" s="1616">
        <v>2146</v>
      </c>
      <c r="N58" s="1616">
        <v>1592.6</v>
      </c>
      <c r="O58" s="1616">
        <v>3740.6</v>
      </c>
      <c r="P58" s="1616">
        <v>1865.5</v>
      </c>
      <c r="Q58" s="1616">
        <v>1895.3</v>
      </c>
      <c r="R58" s="1616">
        <v>1448</v>
      </c>
      <c r="S58" s="1616">
        <v>4267.6000000000004</v>
      </c>
      <c r="T58" s="1616">
        <v>3089.7</v>
      </c>
      <c r="U58" s="1616">
        <v>3752.7</v>
      </c>
      <c r="V58" s="1616">
        <v>8246.2000000000007</v>
      </c>
      <c r="W58" s="1616">
        <v>19621.2</v>
      </c>
      <c r="X58" s="1616">
        <v>7015.9</v>
      </c>
      <c r="Y58" s="1616">
        <v>3662.9</v>
      </c>
      <c r="Z58" s="1616">
        <v>6410.1</v>
      </c>
      <c r="AA58" s="1616">
        <v>8385.2000000000007</v>
      </c>
      <c r="AB58" s="1616">
        <v>14841.4</v>
      </c>
      <c r="AC58" s="1616">
        <v>8444.2000000000007</v>
      </c>
      <c r="AD58" s="1616">
        <v>7791.9</v>
      </c>
      <c r="AE58" s="1616">
        <v>5738.1</v>
      </c>
      <c r="AF58" s="1616">
        <v>8036.6</v>
      </c>
      <c r="AG58" s="1616">
        <v>6541.6</v>
      </c>
      <c r="AH58" s="1616">
        <v>139280.70000000001</v>
      </c>
      <c r="AI58" s="1616">
        <v>139773.4</v>
      </c>
      <c r="AJ58" s="1616">
        <v>245.2</v>
      </c>
      <c r="AK58" s="1616">
        <v>140018.6</v>
      </c>
      <c r="AL58" s="1616">
        <v>1457.5</v>
      </c>
      <c r="AM58" s="1616">
        <v>37581.4</v>
      </c>
      <c r="AN58" s="1616">
        <v>100241.8</v>
      </c>
    </row>
    <row r="59" spans="1:40">
      <c r="A59" s="133">
        <v>2006</v>
      </c>
      <c r="B59" s="133" t="s">
        <v>11946</v>
      </c>
      <c r="C59" s="133" t="s">
        <v>11998</v>
      </c>
      <c r="D59" s="1616">
        <v>1274.5999999999999</v>
      </c>
      <c r="E59" s="1616">
        <v>105.3</v>
      </c>
      <c r="F59" s="1616">
        <v>28259.9</v>
      </c>
      <c r="G59" s="1616">
        <v>2952</v>
      </c>
      <c r="H59" s="1616">
        <v>449.6</v>
      </c>
      <c r="I59" s="1616">
        <v>630.70000000000005</v>
      </c>
      <c r="J59" s="1616">
        <v>2559.9</v>
      </c>
      <c r="K59" s="1616">
        <v>1398.8</v>
      </c>
      <c r="L59" s="1616">
        <v>850.3</v>
      </c>
      <c r="M59" s="1616">
        <v>2078.1999999999998</v>
      </c>
      <c r="N59" s="1616">
        <v>1166.4000000000001</v>
      </c>
      <c r="O59" s="1616">
        <v>3936.3</v>
      </c>
      <c r="P59" s="1616">
        <v>1770.1</v>
      </c>
      <c r="Q59" s="1616">
        <v>1935.7</v>
      </c>
      <c r="R59" s="1616">
        <v>1507.8</v>
      </c>
      <c r="S59" s="1616">
        <v>4196.7</v>
      </c>
      <c r="T59" s="1616">
        <v>2827.3</v>
      </c>
      <c r="U59" s="1616">
        <v>3873</v>
      </c>
      <c r="V59" s="1616">
        <v>7377.1</v>
      </c>
      <c r="W59" s="1616">
        <v>18484.2</v>
      </c>
      <c r="X59" s="1616">
        <v>6726.4</v>
      </c>
      <c r="Y59" s="1616">
        <v>3471.2</v>
      </c>
      <c r="Z59" s="1616">
        <v>7514.1</v>
      </c>
      <c r="AA59" s="1616">
        <v>8098</v>
      </c>
      <c r="AB59" s="1616">
        <v>14860.3</v>
      </c>
      <c r="AC59" s="1616">
        <v>8793.6</v>
      </c>
      <c r="AD59" s="1616">
        <v>5644.4</v>
      </c>
      <c r="AE59" s="1616">
        <v>3984.9</v>
      </c>
      <c r="AF59" s="1616">
        <v>7330.4</v>
      </c>
      <c r="AG59" s="1616">
        <v>6619.8</v>
      </c>
      <c r="AH59" s="1616">
        <v>132417.20000000001</v>
      </c>
      <c r="AI59" s="1616">
        <v>132977.29999999999</v>
      </c>
      <c r="AJ59" s="1616">
        <v>-1417.4</v>
      </c>
      <c r="AK59" s="1616">
        <v>131559.9</v>
      </c>
      <c r="AL59" s="1616">
        <v>1274.5999999999999</v>
      </c>
      <c r="AM59" s="1616">
        <v>35742.300000000003</v>
      </c>
      <c r="AN59" s="1616">
        <v>95400.3</v>
      </c>
    </row>
    <row r="60" spans="1:40">
      <c r="A60" s="133">
        <v>2006</v>
      </c>
      <c r="B60" s="133" t="s">
        <v>11948</v>
      </c>
      <c r="C60" s="133" t="s">
        <v>11999</v>
      </c>
      <c r="D60" s="1616">
        <v>1399.3</v>
      </c>
      <c r="E60" s="1616">
        <v>94.5</v>
      </c>
      <c r="F60" s="1616">
        <v>28147.7</v>
      </c>
      <c r="G60" s="1616">
        <v>3292.2</v>
      </c>
      <c r="H60" s="1616">
        <v>469</v>
      </c>
      <c r="I60" s="1616">
        <v>635.79999999999995</v>
      </c>
      <c r="J60" s="1616">
        <v>2468.6</v>
      </c>
      <c r="K60" s="1616">
        <v>1245.5999999999999</v>
      </c>
      <c r="L60" s="1616">
        <v>873</v>
      </c>
      <c r="M60" s="1616">
        <v>2225.4</v>
      </c>
      <c r="N60" s="1616">
        <v>1377.4</v>
      </c>
      <c r="O60" s="1616">
        <v>3799.6</v>
      </c>
      <c r="P60" s="1616">
        <v>1761.6</v>
      </c>
      <c r="Q60" s="1616">
        <v>1831.5</v>
      </c>
      <c r="R60" s="1616">
        <v>1454</v>
      </c>
      <c r="S60" s="1616">
        <v>3832.2</v>
      </c>
      <c r="T60" s="1616">
        <v>2882.1</v>
      </c>
      <c r="U60" s="1616">
        <v>3610.9</v>
      </c>
      <c r="V60" s="1616">
        <v>6335.5</v>
      </c>
      <c r="W60" s="1616">
        <v>17592.7</v>
      </c>
      <c r="X60" s="1616">
        <v>6839.9</v>
      </c>
      <c r="Y60" s="1616">
        <v>3511.7</v>
      </c>
      <c r="Z60" s="1616">
        <v>6151.7</v>
      </c>
      <c r="AA60" s="1616">
        <v>7823.6</v>
      </c>
      <c r="AB60" s="1616">
        <v>15091.6</v>
      </c>
      <c r="AC60" s="1616">
        <v>8609.1</v>
      </c>
      <c r="AD60" s="1616">
        <v>7698</v>
      </c>
      <c r="AE60" s="1616">
        <v>5546.3</v>
      </c>
      <c r="AF60" s="1616">
        <v>7841.3</v>
      </c>
      <c r="AG60" s="1616">
        <v>6302.3</v>
      </c>
      <c r="AH60" s="1616">
        <v>132596.1</v>
      </c>
      <c r="AI60" s="1616">
        <v>133113.29999999999</v>
      </c>
      <c r="AJ60" s="1616">
        <v>-1151.7</v>
      </c>
      <c r="AK60" s="1616">
        <v>131961.60000000001</v>
      </c>
      <c r="AL60" s="1616">
        <v>1399.3</v>
      </c>
      <c r="AM60" s="1616">
        <v>34577.699999999997</v>
      </c>
      <c r="AN60" s="1616">
        <v>96619.1</v>
      </c>
    </row>
    <row r="61" spans="1:40">
      <c r="A61" s="133">
        <v>2006</v>
      </c>
      <c r="B61" s="133" t="s">
        <v>11950</v>
      </c>
      <c r="C61" s="133" t="s">
        <v>12000</v>
      </c>
      <c r="D61" s="1616">
        <v>1601.1</v>
      </c>
      <c r="E61" s="1616">
        <v>93.6</v>
      </c>
      <c r="F61" s="1616">
        <v>28211.1</v>
      </c>
      <c r="G61" s="1616">
        <v>3100.4</v>
      </c>
      <c r="H61" s="1616">
        <v>415.9</v>
      </c>
      <c r="I61" s="1616">
        <v>621.29999999999995</v>
      </c>
      <c r="J61" s="1616">
        <v>2490</v>
      </c>
      <c r="K61" s="1616">
        <v>1332.2</v>
      </c>
      <c r="L61" s="1616">
        <v>869.6</v>
      </c>
      <c r="M61" s="1616">
        <v>2215.3000000000002</v>
      </c>
      <c r="N61" s="1616">
        <v>1360.6</v>
      </c>
      <c r="O61" s="1616">
        <v>3908.1</v>
      </c>
      <c r="P61" s="1616">
        <v>1835</v>
      </c>
      <c r="Q61" s="1616">
        <v>1850.6</v>
      </c>
      <c r="R61" s="1616">
        <v>1385.8</v>
      </c>
      <c r="S61" s="1616">
        <v>3980.9</v>
      </c>
      <c r="T61" s="1616">
        <v>2845.4</v>
      </c>
      <c r="U61" s="1616">
        <v>3850.1</v>
      </c>
      <c r="V61" s="1616">
        <v>6956.5</v>
      </c>
      <c r="W61" s="1616">
        <v>17664.5</v>
      </c>
      <c r="X61" s="1616">
        <v>7178.4</v>
      </c>
      <c r="Y61" s="1616">
        <v>3817.2</v>
      </c>
      <c r="Z61" s="1616">
        <v>6636.6</v>
      </c>
      <c r="AA61" s="1616">
        <v>7667</v>
      </c>
      <c r="AB61" s="1616">
        <v>15216.2</v>
      </c>
      <c r="AC61" s="1616">
        <v>8746.9</v>
      </c>
      <c r="AD61" s="1616">
        <v>5570.4</v>
      </c>
      <c r="AE61" s="1616">
        <v>3921.4</v>
      </c>
      <c r="AF61" s="1616">
        <v>7397.9</v>
      </c>
      <c r="AG61" s="1616">
        <v>6627.9</v>
      </c>
      <c r="AH61" s="1616">
        <v>131156.70000000001</v>
      </c>
      <c r="AI61" s="1616">
        <v>131710.6</v>
      </c>
      <c r="AJ61" s="1616">
        <v>-1490.2</v>
      </c>
      <c r="AK61" s="1616">
        <v>130220.4</v>
      </c>
      <c r="AL61" s="1616">
        <v>1601.1</v>
      </c>
      <c r="AM61" s="1616">
        <v>35261.199999999997</v>
      </c>
      <c r="AN61" s="1616">
        <v>94294.3</v>
      </c>
    </row>
    <row r="62" spans="1:40">
      <c r="A62" s="133">
        <v>2006</v>
      </c>
      <c r="B62" s="133" t="s">
        <v>11952</v>
      </c>
      <c r="C62" s="133" t="s">
        <v>12001</v>
      </c>
      <c r="D62" s="1616">
        <v>1518.2</v>
      </c>
      <c r="E62" s="1616">
        <v>107.1</v>
      </c>
      <c r="F62" s="1616">
        <v>29903.9</v>
      </c>
      <c r="G62" s="1616">
        <v>3252.3</v>
      </c>
      <c r="H62" s="1616">
        <v>439.1</v>
      </c>
      <c r="I62" s="1616">
        <v>643.29999999999995</v>
      </c>
      <c r="J62" s="1616">
        <v>2698.5</v>
      </c>
      <c r="K62" s="1616">
        <v>1366.3</v>
      </c>
      <c r="L62" s="1616">
        <v>958.1</v>
      </c>
      <c r="M62" s="1616">
        <v>2380.6999999999998</v>
      </c>
      <c r="N62" s="1616">
        <v>1569.7</v>
      </c>
      <c r="O62" s="1616">
        <v>3992.5</v>
      </c>
      <c r="P62" s="1616">
        <v>1756</v>
      </c>
      <c r="Q62" s="1616">
        <v>1913</v>
      </c>
      <c r="R62" s="1616">
        <v>1567.7</v>
      </c>
      <c r="S62" s="1616">
        <v>4376.8</v>
      </c>
      <c r="T62" s="1616">
        <v>2989.9</v>
      </c>
      <c r="U62" s="1616">
        <v>3796.6</v>
      </c>
      <c r="V62" s="1616">
        <v>8038.4</v>
      </c>
      <c r="W62" s="1616">
        <v>18809.8</v>
      </c>
      <c r="X62" s="1616">
        <v>7366.5</v>
      </c>
      <c r="Y62" s="1616">
        <v>3657.6</v>
      </c>
      <c r="Z62" s="1616">
        <v>6550.3</v>
      </c>
      <c r="AA62" s="1616">
        <v>7825.9</v>
      </c>
      <c r="AB62" s="1616">
        <v>15268.5</v>
      </c>
      <c r="AC62" s="1616">
        <v>8917.1</v>
      </c>
      <c r="AD62" s="1616">
        <v>7858.9</v>
      </c>
      <c r="AE62" s="1616">
        <v>5769.3</v>
      </c>
      <c r="AF62" s="1616">
        <v>8079.7</v>
      </c>
      <c r="AG62" s="1616">
        <v>6591.1</v>
      </c>
      <c r="AH62" s="1616">
        <v>140059</v>
      </c>
      <c r="AI62" s="1616">
        <v>140592.79999999999</v>
      </c>
      <c r="AJ62" s="1616">
        <v>835.5</v>
      </c>
      <c r="AK62" s="1616">
        <v>141428.29999999999</v>
      </c>
      <c r="AL62" s="1616">
        <v>1518.2</v>
      </c>
      <c r="AM62" s="1616">
        <v>38049.4</v>
      </c>
      <c r="AN62" s="1616">
        <v>100491.4</v>
      </c>
    </row>
    <row r="63" spans="1:40">
      <c r="A63" s="133">
        <v>2007</v>
      </c>
      <c r="B63" s="133" t="s">
        <v>11946</v>
      </c>
      <c r="C63" s="133" t="s">
        <v>12002</v>
      </c>
      <c r="D63" s="1616">
        <v>1297.0999999999999</v>
      </c>
      <c r="E63" s="1616">
        <v>99.2</v>
      </c>
      <c r="F63" s="1616">
        <v>29126.6</v>
      </c>
      <c r="G63" s="1616">
        <v>2875.1</v>
      </c>
      <c r="H63" s="1616">
        <v>462</v>
      </c>
      <c r="I63" s="1616">
        <v>578</v>
      </c>
      <c r="J63" s="1616">
        <v>2579.6</v>
      </c>
      <c r="K63" s="1616">
        <v>1259.0999999999999</v>
      </c>
      <c r="L63" s="1616">
        <v>939.2</v>
      </c>
      <c r="M63" s="1616">
        <v>2314.1999999999998</v>
      </c>
      <c r="N63" s="1616">
        <v>1161.3</v>
      </c>
      <c r="O63" s="1616">
        <v>4240.5</v>
      </c>
      <c r="P63" s="1616">
        <v>1716.3</v>
      </c>
      <c r="Q63" s="1616">
        <v>1973.4</v>
      </c>
      <c r="R63" s="1616">
        <v>1635.1</v>
      </c>
      <c r="S63" s="1616">
        <v>4471.7</v>
      </c>
      <c r="T63" s="1616">
        <v>2921.2</v>
      </c>
      <c r="U63" s="1616">
        <v>3716.7</v>
      </c>
      <c r="V63" s="1616">
        <v>7089.9</v>
      </c>
      <c r="W63" s="1616">
        <v>17795.400000000001</v>
      </c>
      <c r="X63" s="1616">
        <v>7019.3</v>
      </c>
      <c r="Y63" s="1616">
        <v>3561.6</v>
      </c>
      <c r="Z63" s="1616">
        <v>7539.2</v>
      </c>
      <c r="AA63" s="1616">
        <v>7997</v>
      </c>
      <c r="AB63" s="1616">
        <v>15120.9</v>
      </c>
      <c r="AC63" s="1616">
        <v>9308.7000000000007</v>
      </c>
      <c r="AD63" s="1616">
        <v>5674.2</v>
      </c>
      <c r="AE63" s="1616">
        <v>3998.6</v>
      </c>
      <c r="AF63" s="1616">
        <v>7538.3</v>
      </c>
      <c r="AG63" s="1616">
        <v>6616.2</v>
      </c>
      <c r="AH63" s="1616">
        <v>133498.9</v>
      </c>
      <c r="AI63" s="1616">
        <v>133940.1</v>
      </c>
      <c r="AJ63" s="1616">
        <v>-292.5</v>
      </c>
      <c r="AK63" s="1616">
        <v>133647.6</v>
      </c>
      <c r="AL63" s="1616">
        <v>1297.0999999999999</v>
      </c>
      <c r="AM63" s="1616">
        <v>36315.699999999997</v>
      </c>
      <c r="AN63" s="1616">
        <v>95886.1</v>
      </c>
    </row>
    <row r="64" spans="1:40">
      <c r="A64" s="133">
        <v>2007</v>
      </c>
      <c r="B64" s="133" t="s">
        <v>11948</v>
      </c>
      <c r="C64" s="133" t="s">
        <v>12003</v>
      </c>
      <c r="D64" s="1616">
        <v>1312.8</v>
      </c>
      <c r="E64" s="1616">
        <v>97.1</v>
      </c>
      <c r="F64" s="1616">
        <v>28986.9</v>
      </c>
      <c r="G64" s="1616">
        <v>3271.3</v>
      </c>
      <c r="H64" s="1616">
        <v>465.9</v>
      </c>
      <c r="I64" s="1616">
        <v>565.4</v>
      </c>
      <c r="J64" s="1616">
        <v>2460.5</v>
      </c>
      <c r="K64" s="1616">
        <v>1133.2</v>
      </c>
      <c r="L64" s="1616">
        <v>942.7</v>
      </c>
      <c r="M64" s="1616">
        <v>2407.1999999999998</v>
      </c>
      <c r="N64" s="1616">
        <v>1324.8</v>
      </c>
      <c r="O64" s="1616">
        <v>4023</v>
      </c>
      <c r="P64" s="1616">
        <v>1776.2</v>
      </c>
      <c r="Q64" s="1616">
        <v>1903.2</v>
      </c>
      <c r="R64" s="1616">
        <v>1553.9</v>
      </c>
      <c r="S64" s="1616">
        <v>4196.6000000000004</v>
      </c>
      <c r="T64" s="1616">
        <v>2963.2</v>
      </c>
      <c r="U64" s="1616">
        <v>3439.2</v>
      </c>
      <c r="V64" s="1616">
        <v>6156.6</v>
      </c>
      <c r="W64" s="1616">
        <v>17485.5</v>
      </c>
      <c r="X64" s="1616">
        <v>7132.6</v>
      </c>
      <c r="Y64" s="1616">
        <v>3563.5</v>
      </c>
      <c r="Z64" s="1616">
        <v>6168.7</v>
      </c>
      <c r="AA64" s="1616">
        <v>7963.9</v>
      </c>
      <c r="AB64" s="1616">
        <v>15269.6</v>
      </c>
      <c r="AC64" s="1616">
        <v>9210.6</v>
      </c>
      <c r="AD64" s="1616">
        <v>7775.7</v>
      </c>
      <c r="AE64" s="1616">
        <v>5531.6</v>
      </c>
      <c r="AF64" s="1616">
        <v>7957.9</v>
      </c>
      <c r="AG64" s="1616">
        <v>6376</v>
      </c>
      <c r="AH64" s="1616">
        <v>134428.4</v>
      </c>
      <c r="AI64" s="1616">
        <v>134951.29999999999</v>
      </c>
      <c r="AJ64" s="1616">
        <v>-1267</v>
      </c>
      <c r="AK64" s="1616">
        <v>133684.20000000001</v>
      </c>
      <c r="AL64" s="1616">
        <v>1312.8</v>
      </c>
      <c r="AM64" s="1616">
        <v>35240.6</v>
      </c>
      <c r="AN64" s="1616">
        <v>97875</v>
      </c>
    </row>
    <row r="65" spans="1:40">
      <c r="A65" s="133">
        <v>2007</v>
      </c>
      <c r="B65" s="133" t="s">
        <v>11950</v>
      </c>
      <c r="C65" s="133" t="s">
        <v>12004</v>
      </c>
      <c r="D65" s="1616">
        <v>1560.5</v>
      </c>
      <c r="E65" s="1616">
        <v>98.7</v>
      </c>
      <c r="F65" s="1616">
        <v>29309.599999999999</v>
      </c>
      <c r="G65" s="1616">
        <v>3233.9</v>
      </c>
      <c r="H65" s="1616">
        <v>419.6</v>
      </c>
      <c r="I65" s="1616">
        <v>577.29999999999995</v>
      </c>
      <c r="J65" s="1616">
        <v>2525.1999999999998</v>
      </c>
      <c r="K65" s="1616">
        <v>1280.8</v>
      </c>
      <c r="L65" s="1616">
        <v>903.5</v>
      </c>
      <c r="M65" s="1616">
        <v>2385.1</v>
      </c>
      <c r="N65" s="1616">
        <v>1354.7</v>
      </c>
      <c r="O65" s="1616">
        <v>4112.8999999999996</v>
      </c>
      <c r="P65" s="1616">
        <v>1916.4</v>
      </c>
      <c r="Q65" s="1616">
        <v>1956</v>
      </c>
      <c r="R65" s="1616">
        <v>1557.6</v>
      </c>
      <c r="S65" s="1616">
        <v>4155.6000000000004</v>
      </c>
      <c r="T65" s="1616">
        <v>2931.1</v>
      </c>
      <c r="U65" s="1616">
        <v>3672.4</v>
      </c>
      <c r="V65" s="1616">
        <v>6555.9</v>
      </c>
      <c r="W65" s="1616">
        <v>17242.8</v>
      </c>
      <c r="X65" s="1616">
        <v>7449.7</v>
      </c>
      <c r="Y65" s="1616">
        <v>3855.8</v>
      </c>
      <c r="Z65" s="1616">
        <v>6748.5</v>
      </c>
      <c r="AA65" s="1616">
        <v>7824.6</v>
      </c>
      <c r="AB65" s="1616">
        <v>15248.7</v>
      </c>
      <c r="AC65" s="1616">
        <v>9356.2000000000007</v>
      </c>
      <c r="AD65" s="1616">
        <v>5613.7</v>
      </c>
      <c r="AE65" s="1616">
        <v>3932.3</v>
      </c>
      <c r="AF65" s="1616">
        <v>7538.5</v>
      </c>
      <c r="AG65" s="1616">
        <v>6608.7</v>
      </c>
      <c r="AH65" s="1616">
        <v>132616.70000000001</v>
      </c>
      <c r="AI65" s="1616">
        <v>133165.79999999999</v>
      </c>
      <c r="AJ65" s="1616">
        <v>-1873.1</v>
      </c>
      <c r="AK65" s="1616">
        <v>131292.70000000001</v>
      </c>
      <c r="AL65" s="1616">
        <v>1560.5</v>
      </c>
      <c r="AM65" s="1616">
        <v>35964.199999999997</v>
      </c>
      <c r="AN65" s="1616">
        <v>95092</v>
      </c>
    </row>
    <row r="66" spans="1:40">
      <c r="A66" s="133">
        <v>2007</v>
      </c>
      <c r="B66" s="133" t="s">
        <v>11952</v>
      </c>
      <c r="C66" s="133" t="s">
        <v>12005</v>
      </c>
      <c r="D66" s="1616">
        <v>1510.1</v>
      </c>
      <c r="E66" s="1616">
        <v>100.2</v>
      </c>
      <c r="F66" s="1616">
        <v>30547.5</v>
      </c>
      <c r="G66" s="1616">
        <v>3259.5</v>
      </c>
      <c r="H66" s="1616">
        <v>433</v>
      </c>
      <c r="I66" s="1616">
        <v>622.6</v>
      </c>
      <c r="J66" s="1616">
        <v>2627</v>
      </c>
      <c r="K66" s="1616">
        <v>1305.5999999999999</v>
      </c>
      <c r="L66" s="1616">
        <v>956.6</v>
      </c>
      <c r="M66" s="1616">
        <v>2525.6</v>
      </c>
      <c r="N66" s="1616">
        <v>1531.1</v>
      </c>
      <c r="O66" s="1616">
        <v>4107.2</v>
      </c>
      <c r="P66" s="1616">
        <v>1912.4</v>
      </c>
      <c r="Q66" s="1616">
        <v>1979.4</v>
      </c>
      <c r="R66" s="1616">
        <v>1634.7</v>
      </c>
      <c r="S66" s="1616">
        <v>4635.8999999999996</v>
      </c>
      <c r="T66" s="1616">
        <v>3016.9</v>
      </c>
      <c r="U66" s="1616">
        <v>3340.1</v>
      </c>
      <c r="V66" s="1616">
        <v>7276.2</v>
      </c>
      <c r="W66" s="1616">
        <v>18425.2</v>
      </c>
      <c r="X66" s="1616">
        <v>7456.6</v>
      </c>
      <c r="Y66" s="1616">
        <v>3619.5</v>
      </c>
      <c r="Z66" s="1616">
        <v>6492.9</v>
      </c>
      <c r="AA66" s="1616">
        <v>7608.7</v>
      </c>
      <c r="AB66" s="1616">
        <v>15359.2</v>
      </c>
      <c r="AC66" s="1616">
        <v>9613.2000000000007</v>
      </c>
      <c r="AD66" s="1616">
        <v>7984</v>
      </c>
      <c r="AE66" s="1616">
        <v>5792.1</v>
      </c>
      <c r="AF66" s="1616">
        <v>8283.7000000000007</v>
      </c>
      <c r="AG66" s="1616">
        <v>6466.9</v>
      </c>
      <c r="AH66" s="1616">
        <v>139876.1</v>
      </c>
      <c r="AI66" s="1616">
        <v>140434.9</v>
      </c>
      <c r="AJ66" s="1616">
        <v>222.3</v>
      </c>
      <c r="AK66" s="1616">
        <v>140657.20000000001</v>
      </c>
      <c r="AL66" s="1616">
        <v>1510.1</v>
      </c>
      <c r="AM66" s="1616">
        <v>37923.9</v>
      </c>
      <c r="AN66" s="1616">
        <v>100442.1</v>
      </c>
    </row>
    <row r="67" spans="1:40">
      <c r="A67" s="133">
        <v>2008</v>
      </c>
      <c r="B67" s="133" t="s">
        <v>11946</v>
      </c>
      <c r="C67" s="133" t="s">
        <v>12006</v>
      </c>
      <c r="D67" s="1616">
        <v>1267.7</v>
      </c>
      <c r="E67" s="1616">
        <v>88.6</v>
      </c>
      <c r="F67" s="1616">
        <v>29374.3</v>
      </c>
      <c r="G67" s="1616">
        <v>2799</v>
      </c>
      <c r="H67" s="1616">
        <v>453.7</v>
      </c>
      <c r="I67" s="1616">
        <v>589.9</v>
      </c>
      <c r="J67" s="1616">
        <v>2518</v>
      </c>
      <c r="K67" s="1616">
        <v>1463.4</v>
      </c>
      <c r="L67" s="1616">
        <v>877</v>
      </c>
      <c r="M67" s="1616">
        <v>2502</v>
      </c>
      <c r="N67" s="1616">
        <v>1209.0999999999999</v>
      </c>
      <c r="O67" s="1616">
        <v>4424.5</v>
      </c>
      <c r="P67" s="1616">
        <v>1678.2</v>
      </c>
      <c r="Q67" s="1616">
        <v>1854.2</v>
      </c>
      <c r="R67" s="1616">
        <v>1623</v>
      </c>
      <c r="S67" s="1616">
        <v>4494.2</v>
      </c>
      <c r="T67" s="1616">
        <v>2888.1</v>
      </c>
      <c r="U67" s="1616">
        <v>3638</v>
      </c>
      <c r="V67" s="1616">
        <v>6537.4</v>
      </c>
      <c r="W67" s="1616">
        <v>17950</v>
      </c>
      <c r="X67" s="1616">
        <v>6769.4</v>
      </c>
      <c r="Y67" s="1616">
        <v>3424.2</v>
      </c>
      <c r="Z67" s="1616">
        <v>7632.5</v>
      </c>
      <c r="AA67" s="1616">
        <v>7033.5</v>
      </c>
      <c r="AB67" s="1616">
        <v>15298</v>
      </c>
      <c r="AC67" s="1616">
        <v>10120.5</v>
      </c>
      <c r="AD67" s="1616">
        <v>5821.4</v>
      </c>
      <c r="AE67" s="1616">
        <v>4051.5</v>
      </c>
      <c r="AF67" s="1616">
        <v>7593</v>
      </c>
      <c r="AG67" s="1616">
        <v>6351.8</v>
      </c>
      <c r="AH67" s="1616">
        <v>132951.6</v>
      </c>
      <c r="AI67" s="1616">
        <v>133472.4</v>
      </c>
      <c r="AJ67" s="1616">
        <v>-621.1</v>
      </c>
      <c r="AK67" s="1616">
        <v>132851.29999999999</v>
      </c>
      <c r="AL67" s="1616">
        <v>1267.7</v>
      </c>
      <c r="AM67" s="1616">
        <v>36000.400000000001</v>
      </c>
      <c r="AN67" s="1616">
        <v>95683.6</v>
      </c>
    </row>
    <row r="68" spans="1:40">
      <c r="A68" s="133">
        <v>2008</v>
      </c>
      <c r="B68" s="133" t="s">
        <v>11948</v>
      </c>
      <c r="C68" s="133" t="s">
        <v>12007</v>
      </c>
      <c r="D68" s="1616">
        <v>1366.1</v>
      </c>
      <c r="E68" s="1616">
        <v>84.8</v>
      </c>
      <c r="F68" s="1616">
        <v>27822.1</v>
      </c>
      <c r="G68" s="1616">
        <v>3165</v>
      </c>
      <c r="H68" s="1616">
        <v>444.6</v>
      </c>
      <c r="I68" s="1616">
        <v>573.6</v>
      </c>
      <c r="J68" s="1616">
        <v>2326.5</v>
      </c>
      <c r="K68" s="1616">
        <v>1002.7</v>
      </c>
      <c r="L68" s="1616">
        <v>869.8</v>
      </c>
      <c r="M68" s="1616">
        <v>2248.3000000000002</v>
      </c>
      <c r="N68" s="1616">
        <v>1340.6</v>
      </c>
      <c r="O68" s="1616">
        <v>4045.2</v>
      </c>
      <c r="P68" s="1616">
        <v>1659.6</v>
      </c>
      <c r="Q68" s="1616">
        <v>1776.7</v>
      </c>
      <c r="R68" s="1616">
        <v>1436.9</v>
      </c>
      <c r="S68" s="1616">
        <v>4069.3</v>
      </c>
      <c r="T68" s="1616">
        <v>2863.3</v>
      </c>
      <c r="U68" s="1616">
        <v>3022.1</v>
      </c>
      <c r="V68" s="1616">
        <v>5638.9</v>
      </c>
      <c r="W68" s="1616">
        <v>18482.3</v>
      </c>
      <c r="X68" s="1616">
        <v>6864.1</v>
      </c>
      <c r="Y68" s="1616">
        <v>3290.7</v>
      </c>
      <c r="Z68" s="1616">
        <v>6239.6</v>
      </c>
      <c r="AA68" s="1616">
        <v>6582.6</v>
      </c>
      <c r="AB68" s="1616">
        <v>15496.3</v>
      </c>
      <c r="AC68" s="1616">
        <v>9864.6</v>
      </c>
      <c r="AD68" s="1616">
        <v>7788.1</v>
      </c>
      <c r="AE68" s="1616">
        <v>5536</v>
      </c>
      <c r="AF68" s="1616">
        <v>7923</v>
      </c>
      <c r="AG68" s="1616">
        <v>6039.5</v>
      </c>
      <c r="AH68" s="1616">
        <v>132040.79999999999</v>
      </c>
      <c r="AI68" s="1616">
        <v>132645.20000000001</v>
      </c>
      <c r="AJ68" s="1616">
        <v>-1255.9000000000001</v>
      </c>
      <c r="AK68" s="1616">
        <v>131389.29999999999</v>
      </c>
      <c r="AL68" s="1616">
        <v>1366.1</v>
      </c>
      <c r="AM68" s="1616">
        <v>33545.800000000003</v>
      </c>
      <c r="AN68" s="1616">
        <v>97128.9</v>
      </c>
    </row>
    <row r="69" spans="1:40">
      <c r="A69" s="133">
        <v>2008</v>
      </c>
      <c r="B69" s="133" t="s">
        <v>11950</v>
      </c>
      <c r="C69" s="133" t="s">
        <v>12008</v>
      </c>
      <c r="D69" s="1616">
        <v>1418.1</v>
      </c>
      <c r="E69" s="1616">
        <v>83.3</v>
      </c>
      <c r="F69" s="1616">
        <v>27927.9</v>
      </c>
      <c r="G69" s="1616">
        <v>3157.4</v>
      </c>
      <c r="H69" s="1616">
        <v>382.5</v>
      </c>
      <c r="I69" s="1616">
        <v>564.1</v>
      </c>
      <c r="J69" s="1616">
        <v>2209.8000000000002</v>
      </c>
      <c r="K69" s="1616">
        <v>1168</v>
      </c>
      <c r="L69" s="1616">
        <v>835.4</v>
      </c>
      <c r="M69" s="1616">
        <v>2502.1999999999998</v>
      </c>
      <c r="N69" s="1616">
        <v>1236.4000000000001</v>
      </c>
      <c r="O69" s="1616">
        <v>4210.8</v>
      </c>
      <c r="P69" s="1616">
        <v>1668.2</v>
      </c>
      <c r="Q69" s="1616">
        <v>1761.6</v>
      </c>
      <c r="R69" s="1616">
        <v>1383.3</v>
      </c>
      <c r="S69" s="1616">
        <v>4105.7</v>
      </c>
      <c r="T69" s="1616">
        <v>2742.3</v>
      </c>
      <c r="U69" s="1616">
        <v>2942.5</v>
      </c>
      <c r="V69" s="1616">
        <v>6293.8</v>
      </c>
      <c r="W69" s="1616">
        <v>17911.2</v>
      </c>
      <c r="X69" s="1616">
        <v>7083.1</v>
      </c>
      <c r="Y69" s="1616">
        <v>3601</v>
      </c>
      <c r="Z69" s="1616">
        <v>6640.6</v>
      </c>
      <c r="AA69" s="1616">
        <v>6385.5</v>
      </c>
      <c r="AB69" s="1616">
        <v>15558.3</v>
      </c>
      <c r="AC69" s="1616">
        <v>9757.1</v>
      </c>
      <c r="AD69" s="1616">
        <v>5619.4</v>
      </c>
      <c r="AE69" s="1616">
        <v>3946.6</v>
      </c>
      <c r="AF69" s="1616">
        <v>7563.1</v>
      </c>
      <c r="AG69" s="1616">
        <v>6359.4</v>
      </c>
      <c r="AH69" s="1616">
        <v>129090.9</v>
      </c>
      <c r="AI69" s="1616">
        <v>129907.4</v>
      </c>
      <c r="AJ69" s="1616">
        <v>-1732</v>
      </c>
      <c r="AK69" s="1616">
        <v>128175.4</v>
      </c>
      <c r="AL69" s="1616">
        <v>1418.1</v>
      </c>
      <c r="AM69" s="1616">
        <v>34305</v>
      </c>
      <c r="AN69" s="1616">
        <v>93367.8</v>
      </c>
    </row>
    <row r="70" spans="1:40">
      <c r="A70" s="133">
        <v>2008</v>
      </c>
      <c r="B70" s="133" t="s">
        <v>11952</v>
      </c>
      <c r="C70" s="133" t="s">
        <v>12009</v>
      </c>
      <c r="D70" s="1616">
        <v>1512</v>
      </c>
      <c r="E70" s="1616">
        <v>98.2</v>
      </c>
      <c r="F70" s="1616">
        <v>27165.200000000001</v>
      </c>
      <c r="G70" s="1616">
        <v>3299.9</v>
      </c>
      <c r="H70" s="1616">
        <v>409.9</v>
      </c>
      <c r="I70" s="1616">
        <v>585.6</v>
      </c>
      <c r="J70" s="1616">
        <v>2519</v>
      </c>
      <c r="K70" s="1616">
        <v>1338.1</v>
      </c>
      <c r="L70" s="1616">
        <v>869.5</v>
      </c>
      <c r="M70" s="1616">
        <v>2463.1</v>
      </c>
      <c r="N70" s="1616">
        <v>1308.3</v>
      </c>
      <c r="O70" s="1616">
        <v>3800.2</v>
      </c>
      <c r="P70" s="1616">
        <v>1410.6</v>
      </c>
      <c r="Q70" s="1616">
        <v>1754.2</v>
      </c>
      <c r="R70" s="1616">
        <v>1386.8</v>
      </c>
      <c r="S70" s="1616">
        <v>3318.5</v>
      </c>
      <c r="T70" s="1616">
        <v>2701.5</v>
      </c>
      <c r="U70" s="1616">
        <v>3753</v>
      </c>
      <c r="V70" s="1616">
        <v>7453.2</v>
      </c>
      <c r="W70" s="1616">
        <v>17352.900000000001</v>
      </c>
      <c r="X70" s="1616">
        <v>7281.3</v>
      </c>
      <c r="Y70" s="1616">
        <v>3540.7</v>
      </c>
      <c r="Z70" s="1616">
        <v>6386.3</v>
      </c>
      <c r="AA70" s="1616">
        <v>6157.8</v>
      </c>
      <c r="AB70" s="1616">
        <v>15590.7</v>
      </c>
      <c r="AC70" s="1616">
        <v>9698.9</v>
      </c>
      <c r="AD70" s="1616">
        <v>7915</v>
      </c>
      <c r="AE70" s="1616">
        <v>5748.5</v>
      </c>
      <c r="AF70" s="1616">
        <v>8259.1</v>
      </c>
      <c r="AG70" s="1616">
        <v>6347.8</v>
      </c>
      <c r="AH70" s="1616">
        <v>134260.6</v>
      </c>
      <c r="AI70" s="1616">
        <v>134655</v>
      </c>
      <c r="AJ70" s="1616">
        <v>752.9</v>
      </c>
      <c r="AK70" s="1616">
        <v>135407.79999999999</v>
      </c>
      <c r="AL70" s="1616">
        <v>1512</v>
      </c>
      <c r="AM70" s="1616">
        <v>34716.6</v>
      </c>
      <c r="AN70" s="1616">
        <v>98032</v>
      </c>
    </row>
    <row r="71" spans="1:40">
      <c r="A71" s="133">
        <v>2009</v>
      </c>
      <c r="B71" s="133" t="s">
        <v>11946</v>
      </c>
      <c r="C71" s="133" t="s">
        <v>12010</v>
      </c>
      <c r="D71" s="1616">
        <v>1221.8</v>
      </c>
      <c r="E71" s="1616">
        <v>67.2</v>
      </c>
      <c r="F71" s="1616">
        <v>21465.9</v>
      </c>
      <c r="G71" s="1616">
        <v>2719.4</v>
      </c>
      <c r="H71" s="1616">
        <v>383</v>
      </c>
      <c r="I71" s="1616">
        <v>530.5</v>
      </c>
      <c r="J71" s="1616">
        <v>2310.1999999999998</v>
      </c>
      <c r="K71" s="1616">
        <v>1150.4000000000001</v>
      </c>
      <c r="L71" s="1616">
        <v>594.29999999999995</v>
      </c>
      <c r="M71" s="1616">
        <v>1534.5</v>
      </c>
      <c r="N71" s="1616">
        <v>911.6</v>
      </c>
      <c r="O71" s="1616">
        <v>3281.2</v>
      </c>
      <c r="P71" s="1616">
        <v>795.3</v>
      </c>
      <c r="Q71" s="1616">
        <v>1414.4</v>
      </c>
      <c r="R71" s="1616">
        <v>1160.5</v>
      </c>
      <c r="S71" s="1616">
        <v>2413.8000000000002</v>
      </c>
      <c r="T71" s="1616">
        <v>2266.8000000000002</v>
      </c>
      <c r="U71" s="1616">
        <v>4341.8999999999996</v>
      </c>
      <c r="V71" s="1616">
        <v>6749</v>
      </c>
      <c r="W71" s="1616">
        <v>15954.8</v>
      </c>
      <c r="X71" s="1616">
        <v>6195.7</v>
      </c>
      <c r="Y71" s="1616">
        <v>3270</v>
      </c>
      <c r="Z71" s="1616">
        <v>7154.8</v>
      </c>
      <c r="AA71" s="1616">
        <v>6135.4</v>
      </c>
      <c r="AB71" s="1616">
        <v>15501.9</v>
      </c>
      <c r="AC71" s="1616">
        <v>9839.9</v>
      </c>
      <c r="AD71" s="1616">
        <v>5649.1</v>
      </c>
      <c r="AE71" s="1616">
        <v>3964.3</v>
      </c>
      <c r="AF71" s="1616">
        <v>7792.3</v>
      </c>
      <c r="AG71" s="1616">
        <v>5984.1</v>
      </c>
      <c r="AH71" s="1616">
        <v>121288.2</v>
      </c>
      <c r="AI71" s="1616">
        <v>121662.7</v>
      </c>
      <c r="AJ71" s="1616">
        <v>-460.4</v>
      </c>
      <c r="AK71" s="1616">
        <v>121202.3</v>
      </c>
      <c r="AL71" s="1616">
        <v>1221.8</v>
      </c>
      <c r="AM71" s="1616">
        <v>28282.1</v>
      </c>
      <c r="AN71" s="1616">
        <v>91784.3</v>
      </c>
    </row>
    <row r="72" spans="1:40">
      <c r="A72" s="133">
        <v>2009</v>
      </c>
      <c r="B72" s="133" t="s">
        <v>11948</v>
      </c>
      <c r="C72" s="133" t="s">
        <v>12011</v>
      </c>
      <c r="D72" s="1616">
        <v>1327.4</v>
      </c>
      <c r="E72" s="1616">
        <v>65.400000000000006</v>
      </c>
      <c r="F72" s="1616">
        <v>22633.7</v>
      </c>
      <c r="G72" s="1616">
        <v>3147.1</v>
      </c>
      <c r="H72" s="1616">
        <v>390.8</v>
      </c>
      <c r="I72" s="1616">
        <v>586.6</v>
      </c>
      <c r="J72" s="1616">
        <v>2428.1</v>
      </c>
      <c r="K72" s="1616">
        <v>1068.5999999999999</v>
      </c>
      <c r="L72" s="1616">
        <v>637</v>
      </c>
      <c r="M72" s="1616">
        <v>1649.1</v>
      </c>
      <c r="N72" s="1616">
        <v>1086.9000000000001</v>
      </c>
      <c r="O72" s="1616">
        <v>2715.8</v>
      </c>
      <c r="P72" s="1616">
        <v>1202.2</v>
      </c>
      <c r="Q72" s="1616">
        <v>1407.2</v>
      </c>
      <c r="R72" s="1616">
        <v>1128.5999999999999</v>
      </c>
      <c r="S72" s="1616">
        <v>2751</v>
      </c>
      <c r="T72" s="1616">
        <v>2434.6999999999998</v>
      </c>
      <c r="U72" s="1616">
        <v>3619.9</v>
      </c>
      <c r="V72" s="1616">
        <v>5712.9</v>
      </c>
      <c r="W72" s="1616">
        <v>16218.8</v>
      </c>
      <c r="X72" s="1616">
        <v>6027.2</v>
      </c>
      <c r="Y72" s="1616">
        <v>3239.1</v>
      </c>
      <c r="Z72" s="1616">
        <v>6078.5</v>
      </c>
      <c r="AA72" s="1616">
        <v>6274.8</v>
      </c>
      <c r="AB72" s="1616">
        <v>15542.9</v>
      </c>
      <c r="AC72" s="1616">
        <v>9241.5</v>
      </c>
      <c r="AD72" s="1616">
        <v>7523.3</v>
      </c>
      <c r="AE72" s="1616">
        <v>5357.6</v>
      </c>
      <c r="AF72" s="1616">
        <v>8254.4</v>
      </c>
      <c r="AG72" s="1616">
        <v>5795.5</v>
      </c>
      <c r="AH72" s="1616">
        <v>122913</v>
      </c>
      <c r="AI72" s="1616">
        <v>123284.1</v>
      </c>
      <c r="AJ72" s="1616">
        <v>-522</v>
      </c>
      <c r="AK72" s="1616">
        <v>122762.1</v>
      </c>
      <c r="AL72" s="1616">
        <v>1327.4</v>
      </c>
      <c r="AM72" s="1616">
        <v>28412.1</v>
      </c>
      <c r="AN72" s="1616">
        <v>93173.5</v>
      </c>
    </row>
    <row r="73" spans="1:40">
      <c r="A73" s="133">
        <v>2009</v>
      </c>
      <c r="B73" s="133" t="s">
        <v>11950</v>
      </c>
      <c r="C73" s="133" t="s">
        <v>12012</v>
      </c>
      <c r="D73" s="1616">
        <v>1450.9</v>
      </c>
      <c r="E73" s="1616">
        <v>73.3</v>
      </c>
      <c r="F73" s="1616">
        <v>24367.7</v>
      </c>
      <c r="G73" s="1616">
        <v>3116.5</v>
      </c>
      <c r="H73" s="1616">
        <v>343.2</v>
      </c>
      <c r="I73" s="1616">
        <v>570.29999999999995</v>
      </c>
      <c r="J73" s="1616">
        <v>2437.9</v>
      </c>
      <c r="K73" s="1616">
        <v>1194.0999999999999</v>
      </c>
      <c r="L73" s="1616">
        <v>663.7</v>
      </c>
      <c r="M73" s="1616">
        <v>1862.4</v>
      </c>
      <c r="N73" s="1616">
        <v>1163</v>
      </c>
      <c r="O73" s="1616">
        <v>2980</v>
      </c>
      <c r="P73" s="1616">
        <v>1465.9</v>
      </c>
      <c r="Q73" s="1616">
        <v>1519.9</v>
      </c>
      <c r="R73" s="1616">
        <v>1155.3</v>
      </c>
      <c r="S73" s="1616">
        <v>3403.5</v>
      </c>
      <c r="T73" s="1616">
        <v>2492</v>
      </c>
      <c r="U73" s="1616">
        <v>3448.8</v>
      </c>
      <c r="V73" s="1616">
        <v>5848.8</v>
      </c>
      <c r="W73" s="1616">
        <v>16534</v>
      </c>
      <c r="X73" s="1616">
        <v>6463.2</v>
      </c>
      <c r="Y73" s="1616">
        <v>3550.6</v>
      </c>
      <c r="Z73" s="1616">
        <v>6353.5</v>
      </c>
      <c r="AA73" s="1616">
        <v>6236.2</v>
      </c>
      <c r="AB73" s="1616">
        <v>15540.9</v>
      </c>
      <c r="AC73" s="1616">
        <v>9017.2000000000007</v>
      </c>
      <c r="AD73" s="1616">
        <v>5572.1</v>
      </c>
      <c r="AE73" s="1616">
        <v>3921</v>
      </c>
      <c r="AF73" s="1616">
        <v>7980.1</v>
      </c>
      <c r="AG73" s="1616">
        <v>6002.2</v>
      </c>
      <c r="AH73" s="1616">
        <v>122360.5</v>
      </c>
      <c r="AI73" s="1616">
        <v>122887.8</v>
      </c>
      <c r="AJ73" s="1616">
        <v>-2009.3</v>
      </c>
      <c r="AK73" s="1616">
        <v>120878.5</v>
      </c>
      <c r="AL73" s="1616">
        <v>1450.9</v>
      </c>
      <c r="AM73" s="1616">
        <v>30289.7</v>
      </c>
      <c r="AN73" s="1616">
        <v>90619.8</v>
      </c>
    </row>
    <row r="74" spans="1:40">
      <c r="A74" s="133">
        <v>2009</v>
      </c>
      <c r="B74" s="133" t="s">
        <v>11952</v>
      </c>
      <c r="C74" s="133" t="s">
        <v>12013</v>
      </c>
      <c r="D74" s="1616">
        <v>1356.7</v>
      </c>
      <c r="E74" s="1616">
        <v>86.9</v>
      </c>
      <c r="F74" s="1616">
        <v>25806.9</v>
      </c>
      <c r="G74" s="1616">
        <v>3184.5</v>
      </c>
      <c r="H74" s="1616">
        <v>361.9</v>
      </c>
      <c r="I74" s="1616">
        <v>600.1</v>
      </c>
      <c r="J74" s="1616">
        <v>2579.4</v>
      </c>
      <c r="K74" s="1616">
        <v>1175.5</v>
      </c>
      <c r="L74" s="1616">
        <v>739.6</v>
      </c>
      <c r="M74" s="1616">
        <v>2097.8000000000002</v>
      </c>
      <c r="N74" s="1616">
        <v>1254.4000000000001</v>
      </c>
      <c r="O74" s="1616">
        <v>3004</v>
      </c>
      <c r="P74" s="1616">
        <v>1417.3</v>
      </c>
      <c r="Q74" s="1616">
        <v>1561</v>
      </c>
      <c r="R74" s="1616">
        <v>1343.3</v>
      </c>
      <c r="S74" s="1616">
        <v>3939.7</v>
      </c>
      <c r="T74" s="1616">
        <v>2548.4</v>
      </c>
      <c r="U74" s="1616">
        <v>3282.5</v>
      </c>
      <c r="V74" s="1616">
        <v>6613</v>
      </c>
      <c r="W74" s="1616">
        <v>17040.599999999999</v>
      </c>
      <c r="X74" s="1616">
        <v>6622.2</v>
      </c>
      <c r="Y74" s="1616">
        <v>3385.9</v>
      </c>
      <c r="Z74" s="1616">
        <v>6202</v>
      </c>
      <c r="AA74" s="1616">
        <v>6166</v>
      </c>
      <c r="AB74" s="1616">
        <v>15537</v>
      </c>
      <c r="AC74" s="1616">
        <v>8913.7999999999993</v>
      </c>
      <c r="AD74" s="1616">
        <v>7702.1</v>
      </c>
      <c r="AE74" s="1616">
        <v>5606.7</v>
      </c>
      <c r="AF74" s="1616">
        <v>8549.2000000000007</v>
      </c>
      <c r="AG74" s="1616">
        <v>6021.3</v>
      </c>
      <c r="AH74" s="1616">
        <v>128892.7</v>
      </c>
      <c r="AI74" s="1616">
        <v>129395.7</v>
      </c>
      <c r="AJ74" s="1616">
        <v>699.9</v>
      </c>
      <c r="AK74" s="1616">
        <v>130095.5</v>
      </c>
      <c r="AL74" s="1616">
        <v>1356.7</v>
      </c>
      <c r="AM74" s="1616">
        <v>32506.799999999999</v>
      </c>
      <c r="AN74" s="1616">
        <v>95029.3</v>
      </c>
    </row>
    <row r="75" spans="1:40">
      <c r="A75" s="133">
        <v>2010</v>
      </c>
      <c r="B75" s="133" t="s">
        <v>11946</v>
      </c>
      <c r="C75" s="133" t="s">
        <v>12014</v>
      </c>
      <c r="D75" s="1616">
        <v>1206.7</v>
      </c>
      <c r="E75" s="1616">
        <v>84.1</v>
      </c>
      <c r="F75" s="1616">
        <v>25824</v>
      </c>
      <c r="G75" s="1616">
        <v>2864.9</v>
      </c>
      <c r="H75" s="1616">
        <v>355.2</v>
      </c>
      <c r="I75" s="1616">
        <v>595.29999999999995</v>
      </c>
      <c r="J75" s="1616">
        <v>2580.4</v>
      </c>
      <c r="K75" s="1616">
        <v>1220.4000000000001</v>
      </c>
      <c r="L75" s="1616">
        <v>727.3</v>
      </c>
      <c r="M75" s="1616">
        <v>2372.9</v>
      </c>
      <c r="N75" s="1616">
        <v>1013.8</v>
      </c>
      <c r="O75" s="1616">
        <v>3296.7</v>
      </c>
      <c r="P75" s="1616">
        <v>1374.8</v>
      </c>
      <c r="Q75" s="1616">
        <v>1619.5</v>
      </c>
      <c r="R75" s="1616">
        <v>1332.4</v>
      </c>
      <c r="S75" s="1616">
        <v>3927</v>
      </c>
      <c r="T75" s="1616">
        <v>2543.4</v>
      </c>
      <c r="U75" s="1616">
        <v>3646.4</v>
      </c>
      <c r="V75" s="1616">
        <v>6401.5</v>
      </c>
      <c r="W75" s="1616">
        <v>16607.2</v>
      </c>
      <c r="X75" s="1616">
        <v>6269.4</v>
      </c>
      <c r="Y75" s="1616">
        <v>3194.7</v>
      </c>
      <c r="Z75" s="1616">
        <v>6860.9</v>
      </c>
      <c r="AA75" s="1616">
        <v>6245.7</v>
      </c>
      <c r="AB75" s="1616">
        <v>15516.1</v>
      </c>
      <c r="AC75" s="1616">
        <v>9389.6</v>
      </c>
      <c r="AD75" s="1616">
        <v>5535.8</v>
      </c>
      <c r="AE75" s="1616">
        <v>3909</v>
      </c>
      <c r="AF75" s="1616">
        <v>7928.9</v>
      </c>
      <c r="AG75" s="1616">
        <v>5833.4</v>
      </c>
      <c r="AH75" s="1616">
        <v>124453.4</v>
      </c>
      <c r="AI75" s="1616">
        <v>124985.9</v>
      </c>
      <c r="AJ75" s="1616">
        <v>-1357.7</v>
      </c>
      <c r="AK75" s="1616">
        <v>123628.1</v>
      </c>
      <c r="AL75" s="1616">
        <v>1206.7</v>
      </c>
      <c r="AM75" s="1616">
        <v>32309.599999999999</v>
      </c>
      <c r="AN75" s="1616">
        <v>90937.2</v>
      </c>
    </row>
    <row r="76" spans="1:40">
      <c r="A76" s="133">
        <v>2010</v>
      </c>
      <c r="B76" s="133" t="s">
        <v>11948</v>
      </c>
      <c r="C76" s="133" t="s">
        <v>12015</v>
      </c>
      <c r="D76" s="1616">
        <v>1336.6</v>
      </c>
      <c r="E76" s="1616">
        <v>76.2</v>
      </c>
      <c r="F76" s="1616">
        <v>25752.799999999999</v>
      </c>
      <c r="G76" s="1616">
        <v>3137.3</v>
      </c>
      <c r="H76" s="1616">
        <v>355.3</v>
      </c>
      <c r="I76" s="1616">
        <v>586.79999999999995</v>
      </c>
      <c r="J76" s="1616">
        <v>2495.1999999999998</v>
      </c>
      <c r="K76" s="1616">
        <v>1195.7</v>
      </c>
      <c r="L76" s="1616">
        <v>718.8</v>
      </c>
      <c r="M76" s="1616">
        <v>2431</v>
      </c>
      <c r="N76" s="1616">
        <v>1039.8</v>
      </c>
      <c r="O76" s="1616">
        <v>3248.9</v>
      </c>
      <c r="P76" s="1616">
        <v>1518.3</v>
      </c>
      <c r="Q76" s="1616">
        <v>1560.8</v>
      </c>
      <c r="R76" s="1616">
        <v>1215.8</v>
      </c>
      <c r="S76" s="1616">
        <v>3704.4</v>
      </c>
      <c r="T76" s="1616">
        <v>2544.9</v>
      </c>
      <c r="U76" s="1616">
        <v>3292.9</v>
      </c>
      <c r="V76" s="1616">
        <v>4886.7</v>
      </c>
      <c r="W76" s="1616">
        <v>16639.900000000001</v>
      </c>
      <c r="X76" s="1616">
        <v>6295.5</v>
      </c>
      <c r="Y76" s="1616">
        <v>3069.2</v>
      </c>
      <c r="Z76" s="1616">
        <v>5994.8</v>
      </c>
      <c r="AA76" s="1616">
        <v>6231.1</v>
      </c>
      <c r="AB76" s="1616">
        <v>15590.8</v>
      </c>
      <c r="AC76" s="1616">
        <v>9055.9</v>
      </c>
      <c r="AD76" s="1616">
        <v>7402.9</v>
      </c>
      <c r="AE76" s="1616">
        <v>5333.3</v>
      </c>
      <c r="AF76" s="1616">
        <v>8625</v>
      </c>
      <c r="AG76" s="1616">
        <v>5686.4</v>
      </c>
      <c r="AH76" s="1616">
        <v>125270.2</v>
      </c>
      <c r="AI76" s="1616">
        <v>125849.3</v>
      </c>
      <c r="AJ76" s="1616">
        <v>-1292.2</v>
      </c>
      <c r="AK76" s="1616">
        <v>124557</v>
      </c>
      <c r="AL76" s="1616">
        <v>1336.6</v>
      </c>
      <c r="AM76" s="1616">
        <v>30715.7</v>
      </c>
      <c r="AN76" s="1616">
        <v>93217.8</v>
      </c>
    </row>
    <row r="77" spans="1:40">
      <c r="A77" s="133">
        <v>2010</v>
      </c>
      <c r="B77" s="133" t="s">
        <v>11950</v>
      </c>
      <c r="C77" s="133" t="s">
        <v>12016</v>
      </c>
      <c r="D77" s="1616">
        <v>1534.6</v>
      </c>
      <c r="E77" s="1616">
        <v>74.099999999999994</v>
      </c>
      <c r="F77" s="1616">
        <v>26820.5</v>
      </c>
      <c r="G77" s="1616">
        <v>3387.5</v>
      </c>
      <c r="H77" s="1616">
        <v>335.8</v>
      </c>
      <c r="I77" s="1616">
        <v>584.79999999999995</v>
      </c>
      <c r="J77" s="1616">
        <v>2638.9</v>
      </c>
      <c r="K77" s="1616">
        <v>1416</v>
      </c>
      <c r="L77" s="1616">
        <v>732.7</v>
      </c>
      <c r="M77" s="1616">
        <v>2457.1999999999998</v>
      </c>
      <c r="N77" s="1616">
        <v>1057.5999999999999</v>
      </c>
      <c r="O77" s="1616">
        <v>3491.6</v>
      </c>
      <c r="P77" s="1616">
        <v>1520.9</v>
      </c>
      <c r="Q77" s="1616">
        <v>1654.7</v>
      </c>
      <c r="R77" s="1616">
        <v>1232.5999999999999</v>
      </c>
      <c r="S77" s="1616">
        <v>3730.4</v>
      </c>
      <c r="T77" s="1616">
        <v>2579.6999999999998</v>
      </c>
      <c r="U77" s="1616">
        <v>3900.7</v>
      </c>
      <c r="V77" s="1616">
        <v>5568.5</v>
      </c>
      <c r="W77" s="1616">
        <v>16809.8</v>
      </c>
      <c r="X77" s="1616">
        <v>6628.8</v>
      </c>
      <c r="Y77" s="1616">
        <v>3410.5</v>
      </c>
      <c r="Z77" s="1616">
        <v>6355.5</v>
      </c>
      <c r="AA77" s="1616">
        <v>6026.7</v>
      </c>
      <c r="AB77" s="1616">
        <v>15598.7</v>
      </c>
      <c r="AC77" s="1616">
        <v>8945.5</v>
      </c>
      <c r="AD77" s="1616">
        <v>5485.1</v>
      </c>
      <c r="AE77" s="1616">
        <v>3916.7</v>
      </c>
      <c r="AF77" s="1616">
        <v>8354.7999999999993</v>
      </c>
      <c r="AG77" s="1616">
        <v>5994.6</v>
      </c>
      <c r="AH77" s="1616">
        <v>125425.1</v>
      </c>
      <c r="AI77" s="1616">
        <v>126015.3</v>
      </c>
      <c r="AJ77" s="1616">
        <v>-611.20000000000005</v>
      </c>
      <c r="AK77" s="1616">
        <v>125404.1</v>
      </c>
      <c r="AL77" s="1616">
        <v>1534.6</v>
      </c>
      <c r="AM77" s="1616">
        <v>32463.200000000001</v>
      </c>
      <c r="AN77" s="1616">
        <v>91427.3</v>
      </c>
    </row>
    <row r="78" spans="1:40">
      <c r="A78" s="133">
        <v>2010</v>
      </c>
      <c r="B78" s="133" t="s">
        <v>11952</v>
      </c>
      <c r="C78" s="133" t="s">
        <v>12017</v>
      </c>
      <c r="D78" s="1616">
        <v>1524.8</v>
      </c>
      <c r="E78" s="1616">
        <v>77.8</v>
      </c>
      <c r="F78" s="1616">
        <v>26582.1</v>
      </c>
      <c r="G78" s="1616">
        <v>3051</v>
      </c>
      <c r="H78" s="1616">
        <v>346.2</v>
      </c>
      <c r="I78" s="1616">
        <v>610.9</v>
      </c>
      <c r="J78" s="1616">
        <v>2762.4</v>
      </c>
      <c r="K78" s="1616">
        <v>1372</v>
      </c>
      <c r="L78" s="1616">
        <v>785.1</v>
      </c>
      <c r="M78" s="1616">
        <v>2656.6</v>
      </c>
      <c r="N78" s="1616">
        <v>1160.0999999999999</v>
      </c>
      <c r="O78" s="1616">
        <v>3344.1</v>
      </c>
      <c r="P78" s="1616">
        <v>1386</v>
      </c>
      <c r="Q78" s="1616">
        <v>1608</v>
      </c>
      <c r="R78" s="1616">
        <v>1353.2</v>
      </c>
      <c r="S78" s="1616">
        <v>3536</v>
      </c>
      <c r="T78" s="1616">
        <v>2610.6999999999998</v>
      </c>
      <c r="U78" s="1616">
        <v>3650.8</v>
      </c>
      <c r="V78" s="1616">
        <v>6607.9</v>
      </c>
      <c r="W78" s="1616">
        <v>17563.2</v>
      </c>
      <c r="X78" s="1616">
        <v>6591.7</v>
      </c>
      <c r="Y78" s="1616">
        <v>3239.8</v>
      </c>
      <c r="Z78" s="1616">
        <v>6146.4</v>
      </c>
      <c r="AA78" s="1616">
        <v>5995.8</v>
      </c>
      <c r="AB78" s="1616">
        <v>15664.8</v>
      </c>
      <c r="AC78" s="1616">
        <v>8786.9</v>
      </c>
      <c r="AD78" s="1616">
        <v>7470.5</v>
      </c>
      <c r="AE78" s="1616">
        <v>5511.3</v>
      </c>
      <c r="AF78" s="1616">
        <v>8922.2000000000007</v>
      </c>
      <c r="AG78" s="1616">
        <v>5987.4</v>
      </c>
      <c r="AH78" s="1616">
        <v>130323.5</v>
      </c>
      <c r="AI78" s="1616">
        <v>130707.2</v>
      </c>
      <c r="AJ78" s="1616">
        <v>1234.2</v>
      </c>
      <c r="AK78" s="1616">
        <v>131941.4</v>
      </c>
      <c r="AL78" s="1616">
        <v>1524.8</v>
      </c>
      <c r="AM78" s="1616">
        <v>33267.800000000003</v>
      </c>
      <c r="AN78" s="1616">
        <v>95530.9</v>
      </c>
    </row>
    <row r="79" spans="1:40">
      <c r="A79" s="133">
        <v>2011</v>
      </c>
      <c r="B79" s="133" t="s">
        <v>11946</v>
      </c>
      <c r="C79" s="133" t="s">
        <v>12018</v>
      </c>
      <c r="D79" s="1616">
        <v>1249.4000000000001</v>
      </c>
      <c r="E79" s="1616">
        <v>82</v>
      </c>
      <c r="F79" s="1616">
        <v>24159.1</v>
      </c>
      <c r="G79" s="1616">
        <v>2734.6</v>
      </c>
      <c r="H79" s="1616">
        <v>349.6</v>
      </c>
      <c r="I79" s="1616">
        <v>565.9</v>
      </c>
      <c r="J79" s="1616">
        <v>2455.5</v>
      </c>
      <c r="K79" s="1616">
        <v>1313.8</v>
      </c>
      <c r="L79" s="1616">
        <v>738.8</v>
      </c>
      <c r="M79" s="1616">
        <v>2128.5</v>
      </c>
      <c r="N79" s="1616">
        <v>808.1</v>
      </c>
      <c r="O79" s="1616">
        <v>3434.1</v>
      </c>
      <c r="P79" s="1616">
        <v>1316.2</v>
      </c>
      <c r="Q79" s="1616">
        <v>1545.9</v>
      </c>
      <c r="R79" s="1616">
        <v>1252.2</v>
      </c>
      <c r="S79" s="1616">
        <v>3140.3</v>
      </c>
      <c r="T79" s="1616">
        <v>2375.3000000000002</v>
      </c>
      <c r="U79" s="1616">
        <v>3073.1</v>
      </c>
      <c r="V79" s="1616">
        <v>6604.1</v>
      </c>
      <c r="W79" s="1616">
        <v>16677.400000000001</v>
      </c>
      <c r="X79" s="1616">
        <v>5954</v>
      </c>
      <c r="Y79" s="1616">
        <v>2976</v>
      </c>
      <c r="Z79" s="1616">
        <v>6709.7</v>
      </c>
      <c r="AA79" s="1616">
        <v>5931.1</v>
      </c>
      <c r="AB79" s="1616">
        <v>15541.4</v>
      </c>
      <c r="AC79" s="1616">
        <v>9440.7999999999993</v>
      </c>
      <c r="AD79" s="1616">
        <v>5621.9</v>
      </c>
      <c r="AE79" s="1616">
        <v>3993.7</v>
      </c>
      <c r="AF79" s="1616">
        <v>8188.2</v>
      </c>
      <c r="AG79" s="1616">
        <v>5563.6</v>
      </c>
      <c r="AH79" s="1616">
        <v>121765.5</v>
      </c>
      <c r="AI79" s="1616">
        <v>122327</v>
      </c>
      <c r="AJ79" s="1616">
        <v>644.29999999999995</v>
      </c>
      <c r="AK79" s="1616">
        <v>122971.3</v>
      </c>
      <c r="AL79" s="1616">
        <v>1249.4000000000001</v>
      </c>
      <c r="AM79" s="1616">
        <v>30845.200000000001</v>
      </c>
      <c r="AN79" s="1616">
        <v>89670.9</v>
      </c>
    </row>
    <row r="80" spans="1:40">
      <c r="A80" s="133">
        <v>2011</v>
      </c>
      <c r="B80" s="133" t="s">
        <v>11948</v>
      </c>
      <c r="C80" s="133" t="s">
        <v>12019</v>
      </c>
      <c r="D80" s="1616">
        <v>1224.9000000000001</v>
      </c>
      <c r="E80" s="1616">
        <v>75.2</v>
      </c>
      <c r="F80" s="1616">
        <v>22625.200000000001</v>
      </c>
      <c r="G80" s="1616">
        <v>2987.6</v>
      </c>
      <c r="H80" s="1616">
        <v>346.6</v>
      </c>
      <c r="I80" s="1616">
        <v>543.5</v>
      </c>
      <c r="J80" s="1616">
        <v>2472</v>
      </c>
      <c r="K80" s="1616">
        <v>942.5</v>
      </c>
      <c r="L80" s="1616">
        <v>712.4</v>
      </c>
      <c r="M80" s="1616">
        <v>1876.5</v>
      </c>
      <c r="N80" s="1616">
        <v>887</v>
      </c>
      <c r="O80" s="1616">
        <v>3294.4</v>
      </c>
      <c r="P80" s="1616">
        <v>1229.7</v>
      </c>
      <c r="Q80" s="1616">
        <v>1446.1</v>
      </c>
      <c r="R80" s="1616">
        <v>1004.3</v>
      </c>
      <c r="S80" s="1616">
        <v>2484.1999999999998</v>
      </c>
      <c r="T80" s="1616">
        <v>2398.1999999999998</v>
      </c>
      <c r="U80" s="1616">
        <v>2662.7</v>
      </c>
      <c r="V80" s="1616">
        <v>4954.3999999999996</v>
      </c>
      <c r="W80" s="1616">
        <v>16799.400000000001</v>
      </c>
      <c r="X80" s="1616">
        <v>5829.1</v>
      </c>
      <c r="Y80" s="1616">
        <v>2901.6</v>
      </c>
      <c r="Z80" s="1616">
        <v>5842.9</v>
      </c>
      <c r="AA80" s="1616">
        <v>5860.7</v>
      </c>
      <c r="AB80" s="1616">
        <v>15587.5</v>
      </c>
      <c r="AC80" s="1616">
        <v>9311.2999999999993</v>
      </c>
      <c r="AD80" s="1616">
        <v>7409.8</v>
      </c>
      <c r="AE80" s="1616">
        <v>5409.7</v>
      </c>
      <c r="AF80" s="1616">
        <v>8671.6</v>
      </c>
      <c r="AG80" s="1616">
        <v>5513.2</v>
      </c>
      <c r="AH80" s="1616">
        <v>120679.1</v>
      </c>
      <c r="AI80" s="1616">
        <v>121490.8</v>
      </c>
      <c r="AJ80" s="1616">
        <v>-344.2</v>
      </c>
      <c r="AK80" s="1616">
        <v>121146.6</v>
      </c>
      <c r="AL80" s="1616">
        <v>1224.9000000000001</v>
      </c>
      <c r="AM80" s="1616">
        <v>27654.799999999999</v>
      </c>
      <c r="AN80" s="1616">
        <v>91799.4</v>
      </c>
    </row>
    <row r="81" spans="1:40">
      <c r="A81" s="133">
        <v>2011</v>
      </c>
      <c r="B81" s="133" t="s">
        <v>11950</v>
      </c>
      <c r="C81" s="133" t="s">
        <v>12020</v>
      </c>
      <c r="D81" s="1616">
        <v>1401.5</v>
      </c>
      <c r="E81" s="1616">
        <v>76.400000000000006</v>
      </c>
      <c r="F81" s="1616">
        <v>24967.4</v>
      </c>
      <c r="G81" s="1616">
        <v>3089.1</v>
      </c>
      <c r="H81" s="1616">
        <v>319.8</v>
      </c>
      <c r="I81" s="1616">
        <v>538.79999999999995</v>
      </c>
      <c r="J81" s="1616">
        <v>2523.4</v>
      </c>
      <c r="K81" s="1616">
        <v>1116.7</v>
      </c>
      <c r="L81" s="1616">
        <v>753.7</v>
      </c>
      <c r="M81" s="1616">
        <v>2098.4</v>
      </c>
      <c r="N81" s="1616">
        <v>945.6</v>
      </c>
      <c r="O81" s="1616">
        <v>3539.7</v>
      </c>
      <c r="P81" s="1616">
        <v>1393.5</v>
      </c>
      <c r="Q81" s="1616">
        <v>1582.3</v>
      </c>
      <c r="R81" s="1616">
        <v>1147.9000000000001</v>
      </c>
      <c r="S81" s="1616">
        <v>3472.2</v>
      </c>
      <c r="T81" s="1616">
        <v>2446.3000000000002</v>
      </c>
      <c r="U81" s="1616">
        <v>2949.5</v>
      </c>
      <c r="V81" s="1616">
        <v>5615.4</v>
      </c>
      <c r="W81" s="1616">
        <v>17407.3</v>
      </c>
      <c r="X81" s="1616">
        <v>6586.6</v>
      </c>
      <c r="Y81" s="1616">
        <v>3330.1</v>
      </c>
      <c r="Z81" s="1616">
        <v>6208.7</v>
      </c>
      <c r="AA81" s="1616">
        <v>5814.6</v>
      </c>
      <c r="AB81" s="1616">
        <v>15606.5</v>
      </c>
      <c r="AC81" s="1616">
        <v>9311.1</v>
      </c>
      <c r="AD81" s="1616">
        <v>5494.8</v>
      </c>
      <c r="AE81" s="1616">
        <v>3977.6</v>
      </c>
      <c r="AF81" s="1616">
        <v>8400</v>
      </c>
      <c r="AG81" s="1616">
        <v>5863.5</v>
      </c>
      <c r="AH81" s="1616">
        <v>123010.9</v>
      </c>
      <c r="AI81" s="1616">
        <v>123778.2</v>
      </c>
      <c r="AJ81" s="1616">
        <v>-797.7</v>
      </c>
      <c r="AK81" s="1616">
        <v>122980.6</v>
      </c>
      <c r="AL81" s="1616">
        <v>1401.5</v>
      </c>
      <c r="AM81" s="1616">
        <v>30659.200000000001</v>
      </c>
      <c r="AN81" s="1616">
        <v>90950.2</v>
      </c>
    </row>
    <row r="82" spans="1:40">
      <c r="A82" s="133">
        <v>2011</v>
      </c>
      <c r="B82" s="133" t="s">
        <v>11952</v>
      </c>
      <c r="C82" s="133" t="s">
        <v>12021</v>
      </c>
      <c r="D82" s="1616">
        <v>1498.1</v>
      </c>
      <c r="E82" s="1616">
        <v>87.6</v>
      </c>
      <c r="F82" s="1616">
        <v>25427.8</v>
      </c>
      <c r="G82" s="1616">
        <v>3121.5</v>
      </c>
      <c r="H82" s="1616">
        <v>342.4</v>
      </c>
      <c r="I82" s="1616">
        <v>591.1</v>
      </c>
      <c r="J82" s="1616">
        <v>2586.5</v>
      </c>
      <c r="K82" s="1616">
        <v>1069.3</v>
      </c>
      <c r="L82" s="1616">
        <v>772.5</v>
      </c>
      <c r="M82" s="1616">
        <v>2245.4</v>
      </c>
      <c r="N82" s="1616">
        <v>1104.7</v>
      </c>
      <c r="O82" s="1616">
        <v>3562.8</v>
      </c>
      <c r="P82" s="1616">
        <v>1271.0999999999999</v>
      </c>
      <c r="Q82" s="1616">
        <v>1564.6</v>
      </c>
      <c r="R82" s="1616">
        <v>971.2</v>
      </c>
      <c r="S82" s="1616">
        <v>3699.3</v>
      </c>
      <c r="T82" s="1616">
        <v>2525.4</v>
      </c>
      <c r="U82" s="1616">
        <v>3028.6</v>
      </c>
      <c r="V82" s="1616">
        <v>6437.7</v>
      </c>
      <c r="W82" s="1616">
        <v>17972.599999999999</v>
      </c>
      <c r="X82" s="1616">
        <v>6663.7</v>
      </c>
      <c r="Y82" s="1616">
        <v>3309.7</v>
      </c>
      <c r="Z82" s="1616">
        <v>6141.5</v>
      </c>
      <c r="AA82" s="1616">
        <v>5717.8</v>
      </c>
      <c r="AB82" s="1616">
        <v>15672.9</v>
      </c>
      <c r="AC82" s="1616">
        <v>9402.1</v>
      </c>
      <c r="AD82" s="1616">
        <v>7487.3</v>
      </c>
      <c r="AE82" s="1616">
        <v>5579.6</v>
      </c>
      <c r="AF82" s="1616">
        <v>8947.2999999999993</v>
      </c>
      <c r="AG82" s="1616">
        <v>5996.6</v>
      </c>
      <c r="AH82" s="1616">
        <v>129370.9</v>
      </c>
      <c r="AI82" s="1616">
        <v>130049.7</v>
      </c>
      <c r="AJ82" s="1616">
        <v>300.8</v>
      </c>
      <c r="AK82" s="1616">
        <v>130350.5</v>
      </c>
      <c r="AL82" s="1616">
        <v>1498.1</v>
      </c>
      <c r="AM82" s="1616">
        <v>31953</v>
      </c>
      <c r="AN82" s="1616">
        <v>95919.8</v>
      </c>
    </row>
    <row r="83" spans="1:40">
      <c r="A83" s="133">
        <v>2012</v>
      </c>
      <c r="B83" s="133" t="s">
        <v>11946</v>
      </c>
      <c r="C83" s="133" t="s">
        <v>12022</v>
      </c>
      <c r="D83" s="1616">
        <v>1426.2</v>
      </c>
      <c r="E83" s="1616">
        <v>80.099999999999994</v>
      </c>
      <c r="F83" s="1616">
        <v>25429.200000000001</v>
      </c>
      <c r="G83" s="1616">
        <v>2809.2</v>
      </c>
      <c r="H83" s="1616">
        <v>395.8</v>
      </c>
      <c r="I83" s="1616">
        <v>539.6</v>
      </c>
      <c r="J83" s="1616">
        <v>2560</v>
      </c>
      <c r="K83" s="1616">
        <v>1187</v>
      </c>
      <c r="L83" s="1616">
        <v>684.1</v>
      </c>
      <c r="M83" s="1616">
        <v>2348.3000000000002</v>
      </c>
      <c r="N83" s="1616">
        <v>935.2</v>
      </c>
      <c r="O83" s="1616">
        <v>3689.6</v>
      </c>
      <c r="P83" s="1616">
        <v>1139.8</v>
      </c>
      <c r="Q83" s="1616">
        <v>1533.4</v>
      </c>
      <c r="R83" s="1616">
        <v>1147.4000000000001</v>
      </c>
      <c r="S83" s="1616">
        <v>3971</v>
      </c>
      <c r="T83" s="1616">
        <v>2488.6999999999998</v>
      </c>
      <c r="U83" s="1616">
        <v>2684.3</v>
      </c>
      <c r="V83" s="1616">
        <v>6363.7</v>
      </c>
      <c r="W83" s="1616">
        <v>17514.099999999999</v>
      </c>
      <c r="X83" s="1616">
        <v>6332.4</v>
      </c>
      <c r="Y83" s="1616">
        <v>2936.1</v>
      </c>
      <c r="Z83" s="1616">
        <v>6747.6</v>
      </c>
      <c r="AA83" s="1616">
        <v>5837.8</v>
      </c>
      <c r="AB83" s="1616">
        <v>15548.6</v>
      </c>
      <c r="AC83" s="1616">
        <v>9446.5</v>
      </c>
      <c r="AD83" s="1616">
        <v>5613.1</v>
      </c>
      <c r="AE83" s="1616">
        <v>3994.4</v>
      </c>
      <c r="AF83" s="1616">
        <v>8680.4</v>
      </c>
      <c r="AG83" s="1616">
        <v>5745.2</v>
      </c>
      <c r="AH83" s="1616">
        <v>124379.7</v>
      </c>
      <c r="AI83" s="1616">
        <v>125030.8</v>
      </c>
      <c r="AJ83" s="1616">
        <v>537.9</v>
      </c>
      <c r="AK83" s="1616">
        <v>125568.6</v>
      </c>
      <c r="AL83" s="1616">
        <v>1426.2</v>
      </c>
      <c r="AM83" s="1616">
        <v>31873.1</v>
      </c>
      <c r="AN83" s="1616">
        <v>91080.4</v>
      </c>
    </row>
    <row r="84" spans="1:40">
      <c r="A84" s="133">
        <v>2012</v>
      </c>
      <c r="B84" s="133" t="s">
        <v>11948</v>
      </c>
      <c r="C84" s="133" t="s">
        <v>12023</v>
      </c>
      <c r="D84" s="1616">
        <v>1343.4</v>
      </c>
      <c r="E84" s="1616">
        <v>72.8</v>
      </c>
      <c r="F84" s="1616">
        <v>24207</v>
      </c>
      <c r="G84" s="1616">
        <v>3077.9</v>
      </c>
      <c r="H84" s="1616">
        <v>373.8</v>
      </c>
      <c r="I84" s="1616">
        <v>517.5</v>
      </c>
      <c r="J84" s="1616">
        <v>2398.3000000000002</v>
      </c>
      <c r="K84" s="1616">
        <v>950.1</v>
      </c>
      <c r="L84" s="1616">
        <v>646.4</v>
      </c>
      <c r="M84" s="1616">
        <v>2282.5</v>
      </c>
      <c r="N84" s="1616">
        <v>1019.1</v>
      </c>
      <c r="O84" s="1616">
        <v>3513.8</v>
      </c>
      <c r="P84" s="1616">
        <v>1096.5999999999999</v>
      </c>
      <c r="Q84" s="1616">
        <v>1486.5</v>
      </c>
      <c r="R84" s="1616">
        <v>866.7</v>
      </c>
      <c r="S84" s="1616">
        <v>3522.1</v>
      </c>
      <c r="T84" s="1616">
        <v>2455.6999999999998</v>
      </c>
      <c r="U84" s="1616">
        <v>2391.6</v>
      </c>
      <c r="V84" s="1616">
        <v>4919.3999999999996</v>
      </c>
      <c r="W84" s="1616">
        <v>17162.400000000001</v>
      </c>
      <c r="X84" s="1616">
        <v>6341.6</v>
      </c>
      <c r="Y84" s="1616">
        <v>2798.8</v>
      </c>
      <c r="Z84" s="1616">
        <v>5846.9</v>
      </c>
      <c r="AA84" s="1616">
        <v>5606.2</v>
      </c>
      <c r="AB84" s="1616">
        <v>15598.7</v>
      </c>
      <c r="AC84" s="1616">
        <v>9312.9</v>
      </c>
      <c r="AD84" s="1616">
        <v>7247.9</v>
      </c>
      <c r="AE84" s="1616">
        <v>5316.6</v>
      </c>
      <c r="AF84" s="1616">
        <v>9152.7999999999993</v>
      </c>
      <c r="AG84" s="1616">
        <v>5487.9</v>
      </c>
      <c r="AH84" s="1616">
        <v>122806.8</v>
      </c>
      <c r="AI84" s="1616">
        <v>123564.7</v>
      </c>
      <c r="AJ84" s="1616">
        <v>-116.9</v>
      </c>
      <c r="AK84" s="1616">
        <v>123447.7</v>
      </c>
      <c r="AL84" s="1616">
        <v>1343.4</v>
      </c>
      <c r="AM84" s="1616">
        <v>29199.200000000001</v>
      </c>
      <c r="AN84" s="1616">
        <v>92264.3</v>
      </c>
    </row>
    <row r="85" spans="1:40">
      <c r="A85" s="133">
        <v>2012</v>
      </c>
      <c r="B85" s="133" t="s">
        <v>11950</v>
      </c>
      <c r="C85" s="133" t="s">
        <v>12024</v>
      </c>
      <c r="D85" s="1616">
        <v>1407.8</v>
      </c>
      <c r="E85" s="1616">
        <v>72.8</v>
      </c>
      <c r="F85" s="1616">
        <v>24364.7</v>
      </c>
      <c r="G85" s="1616">
        <v>3064.9</v>
      </c>
      <c r="H85" s="1616">
        <v>335.1</v>
      </c>
      <c r="I85" s="1616">
        <v>505.1</v>
      </c>
      <c r="J85" s="1616">
        <v>2429.8000000000002</v>
      </c>
      <c r="K85" s="1616">
        <v>1204.7</v>
      </c>
      <c r="L85" s="1616">
        <v>670.7</v>
      </c>
      <c r="M85" s="1616">
        <v>2198.5</v>
      </c>
      <c r="N85" s="1616">
        <v>1061.3</v>
      </c>
      <c r="O85" s="1616">
        <v>3600.5</v>
      </c>
      <c r="P85" s="1616">
        <v>1134.3</v>
      </c>
      <c r="Q85" s="1616">
        <v>1504.1</v>
      </c>
      <c r="R85" s="1616">
        <v>872</v>
      </c>
      <c r="S85" s="1616">
        <v>3347.3</v>
      </c>
      <c r="T85" s="1616">
        <v>2436.3000000000002</v>
      </c>
      <c r="U85" s="1616">
        <v>2792.2</v>
      </c>
      <c r="V85" s="1616">
        <v>5560.5</v>
      </c>
      <c r="W85" s="1616">
        <v>17136.099999999999</v>
      </c>
      <c r="X85" s="1616">
        <v>6724.7</v>
      </c>
      <c r="Y85" s="1616">
        <v>3185.6</v>
      </c>
      <c r="Z85" s="1616">
        <v>6246.6</v>
      </c>
      <c r="AA85" s="1616">
        <v>5461</v>
      </c>
      <c r="AB85" s="1616">
        <v>15637.5</v>
      </c>
      <c r="AC85" s="1616">
        <v>9256.9</v>
      </c>
      <c r="AD85" s="1616">
        <v>5446</v>
      </c>
      <c r="AE85" s="1616">
        <v>3936.3</v>
      </c>
      <c r="AF85" s="1616">
        <v>8879.6</v>
      </c>
      <c r="AG85" s="1616">
        <v>5782.2</v>
      </c>
      <c r="AH85" s="1616">
        <v>121890.3</v>
      </c>
      <c r="AI85" s="1616">
        <v>122632.7</v>
      </c>
      <c r="AJ85" s="1616">
        <v>-618.70000000000005</v>
      </c>
      <c r="AK85" s="1616">
        <v>122013.9</v>
      </c>
      <c r="AL85" s="1616">
        <v>1407.8</v>
      </c>
      <c r="AM85" s="1616">
        <v>29998</v>
      </c>
      <c r="AN85" s="1616">
        <v>90484.5</v>
      </c>
    </row>
    <row r="86" spans="1:40">
      <c r="A86" s="133">
        <v>2012</v>
      </c>
      <c r="B86" s="133" t="s">
        <v>11952</v>
      </c>
      <c r="C86" s="133" t="s">
        <v>12025</v>
      </c>
      <c r="D86" s="1616">
        <v>1442.2</v>
      </c>
      <c r="E86" s="1616">
        <v>83.5</v>
      </c>
      <c r="F86" s="1616">
        <v>24426</v>
      </c>
      <c r="G86" s="1616">
        <v>3150.4</v>
      </c>
      <c r="H86" s="1616">
        <v>349.7</v>
      </c>
      <c r="I86" s="1616">
        <v>520.6</v>
      </c>
      <c r="J86" s="1616">
        <v>2502.1</v>
      </c>
      <c r="K86" s="1616">
        <v>1081.5999999999999</v>
      </c>
      <c r="L86" s="1616">
        <v>686.2</v>
      </c>
      <c r="M86" s="1616">
        <v>2186.6</v>
      </c>
      <c r="N86" s="1616">
        <v>1233.7</v>
      </c>
      <c r="O86" s="1616">
        <v>3405.6</v>
      </c>
      <c r="P86" s="1616">
        <v>1178</v>
      </c>
      <c r="Q86" s="1616">
        <v>1496.3</v>
      </c>
      <c r="R86" s="1616">
        <v>808.5</v>
      </c>
      <c r="S86" s="1616">
        <v>3323.5</v>
      </c>
      <c r="T86" s="1616">
        <v>2503.1</v>
      </c>
      <c r="U86" s="1616">
        <v>2887.6</v>
      </c>
      <c r="V86" s="1616">
        <v>6603.9</v>
      </c>
      <c r="W86" s="1616">
        <v>18217.400000000001</v>
      </c>
      <c r="X86" s="1616">
        <v>6746.8</v>
      </c>
      <c r="Y86" s="1616">
        <v>3030</v>
      </c>
      <c r="Z86" s="1616">
        <v>6075.2</v>
      </c>
      <c r="AA86" s="1616">
        <v>5558.7</v>
      </c>
      <c r="AB86" s="1616">
        <v>15684.4</v>
      </c>
      <c r="AC86" s="1616">
        <v>9552.9</v>
      </c>
      <c r="AD86" s="1616">
        <v>7349.2</v>
      </c>
      <c r="AE86" s="1616">
        <v>5482.1</v>
      </c>
      <c r="AF86" s="1616">
        <v>9547.5</v>
      </c>
      <c r="AG86" s="1616">
        <v>5870.9</v>
      </c>
      <c r="AH86" s="1616">
        <v>128558.3</v>
      </c>
      <c r="AI86" s="1616">
        <v>129269.4</v>
      </c>
      <c r="AJ86" s="1616">
        <v>175</v>
      </c>
      <c r="AK86" s="1616">
        <v>129444.4</v>
      </c>
      <c r="AL86" s="1616">
        <v>1442.2</v>
      </c>
      <c r="AM86" s="1616">
        <v>31113.4</v>
      </c>
      <c r="AN86" s="1616">
        <v>96002.7</v>
      </c>
    </row>
    <row r="87" spans="1:40">
      <c r="A87" s="133">
        <v>2013</v>
      </c>
      <c r="B87" s="133" t="s">
        <v>11946</v>
      </c>
      <c r="C87" s="133" t="s">
        <v>12026</v>
      </c>
      <c r="D87" s="1616">
        <v>1216.7</v>
      </c>
      <c r="E87" s="1616">
        <v>92.2</v>
      </c>
      <c r="F87" s="1616">
        <v>23618.7</v>
      </c>
      <c r="G87" s="1616">
        <v>2667</v>
      </c>
      <c r="H87" s="1616">
        <v>359.6</v>
      </c>
      <c r="I87" s="1616">
        <v>499.7</v>
      </c>
      <c r="J87" s="1616">
        <v>2384.9</v>
      </c>
      <c r="K87" s="1616">
        <v>1335.9</v>
      </c>
      <c r="L87" s="1616">
        <v>650.29999999999995</v>
      </c>
      <c r="M87" s="1616">
        <v>2243</v>
      </c>
      <c r="N87" s="1616">
        <v>944.3</v>
      </c>
      <c r="O87" s="1616">
        <v>3396.2</v>
      </c>
      <c r="P87" s="1616">
        <v>974.7</v>
      </c>
      <c r="Q87" s="1616">
        <v>1497.5</v>
      </c>
      <c r="R87" s="1616">
        <v>904.9</v>
      </c>
      <c r="S87" s="1616">
        <v>3341.1</v>
      </c>
      <c r="T87" s="1616">
        <v>2419.6</v>
      </c>
      <c r="U87" s="1616">
        <v>2612.1</v>
      </c>
      <c r="V87" s="1616">
        <v>6445.9</v>
      </c>
      <c r="W87" s="1616">
        <v>17591.599999999999</v>
      </c>
      <c r="X87" s="1616">
        <v>6272.8</v>
      </c>
      <c r="Y87" s="1616">
        <v>3082.9</v>
      </c>
      <c r="Z87" s="1616">
        <v>6843.9</v>
      </c>
      <c r="AA87" s="1616">
        <v>5829.6</v>
      </c>
      <c r="AB87" s="1616">
        <v>15691.2</v>
      </c>
      <c r="AC87" s="1616">
        <v>9700.7999999999993</v>
      </c>
      <c r="AD87" s="1616">
        <v>5570.4</v>
      </c>
      <c r="AE87" s="1616">
        <v>3959.1</v>
      </c>
      <c r="AF87" s="1616">
        <v>9018</v>
      </c>
      <c r="AG87" s="1616">
        <v>5591.9</v>
      </c>
      <c r="AH87" s="1616">
        <v>123137.9</v>
      </c>
      <c r="AI87" s="1616">
        <v>123952.8</v>
      </c>
      <c r="AJ87" s="1616">
        <v>561.79999999999995</v>
      </c>
      <c r="AK87" s="1616">
        <v>124514.6</v>
      </c>
      <c r="AL87" s="1616">
        <v>1216.7</v>
      </c>
      <c r="AM87" s="1616">
        <v>30156.799999999999</v>
      </c>
      <c r="AN87" s="1616">
        <v>91764.4</v>
      </c>
    </row>
    <row r="88" spans="1:40">
      <c r="A88" s="133">
        <v>2013</v>
      </c>
      <c r="B88" s="133" t="s">
        <v>11948</v>
      </c>
      <c r="C88" s="133" t="s">
        <v>12027</v>
      </c>
      <c r="D88" s="1616">
        <v>1216.3</v>
      </c>
      <c r="E88" s="1616">
        <v>85.5</v>
      </c>
      <c r="F88" s="1616">
        <v>23825.8</v>
      </c>
      <c r="G88" s="1616">
        <v>3042.2</v>
      </c>
      <c r="H88" s="1616">
        <v>355.6</v>
      </c>
      <c r="I88" s="1616">
        <v>507.2</v>
      </c>
      <c r="J88" s="1616">
        <v>2448</v>
      </c>
      <c r="K88" s="1616">
        <v>1198.3</v>
      </c>
      <c r="L88" s="1616">
        <v>671.9</v>
      </c>
      <c r="M88" s="1616">
        <v>2232.6999999999998</v>
      </c>
      <c r="N88" s="1616">
        <v>1022</v>
      </c>
      <c r="O88" s="1616">
        <v>3352</v>
      </c>
      <c r="P88" s="1616">
        <v>1108.3</v>
      </c>
      <c r="Q88" s="1616">
        <v>1399.6</v>
      </c>
      <c r="R88" s="1616">
        <v>768.9</v>
      </c>
      <c r="S88" s="1616">
        <v>3197.3</v>
      </c>
      <c r="T88" s="1616">
        <v>2521.6999999999998</v>
      </c>
      <c r="U88" s="1616">
        <v>2625.3</v>
      </c>
      <c r="V88" s="1616">
        <v>5267.2</v>
      </c>
      <c r="W88" s="1616">
        <v>17541</v>
      </c>
      <c r="X88" s="1616">
        <v>6415</v>
      </c>
      <c r="Y88" s="1616">
        <v>3013.9</v>
      </c>
      <c r="Z88" s="1616">
        <v>5911.7</v>
      </c>
      <c r="AA88" s="1616">
        <v>5999.3</v>
      </c>
      <c r="AB88" s="1616">
        <v>15775.4</v>
      </c>
      <c r="AC88" s="1616">
        <v>9737.2999999999993</v>
      </c>
      <c r="AD88" s="1616">
        <v>7201</v>
      </c>
      <c r="AE88" s="1616">
        <v>5269.4</v>
      </c>
      <c r="AF88" s="1616">
        <v>9482.1</v>
      </c>
      <c r="AG88" s="1616">
        <v>5383.3</v>
      </c>
      <c r="AH88" s="1616">
        <v>124749.7</v>
      </c>
      <c r="AI88" s="1616">
        <v>125631.2</v>
      </c>
      <c r="AJ88" s="1616">
        <v>-385.4</v>
      </c>
      <c r="AK88" s="1616">
        <v>125245.8</v>
      </c>
      <c r="AL88" s="1616">
        <v>1216.3</v>
      </c>
      <c r="AM88" s="1616">
        <v>29178.5</v>
      </c>
      <c r="AN88" s="1616">
        <v>94354.9</v>
      </c>
    </row>
    <row r="89" spans="1:40">
      <c r="A89" s="133">
        <v>2013</v>
      </c>
      <c r="B89" s="133" t="s">
        <v>11950</v>
      </c>
      <c r="C89" s="133" t="s">
        <v>12028</v>
      </c>
      <c r="D89" s="1616">
        <v>1468.8</v>
      </c>
      <c r="E89" s="1616">
        <v>87.2</v>
      </c>
      <c r="F89" s="1616">
        <v>25050.1</v>
      </c>
      <c r="G89" s="1616">
        <v>3084.2</v>
      </c>
      <c r="H89" s="1616">
        <v>318.39999999999998</v>
      </c>
      <c r="I89" s="1616">
        <v>520.5</v>
      </c>
      <c r="J89" s="1616">
        <v>2479.4</v>
      </c>
      <c r="K89" s="1616">
        <v>1380.8</v>
      </c>
      <c r="L89" s="1616">
        <v>690.1</v>
      </c>
      <c r="M89" s="1616">
        <v>2192.8000000000002</v>
      </c>
      <c r="N89" s="1616">
        <v>1094.8</v>
      </c>
      <c r="O89" s="1616">
        <v>3587.8</v>
      </c>
      <c r="P89" s="1616">
        <v>1294.5</v>
      </c>
      <c r="Q89" s="1616">
        <v>1506.9</v>
      </c>
      <c r="R89" s="1616">
        <v>888.2</v>
      </c>
      <c r="S89" s="1616">
        <v>3481</v>
      </c>
      <c r="T89" s="1616">
        <v>2530.8000000000002</v>
      </c>
      <c r="U89" s="1616">
        <v>3211.5</v>
      </c>
      <c r="V89" s="1616">
        <v>6237.1</v>
      </c>
      <c r="W89" s="1616">
        <v>17477.7</v>
      </c>
      <c r="X89" s="1616">
        <v>6814.4</v>
      </c>
      <c r="Y89" s="1616">
        <v>3293.1</v>
      </c>
      <c r="Z89" s="1616">
        <v>6341.3</v>
      </c>
      <c r="AA89" s="1616">
        <v>5674.5</v>
      </c>
      <c r="AB89" s="1616">
        <v>15831.3</v>
      </c>
      <c r="AC89" s="1616">
        <v>9707.1</v>
      </c>
      <c r="AD89" s="1616">
        <v>5357.5</v>
      </c>
      <c r="AE89" s="1616">
        <v>3848.9</v>
      </c>
      <c r="AF89" s="1616">
        <v>9167.6</v>
      </c>
      <c r="AG89" s="1616">
        <v>5768.9</v>
      </c>
      <c r="AH89" s="1616">
        <v>125337.1</v>
      </c>
      <c r="AI89" s="1616">
        <v>126250.9</v>
      </c>
      <c r="AJ89" s="1616">
        <v>-641.70000000000005</v>
      </c>
      <c r="AK89" s="1616">
        <v>125609.2</v>
      </c>
      <c r="AL89" s="1616">
        <v>1468.8</v>
      </c>
      <c r="AM89" s="1616">
        <v>31374.400000000001</v>
      </c>
      <c r="AN89" s="1616">
        <v>92493.8</v>
      </c>
    </row>
    <row r="90" spans="1:40">
      <c r="A90" s="133">
        <v>2013</v>
      </c>
      <c r="B90" s="133" t="s">
        <v>11952</v>
      </c>
      <c r="C90" s="133" t="s">
        <v>12029</v>
      </c>
      <c r="D90" s="1616">
        <v>1524.4</v>
      </c>
      <c r="E90" s="1616">
        <v>95.6</v>
      </c>
      <c r="F90" s="1616">
        <v>25832.3</v>
      </c>
      <c r="G90" s="1616">
        <v>3106.9</v>
      </c>
      <c r="H90" s="1616">
        <v>327.9</v>
      </c>
      <c r="I90" s="1616">
        <v>543.1</v>
      </c>
      <c r="J90" s="1616">
        <v>2580.6</v>
      </c>
      <c r="K90" s="1616">
        <v>1284.0999999999999</v>
      </c>
      <c r="L90" s="1616">
        <v>735.4</v>
      </c>
      <c r="M90" s="1616">
        <v>2361.6999999999998</v>
      </c>
      <c r="N90" s="1616">
        <v>1270.9000000000001</v>
      </c>
      <c r="O90" s="1616">
        <v>3517.5</v>
      </c>
      <c r="P90" s="1616">
        <v>1244.4000000000001</v>
      </c>
      <c r="Q90" s="1616">
        <v>1559.1</v>
      </c>
      <c r="R90" s="1616">
        <v>977.4</v>
      </c>
      <c r="S90" s="1616">
        <v>3686.1</v>
      </c>
      <c r="T90" s="1616">
        <v>2637.2</v>
      </c>
      <c r="U90" s="1616">
        <v>3085.4</v>
      </c>
      <c r="V90" s="1616">
        <v>7400.5</v>
      </c>
      <c r="W90" s="1616">
        <v>18489.099999999999</v>
      </c>
      <c r="X90" s="1616">
        <v>6824.8</v>
      </c>
      <c r="Y90" s="1616">
        <v>3133.8</v>
      </c>
      <c r="Z90" s="1616">
        <v>6196.7</v>
      </c>
      <c r="AA90" s="1616">
        <v>5720.3</v>
      </c>
      <c r="AB90" s="1616">
        <v>15881.1</v>
      </c>
      <c r="AC90" s="1616">
        <v>9905.2999999999993</v>
      </c>
      <c r="AD90" s="1616">
        <v>7205.2</v>
      </c>
      <c r="AE90" s="1616">
        <v>5350.9</v>
      </c>
      <c r="AF90" s="1616">
        <v>9684.9</v>
      </c>
      <c r="AG90" s="1616">
        <v>5779.3</v>
      </c>
      <c r="AH90" s="1616">
        <v>132109.6</v>
      </c>
      <c r="AI90" s="1616">
        <v>133026.20000000001</v>
      </c>
      <c r="AJ90" s="1616">
        <v>304.8</v>
      </c>
      <c r="AK90" s="1616">
        <v>133331</v>
      </c>
      <c r="AL90" s="1616">
        <v>1524.4</v>
      </c>
      <c r="AM90" s="1616">
        <v>33328.400000000001</v>
      </c>
      <c r="AN90" s="1616">
        <v>97256.8</v>
      </c>
    </row>
    <row r="91" spans="1:40">
      <c r="A91" s="133">
        <v>2014</v>
      </c>
      <c r="B91" s="133" t="s">
        <v>11946</v>
      </c>
      <c r="C91" s="133" t="s">
        <v>12030</v>
      </c>
      <c r="D91" s="1616">
        <v>1231.5999999999999</v>
      </c>
      <c r="E91" s="1616">
        <v>94.1</v>
      </c>
      <c r="F91" s="1616">
        <v>24644.7</v>
      </c>
      <c r="G91" s="1616">
        <v>2725.9</v>
      </c>
      <c r="H91" s="1616">
        <v>346.9</v>
      </c>
      <c r="I91" s="1616">
        <v>508.9</v>
      </c>
      <c r="J91" s="1616">
        <v>2328.1</v>
      </c>
      <c r="K91" s="1616">
        <v>1201.8</v>
      </c>
      <c r="L91" s="1616">
        <v>681.9</v>
      </c>
      <c r="M91" s="1616">
        <v>2219.3000000000002</v>
      </c>
      <c r="N91" s="1616">
        <v>1073.2</v>
      </c>
      <c r="O91" s="1616">
        <v>3594.1</v>
      </c>
      <c r="P91" s="1616">
        <v>1044.5999999999999</v>
      </c>
      <c r="Q91" s="1616">
        <v>1692.6</v>
      </c>
      <c r="R91" s="1616">
        <v>1012.7</v>
      </c>
      <c r="S91" s="1616">
        <v>3689.2</v>
      </c>
      <c r="T91" s="1616">
        <v>2525.5</v>
      </c>
      <c r="U91" s="1616">
        <v>3077.8</v>
      </c>
      <c r="V91" s="1616">
        <v>7021</v>
      </c>
      <c r="W91" s="1616">
        <v>17951</v>
      </c>
      <c r="X91" s="1616">
        <v>6656.9</v>
      </c>
      <c r="Y91" s="1616">
        <v>3027</v>
      </c>
      <c r="Z91" s="1616">
        <v>6866.1</v>
      </c>
      <c r="AA91" s="1616">
        <v>5706.4</v>
      </c>
      <c r="AB91" s="1616">
        <v>15840.2</v>
      </c>
      <c r="AC91" s="1616">
        <v>10027.5</v>
      </c>
      <c r="AD91" s="1616">
        <v>5550.8</v>
      </c>
      <c r="AE91" s="1616">
        <v>3906.9</v>
      </c>
      <c r="AF91" s="1616">
        <v>9053.2000000000007</v>
      </c>
      <c r="AG91" s="1616">
        <v>5594.2</v>
      </c>
      <c r="AH91" s="1616">
        <v>126249.5</v>
      </c>
      <c r="AI91" s="1616">
        <v>127242.8</v>
      </c>
      <c r="AJ91" s="1616">
        <v>1248.7</v>
      </c>
      <c r="AK91" s="1616">
        <v>128491.5</v>
      </c>
      <c r="AL91" s="1616">
        <v>1231.5999999999999</v>
      </c>
      <c r="AM91" s="1616">
        <v>31759.8</v>
      </c>
      <c r="AN91" s="1616">
        <v>93258.1</v>
      </c>
    </row>
    <row r="92" spans="1:40">
      <c r="A92" s="133">
        <v>2014</v>
      </c>
      <c r="B92" s="133" t="s">
        <v>11948</v>
      </c>
      <c r="C92" s="133" t="s">
        <v>12031</v>
      </c>
      <c r="D92" s="1616">
        <v>1255.5999999999999</v>
      </c>
      <c r="E92" s="1616">
        <v>94.1</v>
      </c>
      <c r="F92" s="1616">
        <v>24966.3</v>
      </c>
      <c r="G92" s="1616">
        <v>3089.7</v>
      </c>
      <c r="H92" s="1616">
        <v>346.1</v>
      </c>
      <c r="I92" s="1616">
        <v>516.6</v>
      </c>
      <c r="J92" s="1616">
        <v>2350.4</v>
      </c>
      <c r="K92" s="1616">
        <v>1253.8</v>
      </c>
      <c r="L92" s="1616">
        <v>704.3</v>
      </c>
      <c r="M92" s="1616">
        <v>2437.6</v>
      </c>
      <c r="N92" s="1616">
        <v>1092.9000000000001</v>
      </c>
      <c r="O92" s="1616">
        <v>3596.3</v>
      </c>
      <c r="P92" s="1616">
        <v>1097</v>
      </c>
      <c r="Q92" s="1616">
        <v>1615</v>
      </c>
      <c r="R92" s="1616">
        <v>849.4</v>
      </c>
      <c r="S92" s="1616">
        <v>3428.9</v>
      </c>
      <c r="T92" s="1616">
        <v>2588.4</v>
      </c>
      <c r="U92" s="1616">
        <v>3256.2</v>
      </c>
      <c r="V92" s="1616">
        <v>5628.8</v>
      </c>
      <c r="W92" s="1616">
        <v>16808.3</v>
      </c>
      <c r="X92" s="1616">
        <v>6643.8</v>
      </c>
      <c r="Y92" s="1616">
        <v>3139.7</v>
      </c>
      <c r="Z92" s="1616">
        <v>6001.1</v>
      </c>
      <c r="AA92" s="1616">
        <v>5614.6</v>
      </c>
      <c r="AB92" s="1616">
        <v>16040.3</v>
      </c>
      <c r="AC92" s="1616">
        <v>10032.9</v>
      </c>
      <c r="AD92" s="1616">
        <v>7387.7</v>
      </c>
      <c r="AE92" s="1616">
        <v>5353.5</v>
      </c>
      <c r="AF92" s="1616">
        <v>9600.6</v>
      </c>
      <c r="AG92" s="1616">
        <v>5421.4</v>
      </c>
      <c r="AH92" s="1616">
        <v>127245.2</v>
      </c>
      <c r="AI92" s="1616">
        <v>128113.3</v>
      </c>
      <c r="AJ92" s="1616">
        <v>-324.3</v>
      </c>
      <c r="AK92" s="1616">
        <v>127789.1</v>
      </c>
      <c r="AL92" s="1616">
        <v>1255.5999999999999</v>
      </c>
      <c r="AM92" s="1616">
        <v>30689.3</v>
      </c>
      <c r="AN92" s="1616">
        <v>95300.3</v>
      </c>
    </row>
    <row r="93" spans="1:40">
      <c r="A93" s="133">
        <v>2014</v>
      </c>
      <c r="B93" s="133" t="s">
        <v>11950</v>
      </c>
      <c r="C93" s="133" t="s">
        <v>12032</v>
      </c>
      <c r="D93" s="1616">
        <v>1386.4</v>
      </c>
      <c r="E93" s="1616">
        <v>98.6</v>
      </c>
      <c r="F93" s="1616">
        <v>25295.9</v>
      </c>
      <c r="G93" s="1616">
        <v>3096.3</v>
      </c>
      <c r="H93" s="1616">
        <v>312.10000000000002</v>
      </c>
      <c r="I93" s="1616">
        <v>504.6</v>
      </c>
      <c r="J93" s="1616">
        <v>2350.6</v>
      </c>
      <c r="K93" s="1616">
        <v>1273.7</v>
      </c>
      <c r="L93" s="1616">
        <v>702.9</v>
      </c>
      <c r="M93" s="1616">
        <v>2409.1999999999998</v>
      </c>
      <c r="N93" s="1616">
        <v>1146.4000000000001</v>
      </c>
      <c r="O93" s="1616">
        <v>3743</v>
      </c>
      <c r="P93" s="1616">
        <v>1236</v>
      </c>
      <c r="Q93" s="1616">
        <v>1668.8</v>
      </c>
      <c r="R93" s="1616">
        <v>866.5</v>
      </c>
      <c r="S93" s="1616">
        <v>3435.4</v>
      </c>
      <c r="T93" s="1616">
        <v>2550.5</v>
      </c>
      <c r="U93" s="1616">
        <v>3557.3</v>
      </c>
      <c r="V93" s="1616">
        <v>6348.7</v>
      </c>
      <c r="W93" s="1616">
        <v>16991.3</v>
      </c>
      <c r="X93" s="1616">
        <v>7147.6</v>
      </c>
      <c r="Y93" s="1616">
        <v>3355.2</v>
      </c>
      <c r="Z93" s="1616">
        <v>6371.8</v>
      </c>
      <c r="AA93" s="1616">
        <v>5628.3</v>
      </c>
      <c r="AB93" s="1616">
        <v>16016.4</v>
      </c>
      <c r="AC93" s="1616">
        <v>10039.700000000001</v>
      </c>
      <c r="AD93" s="1616">
        <v>5523.5</v>
      </c>
      <c r="AE93" s="1616">
        <v>3933.1</v>
      </c>
      <c r="AF93" s="1616">
        <v>9272.7999999999993</v>
      </c>
      <c r="AG93" s="1616">
        <v>5730.7</v>
      </c>
      <c r="AH93" s="1616">
        <v>126697.2</v>
      </c>
      <c r="AI93" s="1616">
        <v>127761.4</v>
      </c>
      <c r="AJ93" s="1616">
        <v>-981.7</v>
      </c>
      <c r="AK93" s="1616">
        <v>126779.7</v>
      </c>
      <c r="AL93" s="1616">
        <v>1386.4</v>
      </c>
      <c r="AM93" s="1616">
        <v>31743.200000000001</v>
      </c>
      <c r="AN93" s="1616">
        <v>93567.6</v>
      </c>
    </row>
    <row r="94" spans="1:40">
      <c r="A94" s="133">
        <v>2014</v>
      </c>
      <c r="B94" s="133" t="s">
        <v>11952</v>
      </c>
      <c r="C94" s="133" t="s">
        <v>12033</v>
      </c>
      <c r="D94" s="1616">
        <v>1296.9000000000001</v>
      </c>
      <c r="E94" s="1616">
        <v>111.8</v>
      </c>
      <c r="F94" s="1616">
        <v>26746.9</v>
      </c>
      <c r="G94" s="1616">
        <v>3253.1</v>
      </c>
      <c r="H94" s="1616">
        <v>346.5</v>
      </c>
      <c r="I94" s="1616">
        <v>547.1</v>
      </c>
      <c r="J94" s="1616">
        <v>2644.8</v>
      </c>
      <c r="K94" s="1616">
        <v>1197.8</v>
      </c>
      <c r="L94" s="1616">
        <v>760.6</v>
      </c>
      <c r="M94" s="1616">
        <v>2514.6999999999998</v>
      </c>
      <c r="N94" s="1616">
        <v>1295.5</v>
      </c>
      <c r="O94" s="1616">
        <v>3608.2</v>
      </c>
      <c r="P94" s="1616">
        <v>1508.1</v>
      </c>
      <c r="Q94" s="1616">
        <v>1658.7</v>
      </c>
      <c r="R94" s="1616">
        <v>919.4</v>
      </c>
      <c r="S94" s="1616">
        <v>3765.1</v>
      </c>
      <c r="T94" s="1616">
        <v>2727.4</v>
      </c>
      <c r="U94" s="1616">
        <v>3345.5</v>
      </c>
      <c r="V94" s="1616">
        <v>7418.4</v>
      </c>
      <c r="W94" s="1616">
        <v>17790.3</v>
      </c>
      <c r="X94" s="1616">
        <v>7358.3</v>
      </c>
      <c r="Y94" s="1616">
        <v>3312.5</v>
      </c>
      <c r="Z94" s="1616">
        <v>6391.6</v>
      </c>
      <c r="AA94" s="1616">
        <v>5833.5</v>
      </c>
      <c r="AB94" s="1616">
        <v>16026.5</v>
      </c>
      <c r="AC94" s="1616">
        <v>10125.799999999999</v>
      </c>
      <c r="AD94" s="1616">
        <v>7505.6</v>
      </c>
      <c r="AE94" s="1616">
        <v>5523.4</v>
      </c>
      <c r="AF94" s="1616">
        <v>9837.6</v>
      </c>
      <c r="AG94" s="1616">
        <v>5814.2</v>
      </c>
      <c r="AH94" s="1616">
        <v>134438.79999999999</v>
      </c>
      <c r="AI94" s="1616">
        <v>135508.9</v>
      </c>
      <c r="AJ94" s="1616">
        <v>241.9</v>
      </c>
      <c r="AK94" s="1616">
        <v>135750.79999999999</v>
      </c>
      <c r="AL94" s="1616">
        <v>1296.9000000000001</v>
      </c>
      <c r="AM94" s="1616">
        <v>34277.1</v>
      </c>
      <c r="AN94" s="1616">
        <v>98864.8</v>
      </c>
    </row>
    <row r="95" spans="1:40">
      <c r="A95" s="133">
        <v>2015</v>
      </c>
      <c r="B95" s="133" t="s">
        <v>11946</v>
      </c>
      <c r="C95" s="133" t="s">
        <v>12034</v>
      </c>
      <c r="D95" s="1616">
        <v>1236.2</v>
      </c>
      <c r="E95" s="1616">
        <v>103.6</v>
      </c>
      <c r="F95" s="1616">
        <v>26902.7</v>
      </c>
      <c r="G95" s="1616">
        <v>2887.5</v>
      </c>
      <c r="H95" s="1616">
        <v>429.7</v>
      </c>
      <c r="I95" s="1616">
        <v>615</v>
      </c>
      <c r="J95" s="1616">
        <v>2685</v>
      </c>
      <c r="K95" s="1616">
        <v>1401.1</v>
      </c>
      <c r="L95" s="1616">
        <v>736.4</v>
      </c>
      <c r="M95" s="1616">
        <v>2449.9</v>
      </c>
      <c r="N95" s="1616">
        <v>1095.5999999999999</v>
      </c>
      <c r="O95" s="1616">
        <v>4121.2</v>
      </c>
      <c r="P95" s="1616">
        <v>1207.2</v>
      </c>
      <c r="Q95" s="1616">
        <v>1674.5</v>
      </c>
      <c r="R95" s="1616">
        <v>1061.4000000000001</v>
      </c>
      <c r="S95" s="1616">
        <v>3822</v>
      </c>
      <c r="T95" s="1616">
        <v>2716.3</v>
      </c>
      <c r="U95" s="1616">
        <v>3821.2</v>
      </c>
      <c r="V95" s="1616">
        <v>7254.7</v>
      </c>
      <c r="W95" s="1616">
        <v>17248.599999999999</v>
      </c>
      <c r="X95" s="1616">
        <v>6975.6</v>
      </c>
      <c r="Y95" s="1616">
        <v>2896.3</v>
      </c>
      <c r="Z95" s="1616">
        <v>7304.8</v>
      </c>
      <c r="AA95" s="1616">
        <v>5733</v>
      </c>
      <c r="AB95" s="1616">
        <v>16062.8</v>
      </c>
      <c r="AC95" s="1616">
        <v>10858.5</v>
      </c>
      <c r="AD95" s="1616">
        <v>5721.9</v>
      </c>
      <c r="AE95" s="1616">
        <v>3965.4</v>
      </c>
      <c r="AF95" s="1616">
        <v>9517.2999999999993</v>
      </c>
      <c r="AG95" s="1616">
        <v>5547.9</v>
      </c>
      <c r="AH95" s="1616">
        <v>131150.5</v>
      </c>
      <c r="AI95" s="1616">
        <v>131983</v>
      </c>
      <c r="AJ95" s="1616">
        <v>1120.3</v>
      </c>
      <c r="AK95" s="1616">
        <v>133103.29999999999</v>
      </c>
      <c r="AL95" s="1616">
        <v>1236.2</v>
      </c>
      <c r="AM95" s="1616">
        <v>34261</v>
      </c>
      <c r="AN95" s="1616">
        <v>95653.4</v>
      </c>
    </row>
    <row r="96" spans="1:40">
      <c r="A96" s="133">
        <v>2015</v>
      </c>
      <c r="B96" s="133" t="s">
        <v>11948</v>
      </c>
      <c r="C96" s="133" t="s">
        <v>12035</v>
      </c>
      <c r="D96" s="1616">
        <v>1368.2</v>
      </c>
      <c r="E96" s="1616">
        <v>102.9</v>
      </c>
      <c r="F96" s="1616">
        <v>27245.5</v>
      </c>
      <c r="G96" s="1616">
        <v>3442.8</v>
      </c>
      <c r="H96" s="1616">
        <v>417</v>
      </c>
      <c r="I96" s="1616">
        <v>638.1</v>
      </c>
      <c r="J96" s="1616">
        <v>2777.4</v>
      </c>
      <c r="K96" s="1616">
        <v>1255.4000000000001</v>
      </c>
      <c r="L96" s="1616">
        <v>759.8</v>
      </c>
      <c r="M96" s="1616">
        <v>2444</v>
      </c>
      <c r="N96" s="1616">
        <v>1202.5999999999999</v>
      </c>
      <c r="O96" s="1616">
        <v>3984.1</v>
      </c>
      <c r="P96" s="1616">
        <v>1317</v>
      </c>
      <c r="Q96" s="1616">
        <v>1611.9</v>
      </c>
      <c r="R96" s="1616">
        <v>833.6</v>
      </c>
      <c r="S96" s="1616">
        <v>3733.3</v>
      </c>
      <c r="T96" s="1616">
        <v>2828.5</v>
      </c>
      <c r="U96" s="1616">
        <v>3993.8</v>
      </c>
      <c r="V96" s="1616">
        <v>5940.8</v>
      </c>
      <c r="W96" s="1616">
        <v>17250.5</v>
      </c>
      <c r="X96" s="1616">
        <v>6936.1</v>
      </c>
      <c r="Y96" s="1616">
        <v>3072.8</v>
      </c>
      <c r="Z96" s="1616">
        <v>6195.1</v>
      </c>
      <c r="AA96" s="1616">
        <v>5799.4</v>
      </c>
      <c r="AB96" s="1616">
        <v>16154.4</v>
      </c>
      <c r="AC96" s="1616">
        <v>10305.6</v>
      </c>
      <c r="AD96" s="1616">
        <v>7470.7</v>
      </c>
      <c r="AE96" s="1616">
        <v>5351.7</v>
      </c>
      <c r="AF96" s="1616">
        <v>10099.5</v>
      </c>
      <c r="AG96" s="1616">
        <v>5658.1</v>
      </c>
      <c r="AH96" s="1616">
        <v>132945.1</v>
      </c>
      <c r="AI96" s="1616">
        <v>133695.9</v>
      </c>
      <c r="AJ96" s="1616">
        <v>-796</v>
      </c>
      <c r="AK96" s="1616">
        <v>132899.79999999999</v>
      </c>
      <c r="AL96" s="1616">
        <v>1368.2</v>
      </c>
      <c r="AM96" s="1616">
        <v>33289.1</v>
      </c>
      <c r="AN96" s="1616">
        <v>98287.7</v>
      </c>
    </row>
    <row r="97" spans="1:40">
      <c r="A97" s="133">
        <v>2015</v>
      </c>
      <c r="B97" s="133" t="s">
        <v>11950</v>
      </c>
      <c r="C97" s="133" t="s">
        <v>12036</v>
      </c>
      <c r="D97" s="1616">
        <v>1495.3</v>
      </c>
      <c r="E97" s="1616">
        <v>98.9</v>
      </c>
      <c r="F97" s="1616">
        <v>27313.4</v>
      </c>
      <c r="G97" s="1616">
        <v>3386.4</v>
      </c>
      <c r="H97" s="1616">
        <v>363</v>
      </c>
      <c r="I97" s="1616">
        <v>620.20000000000005</v>
      </c>
      <c r="J97" s="1616">
        <v>2765.6</v>
      </c>
      <c r="K97" s="1616">
        <v>1205.0999999999999</v>
      </c>
      <c r="L97" s="1616">
        <v>765.6</v>
      </c>
      <c r="M97" s="1616">
        <v>2446.6</v>
      </c>
      <c r="N97" s="1616">
        <v>1294.3</v>
      </c>
      <c r="O97" s="1616">
        <v>3916.8</v>
      </c>
      <c r="P97" s="1616">
        <v>1364.2</v>
      </c>
      <c r="Q97" s="1616">
        <v>1624.9</v>
      </c>
      <c r="R97" s="1616">
        <v>887.5</v>
      </c>
      <c r="S97" s="1616">
        <v>3884</v>
      </c>
      <c r="T97" s="1616">
        <v>2789.2</v>
      </c>
      <c r="U97" s="1616">
        <v>3888.6</v>
      </c>
      <c r="V97" s="1616">
        <v>6813</v>
      </c>
      <c r="W97" s="1616">
        <v>17401.5</v>
      </c>
      <c r="X97" s="1616">
        <v>7272.1</v>
      </c>
      <c r="Y97" s="1616">
        <v>3360.8</v>
      </c>
      <c r="Z97" s="1616">
        <v>6523.9</v>
      </c>
      <c r="AA97" s="1616">
        <v>5767.7</v>
      </c>
      <c r="AB97" s="1616">
        <v>16152.3</v>
      </c>
      <c r="AC97" s="1616">
        <v>10381.200000000001</v>
      </c>
      <c r="AD97" s="1616">
        <v>5577.9</v>
      </c>
      <c r="AE97" s="1616">
        <v>3932.6</v>
      </c>
      <c r="AF97" s="1616">
        <v>9753.7999999999993</v>
      </c>
      <c r="AG97" s="1616">
        <v>5640.8</v>
      </c>
      <c r="AH97" s="1616">
        <v>131373.70000000001</v>
      </c>
      <c r="AI97" s="1616">
        <v>132217.79999999999</v>
      </c>
      <c r="AJ97" s="1616">
        <v>-241.8</v>
      </c>
      <c r="AK97" s="1616">
        <v>131976.1</v>
      </c>
      <c r="AL97" s="1616">
        <v>1495.3</v>
      </c>
      <c r="AM97" s="1616">
        <v>34225.300000000003</v>
      </c>
      <c r="AN97" s="1616">
        <v>95653.2</v>
      </c>
    </row>
    <row r="98" spans="1:40">
      <c r="A98" s="133">
        <v>2015</v>
      </c>
      <c r="B98" s="133" t="s">
        <v>11952</v>
      </c>
      <c r="C98" s="133" t="s">
        <v>12037</v>
      </c>
      <c r="D98" s="1616">
        <v>1464.3</v>
      </c>
      <c r="E98" s="1616">
        <v>104</v>
      </c>
      <c r="F98" s="1616">
        <v>28633</v>
      </c>
      <c r="G98" s="1616">
        <v>3479.2</v>
      </c>
      <c r="H98" s="1616">
        <v>385.5</v>
      </c>
      <c r="I98" s="1616">
        <v>633</v>
      </c>
      <c r="J98" s="1616">
        <v>3021.3</v>
      </c>
      <c r="K98" s="1616">
        <v>1398.4</v>
      </c>
      <c r="L98" s="1616">
        <v>810.4</v>
      </c>
      <c r="M98" s="1616">
        <v>2463.6</v>
      </c>
      <c r="N98" s="1616">
        <v>1463.4</v>
      </c>
      <c r="O98" s="1616">
        <v>3791.9</v>
      </c>
      <c r="P98" s="1616">
        <v>1517</v>
      </c>
      <c r="Q98" s="1616">
        <v>1719.1</v>
      </c>
      <c r="R98" s="1616">
        <v>892.6</v>
      </c>
      <c r="S98" s="1616">
        <v>4114.8</v>
      </c>
      <c r="T98" s="1616">
        <v>2942.8</v>
      </c>
      <c r="U98" s="1616">
        <v>3687.3</v>
      </c>
      <c r="V98" s="1616">
        <v>7886.2</v>
      </c>
      <c r="W98" s="1616">
        <v>18302.900000000001</v>
      </c>
      <c r="X98" s="1616">
        <v>7311.9</v>
      </c>
      <c r="Y98" s="1616">
        <v>3392.8</v>
      </c>
      <c r="Z98" s="1616">
        <v>6592.1</v>
      </c>
      <c r="AA98" s="1616">
        <v>5702.2</v>
      </c>
      <c r="AB98" s="1616">
        <v>16199</v>
      </c>
      <c r="AC98" s="1616">
        <v>10670.4</v>
      </c>
      <c r="AD98" s="1616">
        <v>7622.7</v>
      </c>
      <c r="AE98" s="1616">
        <v>5559.3</v>
      </c>
      <c r="AF98" s="1616">
        <v>10526.5</v>
      </c>
      <c r="AG98" s="1616">
        <v>5752</v>
      </c>
      <c r="AH98" s="1616">
        <v>139406.70000000001</v>
      </c>
      <c r="AI98" s="1616">
        <v>140084</v>
      </c>
      <c r="AJ98" s="1616">
        <v>-30.9</v>
      </c>
      <c r="AK98" s="1616">
        <v>140053.20000000001</v>
      </c>
      <c r="AL98" s="1616">
        <v>1464.3</v>
      </c>
      <c r="AM98" s="1616">
        <v>36623.199999999997</v>
      </c>
      <c r="AN98" s="1616">
        <v>101319.3</v>
      </c>
    </row>
    <row r="99" spans="1:40">
      <c r="A99" s="133">
        <v>2016</v>
      </c>
      <c r="B99" s="133" t="s">
        <v>11946</v>
      </c>
      <c r="C99" s="133" t="s">
        <v>12038</v>
      </c>
      <c r="D99" s="1616">
        <v>1337.2</v>
      </c>
      <c r="E99" s="1616">
        <v>92.5</v>
      </c>
      <c r="F99" s="1616">
        <v>27595.7</v>
      </c>
      <c r="G99" s="1616">
        <v>3168.4</v>
      </c>
      <c r="H99" s="1616">
        <v>398.1</v>
      </c>
      <c r="I99" s="1616">
        <v>686.1</v>
      </c>
      <c r="J99" s="1616">
        <v>2996.6</v>
      </c>
      <c r="K99" s="1616">
        <v>1546.5</v>
      </c>
      <c r="L99" s="1616">
        <v>745.2</v>
      </c>
      <c r="M99" s="1616">
        <v>2485.8000000000002</v>
      </c>
      <c r="N99" s="1616">
        <v>1187.9000000000001</v>
      </c>
      <c r="O99" s="1616">
        <v>3934.9</v>
      </c>
      <c r="P99" s="1616">
        <v>1189.8</v>
      </c>
      <c r="Q99" s="1616">
        <v>1648.9</v>
      </c>
      <c r="R99" s="1616">
        <v>936.6</v>
      </c>
      <c r="S99" s="1616">
        <v>3972.6</v>
      </c>
      <c r="T99" s="1616">
        <v>2698.3</v>
      </c>
      <c r="U99" s="1616">
        <v>3991.6</v>
      </c>
      <c r="V99" s="1616">
        <v>7565.5</v>
      </c>
      <c r="W99" s="1616">
        <v>17210.099999999999</v>
      </c>
      <c r="X99" s="1616">
        <v>7001.5</v>
      </c>
      <c r="Y99" s="1616">
        <v>3253.3</v>
      </c>
      <c r="Z99" s="1616">
        <v>7412.3</v>
      </c>
      <c r="AA99" s="1616">
        <v>5682.4</v>
      </c>
      <c r="AB99" s="1616">
        <v>16175.9</v>
      </c>
      <c r="AC99" s="1616">
        <v>11194.9</v>
      </c>
      <c r="AD99" s="1616">
        <v>5848.8</v>
      </c>
      <c r="AE99" s="1616">
        <v>4024.3</v>
      </c>
      <c r="AF99" s="1616">
        <v>10320.299999999999</v>
      </c>
      <c r="AG99" s="1616">
        <v>5536.2</v>
      </c>
      <c r="AH99" s="1616">
        <v>134242.4</v>
      </c>
      <c r="AI99" s="1616">
        <v>134743.29999999999</v>
      </c>
      <c r="AJ99" s="1616">
        <v>1068.5</v>
      </c>
      <c r="AK99" s="1616">
        <v>135811.79999999999</v>
      </c>
      <c r="AL99" s="1616">
        <v>1337.2</v>
      </c>
      <c r="AM99" s="1616">
        <v>35253.699999999997</v>
      </c>
      <c r="AN99" s="1616">
        <v>97651.5</v>
      </c>
    </row>
    <row r="100" spans="1:40">
      <c r="A100" s="133">
        <v>2016</v>
      </c>
      <c r="B100" s="133" t="s">
        <v>11948</v>
      </c>
      <c r="C100" s="133" t="s">
        <v>12039</v>
      </c>
      <c r="D100" s="1616">
        <v>1439.9</v>
      </c>
      <c r="E100" s="1616">
        <v>85.9</v>
      </c>
      <c r="F100" s="1616">
        <v>27276.2</v>
      </c>
      <c r="G100" s="1616">
        <v>3617.5</v>
      </c>
      <c r="H100" s="1616">
        <v>359.7</v>
      </c>
      <c r="I100" s="1616">
        <v>673.6</v>
      </c>
      <c r="J100" s="1616">
        <v>2983.3</v>
      </c>
      <c r="K100" s="1616">
        <v>1331.6</v>
      </c>
      <c r="L100" s="1616">
        <v>728.4</v>
      </c>
      <c r="M100" s="1616">
        <v>2564.4</v>
      </c>
      <c r="N100" s="1616">
        <v>1244.5</v>
      </c>
      <c r="O100" s="1616">
        <v>3923.5</v>
      </c>
      <c r="P100" s="1616">
        <v>1233.3</v>
      </c>
      <c r="Q100" s="1616">
        <v>1629.2</v>
      </c>
      <c r="R100" s="1616">
        <v>725.2</v>
      </c>
      <c r="S100" s="1616">
        <v>3550.4</v>
      </c>
      <c r="T100" s="1616">
        <v>2711.7</v>
      </c>
      <c r="U100" s="1616">
        <v>3959.5</v>
      </c>
      <c r="V100" s="1616">
        <v>6233.5</v>
      </c>
      <c r="W100" s="1616">
        <v>17098</v>
      </c>
      <c r="X100" s="1616">
        <v>6929.6</v>
      </c>
      <c r="Y100" s="1616">
        <v>3387.3</v>
      </c>
      <c r="Z100" s="1616">
        <v>6331.9</v>
      </c>
      <c r="AA100" s="1616">
        <v>5517.9</v>
      </c>
      <c r="AB100" s="1616">
        <v>16248.3</v>
      </c>
      <c r="AC100" s="1616">
        <v>10599.9</v>
      </c>
      <c r="AD100" s="1616">
        <v>7582.5</v>
      </c>
      <c r="AE100" s="1616">
        <v>5410.5</v>
      </c>
      <c r="AF100" s="1616">
        <v>10565.4</v>
      </c>
      <c r="AG100" s="1616">
        <v>5509.8</v>
      </c>
      <c r="AH100" s="1616">
        <v>134175.9</v>
      </c>
      <c r="AI100" s="1616">
        <v>134554.4</v>
      </c>
      <c r="AJ100" s="1616">
        <v>-283.39999999999998</v>
      </c>
      <c r="AK100" s="1616">
        <v>134271</v>
      </c>
      <c r="AL100" s="1616">
        <v>1439.9</v>
      </c>
      <c r="AM100" s="1616">
        <v>33595.599999999999</v>
      </c>
      <c r="AN100" s="1616">
        <v>99140.5</v>
      </c>
    </row>
    <row r="101" spans="1:40">
      <c r="A101" s="133">
        <v>2016</v>
      </c>
      <c r="B101" s="133" t="s">
        <v>11950</v>
      </c>
      <c r="C101" s="133" t="s">
        <v>12040</v>
      </c>
      <c r="D101" s="1616">
        <v>1513.2</v>
      </c>
      <c r="E101" s="1616">
        <v>88.3</v>
      </c>
      <c r="F101" s="1616">
        <v>27234.1</v>
      </c>
      <c r="G101" s="1616">
        <v>3501.6</v>
      </c>
      <c r="H101" s="1616">
        <v>320.8</v>
      </c>
      <c r="I101" s="1616">
        <v>650.29999999999995</v>
      </c>
      <c r="J101" s="1616">
        <v>2931.3</v>
      </c>
      <c r="K101" s="1616">
        <v>1351.3</v>
      </c>
      <c r="L101" s="1616">
        <v>742.7</v>
      </c>
      <c r="M101" s="1616">
        <v>2469.9</v>
      </c>
      <c r="N101" s="1616">
        <v>1303.2</v>
      </c>
      <c r="O101" s="1616">
        <v>3946.5</v>
      </c>
      <c r="P101" s="1616">
        <v>1333.5</v>
      </c>
      <c r="Q101" s="1616">
        <v>1651.1</v>
      </c>
      <c r="R101" s="1616">
        <v>783.8</v>
      </c>
      <c r="S101" s="1616">
        <v>3568.2</v>
      </c>
      <c r="T101" s="1616">
        <v>2679.8</v>
      </c>
      <c r="U101" s="1616">
        <v>4121.5</v>
      </c>
      <c r="V101" s="1616">
        <v>7259</v>
      </c>
      <c r="W101" s="1616">
        <v>17360.3</v>
      </c>
      <c r="X101" s="1616">
        <v>7261.2</v>
      </c>
      <c r="Y101" s="1616">
        <v>3693.5</v>
      </c>
      <c r="Z101" s="1616">
        <v>6653.1</v>
      </c>
      <c r="AA101" s="1616">
        <v>5451.4</v>
      </c>
      <c r="AB101" s="1616">
        <v>16246.5</v>
      </c>
      <c r="AC101" s="1616">
        <v>10732</v>
      </c>
      <c r="AD101" s="1616">
        <v>5643</v>
      </c>
      <c r="AE101" s="1616">
        <v>3954.2</v>
      </c>
      <c r="AF101" s="1616">
        <v>10231.4</v>
      </c>
      <c r="AG101" s="1616">
        <v>5493.2</v>
      </c>
      <c r="AH101" s="1616">
        <v>132935.79999999999</v>
      </c>
      <c r="AI101" s="1616">
        <v>133458.70000000001</v>
      </c>
      <c r="AJ101" s="1616">
        <v>-819.2</v>
      </c>
      <c r="AK101" s="1616">
        <v>132639.5</v>
      </c>
      <c r="AL101" s="1616">
        <v>1513.2</v>
      </c>
      <c r="AM101" s="1616">
        <v>34581.4</v>
      </c>
      <c r="AN101" s="1616">
        <v>96841.2</v>
      </c>
    </row>
    <row r="102" spans="1:40">
      <c r="A102" s="133">
        <v>2016</v>
      </c>
      <c r="B102" s="133" t="s">
        <v>11952</v>
      </c>
      <c r="C102" s="133" t="s">
        <v>12041</v>
      </c>
      <c r="D102" s="1616">
        <v>1833.8</v>
      </c>
      <c r="E102" s="1616">
        <v>97.5</v>
      </c>
      <c r="F102" s="1616">
        <v>28334.9</v>
      </c>
      <c r="G102" s="1616">
        <v>3404.6</v>
      </c>
      <c r="H102" s="1616">
        <v>323.3</v>
      </c>
      <c r="I102" s="1616">
        <v>666.1</v>
      </c>
      <c r="J102" s="1616">
        <v>3078.3</v>
      </c>
      <c r="K102" s="1616">
        <v>1442.3</v>
      </c>
      <c r="L102" s="1616">
        <v>787.5</v>
      </c>
      <c r="M102" s="1616">
        <v>2499.6999999999998</v>
      </c>
      <c r="N102" s="1616">
        <v>1420.6</v>
      </c>
      <c r="O102" s="1616">
        <v>3966.9</v>
      </c>
      <c r="P102" s="1616">
        <v>1644.2</v>
      </c>
      <c r="Q102" s="1616">
        <v>1648.3</v>
      </c>
      <c r="R102" s="1616">
        <v>772.4</v>
      </c>
      <c r="S102" s="1616">
        <v>3907.6</v>
      </c>
      <c r="T102" s="1616">
        <v>2773.2</v>
      </c>
      <c r="U102" s="1616">
        <v>3692.2</v>
      </c>
      <c r="V102" s="1616">
        <v>8223.4</v>
      </c>
      <c r="W102" s="1616">
        <v>18623.5</v>
      </c>
      <c r="X102" s="1616">
        <v>7337.1</v>
      </c>
      <c r="Y102" s="1616">
        <v>3564</v>
      </c>
      <c r="Z102" s="1616">
        <v>6642.3</v>
      </c>
      <c r="AA102" s="1616">
        <v>5611.3</v>
      </c>
      <c r="AB102" s="1616">
        <v>16237.8</v>
      </c>
      <c r="AC102" s="1616">
        <v>11232.9</v>
      </c>
      <c r="AD102" s="1616">
        <v>7639.1</v>
      </c>
      <c r="AE102" s="1616">
        <v>5567.4</v>
      </c>
      <c r="AF102" s="1616">
        <v>10790.6</v>
      </c>
      <c r="AG102" s="1616">
        <v>5633.7</v>
      </c>
      <c r="AH102" s="1616">
        <v>141061.5</v>
      </c>
      <c r="AI102" s="1616">
        <v>141634.20000000001</v>
      </c>
      <c r="AJ102" s="1616">
        <v>8.1</v>
      </c>
      <c r="AK102" s="1616">
        <v>141642.29999999999</v>
      </c>
      <c r="AL102" s="1616">
        <v>1833.8</v>
      </c>
      <c r="AM102" s="1616">
        <v>36655.800000000003</v>
      </c>
      <c r="AN102" s="1616">
        <v>102571.9</v>
      </c>
    </row>
    <row r="103" spans="1:40">
      <c r="A103" s="133">
        <v>2017</v>
      </c>
      <c r="B103" s="133" t="s">
        <v>11946</v>
      </c>
      <c r="C103" s="133" t="s">
        <v>12042</v>
      </c>
      <c r="D103" s="1616">
        <v>1427.1</v>
      </c>
      <c r="E103" s="1616">
        <v>103.5</v>
      </c>
      <c r="F103" s="1616">
        <v>27064.6</v>
      </c>
      <c r="G103" s="1616">
        <v>3058.3</v>
      </c>
      <c r="H103" s="1616">
        <v>357.7</v>
      </c>
      <c r="I103" s="1616">
        <v>634.79999999999995</v>
      </c>
      <c r="J103" s="1616">
        <v>2771.1</v>
      </c>
      <c r="K103" s="1616">
        <v>1462.9</v>
      </c>
      <c r="L103" s="1616">
        <v>739.2</v>
      </c>
      <c r="M103" s="1616">
        <v>2296.4</v>
      </c>
      <c r="N103" s="1616">
        <v>1258.7</v>
      </c>
      <c r="O103" s="1616">
        <v>4044.1</v>
      </c>
      <c r="P103" s="1616">
        <v>1287.2</v>
      </c>
      <c r="Q103" s="1616">
        <v>1721.9</v>
      </c>
      <c r="R103" s="1616">
        <v>877.1</v>
      </c>
      <c r="S103" s="1616">
        <v>3899.7</v>
      </c>
      <c r="T103" s="1616">
        <v>2655.5</v>
      </c>
      <c r="U103" s="1616">
        <v>3898.8</v>
      </c>
      <c r="V103" s="1616">
        <v>7661.7</v>
      </c>
      <c r="W103" s="1616">
        <v>17762</v>
      </c>
      <c r="X103" s="1616">
        <v>7143.9</v>
      </c>
      <c r="Y103" s="1616">
        <v>3334.4</v>
      </c>
      <c r="Z103" s="1616">
        <v>7361.8</v>
      </c>
      <c r="AA103" s="1616">
        <v>5589.9</v>
      </c>
      <c r="AB103" s="1616">
        <v>16312.2</v>
      </c>
      <c r="AC103" s="1616">
        <v>11323.2</v>
      </c>
      <c r="AD103" s="1616">
        <v>5879</v>
      </c>
      <c r="AE103" s="1616">
        <v>4020.7</v>
      </c>
      <c r="AF103" s="1616">
        <v>10053.5</v>
      </c>
      <c r="AG103" s="1616">
        <v>5457.7</v>
      </c>
      <c r="AH103" s="1616">
        <v>134394.1</v>
      </c>
      <c r="AI103" s="1616">
        <v>135033.79999999999</v>
      </c>
      <c r="AJ103" s="1616">
        <v>1243.3</v>
      </c>
      <c r="AK103" s="1616">
        <v>136277.1</v>
      </c>
      <c r="AL103" s="1616">
        <v>1427.1</v>
      </c>
      <c r="AM103" s="1616">
        <v>34829.800000000003</v>
      </c>
      <c r="AN103" s="1616">
        <v>98137.2</v>
      </c>
    </row>
    <row r="104" spans="1:40">
      <c r="A104" s="133">
        <v>2017</v>
      </c>
      <c r="B104" s="133" t="s">
        <v>11948</v>
      </c>
      <c r="C104" s="133" t="s">
        <v>12043</v>
      </c>
      <c r="D104" s="1616">
        <v>1499.3</v>
      </c>
      <c r="E104" s="1616">
        <v>91.6</v>
      </c>
      <c r="F104" s="1616">
        <v>27566.1</v>
      </c>
      <c r="G104" s="1616">
        <v>3581.6</v>
      </c>
      <c r="H104" s="1616">
        <v>343.2</v>
      </c>
      <c r="I104" s="1616">
        <v>652.1</v>
      </c>
      <c r="J104" s="1616">
        <v>2861</v>
      </c>
      <c r="K104" s="1616">
        <v>1323.7</v>
      </c>
      <c r="L104" s="1616">
        <v>759</v>
      </c>
      <c r="M104" s="1616">
        <v>2505.5</v>
      </c>
      <c r="N104" s="1616">
        <v>1280</v>
      </c>
      <c r="O104" s="1616">
        <v>4108.6000000000004</v>
      </c>
      <c r="P104" s="1616">
        <v>1335.7</v>
      </c>
      <c r="Q104" s="1616">
        <v>1730</v>
      </c>
      <c r="R104" s="1616">
        <v>657</v>
      </c>
      <c r="S104" s="1616">
        <v>3692.2</v>
      </c>
      <c r="T104" s="1616">
        <v>2736.6</v>
      </c>
      <c r="U104" s="1616">
        <v>3769.6</v>
      </c>
      <c r="V104" s="1616">
        <v>6621.9</v>
      </c>
      <c r="W104" s="1616">
        <v>17679</v>
      </c>
      <c r="X104" s="1616">
        <v>7091.2</v>
      </c>
      <c r="Y104" s="1616">
        <v>3518.5</v>
      </c>
      <c r="Z104" s="1616">
        <v>6220.5</v>
      </c>
      <c r="AA104" s="1616">
        <v>5533.1</v>
      </c>
      <c r="AB104" s="1616">
        <v>16368.6</v>
      </c>
      <c r="AC104" s="1616">
        <v>10690.3</v>
      </c>
      <c r="AD104" s="1616">
        <v>7683.7</v>
      </c>
      <c r="AE104" s="1616">
        <v>5448.6</v>
      </c>
      <c r="AF104" s="1616">
        <v>10590.7</v>
      </c>
      <c r="AG104" s="1616">
        <v>5714.6</v>
      </c>
      <c r="AH104" s="1616">
        <v>136087.20000000001</v>
      </c>
      <c r="AI104" s="1616">
        <v>136709.5</v>
      </c>
      <c r="AJ104" s="1616">
        <v>-696.8</v>
      </c>
      <c r="AK104" s="1616">
        <v>136012.70000000001</v>
      </c>
      <c r="AL104" s="1616">
        <v>1499.3</v>
      </c>
      <c r="AM104" s="1616">
        <v>34279.599999999999</v>
      </c>
      <c r="AN104" s="1616">
        <v>100308.3</v>
      </c>
    </row>
    <row r="105" spans="1:40">
      <c r="A105" s="133">
        <v>2017</v>
      </c>
      <c r="B105" s="133" t="s">
        <v>11950</v>
      </c>
      <c r="C105" s="133" t="s">
        <v>12044</v>
      </c>
      <c r="D105" s="1616">
        <v>1559.9</v>
      </c>
      <c r="E105" s="1616">
        <v>89.8</v>
      </c>
      <c r="F105" s="1616">
        <v>28451.599999999999</v>
      </c>
      <c r="G105" s="1616">
        <v>3508.9</v>
      </c>
      <c r="H105" s="1616">
        <v>314.8</v>
      </c>
      <c r="I105" s="1616">
        <v>655.8</v>
      </c>
      <c r="J105" s="1616">
        <v>3001.6</v>
      </c>
      <c r="K105" s="1616">
        <v>1516.5</v>
      </c>
      <c r="L105" s="1616">
        <v>793.4</v>
      </c>
      <c r="M105" s="1616">
        <v>2574.5</v>
      </c>
      <c r="N105" s="1616">
        <v>1343.2</v>
      </c>
      <c r="O105" s="1616">
        <v>4222</v>
      </c>
      <c r="P105" s="1616">
        <v>1476.9</v>
      </c>
      <c r="Q105" s="1616">
        <v>1766.9</v>
      </c>
      <c r="R105" s="1616">
        <v>716.4</v>
      </c>
      <c r="S105" s="1616">
        <v>3784.2</v>
      </c>
      <c r="T105" s="1616">
        <v>2776.2</v>
      </c>
      <c r="U105" s="1616">
        <v>4310.8999999999996</v>
      </c>
      <c r="V105" s="1616">
        <v>7478.5</v>
      </c>
      <c r="W105" s="1616">
        <v>17674.3</v>
      </c>
      <c r="X105" s="1616">
        <v>7487.8</v>
      </c>
      <c r="Y105" s="1616">
        <v>3715.5</v>
      </c>
      <c r="Z105" s="1616">
        <v>6576.7</v>
      </c>
      <c r="AA105" s="1616">
        <v>5493.9</v>
      </c>
      <c r="AB105" s="1616">
        <v>16344.7</v>
      </c>
      <c r="AC105" s="1616">
        <v>10886.3</v>
      </c>
      <c r="AD105" s="1616">
        <v>5738.7</v>
      </c>
      <c r="AE105" s="1616">
        <v>3978.2</v>
      </c>
      <c r="AF105" s="1616">
        <v>10256.6</v>
      </c>
      <c r="AG105" s="1616">
        <v>5612.5</v>
      </c>
      <c r="AH105" s="1616">
        <v>135656.1</v>
      </c>
      <c r="AI105" s="1616">
        <v>136293.9</v>
      </c>
      <c r="AJ105" s="1616">
        <v>-506.9</v>
      </c>
      <c r="AK105" s="1616">
        <v>135786.9</v>
      </c>
      <c r="AL105" s="1616">
        <v>1559.9</v>
      </c>
      <c r="AM105" s="1616">
        <v>36019.9</v>
      </c>
      <c r="AN105" s="1616">
        <v>98076.2</v>
      </c>
    </row>
    <row r="106" spans="1:40">
      <c r="A106" s="133">
        <v>2017</v>
      </c>
      <c r="B106" s="133" t="s">
        <v>11952</v>
      </c>
      <c r="C106" s="133" t="s">
        <v>12045</v>
      </c>
      <c r="D106" s="1616">
        <v>1754.8</v>
      </c>
      <c r="E106" s="1616">
        <v>100.7</v>
      </c>
      <c r="F106" s="1616">
        <v>29943.5</v>
      </c>
      <c r="G106" s="1616">
        <v>3471.3</v>
      </c>
      <c r="H106" s="1616">
        <v>327.7</v>
      </c>
      <c r="I106" s="1616">
        <v>693.6</v>
      </c>
      <c r="J106" s="1616">
        <v>3114.6</v>
      </c>
      <c r="K106" s="1616">
        <v>1519.9</v>
      </c>
      <c r="L106" s="1616">
        <v>841.2</v>
      </c>
      <c r="M106" s="1616">
        <v>2738.2</v>
      </c>
      <c r="N106" s="1616">
        <v>1510.6</v>
      </c>
      <c r="O106" s="1616">
        <v>4448.3999999999996</v>
      </c>
      <c r="P106" s="1616">
        <v>1536.8</v>
      </c>
      <c r="Q106" s="1616">
        <v>1836.9</v>
      </c>
      <c r="R106" s="1616">
        <v>732.9</v>
      </c>
      <c r="S106" s="1616">
        <v>4246.2</v>
      </c>
      <c r="T106" s="1616">
        <v>2925.3</v>
      </c>
      <c r="U106" s="1616">
        <v>4227.3</v>
      </c>
      <c r="V106" s="1616">
        <v>8360.7000000000007</v>
      </c>
      <c r="W106" s="1616">
        <v>18854.400000000001</v>
      </c>
      <c r="X106" s="1616">
        <v>7663.6</v>
      </c>
      <c r="Y106" s="1616">
        <v>3677.3</v>
      </c>
      <c r="Z106" s="1616">
        <v>6661.5</v>
      </c>
      <c r="AA106" s="1616">
        <v>5715.1</v>
      </c>
      <c r="AB106" s="1616">
        <v>16367.6</v>
      </c>
      <c r="AC106" s="1616">
        <v>11206.6</v>
      </c>
      <c r="AD106" s="1616">
        <v>7723.3</v>
      </c>
      <c r="AE106" s="1616">
        <v>5594.9</v>
      </c>
      <c r="AF106" s="1616">
        <v>10864.9</v>
      </c>
      <c r="AG106" s="1616">
        <v>5712.2</v>
      </c>
      <c r="AH106" s="1616">
        <v>144428.29999999999</v>
      </c>
      <c r="AI106" s="1616">
        <v>145168.5</v>
      </c>
      <c r="AJ106" s="1616">
        <v>-172.2</v>
      </c>
      <c r="AK106" s="1616">
        <v>144996.29999999999</v>
      </c>
      <c r="AL106" s="1616">
        <v>1754.8</v>
      </c>
      <c r="AM106" s="1616">
        <v>38404.9</v>
      </c>
      <c r="AN106" s="1616">
        <v>104268.6</v>
      </c>
    </row>
    <row r="107" spans="1:40">
      <c r="A107" s="133">
        <v>2018</v>
      </c>
      <c r="B107" s="133" t="s">
        <v>11946</v>
      </c>
      <c r="C107" s="133" t="s">
        <v>12046</v>
      </c>
      <c r="D107" s="1616">
        <v>1491</v>
      </c>
      <c r="E107" s="1616">
        <v>95.8</v>
      </c>
      <c r="F107" s="1616">
        <v>28426</v>
      </c>
      <c r="G107" s="1616">
        <v>3052.1</v>
      </c>
      <c r="H107" s="1616">
        <v>399.9</v>
      </c>
      <c r="I107" s="1616">
        <v>648.4</v>
      </c>
      <c r="J107" s="1616">
        <v>2908.9</v>
      </c>
      <c r="K107" s="1616">
        <v>1542.4</v>
      </c>
      <c r="L107" s="1616">
        <v>728.8</v>
      </c>
      <c r="M107" s="1616">
        <v>2439.9</v>
      </c>
      <c r="N107" s="1616">
        <v>1345.4</v>
      </c>
      <c r="O107" s="1616">
        <v>4474</v>
      </c>
      <c r="P107" s="1616">
        <v>1441.5</v>
      </c>
      <c r="Q107" s="1616">
        <v>1905.2</v>
      </c>
      <c r="R107" s="1616">
        <v>894.4</v>
      </c>
      <c r="S107" s="1616">
        <v>3833.9</v>
      </c>
      <c r="T107" s="1616">
        <v>2811.2</v>
      </c>
      <c r="U107" s="1616">
        <v>4238.6000000000004</v>
      </c>
      <c r="V107" s="1616">
        <v>7975.5</v>
      </c>
      <c r="W107" s="1616">
        <v>17219</v>
      </c>
      <c r="X107" s="1616">
        <v>7308.2</v>
      </c>
      <c r="Y107" s="1616">
        <v>3360.6</v>
      </c>
      <c r="Z107" s="1616">
        <v>7432.1</v>
      </c>
      <c r="AA107" s="1616">
        <v>5622.8</v>
      </c>
      <c r="AB107" s="1616">
        <v>16288.1</v>
      </c>
      <c r="AC107" s="1616">
        <v>11543.6</v>
      </c>
      <c r="AD107" s="1616">
        <v>5992.1</v>
      </c>
      <c r="AE107" s="1616">
        <v>4050.2</v>
      </c>
      <c r="AF107" s="1616">
        <v>10425.9</v>
      </c>
      <c r="AG107" s="1616">
        <v>5536</v>
      </c>
      <c r="AH107" s="1616">
        <v>137005.70000000001</v>
      </c>
      <c r="AI107" s="1616">
        <v>137709.6</v>
      </c>
      <c r="AJ107" s="1616">
        <v>1206.9000000000001</v>
      </c>
      <c r="AK107" s="1616">
        <v>138916.5</v>
      </c>
      <c r="AL107" s="1616">
        <v>1491</v>
      </c>
      <c r="AM107" s="1616">
        <v>36497.4</v>
      </c>
      <c r="AN107" s="1616">
        <v>99017.3</v>
      </c>
    </row>
    <row r="108" spans="1:40">
      <c r="A108" s="133">
        <v>2018</v>
      </c>
      <c r="B108" s="133" t="s">
        <v>11948</v>
      </c>
      <c r="C108" s="133" t="s">
        <v>12047</v>
      </c>
      <c r="D108" s="1616">
        <v>1312.7</v>
      </c>
      <c r="E108" s="1616">
        <v>92.1</v>
      </c>
      <c r="F108" s="1616">
        <v>28490.6</v>
      </c>
      <c r="G108" s="1616">
        <v>3561</v>
      </c>
      <c r="H108" s="1616">
        <v>377.1</v>
      </c>
      <c r="I108" s="1616">
        <v>664.9</v>
      </c>
      <c r="J108" s="1616">
        <v>2875.8</v>
      </c>
      <c r="K108" s="1616">
        <v>1400.6</v>
      </c>
      <c r="L108" s="1616">
        <v>775.9</v>
      </c>
      <c r="M108" s="1616">
        <v>2565.5</v>
      </c>
      <c r="N108" s="1616">
        <v>1376</v>
      </c>
      <c r="O108" s="1616">
        <v>4279.6000000000004</v>
      </c>
      <c r="P108" s="1616">
        <v>1525.1</v>
      </c>
      <c r="Q108" s="1616">
        <v>1874.1</v>
      </c>
      <c r="R108" s="1616">
        <v>667.6</v>
      </c>
      <c r="S108" s="1616">
        <v>3715</v>
      </c>
      <c r="T108" s="1616">
        <v>2832.3</v>
      </c>
      <c r="U108" s="1616">
        <v>3814</v>
      </c>
      <c r="V108" s="1616">
        <v>6566.6</v>
      </c>
      <c r="W108" s="1616">
        <v>17356.400000000001</v>
      </c>
      <c r="X108" s="1616">
        <v>7157.7</v>
      </c>
      <c r="Y108" s="1616">
        <v>3554.2</v>
      </c>
      <c r="Z108" s="1616">
        <v>6314.8</v>
      </c>
      <c r="AA108" s="1616">
        <v>5691.6</v>
      </c>
      <c r="AB108" s="1616">
        <v>16314.2</v>
      </c>
      <c r="AC108" s="1616">
        <v>10867</v>
      </c>
      <c r="AD108" s="1616">
        <v>7873.3</v>
      </c>
      <c r="AE108" s="1616">
        <v>5517.5</v>
      </c>
      <c r="AF108" s="1616">
        <v>10810.1</v>
      </c>
      <c r="AG108" s="1616">
        <v>5563</v>
      </c>
      <c r="AH108" s="1616">
        <v>137295.79999999999</v>
      </c>
      <c r="AI108" s="1616">
        <v>137963.20000000001</v>
      </c>
      <c r="AJ108" s="1616">
        <v>4.4000000000000004</v>
      </c>
      <c r="AK108" s="1616">
        <v>137967.6</v>
      </c>
      <c r="AL108" s="1616">
        <v>1312.7</v>
      </c>
      <c r="AM108" s="1616">
        <v>35149.300000000003</v>
      </c>
      <c r="AN108" s="1616">
        <v>100833.8</v>
      </c>
    </row>
    <row r="109" spans="1:40">
      <c r="A109" s="133">
        <v>2018</v>
      </c>
      <c r="B109" s="133" t="s">
        <v>11950</v>
      </c>
      <c r="C109" s="133" t="s">
        <v>12048</v>
      </c>
      <c r="D109" s="1616">
        <v>1501.8</v>
      </c>
      <c r="E109" s="1616">
        <v>92.7</v>
      </c>
      <c r="F109" s="1616">
        <v>28246.400000000001</v>
      </c>
      <c r="G109" s="1616">
        <v>3474.2</v>
      </c>
      <c r="H109" s="1616">
        <v>332.5</v>
      </c>
      <c r="I109" s="1616">
        <v>635.9</v>
      </c>
      <c r="J109" s="1616">
        <v>2870.8</v>
      </c>
      <c r="K109" s="1616">
        <v>1451.4</v>
      </c>
      <c r="L109" s="1616">
        <v>793</v>
      </c>
      <c r="M109" s="1616">
        <v>2402.1</v>
      </c>
      <c r="N109" s="1616">
        <v>1387.9</v>
      </c>
      <c r="O109" s="1616">
        <v>4415</v>
      </c>
      <c r="P109" s="1616">
        <v>1558.4</v>
      </c>
      <c r="Q109" s="1616">
        <v>1901.9</v>
      </c>
      <c r="R109" s="1616">
        <v>707.7</v>
      </c>
      <c r="S109" s="1616">
        <v>3557.1</v>
      </c>
      <c r="T109" s="1616">
        <v>2758.6</v>
      </c>
      <c r="U109" s="1616">
        <v>4226.8</v>
      </c>
      <c r="V109" s="1616">
        <v>7344.3</v>
      </c>
      <c r="W109" s="1616">
        <v>17439.2</v>
      </c>
      <c r="X109" s="1616">
        <v>7382.7</v>
      </c>
      <c r="Y109" s="1616">
        <v>3672</v>
      </c>
      <c r="Z109" s="1616">
        <v>6653.3</v>
      </c>
      <c r="AA109" s="1616">
        <v>5687.2</v>
      </c>
      <c r="AB109" s="1616">
        <v>16316.8</v>
      </c>
      <c r="AC109" s="1616">
        <v>11115.5</v>
      </c>
      <c r="AD109" s="1616">
        <v>5840</v>
      </c>
      <c r="AE109" s="1616">
        <v>3995.1</v>
      </c>
      <c r="AF109" s="1616">
        <v>10407.700000000001</v>
      </c>
      <c r="AG109" s="1616">
        <v>5501.8</v>
      </c>
      <c r="AH109" s="1616">
        <v>135423.29999999999</v>
      </c>
      <c r="AI109" s="1616">
        <v>136242.5</v>
      </c>
      <c r="AJ109" s="1616">
        <v>-947.6</v>
      </c>
      <c r="AK109" s="1616">
        <v>135294.79999999999</v>
      </c>
      <c r="AL109" s="1616">
        <v>1501.8</v>
      </c>
      <c r="AM109" s="1616">
        <v>35683.5</v>
      </c>
      <c r="AN109" s="1616">
        <v>98238.1</v>
      </c>
    </row>
    <row r="110" spans="1:40">
      <c r="A110" s="133">
        <v>2018</v>
      </c>
      <c r="B110" s="133" t="s">
        <v>11952</v>
      </c>
      <c r="C110" s="133" t="s">
        <v>12049</v>
      </c>
      <c r="D110" s="1616">
        <v>1507.2</v>
      </c>
      <c r="E110" s="1616">
        <v>103.2</v>
      </c>
      <c r="F110" s="1616">
        <v>29623.4</v>
      </c>
      <c r="G110" s="1616">
        <v>3390</v>
      </c>
      <c r="H110" s="1616">
        <v>345.4</v>
      </c>
      <c r="I110" s="1616">
        <v>666.2</v>
      </c>
      <c r="J110" s="1616">
        <v>3016.8</v>
      </c>
      <c r="K110" s="1616">
        <v>1346.4</v>
      </c>
      <c r="L110" s="1616">
        <v>850.2</v>
      </c>
      <c r="M110" s="1616">
        <v>2533</v>
      </c>
      <c r="N110" s="1616">
        <v>1605.5</v>
      </c>
      <c r="O110" s="1616">
        <v>4475.6000000000004</v>
      </c>
      <c r="P110" s="1616">
        <v>1622.5</v>
      </c>
      <c r="Q110" s="1616">
        <v>1951.2</v>
      </c>
      <c r="R110" s="1616">
        <v>776.4</v>
      </c>
      <c r="S110" s="1616">
        <v>4101.6000000000004</v>
      </c>
      <c r="T110" s="1616">
        <v>2942.6</v>
      </c>
      <c r="U110" s="1616">
        <v>4003</v>
      </c>
      <c r="V110" s="1616">
        <v>8161.5</v>
      </c>
      <c r="W110" s="1616">
        <v>18633.2</v>
      </c>
      <c r="X110" s="1616">
        <v>7700.9</v>
      </c>
      <c r="Y110" s="1616">
        <v>3724.9</v>
      </c>
      <c r="Z110" s="1616">
        <v>6777.3</v>
      </c>
      <c r="AA110" s="1616">
        <v>5737.6</v>
      </c>
      <c r="AB110" s="1616">
        <v>16317.6</v>
      </c>
      <c r="AC110" s="1616">
        <v>11460.3</v>
      </c>
      <c r="AD110" s="1616">
        <v>7785.6</v>
      </c>
      <c r="AE110" s="1616">
        <v>5593.9</v>
      </c>
      <c r="AF110" s="1616">
        <v>11125.6</v>
      </c>
      <c r="AG110" s="1616">
        <v>5651.9</v>
      </c>
      <c r="AH110" s="1616">
        <v>143907.20000000001</v>
      </c>
      <c r="AI110" s="1616">
        <v>144651.20000000001</v>
      </c>
      <c r="AJ110" s="1616">
        <v>-200</v>
      </c>
      <c r="AK110" s="1616">
        <v>144451.20000000001</v>
      </c>
      <c r="AL110" s="1616">
        <v>1507.2</v>
      </c>
      <c r="AM110" s="1616">
        <v>37888.199999999997</v>
      </c>
      <c r="AN110" s="1616">
        <v>104511.9</v>
      </c>
    </row>
    <row r="111" spans="1:40">
      <c r="A111" s="133">
        <v>2019</v>
      </c>
      <c r="B111" s="133" t="s">
        <v>11946</v>
      </c>
      <c r="C111" s="133" t="s">
        <v>12050</v>
      </c>
      <c r="D111" s="1616">
        <v>1377.9</v>
      </c>
      <c r="E111" s="1616">
        <v>98.9</v>
      </c>
      <c r="F111" s="1616">
        <v>27931.200000000001</v>
      </c>
      <c r="G111" s="1616">
        <v>3119.1</v>
      </c>
      <c r="H111" s="1616">
        <v>405.8</v>
      </c>
      <c r="I111" s="1616">
        <v>668</v>
      </c>
      <c r="J111" s="1616">
        <v>3054.5</v>
      </c>
      <c r="K111" s="1616">
        <v>1512</v>
      </c>
      <c r="L111" s="1616">
        <v>776</v>
      </c>
      <c r="M111" s="1616">
        <v>2295.3000000000002</v>
      </c>
      <c r="N111" s="1616">
        <v>1331.1</v>
      </c>
      <c r="O111" s="1616">
        <v>4412.6000000000004</v>
      </c>
      <c r="P111" s="1616">
        <v>1289.8</v>
      </c>
      <c r="Q111" s="1616">
        <v>1817.2</v>
      </c>
      <c r="R111" s="1616">
        <v>803.5</v>
      </c>
      <c r="S111" s="1616">
        <v>3623.9</v>
      </c>
      <c r="T111" s="1616">
        <v>2822.4</v>
      </c>
      <c r="U111" s="1616">
        <v>4311.8</v>
      </c>
      <c r="V111" s="1616">
        <v>7917.3</v>
      </c>
      <c r="W111" s="1616">
        <v>17007.099999999999</v>
      </c>
      <c r="X111" s="1616">
        <v>7556.2</v>
      </c>
      <c r="Y111" s="1616">
        <v>3239.1</v>
      </c>
      <c r="Z111" s="1616">
        <v>7452.1</v>
      </c>
      <c r="AA111" s="1616">
        <v>5619.1</v>
      </c>
      <c r="AB111" s="1616">
        <v>16434.7</v>
      </c>
      <c r="AC111" s="1616">
        <v>11777.8</v>
      </c>
      <c r="AD111" s="1616">
        <v>6056</v>
      </c>
      <c r="AE111" s="1616">
        <v>4042.7</v>
      </c>
      <c r="AF111" s="1616">
        <v>10453.200000000001</v>
      </c>
      <c r="AG111" s="1616">
        <v>5593.8</v>
      </c>
      <c r="AH111" s="1616">
        <v>136869</v>
      </c>
      <c r="AI111" s="1616">
        <v>137420.9</v>
      </c>
      <c r="AJ111" s="1616">
        <v>1436</v>
      </c>
      <c r="AK111" s="1616">
        <v>138856.9</v>
      </c>
      <c r="AL111" s="1616">
        <v>1377.9</v>
      </c>
      <c r="AM111" s="1616">
        <v>35947.4</v>
      </c>
      <c r="AN111" s="1616">
        <v>99543.8</v>
      </c>
    </row>
    <row r="112" spans="1:40">
      <c r="A112" s="133">
        <v>2019</v>
      </c>
      <c r="B112" s="133" t="s">
        <v>11948</v>
      </c>
      <c r="C112" s="133" t="s">
        <v>12051</v>
      </c>
      <c r="D112" s="1616">
        <v>1402.6</v>
      </c>
      <c r="E112" s="1616">
        <v>94.5</v>
      </c>
      <c r="F112" s="1616">
        <v>28340.6</v>
      </c>
      <c r="G112" s="1616">
        <v>3575.2</v>
      </c>
      <c r="H112" s="1616">
        <v>380.8</v>
      </c>
      <c r="I112" s="1616">
        <v>702.2</v>
      </c>
      <c r="J112" s="1616">
        <v>2973.8</v>
      </c>
      <c r="K112" s="1616">
        <v>1330</v>
      </c>
      <c r="L112" s="1616">
        <v>787.8</v>
      </c>
      <c r="M112" s="1616">
        <v>2507.4</v>
      </c>
      <c r="N112" s="1616">
        <v>1396.5</v>
      </c>
      <c r="O112" s="1616">
        <v>4283.1000000000004</v>
      </c>
      <c r="P112" s="1616">
        <v>1275.5999999999999</v>
      </c>
      <c r="Q112" s="1616">
        <v>1844.1</v>
      </c>
      <c r="R112" s="1616">
        <v>678.4</v>
      </c>
      <c r="S112" s="1616">
        <v>3680.2</v>
      </c>
      <c r="T112" s="1616">
        <v>2925.5</v>
      </c>
      <c r="U112" s="1616">
        <v>4036.3</v>
      </c>
      <c r="V112" s="1616">
        <v>6718</v>
      </c>
      <c r="W112" s="1616">
        <v>17190.2</v>
      </c>
      <c r="X112" s="1616">
        <v>7284.8</v>
      </c>
      <c r="Y112" s="1616">
        <v>3394.9</v>
      </c>
      <c r="Z112" s="1616">
        <v>6351.2</v>
      </c>
      <c r="AA112" s="1616">
        <v>5651.1</v>
      </c>
      <c r="AB112" s="1616">
        <v>16403</v>
      </c>
      <c r="AC112" s="1616">
        <v>11192.1</v>
      </c>
      <c r="AD112" s="1616">
        <v>7957.6</v>
      </c>
      <c r="AE112" s="1616">
        <v>5534.6</v>
      </c>
      <c r="AF112" s="1616">
        <v>11092.6</v>
      </c>
      <c r="AG112" s="1616">
        <v>5693.4</v>
      </c>
      <c r="AH112" s="1616">
        <v>138337.60000000001</v>
      </c>
      <c r="AI112" s="1616">
        <v>138965.9</v>
      </c>
      <c r="AJ112" s="1616">
        <v>-471.8</v>
      </c>
      <c r="AK112" s="1616">
        <v>138494.20000000001</v>
      </c>
      <c r="AL112" s="1616">
        <v>1402.6</v>
      </c>
      <c r="AM112" s="1616">
        <v>35153.199999999997</v>
      </c>
      <c r="AN112" s="1616">
        <v>101781.9</v>
      </c>
    </row>
    <row r="113" spans="1:40">
      <c r="A113" s="133">
        <v>2019</v>
      </c>
      <c r="B113" s="133" t="s">
        <v>11950</v>
      </c>
      <c r="C113" s="133" t="s">
        <v>12052</v>
      </c>
      <c r="D113" s="1616">
        <v>1468.4</v>
      </c>
      <c r="E113" s="1616">
        <v>90.5</v>
      </c>
      <c r="F113" s="1616">
        <v>28183.5</v>
      </c>
      <c r="G113" s="1616">
        <v>3484.7</v>
      </c>
      <c r="H113" s="1616">
        <v>339.3</v>
      </c>
      <c r="I113" s="1616">
        <v>714.8</v>
      </c>
      <c r="J113" s="1616">
        <v>3015.4</v>
      </c>
      <c r="K113" s="1616">
        <v>1476.4</v>
      </c>
      <c r="L113" s="1616">
        <v>775.4</v>
      </c>
      <c r="M113" s="1616">
        <v>2290.3000000000002</v>
      </c>
      <c r="N113" s="1616">
        <v>1445.5</v>
      </c>
      <c r="O113" s="1616">
        <v>4312.3999999999996</v>
      </c>
      <c r="P113" s="1616">
        <v>1405.7</v>
      </c>
      <c r="Q113" s="1616">
        <v>1862</v>
      </c>
      <c r="R113" s="1616">
        <v>688.8</v>
      </c>
      <c r="S113" s="1616">
        <v>3509.1</v>
      </c>
      <c r="T113" s="1616">
        <v>2863.7</v>
      </c>
      <c r="U113" s="1616">
        <v>4417.2</v>
      </c>
      <c r="V113" s="1616">
        <v>7448.2</v>
      </c>
      <c r="W113" s="1616">
        <v>17567.400000000001</v>
      </c>
      <c r="X113" s="1616">
        <v>7465.7</v>
      </c>
      <c r="Y113" s="1616">
        <v>3555</v>
      </c>
      <c r="Z113" s="1616">
        <v>6683.1</v>
      </c>
      <c r="AA113" s="1616">
        <v>5634.5</v>
      </c>
      <c r="AB113" s="1616">
        <v>16406.3</v>
      </c>
      <c r="AC113" s="1616">
        <v>11509.8</v>
      </c>
      <c r="AD113" s="1616">
        <v>5864.9</v>
      </c>
      <c r="AE113" s="1616">
        <v>3983.3</v>
      </c>
      <c r="AF113" s="1616">
        <v>10746.9</v>
      </c>
      <c r="AG113" s="1616">
        <v>5634.3</v>
      </c>
      <c r="AH113" s="1616">
        <v>136658.9</v>
      </c>
      <c r="AI113" s="1616">
        <v>137361.60000000001</v>
      </c>
      <c r="AJ113" s="1616">
        <v>-561.5</v>
      </c>
      <c r="AK113" s="1616">
        <v>136800.1</v>
      </c>
      <c r="AL113" s="1616">
        <v>1468.4</v>
      </c>
      <c r="AM113" s="1616">
        <v>35722.300000000003</v>
      </c>
      <c r="AN113" s="1616">
        <v>99468.3</v>
      </c>
    </row>
    <row r="114" spans="1:40">
      <c r="A114" s="133">
        <v>2019</v>
      </c>
      <c r="B114" s="133" t="s">
        <v>11952</v>
      </c>
      <c r="C114" s="133" t="s">
        <v>12053</v>
      </c>
      <c r="D114" s="1616">
        <v>1547.6</v>
      </c>
      <c r="E114" s="1616">
        <v>98.8</v>
      </c>
      <c r="F114" s="1616">
        <v>28377.599999999999</v>
      </c>
      <c r="G114" s="1616">
        <v>3465.5</v>
      </c>
      <c r="H114" s="1616">
        <v>349.7</v>
      </c>
      <c r="I114" s="1616">
        <v>714</v>
      </c>
      <c r="J114" s="1616">
        <v>3032.2</v>
      </c>
      <c r="K114" s="1616">
        <v>1514.9</v>
      </c>
      <c r="L114" s="1616">
        <v>822.4</v>
      </c>
      <c r="M114" s="1616">
        <v>2372.8000000000002</v>
      </c>
      <c r="N114" s="1616">
        <v>1557.1</v>
      </c>
      <c r="O114" s="1616">
        <v>4117.7</v>
      </c>
      <c r="P114" s="1616">
        <v>1486.6</v>
      </c>
      <c r="Q114" s="1616">
        <v>1841.4</v>
      </c>
      <c r="R114" s="1616">
        <v>699.5</v>
      </c>
      <c r="S114" s="1616">
        <v>3438.3</v>
      </c>
      <c r="T114" s="1616">
        <v>2965.4</v>
      </c>
      <c r="U114" s="1616">
        <v>4286.1000000000004</v>
      </c>
      <c r="V114" s="1616">
        <v>8350.5</v>
      </c>
      <c r="W114" s="1616">
        <v>17559.7</v>
      </c>
      <c r="X114" s="1616">
        <v>7602.9</v>
      </c>
      <c r="Y114" s="1616">
        <v>3647.5</v>
      </c>
      <c r="Z114" s="1616">
        <v>6691.8</v>
      </c>
      <c r="AA114" s="1616">
        <v>5689</v>
      </c>
      <c r="AB114" s="1616">
        <v>16466</v>
      </c>
      <c r="AC114" s="1616">
        <v>11911.8</v>
      </c>
      <c r="AD114" s="1616">
        <v>7997.6</v>
      </c>
      <c r="AE114" s="1616">
        <v>5689</v>
      </c>
      <c r="AF114" s="1616">
        <v>11491.3</v>
      </c>
      <c r="AG114" s="1616">
        <v>5685</v>
      </c>
      <c r="AH114" s="1616">
        <v>143092.29999999999</v>
      </c>
      <c r="AI114" s="1616">
        <v>143717.20000000001</v>
      </c>
      <c r="AJ114" s="1616">
        <v>42.5</v>
      </c>
      <c r="AK114" s="1616">
        <v>143759.70000000001</v>
      </c>
      <c r="AL114" s="1616">
        <v>1547.6</v>
      </c>
      <c r="AM114" s="1616">
        <v>36826.800000000003</v>
      </c>
      <c r="AN114" s="1616">
        <v>104717.9</v>
      </c>
    </row>
    <row r="115" spans="1:40">
      <c r="A115" s="133">
        <v>2020</v>
      </c>
      <c r="B115" s="133" t="s">
        <v>11946</v>
      </c>
      <c r="C115" s="133" t="s">
        <v>12054</v>
      </c>
      <c r="D115" s="1616">
        <v>1303.4000000000001</v>
      </c>
      <c r="E115" s="1616">
        <v>106.3</v>
      </c>
      <c r="F115" s="1616">
        <v>27596.1</v>
      </c>
      <c r="G115" s="1616">
        <v>2997.9</v>
      </c>
      <c r="H115" s="1616">
        <v>402.2</v>
      </c>
      <c r="I115" s="1616">
        <v>650.70000000000005</v>
      </c>
      <c r="J115" s="1616">
        <v>3029.2</v>
      </c>
      <c r="K115" s="1616">
        <v>1451.2</v>
      </c>
      <c r="L115" s="1616">
        <v>824.9</v>
      </c>
      <c r="M115" s="1616">
        <v>2430.6</v>
      </c>
      <c r="N115" s="1616">
        <v>1258.2</v>
      </c>
      <c r="O115" s="1616">
        <v>4229.2</v>
      </c>
      <c r="P115" s="1616">
        <v>1342.6</v>
      </c>
      <c r="Q115" s="1616">
        <v>1781.4</v>
      </c>
      <c r="R115" s="1616">
        <v>761.7</v>
      </c>
      <c r="S115" s="1616">
        <v>3544.5</v>
      </c>
      <c r="T115" s="1616">
        <v>2891.8</v>
      </c>
      <c r="U115" s="1616">
        <v>4251.2</v>
      </c>
      <c r="V115" s="1616">
        <v>8116.2</v>
      </c>
      <c r="W115" s="1616">
        <v>17390.900000000001</v>
      </c>
      <c r="X115" s="1616">
        <v>6292.1</v>
      </c>
      <c r="Y115" s="1616">
        <v>2608.9</v>
      </c>
      <c r="Z115" s="1616">
        <v>7537</v>
      </c>
      <c r="AA115" s="1616">
        <v>5941</v>
      </c>
      <c r="AB115" s="1616">
        <v>16451.900000000001</v>
      </c>
      <c r="AC115" s="1616">
        <v>12800.4</v>
      </c>
      <c r="AD115" s="1616">
        <v>6056.9</v>
      </c>
      <c r="AE115" s="1616">
        <v>4029.7</v>
      </c>
      <c r="AF115" s="1616">
        <v>10649.8</v>
      </c>
      <c r="AG115" s="1616">
        <v>5331.6</v>
      </c>
      <c r="AH115" s="1616">
        <v>136463.20000000001</v>
      </c>
      <c r="AI115" s="1616">
        <v>136954.1</v>
      </c>
      <c r="AJ115" s="1616">
        <v>792.7</v>
      </c>
      <c r="AK115" s="1616">
        <v>137746.79999999999</v>
      </c>
      <c r="AL115" s="1616">
        <v>1303.4000000000001</v>
      </c>
      <c r="AM115" s="1616">
        <v>35818.6</v>
      </c>
      <c r="AN115" s="1616">
        <v>99341.2</v>
      </c>
    </row>
    <row r="116" spans="1:40">
      <c r="A116" s="133">
        <v>2020</v>
      </c>
      <c r="B116" s="133" t="s">
        <v>11948</v>
      </c>
      <c r="C116" s="133" t="s">
        <v>12055</v>
      </c>
      <c r="D116" s="1616">
        <v>1405.1</v>
      </c>
      <c r="E116" s="1616">
        <v>84.1</v>
      </c>
      <c r="F116" s="1616">
        <v>24413.3</v>
      </c>
      <c r="G116" s="1616">
        <v>3312.3</v>
      </c>
      <c r="H116" s="1616">
        <v>341.2</v>
      </c>
      <c r="I116" s="1616">
        <v>605.29999999999995</v>
      </c>
      <c r="J116" s="1616">
        <v>3076.1</v>
      </c>
      <c r="K116" s="1616">
        <v>1318.5</v>
      </c>
      <c r="L116" s="1616">
        <v>769.8</v>
      </c>
      <c r="M116" s="1616">
        <v>1948</v>
      </c>
      <c r="N116" s="1616">
        <v>1210.0999999999999</v>
      </c>
      <c r="O116" s="1616">
        <v>3624.4</v>
      </c>
      <c r="P116" s="1616">
        <v>1357.4</v>
      </c>
      <c r="Q116" s="1616">
        <v>1553.3</v>
      </c>
      <c r="R116" s="1616">
        <v>543.29999999999995</v>
      </c>
      <c r="S116" s="1616">
        <v>2219.6</v>
      </c>
      <c r="T116" s="1616">
        <v>2534</v>
      </c>
      <c r="U116" s="1616">
        <v>3980.3</v>
      </c>
      <c r="V116" s="1616">
        <v>6758.6</v>
      </c>
      <c r="W116" s="1616">
        <v>15700.7</v>
      </c>
      <c r="X116" s="1616">
        <v>5024.5</v>
      </c>
      <c r="Y116" s="1616">
        <v>1477.8</v>
      </c>
      <c r="Z116" s="1616">
        <v>6258.7</v>
      </c>
      <c r="AA116" s="1616">
        <v>5634.6</v>
      </c>
      <c r="AB116" s="1616">
        <v>16309.9</v>
      </c>
      <c r="AC116" s="1616">
        <v>10911.8</v>
      </c>
      <c r="AD116" s="1616">
        <v>7965.3</v>
      </c>
      <c r="AE116" s="1616">
        <v>5466.8</v>
      </c>
      <c r="AF116" s="1616">
        <v>10883.7</v>
      </c>
      <c r="AG116" s="1616">
        <v>4354.5</v>
      </c>
      <c r="AH116" s="1616">
        <v>126629.6</v>
      </c>
      <c r="AI116" s="1616">
        <v>127053</v>
      </c>
      <c r="AJ116" s="1616">
        <v>-138.30000000000001</v>
      </c>
      <c r="AK116" s="1616">
        <v>126914.8</v>
      </c>
      <c r="AL116" s="1616">
        <v>1405.1</v>
      </c>
      <c r="AM116" s="1616">
        <v>31256</v>
      </c>
      <c r="AN116" s="1616">
        <v>93968.5</v>
      </c>
    </row>
    <row r="117" spans="1:40">
      <c r="A117" s="133">
        <v>2020</v>
      </c>
      <c r="B117" s="133" t="s">
        <v>11950</v>
      </c>
      <c r="C117" s="133" t="s">
        <v>12056</v>
      </c>
      <c r="D117" s="1616">
        <v>1521.3</v>
      </c>
      <c r="E117" s="1616">
        <v>87.8</v>
      </c>
      <c r="F117" s="1616">
        <v>26663.8</v>
      </c>
      <c r="G117" s="1616">
        <v>3383.9</v>
      </c>
      <c r="H117" s="1616">
        <v>285.8</v>
      </c>
      <c r="I117" s="1616">
        <v>629.1</v>
      </c>
      <c r="J117" s="1616">
        <v>3124.9</v>
      </c>
      <c r="K117" s="1616">
        <v>1452.7</v>
      </c>
      <c r="L117" s="1616">
        <v>781.9</v>
      </c>
      <c r="M117" s="1616">
        <v>2016.4</v>
      </c>
      <c r="N117" s="1616">
        <v>1344.8</v>
      </c>
      <c r="O117" s="1616">
        <v>3669.3</v>
      </c>
      <c r="P117" s="1616">
        <v>1575.9</v>
      </c>
      <c r="Q117" s="1616">
        <v>1641.4</v>
      </c>
      <c r="R117" s="1616">
        <v>628.79999999999995</v>
      </c>
      <c r="S117" s="1616">
        <v>3348.7</v>
      </c>
      <c r="T117" s="1616">
        <v>2780.2</v>
      </c>
      <c r="U117" s="1616">
        <v>4720.7</v>
      </c>
      <c r="V117" s="1616">
        <v>7514</v>
      </c>
      <c r="W117" s="1616">
        <v>16960.7</v>
      </c>
      <c r="X117" s="1616">
        <v>5403.8</v>
      </c>
      <c r="Y117" s="1616">
        <v>2264.4</v>
      </c>
      <c r="Z117" s="1616">
        <v>6755.6</v>
      </c>
      <c r="AA117" s="1616">
        <v>5510.7</v>
      </c>
      <c r="AB117" s="1616">
        <v>16499.8</v>
      </c>
      <c r="AC117" s="1616">
        <v>11314.9</v>
      </c>
      <c r="AD117" s="1616">
        <v>5927.1</v>
      </c>
      <c r="AE117" s="1616">
        <v>3981.5</v>
      </c>
      <c r="AF117" s="1616">
        <v>10888.2</v>
      </c>
      <c r="AG117" s="1616">
        <v>5129.6000000000004</v>
      </c>
      <c r="AH117" s="1616">
        <v>131143.9</v>
      </c>
      <c r="AI117" s="1616">
        <v>131603</v>
      </c>
      <c r="AJ117" s="1616">
        <v>-122</v>
      </c>
      <c r="AK117" s="1616">
        <v>131481</v>
      </c>
      <c r="AL117" s="1616">
        <v>1521.3</v>
      </c>
      <c r="AM117" s="1616">
        <v>34265.599999999999</v>
      </c>
      <c r="AN117" s="1616">
        <v>95356.9</v>
      </c>
    </row>
    <row r="118" spans="1:40">
      <c r="A118" s="133">
        <v>2020</v>
      </c>
      <c r="B118" s="133" t="s">
        <v>11952</v>
      </c>
      <c r="C118" s="133" t="s">
        <v>12057</v>
      </c>
      <c r="D118" s="1616">
        <v>1524.9</v>
      </c>
      <c r="E118" s="1616">
        <v>104.9</v>
      </c>
      <c r="F118" s="1616">
        <v>29534.3</v>
      </c>
      <c r="G118" s="1616">
        <v>3341</v>
      </c>
      <c r="H118" s="1616">
        <v>307.5</v>
      </c>
      <c r="I118" s="1616">
        <v>697</v>
      </c>
      <c r="J118" s="1616">
        <v>3304.9</v>
      </c>
      <c r="K118" s="1616">
        <v>1620.3</v>
      </c>
      <c r="L118" s="1616">
        <v>883.5</v>
      </c>
      <c r="M118" s="1616">
        <v>2326.3000000000002</v>
      </c>
      <c r="N118" s="1616">
        <v>1519.7</v>
      </c>
      <c r="O118" s="1616">
        <v>4221.6000000000004</v>
      </c>
      <c r="P118" s="1616">
        <v>1511.9</v>
      </c>
      <c r="Q118" s="1616">
        <v>1883.3</v>
      </c>
      <c r="R118" s="1616">
        <v>727.7</v>
      </c>
      <c r="S118" s="1616">
        <v>4053.8</v>
      </c>
      <c r="T118" s="1616">
        <v>3135.7</v>
      </c>
      <c r="U118" s="1616">
        <v>4367.3</v>
      </c>
      <c r="V118" s="1616">
        <v>8505.2999999999993</v>
      </c>
      <c r="W118" s="1616">
        <v>18770.900000000001</v>
      </c>
      <c r="X118" s="1616">
        <v>6065.5</v>
      </c>
      <c r="Y118" s="1616">
        <v>2628</v>
      </c>
      <c r="Z118" s="1616">
        <v>6921.9</v>
      </c>
      <c r="AA118" s="1616">
        <v>5603.5</v>
      </c>
      <c r="AB118" s="1616">
        <v>16550.8</v>
      </c>
      <c r="AC118" s="1616">
        <v>11980.9</v>
      </c>
      <c r="AD118" s="1616">
        <v>7947.2</v>
      </c>
      <c r="AE118" s="1616">
        <v>5640.4</v>
      </c>
      <c r="AF118" s="1616">
        <v>11709.8</v>
      </c>
      <c r="AG118" s="1616">
        <v>5383.9</v>
      </c>
      <c r="AH118" s="1616">
        <v>143239.4</v>
      </c>
      <c r="AI118" s="1616">
        <v>143678.5</v>
      </c>
      <c r="AJ118" s="1616">
        <v>-175</v>
      </c>
      <c r="AK118" s="1616">
        <v>143503.5</v>
      </c>
      <c r="AL118" s="1616">
        <v>1524.9</v>
      </c>
      <c r="AM118" s="1616">
        <v>38144.400000000001</v>
      </c>
      <c r="AN118" s="1616">
        <v>103570.2</v>
      </c>
    </row>
    <row r="119" spans="1:40">
      <c r="A119" s="133">
        <v>2021</v>
      </c>
      <c r="B119" s="133" t="s">
        <v>11946</v>
      </c>
      <c r="C119" s="133" t="s">
        <v>12058</v>
      </c>
      <c r="D119" s="1616">
        <v>1378.1</v>
      </c>
      <c r="E119" s="1616">
        <v>85.2</v>
      </c>
      <c r="F119" s="1616">
        <v>28705.8</v>
      </c>
      <c r="G119" s="1616">
        <v>3109</v>
      </c>
      <c r="H119" s="1616">
        <v>373.3</v>
      </c>
      <c r="I119" s="1616">
        <v>661.7</v>
      </c>
      <c r="J119" s="1616">
        <v>2986.3</v>
      </c>
      <c r="K119" s="1616">
        <v>1524.6</v>
      </c>
      <c r="L119" s="1616">
        <v>836.2</v>
      </c>
      <c r="M119" s="1616">
        <v>2506.5</v>
      </c>
      <c r="N119" s="1616">
        <v>1410.2</v>
      </c>
      <c r="O119" s="1616">
        <v>4136</v>
      </c>
      <c r="P119" s="1616">
        <v>1628.1</v>
      </c>
      <c r="Q119" s="1616">
        <v>1886.1</v>
      </c>
      <c r="R119" s="1616">
        <v>844.8</v>
      </c>
      <c r="S119" s="1616">
        <v>3868.6</v>
      </c>
      <c r="T119" s="1616">
        <v>2934.5</v>
      </c>
      <c r="U119" s="1616">
        <v>4046.1</v>
      </c>
      <c r="V119" s="1616">
        <v>8106.2</v>
      </c>
      <c r="W119" s="1616">
        <v>17437.900000000001</v>
      </c>
      <c r="X119" s="1616">
        <v>5696.2</v>
      </c>
      <c r="Y119" s="1616">
        <v>1714.5</v>
      </c>
      <c r="Z119" s="1616">
        <v>7594.8</v>
      </c>
      <c r="AA119" s="1616">
        <v>5764.7</v>
      </c>
      <c r="AB119" s="1616">
        <v>16324.3</v>
      </c>
      <c r="AC119" s="1616">
        <v>12442.9</v>
      </c>
      <c r="AD119" s="1616">
        <v>6122.1</v>
      </c>
      <c r="AE119" s="1616">
        <v>4022.1</v>
      </c>
      <c r="AF119" s="1616">
        <v>10770.2</v>
      </c>
      <c r="AG119" s="1616">
        <v>5152.8</v>
      </c>
      <c r="AH119" s="1616">
        <v>135364</v>
      </c>
      <c r="AI119" s="1616">
        <v>135820.1</v>
      </c>
      <c r="AJ119" s="1616">
        <v>1068.5</v>
      </c>
      <c r="AK119" s="1616">
        <v>136888.6</v>
      </c>
      <c r="AL119" s="1616">
        <v>1378.1</v>
      </c>
      <c r="AM119" s="1616">
        <v>36897.300000000003</v>
      </c>
      <c r="AN119" s="1616">
        <v>97088.6</v>
      </c>
    </row>
    <row r="120" spans="1:40">
      <c r="A120" s="133">
        <v>2021</v>
      </c>
      <c r="B120" s="133" t="s">
        <v>11948</v>
      </c>
      <c r="C120" s="133" t="s">
        <v>12059</v>
      </c>
      <c r="D120" s="1616">
        <v>1408.9</v>
      </c>
      <c r="E120" s="1616">
        <v>89.2</v>
      </c>
      <c r="F120" s="1616">
        <v>28591.200000000001</v>
      </c>
      <c r="G120" s="1616">
        <v>3447.7</v>
      </c>
      <c r="H120" s="1616">
        <v>371</v>
      </c>
      <c r="I120" s="1616">
        <v>659.8</v>
      </c>
      <c r="J120" s="1616">
        <v>2931.2</v>
      </c>
      <c r="K120" s="1616">
        <v>1357.2</v>
      </c>
      <c r="L120" s="1616">
        <v>841.6</v>
      </c>
      <c r="M120" s="1616">
        <v>2743.9</v>
      </c>
      <c r="N120" s="1616">
        <v>1354.6</v>
      </c>
      <c r="O120" s="1616">
        <v>4160.1000000000004</v>
      </c>
      <c r="P120" s="1616">
        <v>1674.4</v>
      </c>
      <c r="Q120" s="1616">
        <v>1781.4</v>
      </c>
      <c r="R120" s="1616">
        <v>640.9</v>
      </c>
      <c r="S120" s="1616">
        <v>3663.9</v>
      </c>
      <c r="T120" s="1616">
        <v>2963.4</v>
      </c>
      <c r="U120" s="1616">
        <v>3797.7</v>
      </c>
      <c r="V120" s="1616">
        <v>6804.6</v>
      </c>
      <c r="W120" s="1616">
        <v>17500.400000000001</v>
      </c>
      <c r="X120" s="1616">
        <v>5526.6</v>
      </c>
      <c r="Y120" s="1616">
        <v>1570.5</v>
      </c>
      <c r="Z120" s="1616">
        <v>6424.4</v>
      </c>
      <c r="AA120" s="1616">
        <v>5821.5</v>
      </c>
      <c r="AB120" s="1616">
        <v>16289.2</v>
      </c>
      <c r="AC120" s="1616">
        <v>11704.6</v>
      </c>
      <c r="AD120" s="1616">
        <v>8016.2</v>
      </c>
      <c r="AE120" s="1616">
        <v>5467</v>
      </c>
      <c r="AF120" s="1616">
        <v>11528.8</v>
      </c>
      <c r="AG120" s="1616">
        <v>5187</v>
      </c>
      <c r="AH120" s="1616">
        <v>135727.6</v>
      </c>
      <c r="AI120" s="1616">
        <v>136524.70000000001</v>
      </c>
      <c r="AJ120" s="1616">
        <v>-42.5</v>
      </c>
      <c r="AK120" s="1616">
        <v>136482.29999999999</v>
      </c>
      <c r="AL120" s="1616">
        <v>1408.9</v>
      </c>
      <c r="AM120" s="1616">
        <v>35485</v>
      </c>
      <c r="AN120" s="1616">
        <v>98833.7</v>
      </c>
    </row>
    <row r="121" spans="1:40">
      <c r="A121" s="133">
        <v>2021</v>
      </c>
      <c r="B121" s="133" t="s">
        <v>11950</v>
      </c>
      <c r="C121" s="133" t="s">
        <v>12060</v>
      </c>
      <c r="D121" s="1616">
        <v>1412.2</v>
      </c>
      <c r="E121" s="1616">
        <v>88.5</v>
      </c>
      <c r="F121" s="1616">
        <v>27941.5</v>
      </c>
      <c r="G121" s="1616">
        <v>3367.3</v>
      </c>
      <c r="H121" s="1616">
        <v>304.3</v>
      </c>
      <c r="I121" s="1616">
        <v>637.5</v>
      </c>
      <c r="J121" s="1616">
        <v>2854.9</v>
      </c>
      <c r="K121" s="1616">
        <v>1446.3</v>
      </c>
      <c r="L121" s="1616">
        <v>816.3</v>
      </c>
      <c r="M121" s="1616">
        <v>2675.2</v>
      </c>
      <c r="N121" s="1616">
        <v>1345.2</v>
      </c>
      <c r="O121" s="1616">
        <v>4177.7</v>
      </c>
      <c r="P121" s="1616">
        <v>1854.8</v>
      </c>
      <c r="Q121" s="1616">
        <v>1759</v>
      </c>
      <c r="R121" s="1616">
        <v>618.20000000000005</v>
      </c>
      <c r="S121" s="1616">
        <v>3223.2</v>
      </c>
      <c r="T121" s="1616">
        <v>2861.7</v>
      </c>
      <c r="U121" s="1616">
        <v>3947.2</v>
      </c>
      <c r="V121" s="1616">
        <v>7602.6</v>
      </c>
      <c r="W121" s="1616">
        <v>18138.599999999999</v>
      </c>
      <c r="X121" s="1616">
        <v>5560.3</v>
      </c>
      <c r="Y121" s="1616">
        <v>1605.7</v>
      </c>
      <c r="Z121" s="1616">
        <v>6683.2</v>
      </c>
      <c r="AA121" s="1616">
        <v>5882.6</v>
      </c>
      <c r="AB121" s="1616">
        <v>16297.1</v>
      </c>
      <c r="AC121" s="1616">
        <v>12056</v>
      </c>
      <c r="AD121" s="1616">
        <v>6068.2</v>
      </c>
      <c r="AE121" s="1616">
        <v>4002.5</v>
      </c>
      <c r="AF121" s="1616">
        <v>11284.3</v>
      </c>
      <c r="AG121" s="1616">
        <v>5162.3</v>
      </c>
      <c r="AH121" s="1616">
        <v>133732.9</v>
      </c>
      <c r="AI121" s="1616">
        <v>134685.29999999999</v>
      </c>
      <c r="AJ121" s="1616">
        <v>-357.7</v>
      </c>
      <c r="AK121" s="1616">
        <v>134327.6</v>
      </c>
      <c r="AL121" s="1616">
        <v>1412.2</v>
      </c>
      <c r="AM121" s="1616">
        <v>35632.6</v>
      </c>
      <c r="AN121" s="1616">
        <v>96688.1</v>
      </c>
    </row>
    <row r="122" spans="1:40">
      <c r="A122" s="133">
        <v>2021</v>
      </c>
      <c r="B122" s="133" t="s">
        <v>11952</v>
      </c>
      <c r="C122" s="133" t="s">
        <v>12061</v>
      </c>
      <c r="D122" s="1616">
        <v>1389.1</v>
      </c>
      <c r="E122" s="1616">
        <v>101</v>
      </c>
      <c r="F122" s="1616">
        <v>29686.9</v>
      </c>
      <c r="G122" s="1616">
        <v>3292.7</v>
      </c>
      <c r="H122" s="1616">
        <v>336.1</v>
      </c>
      <c r="I122" s="1616">
        <v>660.2</v>
      </c>
      <c r="J122" s="1616">
        <v>3032.2</v>
      </c>
      <c r="K122" s="1616">
        <v>1622</v>
      </c>
      <c r="L122" s="1616">
        <v>863.2</v>
      </c>
      <c r="M122" s="1616">
        <v>2944.8</v>
      </c>
      <c r="N122" s="1616">
        <v>1371.6</v>
      </c>
      <c r="O122" s="1616">
        <v>4497.1000000000004</v>
      </c>
      <c r="P122" s="1616">
        <v>2012.4</v>
      </c>
      <c r="Q122" s="1616">
        <v>1834.1</v>
      </c>
      <c r="R122" s="1616">
        <v>653.70000000000005</v>
      </c>
      <c r="S122" s="1616">
        <v>3553.3</v>
      </c>
      <c r="T122" s="1616">
        <v>3013.4</v>
      </c>
      <c r="U122" s="1616">
        <v>3481.6</v>
      </c>
      <c r="V122" s="1616">
        <v>8526.7999999999993</v>
      </c>
      <c r="W122" s="1616">
        <v>19860.2</v>
      </c>
      <c r="X122" s="1616">
        <v>6215.6</v>
      </c>
      <c r="Y122" s="1616">
        <v>2103.6999999999998</v>
      </c>
      <c r="Z122" s="1616">
        <v>6922.2</v>
      </c>
      <c r="AA122" s="1616">
        <v>5968.3</v>
      </c>
      <c r="AB122" s="1616">
        <v>16352.7</v>
      </c>
      <c r="AC122" s="1616">
        <v>12532.5</v>
      </c>
      <c r="AD122" s="1616">
        <v>8086.1</v>
      </c>
      <c r="AE122" s="1616">
        <v>5645.7</v>
      </c>
      <c r="AF122" s="1616">
        <v>11839.6</v>
      </c>
      <c r="AG122" s="1616">
        <v>5360</v>
      </c>
      <c r="AH122" s="1616">
        <v>144071.9</v>
      </c>
      <c r="AI122" s="1616">
        <v>145133.20000000001</v>
      </c>
      <c r="AJ122" s="1616">
        <v>236.7</v>
      </c>
      <c r="AK122" s="1616">
        <v>145369.79999999999</v>
      </c>
      <c r="AL122" s="1616">
        <v>1389.1</v>
      </c>
      <c r="AM122" s="1616">
        <v>38314.699999999997</v>
      </c>
      <c r="AN122" s="1616">
        <v>104368.2</v>
      </c>
    </row>
    <row r="123" spans="1:40">
      <c r="A123" s="133">
        <v>2022</v>
      </c>
      <c r="B123" s="133" t="s">
        <v>11946</v>
      </c>
      <c r="C123" s="133" t="s">
        <v>12062</v>
      </c>
      <c r="D123" s="1616">
        <v>1306.0999999999999</v>
      </c>
      <c r="E123" s="1616">
        <v>100.5</v>
      </c>
      <c r="F123" s="1616">
        <v>27935.1</v>
      </c>
      <c r="G123" s="1616">
        <v>2864.7</v>
      </c>
      <c r="H123" s="1616">
        <v>329.1</v>
      </c>
      <c r="I123" s="1616">
        <v>564.5</v>
      </c>
      <c r="J123" s="1616">
        <v>2800.2</v>
      </c>
      <c r="K123" s="1616">
        <v>1687</v>
      </c>
      <c r="L123" s="1616">
        <v>749.9</v>
      </c>
      <c r="M123" s="1616">
        <v>2783.4</v>
      </c>
      <c r="N123" s="1616">
        <v>1260.5</v>
      </c>
      <c r="O123" s="1616">
        <v>4392.7</v>
      </c>
      <c r="P123" s="1616">
        <v>1658.8</v>
      </c>
      <c r="Q123" s="1616">
        <v>1778</v>
      </c>
      <c r="R123" s="1616">
        <v>717.4</v>
      </c>
      <c r="S123" s="1616">
        <v>3485.8</v>
      </c>
      <c r="T123" s="1616">
        <v>2862.9</v>
      </c>
      <c r="U123" s="1616">
        <v>3813.8</v>
      </c>
      <c r="V123" s="1616">
        <v>8065.7</v>
      </c>
      <c r="W123" s="1616">
        <v>19011.5</v>
      </c>
      <c r="X123" s="1616">
        <v>5953.5</v>
      </c>
      <c r="Y123" s="1616">
        <v>1636.6</v>
      </c>
      <c r="Z123" s="1616">
        <v>7308.1</v>
      </c>
      <c r="AA123" s="1616">
        <v>6093.5</v>
      </c>
      <c r="AB123" s="1616">
        <v>16305.6</v>
      </c>
      <c r="AC123" s="1616">
        <v>12833.3</v>
      </c>
      <c r="AD123" s="1616">
        <v>6337.3</v>
      </c>
      <c r="AE123" s="1616">
        <v>4072.3</v>
      </c>
      <c r="AF123" s="1616">
        <v>10914.4</v>
      </c>
      <c r="AG123" s="1616">
        <v>5161.8</v>
      </c>
      <c r="AH123" s="1616">
        <v>136849.20000000001</v>
      </c>
      <c r="AI123" s="1616">
        <v>137785</v>
      </c>
      <c r="AJ123" s="1616">
        <v>948.7</v>
      </c>
      <c r="AK123" s="1616">
        <v>138733.70000000001</v>
      </c>
      <c r="AL123" s="1616">
        <v>1306.0999999999999</v>
      </c>
      <c r="AM123" s="1616">
        <v>36101.4</v>
      </c>
      <c r="AN123" s="1616">
        <v>99441.7</v>
      </c>
    </row>
    <row r="124" spans="1:40">
      <c r="A124" s="133">
        <v>2022</v>
      </c>
      <c r="B124" s="133" t="s">
        <v>11948</v>
      </c>
      <c r="C124" s="133" t="s">
        <v>12063</v>
      </c>
      <c r="D124" s="1616">
        <v>1343.8</v>
      </c>
      <c r="E124" s="1616">
        <v>115.6</v>
      </c>
      <c r="F124" s="1616">
        <v>26911.1</v>
      </c>
      <c r="G124" s="1616">
        <v>3249.8</v>
      </c>
      <c r="H124" s="1616">
        <v>321.10000000000002</v>
      </c>
      <c r="I124" s="1616">
        <v>549.4</v>
      </c>
      <c r="J124" s="1616">
        <v>2443.9</v>
      </c>
      <c r="K124" s="1616">
        <v>648.6</v>
      </c>
      <c r="L124" s="1616">
        <v>782</v>
      </c>
      <c r="M124" s="1616">
        <v>3036.1</v>
      </c>
      <c r="N124" s="1616">
        <v>1333.7</v>
      </c>
      <c r="O124" s="1616">
        <v>4298.3</v>
      </c>
      <c r="P124" s="1616">
        <v>1709</v>
      </c>
      <c r="Q124" s="1616">
        <v>1731.3</v>
      </c>
      <c r="R124" s="1616">
        <v>535.29999999999995</v>
      </c>
      <c r="S124" s="1616">
        <v>3379.2</v>
      </c>
      <c r="T124" s="1616">
        <v>2893.3</v>
      </c>
      <c r="U124" s="1616">
        <v>3127.1</v>
      </c>
      <c r="V124" s="1616">
        <v>6653.7</v>
      </c>
      <c r="W124" s="1616">
        <v>19211.900000000001</v>
      </c>
      <c r="X124" s="1616">
        <v>6156.9</v>
      </c>
      <c r="Y124" s="1616">
        <v>2089.6999999999998</v>
      </c>
      <c r="Z124" s="1616">
        <v>6617.6</v>
      </c>
      <c r="AA124" s="1616">
        <v>6279.3</v>
      </c>
      <c r="AB124" s="1616">
        <v>16225.4</v>
      </c>
      <c r="AC124" s="1616">
        <v>12068.2</v>
      </c>
      <c r="AD124" s="1616">
        <v>7914.3</v>
      </c>
      <c r="AE124" s="1616">
        <v>5403.4</v>
      </c>
      <c r="AF124" s="1616">
        <v>11595.1</v>
      </c>
      <c r="AG124" s="1616">
        <v>5426.4</v>
      </c>
      <c r="AH124" s="1616">
        <v>137139.29999999999</v>
      </c>
      <c r="AI124" s="1616">
        <v>138606.5</v>
      </c>
      <c r="AJ124" s="1616">
        <v>-537.29999999999995</v>
      </c>
      <c r="AK124" s="1616">
        <v>138069.1</v>
      </c>
      <c r="AL124" s="1616">
        <v>1343.8</v>
      </c>
      <c r="AM124" s="1616">
        <v>33680.400000000001</v>
      </c>
      <c r="AN124" s="1616">
        <v>102115</v>
      </c>
    </row>
    <row r="125" spans="1:40">
      <c r="A125" s="133">
        <v>2022</v>
      </c>
      <c r="B125" s="133" t="s">
        <v>11950</v>
      </c>
      <c r="C125" s="133" t="s">
        <v>12064</v>
      </c>
      <c r="D125" s="1616">
        <v>1211.4000000000001</v>
      </c>
      <c r="E125" s="1616">
        <v>114.6</v>
      </c>
      <c r="F125" s="1616">
        <v>27099.200000000001</v>
      </c>
      <c r="G125" s="1616">
        <v>3195.4</v>
      </c>
      <c r="H125" s="1616">
        <v>271</v>
      </c>
      <c r="I125" s="1616">
        <v>518.4</v>
      </c>
      <c r="J125" s="1616">
        <v>2484.5</v>
      </c>
      <c r="K125" s="1616">
        <v>126.8</v>
      </c>
      <c r="L125" s="1616">
        <v>754.1</v>
      </c>
      <c r="M125" s="1616">
        <v>2734.3</v>
      </c>
      <c r="N125" s="1616">
        <v>1399.9</v>
      </c>
      <c r="O125" s="1616">
        <v>4627.3</v>
      </c>
      <c r="P125" s="1616">
        <v>1941.5</v>
      </c>
      <c r="Q125" s="1616">
        <v>1821.6</v>
      </c>
      <c r="R125" s="1616">
        <v>550</v>
      </c>
      <c r="S125" s="1616">
        <v>3823.5</v>
      </c>
      <c r="T125" s="1616">
        <v>2850.8</v>
      </c>
      <c r="U125" s="1616">
        <v>2709.8</v>
      </c>
      <c r="V125" s="1616">
        <v>7405.2</v>
      </c>
      <c r="W125" s="1616">
        <v>19287.099999999999</v>
      </c>
      <c r="X125" s="1616">
        <v>6388.4</v>
      </c>
      <c r="Y125" s="1616">
        <v>2200.6999999999998</v>
      </c>
      <c r="Z125" s="1616">
        <v>6593.1</v>
      </c>
      <c r="AA125" s="1616">
        <v>6334.5</v>
      </c>
      <c r="AB125" s="1616">
        <v>16164.4</v>
      </c>
      <c r="AC125" s="1616">
        <v>12228.7</v>
      </c>
      <c r="AD125" s="1616">
        <v>6227</v>
      </c>
      <c r="AE125" s="1616">
        <v>4062.6</v>
      </c>
      <c r="AF125" s="1616">
        <v>11167.2</v>
      </c>
      <c r="AG125" s="1616">
        <v>5347</v>
      </c>
      <c r="AH125" s="1616">
        <v>134540.79999999999</v>
      </c>
      <c r="AI125" s="1616">
        <v>136297.9</v>
      </c>
      <c r="AJ125" s="1616">
        <v>-545.79999999999995</v>
      </c>
      <c r="AK125" s="1616">
        <v>135752.1</v>
      </c>
      <c r="AL125" s="1616">
        <v>1211.4000000000001</v>
      </c>
      <c r="AM125" s="1616">
        <v>34618.9</v>
      </c>
      <c r="AN125" s="1616">
        <v>98710.5</v>
      </c>
    </row>
    <row r="126" spans="1:40">
      <c r="A126" s="133">
        <v>2022</v>
      </c>
      <c r="B126" s="133" t="s">
        <v>11952</v>
      </c>
      <c r="C126" s="133" t="s">
        <v>12065</v>
      </c>
      <c r="D126" s="1616">
        <v>1305.9000000000001</v>
      </c>
      <c r="E126" s="1616">
        <v>122.7</v>
      </c>
      <c r="F126" s="1616">
        <v>29163.4</v>
      </c>
      <c r="G126" s="1616">
        <v>3387</v>
      </c>
      <c r="H126" s="1616">
        <v>302.2</v>
      </c>
      <c r="I126" s="1616">
        <v>563.20000000000005</v>
      </c>
      <c r="J126" s="1616">
        <v>2750.3</v>
      </c>
      <c r="K126" s="1616">
        <v>422</v>
      </c>
      <c r="L126" s="1616">
        <v>827.6</v>
      </c>
      <c r="M126" s="1616">
        <v>3359.5</v>
      </c>
      <c r="N126" s="1616">
        <v>1478.3</v>
      </c>
      <c r="O126" s="1616">
        <v>4452</v>
      </c>
      <c r="P126" s="1616">
        <v>1858.4</v>
      </c>
      <c r="Q126" s="1616">
        <v>1938.7</v>
      </c>
      <c r="R126" s="1616">
        <v>604.29999999999995</v>
      </c>
      <c r="S126" s="1616">
        <v>4121.3999999999996</v>
      </c>
      <c r="T126" s="1616">
        <v>3098.3</v>
      </c>
      <c r="U126" s="1616">
        <v>3612.2</v>
      </c>
      <c r="V126" s="1616">
        <v>8408.1</v>
      </c>
      <c r="W126" s="1616">
        <v>20574.7</v>
      </c>
      <c r="X126" s="1616">
        <v>6828</v>
      </c>
      <c r="Y126" s="1616">
        <v>2498.5</v>
      </c>
      <c r="Z126" s="1616">
        <v>6835.4</v>
      </c>
      <c r="AA126" s="1616">
        <v>6572.2</v>
      </c>
      <c r="AB126" s="1616">
        <v>16248.3</v>
      </c>
      <c r="AC126" s="1616">
        <v>12649.6</v>
      </c>
      <c r="AD126" s="1616">
        <v>8342.7000000000007</v>
      </c>
      <c r="AE126" s="1616">
        <v>5745.6</v>
      </c>
      <c r="AF126" s="1616">
        <v>11936.3</v>
      </c>
      <c r="AG126" s="1616">
        <v>5516.9</v>
      </c>
      <c r="AH126" s="1616">
        <v>146360.6</v>
      </c>
      <c r="AI126" s="1616">
        <v>148087.6</v>
      </c>
      <c r="AJ126" s="1616">
        <v>-35.700000000000003</v>
      </c>
      <c r="AK126" s="1616">
        <v>148052</v>
      </c>
      <c r="AL126" s="1616">
        <v>1305.9000000000001</v>
      </c>
      <c r="AM126" s="1616">
        <v>37694.199999999997</v>
      </c>
      <c r="AN126" s="1616">
        <v>107360.5</v>
      </c>
    </row>
    <row r="127" spans="1:40">
      <c r="A127" s="133">
        <v>2023</v>
      </c>
      <c r="B127" s="133" t="s">
        <v>11946</v>
      </c>
      <c r="C127" s="133" t="s">
        <v>12066</v>
      </c>
      <c r="D127" s="1616">
        <v>1278.8</v>
      </c>
      <c r="E127" s="1616">
        <v>115.4</v>
      </c>
      <c r="F127" s="1616">
        <v>28564.9</v>
      </c>
      <c r="G127" s="1616">
        <v>3190.4</v>
      </c>
      <c r="H127" s="1616">
        <v>329.7</v>
      </c>
      <c r="I127" s="1616">
        <v>574.1</v>
      </c>
      <c r="J127" s="1616">
        <v>2820</v>
      </c>
      <c r="K127" s="1616">
        <v>941.1</v>
      </c>
      <c r="L127" s="1616">
        <v>780.4</v>
      </c>
      <c r="M127" s="1616">
        <v>3454.6</v>
      </c>
      <c r="N127" s="1616">
        <v>1362</v>
      </c>
      <c r="O127" s="1616">
        <v>4422.3999999999996</v>
      </c>
      <c r="P127" s="1616">
        <v>1468.8</v>
      </c>
      <c r="Q127" s="1616">
        <v>1831.6</v>
      </c>
      <c r="R127" s="1616">
        <v>630.1</v>
      </c>
      <c r="S127" s="1616">
        <v>3754.2</v>
      </c>
      <c r="T127" s="1616">
        <v>3005.4</v>
      </c>
      <c r="U127" s="1616">
        <v>4322.8</v>
      </c>
      <c r="V127" s="1616">
        <v>8437.2000000000007</v>
      </c>
      <c r="W127" s="1616">
        <v>19596.3</v>
      </c>
      <c r="X127" s="1616">
        <v>6885.5</v>
      </c>
      <c r="Y127" s="1616">
        <v>2531.4</v>
      </c>
      <c r="Z127" s="1616">
        <v>7195.9</v>
      </c>
      <c r="AA127" s="1616">
        <v>6754.5</v>
      </c>
      <c r="AB127" s="1616">
        <v>16333.5</v>
      </c>
      <c r="AC127" s="1616">
        <v>13512.1</v>
      </c>
      <c r="AD127" s="1616">
        <v>6656.1</v>
      </c>
      <c r="AE127" s="1616">
        <v>4242.6000000000004</v>
      </c>
      <c r="AF127" s="1616">
        <v>11318.2</v>
      </c>
      <c r="AG127" s="1616">
        <v>5427.9</v>
      </c>
      <c r="AH127" s="1616">
        <v>143173</v>
      </c>
      <c r="AI127" s="1616">
        <v>144269.1</v>
      </c>
      <c r="AJ127" s="1616">
        <v>970.3</v>
      </c>
      <c r="AK127" s="1616">
        <v>145239.4</v>
      </c>
      <c r="AL127" s="1616">
        <v>1278.8</v>
      </c>
      <c r="AM127" s="1616">
        <v>37117.5</v>
      </c>
      <c r="AN127" s="1616">
        <v>104776.7</v>
      </c>
    </row>
    <row r="128" spans="1:40">
      <c r="A128" s="133">
        <v>2023</v>
      </c>
      <c r="B128" s="133" t="s">
        <v>11948</v>
      </c>
      <c r="C128" s="133" t="s">
        <v>12067</v>
      </c>
      <c r="D128" s="1616">
        <v>1333.4</v>
      </c>
      <c r="E128" s="1616">
        <v>108.6</v>
      </c>
      <c r="F128" s="1616">
        <v>30242.799999999999</v>
      </c>
      <c r="G128" s="1616">
        <v>3732.4</v>
      </c>
      <c r="H128" s="1616">
        <v>354</v>
      </c>
      <c r="I128" s="1616">
        <v>667.9</v>
      </c>
      <c r="J128" s="1616">
        <v>2955.1</v>
      </c>
      <c r="K128" s="1616">
        <v>1115.7</v>
      </c>
      <c r="L128" s="1616">
        <v>870.6</v>
      </c>
      <c r="M128" s="1616">
        <v>3568.6</v>
      </c>
      <c r="N128" s="1616">
        <v>1465.5</v>
      </c>
      <c r="O128" s="1616">
        <v>4390.3</v>
      </c>
      <c r="P128" s="1616">
        <v>1504.4</v>
      </c>
      <c r="Q128" s="1616">
        <v>1868</v>
      </c>
      <c r="R128" s="1616">
        <v>525.70000000000005</v>
      </c>
      <c r="S128" s="1616">
        <v>4111.3</v>
      </c>
      <c r="T128" s="1616">
        <v>3113.3</v>
      </c>
      <c r="U128" s="1616">
        <v>3887.4</v>
      </c>
      <c r="V128" s="1616">
        <v>6933.2</v>
      </c>
      <c r="W128" s="1616">
        <v>19645.900000000001</v>
      </c>
      <c r="X128" s="1616">
        <v>6953.1</v>
      </c>
      <c r="Y128" s="1616">
        <v>2863.3</v>
      </c>
      <c r="Z128" s="1616">
        <v>6612.3</v>
      </c>
      <c r="AA128" s="1616">
        <v>7141.9</v>
      </c>
      <c r="AB128" s="1616">
        <v>16225.1</v>
      </c>
      <c r="AC128" s="1616">
        <v>12709.9</v>
      </c>
      <c r="AD128" s="1616">
        <v>8108</v>
      </c>
      <c r="AE128" s="1616">
        <v>5625.2</v>
      </c>
      <c r="AF128" s="1616">
        <v>11854.6</v>
      </c>
      <c r="AG128" s="1616">
        <v>5511.2</v>
      </c>
      <c r="AH128" s="1616">
        <v>145756</v>
      </c>
      <c r="AI128" s="1616">
        <v>146852.29999999999</v>
      </c>
      <c r="AJ128" s="1616">
        <v>-1082.5999999999999</v>
      </c>
      <c r="AK128" s="1616">
        <v>145769.70000000001</v>
      </c>
      <c r="AL128" s="1616">
        <v>1333.4</v>
      </c>
      <c r="AM128" s="1616">
        <v>37284.6</v>
      </c>
      <c r="AN128" s="1616">
        <v>107138</v>
      </c>
    </row>
    <row r="129" spans="1:40">
      <c r="A129" s="133">
        <v>2023</v>
      </c>
      <c r="B129" s="133" t="s">
        <v>11950</v>
      </c>
      <c r="C129" s="133" t="s">
        <v>12068</v>
      </c>
      <c r="D129" s="1616">
        <v>1390.1</v>
      </c>
      <c r="E129" s="1616">
        <v>106.4</v>
      </c>
      <c r="F129" s="1616">
        <v>30762.799999999999</v>
      </c>
      <c r="G129" s="1616">
        <v>3649.5</v>
      </c>
      <c r="H129" s="1616">
        <v>297.39999999999998</v>
      </c>
      <c r="I129" s="1616">
        <v>675.9</v>
      </c>
      <c r="J129" s="1616">
        <v>2969.9</v>
      </c>
      <c r="K129" s="1616">
        <v>1278.2</v>
      </c>
      <c r="L129" s="1616">
        <v>922.4</v>
      </c>
      <c r="M129" s="1616">
        <v>3435.5</v>
      </c>
      <c r="N129" s="1616">
        <v>1536.5</v>
      </c>
      <c r="O129" s="1616">
        <v>4404</v>
      </c>
      <c r="P129" s="1616">
        <v>1622.5</v>
      </c>
      <c r="Q129" s="1616">
        <v>1827.3</v>
      </c>
      <c r="R129" s="1616">
        <v>554.70000000000005</v>
      </c>
      <c r="S129" s="1616">
        <v>4496.8</v>
      </c>
      <c r="T129" s="1616">
        <v>3092.1</v>
      </c>
      <c r="U129" s="1616">
        <v>3871.5</v>
      </c>
      <c r="V129" s="1616">
        <v>7558</v>
      </c>
      <c r="W129" s="1616">
        <v>20360.2</v>
      </c>
      <c r="X129" s="1616">
        <v>7047.6</v>
      </c>
      <c r="Y129" s="1616">
        <v>3139.4</v>
      </c>
      <c r="Z129" s="1616">
        <v>6831</v>
      </c>
      <c r="AA129" s="1616">
        <v>7275.8</v>
      </c>
      <c r="AB129" s="1616">
        <v>16151</v>
      </c>
      <c r="AC129" s="1616">
        <v>12694.6</v>
      </c>
      <c r="AD129" s="1616">
        <v>6228.2</v>
      </c>
      <c r="AE129" s="1616">
        <v>4115.2</v>
      </c>
      <c r="AF129" s="1616">
        <v>11429.9</v>
      </c>
      <c r="AG129" s="1616">
        <v>5521.3</v>
      </c>
      <c r="AH129" s="1616">
        <v>144483.1</v>
      </c>
      <c r="AI129" s="1616">
        <v>145708.20000000001</v>
      </c>
      <c r="AJ129" s="1616">
        <v>-1136.0999999999999</v>
      </c>
      <c r="AK129" s="1616">
        <v>144572.1</v>
      </c>
      <c r="AL129" s="1616">
        <v>1390.1</v>
      </c>
      <c r="AM129" s="1616">
        <v>38427.199999999997</v>
      </c>
      <c r="AN129" s="1616">
        <v>104665.7</v>
      </c>
    </row>
    <row r="130" spans="1:40">
      <c r="A130" s="133">
        <v>2023</v>
      </c>
      <c r="B130" s="133" t="s">
        <v>11952</v>
      </c>
      <c r="C130" s="133" t="s">
        <v>12069</v>
      </c>
      <c r="D130" s="1616">
        <v>1546.7</v>
      </c>
      <c r="E130" s="1616">
        <v>120.4</v>
      </c>
      <c r="F130" s="1616">
        <v>32251.4</v>
      </c>
      <c r="G130" s="1616">
        <v>3629.2</v>
      </c>
      <c r="H130" s="1616">
        <v>340.9</v>
      </c>
      <c r="I130" s="1616">
        <v>706.7</v>
      </c>
      <c r="J130" s="1616">
        <v>3079.5</v>
      </c>
      <c r="K130" s="1616">
        <v>800.6</v>
      </c>
      <c r="L130" s="1616">
        <v>991.5</v>
      </c>
      <c r="M130" s="1616">
        <v>3571.1</v>
      </c>
      <c r="N130" s="1616">
        <v>1675.9</v>
      </c>
      <c r="O130" s="1616">
        <v>4652</v>
      </c>
      <c r="P130" s="1616">
        <v>1816</v>
      </c>
      <c r="Q130" s="1616">
        <v>2007.6</v>
      </c>
      <c r="R130" s="1616">
        <v>644.20000000000005</v>
      </c>
      <c r="S130" s="1616">
        <v>5062.1000000000004</v>
      </c>
      <c r="T130" s="1616">
        <v>3274</v>
      </c>
      <c r="U130" s="1616">
        <v>3714.6</v>
      </c>
      <c r="V130" s="1616">
        <v>8302.5</v>
      </c>
      <c r="W130" s="1616">
        <v>21819.3</v>
      </c>
      <c r="X130" s="1616">
        <v>7309.4</v>
      </c>
      <c r="Y130" s="1616">
        <v>3214.5</v>
      </c>
      <c r="Z130" s="1616">
        <v>7036.7</v>
      </c>
      <c r="AA130" s="1616">
        <v>7503.3</v>
      </c>
      <c r="AB130" s="1616">
        <v>16196.9</v>
      </c>
      <c r="AC130" s="1616">
        <v>13397.7</v>
      </c>
      <c r="AD130" s="1616">
        <v>8338.5</v>
      </c>
      <c r="AE130" s="1616">
        <v>5859.7</v>
      </c>
      <c r="AF130" s="1616">
        <v>12130</v>
      </c>
      <c r="AG130" s="1616">
        <v>5689.2</v>
      </c>
      <c r="AH130" s="1616">
        <v>154430.70000000001</v>
      </c>
      <c r="AI130" s="1616">
        <v>155752.4</v>
      </c>
      <c r="AJ130" s="1616">
        <v>-628.5</v>
      </c>
      <c r="AK130" s="1616">
        <v>155123.9</v>
      </c>
      <c r="AL130" s="1616">
        <v>1546.7</v>
      </c>
      <c r="AM130" s="1616">
        <v>40674.199999999997</v>
      </c>
      <c r="AN130" s="1616">
        <v>112209.8</v>
      </c>
    </row>
    <row r="131" spans="1:40">
      <c r="A131" s="133">
        <v>2024</v>
      </c>
      <c r="B131" s="133" t="s">
        <v>11946</v>
      </c>
      <c r="C131" s="133" t="s">
        <v>12070</v>
      </c>
      <c r="D131" s="1616">
        <v>1295.7</v>
      </c>
      <c r="E131" s="1616">
        <v>118.5</v>
      </c>
      <c r="F131" s="1616">
        <v>29733.8</v>
      </c>
      <c r="G131" s="1616">
        <v>3356</v>
      </c>
      <c r="H131" s="1616">
        <v>345.9</v>
      </c>
      <c r="I131" s="1616">
        <v>669</v>
      </c>
      <c r="J131" s="1616">
        <v>2834.7</v>
      </c>
      <c r="K131" s="1616">
        <v>1213.4000000000001</v>
      </c>
      <c r="L131" s="1616">
        <v>906.7</v>
      </c>
      <c r="M131" s="1616">
        <v>3315.2</v>
      </c>
      <c r="N131" s="1616">
        <v>1386.9</v>
      </c>
      <c r="O131" s="1616">
        <v>4458.1000000000004</v>
      </c>
      <c r="P131" s="1616">
        <v>1592.3</v>
      </c>
      <c r="Q131" s="1616">
        <v>1846.7</v>
      </c>
      <c r="R131" s="1616">
        <v>685.5</v>
      </c>
      <c r="S131" s="1616">
        <v>4142.3999999999996</v>
      </c>
      <c r="T131" s="1616">
        <v>2981.1</v>
      </c>
      <c r="U131" s="1616">
        <v>3800.8</v>
      </c>
      <c r="V131" s="1616">
        <v>7835.2</v>
      </c>
      <c r="W131" s="1616">
        <v>20711.599999999999</v>
      </c>
      <c r="X131" s="1616">
        <v>7036.4</v>
      </c>
      <c r="Y131" s="1616">
        <v>2949.1</v>
      </c>
      <c r="Z131" s="1616">
        <v>7404.8</v>
      </c>
      <c r="AA131" s="1616">
        <v>7821.1</v>
      </c>
      <c r="AB131" s="1616">
        <v>16116.9</v>
      </c>
      <c r="AC131" s="1616">
        <v>13695.2</v>
      </c>
      <c r="AD131" s="1616">
        <v>6348.4</v>
      </c>
      <c r="AE131" s="1616">
        <v>4112.8</v>
      </c>
      <c r="AF131" s="1616">
        <v>11326.7</v>
      </c>
      <c r="AG131" s="1616">
        <v>5591.8</v>
      </c>
      <c r="AH131" s="1616">
        <v>145898.9</v>
      </c>
      <c r="AI131" s="1616">
        <v>146750.20000000001</v>
      </c>
      <c r="AJ131" s="1616">
        <v>1687.5</v>
      </c>
      <c r="AK131" s="1616">
        <v>148437.70000000001</v>
      </c>
      <c r="AL131" s="1616">
        <v>1295.7</v>
      </c>
      <c r="AM131" s="1616">
        <v>37687.599999999999</v>
      </c>
      <c r="AN131" s="1616">
        <v>106915.6</v>
      </c>
    </row>
    <row r="132" spans="1:40">
      <c r="A132" s="133">
        <v>2024</v>
      </c>
      <c r="B132" s="133" t="s">
        <v>11948</v>
      </c>
      <c r="C132" s="133" t="s">
        <v>12071</v>
      </c>
      <c r="D132" s="1616">
        <v>1429.3</v>
      </c>
      <c r="E132" s="1616">
        <v>111.9</v>
      </c>
      <c r="F132" s="1616">
        <v>30358.5</v>
      </c>
      <c r="G132" s="1616">
        <v>3788.6</v>
      </c>
      <c r="H132" s="1616">
        <v>356.8</v>
      </c>
      <c r="I132" s="1616">
        <v>676.9</v>
      </c>
      <c r="J132" s="1616">
        <v>2725.5</v>
      </c>
      <c r="K132" s="1616">
        <v>923.9</v>
      </c>
      <c r="L132" s="1616">
        <v>931.3</v>
      </c>
      <c r="M132" s="1616">
        <v>3459.9</v>
      </c>
      <c r="N132" s="1616">
        <v>1487.5</v>
      </c>
      <c r="O132" s="1616">
        <v>4415.6000000000004</v>
      </c>
      <c r="P132" s="1616">
        <v>1691</v>
      </c>
      <c r="Q132" s="1616">
        <v>1786.3</v>
      </c>
      <c r="R132" s="1616">
        <v>520</v>
      </c>
      <c r="S132" s="1616">
        <v>4506.3</v>
      </c>
      <c r="T132" s="1616">
        <v>3088.8</v>
      </c>
      <c r="U132" s="1616">
        <v>3912.5</v>
      </c>
      <c r="V132" s="1616">
        <v>6720.2</v>
      </c>
      <c r="W132" s="1616">
        <v>21131.1</v>
      </c>
      <c r="X132" s="1616">
        <v>7073.4</v>
      </c>
      <c r="Y132" s="1616">
        <v>3078.2</v>
      </c>
      <c r="Z132" s="1616">
        <v>6647</v>
      </c>
      <c r="AA132" s="1616">
        <v>7701.1</v>
      </c>
      <c r="AB132" s="1616">
        <v>16151.1</v>
      </c>
      <c r="AC132" s="1616">
        <v>12796.5</v>
      </c>
      <c r="AD132" s="1616">
        <v>8461.1</v>
      </c>
      <c r="AE132" s="1616">
        <v>5833.4</v>
      </c>
      <c r="AF132" s="1616">
        <v>11949.2</v>
      </c>
      <c r="AG132" s="1616">
        <v>5643.4</v>
      </c>
      <c r="AH132" s="1616">
        <v>148998</v>
      </c>
      <c r="AI132" s="1616">
        <v>150331.1</v>
      </c>
      <c r="AJ132" s="1616">
        <v>-1097.4000000000001</v>
      </c>
      <c r="AK132" s="1616">
        <v>149233.70000000001</v>
      </c>
      <c r="AL132" s="1616">
        <v>1429.3</v>
      </c>
      <c r="AM132" s="1616">
        <v>37190.6</v>
      </c>
      <c r="AN132" s="1616">
        <v>110378.1</v>
      </c>
    </row>
    <row r="133" spans="1:40">
      <c r="A133" s="133">
        <v>2024</v>
      </c>
      <c r="B133" s="133" t="s">
        <v>11950</v>
      </c>
      <c r="C133" s="133" t="s">
        <v>12072</v>
      </c>
      <c r="D133" s="1616">
        <v>1573.6</v>
      </c>
      <c r="E133" s="1616">
        <v>113.9</v>
      </c>
      <c r="F133" s="1616">
        <v>30751.3</v>
      </c>
      <c r="G133" s="1616">
        <v>3732.7</v>
      </c>
      <c r="H133" s="1616">
        <v>315.89999999999998</v>
      </c>
      <c r="I133" s="1616">
        <v>686.8</v>
      </c>
      <c r="J133" s="1616">
        <v>2849.3</v>
      </c>
      <c r="K133" s="1616">
        <v>1017.5</v>
      </c>
      <c r="L133" s="1616">
        <v>922.9</v>
      </c>
      <c r="M133" s="1616">
        <v>3496.3</v>
      </c>
      <c r="N133" s="1616">
        <v>1538.3</v>
      </c>
      <c r="O133" s="1616">
        <v>4295.3</v>
      </c>
      <c r="P133" s="1616">
        <v>1971.6</v>
      </c>
      <c r="Q133" s="1616">
        <v>1815.7</v>
      </c>
      <c r="R133" s="1616">
        <v>579.20000000000005</v>
      </c>
      <c r="S133" s="1616">
        <v>4459.8</v>
      </c>
      <c r="T133" s="1616">
        <v>3069.7</v>
      </c>
      <c r="U133" s="1616">
        <v>4771.8999999999996</v>
      </c>
      <c r="V133" s="1616">
        <v>7591.6</v>
      </c>
      <c r="W133" s="1616">
        <v>21668</v>
      </c>
      <c r="X133" s="1616">
        <v>7213.1</v>
      </c>
      <c r="Y133" s="1616">
        <v>3233.6</v>
      </c>
      <c r="Z133" s="1616">
        <v>6880.3</v>
      </c>
      <c r="AA133" s="1616">
        <v>7695.7</v>
      </c>
      <c r="AB133" s="1616">
        <v>16197.8</v>
      </c>
      <c r="AC133" s="1616">
        <v>13038.1</v>
      </c>
      <c r="AD133" s="1616">
        <v>6482.1</v>
      </c>
      <c r="AE133" s="1616">
        <v>4255</v>
      </c>
      <c r="AF133" s="1616">
        <v>11638.9</v>
      </c>
      <c r="AG133" s="1616">
        <v>5663.2</v>
      </c>
      <c r="AH133" s="1616">
        <v>148768.1</v>
      </c>
      <c r="AI133" s="1616">
        <v>149993.60000000001</v>
      </c>
      <c r="AJ133" s="1616">
        <v>-818.4</v>
      </c>
      <c r="AK133" s="1616">
        <v>149175.20000000001</v>
      </c>
      <c r="AL133" s="1616">
        <v>1573.6</v>
      </c>
      <c r="AM133" s="1616">
        <v>38456.800000000003</v>
      </c>
      <c r="AN133" s="1616">
        <v>108737.8</v>
      </c>
    </row>
    <row r="134" spans="1:40">
      <c r="A134" s="133">
        <v>2024</v>
      </c>
      <c r="B134" s="133" t="s">
        <v>11952</v>
      </c>
      <c r="C134" s="133" t="s">
        <v>12073</v>
      </c>
      <c r="D134" s="1616">
        <v>1996.3</v>
      </c>
      <c r="E134" s="1616">
        <v>126.8</v>
      </c>
      <c r="F134" s="1616">
        <v>33031.4</v>
      </c>
      <c r="G134" s="1616">
        <v>3659</v>
      </c>
      <c r="H134" s="1616">
        <v>354.6</v>
      </c>
      <c r="I134" s="1616">
        <v>738.7</v>
      </c>
      <c r="J134" s="1616">
        <v>3053.6</v>
      </c>
      <c r="K134" s="1616">
        <v>1324.3</v>
      </c>
      <c r="L134" s="1616">
        <v>1003</v>
      </c>
      <c r="M134" s="1616">
        <v>3661.4</v>
      </c>
      <c r="N134" s="1616">
        <v>1762.8</v>
      </c>
      <c r="O134" s="1616">
        <v>4829.6000000000004</v>
      </c>
      <c r="P134" s="1616">
        <v>1821.8</v>
      </c>
      <c r="Q134" s="1616">
        <v>2017.7</v>
      </c>
      <c r="R134" s="1616">
        <v>646</v>
      </c>
      <c r="S134" s="1616">
        <v>4864.8999999999996</v>
      </c>
      <c r="T134" s="1616">
        <v>3294</v>
      </c>
      <c r="U134" s="1616">
        <v>4545.8999999999996</v>
      </c>
      <c r="V134" s="1616">
        <v>8621.1</v>
      </c>
      <c r="W134" s="1616">
        <v>23445.5</v>
      </c>
      <c r="X134" s="1616">
        <v>7730</v>
      </c>
      <c r="Y134" s="1616">
        <v>3408.6</v>
      </c>
      <c r="Z134" s="1616">
        <v>7210.4</v>
      </c>
      <c r="AA134" s="1616">
        <v>7603.1</v>
      </c>
      <c r="AB134" s="1616">
        <v>16340.8</v>
      </c>
      <c r="AC134" s="1616">
        <v>13697</v>
      </c>
      <c r="AD134" s="1616">
        <v>8789.2000000000007</v>
      </c>
      <c r="AE134" s="1616">
        <v>6128.9</v>
      </c>
      <c r="AF134" s="1616">
        <v>12468.1</v>
      </c>
      <c r="AG134" s="1616">
        <v>5796.5</v>
      </c>
      <c r="AH134" s="1616">
        <v>160939.70000000001</v>
      </c>
      <c r="AI134" s="1616">
        <v>162194.79999999999</v>
      </c>
      <c r="AJ134" s="1616">
        <v>-642.5</v>
      </c>
      <c r="AK134" s="1616">
        <v>161552.29999999999</v>
      </c>
      <c r="AL134" s="1616">
        <v>1996.3</v>
      </c>
      <c r="AM134" s="1616">
        <v>41779.199999999997</v>
      </c>
      <c r="AN134" s="1616">
        <v>117164.1</v>
      </c>
    </row>
    <row r="135" spans="1:40">
      <c r="A135" s="133">
        <v>2025</v>
      </c>
      <c r="B135" s="133" t="s">
        <v>11946</v>
      </c>
      <c r="C135" s="133" t="s">
        <v>12074</v>
      </c>
      <c r="D135" s="1616">
        <v>1842.4</v>
      </c>
      <c r="E135" s="1616">
        <v>119.1</v>
      </c>
      <c r="F135" s="1616">
        <v>31155.1</v>
      </c>
      <c r="G135" s="1616">
        <v>3249.6</v>
      </c>
      <c r="H135" s="1616">
        <v>342.8</v>
      </c>
      <c r="I135" s="1616">
        <v>682</v>
      </c>
      <c r="J135" s="1616">
        <v>2971.4</v>
      </c>
      <c r="K135" s="1616">
        <v>1376.5</v>
      </c>
      <c r="L135" s="1616">
        <v>906.9</v>
      </c>
      <c r="M135" s="1616">
        <v>3549</v>
      </c>
      <c r="N135" s="1616">
        <v>1483.3</v>
      </c>
      <c r="O135" s="1616">
        <v>4524.7</v>
      </c>
      <c r="P135" s="1616">
        <v>1589.8</v>
      </c>
      <c r="Q135" s="1616">
        <v>1923.9</v>
      </c>
      <c r="R135" s="1616">
        <v>754.4</v>
      </c>
      <c r="S135" s="1616">
        <v>4673.7</v>
      </c>
      <c r="T135" s="1616">
        <v>3126.9</v>
      </c>
      <c r="U135" s="1616">
        <v>4755.1000000000004</v>
      </c>
      <c r="V135" s="1616">
        <v>8339.4</v>
      </c>
      <c r="W135" s="1616">
        <v>22232.9</v>
      </c>
      <c r="X135" s="1616">
        <v>7281.7</v>
      </c>
      <c r="Y135" s="1616">
        <v>3099.6</v>
      </c>
      <c r="Z135" s="1616">
        <v>7770.6</v>
      </c>
      <c r="AA135" s="1616">
        <v>7358.7</v>
      </c>
      <c r="AB135" s="1616">
        <v>16519.2</v>
      </c>
      <c r="AC135" s="1616">
        <v>14863.8</v>
      </c>
      <c r="AD135" s="1616">
        <v>6645.2</v>
      </c>
      <c r="AE135" s="1616">
        <v>4281.6000000000004</v>
      </c>
      <c r="AF135" s="1616">
        <v>11526.1</v>
      </c>
      <c r="AG135" s="1616">
        <v>5704</v>
      </c>
      <c r="AH135" s="1616">
        <v>153494.39999999999</v>
      </c>
      <c r="AI135" s="1616">
        <v>154367.6</v>
      </c>
      <c r="AJ135" s="1616">
        <v>1578.9</v>
      </c>
      <c r="AK135" s="1616">
        <v>155946.4</v>
      </c>
      <c r="AL135" s="1616">
        <v>1842.4</v>
      </c>
      <c r="AM135" s="1616">
        <v>39613.599999999999</v>
      </c>
      <c r="AN135" s="1616">
        <v>112038.39999999999</v>
      </c>
    </row>
    <row r="136" spans="1:40">
      <c r="A136" s="133">
        <v>2025</v>
      </c>
      <c r="B136" s="133" t="s">
        <v>11948</v>
      </c>
      <c r="C136" s="133" t="s">
        <v>12075</v>
      </c>
      <c r="D136" s="1616">
        <v>1837.7</v>
      </c>
      <c r="E136" s="1616">
        <v>115.9</v>
      </c>
      <c r="F136" s="1616">
        <v>32101.7</v>
      </c>
      <c r="G136" s="1616">
        <v>3810.9</v>
      </c>
      <c r="H136" s="1616">
        <v>364.3</v>
      </c>
      <c r="I136" s="1616">
        <v>703</v>
      </c>
      <c r="J136" s="1616">
        <v>3368.3</v>
      </c>
      <c r="K136" s="1616">
        <v>1568.3</v>
      </c>
      <c r="L136" s="1616">
        <v>960.7</v>
      </c>
      <c r="M136" s="1616">
        <v>3437.1</v>
      </c>
      <c r="N136" s="1616">
        <v>1615.2</v>
      </c>
      <c r="O136" s="1616">
        <v>4559.8999999999996</v>
      </c>
      <c r="P136" s="1616">
        <v>1671</v>
      </c>
      <c r="Q136" s="1616">
        <v>1979.9</v>
      </c>
      <c r="R136" s="1616">
        <v>538.20000000000005</v>
      </c>
      <c r="S136" s="1616">
        <v>4311.2</v>
      </c>
      <c r="T136" s="1616">
        <v>3213.4</v>
      </c>
      <c r="U136" s="1616">
        <v>4720.1000000000004</v>
      </c>
      <c r="V136" s="1616">
        <v>7152.8</v>
      </c>
      <c r="W136" s="1616">
        <v>22241.7</v>
      </c>
      <c r="X136" s="1616">
        <v>7456.8</v>
      </c>
      <c r="Y136" s="1616">
        <v>3347.1</v>
      </c>
      <c r="Z136" s="1616">
        <v>6976.1</v>
      </c>
      <c r="AA136" s="1616">
        <v>6754.8</v>
      </c>
      <c r="AB136" s="1616">
        <v>16848.900000000001</v>
      </c>
      <c r="AC136" s="1616">
        <v>14272.3</v>
      </c>
      <c r="AD136" s="1616">
        <v>8593.7999999999993</v>
      </c>
      <c r="AE136" s="1616">
        <v>5913.7</v>
      </c>
      <c r="AF136" s="1616">
        <v>12270.2</v>
      </c>
      <c r="AG136" s="1616">
        <v>5726</v>
      </c>
      <c r="AH136" s="1616">
        <v>156329.60000000001</v>
      </c>
      <c r="AI136" s="1616">
        <v>157306.29999999999</v>
      </c>
      <c r="AJ136" s="1616">
        <v>-985.2</v>
      </c>
      <c r="AK136" s="1616">
        <v>156321.1</v>
      </c>
      <c r="AL136" s="1616">
        <v>1837.7</v>
      </c>
      <c r="AM136" s="1616">
        <v>39370.400000000001</v>
      </c>
      <c r="AN136" s="1616">
        <v>115121.5</v>
      </c>
    </row>
    <row r="138" spans="1:40">
      <c r="A138" s="133" t="s">
        <v>12076</v>
      </c>
      <c r="B138" s="133" t="s">
        <v>12077</v>
      </c>
    </row>
    <row r="139" spans="1:40">
      <c r="B139" s="133" t="s">
        <v>12078</v>
      </c>
    </row>
    <row r="141" spans="1:40">
      <c r="A141" s="133" t="s">
        <v>12079</v>
      </c>
      <c r="B141" s="133" t="s">
        <v>12080</v>
      </c>
    </row>
    <row r="142" spans="1:40">
      <c r="B142" s="133" t="s">
        <v>12081</v>
      </c>
    </row>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254DD-6359-4027-96EA-DB926D48FB6B}">
  <dimension ref="A1:T53"/>
  <sheetViews>
    <sheetView workbookViewId="0">
      <pane xSplit="2" ySplit="4" topLeftCell="C5" activePane="bottomRight" state="frozen"/>
      <selection pane="topRight" activeCell="H1" sqref="H1"/>
      <selection pane="bottomLeft" activeCell="A5" sqref="A5"/>
      <selection pane="bottomRight" activeCell="O15" sqref="O15"/>
    </sheetView>
  </sheetViews>
  <sheetFormatPr defaultColWidth="9" defaultRowHeight="13"/>
  <cols>
    <col min="1" max="1" width="4.33203125" style="52" customWidth="1"/>
    <col min="2" max="2" width="30" style="52" customWidth="1"/>
    <col min="3" max="7" width="11.83203125" style="52" hidden="1" customWidth="1"/>
    <col min="8" max="11" width="11.58203125" style="52" hidden="1" customWidth="1"/>
    <col min="12" max="18" width="11.58203125" style="52" customWidth="1"/>
    <col min="19" max="20" width="10.1640625" style="52" customWidth="1"/>
    <col min="21" max="16384" width="9" style="52"/>
  </cols>
  <sheetData>
    <row r="1" spans="1:20">
      <c r="A1" s="1622" t="s">
        <v>9652</v>
      </c>
      <c r="B1" s="1623"/>
    </row>
    <row r="2" spans="1:20">
      <c r="B2" s="52" t="s">
        <v>9653</v>
      </c>
      <c r="C2" s="686"/>
      <c r="D2" s="686"/>
      <c r="E2" s="686"/>
      <c r="F2" s="686"/>
      <c r="H2" s="686"/>
      <c r="I2" s="687"/>
      <c r="J2" s="687"/>
      <c r="K2" s="687"/>
      <c r="L2" s="687"/>
      <c r="M2" s="686"/>
      <c r="N2" s="686"/>
      <c r="O2" s="686"/>
      <c r="P2" s="686"/>
      <c r="Q2" s="686"/>
      <c r="R2" s="686" t="s">
        <v>9654</v>
      </c>
    </row>
    <row r="3" spans="1:20">
      <c r="A3" s="515"/>
      <c r="B3" s="515"/>
      <c r="C3" s="56" t="s">
        <v>9655</v>
      </c>
      <c r="D3" s="56" t="s">
        <v>9656</v>
      </c>
      <c r="E3" s="56" t="s">
        <v>9657</v>
      </c>
      <c r="F3" s="56" t="s">
        <v>9658</v>
      </c>
      <c r="G3" s="56" t="s">
        <v>9659</v>
      </c>
      <c r="H3" s="56" t="s">
        <v>9660</v>
      </c>
      <c r="I3" s="56" t="s">
        <v>9661</v>
      </c>
      <c r="J3" s="56" t="s">
        <v>9662</v>
      </c>
      <c r="K3" s="56" t="s">
        <v>9663</v>
      </c>
      <c r="L3" s="705" t="s">
        <v>9664</v>
      </c>
      <c r="M3" s="56" t="s">
        <v>9665</v>
      </c>
      <c r="N3" s="56" t="s">
        <v>9666</v>
      </c>
      <c r="O3" s="56" t="s">
        <v>9667</v>
      </c>
      <c r="P3" s="56" t="s">
        <v>9668</v>
      </c>
      <c r="Q3" s="56" t="s">
        <v>9669</v>
      </c>
      <c r="R3" s="705" t="s">
        <v>9670</v>
      </c>
      <c r="S3" s="705" t="s">
        <v>11855</v>
      </c>
      <c r="T3" s="705" t="s">
        <v>11857</v>
      </c>
    </row>
    <row r="4" spans="1:20" s="688" customFormat="1">
      <c r="A4" s="61"/>
      <c r="B4" s="61"/>
      <c r="C4" s="61">
        <v>2006</v>
      </c>
      <c r="D4" s="61">
        <v>2007</v>
      </c>
      <c r="E4" s="61">
        <v>2008</v>
      </c>
      <c r="F4" s="61">
        <v>2009</v>
      </c>
      <c r="G4" s="61">
        <v>2010</v>
      </c>
      <c r="H4" s="61">
        <v>2011</v>
      </c>
      <c r="I4" s="61">
        <v>2012</v>
      </c>
      <c r="J4" s="61">
        <v>2013</v>
      </c>
      <c r="K4" s="61">
        <v>2014</v>
      </c>
      <c r="L4" s="706">
        <v>2015</v>
      </c>
      <c r="M4" s="61">
        <v>2016</v>
      </c>
      <c r="N4" s="61">
        <v>2017</v>
      </c>
      <c r="O4" s="61">
        <v>2018</v>
      </c>
      <c r="P4" s="61">
        <v>2019</v>
      </c>
      <c r="Q4" s="61">
        <v>2020</v>
      </c>
      <c r="R4" s="706">
        <v>2021</v>
      </c>
      <c r="S4" s="706">
        <v>2022</v>
      </c>
      <c r="T4" s="706">
        <v>2023</v>
      </c>
    </row>
    <row r="5" spans="1:20">
      <c r="A5" s="689">
        <v>1</v>
      </c>
      <c r="B5" s="689" t="s">
        <v>20</v>
      </c>
      <c r="C5" s="694">
        <v>154992</v>
      </c>
      <c r="D5" s="694">
        <v>150965</v>
      </c>
      <c r="E5" s="694">
        <v>155297</v>
      </c>
      <c r="F5" s="694">
        <v>152558</v>
      </c>
      <c r="G5" s="694">
        <v>151748</v>
      </c>
      <c r="H5" s="694">
        <v>154952</v>
      </c>
      <c r="I5" s="694">
        <v>160517</v>
      </c>
      <c r="J5" s="694">
        <v>155393</v>
      </c>
      <c r="K5" s="694">
        <v>156207</v>
      </c>
      <c r="L5" s="702">
        <v>167023</v>
      </c>
      <c r="M5" s="694">
        <v>174366</v>
      </c>
      <c r="N5" s="694">
        <v>169512</v>
      </c>
      <c r="O5" s="694">
        <v>161072</v>
      </c>
      <c r="P5" s="694">
        <v>157792</v>
      </c>
      <c r="Q5" s="694">
        <v>155258</v>
      </c>
      <c r="R5" s="702">
        <v>158353</v>
      </c>
      <c r="S5" s="1615">
        <v>166705</v>
      </c>
      <c r="T5" s="52">
        <v>176195</v>
      </c>
    </row>
    <row r="6" spans="1:20">
      <c r="A6" s="689">
        <v>2</v>
      </c>
      <c r="B6" s="689" t="s">
        <v>79</v>
      </c>
      <c r="C6" s="694">
        <v>17370</v>
      </c>
      <c r="D6" s="694">
        <v>16115</v>
      </c>
      <c r="E6" s="694">
        <v>15070</v>
      </c>
      <c r="F6" s="694">
        <v>13118</v>
      </c>
      <c r="G6" s="694">
        <v>12704</v>
      </c>
      <c r="H6" s="694">
        <v>11354</v>
      </c>
      <c r="I6" s="694">
        <v>10746</v>
      </c>
      <c r="J6" s="694">
        <v>10920</v>
      </c>
      <c r="K6" s="694">
        <v>11087</v>
      </c>
      <c r="L6" s="702">
        <v>11217</v>
      </c>
      <c r="M6" s="694">
        <v>9804</v>
      </c>
      <c r="N6" s="694">
        <v>9527</v>
      </c>
      <c r="O6" s="694">
        <v>8870</v>
      </c>
      <c r="P6" s="694">
        <v>8431</v>
      </c>
      <c r="Q6" s="694">
        <v>7596</v>
      </c>
      <c r="R6" s="702">
        <v>8805</v>
      </c>
      <c r="S6" s="1615">
        <v>9455</v>
      </c>
      <c r="T6" s="52">
        <v>8392</v>
      </c>
    </row>
    <row r="7" spans="1:20">
      <c r="A7" s="689">
        <v>3</v>
      </c>
      <c r="B7" s="689" t="s">
        <v>9671</v>
      </c>
      <c r="C7" s="694">
        <v>43175</v>
      </c>
      <c r="D7" s="694">
        <v>47740</v>
      </c>
      <c r="E7" s="694">
        <v>41681</v>
      </c>
      <c r="F7" s="694">
        <v>42186</v>
      </c>
      <c r="G7" s="694">
        <v>42237</v>
      </c>
      <c r="H7" s="694">
        <v>36782</v>
      </c>
      <c r="I7" s="694">
        <v>48026</v>
      </c>
      <c r="J7" s="694">
        <v>38393</v>
      </c>
      <c r="K7" s="694">
        <v>40848</v>
      </c>
      <c r="L7" s="702">
        <v>44956</v>
      </c>
      <c r="M7" s="694">
        <v>51256</v>
      </c>
      <c r="N7" s="694">
        <v>49969</v>
      </c>
      <c r="O7" s="694">
        <v>52357</v>
      </c>
      <c r="P7" s="694">
        <v>48521</v>
      </c>
      <c r="Q7" s="694">
        <v>48902</v>
      </c>
      <c r="R7" s="702">
        <v>41287</v>
      </c>
      <c r="S7" s="1615">
        <v>43572</v>
      </c>
      <c r="T7" s="52">
        <v>60953</v>
      </c>
    </row>
    <row r="8" spans="1:20">
      <c r="A8" s="689">
        <v>4</v>
      </c>
      <c r="B8" s="689" t="s">
        <v>93</v>
      </c>
      <c r="C8" s="694">
        <v>17170</v>
      </c>
      <c r="D8" s="694">
        <v>16830</v>
      </c>
      <c r="E8" s="694">
        <v>16285</v>
      </c>
      <c r="F8" s="694">
        <v>14526</v>
      </c>
      <c r="G8" s="694">
        <v>14769</v>
      </c>
      <c r="H8" s="694">
        <v>14161</v>
      </c>
      <c r="I8" s="694">
        <v>14906</v>
      </c>
      <c r="J8" s="694">
        <v>16391</v>
      </c>
      <c r="K8" s="694">
        <v>17977</v>
      </c>
      <c r="L8" s="702">
        <v>15629</v>
      </c>
      <c r="M8" s="694">
        <v>12775</v>
      </c>
      <c r="N8" s="694">
        <v>13066</v>
      </c>
      <c r="O8" s="694">
        <v>13084</v>
      </c>
      <c r="P8" s="694">
        <v>12588</v>
      </c>
      <c r="Q8" s="694">
        <v>12376</v>
      </c>
      <c r="R8" s="702">
        <v>11971</v>
      </c>
      <c r="S8" s="1615">
        <v>13565</v>
      </c>
      <c r="T8" s="52">
        <v>13518</v>
      </c>
    </row>
    <row r="9" spans="1:20">
      <c r="A9" s="689">
        <v>5</v>
      </c>
      <c r="B9" s="689" t="s">
        <v>9672</v>
      </c>
      <c r="C9" s="694">
        <v>15490496</v>
      </c>
      <c r="D9" s="694">
        <v>16255679</v>
      </c>
      <c r="E9" s="694">
        <v>15856188</v>
      </c>
      <c r="F9" s="694">
        <v>13901347</v>
      </c>
      <c r="G9" s="694">
        <v>14659549</v>
      </c>
      <c r="H9" s="694">
        <v>14625080</v>
      </c>
      <c r="I9" s="694">
        <v>14177258</v>
      </c>
      <c r="J9" s="694">
        <v>14493398</v>
      </c>
      <c r="K9" s="694">
        <v>15058298</v>
      </c>
      <c r="L9" s="702">
        <v>15438292</v>
      </c>
      <c r="M9" s="694">
        <v>15169410</v>
      </c>
      <c r="N9" s="694">
        <v>15898524</v>
      </c>
      <c r="O9" s="694">
        <v>16126189</v>
      </c>
      <c r="P9" s="694">
        <v>16234508</v>
      </c>
      <c r="Q9" s="694">
        <v>15124031</v>
      </c>
      <c r="R9" s="702">
        <v>16621462</v>
      </c>
      <c r="S9" s="1615">
        <v>18475026</v>
      </c>
      <c r="T9" s="52">
        <v>18073973</v>
      </c>
    </row>
    <row r="10" spans="1:20">
      <c r="A10" s="689"/>
      <c r="B10" s="52" t="s">
        <v>9673</v>
      </c>
      <c r="C10" s="694">
        <v>1821753</v>
      </c>
      <c r="D10" s="694">
        <v>1872941</v>
      </c>
      <c r="E10" s="694">
        <v>1953562</v>
      </c>
      <c r="F10" s="694">
        <v>1848657</v>
      </c>
      <c r="G10" s="694">
        <v>1833725</v>
      </c>
      <c r="H10" s="694">
        <v>1855772</v>
      </c>
      <c r="I10" s="694">
        <v>1871694</v>
      </c>
      <c r="J10" s="694">
        <v>1942130</v>
      </c>
      <c r="K10" s="694">
        <v>1968680</v>
      </c>
      <c r="L10" s="702">
        <v>1989856</v>
      </c>
      <c r="M10" s="694">
        <v>2030675</v>
      </c>
      <c r="N10" s="694">
        <v>2045950</v>
      </c>
      <c r="O10" s="694">
        <v>2129512</v>
      </c>
      <c r="P10" s="694">
        <v>2113764</v>
      </c>
      <c r="Q10" s="694">
        <v>2118883</v>
      </c>
      <c r="R10" s="702">
        <v>2159686</v>
      </c>
      <c r="S10" s="1615">
        <v>2295199</v>
      </c>
      <c r="T10" s="52">
        <v>2234017</v>
      </c>
    </row>
    <row r="11" spans="1:20">
      <c r="A11" s="689"/>
      <c r="B11" s="52" t="s">
        <v>9674</v>
      </c>
      <c r="C11" s="694">
        <v>161158</v>
      </c>
      <c r="D11" s="694">
        <v>154273</v>
      </c>
      <c r="E11" s="694">
        <v>157227</v>
      </c>
      <c r="F11" s="694">
        <v>132649</v>
      </c>
      <c r="G11" s="694">
        <v>127503</v>
      </c>
      <c r="H11" s="694">
        <v>142764</v>
      </c>
      <c r="I11" s="694">
        <v>117936</v>
      </c>
      <c r="J11" s="694">
        <v>118489</v>
      </c>
      <c r="K11" s="694">
        <v>122388</v>
      </c>
      <c r="L11" s="702">
        <v>126126</v>
      </c>
      <c r="M11" s="694">
        <v>124825</v>
      </c>
      <c r="N11" s="694">
        <v>124272</v>
      </c>
      <c r="O11" s="694">
        <v>123946</v>
      </c>
      <c r="P11" s="694">
        <v>119593</v>
      </c>
      <c r="Q11" s="694">
        <v>108958</v>
      </c>
      <c r="R11" s="702">
        <v>108741</v>
      </c>
      <c r="S11" s="1615">
        <v>106502</v>
      </c>
      <c r="T11" s="52">
        <v>106445</v>
      </c>
    </row>
    <row r="12" spans="1:20">
      <c r="A12" s="689"/>
      <c r="B12" s="52" t="s">
        <v>9675</v>
      </c>
      <c r="C12" s="694">
        <v>347397</v>
      </c>
      <c r="D12" s="694">
        <v>344409</v>
      </c>
      <c r="E12" s="694">
        <v>326761</v>
      </c>
      <c r="F12" s="694">
        <v>317050</v>
      </c>
      <c r="G12" s="694">
        <v>322482</v>
      </c>
      <c r="H12" s="694">
        <v>316350</v>
      </c>
      <c r="I12" s="694">
        <v>267373</v>
      </c>
      <c r="J12" s="694">
        <v>272188</v>
      </c>
      <c r="K12" s="694">
        <v>269224</v>
      </c>
      <c r="L12" s="702">
        <v>279286</v>
      </c>
      <c r="M12" s="694">
        <v>275684</v>
      </c>
      <c r="N12" s="694">
        <v>277498</v>
      </c>
      <c r="O12" s="694">
        <v>284965</v>
      </c>
      <c r="P12" s="694">
        <v>313304</v>
      </c>
      <c r="Q12" s="694">
        <v>295059</v>
      </c>
      <c r="R12" s="702">
        <v>309919</v>
      </c>
      <c r="S12" s="1615">
        <v>329550</v>
      </c>
      <c r="T12" s="52">
        <v>337988</v>
      </c>
    </row>
    <row r="13" spans="1:20">
      <c r="A13" s="689"/>
      <c r="B13" s="52" t="s">
        <v>9676</v>
      </c>
      <c r="C13" s="694">
        <v>1588487</v>
      </c>
      <c r="D13" s="694">
        <v>1712209</v>
      </c>
      <c r="E13" s="694">
        <v>1620592</v>
      </c>
      <c r="F13" s="694">
        <v>1587046</v>
      </c>
      <c r="G13" s="694">
        <v>1752862</v>
      </c>
      <c r="H13" s="694">
        <v>1829241</v>
      </c>
      <c r="I13" s="694">
        <v>1815709</v>
      </c>
      <c r="J13" s="694">
        <v>1780077</v>
      </c>
      <c r="K13" s="694">
        <v>1855107</v>
      </c>
      <c r="L13" s="702">
        <v>2044738</v>
      </c>
      <c r="M13" s="694">
        <v>2096195</v>
      </c>
      <c r="N13" s="694">
        <v>2159234</v>
      </c>
      <c r="O13" s="694">
        <v>2255473</v>
      </c>
      <c r="P13" s="694">
        <v>2247280</v>
      </c>
      <c r="Q13" s="694">
        <v>2173442</v>
      </c>
      <c r="R13" s="702">
        <v>2381835</v>
      </c>
      <c r="S13" s="1615">
        <v>2489166</v>
      </c>
      <c r="T13" s="52">
        <v>2638577</v>
      </c>
    </row>
    <row r="14" spans="1:20">
      <c r="A14" s="689"/>
      <c r="B14" s="52" t="s">
        <v>9677</v>
      </c>
      <c r="C14" s="694">
        <v>121861</v>
      </c>
      <c r="D14" s="694">
        <v>135023</v>
      </c>
      <c r="E14" s="694">
        <v>151395</v>
      </c>
      <c r="F14" s="694">
        <v>159888</v>
      </c>
      <c r="G14" s="694">
        <v>157271</v>
      </c>
      <c r="H14" s="694">
        <v>163733</v>
      </c>
      <c r="I14" s="694">
        <v>156911</v>
      </c>
      <c r="J14" s="694">
        <v>143757</v>
      </c>
      <c r="K14" s="694">
        <v>134411</v>
      </c>
      <c r="L14" s="702">
        <v>124136</v>
      </c>
      <c r="M14" s="694">
        <v>142577</v>
      </c>
      <c r="N14" s="694">
        <v>173719</v>
      </c>
      <c r="O14" s="694">
        <v>170480</v>
      </c>
      <c r="P14" s="694">
        <v>171769</v>
      </c>
      <c r="Q14" s="694">
        <v>143455</v>
      </c>
      <c r="R14" s="702">
        <v>170173</v>
      </c>
      <c r="S14" s="1615">
        <v>259439</v>
      </c>
      <c r="T14" s="52">
        <v>231084</v>
      </c>
    </row>
    <row r="15" spans="1:20">
      <c r="A15" s="689"/>
      <c r="B15" s="52" t="s">
        <v>9678</v>
      </c>
      <c r="C15" s="694">
        <v>324538</v>
      </c>
      <c r="D15" s="694">
        <v>388193</v>
      </c>
      <c r="E15" s="694">
        <v>343673</v>
      </c>
      <c r="F15" s="694">
        <v>275654</v>
      </c>
      <c r="G15" s="694">
        <v>390537</v>
      </c>
      <c r="H15" s="694">
        <v>371427</v>
      </c>
      <c r="I15" s="694">
        <v>291958</v>
      </c>
      <c r="J15" s="694">
        <v>297704</v>
      </c>
      <c r="K15" s="694">
        <v>310328</v>
      </c>
      <c r="L15" s="702">
        <v>300572</v>
      </c>
      <c r="M15" s="694">
        <v>284633</v>
      </c>
      <c r="N15" s="694">
        <v>299635</v>
      </c>
      <c r="O15" s="694">
        <v>294671</v>
      </c>
      <c r="P15" s="694">
        <v>298209</v>
      </c>
      <c r="Q15" s="694">
        <v>310542</v>
      </c>
      <c r="R15" s="702">
        <v>335005</v>
      </c>
      <c r="S15" s="1615">
        <v>361700</v>
      </c>
      <c r="T15" s="52">
        <v>361031</v>
      </c>
    </row>
    <row r="16" spans="1:20">
      <c r="A16" s="689"/>
      <c r="B16" s="52" t="s">
        <v>9679</v>
      </c>
      <c r="C16" s="694">
        <v>2202291</v>
      </c>
      <c r="D16" s="694">
        <v>2432477</v>
      </c>
      <c r="E16" s="694">
        <v>2399684</v>
      </c>
      <c r="F16" s="694">
        <v>1965972</v>
      </c>
      <c r="G16" s="694">
        <v>2024539</v>
      </c>
      <c r="H16" s="694">
        <v>2060089</v>
      </c>
      <c r="I16" s="694">
        <v>1938452</v>
      </c>
      <c r="J16" s="694">
        <v>2061700</v>
      </c>
      <c r="K16" s="694">
        <v>2157022</v>
      </c>
      <c r="L16" s="702">
        <v>1994535</v>
      </c>
      <c r="M16" s="694">
        <v>1879348</v>
      </c>
      <c r="N16" s="694">
        <v>2159741</v>
      </c>
      <c r="O16" s="694">
        <v>2202206</v>
      </c>
      <c r="P16" s="694">
        <v>2053446</v>
      </c>
      <c r="Q16" s="694">
        <v>1806644</v>
      </c>
      <c r="R16" s="702">
        <v>2396000</v>
      </c>
      <c r="S16" s="1615">
        <v>2884384</v>
      </c>
      <c r="T16" s="52">
        <v>2697943</v>
      </c>
    </row>
    <row r="17" spans="1:20">
      <c r="A17" s="689"/>
      <c r="B17" s="52" t="s">
        <v>9680</v>
      </c>
      <c r="C17" s="694">
        <v>845184</v>
      </c>
      <c r="D17" s="694">
        <v>898418</v>
      </c>
      <c r="E17" s="694">
        <v>873505</v>
      </c>
      <c r="F17" s="694">
        <v>712933</v>
      </c>
      <c r="G17" s="694">
        <v>686195</v>
      </c>
      <c r="H17" s="694">
        <v>753755</v>
      </c>
      <c r="I17" s="694">
        <v>741452</v>
      </c>
      <c r="J17" s="694">
        <v>766538</v>
      </c>
      <c r="K17" s="694">
        <v>770500</v>
      </c>
      <c r="L17" s="702">
        <v>791869</v>
      </c>
      <c r="M17" s="694">
        <v>817314</v>
      </c>
      <c r="N17" s="694">
        <v>823447</v>
      </c>
      <c r="O17" s="694">
        <v>857925</v>
      </c>
      <c r="P17" s="694">
        <v>849122</v>
      </c>
      <c r="Q17" s="694">
        <v>823373</v>
      </c>
      <c r="R17" s="702">
        <v>856765</v>
      </c>
      <c r="S17" s="1615">
        <v>963008</v>
      </c>
      <c r="T17" s="52">
        <v>884079</v>
      </c>
    </row>
    <row r="18" spans="1:20">
      <c r="A18" s="689"/>
      <c r="B18" s="52" t="s">
        <v>9681</v>
      </c>
      <c r="C18" s="694">
        <v>2513400</v>
      </c>
      <c r="D18" s="694">
        <v>2539588</v>
      </c>
      <c r="E18" s="694">
        <v>2706058</v>
      </c>
      <c r="F18" s="694">
        <v>2251973</v>
      </c>
      <c r="G18" s="694">
        <v>2516385</v>
      </c>
      <c r="H18" s="694">
        <v>2288290</v>
      </c>
      <c r="I18" s="694">
        <v>2340852</v>
      </c>
      <c r="J18" s="694">
        <v>2410555</v>
      </c>
      <c r="K18" s="694">
        <v>2398793</v>
      </c>
      <c r="L18" s="702">
        <v>2535763</v>
      </c>
      <c r="M18" s="694">
        <v>2454100</v>
      </c>
      <c r="N18" s="694">
        <v>2582904</v>
      </c>
      <c r="O18" s="694">
        <v>2619696</v>
      </c>
      <c r="P18" s="694">
        <v>2768934</v>
      </c>
      <c r="Q18" s="694">
        <v>2656415</v>
      </c>
      <c r="R18" s="702">
        <v>3036634</v>
      </c>
      <c r="S18" s="1615">
        <v>3156955</v>
      </c>
      <c r="T18" s="52">
        <v>2839403</v>
      </c>
    </row>
    <row r="19" spans="1:20">
      <c r="A19" s="689"/>
      <c r="B19" s="52" t="s">
        <v>9682</v>
      </c>
      <c r="C19" s="694">
        <v>806853</v>
      </c>
      <c r="D19" s="694">
        <v>807713</v>
      </c>
      <c r="E19" s="694">
        <v>690418</v>
      </c>
      <c r="F19" s="694">
        <v>468534</v>
      </c>
      <c r="G19" s="694">
        <v>555680</v>
      </c>
      <c r="H19" s="694">
        <v>272297</v>
      </c>
      <c r="I19" s="694">
        <v>344769</v>
      </c>
      <c r="J19" s="694">
        <v>377110</v>
      </c>
      <c r="K19" s="694">
        <v>384847</v>
      </c>
      <c r="L19" s="702">
        <v>329294</v>
      </c>
      <c r="M19" s="694">
        <v>337544</v>
      </c>
      <c r="N19" s="694">
        <v>362921</v>
      </c>
      <c r="O19" s="694">
        <v>363422</v>
      </c>
      <c r="P19" s="694">
        <v>352478</v>
      </c>
      <c r="Q19" s="694">
        <v>370666</v>
      </c>
      <c r="R19" s="702">
        <v>379999</v>
      </c>
      <c r="S19" s="1615">
        <v>362207</v>
      </c>
      <c r="T19" s="52">
        <v>341267</v>
      </c>
    </row>
    <row r="20" spans="1:20">
      <c r="A20" s="689"/>
      <c r="B20" s="52" t="s">
        <v>9683</v>
      </c>
      <c r="C20" s="694">
        <v>1402536</v>
      </c>
      <c r="D20" s="694">
        <v>1569568</v>
      </c>
      <c r="E20" s="694">
        <v>1420937</v>
      </c>
      <c r="F20" s="694">
        <v>1282279</v>
      </c>
      <c r="G20" s="694">
        <v>1371237</v>
      </c>
      <c r="H20" s="694">
        <v>1492064</v>
      </c>
      <c r="I20" s="694">
        <v>1450293</v>
      </c>
      <c r="J20" s="694">
        <v>1383229</v>
      </c>
      <c r="K20" s="694">
        <v>1568512</v>
      </c>
      <c r="L20" s="702">
        <v>1687593</v>
      </c>
      <c r="M20" s="694">
        <v>1540503</v>
      </c>
      <c r="N20" s="694">
        <v>1587599</v>
      </c>
      <c r="O20" s="694">
        <v>1498749</v>
      </c>
      <c r="P20" s="694">
        <v>1563640</v>
      </c>
      <c r="Q20" s="694">
        <v>1245432</v>
      </c>
      <c r="R20" s="702">
        <v>1538051</v>
      </c>
      <c r="S20" s="1615">
        <v>1826252</v>
      </c>
      <c r="T20" s="52">
        <v>1813246</v>
      </c>
    </row>
    <row r="21" spans="1:20">
      <c r="A21" s="689"/>
      <c r="B21" s="52" t="s">
        <v>9684</v>
      </c>
      <c r="C21" s="694">
        <v>750025</v>
      </c>
      <c r="D21" s="694">
        <v>898584</v>
      </c>
      <c r="E21" s="694">
        <v>657739</v>
      </c>
      <c r="F21" s="694">
        <v>756939</v>
      </c>
      <c r="G21" s="694">
        <v>774472</v>
      </c>
      <c r="H21" s="694">
        <v>913459</v>
      </c>
      <c r="I21" s="694">
        <v>697185</v>
      </c>
      <c r="J21" s="694">
        <v>745332</v>
      </c>
      <c r="K21" s="694">
        <v>857146</v>
      </c>
      <c r="L21" s="702">
        <v>800924</v>
      </c>
      <c r="M21" s="694">
        <v>498430</v>
      </c>
      <c r="N21" s="694">
        <v>507311</v>
      </c>
      <c r="O21" s="694">
        <v>413065</v>
      </c>
      <c r="P21" s="694">
        <v>487871</v>
      </c>
      <c r="Q21" s="694">
        <v>471728</v>
      </c>
      <c r="R21" s="702">
        <v>412029</v>
      </c>
      <c r="S21" s="1615">
        <v>428986</v>
      </c>
      <c r="T21" s="52">
        <v>398799</v>
      </c>
    </row>
    <row r="22" spans="1:20">
      <c r="A22" s="689"/>
      <c r="B22" s="52" t="s">
        <v>9685</v>
      </c>
      <c r="C22" s="694">
        <v>1407452</v>
      </c>
      <c r="D22" s="694">
        <v>1289066</v>
      </c>
      <c r="E22" s="694">
        <v>1398043</v>
      </c>
      <c r="F22" s="694">
        <v>1070750</v>
      </c>
      <c r="G22" s="694">
        <v>1080754</v>
      </c>
      <c r="H22" s="694">
        <v>1068610</v>
      </c>
      <c r="I22" s="694">
        <v>1106010</v>
      </c>
      <c r="J22" s="694">
        <v>1124603</v>
      </c>
      <c r="K22" s="694">
        <v>1196177</v>
      </c>
      <c r="L22" s="702">
        <v>1323853</v>
      </c>
      <c r="M22" s="694">
        <v>1537388</v>
      </c>
      <c r="N22" s="694">
        <v>1678515</v>
      </c>
      <c r="O22" s="694">
        <v>1799802</v>
      </c>
      <c r="P22" s="694">
        <v>1763251</v>
      </c>
      <c r="Q22" s="694">
        <v>1540961</v>
      </c>
      <c r="R22" s="702">
        <v>1382604</v>
      </c>
      <c r="S22" s="1615">
        <v>1774996</v>
      </c>
      <c r="T22" s="52">
        <v>1999580</v>
      </c>
    </row>
    <row r="23" spans="1:20">
      <c r="A23" s="689"/>
      <c r="B23" s="52" t="s">
        <v>9686</v>
      </c>
      <c r="C23" s="694">
        <v>228112</v>
      </c>
      <c r="D23" s="694">
        <v>237884</v>
      </c>
      <c r="E23" s="694">
        <v>235199</v>
      </c>
      <c r="F23" s="694">
        <v>227123</v>
      </c>
      <c r="G23" s="694">
        <v>206979</v>
      </c>
      <c r="H23" s="694">
        <v>160457</v>
      </c>
      <c r="I23" s="694">
        <v>143048</v>
      </c>
      <c r="J23" s="694">
        <v>135499</v>
      </c>
      <c r="K23" s="694">
        <v>128413</v>
      </c>
      <c r="L23" s="702">
        <v>138928</v>
      </c>
      <c r="M23" s="694">
        <v>139003</v>
      </c>
      <c r="N23" s="694">
        <v>118858</v>
      </c>
      <c r="O23" s="694">
        <v>127307</v>
      </c>
      <c r="P23" s="694">
        <v>130778</v>
      </c>
      <c r="Q23" s="694">
        <v>162672</v>
      </c>
      <c r="R23" s="702">
        <v>114602</v>
      </c>
      <c r="S23" s="1615">
        <v>123772</v>
      </c>
      <c r="T23" s="52">
        <v>130781</v>
      </c>
    </row>
    <row r="24" spans="1:20">
      <c r="A24" s="689"/>
      <c r="B24" s="52" t="s">
        <v>9687</v>
      </c>
      <c r="C24" s="694">
        <v>969449</v>
      </c>
      <c r="D24" s="694">
        <v>975333</v>
      </c>
      <c r="E24" s="694">
        <v>921395</v>
      </c>
      <c r="F24" s="694">
        <v>843900</v>
      </c>
      <c r="G24" s="694">
        <v>858928</v>
      </c>
      <c r="H24" s="694">
        <v>936772</v>
      </c>
      <c r="I24" s="694">
        <v>893616</v>
      </c>
      <c r="J24" s="694">
        <v>934487</v>
      </c>
      <c r="K24" s="694">
        <v>936750</v>
      </c>
      <c r="L24" s="702">
        <v>970819</v>
      </c>
      <c r="M24" s="694">
        <v>1011191</v>
      </c>
      <c r="N24" s="694">
        <v>996920</v>
      </c>
      <c r="O24" s="694">
        <v>984970</v>
      </c>
      <c r="P24" s="694">
        <v>1001069</v>
      </c>
      <c r="Q24" s="694">
        <v>895801</v>
      </c>
      <c r="R24" s="702">
        <v>1039419</v>
      </c>
      <c r="S24" s="1615">
        <v>1112910</v>
      </c>
      <c r="T24" s="52">
        <v>1059733</v>
      </c>
    </row>
    <row r="25" spans="1:20">
      <c r="A25" s="689">
        <v>6</v>
      </c>
      <c r="B25" s="689" t="s">
        <v>9688</v>
      </c>
      <c r="C25" s="694">
        <v>1323361.3784020196</v>
      </c>
      <c r="D25" s="694">
        <v>1412609.3168311054</v>
      </c>
      <c r="E25" s="694">
        <v>1433397.2059919673</v>
      </c>
      <c r="F25" s="694">
        <v>1346883.1111726328</v>
      </c>
      <c r="G25" s="694">
        <v>1399214.7894742328</v>
      </c>
      <c r="H25" s="694">
        <v>1465640</v>
      </c>
      <c r="I25" s="694">
        <v>1590136</v>
      </c>
      <c r="J25" s="694">
        <v>1841023</v>
      </c>
      <c r="K25" s="694">
        <v>1966926</v>
      </c>
      <c r="L25" s="702">
        <v>1843077</v>
      </c>
      <c r="M25" s="694">
        <v>1744768</v>
      </c>
      <c r="N25" s="694">
        <v>1697885</v>
      </c>
      <c r="O25" s="694">
        <v>1663042</v>
      </c>
      <c r="P25" s="694">
        <v>1693340</v>
      </c>
      <c r="Q25" s="694">
        <v>1683540</v>
      </c>
      <c r="R25" s="702">
        <v>1708366</v>
      </c>
      <c r="S25" s="1615">
        <v>2131579</v>
      </c>
      <c r="T25" s="52">
        <v>2029217</v>
      </c>
    </row>
    <row r="26" spans="1:20">
      <c r="A26" s="689"/>
      <c r="B26" s="689" t="s">
        <v>9689</v>
      </c>
      <c r="C26" s="694">
        <v>722970.37840201962</v>
      </c>
      <c r="D26" s="694">
        <v>791395.31683110539</v>
      </c>
      <c r="E26" s="694">
        <v>790080.20599196735</v>
      </c>
      <c r="F26" s="694">
        <v>737118.11117263278</v>
      </c>
      <c r="G26" s="694">
        <v>780466.78947423282</v>
      </c>
      <c r="H26" s="694">
        <v>807479</v>
      </c>
      <c r="I26" s="694">
        <v>905588</v>
      </c>
      <c r="J26" s="694">
        <v>1115840</v>
      </c>
      <c r="K26" s="694">
        <v>1220934</v>
      </c>
      <c r="L26" s="702">
        <v>1148488</v>
      </c>
      <c r="M26" s="694">
        <v>1039870</v>
      </c>
      <c r="N26" s="694">
        <v>948054</v>
      </c>
      <c r="O26" s="694">
        <v>885186</v>
      </c>
      <c r="P26" s="694">
        <v>883188</v>
      </c>
      <c r="Q26" s="694">
        <v>903958</v>
      </c>
      <c r="R26" s="702">
        <v>830973</v>
      </c>
      <c r="S26" s="1615">
        <v>1078152</v>
      </c>
      <c r="T26" s="52">
        <v>1018957</v>
      </c>
    </row>
    <row r="27" spans="1:20">
      <c r="A27" s="689"/>
      <c r="B27" s="689" t="s">
        <v>9690</v>
      </c>
      <c r="C27" s="694">
        <v>600391</v>
      </c>
      <c r="D27" s="694">
        <v>621214</v>
      </c>
      <c r="E27" s="694">
        <v>643317</v>
      </c>
      <c r="F27" s="694">
        <v>609765</v>
      </c>
      <c r="G27" s="694">
        <v>618748</v>
      </c>
      <c r="H27" s="694">
        <v>658161</v>
      </c>
      <c r="I27" s="694">
        <v>684548</v>
      </c>
      <c r="J27" s="694">
        <v>725183</v>
      </c>
      <c r="K27" s="694">
        <v>745992</v>
      </c>
      <c r="L27" s="702">
        <v>694589</v>
      </c>
      <c r="M27" s="694">
        <v>704898</v>
      </c>
      <c r="N27" s="694">
        <v>749831</v>
      </c>
      <c r="O27" s="694">
        <v>777856</v>
      </c>
      <c r="P27" s="694">
        <v>810152</v>
      </c>
      <c r="Q27" s="694">
        <v>779582</v>
      </c>
      <c r="R27" s="702">
        <v>877393</v>
      </c>
      <c r="S27" s="1615">
        <v>1053427</v>
      </c>
      <c r="T27" s="52">
        <v>1010260</v>
      </c>
    </row>
    <row r="28" spans="1:20">
      <c r="A28" s="689">
        <v>7</v>
      </c>
      <c r="B28" s="689" t="s">
        <v>9691</v>
      </c>
      <c r="C28" s="694">
        <v>2144106</v>
      </c>
      <c r="D28" s="694">
        <v>1962894</v>
      </c>
      <c r="E28" s="694">
        <v>2289904</v>
      </c>
      <c r="F28" s="694">
        <v>1609419</v>
      </c>
      <c r="G28" s="694">
        <v>1622291</v>
      </c>
      <c r="H28" s="694">
        <v>1541405</v>
      </c>
      <c r="I28" s="694">
        <v>1652785</v>
      </c>
      <c r="J28" s="694">
        <v>1890041</v>
      </c>
      <c r="K28" s="694">
        <v>1910131</v>
      </c>
      <c r="L28" s="702">
        <v>1886605</v>
      </c>
      <c r="M28" s="694">
        <v>2049624</v>
      </c>
      <c r="N28" s="694">
        <v>1995683</v>
      </c>
      <c r="O28" s="694">
        <v>2024978</v>
      </c>
      <c r="P28" s="694">
        <v>2053414</v>
      </c>
      <c r="Q28" s="694">
        <v>2066458</v>
      </c>
      <c r="R28" s="702">
        <v>2137564</v>
      </c>
      <c r="S28" s="1615">
        <v>2132274</v>
      </c>
      <c r="T28" s="52">
        <v>2381817</v>
      </c>
    </row>
    <row r="29" spans="1:20">
      <c r="A29" s="689">
        <v>8</v>
      </c>
      <c r="B29" s="689" t="s">
        <v>9692</v>
      </c>
      <c r="C29" s="694">
        <v>3106216.6997236586</v>
      </c>
      <c r="D29" s="694">
        <v>3290362.9634558638</v>
      </c>
      <c r="E29" s="694">
        <v>3291841.0481202947</v>
      </c>
      <c r="F29" s="694">
        <v>3072302.3556599617</v>
      </c>
      <c r="G29" s="694">
        <v>3257567.3223462952</v>
      </c>
      <c r="H29" s="694">
        <v>3404411.6998208691</v>
      </c>
      <c r="I29" s="694">
        <v>3512476.3336578151</v>
      </c>
      <c r="J29" s="694">
        <v>3742550.0752606904</v>
      </c>
      <c r="K29" s="694">
        <v>3680583.2145245951</v>
      </c>
      <c r="L29" s="702">
        <v>3659579.1725853374</v>
      </c>
      <c r="M29" s="694">
        <v>3601576.2020428935</v>
      </c>
      <c r="N29" s="694">
        <v>3707711.6951006879</v>
      </c>
      <c r="O29" s="694">
        <v>3779828.8138918816</v>
      </c>
      <c r="P29" s="694">
        <v>3700109.3816922549</v>
      </c>
      <c r="Q29" s="694">
        <v>3476986.6041698521</v>
      </c>
      <c r="R29" s="702">
        <v>3649024.2307765582</v>
      </c>
      <c r="S29" s="1615">
        <v>3819055.5722300438</v>
      </c>
      <c r="T29" s="52">
        <v>3926520.8307684259</v>
      </c>
    </row>
    <row r="30" spans="1:20">
      <c r="A30" s="689"/>
      <c r="B30" s="689" t="s">
        <v>9693</v>
      </c>
      <c r="C30" s="694">
        <v>1513631.9409869744</v>
      </c>
      <c r="D30" s="694">
        <v>1611953.6157733605</v>
      </c>
      <c r="E30" s="694">
        <v>1559924.7795880341</v>
      </c>
      <c r="F30" s="694">
        <v>1275946.1076343898</v>
      </c>
      <c r="G30" s="694">
        <v>1364340.5481741405</v>
      </c>
      <c r="H30" s="694">
        <v>1414012.3305704561</v>
      </c>
      <c r="I30" s="694">
        <v>1430233.2094691212</v>
      </c>
      <c r="J30" s="694">
        <v>1509231.7188435099</v>
      </c>
      <c r="K30" s="694">
        <v>1473690.728581402</v>
      </c>
      <c r="L30" s="702">
        <v>1435296.2485278256</v>
      </c>
      <c r="M30" s="694">
        <v>1381882.2016006254</v>
      </c>
      <c r="N30" s="694">
        <v>1444818.5171769909</v>
      </c>
      <c r="O30" s="694">
        <v>1481790.8106252346</v>
      </c>
      <c r="P30" s="694">
        <v>1412389.0264061363</v>
      </c>
      <c r="Q30" s="694">
        <v>1253157.4567864817</v>
      </c>
      <c r="R30" s="702">
        <v>1384225.2975346455</v>
      </c>
      <c r="S30" s="1615">
        <v>1460916.5174616589</v>
      </c>
      <c r="T30" s="52">
        <v>1459219.2555296675</v>
      </c>
    </row>
    <row r="31" spans="1:20">
      <c r="A31" s="689"/>
      <c r="B31" s="689" t="s">
        <v>9694</v>
      </c>
      <c r="C31" s="694">
        <v>1592584.7587366842</v>
      </c>
      <c r="D31" s="694">
        <v>1678409.3476825033</v>
      </c>
      <c r="E31" s="694">
        <v>1731916.2685322608</v>
      </c>
      <c r="F31" s="694">
        <v>1796356.2480255719</v>
      </c>
      <c r="G31" s="694">
        <v>1893226.7741721545</v>
      </c>
      <c r="H31" s="694">
        <v>1990399.369250413</v>
      </c>
      <c r="I31" s="694">
        <v>2082243.1241886942</v>
      </c>
      <c r="J31" s="694">
        <v>2233318.3564171805</v>
      </c>
      <c r="K31" s="694">
        <v>2206892.4859431931</v>
      </c>
      <c r="L31" s="702">
        <v>2224282.9240575116</v>
      </c>
      <c r="M31" s="694">
        <v>2219694.0004422683</v>
      </c>
      <c r="N31" s="694">
        <v>2262893.177923697</v>
      </c>
      <c r="O31" s="694">
        <v>2298038.003266647</v>
      </c>
      <c r="P31" s="694">
        <v>2287720.3552861186</v>
      </c>
      <c r="Q31" s="694">
        <v>2223829.1473833704</v>
      </c>
      <c r="R31" s="702">
        <v>2264798.9332419126</v>
      </c>
      <c r="S31" s="1615">
        <v>2358139.0547683849</v>
      </c>
      <c r="T31" s="52">
        <v>2467301.5752387587</v>
      </c>
    </row>
    <row r="32" spans="1:20">
      <c r="A32" s="690">
        <v>9</v>
      </c>
      <c r="B32" s="689" t="s">
        <v>9695</v>
      </c>
      <c r="C32" s="694">
        <v>2150029.2251731139</v>
      </c>
      <c r="D32" s="694">
        <v>2289721.9932119627</v>
      </c>
      <c r="E32" s="694">
        <v>2272110.4609142034</v>
      </c>
      <c r="F32" s="694">
        <v>1934950.1111333254</v>
      </c>
      <c r="G32" s="694">
        <v>2122175.4836541298</v>
      </c>
      <c r="H32" s="694">
        <v>2017774.3220412126</v>
      </c>
      <c r="I32" s="694">
        <v>2103190.8697461956</v>
      </c>
      <c r="J32" s="694">
        <v>2037156.7997038243</v>
      </c>
      <c r="K32" s="694">
        <v>2271981.9007561002</v>
      </c>
      <c r="L32" s="702">
        <v>2308472.5080113043</v>
      </c>
      <c r="M32" s="694">
        <v>2127335.9089955022</v>
      </c>
      <c r="N32" s="694">
        <v>2197875.3098451495</v>
      </c>
      <c r="O32" s="694">
        <v>2124677.6832276029</v>
      </c>
      <c r="P32" s="694">
        <v>2116238.1667724396</v>
      </c>
      <c r="Q32" s="694">
        <v>1682574.8470250953</v>
      </c>
      <c r="R32" s="702">
        <v>1886024.5137546016</v>
      </c>
      <c r="S32" s="1615">
        <v>2093718.7644610922</v>
      </c>
      <c r="T32" s="52">
        <v>2142264.5184730771</v>
      </c>
    </row>
    <row r="33" spans="1:20">
      <c r="A33" s="690">
        <v>10</v>
      </c>
      <c r="B33" s="689" t="s">
        <v>9696</v>
      </c>
      <c r="C33" s="694">
        <v>1324551</v>
      </c>
      <c r="D33" s="694">
        <v>1382356</v>
      </c>
      <c r="E33" s="694">
        <v>1318059</v>
      </c>
      <c r="F33" s="694">
        <v>1279606</v>
      </c>
      <c r="G33" s="694">
        <v>1317711</v>
      </c>
      <c r="H33" s="694">
        <v>1268227</v>
      </c>
      <c r="I33" s="694">
        <v>1307731</v>
      </c>
      <c r="J33" s="694">
        <v>1311276</v>
      </c>
      <c r="K33" s="694">
        <v>1224367</v>
      </c>
      <c r="L33" s="702">
        <v>1304198</v>
      </c>
      <c r="M33" s="694">
        <v>1335214</v>
      </c>
      <c r="N33" s="694">
        <v>1376394</v>
      </c>
      <c r="O33" s="694">
        <v>1363157</v>
      </c>
      <c r="P33" s="694">
        <v>1301222</v>
      </c>
      <c r="Q33" s="694">
        <v>873896</v>
      </c>
      <c r="R33" s="702">
        <v>910886</v>
      </c>
      <c r="S33" s="1615">
        <v>1078180</v>
      </c>
      <c r="T33" s="52">
        <v>1231528</v>
      </c>
    </row>
    <row r="34" spans="1:20">
      <c r="A34" s="690">
        <v>11</v>
      </c>
      <c r="B34" s="689" t="s">
        <v>9697</v>
      </c>
      <c r="C34" s="694">
        <v>975756</v>
      </c>
      <c r="D34" s="694">
        <v>1001892</v>
      </c>
      <c r="E34" s="694">
        <v>1011221</v>
      </c>
      <c r="F34" s="694">
        <v>1010320</v>
      </c>
      <c r="G34" s="694">
        <v>1047941</v>
      </c>
      <c r="H34" s="694">
        <v>1089292</v>
      </c>
      <c r="I34" s="694">
        <v>1084899</v>
      </c>
      <c r="J34" s="694">
        <v>1113695</v>
      </c>
      <c r="K34" s="694">
        <v>1080012</v>
      </c>
      <c r="L34" s="702">
        <v>1120871</v>
      </c>
      <c r="M34" s="694">
        <v>1117312</v>
      </c>
      <c r="N34" s="694">
        <v>1126565</v>
      </c>
      <c r="O34" s="694">
        <v>1165362</v>
      </c>
      <c r="P34" s="694">
        <v>1163284</v>
      </c>
      <c r="Q34" s="694">
        <v>1201281</v>
      </c>
      <c r="R34" s="702">
        <v>1215613</v>
      </c>
      <c r="S34" s="1615">
        <v>1218418</v>
      </c>
      <c r="T34" s="52">
        <v>1236811</v>
      </c>
    </row>
    <row r="35" spans="1:20">
      <c r="A35" s="690"/>
      <c r="B35" s="689" t="s">
        <v>9698</v>
      </c>
      <c r="C35" s="694">
        <v>548760</v>
      </c>
      <c r="D35" s="694">
        <v>574402</v>
      </c>
      <c r="E35" s="694">
        <v>589885</v>
      </c>
      <c r="F35" s="694">
        <v>614256</v>
      </c>
      <c r="G35" s="694">
        <v>638689</v>
      </c>
      <c r="H35" s="694">
        <v>670772</v>
      </c>
      <c r="I35" s="694">
        <v>677458</v>
      </c>
      <c r="J35" s="694">
        <v>702473</v>
      </c>
      <c r="K35" s="694">
        <v>698862</v>
      </c>
      <c r="L35" s="702">
        <v>732333</v>
      </c>
      <c r="M35" s="694">
        <v>744524</v>
      </c>
      <c r="N35" s="694">
        <v>753851</v>
      </c>
      <c r="O35" s="694">
        <v>787171</v>
      </c>
      <c r="P35" s="694">
        <v>767072</v>
      </c>
      <c r="Q35" s="694">
        <v>811555</v>
      </c>
      <c r="R35" s="702">
        <v>805089</v>
      </c>
      <c r="S35" s="1615">
        <v>791762</v>
      </c>
      <c r="T35" s="52">
        <v>789894</v>
      </c>
    </row>
    <row r="36" spans="1:20">
      <c r="A36" s="690"/>
      <c r="B36" s="689" t="s">
        <v>9699</v>
      </c>
      <c r="C36" s="694">
        <v>426996</v>
      </c>
      <c r="D36" s="694">
        <v>427490</v>
      </c>
      <c r="E36" s="694">
        <v>421336</v>
      </c>
      <c r="F36" s="694">
        <v>396064</v>
      </c>
      <c r="G36" s="694">
        <v>409252</v>
      </c>
      <c r="H36" s="694">
        <v>418520</v>
      </c>
      <c r="I36" s="694">
        <v>407441</v>
      </c>
      <c r="J36" s="694">
        <v>411222</v>
      </c>
      <c r="K36" s="694">
        <v>381150</v>
      </c>
      <c r="L36" s="702">
        <v>388538</v>
      </c>
      <c r="M36" s="694">
        <v>372788</v>
      </c>
      <c r="N36" s="694">
        <v>372714</v>
      </c>
      <c r="O36" s="694">
        <v>378191</v>
      </c>
      <c r="P36" s="694">
        <v>396212</v>
      </c>
      <c r="Q36" s="694">
        <v>389726</v>
      </c>
      <c r="R36" s="702">
        <v>410524</v>
      </c>
      <c r="S36" s="1615">
        <v>426656</v>
      </c>
      <c r="T36" s="52">
        <v>446917</v>
      </c>
    </row>
    <row r="37" spans="1:20">
      <c r="A37" s="689">
        <v>12</v>
      </c>
      <c r="B37" s="689" t="s">
        <v>9700</v>
      </c>
      <c r="C37" s="694">
        <v>1368808</v>
      </c>
      <c r="D37" s="694">
        <v>1375288</v>
      </c>
      <c r="E37" s="694">
        <v>1144161</v>
      </c>
      <c r="F37" s="694">
        <v>1111101</v>
      </c>
      <c r="G37" s="694">
        <v>1072599</v>
      </c>
      <c r="H37" s="694">
        <v>1025817</v>
      </c>
      <c r="I37" s="694">
        <v>1033438</v>
      </c>
      <c r="J37" s="694">
        <v>1071565</v>
      </c>
      <c r="K37" s="694">
        <v>1051473</v>
      </c>
      <c r="L37" s="702">
        <v>1080541</v>
      </c>
      <c r="M37" s="694">
        <v>1035599</v>
      </c>
      <c r="N37" s="694">
        <v>1040347</v>
      </c>
      <c r="O37" s="694">
        <v>1038905</v>
      </c>
      <c r="P37" s="694">
        <v>1108524</v>
      </c>
      <c r="Q37" s="694">
        <v>1078826</v>
      </c>
      <c r="R37" s="702">
        <v>1116705</v>
      </c>
      <c r="S37" s="1615">
        <v>1190317</v>
      </c>
      <c r="T37" s="52">
        <v>1275673</v>
      </c>
    </row>
    <row r="38" spans="1:20">
      <c r="A38" s="689">
        <v>13</v>
      </c>
      <c r="B38" s="689" t="s">
        <v>9701</v>
      </c>
      <c r="C38" s="694">
        <v>3198898.1013644021</v>
      </c>
      <c r="D38" s="694">
        <v>3231573.681009213</v>
      </c>
      <c r="E38" s="694">
        <v>3258079.7577097872</v>
      </c>
      <c r="F38" s="694">
        <v>3297964.0468834583</v>
      </c>
      <c r="G38" s="694">
        <v>3345230.6463736906</v>
      </c>
      <c r="H38" s="694">
        <v>3381073.5048216865</v>
      </c>
      <c r="I38" s="694">
        <v>3399162.0056107282</v>
      </c>
      <c r="J38" s="694">
        <v>3425712.0834496929</v>
      </c>
      <c r="K38" s="694">
        <v>3436328.5278704199</v>
      </c>
      <c r="L38" s="702">
        <v>3471815.982698733</v>
      </c>
      <c r="M38" s="694">
        <v>3475666.0411818288</v>
      </c>
      <c r="N38" s="694">
        <v>3457739.9397353642</v>
      </c>
      <c r="O38" s="694">
        <v>3450984.2246321696</v>
      </c>
      <c r="P38" s="694">
        <v>3535006.9650043636</v>
      </c>
      <c r="Q38" s="694">
        <v>3598568.4625689122</v>
      </c>
      <c r="R38" s="702">
        <v>3647437.8998662098</v>
      </c>
      <c r="S38" s="1615">
        <v>3723096.9309109058</v>
      </c>
      <c r="T38" s="52">
        <v>3810592.9672747175</v>
      </c>
    </row>
    <row r="39" spans="1:20">
      <c r="A39" s="689"/>
      <c r="B39" s="689" t="s">
        <v>9702</v>
      </c>
      <c r="C39" s="694">
        <v>2764778.1013644021</v>
      </c>
      <c r="D39" s="694">
        <v>2790000.681009213</v>
      </c>
      <c r="E39" s="694">
        <v>2794371.7577097872</v>
      </c>
      <c r="F39" s="694">
        <v>2819365.0468834583</v>
      </c>
      <c r="G39" s="694">
        <v>2836773.6463736906</v>
      </c>
      <c r="H39" s="694">
        <v>2864218.5048216865</v>
      </c>
      <c r="I39" s="694">
        <v>2883838.0056107282</v>
      </c>
      <c r="J39" s="694">
        <v>2903506.0834496929</v>
      </c>
      <c r="K39" s="694">
        <v>2900879.5278704199</v>
      </c>
      <c r="L39" s="702">
        <v>2897618.982698733</v>
      </c>
      <c r="M39" s="694">
        <v>2885980.0411818288</v>
      </c>
      <c r="N39" s="694">
        <v>2880422.9397353642</v>
      </c>
      <c r="O39" s="694">
        <v>2872687.2246321696</v>
      </c>
      <c r="P39" s="694">
        <v>2926802.9650043636</v>
      </c>
      <c r="Q39" s="694">
        <v>2985519.4625689122</v>
      </c>
      <c r="R39" s="702">
        <v>3042593.8998662098</v>
      </c>
      <c r="S39" s="1615">
        <v>3096509.9309109058</v>
      </c>
      <c r="T39" s="52">
        <v>3154149.9672747175</v>
      </c>
    </row>
    <row r="40" spans="1:20">
      <c r="A40" s="689"/>
      <c r="B40" s="689" t="s">
        <v>9703</v>
      </c>
      <c r="C40" s="694">
        <v>434120</v>
      </c>
      <c r="D40" s="694">
        <v>441573</v>
      </c>
      <c r="E40" s="694">
        <v>463708</v>
      </c>
      <c r="F40" s="694">
        <v>478599</v>
      </c>
      <c r="G40" s="694">
        <v>508457</v>
      </c>
      <c r="H40" s="694">
        <v>516855</v>
      </c>
      <c r="I40" s="694">
        <v>515324</v>
      </c>
      <c r="J40" s="694">
        <v>522206</v>
      </c>
      <c r="K40" s="694">
        <v>535449</v>
      </c>
      <c r="L40" s="702">
        <v>574197</v>
      </c>
      <c r="M40" s="694">
        <v>589686</v>
      </c>
      <c r="N40" s="694">
        <v>577317</v>
      </c>
      <c r="O40" s="694">
        <v>578297</v>
      </c>
      <c r="P40" s="694">
        <v>608204</v>
      </c>
      <c r="Q40" s="694">
        <v>613049</v>
      </c>
      <c r="R40" s="702">
        <v>604844</v>
      </c>
      <c r="S40" s="1615">
        <v>626587</v>
      </c>
      <c r="T40" s="52">
        <v>656443</v>
      </c>
    </row>
    <row r="41" spans="1:20">
      <c r="A41" s="689">
        <v>14</v>
      </c>
      <c r="B41" s="689" t="s">
        <v>9704</v>
      </c>
      <c r="C41" s="694">
        <v>1520112</v>
      </c>
      <c r="D41" s="694">
        <v>1705650</v>
      </c>
      <c r="E41" s="694">
        <v>1758004</v>
      </c>
      <c r="F41" s="694">
        <v>1644835</v>
      </c>
      <c r="G41" s="694">
        <v>1732577</v>
      </c>
      <c r="H41" s="694">
        <v>1723254</v>
      </c>
      <c r="I41" s="694">
        <v>1724699</v>
      </c>
      <c r="J41" s="694">
        <v>1806077</v>
      </c>
      <c r="K41" s="694">
        <v>1692651</v>
      </c>
      <c r="L41" s="702">
        <v>1903600</v>
      </c>
      <c r="M41" s="694">
        <v>2006413</v>
      </c>
      <c r="N41" s="694">
        <v>2071317</v>
      </c>
      <c r="O41" s="694">
        <v>2132259</v>
      </c>
      <c r="P41" s="694">
        <v>2187686</v>
      </c>
      <c r="Q41" s="694">
        <v>2120361</v>
      </c>
      <c r="R41" s="702">
        <v>2318473</v>
      </c>
      <c r="S41" s="1615">
        <v>2326713</v>
      </c>
      <c r="T41" s="52">
        <v>2439684</v>
      </c>
    </row>
    <row r="42" spans="1:20">
      <c r="A42" s="689">
        <v>15</v>
      </c>
      <c r="B42" s="689" t="s">
        <v>723</v>
      </c>
      <c r="C42" s="694">
        <v>974020</v>
      </c>
      <c r="D42" s="694">
        <v>973422</v>
      </c>
      <c r="E42" s="694">
        <v>952116</v>
      </c>
      <c r="F42" s="694">
        <v>957815</v>
      </c>
      <c r="G42" s="694">
        <v>920513</v>
      </c>
      <c r="H42" s="694">
        <v>920990</v>
      </c>
      <c r="I42" s="694">
        <v>879862</v>
      </c>
      <c r="J42" s="694">
        <v>851908</v>
      </c>
      <c r="K42" s="694">
        <v>875264</v>
      </c>
      <c r="L42" s="702">
        <v>890629</v>
      </c>
      <c r="M42" s="694">
        <v>901742</v>
      </c>
      <c r="N42" s="694">
        <v>868260</v>
      </c>
      <c r="O42" s="694">
        <v>874478</v>
      </c>
      <c r="P42" s="694">
        <v>899747</v>
      </c>
      <c r="Q42" s="694">
        <v>897402</v>
      </c>
      <c r="R42" s="702">
        <v>921584</v>
      </c>
      <c r="S42" s="1615">
        <v>956704</v>
      </c>
      <c r="T42" s="52">
        <v>916245</v>
      </c>
    </row>
    <row r="43" spans="1:20">
      <c r="A43" s="689">
        <v>16</v>
      </c>
      <c r="B43" s="689" t="s">
        <v>9705</v>
      </c>
      <c r="C43" s="694">
        <v>1120994</v>
      </c>
      <c r="D43" s="694">
        <v>1117959</v>
      </c>
      <c r="E43" s="694">
        <v>1089372</v>
      </c>
      <c r="F43" s="694">
        <v>1082768</v>
      </c>
      <c r="G43" s="694">
        <v>1077407</v>
      </c>
      <c r="H43" s="694">
        <v>1091336</v>
      </c>
      <c r="I43" s="694">
        <v>1050986</v>
      </c>
      <c r="J43" s="694">
        <v>1038596</v>
      </c>
      <c r="K43" s="694">
        <v>1010674</v>
      </c>
      <c r="L43" s="702">
        <v>1044571</v>
      </c>
      <c r="M43" s="694">
        <v>1084428</v>
      </c>
      <c r="N43" s="694">
        <v>1141414</v>
      </c>
      <c r="O43" s="694">
        <v>1147313</v>
      </c>
      <c r="P43" s="694">
        <v>1177295</v>
      </c>
      <c r="Q43" s="694">
        <v>1192059</v>
      </c>
      <c r="R43" s="702">
        <v>1247625</v>
      </c>
      <c r="S43" s="1615">
        <v>1301999</v>
      </c>
      <c r="T43" s="52">
        <v>1302210</v>
      </c>
    </row>
    <row r="44" spans="1:20">
      <c r="A44" s="689">
        <v>17</v>
      </c>
      <c r="B44" s="689" t="s">
        <v>9706</v>
      </c>
      <c r="C44" s="694">
        <v>2211130</v>
      </c>
      <c r="D44" s="694">
        <v>2231275</v>
      </c>
      <c r="E44" s="694">
        <v>2273867</v>
      </c>
      <c r="F44" s="694">
        <v>2393298</v>
      </c>
      <c r="G44" s="694">
        <v>2486825</v>
      </c>
      <c r="H44" s="694">
        <v>2590965</v>
      </c>
      <c r="I44" s="694">
        <v>2667845</v>
      </c>
      <c r="J44" s="694">
        <v>2757451</v>
      </c>
      <c r="K44" s="694">
        <v>2796452</v>
      </c>
      <c r="L44" s="702">
        <v>2928432</v>
      </c>
      <c r="M44" s="694">
        <v>2956708</v>
      </c>
      <c r="N44" s="694">
        <v>3021945</v>
      </c>
      <c r="O44" s="694">
        <v>3045257</v>
      </c>
      <c r="P44" s="694">
        <v>3190297</v>
      </c>
      <c r="Q44" s="694">
        <v>3156093</v>
      </c>
      <c r="R44" s="702">
        <v>3275304</v>
      </c>
      <c r="S44" s="1615">
        <v>3377620</v>
      </c>
      <c r="T44" s="52">
        <v>3397270</v>
      </c>
    </row>
    <row r="45" spans="1:20">
      <c r="A45" s="689">
        <v>18</v>
      </c>
      <c r="B45" s="689" t="s">
        <v>9707</v>
      </c>
      <c r="C45" s="694">
        <v>1825169</v>
      </c>
      <c r="D45" s="694">
        <v>1846352</v>
      </c>
      <c r="E45" s="694">
        <v>1789127</v>
      </c>
      <c r="F45" s="694">
        <v>1664838</v>
      </c>
      <c r="G45" s="694">
        <v>1717256</v>
      </c>
      <c r="H45" s="694">
        <v>1665875</v>
      </c>
      <c r="I45" s="694">
        <v>1698071</v>
      </c>
      <c r="J45" s="694">
        <v>1714264</v>
      </c>
      <c r="K45" s="694">
        <v>1572725</v>
      </c>
      <c r="L45" s="702">
        <v>1598496</v>
      </c>
      <c r="M45" s="694">
        <v>1577259</v>
      </c>
      <c r="N45" s="694">
        <v>1637441</v>
      </c>
      <c r="O45" s="695">
        <v>1640389</v>
      </c>
      <c r="P45" s="695">
        <v>1616656</v>
      </c>
      <c r="Q45" s="695">
        <v>1410365</v>
      </c>
      <c r="R45" s="701">
        <v>1530774</v>
      </c>
      <c r="S45" s="1615">
        <v>1579435</v>
      </c>
      <c r="T45" s="52">
        <v>1612428</v>
      </c>
    </row>
    <row r="46" spans="1:20">
      <c r="A46" s="691"/>
      <c r="B46" s="691" t="s">
        <v>9708</v>
      </c>
      <c r="C46" s="696">
        <v>38966354.404663198</v>
      </c>
      <c r="D46" s="696">
        <v>40308684.954508141</v>
      </c>
      <c r="E46" s="696">
        <v>39965780.472736254</v>
      </c>
      <c r="F46" s="696">
        <v>36529834.624849379</v>
      </c>
      <c r="G46" s="696">
        <v>38000315.24184835</v>
      </c>
      <c r="H46" s="696">
        <v>38028389.52668377</v>
      </c>
      <c r="I46" s="696">
        <v>38116734.209014744</v>
      </c>
      <c r="J46" s="696">
        <v>39315809.958414212</v>
      </c>
      <c r="K46" s="696">
        <v>39853985.643151119</v>
      </c>
      <c r="L46" s="707">
        <v>40718004.663295373</v>
      </c>
      <c r="M46" s="696">
        <v>40431256.152220219</v>
      </c>
      <c r="N46" s="696">
        <v>41481175.944681197</v>
      </c>
      <c r="O46" s="696">
        <v>41812202.721751653</v>
      </c>
      <c r="P46" s="696">
        <v>42204659.513469055</v>
      </c>
      <c r="Q46" s="696">
        <v>39786573.913763866</v>
      </c>
      <c r="R46" s="707">
        <v>42407258.644397371</v>
      </c>
      <c r="S46" s="1615">
        <v>45637433.267602041</v>
      </c>
      <c r="T46" s="52">
        <v>46035292.316516221</v>
      </c>
    </row>
    <row r="47" spans="1:20">
      <c r="A47" s="692"/>
      <c r="B47" s="692" t="s">
        <v>9709</v>
      </c>
      <c r="C47" s="694">
        <v>230715</v>
      </c>
      <c r="D47" s="694">
        <v>247978</v>
      </c>
      <c r="E47" s="694">
        <v>259494</v>
      </c>
      <c r="F47" s="694">
        <v>188656</v>
      </c>
      <c r="G47" s="694">
        <v>215933</v>
      </c>
      <c r="H47" s="694">
        <v>245239</v>
      </c>
      <c r="I47" s="694">
        <v>246453</v>
      </c>
      <c r="J47" s="694">
        <v>277166</v>
      </c>
      <c r="K47" s="694">
        <v>365397</v>
      </c>
      <c r="L47" s="702">
        <v>372225</v>
      </c>
      <c r="M47" s="694">
        <v>328506</v>
      </c>
      <c r="N47" s="694">
        <v>364482</v>
      </c>
      <c r="O47" s="694">
        <v>389516</v>
      </c>
      <c r="P47" s="694">
        <v>388581</v>
      </c>
      <c r="Q47" s="694">
        <v>385089</v>
      </c>
      <c r="R47" s="702">
        <v>462570</v>
      </c>
      <c r="S47" s="1615">
        <v>614697</v>
      </c>
      <c r="T47" s="52">
        <v>562100</v>
      </c>
    </row>
    <row r="48" spans="1:20">
      <c r="A48" s="689" t="s">
        <v>9710</v>
      </c>
      <c r="B48" s="689"/>
      <c r="C48" s="694">
        <v>128695</v>
      </c>
      <c r="D48" s="694">
        <v>129021</v>
      </c>
      <c r="E48" s="694">
        <v>133899</v>
      </c>
      <c r="F48" s="694">
        <v>101816</v>
      </c>
      <c r="G48" s="694">
        <v>114822</v>
      </c>
      <c r="H48" s="694">
        <v>99209</v>
      </c>
      <c r="I48" s="694">
        <v>95834</v>
      </c>
      <c r="J48" s="694">
        <v>101084</v>
      </c>
      <c r="K48" s="694">
        <v>148608</v>
      </c>
      <c r="L48" s="702">
        <v>181478</v>
      </c>
      <c r="M48" s="694">
        <v>164627</v>
      </c>
      <c r="N48" s="694">
        <v>186210</v>
      </c>
      <c r="O48" s="694">
        <v>192336</v>
      </c>
      <c r="P48" s="694">
        <v>214433</v>
      </c>
      <c r="Q48" s="694">
        <v>195387</v>
      </c>
      <c r="R48" s="702">
        <v>213418</v>
      </c>
      <c r="S48" s="1615">
        <v>287695</v>
      </c>
      <c r="T48" s="52">
        <v>282911</v>
      </c>
    </row>
    <row r="49" spans="1:20">
      <c r="A49" s="701"/>
      <c r="B49" s="701" t="s">
        <v>9711</v>
      </c>
      <c r="C49" s="702">
        <v>39068374.404663198</v>
      </c>
      <c r="D49" s="702">
        <v>40427641.954508141</v>
      </c>
      <c r="E49" s="702">
        <v>40091375.472736254</v>
      </c>
      <c r="F49" s="702">
        <v>36616674.624849379</v>
      </c>
      <c r="G49" s="702">
        <v>38101426.24184835</v>
      </c>
      <c r="H49" s="702">
        <v>38174419.52668377</v>
      </c>
      <c r="I49" s="702">
        <v>38267353.209014744</v>
      </c>
      <c r="J49" s="702">
        <v>39491891.958414212</v>
      </c>
      <c r="K49" s="702">
        <v>40070774.643151119</v>
      </c>
      <c r="L49" s="703">
        <v>40908751.663295373</v>
      </c>
      <c r="M49" s="703">
        <v>40595135.152220219</v>
      </c>
      <c r="N49" s="703">
        <v>41659447.944681197</v>
      </c>
      <c r="O49" s="704">
        <v>42009382.721751653</v>
      </c>
      <c r="P49" s="704">
        <v>42378807.513469055</v>
      </c>
      <c r="Q49" s="704">
        <v>39976275.913763866</v>
      </c>
      <c r="R49" s="704">
        <v>42656410.644397371</v>
      </c>
      <c r="S49" s="1615">
        <v>45964435.267602041</v>
      </c>
      <c r="T49" s="52">
        <v>46314481.316516221</v>
      </c>
    </row>
    <row r="50" spans="1:20">
      <c r="A50" s="692" t="s">
        <v>9712</v>
      </c>
      <c r="B50" s="692" t="s">
        <v>9713</v>
      </c>
      <c r="C50" s="699">
        <v>36140411.404663198</v>
      </c>
      <c r="D50" s="699">
        <v>37515690.954508141</v>
      </c>
      <c r="E50" s="699">
        <v>37266710.472736254</v>
      </c>
      <c r="F50" s="699">
        <v>33854227.624849379</v>
      </c>
      <c r="G50" s="699">
        <v>35346264.24184835</v>
      </c>
      <c r="H50" s="699">
        <v>35330511.52668377</v>
      </c>
      <c r="I50" s="699">
        <v>35486813.209014744</v>
      </c>
      <c r="J50" s="699">
        <v>36696514.958414212</v>
      </c>
      <c r="K50" s="699">
        <v>37265223.643151119</v>
      </c>
      <c r="L50" s="708">
        <v>38052157.663295373</v>
      </c>
      <c r="M50" s="700">
        <v>37718047.152220219</v>
      </c>
      <c r="N50" s="700">
        <v>38738225.944681197</v>
      </c>
      <c r="O50" s="697">
        <v>39049274.721751653</v>
      </c>
      <c r="P50" s="697">
        <v>39336699.513469055</v>
      </c>
      <c r="Q50" s="697">
        <v>36861413.913763866</v>
      </c>
      <c r="R50" s="703">
        <v>39355262.644397371</v>
      </c>
      <c r="S50" s="1615">
        <v>42488881.267602041</v>
      </c>
      <c r="T50" s="52">
        <v>42928034.316516221</v>
      </c>
    </row>
    <row r="51" spans="1:20">
      <c r="A51" s="689"/>
      <c r="B51" s="689" t="s">
        <v>9714</v>
      </c>
      <c r="C51" s="694">
        <v>2190362</v>
      </c>
      <c r="D51" s="694">
        <v>2179626</v>
      </c>
      <c r="E51" s="694">
        <v>2115617</v>
      </c>
      <c r="F51" s="694">
        <v>2113845</v>
      </c>
      <c r="G51" s="694">
        <v>2062390</v>
      </c>
      <c r="H51" s="694">
        <v>2065678</v>
      </c>
      <c r="I51" s="694">
        <v>1999330</v>
      </c>
      <c r="J51" s="694">
        <v>1988525</v>
      </c>
      <c r="K51" s="694">
        <v>2018003</v>
      </c>
      <c r="L51" s="703">
        <v>2016158</v>
      </c>
      <c r="M51" s="697">
        <v>2029882</v>
      </c>
      <c r="N51" s="697">
        <v>2025686</v>
      </c>
      <c r="O51" s="697">
        <v>2038074</v>
      </c>
      <c r="P51" s="697">
        <v>2079896</v>
      </c>
      <c r="Q51" s="697">
        <v>2106240</v>
      </c>
      <c r="R51" s="703">
        <v>2204218</v>
      </c>
      <c r="S51" s="1615">
        <v>2272853</v>
      </c>
      <c r="T51" s="52">
        <v>2211330</v>
      </c>
    </row>
    <row r="52" spans="1:20">
      <c r="A52" s="693"/>
      <c r="B52" s="693" t="s">
        <v>9715</v>
      </c>
      <c r="C52" s="695">
        <v>635581</v>
      </c>
      <c r="D52" s="695">
        <v>613368</v>
      </c>
      <c r="E52" s="695">
        <v>583453</v>
      </c>
      <c r="F52" s="695">
        <v>561762</v>
      </c>
      <c r="G52" s="695">
        <v>591661</v>
      </c>
      <c r="H52" s="695">
        <v>632200</v>
      </c>
      <c r="I52" s="695">
        <v>630591</v>
      </c>
      <c r="J52" s="695">
        <v>630770</v>
      </c>
      <c r="K52" s="695">
        <v>570759</v>
      </c>
      <c r="L52" s="704">
        <v>649689</v>
      </c>
      <c r="M52" s="698">
        <v>683327</v>
      </c>
      <c r="N52" s="698">
        <v>717264</v>
      </c>
      <c r="O52" s="698">
        <v>724854</v>
      </c>
      <c r="P52" s="698">
        <v>788064</v>
      </c>
      <c r="Q52" s="698">
        <v>818920</v>
      </c>
      <c r="R52" s="704">
        <v>847778</v>
      </c>
      <c r="S52" s="1615">
        <v>875699</v>
      </c>
      <c r="T52" s="52">
        <v>895928</v>
      </c>
    </row>
    <row r="53" spans="1:20">
      <c r="G53" s="689"/>
      <c r="S53" s="1615"/>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AF00-3A9D-447E-B3BE-E0183A1A4340}">
  <dimension ref="A1:AJ517"/>
  <sheetViews>
    <sheetView workbookViewId="0">
      <pane xSplit="3" ySplit="3" topLeftCell="D499" activePane="bottomRight" state="frozen"/>
      <selection pane="topRight" activeCell="D1" sqref="D1"/>
      <selection pane="bottomLeft" activeCell="A4" sqref="A4"/>
      <selection pane="bottomRight" activeCell="D514" sqref="D514"/>
    </sheetView>
  </sheetViews>
  <sheetFormatPr defaultColWidth="8.25" defaultRowHeight="13"/>
  <cols>
    <col min="1" max="1" width="5.58203125" style="2" customWidth="1"/>
    <col min="2" max="2" width="5.75" style="2" customWidth="1"/>
    <col min="3" max="3" width="22.08203125" style="2" customWidth="1"/>
    <col min="4" max="9" width="10.58203125" style="2" customWidth="1"/>
    <col min="10" max="10" width="9.75" style="52" hidden="1" customWidth="1"/>
    <col min="11" max="11" width="10.75" style="52" hidden="1" customWidth="1"/>
    <col min="12" max="13" width="10.75" style="52" customWidth="1"/>
    <col min="14" max="14" width="26.25" style="52" customWidth="1"/>
    <col min="15" max="36" width="8" style="52" customWidth="1"/>
    <col min="37" max="259" width="8.25" style="2"/>
    <col min="260" max="260" width="5.58203125" style="2" customWidth="1"/>
    <col min="261" max="261" width="5.75" style="2" customWidth="1"/>
    <col min="262" max="262" width="22.08203125" style="2" customWidth="1"/>
    <col min="263" max="267" width="10.58203125" style="2" customWidth="1"/>
    <col min="268" max="268" width="9.75" style="2" customWidth="1"/>
    <col min="269" max="269" width="10.75" style="2" customWidth="1"/>
    <col min="270" max="270" width="22.33203125" style="2" customWidth="1"/>
    <col min="271" max="292" width="8" style="2" customWidth="1"/>
    <col min="293" max="515" width="8.25" style="2"/>
    <col min="516" max="516" width="5.58203125" style="2" customWidth="1"/>
    <col min="517" max="517" width="5.75" style="2" customWidth="1"/>
    <col min="518" max="518" width="22.08203125" style="2" customWidth="1"/>
    <col min="519" max="523" width="10.58203125" style="2" customWidth="1"/>
    <col min="524" max="524" width="9.75" style="2" customWidth="1"/>
    <col min="525" max="525" width="10.75" style="2" customWidth="1"/>
    <col min="526" max="526" width="22.33203125" style="2" customWidth="1"/>
    <col min="527" max="548" width="8" style="2" customWidth="1"/>
    <col min="549" max="771" width="8.25" style="2"/>
    <col min="772" max="772" width="5.58203125" style="2" customWidth="1"/>
    <col min="773" max="773" width="5.75" style="2" customWidth="1"/>
    <col min="774" max="774" width="22.08203125" style="2" customWidth="1"/>
    <col min="775" max="779" width="10.58203125" style="2" customWidth="1"/>
    <col min="780" max="780" width="9.75" style="2" customWidth="1"/>
    <col min="781" max="781" width="10.75" style="2" customWidth="1"/>
    <col min="782" max="782" width="22.33203125" style="2" customWidth="1"/>
    <col min="783" max="804" width="8" style="2" customWidth="1"/>
    <col min="805" max="1027" width="8.25" style="2"/>
    <col min="1028" max="1028" width="5.58203125" style="2" customWidth="1"/>
    <col min="1029" max="1029" width="5.75" style="2" customWidth="1"/>
    <col min="1030" max="1030" width="22.08203125" style="2" customWidth="1"/>
    <col min="1031" max="1035" width="10.58203125" style="2" customWidth="1"/>
    <col min="1036" max="1036" width="9.75" style="2" customWidth="1"/>
    <col min="1037" max="1037" width="10.75" style="2" customWidth="1"/>
    <col min="1038" max="1038" width="22.33203125" style="2" customWidth="1"/>
    <col min="1039" max="1060" width="8" style="2" customWidth="1"/>
    <col min="1061" max="1283" width="8.25" style="2"/>
    <col min="1284" max="1284" width="5.58203125" style="2" customWidth="1"/>
    <col min="1285" max="1285" width="5.75" style="2" customWidth="1"/>
    <col min="1286" max="1286" width="22.08203125" style="2" customWidth="1"/>
    <col min="1287" max="1291" width="10.58203125" style="2" customWidth="1"/>
    <col min="1292" max="1292" width="9.75" style="2" customWidth="1"/>
    <col min="1293" max="1293" width="10.75" style="2" customWidth="1"/>
    <col min="1294" max="1294" width="22.33203125" style="2" customWidth="1"/>
    <col min="1295" max="1316" width="8" style="2" customWidth="1"/>
    <col min="1317" max="1539" width="8.25" style="2"/>
    <col min="1540" max="1540" width="5.58203125" style="2" customWidth="1"/>
    <col min="1541" max="1541" width="5.75" style="2" customWidth="1"/>
    <col min="1542" max="1542" width="22.08203125" style="2" customWidth="1"/>
    <col min="1543" max="1547" width="10.58203125" style="2" customWidth="1"/>
    <col min="1548" max="1548" width="9.75" style="2" customWidth="1"/>
    <col min="1549" max="1549" width="10.75" style="2" customWidth="1"/>
    <col min="1550" max="1550" width="22.33203125" style="2" customWidth="1"/>
    <col min="1551" max="1572" width="8" style="2" customWidth="1"/>
    <col min="1573" max="1795" width="8.25" style="2"/>
    <col min="1796" max="1796" width="5.58203125" style="2" customWidth="1"/>
    <col min="1797" max="1797" width="5.75" style="2" customWidth="1"/>
    <col min="1798" max="1798" width="22.08203125" style="2" customWidth="1"/>
    <col min="1799" max="1803" width="10.58203125" style="2" customWidth="1"/>
    <col min="1804" max="1804" width="9.75" style="2" customWidth="1"/>
    <col min="1805" max="1805" width="10.75" style="2" customWidth="1"/>
    <col min="1806" max="1806" width="22.33203125" style="2" customWidth="1"/>
    <col min="1807" max="1828" width="8" style="2" customWidth="1"/>
    <col min="1829" max="2051" width="8.25" style="2"/>
    <col min="2052" max="2052" width="5.58203125" style="2" customWidth="1"/>
    <col min="2053" max="2053" width="5.75" style="2" customWidth="1"/>
    <col min="2054" max="2054" width="22.08203125" style="2" customWidth="1"/>
    <col min="2055" max="2059" width="10.58203125" style="2" customWidth="1"/>
    <col min="2060" max="2060" width="9.75" style="2" customWidth="1"/>
    <col min="2061" max="2061" width="10.75" style="2" customWidth="1"/>
    <col min="2062" max="2062" width="22.33203125" style="2" customWidth="1"/>
    <col min="2063" max="2084" width="8" style="2" customWidth="1"/>
    <col min="2085" max="2307" width="8.25" style="2"/>
    <col min="2308" max="2308" width="5.58203125" style="2" customWidth="1"/>
    <col min="2309" max="2309" width="5.75" style="2" customWidth="1"/>
    <col min="2310" max="2310" width="22.08203125" style="2" customWidth="1"/>
    <col min="2311" max="2315" width="10.58203125" style="2" customWidth="1"/>
    <col min="2316" max="2316" width="9.75" style="2" customWidth="1"/>
    <col min="2317" max="2317" width="10.75" style="2" customWidth="1"/>
    <col min="2318" max="2318" width="22.33203125" style="2" customWidth="1"/>
    <col min="2319" max="2340" width="8" style="2" customWidth="1"/>
    <col min="2341" max="2563" width="8.25" style="2"/>
    <col min="2564" max="2564" width="5.58203125" style="2" customWidth="1"/>
    <col min="2565" max="2565" width="5.75" style="2" customWidth="1"/>
    <col min="2566" max="2566" width="22.08203125" style="2" customWidth="1"/>
    <col min="2567" max="2571" width="10.58203125" style="2" customWidth="1"/>
    <col min="2572" max="2572" width="9.75" style="2" customWidth="1"/>
    <col min="2573" max="2573" width="10.75" style="2" customWidth="1"/>
    <col min="2574" max="2574" width="22.33203125" style="2" customWidth="1"/>
    <col min="2575" max="2596" width="8" style="2" customWidth="1"/>
    <col min="2597" max="2819" width="8.25" style="2"/>
    <col min="2820" max="2820" width="5.58203125" style="2" customWidth="1"/>
    <col min="2821" max="2821" width="5.75" style="2" customWidth="1"/>
    <col min="2822" max="2822" width="22.08203125" style="2" customWidth="1"/>
    <col min="2823" max="2827" width="10.58203125" style="2" customWidth="1"/>
    <col min="2828" max="2828" width="9.75" style="2" customWidth="1"/>
    <col min="2829" max="2829" width="10.75" style="2" customWidth="1"/>
    <col min="2830" max="2830" width="22.33203125" style="2" customWidth="1"/>
    <col min="2831" max="2852" width="8" style="2" customWidth="1"/>
    <col min="2853" max="3075" width="8.25" style="2"/>
    <col min="3076" max="3076" width="5.58203125" style="2" customWidth="1"/>
    <col min="3077" max="3077" width="5.75" style="2" customWidth="1"/>
    <col min="3078" max="3078" width="22.08203125" style="2" customWidth="1"/>
    <col min="3079" max="3083" width="10.58203125" style="2" customWidth="1"/>
    <col min="3084" max="3084" width="9.75" style="2" customWidth="1"/>
    <col min="3085" max="3085" width="10.75" style="2" customWidth="1"/>
    <col min="3086" max="3086" width="22.33203125" style="2" customWidth="1"/>
    <col min="3087" max="3108" width="8" style="2" customWidth="1"/>
    <col min="3109" max="3331" width="8.25" style="2"/>
    <col min="3332" max="3332" width="5.58203125" style="2" customWidth="1"/>
    <col min="3333" max="3333" width="5.75" style="2" customWidth="1"/>
    <col min="3334" max="3334" width="22.08203125" style="2" customWidth="1"/>
    <col min="3335" max="3339" width="10.58203125" style="2" customWidth="1"/>
    <col min="3340" max="3340" width="9.75" style="2" customWidth="1"/>
    <col min="3341" max="3341" width="10.75" style="2" customWidth="1"/>
    <col min="3342" max="3342" width="22.33203125" style="2" customWidth="1"/>
    <col min="3343" max="3364" width="8" style="2" customWidth="1"/>
    <col min="3365" max="3587" width="8.25" style="2"/>
    <col min="3588" max="3588" width="5.58203125" style="2" customWidth="1"/>
    <col min="3589" max="3589" width="5.75" style="2" customWidth="1"/>
    <col min="3590" max="3590" width="22.08203125" style="2" customWidth="1"/>
    <col min="3591" max="3595" width="10.58203125" style="2" customWidth="1"/>
    <col min="3596" max="3596" width="9.75" style="2" customWidth="1"/>
    <col min="3597" max="3597" width="10.75" style="2" customWidth="1"/>
    <col min="3598" max="3598" width="22.33203125" style="2" customWidth="1"/>
    <col min="3599" max="3620" width="8" style="2" customWidth="1"/>
    <col min="3621" max="3843" width="8.25" style="2"/>
    <col min="3844" max="3844" width="5.58203125" style="2" customWidth="1"/>
    <col min="3845" max="3845" width="5.75" style="2" customWidth="1"/>
    <col min="3846" max="3846" width="22.08203125" style="2" customWidth="1"/>
    <col min="3847" max="3851" width="10.58203125" style="2" customWidth="1"/>
    <col min="3852" max="3852" width="9.75" style="2" customWidth="1"/>
    <col min="3853" max="3853" width="10.75" style="2" customWidth="1"/>
    <col min="3854" max="3854" width="22.33203125" style="2" customWidth="1"/>
    <col min="3855" max="3876" width="8" style="2" customWidth="1"/>
    <col min="3877" max="4099" width="8.25" style="2"/>
    <col min="4100" max="4100" width="5.58203125" style="2" customWidth="1"/>
    <col min="4101" max="4101" width="5.75" style="2" customWidth="1"/>
    <col min="4102" max="4102" width="22.08203125" style="2" customWidth="1"/>
    <col min="4103" max="4107" width="10.58203125" style="2" customWidth="1"/>
    <col min="4108" max="4108" width="9.75" style="2" customWidth="1"/>
    <col min="4109" max="4109" width="10.75" style="2" customWidth="1"/>
    <col min="4110" max="4110" width="22.33203125" style="2" customWidth="1"/>
    <col min="4111" max="4132" width="8" style="2" customWidth="1"/>
    <col min="4133" max="4355" width="8.25" style="2"/>
    <col min="4356" max="4356" width="5.58203125" style="2" customWidth="1"/>
    <col min="4357" max="4357" width="5.75" style="2" customWidth="1"/>
    <col min="4358" max="4358" width="22.08203125" style="2" customWidth="1"/>
    <col min="4359" max="4363" width="10.58203125" style="2" customWidth="1"/>
    <col min="4364" max="4364" width="9.75" style="2" customWidth="1"/>
    <col min="4365" max="4365" width="10.75" style="2" customWidth="1"/>
    <col min="4366" max="4366" width="22.33203125" style="2" customWidth="1"/>
    <col min="4367" max="4388" width="8" style="2" customWidth="1"/>
    <col min="4389" max="4611" width="8.25" style="2"/>
    <col min="4612" max="4612" width="5.58203125" style="2" customWidth="1"/>
    <col min="4613" max="4613" width="5.75" style="2" customWidth="1"/>
    <col min="4614" max="4614" width="22.08203125" style="2" customWidth="1"/>
    <col min="4615" max="4619" width="10.58203125" style="2" customWidth="1"/>
    <col min="4620" max="4620" width="9.75" style="2" customWidth="1"/>
    <col min="4621" max="4621" width="10.75" style="2" customWidth="1"/>
    <col min="4622" max="4622" width="22.33203125" style="2" customWidth="1"/>
    <col min="4623" max="4644" width="8" style="2" customWidth="1"/>
    <col min="4645" max="4867" width="8.25" style="2"/>
    <col min="4868" max="4868" width="5.58203125" style="2" customWidth="1"/>
    <col min="4869" max="4869" width="5.75" style="2" customWidth="1"/>
    <col min="4870" max="4870" width="22.08203125" style="2" customWidth="1"/>
    <col min="4871" max="4875" width="10.58203125" style="2" customWidth="1"/>
    <col min="4876" max="4876" width="9.75" style="2" customWidth="1"/>
    <col min="4877" max="4877" width="10.75" style="2" customWidth="1"/>
    <col min="4878" max="4878" width="22.33203125" style="2" customWidth="1"/>
    <col min="4879" max="4900" width="8" style="2" customWidth="1"/>
    <col min="4901" max="5123" width="8.25" style="2"/>
    <col min="5124" max="5124" width="5.58203125" style="2" customWidth="1"/>
    <col min="5125" max="5125" width="5.75" style="2" customWidth="1"/>
    <col min="5126" max="5126" width="22.08203125" style="2" customWidth="1"/>
    <col min="5127" max="5131" width="10.58203125" style="2" customWidth="1"/>
    <col min="5132" max="5132" width="9.75" style="2" customWidth="1"/>
    <col min="5133" max="5133" width="10.75" style="2" customWidth="1"/>
    <col min="5134" max="5134" width="22.33203125" style="2" customWidth="1"/>
    <col min="5135" max="5156" width="8" style="2" customWidth="1"/>
    <col min="5157" max="5379" width="8.25" style="2"/>
    <col min="5380" max="5380" width="5.58203125" style="2" customWidth="1"/>
    <col min="5381" max="5381" width="5.75" style="2" customWidth="1"/>
    <col min="5382" max="5382" width="22.08203125" style="2" customWidth="1"/>
    <col min="5383" max="5387" width="10.58203125" style="2" customWidth="1"/>
    <col min="5388" max="5388" width="9.75" style="2" customWidth="1"/>
    <col min="5389" max="5389" width="10.75" style="2" customWidth="1"/>
    <col min="5390" max="5390" width="22.33203125" style="2" customWidth="1"/>
    <col min="5391" max="5412" width="8" style="2" customWidth="1"/>
    <col min="5413" max="5635" width="8.25" style="2"/>
    <col min="5636" max="5636" width="5.58203125" style="2" customWidth="1"/>
    <col min="5637" max="5637" width="5.75" style="2" customWidth="1"/>
    <col min="5638" max="5638" width="22.08203125" style="2" customWidth="1"/>
    <col min="5639" max="5643" width="10.58203125" style="2" customWidth="1"/>
    <col min="5644" max="5644" width="9.75" style="2" customWidth="1"/>
    <col min="5645" max="5645" width="10.75" style="2" customWidth="1"/>
    <col min="5646" max="5646" width="22.33203125" style="2" customWidth="1"/>
    <col min="5647" max="5668" width="8" style="2" customWidth="1"/>
    <col min="5669" max="5891" width="8.25" style="2"/>
    <col min="5892" max="5892" width="5.58203125" style="2" customWidth="1"/>
    <col min="5893" max="5893" width="5.75" style="2" customWidth="1"/>
    <col min="5894" max="5894" width="22.08203125" style="2" customWidth="1"/>
    <col min="5895" max="5899" width="10.58203125" style="2" customWidth="1"/>
    <col min="5900" max="5900" width="9.75" style="2" customWidth="1"/>
    <col min="5901" max="5901" width="10.75" style="2" customWidth="1"/>
    <col min="5902" max="5902" width="22.33203125" style="2" customWidth="1"/>
    <col min="5903" max="5924" width="8" style="2" customWidth="1"/>
    <col min="5925" max="6147" width="8.25" style="2"/>
    <col min="6148" max="6148" width="5.58203125" style="2" customWidth="1"/>
    <col min="6149" max="6149" width="5.75" style="2" customWidth="1"/>
    <col min="6150" max="6150" width="22.08203125" style="2" customWidth="1"/>
    <col min="6151" max="6155" width="10.58203125" style="2" customWidth="1"/>
    <col min="6156" max="6156" width="9.75" style="2" customWidth="1"/>
    <col min="6157" max="6157" width="10.75" style="2" customWidth="1"/>
    <col min="6158" max="6158" width="22.33203125" style="2" customWidth="1"/>
    <col min="6159" max="6180" width="8" style="2" customWidth="1"/>
    <col min="6181" max="6403" width="8.25" style="2"/>
    <col min="6404" max="6404" width="5.58203125" style="2" customWidth="1"/>
    <col min="6405" max="6405" width="5.75" style="2" customWidth="1"/>
    <col min="6406" max="6406" width="22.08203125" style="2" customWidth="1"/>
    <col min="6407" max="6411" width="10.58203125" style="2" customWidth="1"/>
    <col min="6412" max="6412" width="9.75" style="2" customWidth="1"/>
    <col min="6413" max="6413" width="10.75" style="2" customWidth="1"/>
    <col min="6414" max="6414" width="22.33203125" style="2" customWidth="1"/>
    <col min="6415" max="6436" width="8" style="2" customWidth="1"/>
    <col min="6437" max="6659" width="8.25" style="2"/>
    <col min="6660" max="6660" width="5.58203125" style="2" customWidth="1"/>
    <col min="6661" max="6661" width="5.75" style="2" customWidth="1"/>
    <col min="6662" max="6662" width="22.08203125" style="2" customWidth="1"/>
    <col min="6663" max="6667" width="10.58203125" style="2" customWidth="1"/>
    <col min="6668" max="6668" width="9.75" style="2" customWidth="1"/>
    <col min="6669" max="6669" width="10.75" style="2" customWidth="1"/>
    <col min="6670" max="6670" width="22.33203125" style="2" customWidth="1"/>
    <col min="6671" max="6692" width="8" style="2" customWidth="1"/>
    <col min="6693" max="6915" width="8.25" style="2"/>
    <col min="6916" max="6916" width="5.58203125" style="2" customWidth="1"/>
    <col min="6917" max="6917" width="5.75" style="2" customWidth="1"/>
    <col min="6918" max="6918" width="22.08203125" style="2" customWidth="1"/>
    <col min="6919" max="6923" width="10.58203125" style="2" customWidth="1"/>
    <col min="6924" max="6924" width="9.75" style="2" customWidth="1"/>
    <col min="6925" max="6925" width="10.75" style="2" customWidth="1"/>
    <col min="6926" max="6926" width="22.33203125" style="2" customWidth="1"/>
    <col min="6927" max="6948" width="8" style="2" customWidth="1"/>
    <col min="6949" max="7171" width="8.25" style="2"/>
    <col min="7172" max="7172" width="5.58203125" style="2" customWidth="1"/>
    <col min="7173" max="7173" width="5.75" style="2" customWidth="1"/>
    <col min="7174" max="7174" width="22.08203125" style="2" customWidth="1"/>
    <col min="7175" max="7179" width="10.58203125" style="2" customWidth="1"/>
    <col min="7180" max="7180" width="9.75" style="2" customWidth="1"/>
    <col min="7181" max="7181" width="10.75" style="2" customWidth="1"/>
    <col min="7182" max="7182" width="22.33203125" style="2" customWidth="1"/>
    <col min="7183" max="7204" width="8" style="2" customWidth="1"/>
    <col min="7205" max="7427" width="8.25" style="2"/>
    <col min="7428" max="7428" width="5.58203125" style="2" customWidth="1"/>
    <col min="7429" max="7429" width="5.75" style="2" customWidth="1"/>
    <col min="7430" max="7430" width="22.08203125" style="2" customWidth="1"/>
    <col min="7431" max="7435" width="10.58203125" style="2" customWidth="1"/>
    <col min="7436" max="7436" width="9.75" style="2" customWidth="1"/>
    <col min="7437" max="7437" width="10.75" style="2" customWidth="1"/>
    <col min="7438" max="7438" width="22.33203125" style="2" customWidth="1"/>
    <col min="7439" max="7460" width="8" style="2" customWidth="1"/>
    <col min="7461" max="7683" width="8.25" style="2"/>
    <col min="7684" max="7684" width="5.58203125" style="2" customWidth="1"/>
    <col min="7685" max="7685" width="5.75" style="2" customWidth="1"/>
    <col min="7686" max="7686" width="22.08203125" style="2" customWidth="1"/>
    <col min="7687" max="7691" width="10.58203125" style="2" customWidth="1"/>
    <col min="7692" max="7692" width="9.75" style="2" customWidth="1"/>
    <col min="7693" max="7693" width="10.75" style="2" customWidth="1"/>
    <col min="7694" max="7694" width="22.33203125" style="2" customWidth="1"/>
    <col min="7695" max="7716" width="8" style="2" customWidth="1"/>
    <col min="7717" max="7939" width="8.25" style="2"/>
    <col min="7940" max="7940" width="5.58203125" style="2" customWidth="1"/>
    <col min="7941" max="7941" width="5.75" style="2" customWidth="1"/>
    <col min="7942" max="7942" width="22.08203125" style="2" customWidth="1"/>
    <col min="7943" max="7947" width="10.58203125" style="2" customWidth="1"/>
    <col min="7948" max="7948" width="9.75" style="2" customWidth="1"/>
    <col min="7949" max="7949" width="10.75" style="2" customWidth="1"/>
    <col min="7950" max="7950" width="22.33203125" style="2" customWidth="1"/>
    <col min="7951" max="7972" width="8" style="2" customWidth="1"/>
    <col min="7973" max="8195" width="8.25" style="2"/>
    <col min="8196" max="8196" width="5.58203125" style="2" customWidth="1"/>
    <col min="8197" max="8197" width="5.75" style="2" customWidth="1"/>
    <col min="8198" max="8198" width="22.08203125" style="2" customWidth="1"/>
    <col min="8199" max="8203" width="10.58203125" style="2" customWidth="1"/>
    <col min="8204" max="8204" width="9.75" style="2" customWidth="1"/>
    <col min="8205" max="8205" width="10.75" style="2" customWidth="1"/>
    <col min="8206" max="8206" width="22.33203125" style="2" customWidth="1"/>
    <col min="8207" max="8228" width="8" style="2" customWidth="1"/>
    <col min="8229" max="8451" width="8.25" style="2"/>
    <col min="8452" max="8452" width="5.58203125" style="2" customWidth="1"/>
    <col min="8453" max="8453" width="5.75" style="2" customWidth="1"/>
    <col min="8454" max="8454" width="22.08203125" style="2" customWidth="1"/>
    <col min="8455" max="8459" width="10.58203125" style="2" customWidth="1"/>
    <col min="8460" max="8460" width="9.75" style="2" customWidth="1"/>
    <col min="8461" max="8461" width="10.75" style="2" customWidth="1"/>
    <col min="8462" max="8462" width="22.33203125" style="2" customWidth="1"/>
    <col min="8463" max="8484" width="8" style="2" customWidth="1"/>
    <col min="8485" max="8707" width="8.25" style="2"/>
    <col min="8708" max="8708" width="5.58203125" style="2" customWidth="1"/>
    <col min="8709" max="8709" width="5.75" style="2" customWidth="1"/>
    <col min="8710" max="8710" width="22.08203125" style="2" customWidth="1"/>
    <col min="8711" max="8715" width="10.58203125" style="2" customWidth="1"/>
    <col min="8716" max="8716" width="9.75" style="2" customWidth="1"/>
    <col min="8717" max="8717" width="10.75" style="2" customWidth="1"/>
    <col min="8718" max="8718" width="22.33203125" style="2" customWidth="1"/>
    <col min="8719" max="8740" width="8" style="2" customWidth="1"/>
    <col min="8741" max="8963" width="8.25" style="2"/>
    <col min="8964" max="8964" width="5.58203125" style="2" customWidth="1"/>
    <col min="8965" max="8965" width="5.75" style="2" customWidth="1"/>
    <col min="8966" max="8966" width="22.08203125" style="2" customWidth="1"/>
    <col min="8967" max="8971" width="10.58203125" style="2" customWidth="1"/>
    <col min="8972" max="8972" width="9.75" style="2" customWidth="1"/>
    <col min="8973" max="8973" width="10.75" style="2" customWidth="1"/>
    <col min="8974" max="8974" width="22.33203125" style="2" customWidth="1"/>
    <col min="8975" max="8996" width="8" style="2" customWidth="1"/>
    <col min="8997" max="9219" width="8.25" style="2"/>
    <col min="9220" max="9220" width="5.58203125" style="2" customWidth="1"/>
    <col min="9221" max="9221" width="5.75" style="2" customWidth="1"/>
    <col min="9222" max="9222" width="22.08203125" style="2" customWidth="1"/>
    <col min="9223" max="9227" width="10.58203125" style="2" customWidth="1"/>
    <col min="9228" max="9228" width="9.75" style="2" customWidth="1"/>
    <col min="9229" max="9229" width="10.75" style="2" customWidth="1"/>
    <col min="9230" max="9230" width="22.33203125" style="2" customWidth="1"/>
    <col min="9231" max="9252" width="8" style="2" customWidth="1"/>
    <col min="9253" max="9475" width="8.25" style="2"/>
    <col min="9476" max="9476" width="5.58203125" style="2" customWidth="1"/>
    <col min="9477" max="9477" width="5.75" style="2" customWidth="1"/>
    <col min="9478" max="9478" width="22.08203125" style="2" customWidth="1"/>
    <col min="9479" max="9483" width="10.58203125" style="2" customWidth="1"/>
    <col min="9484" max="9484" width="9.75" style="2" customWidth="1"/>
    <col min="9485" max="9485" width="10.75" style="2" customWidth="1"/>
    <col min="9486" max="9486" width="22.33203125" style="2" customWidth="1"/>
    <col min="9487" max="9508" width="8" style="2" customWidth="1"/>
    <col min="9509" max="9731" width="8.25" style="2"/>
    <col min="9732" max="9732" width="5.58203125" style="2" customWidth="1"/>
    <col min="9733" max="9733" width="5.75" style="2" customWidth="1"/>
    <col min="9734" max="9734" width="22.08203125" style="2" customWidth="1"/>
    <col min="9735" max="9739" width="10.58203125" style="2" customWidth="1"/>
    <col min="9740" max="9740" width="9.75" style="2" customWidth="1"/>
    <col min="9741" max="9741" width="10.75" style="2" customWidth="1"/>
    <col min="9742" max="9742" width="22.33203125" style="2" customWidth="1"/>
    <col min="9743" max="9764" width="8" style="2" customWidth="1"/>
    <col min="9765" max="9987" width="8.25" style="2"/>
    <col min="9988" max="9988" width="5.58203125" style="2" customWidth="1"/>
    <col min="9989" max="9989" width="5.75" style="2" customWidth="1"/>
    <col min="9990" max="9990" width="22.08203125" style="2" customWidth="1"/>
    <col min="9991" max="9995" width="10.58203125" style="2" customWidth="1"/>
    <col min="9996" max="9996" width="9.75" style="2" customWidth="1"/>
    <col min="9997" max="9997" width="10.75" style="2" customWidth="1"/>
    <col min="9998" max="9998" width="22.33203125" style="2" customWidth="1"/>
    <col min="9999" max="10020" width="8" style="2" customWidth="1"/>
    <col min="10021" max="10243" width="8.25" style="2"/>
    <col min="10244" max="10244" width="5.58203125" style="2" customWidth="1"/>
    <col min="10245" max="10245" width="5.75" style="2" customWidth="1"/>
    <col min="10246" max="10246" width="22.08203125" style="2" customWidth="1"/>
    <col min="10247" max="10251" width="10.58203125" style="2" customWidth="1"/>
    <col min="10252" max="10252" width="9.75" style="2" customWidth="1"/>
    <col min="10253" max="10253" width="10.75" style="2" customWidth="1"/>
    <col min="10254" max="10254" width="22.33203125" style="2" customWidth="1"/>
    <col min="10255" max="10276" width="8" style="2" customWidth="1"/>
    <col min="10277" max="10499" width="8.25" style="2"/>
    <col min="10500" max="10500" width="5.58203125" style="2" customWidth="1"/>
    <col min="10501" max="10501" width="5.75" style="2" customWidth="1"/>
    <col min="10502" max="10502" width="22.08203125" style="2" customWidth="1"/>
    <col min="10503" max="10507" width="10.58203125" style="2" customWidth="1"/>
    <col min="10508" max="10508" width="9.75" style="2" customWidth="1"/>
    <col min="10509" max="10509" width="10.75" style="2" customWidth="1"/>
    <col min="10510" max="10510" width="22.33203125" style="2" customWidth="1"/>
    <col min="10511" max="10532" width="8" style="2" customWidth="1"/>
    <col min="10533" max="10755" width="8.25" style="2"/>
    <col min="10756" max="10756" width="5.58203125" style="2" customWidth="1"/>
    <col min="10757" max="10757" width="5.75" style="2" customWidth="1"/>
    <col min="10758" max="10758" width="22.08203125" style="2" customWidth="1"/>
    <col min="10759" max="10763" width="10.58203125" style="2" customWidth="1"/>
    <col min="10764" max="10764" width="9.75" style="2" customWidth="1"/>
    <col min="10765" max="10765" width="10.75" style="2" customWidth="1"/>
    <col min="10766" max="10766" width="22.33203125" style="2" customWidth="1"/>
    <col min="10767" max="10788" width="8" style="2" customWidth="1"/>
    <col min="10789" max="11011" width="8.25" style="2"/>
    <col min="11012" max="11012" width="5.58203125" style="2" customWidth="1"/>
    <col min="11013" max="11013" width="5.75" style="2" customWidth="1"/>
    <col min="11014" max="11014" width="22.08203125" style="2" customWidth="1"/>
    <col min="11015" max="11019" width="10.58203125" style="2" customWidth="1"/>
    <col min="11020" max="11020" width="9.75" style="2" customWidth="1"/>
    <col min="11021" max="11021" width="10.75" style="2" customWidth="1"/>
    <col min="11022" max="11022" width="22.33203125" style="2" customWidth="1"/>
    <col min="11023" max="11044" width="8" style="2" customWidth="1"/>
    <col min="11045" max="11267" width="8.25" style="2"/>
    <col min="11268" max="11268" width="5.58203125" style="2" customWidth="1"/>
    <col min="11269" max="11269" width="5.75" style="2" customWidth="1"/>
    <col min="11270" max="11270" width="22.08203125" style="2" customWidth="1"/>
    <col min="11271" max="11275" width="10.58203125" style="2" customWidth="1"/>
    <col min="11276" max="11276" width="9.75" style="2" customWidth="1"/>
    <col min="11277" max="11277" width="10.75" style="2" customWidth="1"/>
    <col min="11278" max="11278" width="22.33203125" style="2" customWidth="1"/>
    <col min="11279" max="11300" width="8" style="2" customWidth="1"/>
    <col min="11301" max="11523" width="8.25" style="2"/>
    <col min="11524" max="11524" width="5.58203125" style="2" customWidth="1"/>
    <col min="11525" max="11525" width="5.75" style="2" customWidth="1"/>
    <col min="11526" max="11526" width="22.08203125" style="2" customWidth="1"/>
    <col min="11527" max="11531" width="10.58203125" style="2" customWidth="1"/>
    <col min="11532" max="11532" width="9.75" style="2" customWidth="1"/>
    <col min="11533" max="11533" width="10.75" style="2" customWidth="1"/>
    <col min="11534" max="11534" width="22.33203125" style="2" customWidth="1"/>
    <col min="11535" max="11556" width="8" style="2" customWidth="1"/>
    <col min="11557" max="11779" width="8.25" style="2"/>
    <col min="11780" max="11780" width="5.58203125" style="2" customWidth="1"/>
    <col min="11781" max="11781" width="5.75" style="2" customWidth="1"/>
    <col min="11782" max="11782" width="22.08203125" style="2" customWidth="1"/>
    <col min="11783" max="11787" width="10.58203125" style="2" customWidth="1"/>
    <col min="11788" max="11788" width="9.75" style="2" customWidth="1"/>
    <col min="11789" max="11789" width="10.75" style="2" customWidth="1"/>
    <col min="11790" max="11790" width="22.33203125" style="2" customWidth="1"/>
    <col min="11791" max="11812" width="8" style="2" customWidth="1"/>
    <col min="11813" max="12035" width="8.25" style="2"/>
    <col min="12036" max="12036" width="5.58203125" style="2" customWidth="1"/>
    <col min="12037" max="12037" width="5.75" style="2" customWidth="1"/>
    <col min="12038" max="12038" width="22.08203125" style="2" customWidth="1"/>
    <col min="12039" max="12043" width="10.58203125" style="2" customWidth="1"/>
    <col min="12044" max="12044" width="9.75" style="2" customWidth="1"/>
    <col min="12045" max="12045" width="10.75" style="2" customWidth="1"/>
    <col min="12046" max="12046" width="22.33203125" style="2" customWidth="1"/>
    <col min="12047" max="12068" width="8" style="2" customWidth="1"/>
    <col min="12069" max="12291" width="8.25" style="2"/>
    <col min="12292" max="12292" width="5.58203125" style="2" customWidth="1"/>
    <col min="12293" max="12293" width="5.75" style="2" customWidth="1"/>
    <col min="12294" max="12294" width="22.08203125" style="2" customWidth="1"/>
    <col min="12295" max="12299" width="10.58203125" style="2" customWidth="1"/>
    <col min="12300" max="12300" width="9.75" style="2" customWidth="1"/>
    <col min="12301" max="12301" width="10.75" style="2" customWidth="1"/>
    <col min="12302" max="12302" width="22.33203125" style="2" customWidth="1"/>
    <col min="12303" max="12324" width="8" style="2" customWidth="1"/>
    <col min="12325" max="12547" width="8.25" style="2"/>
    <col min="12548" max="12548" width="5.58203125" style="2" customWidth="1"/>
    <col min="12549" max="12549" width="5.75" style="2" customWidth="1"/>
    <col min="12550" max="12550" width="22.08203125" style="2" customWidth="1"/>
    <col min="12551" max="12555" width="10.58203125" style="2" customWidth="1"/>
    <col min="12556" max="12556" width="9.75" style="2" customWidth="1"/>
    <col min="12557" max="12557" width="10.75" style="2" customWidth="1"/>
    <col min="12558" max="12558" width="22.33203125" style="2" customWidth="1"/>
    <col min="12559" max="12580" width="8" style="2" customWidth="1"/>
    <col min="12581" max="12803" width="8.25" style="2"/>
    <col min="12804" max="12804" width="5.58203125" style="2" customWidth="1"/>
    <col min="12805" max="12805" width="5.75" style="2" customWidth="1"/>
    <col min="12806" max="12806" width="22.08203125" style="2" customWidth="1"/>
    <col min="12807" max="12811" width="10.58203125" style="2" customWidth="1"/>
    <col min="12812" max="12812" width="9.75" style="2" customWidth="1"/>
    <col min="12813" max="12813" width="10.75" style="2" customWidth="1"/>
    <col min="12814" max="12814" width="22.33203125" style="2" customWidth="1"/>
    <col min="12815" max="12836" width="8" style="2" customWidth="1"/>
    <col min="12837" max="13059" width="8.25" style="2"/>
    <col min="13060" max="13060" width="5.58203125" style="2" customWidth="1"/>
    <col min="13061" max="13061" width="5.75" style="2" customWidth="1"/>
    <col min="13062" max="13062" width="22.08203125" style="2" customWidth="1"/>
    <col min="13063" max="13067" width="10.58203125" style="2" customWidth="1"/>
    <col min="13068" max="13068" width="9.75" style="2" customWidth="1"/>
    <col min="13069" max="13069" width="10.75" style="2" customWidth="1"/>
    <col min="13070" max="13070" width="22.33203125" style="2" customWidth="1"/>
    <col min="13071" max="13092" width="8" style="2" customWidth="1"/>
    <col min="13093" max="13315" width="8.25" style="2"/>
    <col min="13316" max="13316" width="5.58203125" style="2" customWidth="1"/>
    <col min="13317" max="13317" width="5.75" style="2" customWidth="1"/>
    <col min="13318" max="13318" width="22.08203125" style="2" customWidth="1"/>
    <col min="13319" max="13323" width="10.58203125" style="2" customWidth="1"/>
    <col min="13324" max="13324" width="9.75" style="2" customWidth="1"/>
    <col min="13325" max="13325" width="10.75" style="2" customWidth="1"/>
    <col min="13326" max="13326" width="22.33203125" style="2" customWidth="1"/>
    <col min="13327" max="13348" width="8" style="2" customWidth="1"/>
    <col min="13349" max="13571" width="8.25" style="2"/>
    <col min="13572" max="13572" width="5.58203125" style="2" customWidth="1"/>
    <col min="13573" max="13573" width="5.75" style="2" customWidth="1"/>
    <col min="13574" max="13574" width="22.08203125" style="2" customWidth="1"/>
    <col min="13575" max="13579" width="10.58203125" style="2" customWidth="1"/>
    <col min="13580" max="13580" width="9.75" style="2" customWidth="1"/>
    <col min="13581" max="13581" width="10.75" style="2" customWidth="1"/>
    <col min="13582" max="13582" width="22.33203125" style="2" customWidth="1"/>
    <col min="13583" max="13604" width="8" style="2" customWidth="1"/>
    <col min="13605" max="13827" width="8.25" style="2"/>
    <col min="13828" max="13828" width="5.58203125" style="2" customWidth="1"/>
    <col min="13829" max="13829" width="5.75" style="2" customWidth="1"/>
    <col min="13830" max="13830" width="22.08203125" style="2" customWidth="1"/>
    <col min="13831" max="13835" width="10.58203125" style="2" customWidth="1"/>
    <col min="13836" max="13836" width="9.75" style="2" customWidth="1"/>
    <col min="13837" max="13837" width="10.75" style="2" customWidth="1"/>
    <col min="13838" max="13838" width="22.33203125" style="2" customWidth="1"/>
    <col min="13839" max="13860" width="8" style="2" customWidth="1"/>
    <col min="13861" max="14083" width="8.25" style="2"/>
    <col min="14084" max="14084" width="5.58203125" style="2" customWidth="1"/>
    <col min="14085" max="14085" width="5.75" style="2" customWidth="1"/>
    <col min="14086" max="14086" width="22.08203125" style="2" customWidth="1"/>
    <col min="14087" max="14091" width="10.58203125" style="2" customWidth="1"/>
    <col min="14092" max="14092" width="9.75" style="2" customWidth="1"/>
    <col min="14093" max="14093" width="10.75" style="2" customWidth="1"/>
    <col min="14094" max="14094" width="22.33203125" style="2" customWidth="1"/>
    <col min="14095" max="14116" width="8" style="2" customWidth="1"/>
    <col min="14117" max="14339" width="8.25" style="2"/>
    <col min="14340" max="14340" width="5.58203125" style="2" customWidth="1"/>
    <col min="14341" max="14341" width="5.75" style="2" customWidth="1"/>
    <col min="14342" max="14342" width="22.08203125" style="2" customWidth="1"/>
    <col min="14343" max="14347" width="10.58203125" style="2" customWidth="1"/>
    <col min="14348" max="14348" width="9.75" style="2" customWidth="1"/>
    <col min="14349" max="14349" width="10.75" style="2" customWidth="1"/>
    <col min="14350" max="14350" width="22.33203125" style="2" customWidth="1"/>
    <col min="14351" max="14372" width="8" style="2" customWidth="1"/>
    <col min="14373" max="14595" width="8.25" style="2"/>
    <col min="14596" max="14596" width="5.58203125" style="2" customWidth="1"/>
    <col min="14597" max="14597" width="5.75" style="2" customWidth="1"/>
    <col min="14598" max="14598" width="22.08203125" style="2" customWidth="1"/>
    <col min="14599" max="14603" width="10.58203125" style="2" customWidth="1"/>
    <col min="14604" max="14604" width="9.75" style="2" customWidth="1"/>
    <col min="14605" max="14605" width="10.75" style="2" customWidth="1"/>
    <col min="14606" max="14606" width="22.33203125" style="2" customWidth="1"/>
    <col min="14607" max="14628" width="8" style="2" customWidth="1"/>
    <col min="14629" max="14851" width="8.25" style="2"/>
    <col min="14852" max="14852" width="5.58203125" style="2" customWidth="1"/>
    <col min="14853" max="14853" width="5.75" style="2" customWidth="1"/>
    <col min="14854" max="14854" width="22.08203125" style="2" customWidth="1"/>
    <col min="14855" max="14859" width="10.58203125" style="2" customWidth="1"/>
    <col min="14860" max="14860" width="9.75" style="2" customWidth="1"/>
    <col min="14861" max="14861" width="10.75" style="2" customWidth="1"/>
    <col min="14862" max="14862" width="22.33203125" style="2" customWidth="1"/>
    <col min="14863" max="14884" width="8" style="2" customWidth="1"/>
    <col min="14885" max="15107" width="8.25" style="2"/>
    <col min="15108" max="15108" width="5.58203125" style="2" customWidth="1"/>
    <col min="15109" max="15109" width="5.75" style="2" customWidth="1"/>
    <col min="15110" max="15110" width="22.08203125" style="2" customWidth="1"/>
    <col min="15111" max="15115" width="10.58203125" style="2" customWidth="1"/>
    <col min="15116" max="15116" width="9.75" style="2" customWidth="1"/>
    <col min="15117" max="15117" width="10.75" style="2" customWidth="1"/>
    <col min="15118" max="15118" width="22.33203125" style="2" customWidth="1"/>
    <col min="15119" max="15140" width="8" style="2" customWidth="1"/>
    <col min="15141" max="15363" width="8.25" style="2"/>
    <col min="15364" max="15364" width="5.58203125" style="2" customWidth="1"/>
    <col min="15365" max="15365" width="5.75" style="2" customWidth="1"/>
    <col min="15366" max="15366" width="22.08203125" style="2" customWidth="1"/>
    <col min="15367" max="15371" width="10.58203125" style="2" customWidth="1"/>
    <col min="15372" max="15372" width="9.75" style="2" customWidth="1"/>
    <col min="15373" max="15373" width="10.75" style="2" customWidth="1"/>
    <col min="15374" max="15374" width="22.33203125" style="2" customWidth="1"/>
    <col min="15375" max="15396" width="8" style="2" customWidth="1"/>
    <col min="15397" max="15619" width="8.25" style="2"/>
    <col min="15620" max="15620" width="5.58203125" style="2" customWidth="1"/>
    <col min="15621" max="15621" width="5.75" style="2" customWidth="1"/>
    <col min="15622" max="15622" width="22.08203125" style="2" customWidth="1"/>
    <col min="15623" max="15627" width="10.58203125" style="2" customWidth="1"/>
    <col min="15628" max="15628" width="9.75" style="2" customWidth="1"/>
    <col min="15629" max="15629" width="10.75" style="2" customWidth="1"/>
    <col min="15630" max="15630" width="22.33203125" style="2" customWidth="1"/>
    <col min="15631" max="15652" width="8" style="2" customWidth="1"/>
    <col min="15653" max="15875" width="8.25" style="2"/>
    <col min="15876" max="15876" width="5.58203125" style="2" customWidth="1"/>
    <col min="15877" max="15877" width="5.75" style="2" customWidth="1"/>
    <col min="15878" max="15878" width="22.08203125" style="2" customWidth="1"/>
    <col min="15879" max="15883" width="10.58203125" style="2" customWidth="1"/>
    <col min="15884" max="15884" width="9.75" style="2" customWidth="1"/>
    <col min="15885" max="15885" width="10.75" style="2" customWidth="1"/>
    <col min="15886" max="15886" width="22.33203125" style="2" customWidth="1"/>
    <col min="15887" max="15908" width="8" style="2" customWidth="1"/>
    <col min="15909" max="16131" width="8.25" style="2"/>
    <col min="16132" max="16132" width="5.58203125" style="2" customWidth="1"/>
    <col min="16133" max="16133" width="5.75" style="2" customWidth="1"/>
    <col min="16134" max="16134" width="22.08203125" style="2" customWidth="1"/>
    <col min="16135" max="16139" width="10.58203125" style="2" customWidth="1"/>
    <col min="16140" max="16140" width="9.75" style="2" customWidth="1"/>
    <col min="16141" max="16141" width="10.75" style="2" customWidth="1"/>
    <col min="16142" max="16142" width="22.33203125" style="2" customWidth="1"/>
    <col min="16143" max="16164" width="8" style="2" customWidth="1"/>
    <col min="16165" max="16384" width="8.25" style="2"/>
  </cols>
  <sheetData>
    <row r="1" spans="1:14" ht="15" customHeight="1">
      <c r="A1" s="1" t="s">
        <v>0</v>
      </c>
      <c r="B1" s="50"/>
      <c r="C1" s="50"/>
      <c r="H1" s="51" t="s">
        <v>1</v>
      </c>
      <c r="I1" s="565" t="s">
        <v>3137</v>
      </c>
      <c r="L1" s="565" t="s">
        <v>10000</v>
      </c>
      <c r="M1" s="565"/>
    </row>
    <row r="2" spans="1:14" ht="15" customHeight="1">
      <c r="A2" s="53"/>
      <c r="B2" s="54"/>
      <c r="C2" s="55"/>
      <c r="D2" s="56" t="s">
        <v>2</v>
      </c>
      <c r="E2" s="56" t="s">
        <v>3</v>
      </c>
      <c r="F2" s="56" t="s">
        <v>4</v>
      </c>
      <c r="G2" s="56" t="s">
        <v>5</v>
      </c>
      <c r="H2" s="57" t="s">
        <v>6</v>
      </c>
      <c r="I2" s="563" t="s">
        <v>9049</v>
      </c>
      <c r="J2" s="58"/>
      <c r="K2" s="58"/>
      <c r="L2" s="563" t="s">
        <v>9049</v>
      </c>
      <c r="M2" s="1294" t="s">
        <v>11748</v>
      </c>
      <c r="N2" s="59" t="s">
        <v>7</v>
      </c>
    </row>
    <row r="3" spans="1:14" ht="15" customHeight="1">
      <c r="A3" s="1714" t="s">
        <v>8</v>
      </c>
      <c r="B3" s="1715"/>
      <c r="C3" s="60" t="s">
        <v>9</v>
      </c>
      <c r="D3" s="61" t="s">
        <v>10</v>
      </c>
      <c r="E3" s="61" t="s">
        <v>11</v>
      </c>
      <c r="F3" s="61" t="s">
        <v>12</v>
      </c>
      <c r="G3" s="61" t="s">
        <v>13</v>
      </c>
      <c r="H3" s="62" t="s">
        <v>14</v>
      </c>
      <c r="I3" s="564" t="s">
        <v>9233</v>
      </c>
      <c r="J3" s="63" t="s">
        <v>15</v>
      </c>
      <c r="K3" s="64" t="s">
        <v>16</v>
      </c>
      <c r="L3" s="564" t="s">
        <v>9233</v>
      </c>
      <c r="M3" s="1295"/>
      <c r="N3" s="65"/>
    </row>
    <row r="4" spans="1:14" ht="15" customHeight="1">
      <c r="A4" s="66" t="s">
        <v>17</v>
      </c>
      <c r="B4" s="67" t="s">
        <v>18</v>
      </c>
      <c r="C4" s="68" t="s">
        <v>19</v>
      </c>
      <c r="D4" s="3">
        <v>77023</v>
      </c>
      <c r="E4" s="3">
        <v>56720</v>
      </c>
      <c r="F4" s="3">
        <v>49291</v>
      </c>
      <c r="G4" s="4">
        <v>45248</v>
      </c>
      <c r="H4" s="69">
        <v>43567</v>
      </c>
      <c r="I4" s="497"/>
      <c r="J4" s="5">
        <f>H4/D4*100</f>
        <v>56.56362385261545</v>
      </c>
      <c r="K4" s="6">
        <f>H4-D4</f>
        <v>-33456</v>
      </c>
      <c r="L4" s="1292"/>
      <c r="M4" s="1292"/>
      <c r="N4" s="70" t="s">
        <v>20</v>
      </c>
    </row>
    <row r="5" spans="1:14" ht="15" customHeight="1">
      <c r="A5" s="71" t="s">
        <v>21</v>
      </c>
      <c r="B5" s="72" t="s">
        <v>22</v>
      </c>
      <c r="C5" s="73" t="s">
        <v>23</v>
      </c>
      <c r="D5" s="7">
        <v>2552</v>
      </c>
      <c r="E5" s="7">
        <v>0</v>
      </c>
      <c r="F5" s="7">
        <v>0</v>
      </c>
      <c r="G5" s="8">
        <v>1486</v>
      </c>
      <c r="H5" s="74">
        <v>1102</v>
      </c>
      <c r="I5" s="498"/>
      <c r="J5" s="9">
        <f t="shared" ref="J5:J68" si="0">H5/D5*100</f>
        <v>43.18181818181818</v>
      </c>
      <c r="K5" s="10">
        <f t="shared" ref="K5:K68" si="1">H5-D5</f>
        <v>-1450</v>
      </c>
      <c r="L5" s="1292"/>
      <c r="M5" s="1292"/>
      <c r="N5" s="70"/>
    </row>
    <row r="6" spans="1:14" ht="15" customHeight="1">
      <c r="A6" s="71" t="s">
        <v>21</v>
      </c>
      <c r="B6" s="72" t="s">
        <v>24</v>
      </c>
      <c r="C6" s="75" t="s">
        <v>25</v>
      </c>
      <c r="D6" s="7">
        <v>424</v>
      </c>
      <c r="E6" s="7">
        <v>477</v>
      </c>
      <c r="F6" s="7">
        <v>440</v>
      </c>
      <c r="G6" s="8">
        <v>97</v>
      </c>
      <c r="H6" s="74">
        <v>115</v>
      </c>
      <c r="I6" s="498"/>
      <c r="J6" s="9">
        <f t="shared" si="0"/>
        <v>27.122641509433965</v>
      </c>
      <c r="K6" s="10">
        <f t="shared" si="1"/>
        <v>-309</v>
      </c>
      <c r="L6" s="1292"/>
      <c r="M6" s="1292"/>
      <c r="N6" s="70"/>
    </row>
    <row r="7" spans="1:14" ht="15" customHeight="1">
      <c r="A7" s="71" t="s">
        <v>21</v>
      </c>
      <c r="B7" s="72" t="s">
        <v>26</v>
      </c>
      <c r="C7" s="75" t="s">
        <v>27</v>
      </c>
      <c r="D7" s="7">
        <v>46</v>
      </c>
      <c r="E7" s="7">
        <v>72</v>
      </c>
      <c r="F7" s="7">
        <v>120</v>
      </c>
      <c r="G7" s="8">
        <v>33</v>
      </c>
      <c r="H7" s="74">
        <v>28</v>
      </c>
      <c r="I7" s="498"/>
      <c r="J7" s="9">
        <f t="shared" si="0"/>
        <v>60.869565217391312</v>
      </c>
      <c r="K7" s="10">
        <f t="shared" si="1"/>
        <v>-18</v>
      </c>
      <c r="L7" s="1292"/>
      <c r="M7" s="1292"/>
      <c r="N7" s="70"/>
    </row>
    <row r="8" spans="1:14" ht="15" customHeight="1">
      <c r="A8" s="71" t="s">
        <v>28</v>
      </c>
      <c r="B8" s="72" t="s">
        <v>29</v>
      </c>
      <c r="C8" s="75" t="s">
        <v>30</v>
      </c>
      <c r="D8" s="7">
        <v>813</v>
      </c>
      <c r="E8" s="7">
        <v>643</v>
      </c>
      <c r="F8" s="7">
        <v>479</v>
      </c>
      <c r="G8" s="8">
        <v>494</v>
      </c>
      <c r="H8" s="76">
        <v>0</v>
      </c>
      <c r="I8" s="499"/>
      <c r="J8" s="9">
        <f t="shared" si="0"/>
        <v>0</v>
      </c>
      <c r="K8" s="10">
        <f t="shared" si="1"/>
        <v>-813</v>
      </c>
      <c r="L8" s="1292"/>
      <c r="M8" s="1292"/>
      <c r="N8" s="70"/>
    </row>
    <row r="9" spans="1:14" ht="15" customHeight="1">
      <c r="A9" s="77" t="s">
        <v>28</v>
      </c>
      <c r="B9" s="78" t="s">
        <v>22</v>
      </c>
      <c r="C9" s="73" t="s">
        <v>31</v>
      </c>
      <c r="D9" s="7">
        <v>620</v>
      </c>
      <c r="E9" s="7">
        <v>429</v>
      </c>
      <c r="F9" s="7">
        <v>479</v>
      </c>
      <c r="G9" s="8">
        <v>346</v>
      </c>
      <c r="H9" s="74">
        <v>555</v>
      </c>
      <c r="I9" s="498"/>
      <c r="J9" s="9">
        <f t="shared" si="0"/>
        <v>89.516129032258064</v>
      </c>
      <c r="K9" s="10">
        <f t="shared" si="1"/>
        <v>-65</v>
      </c>
      <c r="L9" s="1292"/>
      <c r="M9" s="1292"/>
      <c r="N9" s="70"/>
    </row>
    <row r="10" spans="1:14" ht="15" customHeight="1">
      <c r="A10" s="71" t="s">
        <v>28</v>
      </c>
      <c r="B10" s="72" t="s">
        <v>24</v>
      </c>
      <c r="C10" s="75" t="s">
        <v>32</v>
      </c>
      <c r="D10" s="7">
        <v>1665</v>
      </c>
      <c r="E10" s="7">
        <v>2818</v>
      </c>
      <c r="F10" s="7">
        <v>2601</v>
      </c>
      <c r="G10" s="8">
        <v>2103</v>
      </c>
      <c r="H10" s="74">
        <v>2369</v>
      </c>
      <c r="I10" s="498"/>
      <c r="J10" s="9">
        <f t="shared" si="0"/>
        <v>142.28228228228227</v>
      </c>
      <c r="K10" s="10">
        <f t="shared" si="1"/>
        <v>704</v>
      </c>
      <c r="L10" s="1292"/>
      <c r="M10" s="1292"/>
      <c r="N10" s="70"/>
    </row>
    <row r="11" spans="1:14" ht="15" customHeight="1">
      <c r="A11" s="79" t="s">
        <v>28</v>
      </c>
      <c r="B11" s="80" t="s">
        <v>33</v>
      </c>
      <c r="C11" s="81" t="s">
        <v>34</v>
      </c>
      <c r="D11" s="11">
        <v>495</v>
      </c>
      <c r="E11" s="11">
        <v>589</v>
      </c>
      <c r="F11" s="11">
        <v>600</v>
      </c>
      <c r="G11" s="12">
        <v>536</v>
      </c>
      <c r="H11" s="82">
        <v>583</v>
      </c>
      <c r="I11" s="500"/>
      <c r="J11" s="13">
        <f t="shared" si="0"/>
        <v>117.77777777777779</v>
      </c>
      <c r="K11" s="14">
        <f t="shared" si="1"/>
        <v>88</v>
      </c>
      <c r="L11" s="1292"/>
      <c r="M11" s="1292"/>
      <c r="N11" s="70"/>
    </row>
    <row r="12" spans="1:14" ht="15" customHeight="1">
      <c r="A12" s="83" t="s">
        <v>35</v>
      </c>
      <c r="B12" s="84" t="s">
        <v>36</v>
      </c>
      <c r="C12" s="85" t="s">
        <v>37</v>
      </c>
      <c r="D12" s="15">
        <v>46239</v>
      </c>
      <c r="E12" s="15">
        <v>34653</v>
      </c>
      <c r="F12" s="15">
        <v>36937</v>
      </c>
      <c r="G12" s="16">
        <v>39587</v>
      </c>
      <c r="H12" s="86">
        <v>42429</v>
      </c>
      <c r="I12" s="501"/>
      <c r="J12" s="17">
        <f t="shared" si="0"/>
        <v>91.760202426523065</v>
      </c>
      <c r="K12" s="18">
        <f t="shared" si="1"/>
        <v>-3810</v>
      </c>
      <c r="L12" s="1292"/>
      <c r="M12" s="1292"/>
      <c r="N12" s="70"/>
    </row>
    <row r="13" spans="1:14" ht="15" customHeight="1">
      <c r="A13" s="71" t="s">
        <v>38</v>
      </c>
      <c r="B13" s="72" t="s">
        <v>36</v>
      </c>
      <c r="C13" s="75" t="s">
        <v>39</v>
      </c>
      <c r="D13" s="19">
        <v>5019</v>
      </c>
      <c r="E13" s="19">
        <v>4240</v>
      </c>
      <c r="F13" s="19">
        <v>3243</v>
      </c>
      <c r="G13" s="8">
        <v>3160</v>
      </c>
      <c r="H13" s="74">
        <v>3576</v>
      </c>
      <c r="I13" s="498"/>
      <c r="J13" s="9">
        <f t="shared" si="0"/>
        <v>71.249252839210996</v>
      </c>
      <c r="K13" s="10">
        <f t="shared" si="1"/>
        <v>-1443</v>
      </c>
      <c r="L13" s="1292"/>
      <c r="M13" s="1292"/>
      <c r="N13" s="70"/>
    </row>
    <row r="14" spans="1:14" ht="15" customHeight="1">
      <c r="A14" s="87" t="s">
        <v>40</v>
      </c>
      <c r="B14" s="88" t="s">
        <v>29</v>
      </c>
      <c r="C14" s="89" t="s">
        <v>41</v>
      </c>
      <c r="D14" s="20">
        <v>0</v>
      </c>
      <c r="E14" s="20">
        <v>0</v>
      </c>
      <c r="F14" s="20">
        <v>0</v>
      </c>
      <c r="G14" s="21">
        <v>0</v>
      </c>
      <c r="H14" s="90">
        <v>0</v>
      </c>
      <c r="I14" s="502"/>
      <c r="J14" s="91" t="s">
        <v>42</v>
      </c>
      <c r="K14" s="6">
        <f t="shared" si="1"/>
        <v>0</v>
      </c>
      <c r="L14" s="1292"/>
      <c r="M14" s="1292"/>
      <c r="N14" s="70"/>
    </row>
    <row r="15" spans="1:14" ht="15" customHeight="1">
      <c r="A15" s="71" t="s">
        <v>40</v>
      </c>
      <c r="B15" s="72" t="s">
        <v>24</v>
      </c>
      <c r="C15" s="75" t="s">
        <v>43</v>
      </c>
      <c r="D15" s="22">
        <v>0</v>
      </c>
      <c r="E15" s="22">
        <v>0</v>
      </c>
      <c r="F15" s="22">
        <v>0</v>
      </c>
      <c r="G15" s="23">
        <v>0</v>
      </c>
      <c r="H15" s="76">
        <v>0</v>
      </c>
      <c r="I15" s="499"/>
      <c r="J15" s="92" t="s">
        <v>42</v>
      </c>
      <c r="K15" s="10">
        <f t="shared" si="1"/>
        <v>0</v>
      </c>
      <c r="L15" s="1292"/>
      <c r="M15" s="1292"/>
      <c r="N15" s="70"/>
    </row>
    <row r="16" spans="1:14" ht="15" customHeight="1">
      <c r="A16" s="77" t="s">
        <v>40</v>
      </c>
      <c r="B16" s="78" t="s">
        <v>33</v>
      </c>
      <c r="C16" s="73" t="s">
        <v>44</v>
      </c>
      <c r="D16" s="19">
        <v>317</v>
      </c>
      <c r="E16" s="19">
        <v>187</v>
      </c>
      <c r="F16" s="19">
        <v>110</v>
      </c>
      <c r="G16" s="8">
        <v>81</v>
      </c>
      <c r="H16" s="74">
        <v>77</v>
      </c>
      <c r="I16" s="498"/>
      <c r="J16" s="9">
        <f t="shared" si="0"/>
        <v>24.290220820189273</v>
      </c>
      <c r="K16" s="10">
        <f t="shared" si="1"/>
        <v>-240</v>
      </c>
      <c r="L16" s="1292"/>
      <c r="M16" s="1292"/>
      <c r="N16" s="70"/>
    </row>
    <row r="17" spans="1:14" ht="15" customHeight="1">
      <c r="A17" s="71" t="s">
        <v>40</v>
      </c>
      <c r="B17" s="72" t="s">
        <v>45</v>
      </c>
      <c r="C17" s="75" t="s">
        <v>46</v>
      </c>
      <c r="D17" s="19">
        <v>27</v>
      </c>
      <c r="E17" s="19">
        <v>44</v>
      </c>
      <c r="F17" s="19">
        <v>63</v>
      </c>
      <c r="G17" s="8">
        <v>17</v>
      </c>
      <c r="H17" s="74">
        <v>23</v>
      </c>
      <c r="I17" s="498"/>
      <c r="J17" s="9">
        <f t="shared" si="0"/>
        <v>85.18518518518519</v>
      </c>
      <c r="K17" s="10">
        <f t="shared" si="1"/>
        <v>-4</v>
      </c>
      <c r="L17" s="1292"/>
      <c r="M17" s="1292"/>
      <c r="N17" s="70"/>
    </row>
    <row r="18" spans="1:14" ht="15" customHeight="1">
      <c r="A18" s="79" t="s">
        <v>40</v>
      </c>
      <c r="B18" s="80" t="s">
        <v>47</v>
      </c>
      <c r="C18" s="81" t="s">
        <v>48</v>
      </c>
      <c r="D18" s="24">
        <v>1</v>
      </c>
      <c r="E18" s="24">
        <v>2</v>
      </c>
      <c r="F18" s="24">
        <v>2</v>
      </c>
      <c r="G18" s="12">
        <v>13</v>
      </c>
      <c r="H18" s="82">
        <v>12</v>
      </c>
      <c r="I18" s="500"/>
      <c r="J18" s="13">
        <f t="shared" si="0"/>
        <v>1200</v>
      </c>
      <c r="K18" s="14">
        <f t="shared" si="1"/>
        <v>11</v>
      </c>
      <c r="L18" s="1292"/>
      <c r="M18" s="1292"/>
      <c r="N18" s="70"/>
    </row>
    <row r="19" spans="1:14" ht="15" customHeight="1">
      <c r="A19" s="77" t="s">
        <v>49</v>
      </c>
      <c r="B19" s="78" t="s">
        <v>29</v>
      </c>
      <c r="C19" s="73" t="s">
        <v>50</v>
      </c>
      <c r="D19" s="19">
        <v>2111</v>
      </c>
      <c r="E19" s="19">
        <v>745</v>
      </c>
      <c r="F19" s="19">
        <v>541</v>
      </c>
      <c r="G19" s="8">
        <v>950</v>
      </c>
      <c r="H19" s="74">
        <v>679</v>
      </c>
      <c r="I19" s="498"/>
      <c r="J19" s="9">
        <f t="shared" si="0"/>
        <v>32.164850781620089</v>
      </c>
      <c r="K19" s="10">
        <f t="shared" si="1"/>
        <v>-1432</v>
      </c>
      <c r="L19" s="1292"/>
      <c r="M19" s="1292"/>
      <c r="N19" s="70"/>
    </row>
    <row r="20" spans="1:14" ht="15" customHeight="1">
      <c r="A20" s="93" t="s">
        <v>49</v>
      </c>
      <c r="B20" s="94" t="s">
        <v>24</v>
      </c>
      <c r="C20" s="95" t="s">
        <v>51</v>
      </c>
      <c r="D20" s="19">
        <v>1244</v>
      </c>
      <c r="E20" s="19">
        <v>1080</v>
      </c>
      <c r="F20" s="19">
        <v>767</v>
      </c>
      <c r="G20" s="8">
        <v>703</v>
      </c>
      <c r="H20" s="74">
        <v>790</v>
      </c>
      <c r="I20" s="498"/>
      <c r="J20" s="9">
        <f t="shared" si="0"/>
        <v>63.5048231511254</v>
      </c>
      <c r="K20" s="10">
        <f t="shared" si="1"/>
        <v>-454</v>
      </c>
      <c r="L20" s="1292"/>
      <c r="M20" s="1292"/>
      <c r="N20" s="70"/>
    </row>
    <row r="21" spans="1:14" ht="15" customHeight="1">
      <c r="A21" s="93" t="s">
        <v>49</v>
      </c>
      <c r="B21" s="94" t="s">
        <v>52</v>
      </c>
      <c r="C21" s="95" t="s">
        <v>53</v>
      </c>
      <c r="D21" s="19">
        <v>10754</v>
      </c>
      <c r="E21" s="19">
        <v>11763</v>
      </c>
      <c r="F21" s="19">
        <v>7299.3</v>
      </c>
      <c r="G21" s="8">
        <v>5095</v>
      </c>
      <c r="H21" s="74">
        <v>4636</v>
      </c>
      <c r="I21" s="498"/>
      <c r="J21" s="9">
        <f t="shared" si="0"/>
        <v>43.109540636042404</v>
      </c>
      <c r="K21" s="10">
        <f t="shared" si="1"/>
        <v>-6118</v>
      </c>
      <c r="L21" s="1292"/>
      <c r="M21" s="1292"/>
      <c r="N21" s="70"/>
    </row>
    <row r="22" spans="1:14" ht="15" customHeight="1">
      <c r="A22" s="71" t="s">
        <v>49</v>
      </c>
      <c r="B22" s="72" t="s">
        <v>45</v>
      </c>
      <c r="C22" s="75" t="s">
        <v>54</v>
      </c>
      <c r="D22" s="19">
        <v>195</v>
      </c>
      <c r="E22" s="19">
        <v>117</v>
      </c>
      <c r="F22" s="19">
        <v>26</v>
      </c>
      <c r="G22" s="8">
        <v>13</v>
      </c>
      <c r="H22" s="76">
        <v>0</v>
      </c>
      <c r="I22" s="499"/>
      <c r="J22" s="9">
        <f t="shared" si="0"/>
        <v>0</v>
      </c>
      <c r="K22" s="10">
        <f t="shared" si="1"/>
        <v>-195</v>
      </c>
      <c r="L22" s="1292"/>
      <c r="M22" s="1292"/>
      <c r="N22" s="70"/>
    </row>
    <row r="23" spans="1:14" ht="15" customHeight="1">
      <c r="A23" s="71" t="s">
        <v>49</v>
      </c>
      <c r="B23" s="72" t="s">
        <v>55</v>
      </c>
      <c r="C23" s="75" t="s">
        <v>56</v>
      </c>
      <c r="D23" s="22">
        <v>0</v>
      </c>
      <c r="E23" s="22">
        <v>0</v>
      </c>
      <c r="F23" s="22">
        <v>0</v>
      </c>
      <c r="G23" s="23">
        <v>0</v>
      </c>
      <c r="H23" s="76">
        <v>0</v>
      </c>
      <c r="I23" s="499"/>
      <c r="J23" s="92" t="s">
        <v>42</v>
      </c>
      <c r="K23" s="10">
        <f t="shared" si="1"/>
        <v>0</v>
      </c>
      <c r="L23" s="1292"/>
      <c r="M23" s="1292"/>
      <c r="N23" s="70"/>
    </row>
    <row r="24" spans="1:14" ht="15" customHeight="1">
      <c r="A24" s="71" t="s">
        <v>49</v>
      </c>
      <c r="B24" s="72" t="s">
        <v>57</v>
      </c>
      <c r="C24" s="75" t="s">
        <v>58</v>
      </c>
      <c r="D24" s="22">
        <v>0</v>
      </c>
      <c r="E24" s="22">
        <v>0</v>
      </c>
      <c r="F24" s="22">
        <v>0</v>
      </c>
      <c r="G24" s="23">
        <v>0</v>
      </c>
      <c r="H24" s="76">
        <v>0</v>
      </c>
      <c r="I24" s="499"/>
      <c r="J24" s="92" t="s">
        <v>42</v>
      </c>
      <c r="K24" s="10">
        <f t="shared" si="1"/>
        <v>0</v>
      </c>
      <c r="L24" s="1292"/>
      <c r="M24" s="1292"/>
      <c r="N24" s="70"/>
    </row>
    <row r="25" spans="1:14" ht="15" customHeight="1">
      <c r="A25" s="71" t="s">
        <v>49</v>
      </c>
      <c r="B25" s="72" t="s">
        <v>59</v>
      </c>
      <c r="C25" s="75" t="s">
        <v>60</v>
      </c>
      <c r="D25" s="19">
        <v>59</v>
      </c>
      <c r="E25" s="19">
        <v>59</v>
      </c>
      <c r="F25" s="19">
        <v>41</v>
      </c>
      <c r="G25" s="8">
        <v>30</v>
      </c>
      <c r="H25" s="74">
        <v>34</v>
      </c>
      <c r="I25" s="498"/>
      <c r="J25" s="9">
        <f t="shared" si="0"/>
        <v>57.627118644067799</v>
      </c>
      <c r="K25" s="10">
        <f t="shared" si="1"/>
        <v>-25</v>
      </c>
      <c r="L25" s="1292"/>
      <c r="M25" s="1292"/>
      <c r="N25" s="70"/>
    </row>
    <row r="26" spans="1:14" ht="15" customHeight="1">
      <c r="A26" s="66" t="s">
        <v>61</v>
      </c>
      <c r="B26" s="67" t="s">
        <v>29</v>
      </c>
      <c r="C26" s="68" t="s">
        <v>62</v>
      </c>
      <c r="D26" s="25">
        <v>17761</v>
      </c>
      <c r="E26" s="25">
        <v>14921</v>
      </c>
      <c r="F26" s="25">
        <v>12668</v>
      </c>
      <c r="G26" s="4">
        <v>10366</v>
      </c>
      <c r="H26" s="69">
        <v>10206</v>
      </c>
      <c r="I26" s="497"/>
      <c r="J26" s="5">
        <f t="shared" si="0"/>
        <v>57.462980688024324</v>
      </c>
      <c r="K26" s="6">
        <f t="shared" si="1"/>
        <v>-7555</v>
      </c>
      <c r="L26" s="1292"/>
      <c r="M26" s="1292"/>
      <c r="N26" s="70"/>
    </row>
    <row r="27" spans="1:14" ht="15" customHeight="1">
      <c r="A27" s="77" t="s">
        <v>61</v>
      </c>
      <c r="B27" s="78" t="s">
        <v>63</v>
      </c>
      <c r="C27" s="73" t="s">
        <v>64</v>
      </c>
      <c r="D27" s="19">
        <v>3186</v>
      </c>
      <c r="E27" s="19">
        <v>3588</v>
      </c>
      <c r="F27" s="19">
        <v>5448</v>
      </c>
      <c r="G27" s="8">
        <v>1974</v>
      </c>
      <c r="H27" s="74">
        <v>2312</v>
      </c>
      <c r="I27" s="498"/>
      <c r="J27" s="9">
        <f t="shared" si="0"/>
        <v>72.56748273697427</v>
      </c>
      <c r="K27" s="10">
        <f t="shared" si="1"/>
        <v>-874</v>
      </c>
      <c r="L27" s="1292"/>
      <c r="M27" s="1292"/>
      <c r="N27" s="70"/>
    </row>
    <row r="28" spans="1:14" ht="15" customHeight="1">
      <c r="A28" s="93" t="s">
        <v>61</v>
      </c>
      <c r="B28" s="94" t="s">
        <v>65</v>
      </c>
      <c r="C28" s="95" t="s">
        <v>66</v>
      </c>
      <c r="D28" s="19">
        <v>17260</v>
      </c>
      <c r="E28" s="19">
        <v>15952</v>
      </c>
      <c r="F28" s="19">
        <v>17898</v>
      </c>
      <c r="G28" s="8">
        <v>12545</v>
      </c>
      <c r="H28" s="74">
        <v>18258</v>
      </c>
      <c r="I28" s="498"/>
      <c r="J28" s="9">
        <f t="shared" si="0"/>
        <v>105.7821552723059</v>
      </c>
      <c r="K28" s="10">
        <f t="shared" si="1"/>
        <v>998</v>
      </c>
      <c r="L28" s="1292"/>
      <c r="M28" s="1292"/>
      <c r="N28" s="70"/>
    </row>
    <row r="29" spans="1:14" ht="15" customHeight="1">
      <c r="A29" s="93" t="s">
        <v>61</v>
      </c>
      <c r="B29" s="94" t="s">
        <v>67</v>
      </c>
      <c r="C29" s="95" t="s">
        <v>68</v>
      </c>
      <c r="D29" s="19">
        <v>2612</v>
      </c>
      <c r="E29" s="19">
        <v>1622</v>
      </c>
      <c r="F29" s="19">
        <v>1742</v>
      </c>
      <c r="G29" s="8">
        <v>1627</v>
      </c>
      <c r="H29" s="74">
        <v>1871</v>
      </c>
      <c r="I29" s="498"/>
      <c r="J29" s="9">
        <f t="shared" si="0"/>
        <v>71.63093415007657</v>
      </c>
      <c r="K29" s="10">
        <f t="shared" si="1"/>
        <v>-741</v>
      </c>
      <c r="L29" s="1292"/>
      <c r="M29" s="1292"/>
      <c r="N29" s="70"/>
    </row>
    <row r="30" spans="1:14" ht="15" customHeight="1">
      <c r="A30" s="93" t="s">
        <v>61</v>
      </c>
      <c r="B30" s="94" t="s">
        <v>69</v>
      </c>
      <c r="C30" s="95" t="s">
        <v>70</v>
      </c>
      <c r="D30" s="19">
        <v>17515</v>
      </c>
      <c r="E30" s="19">
        <v>18527</v>
      </c>
      <c r="F30" s="19">
        <v>12953</v>
      </c>
      <c r="G30" s="8">
        <v>16253</v>
      </c>
      <c r="H30" s="74">
        <v>20680</v>
      </c>
      <c r="I30" s="498"/>
      <c r="J30" s="9">
        <f t="shared" si="0"/>
        <v>118.07022552098201</v>
      </c>
      <c r="K30" s="10">
        <f t="shared" si="1"/>
        <v>3165</v>
      </c>
      <c r="L30" s="1292"/>
      <c r="M30" s="1292"/>
      <c r="N30" s="70"/>
    </row>
    <row r="31" spans="1:14" ht="15" customHeight="1">
      <c r="A31" s="93" t="s">
        <v>61</v>
      </c>
      <c r="B31" s="94" t="s">
        <v>71</v>
      </c>
      <c r="C31" s="95" t="s">
        <v>72</v>
      </c>
      <c r="D31" s="19">
        <v>7204</v>
      </c>
      <c r="E31" s="19">
        <v>5790</v>
      </c>
      <c r="F31" s="19">
        <v>6204</v>
      </c>
      <c r="G31" s="8">
        <v>7652</v>
      </c>
      <c r="H31" s="74">
        <v>8415</v>
      </c>
      <c r="I31" s="498"/>
      <c r="J31" s="9">
        <f t="shared" si="0"/>
        <v>116.81010549694615</v>
      </c>
      <c r="K31" s="10">
        <f t="shared" si="1"/>
        <v>1211</v>
      </c>
      <c r="L31" s="1292"/>
      <c r="M31" s="1292"/>
      <c r="N31" s="70"/>
    </row>
    <row r="32" spans="1:14" ht="15" customHeight="1">
      <c r="A32" s="79" t="s">
        <v>61</v>
      </c>
      <c r="B32" s="80" t="s">
        <v>59</v>
      </c>
      <c r="C32" s="96" t="s">
        <v>73</v>
      </c>
      <c r="D32" s="24">
        <v>92</v>
      </c>
      <c r="E32" s="24">
        <v>96</v>
      </c>
      <c r="F32" s="24">
        <v>155</v>
      </c>
      <c r="G32" s="12">
        <v>562</v>
      </c>
      <c r="H32" s="82">
        <v>347</v>
      </c>
      <c r="I32" s="500">
        <f>'CT2015'!L181</f>
        <v>0</v>
      </c>
      <c r="J32" s="13">
        <f t="shared" si="0"/>
        <v>377.17391304347825</v>
      </c>
      <c r="K32" s="14">
        <f t="shared" si="1"/>
        <v>255</v>
      </c>
      <c r="L32" s="1292"/>
      <c r="M32" s="1292"/>
      <c r="N32" s="70"/>
    </row>
    <row r="33" spans="1:15" ht="15" customHeight="1">
      <c r="A33" s="77" t="s">
        <v>74</v>
      </c>
      <c r="B33" s="78" t="s">
        <v>29</v>
      </c>
      <c r="C33" s="73" t="s">
        <v>75</v>
      </c>
      <c r="D33" s="19">
        <v>5814</v>
      </c>
      <c r="E33" s="19">
        <v>4528</v>
      </c>
      <c r="F33" s="19">
        <v>15115</v>
      </c>
      <c r="G33" s="8">
        <v>16050</v>
      </c>
      <c r="H33" s="74">
        <v>18696</v>
      </c>
      <c r="I33" s="498">
        <f>'CT2015'!L190</f>
        <v>243.048</v>
      </c>
      <c r="J33" s="9">
        <f t="shared" si="0"/>
        <v>321.56862745098039</v>
      </c>
      <c r="K33" s="10">
        <f t="shared" si="1"/>
        <v>12882</v>
      </c>
      <c r="L33" s="1292">
        <f>'CT2020'!T1835</f>
        <v>296</v>
      </c>
      <c r="M33" s="1292">
        <f>L33-I33</f>
        <v>52.951999999999998</v>
      </c>
      <c r="N33" s="70"/>
      <c r="O33" s="1486">
        <f>M33/I33*100</f>
        <v>21.786642967644251</v>
      </c>
    </row>
    <row r="34" spans="1:15" ht="15" customHeight="1">
      <c r="A34" s="71" t="s">
        <v>74</v>
      </c>
      <c r="B34" s="72" t="s">
        <v>24</v>
      </c>
      <c r="C34" s="97" t="s">
        <v>76</v>
      </c>
      <c r="D34" s="19">
        <v>12433</v>
      </c>
      <c r="E34" s="19">
        <v>8269</v>
      </c>
      <c r="F34" s="19">
        <v>19220</v>
      </c>
      <c r="G34" s="8">
        <v>9523</v>
      </c>
      <c r="H34" s="74">
        <v>9455</v>
      </c>
      <c r="I34" s="498"/>
      <c r="J34" s="9">
        <f t="shared" si="0"/>
        <v>76.047615217566161</v>
      </c>
      <c r="K34" s="14">
        <f t="shared" si="1"/>
        <v>-2978</v>
      </c>
      <c r="L34" s="1292"/>
      <c r="M34" s="1292"/>
      <c r="N34" s="70"/>
    </row>
    <row r="35" spans="1:15" ht="15" customHeight="1">
      <c r="A35" s="83" t="s">
        <v>77</v>
      </c>
      <c r="B35" s="84" t="s">
        <v>29</v>
      </c>
      <c r="C35" s="85" t="s">
        <v>78</v>
      </c>
      <c r="D35" s="26">
        <v>20822</v>
      </c>
      <c r="E35" s="26">
        <v>13841</v>
      </c>
      <c r="F35" s="26">
        <v>16026</v>
      </c>
      <c r="G35" s="16">
        <v>7284</v>
      </c>
      <c r="H35" s="86">
        <v>6640</v>
      </c>
      <c r="I35" s="501"/>
      <c r="J35" s="17">
        <f t="shared" si="0"/>
        <v>31.889347805206032</v>
      </c>
      <c r="K35" s="18">
        <f t="shared" si="1"/>
        <v>-14182</v>
      </c>
      <c r="L35" s="6"/>
      <c r="M35" s="6"/>
      <c r="N35" s="58" t="s">
        <v>79</v>
      </c>
    </row>
    <row r="36" spans="1:15" ht="15" customHeight="1">
      <c r="A36" s="71" t="s">
        <v>80</v>
      </c>
      <c r="B36" s="72" t="s">
        <v>29</v>
      </c>
      <c r="C36" s="75" t="s">
        <v>81</v>
      </c>
      <c r="D36" s="19">
        <v>6359</v>
      </c>
      <c r="E36" s="19">
        <v>3630</v>
      </c>
      <c r="F36" s="19">
        <v>1723</v>
      </c>
      <c r="G36" s="8">
        <v>2436</v>
      </c>
      <c r="H36" s="74">
        <v>2751</v>
      </c>
      <c r="I36" s="498"/>
      <c r="J36" s="9">
        <f t="shared" si="0"/>
        <v>43.261519106777797</v>
      </c>
      <c r="K36" s="10">
        <f t="shared" si="1"/>
        <v>-3608</v>
      </c>
      <c r="L36" s="1292"/>
      <c r="M36" s="1292"/>
      <c r="N36" s="70"/>
    </row>
    <row r="37" spans="1:15" ht="15" customHeight="1">
      <c r="A37" s="83" t="s">
        <v>82</v>
      </c>
      <c r="B37" s="84" t="s">
        <v>29</v>
      </c>
      <c r="C37" s="85" t="s">
        <v>83</v>
      </c>
      <c r="D37" s="26">
        <v>2728</v>
      </c>
      <c r="E37" s="26">
        <v>1585</v>
      </c>
      <c r="F37" s="26">
        <v>1007</v>
      </c>
      <c r="G37" s="16">
        <v>1275</v>
      </c>
      <c r="H37" s="86">
        <v>1405</v>
      </c>
      <c r="I37" s="501"/>
      <c r="J37" s="17">
        <f t="shared" si="0"/>
        <v>51.502932551319645</v>
      </c>
      <c r="K37" s="18">
        <f t="shared" si="1"/>
        <v>-1323</v>
      </c>
      <c r="L37" s="14"/>
      <c r="M37" s="14"/>
      <c r="N37" s="65"/>
    </row>
    <row r="38" spans="1:15" ht="15" customHeight="1">
      <c r="A38" s="87" t="s">
        <v>84</v>
      </c>
      <c r="B38" s="88" t="s">
        <v>29</v>
      </c>
      <c r="C38" s="89" t="s">
        <v>85</v>
      </c>
      <c r="D38" s="25">
        <v>31602</v>
      </c>
      <c r="E38" s="25">
        <v>33678</v>
      </c>
      <c r="F38" s="25">
        <v>30087</v>
      </c>
      <c r="G38" s="4">
        <v>21432</v>
      </c>
      <c r="H38" s="69">
        <v>26420</v>
      </c>
      <c r="I38" s="497"/>
      <c r="J38" s="5">
        <f t="shared" si="0"/>
        <v>83.602303651667626</v>
      </c>
      <c r="K38" s="6">
        <f t="shared" si="1"/>
        <v>-5182</v>
      </c>
      <c r="L38" s="6"/>
      <c r="M38" s="6"/>
      <c r="N38" s="58" t="s">
        <v>86</v>
      </c>
    </row>
    <row r="39" spans="1:15" ht="15" customHeight="1">
      <c r="A39" s="79" t="s">
        <v>87</v>
      </c>
      <c r="B39" s="80" t="s">
        <v>65</v>
      </c>
      <c r="C39" s="81" t="s">
        <v>88</v>
      </c>
      <c r="D39" s="19">
        <v>23808</v>
      </c>
      <c r="E39" s="19">
        <v>23227</v>
      </c>
      <c r="F39" s="19">
        <v>18221</v>
      </c>
      <c r="G39" s="8">
        <v>11968</v>
      </c>
      <c r="H39" s="74">
        <v>19248</v>
      </c>
      <c r="I39" s="498"/>
      <c r="J39" s="9">
        <f t="shared" si="0"/>
        <v>80.846774193548384</v>
      </c>
      <c r="K39" s="10">
        <f t="shared" si="1"/>
        <v>-4560</v>
      </c>
      <c r="L39" s="1292"/>
      <c r="M39" s="1292"/>
      <c r="N39" s="70"/>
    </row>
    <row r="40" spans="1:15" ht="15" customHeight="1">
      <c r="A40" s="83" t="s">
        <v>89</v>
      </c>
      <c r="B40" s="84" t="s">
        <v>36</v>
      </c>
      <c r="C40" s="81" t="s">
        <v>90</v>
      </c>
      <c r="D40" s="24">
        <v>1058</v>
      </c>
      <c r="E40" s="24">
        <v>1167</v>
      </c>
      <c r="F40" s="24">
        <v>993</v>
      </c>
      <c r="G40" s="12">
        <v>400</v>
      </c>
      <c r="H40" s="82">
        <v>181</v>
      </c>
      <c r="I40" s="500"/>
      <c r="J40" s="13">
        <f t="shared" si="0"/>
        <v>17.107750472589792</v>
      </c>
      <c r="K40" s="14">
        <f t="shared" si="1"/>
        <v>-877</v>
      </c>
      <c r="L40" s="14"/>
      <c r="M40" s="14"/>
      <c r="N40" s="65"/>
    </row>
    <row r="41" spans="1:15" ht="15" customHeight="1">
      <c r="A41" s="66" t="s">
        <v>91</v>
      </c>
      <c r="B41" s="67" t="s">
        <v>18</v>
      </c>
      <c r="C41" s="68" t="s">
        <v>92</v>
      </c>
      <c r="D41" s="20">
        <v>0</v>
      </c>
      <c r="E41" s="20">
        <v>0</v>
      </c>
      <c r="F41" s="20">
        <v>0</v>
      </c>
      <c r="G41" s="21">
        <v>0</v>
      </c>
      <c r="H41" s="90">
        <v>0</v>
      </c>
      <c r="I41" s="502"/>
      <c r="J41" s="91" t="s">
        <v>42</v>
      </c>
      <c r="K41" s="10">
        <f t="shared" si="1"/>
        <v>0</v>
      </c>
      <c r="L41" s="1292"/>
      <c r="M41" s="1292"/>
      <c r="N41" s="58" t="s">
        <v>93</v>
      </c>
    </row>
    <row r="42" spans="1:15" ht="15" customHeight="1">
      <c r="A42" s="71" t="s">
        <v>91</v>
      </c>
      <c r="B42" s="72" t="s">
        <v>94</v>
      </c>
      <c r="C42" s="75" t="s">
        <v>95</v>
      </c>
      <c r="D42" s="22">
        <v>0</v>
      </c>
      <c r="E42" s="22">
        <v>0</v>
      </c>
      <c r="F42" s="22">
        <v>0</v>
      </c>
      <c r="G42" s="23">
        <v>0</v>
      </c>
      <c r="H42" s="76">
        <v>0</v>
      </c>
      <c r="I42" s="499"/>
      <c r="J42" s="92" t="s">
        <v>42</v>
      </c>
      <c r="K42" s="10">
        <f t="shared" si="1"/>
        <v>0</v>
      </c>
      <c r="L42" s="1292"/>
      <c r="M42" s="1292"/>
      <c r="N42" s="70"/>
    </row>
    <row r="43" spans="1:15" ht="15" customHeight="1">
      <c r="A43" s="71" t="s">
        <v>91</v>
      </c>
      <c r="B43" s="72" t="s">
        <v>96</v>
      </c>
      <c r="C43" s="75" t="s">
        <v>97</v>
      </c>
      <c r="D43" s="22">
        <v>0</v>
      </c>
      <c r="E43" s="22">
        <v>0</v>
      </c>
      <c r="F43" s="22">
        <v>0</v>
      </c>
      <c r="G43" s="23">
        <v>0</v>
      </c>
      <c r="H43" s="76">
        <v>0</v>
      </c>
      <c r="I43" s="499"/>
      <c r="J43" s="92" t="s">
        <v>42</v>
      </c>
      <c r="K43" s="10">
        <f t="shared" si="1"/>
        <v>0</v>
      </c>
      <c r="L43" s="1292"/>
      <c r="M43" s="1292"/>
      <c r="N43" s="70"/>
    </row>
    <row r="44" spans="1:15" ht="15" customHeight="1">
      <c r="A44" s="66" t="s">
        <v>98</v>
      </c>
      <c r="B44" s="98" t="s">
        <v>29</v>
      </c>
      <c r="C44" s="68" t="s">
        <v>99</v>
      </c>
      <c r="D44" s="25">
        <v>989</v>
      </c>
      <c r="E44" s="25">
        <v>718</v>
      </c>
      <c r="F44" s="25">
        <v>719</v>
      </c>
      <c r="G44" s="4">
        <v>2340</v>
      </c>
      <c r="H44" s="69">
        <v>4972</v>
      </c>
      <c r="I44" s="497"/>
      <c r="J44" s="5">
        <f t="shared" si="0"/>
        <v>502.73003033367036</v>
      </c>
      <c r="K44" s="6">
        <f t="shared" si="1"/>
        <v>3983</v>
      </c>
      <c r="L44" s="1292"/>
      <c r="M44" s="1292"/>
      <c r="N44" s="70"/>
    </row>
    <row r="45" spans="1:15" ht="15" customHeight="1">
      <c r="A45" s="99" t="s">
        <v>98</v>
      </c>
      <c r="B45" s="100" t="s">
        <v>65</v>
      </c>
      <c r="C45" s="96" t="s">
        <v>100</v>
      </c>
      <c r="D45" s="24">
        <v>61356</v>
      </c>
      <c r="E45" s="24">
        <v>73491</v>
      </c>
      <c r="F45" s="24">
        <v>37026</v>
      </c>
      <c r="G45" s="12">
        <v>10616</v>
      </c>
      <c r="H45" s="82">
        <v>12719</v>
      </c>
      <c r="I45" s="500"/>
      <c r="J45" s="13">
        <f t="shared" si="0"/>
        <v>20.729838972553623</v>
      </c>
      <c r="K45" s="14">
        <f t="shared" si="1"/>
        <v>-48637</v>
      </c>
      <c r="L45" s="1292"/>
      <c r="M45" s="1292"/>
      <c r="N45" s="70"/>
    </row>
    <row r="46" spans="1:15" ht="15" customHeight="1">
      <c r="A46" s="71" t="s">
        <v>101</v>
      </c>
      <c r="B46" s="72" t="s">
        <v>102</v>
      </c>
      <c r="C46" s="75" t="s">
        <v>103</v>
      </c>
      <c r="D46" s="22">
        <v>0</v>
      </c>
      <c r="E46" s="22">
        <v>0</v>
      </c>
      <c r="F46" s="22">
        <v>0</v>
      </c>
      <c r="G46" s="23">
        <v>0</v>
      </c>
      <c r="H46" s="76">
        <v>0</v>
      </c>
      <c r="I46" s="499"/>
      <c r="J46" s="92" t="s">
        <v>42</v>
      </c>
      <c r="K46" s="10">
        <f t="shared" si="1"/>
        <v>0</v>
      </c>
      <c r="L46" s="1292"/>
      <c r="M46" s="1292"/>
      <c r="N46" s="70"/>
    </row>
    <row r="47" spans="1:15" ht="15" customHeight="1">
      <c r="A47" s="71" t="s">
        <v>101</v>
      </c>
      <c r="B47" s="72" t="s">
        <v>104</v>
      </c>
      <c r="C47" s="75" t="s">
        <v>105</v>
      </c>
      <c r="D47" s="22">
        <v>0</v>
      </c>
      <c r="E47" s="22">
        <v>0</v>
      </c>
      <c r="F47" s="22">
        <v>0</v>
      </c>
      <c r="G47" s="23">
        <v>0</v>
      </c>
      <c r="H47" s="76">
        <v>0</v>
      </c>
      <c r="I47" s="499"/>
      <c r="J47" s="92" t="s">
        <v>42</v>
      </c>
      <c r="K47" s="10">
        <f t="shared" si="1"/>
        <v>0</v>
      </c>
      <c r="L47" s="1292"/>
      <c r="M47" s="1292"/>
      <c r="N47" s="70"/>
    </row>
    <row r="48" spans="1:15" ht="15" customHeight="1">
      <c r="A48" s="71" t="s">
        <v>101</v>
      </c>
      <c r="B48" s="101" t="s">
        <v>106</v>
      </c>
      <c r="C48" s="75" t="s">
        <v>107</v>
      </c>
      <c r="D48" s="22">
        <v>0</v>
      </c>
      <c r="E48" s="22">
        <v>0</v>
      </c>
      <c r="F48" s="22">
        <v>0</v>
      </c>
      <c r="G48" s="23">
        <v>0</v>
      </c>
      <c r="H48" s="76">
        <v>0</v>
      </c>
      <c r="I48" s="499"/>
      <c r="J48" s="92" t="s">
        <v>42</v>
      </c>
      <c r="K48" s="10">
        <f t="shared" si="1"/>
        <v>0</v>
      </c>
      <c r="L48" s="1292"/>
      <c r="M48" s="1292"/>
      <c r="N48" s="70"/>
    </row>
    <row r="49" spans="1:14" ht="15" customHeight="1">
      <c r="A49" s="71" t="s">
        <v>101</v>
      </c>
      <c r="B49" s="101" t="s">
        <v>108</v>
      </c>
      <c r="C49" s="75" t="s">
        <v>109</v>
      </c>
      <c r="D49" s="19">
        <v>1819</v>
      </c>
      <c r="E49" s="19">
        <v>1391</v>
      </c>
      <c r="F49" s="19">
        <v>1226</v>
      </c>
      <c r="G49" s="8">
        <v>1377</v>
      </c>
      <c r="H49" s="74">
        <v>988</v>
      </c>
      <c r="I49" s="498"/>
      <c r="J49" s="9">
        <f t="shared" si="0"/>
        <v>54.315557998900502</v>
      </c>
      <c r="K49" s="10">
        <f t="shared" si="1"/>
        <v>-831</v>
      </c>
      <c r="L49" s="1292"/>
      <c r="M49" s="1292"/>
      <c r="N49" s="70"/>
    </row>
    <row r="50" spans="1:14" ht="15" customHeight="1">
      <c r="A50" s="79" t="s">
        <v>101</v>
      </c>
      <c r="B50" s="102" t="s">
        <v>47</v>
      </c>
      <c r="C50" s="81" t="s">
        <v>110</v>
      </c>
      <c r="D50" s="24">
        <v>74</v>
      </c>
      <c r="E50" s="24">
        <v>407</v>
      </c>
      <c r="F50" s="24">
        <v>395</v>
      </c>
      <c r="G50" s="12">
        <v>112</v>
      </c>
      <c r="H50" s="82">
        <v>83</v>
      </c>
      <c r="I50" s="500"/>
      <c r="J50" s="13">
        <f t="shared" si="0"/>
        <v>112.16216216216218</v>
      </c>
      <c r="K50" s="10">
        <f t="shared" si="1"/>
        <v>9</v>
      </c>
      <c r="L50" s="1292"/>
      <c r="M50" s="1292"/>
      <c r="N50" s="65"/>
    </row>
    <row r="51" spans="1:14" ht="15" customHeight="1">
      <c r="A51" s="71" t="s">
        <v>111</v>
      </c>
      <c r="B51" s="72" t="s">
        <v>29</v>
      </c>
      <c r="C51" s="75" t="s">
        <v>112</v>
      </c>
      <c r="D51" s="19">
        <v>32445</v>
      </c>
      <c r="E51" s="19">
        <v>44587</v>
      </c>
      <c r="F51" s="19">
        <v>50829</v>
      </c>
      <c r="G51" s="8">
        <v>48909</v>
      </c>
      <c r="H51" s="74">
        <v>68151</v>
      </c>
      <c r="I51" s="498"/>
      <c r="J51" s="9">
        <f t="shared" si="0"/>
        <v>210.05085529357373</v>
      </c>
      <c r="K51" s="6">
        <f t="shared" si="1"/>
        <v>35706</v>
      </c>
      <c r="L51" s="1292"/>
      <c r="M51" s="1292"/>
      <c r="N51" s="70" t="s">
        <v>113</v>
      </c>
    </row>
    <row r="52" spans="1:14" ht="15" customHeight="1">
      <c r="A52" s="71" t="s">
        <v>111</v>
      </c>
      <c r="B52" s="72" t="s">
        <v>22</v>
      </c>
      <c r="C52" s="75" t="s">
        <v>114</v>
      </c>
      <c r="D52" s="19">
        <v>4237</v>
      </c>
      <c r="E52" s="19">
        <v>3950</v>
      </c>
      <c r="F52" s="19">
        <v>3821</v>
      </c>
      <c r="G52" s="8">
        <v>3986</v>
      </c>
      <c r="H52" s="74">
        <v>4539</v>
      </c>
      <c r="I52" s="498"/>
      <c r="J52" s="9">
        <f t="shared" si="0"/>
        <v>107.12768468255842</v>
      </c>
      <c r="K52" s="10">
        <f t="shared" si="1"/>
        <v>302</v>
      </c>
      <c r="L52" s="1292"/>
      <c r="M52" s="1292"/>
      <c r="N52" s="70"/>
    </row>
    <row r="53" spans="1:14" ht="15" customHeight="1">
      <c r="A53" s="71" t="s">
        <v>111</v>
      </c>
      <c r="B53" s="72" t="s">
        <v>115</v>
      </c>
      <c r="C53" s="75" t="s">
        <v>116</v>
      </c>
      <c r="D53" s="19">
        <v>11452</v>
      </c>
      <c r="E53" s="19">
        <v>10478</v>
      </c>
      <c r="F53" s="19">
        <v>5300</v>
      </c>
      <c r="G53" s="8">
        <v>11767</v>
      </c>
      <c r="H53" s="74">
        <v>17664</v>
      </c>
      <c r="I53" s="498"/>
      <c r="J53" s="9">
        <f t="shared" si="0"/>
        <v>154.2438002095704</v>
      </c>
      <c r="K53" s="10">
        <f t="shared" si="1"/>
        <v>6212</v>
      </c>
      <c r="L53" s="1292"/>
      <c r="M53" s="1292"/>
      <c r="N53" s="70"/>
    </row>
    <row r="54" spans="1:14" ht="15" customHeight="1">
      <c r="A54" s="71" t="s">
        <v>111</v>
      </c>
      <c r="B54" s="72" t="s">
        <v>117</v>
      </c>
      <c r="C54" s="75" t="s">
        <v>118</v>
      </c>
      <c r="D54" s="19">
        <v>3</v>
      </c>
      <c r="E54" s="19">
        <v>1</v>
      </c>
      <c r="F54" s="19">
        <v>0</v>
      </c>
      <c r="G54" s="8">
        <v>1</v>
      </c>
      <c r="H54" s="74">
        <v>0</v>
      </c>
      <c r="I54" s="498"/>
      <c r="J54" s="9">
        <f t="shared" si="0"/>
        <v>0</v>
      </c>
      <c r="K54" s="10">
        <f t="shared" si="1"/>
        <v>-3</v>
      </c>
      <c r="L54" s="1292"/>
      <c r="M54" s="1292"/>
      <c r="N54" s="70"/>
    </row>
    <row r="55" spans="1:14" ht="15" customHeight="1">
      <c r="A55" s="71" t="s">
        <v>111</v>
      </c>
      <c r="B55" s="72" t="s">
        <v>119</v>
      </c>
      <c r="C55" s="75" t="s">
        <v>120</v>
      </c>
      <c r="D55" s="19">
        <v>1863</v>
      </c>
      <c r="E55" s="19">
        <v>2678</v>
      </c>
      <c r="F55" s="19">
        <v>2090</v>
      </c>
      <c r="G55" s="8">
        <v>1852</v>
      </c>
      <c r="H55" s="74">
        <v>3205</v>
      </c>
      <c r="I55" s="498"/>
      <c r="J55" s="9">
        <f t="shared" si="0"/>
        <v>172.03435319377348</v>
      </c>
      <c r="K55" s="10">
        <f t="shared" si="1"/>
        <v>1342</v>
      </c>
      <c r="L55" s="1292"/>
      <c r="M55" s="1292"/>
      <c r="N55" s="70"/>
    </row>
    <row r="56" spans="1:14" ht="15" customHeight="1">
      <c r="A56" s="66" t="s">
        <v>121</v>
      </c>
      <c r="B56" s="67" t="s">
        <v>65</v>
      </c>
      <c r="C56" s="68" t="s">
        <v>122</v>
      </c>
      <c r="D56" s="25">
        <v>52704</v>
      </c>
      <c r="E56" s="25">
        <v>41704</v>
      </c>
      <c r="F56" s="25">
        <v>32720</v>
      </c>
      <c r="G56" s="4">
        <v>31294</v>
      </c>
      <c r="H56" s="69">
        <v>26532</v>
      </c>
      <c r="I56" s="497"/>
      <c r="J56" s="5">
        <f t="shared" si="0"/>
        <v>50.341530054644814</v>
      </c>
      <c r="K56" s="6">
        <f t="shared" si="1"/>
        <v>-26172</v>
      </c>
      <c r="L56" s="1292"/>
      <c r="M56" s="1292"/>
      <c r="N56" s="70"/>
    </row>
    <row r="57" spans="1:14" ht="15" customHeight="1">
      <c r="A57" s="79" t="s">
        <v>121</v>
      </c>
      <c r="B57" s="80" t="s">
        <v>26</v>
      </c>
      <c r="C57" s="81" t="s">
        <v>123</v>
      </c>
      <c r="D57" s="24">
        <v>70772</v>
      </c>
      <c r="E57" s="24">
        <v>72633</v>
      </c>
      <c r="F57" s="24">
        <v>41529</v>
      </c>
      <c r="G57" s="12">
        <v>67654</v>
      </c>
      <c r="H57" s="82">
        <v>81088</v>
      </c>
      <c r="I57" s="500"/>
      <c r="J57" s="13">
        <f t="shared" si="0"/>
        <v>114.57638614141186</v>
      </c>
      <c r="K57" s="14">
        <f t="shared" si="1"/>
        <v>10316</v>
      </c>
      <c r="L57" s="1292"/>
      <c r="M57" s="1292"/>
      <c r="N57" s="70"/>
    </row>
    <row r="58" spans="1:14" ht="15" customHeight="1">
      <c r="A58" s="71" t="s">
        <v>121</v>
      </c>
      <c r="B58" s="72" t="s">
        <v>47</v>
      </c>
      <c r="C58" s="75" t="s">
        <v>124</v>
      </c>
      <c r="D58" s="19">
        <v>87226</v>
      </c>
      <c r="E58" s="19">
        <v>88700</v>
      </c>
      <c r="F58" s="19">
        <v>76636</v>
      </c>
      <c r="G58" s="8">
        <v>85240</v>
      </c>
      <c r="H58" s="74">
        <v>103664</v>
      </c>
      <c r="I58" s="498"/>
      <c r="J58" s="9">
        <f t="shared" si="0"/>
        <v>118.84529842019582</v>
      </c>
      <c r="K58" s="10">
        <f t="shared" si="1"/>
        <v>16438</v>
      </c>
      <c r="L58" s="1292"/>
      <c r="M58" s="1292"/>
      <c r="N58" s="70"/>
    </row>
    <row r="59" spans="1:14" ht="15" customHeight="1">
      <c r="A59" s="71" t="s">
        <v>125</v>
      </c>
      <c r="B59" s="72" t="s">
        <v>29</v>
      </c>
      <c r="C59" s="75" t="s">
        <v>126</v>
      </c>
      <c r="D59" s="19">
        <v>24328</v>
      </c>
      <c r="E59" s="19">
        <v>10672</v>
      </c>
      <c r="F59" s="19">
        <v>8181</v>
      </c>
      <c r="G59" s="8">
        <v>11384</v>
      </c>
      <c r="H59" s="7">
        <v>6618</v>
      </c>
      <c r="I59" s="503"/>
      <c r="J59" s="9">
        <f t="shared" si="0"/>
        <v>27.203222624136796</v>
      </c>
      <c r="K59" s="10">
        <f t="shared" si="1"/>
        <v>-17710</v>
      </c>
      <c r="L59" s="1292"/>
      <c r="M59" s="1292"/>
      <c r="N59" s="70"/>
    </row>
    <row r="60" spans="1:14" ht="15" customHeight="1">
      <c r="A60" s="93" t="s">
        <v>125</v>
      </c>
      <c r="B60" s="94" t="s">
        <v>24</v>
      </c>
      <c r="C60" s="95" t="s">
        <v>127</v>
      </c>
      <c r="D60" s="19">
        <v>16027</v>
      </c>
      <c r="E60" s="19">
        <v>12227</v>
      </c>
      <c r="F60" s="19">
        <v>8526</v>
      </c>
      <c r="G60" s="8">
        <v>13209</v>
      </c>
      <c r="H60" s="74">
        <v>14264</v>
      </c>
      <c r="I60" s="498"/>
      <c r="J60" s="9">
        <f t="shared" si="0"/>
        <v>88.999812815873213</v>
      </c>
      <c r="K60" s="10">
        <f t="shared" si="1"/>
        <v>-1763</v>
      </c>
      <c r="L60" s="1292"/>
      <c r="M60" s="1292"/>
      <c r="N60" s="70"/>
    </row>
    <row r="61" spans="1:14" ht="15" customHeight="1">
      <c r="A61" s="93" t="s">
        <v>125</v>
      </c>
      <c r="B61" s="94" t="s">
        <v>52</v>
      </c>
      <c r="C61" s="95" t="s">
        <v>128</v>
      </c>
      <c r="D61" s="19">
        <v>0</v>
      </c>
      <c r="E61" s="19">
        <v>2371</v>
      </c>
      <c r="F61" s="19">
        <v>2116</v>
      </c>
      <c r="G61" s="8">
        <v>829</v>
      </c>
      <c r="H61" s="74">
        <v>808</v>
      </c>
      <c r="I61" s="498"/>
      <c r="J61" s="92" t="s">
        <v>42</v>
      </c>
      <c r="K61" s="10">
        <f t="shared" si="1"/>
        <v>808</v>
      </c>
      <c r="L61" s="1292"/>
      <c r="M61" s="1292"/>
      <c r="N61" s="70"/>
    </row>
    <row r="62" spans="1:14" ht="15" customHeight="1">
      <c r="A62" s="71" t="s">
        <v>125</v>
      </c>
      <c r="B62" s="72" t="s">
        <v>129</v>
      </c>
      <c r="C62" s="95" t="s">
        <v>130</v>
      </c>
      <c r="D62" s="19">
        <v>36852</v>
      </c>
      <c r="E62" s="19">
        <v>24394</v>
      </c>
      <c r="F62" s="19">
        <v>25417</v>
      </c>
      <c r="G62" s="8">
        <v>38428</v>
      </c>
      <c r="H62" s="74">
        <v>36347</v>
      </c>
      <c r="I62" s="498"/>
      <c r="J62" s="9">
        <f t="shared" si="0"/>
        <v>98.629653750135688</v>
      </c>
      <c r="K62" s="10">
        <f t="shared" si="1"/>
        <v>-505</v>
      </c>
      <c r="L62" s="1292"/>
      <c r="M62" s="1292"/>
      <c r="N62" s="70"/>
    </row>
    <row r="63" spans="1:14" ht="15" customHeight="1">
      <c r="A63" s="103" t="s">
        <v>125</v>
      </c>
      <c r="B63" s="104" t="s">
        <v>59</v>
      </c>
      <c r="C63" s="97" t="s">
        <v>131</v>
      </c>
      <c r="D63" s="19">
        <v>65935</v>
      </c>
      <c r="E63" s="19">
        <v>51536</v>
      </c>
      <c r="F63" s="19">
        <v>45871</v>
      </c>
      <c r="G63" s="8">
        <v>44527</v>
      </c>
      <c r="H63" s="74">
        <v>46527</v>
      </c>
      <c r="I63" s="498"/>
      <c r="J63" s="9">
        <f t="shared" si="0"/>
        <v>70.564950329870328</v>
      </c>
      <c r="K63" s="10">
        <f t="shared" si="1"/>
        <v>-19408</v>
      </c>
      <c r="L63" s="1292"/>
      <c r="M63" s="1292"/>
      <c r="N63" s="70"/>
    </row>
    <row r="64" spans="1:14" ht="15" customHeight="1">
      <c r="A64" s="66" t="s">
        <v>132</v>
      </c>
      <c r="B64" s="67" t="s">
        <v>29</v>
      </c>
      <c r="C64" s="68" t="s">
        <v>133</v>
      </c>
      <c r="D64" s="25">
        <v>114844</v>
      </c>
      <c r="E64" s="25">
        <v>106239</v>
      </c>
      <c r="F64" s="25">
        <v>159433</v>
      </c>
      <c r="G64" s="4">
        <v>53454</v>
      </c>
      <c r="H64" s="69">
        <v>58090</v>
      </c>
      <c r="I64" s="497"/>
      <c r="J64" s="5">
        <f t="shared" si="0"/>
        <v>50.581658597749993</v>
      </c>
      <c r="K64" s="6">
        <f t="shared" si="1"/>
        <v>-56754</v>
      </c>
      <c r="L64" s="1292"/>
      <c r="M64" s="1292"/>
      <c r="N64" s="70"/>
    </row>
    <row r="65" spans="1:14" ht="15" customHeight="1">
      <c r="A65" s="77" t="s">
        <v>134</v>
      </c>
      <c r="B65" s="78" t="s">
        <v>63</v>
      </c>
      <c r="C65" s="73" t="s">
        <v>135</v>
      </c>
      <c r="D65" s="19">
        <v>335</v>
      </c>
      <c r="E65" s="19">
        <v>564</v>
      </c>
      <c r="F65" s="19">
        <v>709</v>
      </c>
      <c r="G65" s="8">
        <v>718</v>
      </c>
      <c r="H65" s="74">
        <v>685</v>
      </c>
      <c r="I65" s="498"/>
      <c r="J65" s="9">
        <f t="shared" si="0"/>
        <v>204.47761194029849</v>
      </c>
      <c r="K65" s="10">
        <f t="shared" si="1"/>
        <v>350</v>
      </c>
      <c r="L65" s="1292"/>
      <c r="M65" s="1292"/>
      <c r="N65" s="70"/>
    </row>
    <row r="66" spans="1:14" ht="15" customHeight="1">
      <c r="A66" s="71" t="s">
        <v>134</v>
      </c>
      <c r="B66" s="72" t="s">
        <v>24</v>
      </c>
      <c r="C66" s="75" t="s">
        <v>136</v>
      </c>
      <c r="D66" s="19">
        <v>62167</v>
      </c>
      <c r="E66" s="19">
        <v>76133</v>
      </c>
      <c r="F66" s="19">
        <v>57520</v>
      </c>
      <c r="G66" s="8">
        <v>64792</v>
      </c>
      <c r="H66" s="74">
        <v>70487</v>
      </c>
      <c r="I66" s="498"/>
      <c r="J66" s="9">
        <f t="shared" si="0"/>
        <v>113.38330625573055</v>
      </c>
      <c r="K66" s="10">
        <f t="shared" si="1"/>
        <v>8320</v>
      </c>
      <c r="L66" s="1292"/>
      <c r="M66" s="1292"/>
      <c r="N66" s="70"/>
    </row>
    <row r="67" spans="1:14" ht="15" customHeight="1">
      <c r="A67" s="79" t="s">
        <v>134</v>
      </c>
      <c r="B67" s="80" t="s">
        <v>33</v>
      </c>
      <c r="C67" s="81" t="s">
        <v>137</v>
      </c>
      <c r="D67" s="24">
        <v>7202</v>
      </c>
      <c r="E67" s="24">
        <v>8704</v>
      </c>
      <c r="F67" s="24">
        <v>6684</v>
      </c>
      <c r="G67" s="12">
        <v>7794</v>
      </c>
      <c r="H67" s="82">
        <v>4774</v>
      </c>
      <c r="I67" s="500"/>
      <c r="J67" s="13">
        <f t="shared" si="0"/>
        <v>66.28714246042766</v>
      </c>
      <c r="K67" s="14">
        <f t="shared" si="1"/>
        <v>-2428</v>
      </c>
      <c r="L67" s="1292"/>
      <c r="M67" s="1292"/>
      <c r="N67" s="70"/>
    </row>
    <row r="68" spans="1:14" ht="15" customHeight="1">
      <c r="A68" s="77" t="s">
        <v>138</v>
      </c>
      <c r="B68" s="78" t="s">
        <v>29</v>
      </c>
      <c r="C68" s="73" t="s">
        <v>139</v>
      </c>
      <c r="D68" s="19">
        <v>68614</v>
      </c>
      <c r="E68" s="19">
        <v>69479</v>
      </c>
      <c r="F68" s="19">
        <v>68450</v>
      </c>
      <c r="G68" s="8">
        <v>78589</v>
      </c>
      <c r="H68" s="74">
        <v>78973</v>
      </c>
      <c r="I68" s="498"/>
      <c r="J68" s="9">
        <f t="shared" si="0"/>
        <v>115.0975019675285</v>
      </c>
      <c r="K68" s="10">
        <f t="shared" si="1"/>
        <v>10359</v>
      </c>
      <c r="L68" s="1292"/>
      <c r="M68" s="1292"/>
      <c r="N68" s="70"/>
    </row>
    <row r="69" spans="1:14" ht="15" customHeight="1">
      <c r="A69" s="93" t="s">
        <v>138</v>
      </c>
      <c r="B69" s="94" t="s">
        <v>24</v>
      </c>
      <c r="C69" s="95" t="s">
        <v>140</v>
      </c>
      <c r="D69" s="19">
        <v>51585</v>
      </c>
      <c r="E69" s="19">
        <v>46013</v>
      </c>
      <c r="F69" s="19">
        <v>73748</v>
      </c>
      <c r="G69" s="8">
        <v>81184</v>
      </c>
      <c r="H69" s="74">
        <v>92630</v>
      </c>
      <c r="I69" s="498"/>
      <c r="J69" s="9">
        <f t="shared" ref="J69:J132" si="2">H69/D69*100</f>
        <v>179.56770378986141</v>
      </c>
      <c r="K69" s="10">
        <f t="shared" ref="K69:K132" si="3">H69-D69</f>
        <v>41045</v>
      </c>
      <c r="L69" s="1292"/>
      <c r="M69" s="1292"/>
      <c r="N69" s="70"/>
    </row>
    <row r="70" spans="1:14" ht="15" customHeight="1">
      <c r="A70" s="71" t="s">
        <v>138</v>
      </c>
      <c r="B70" s="72" t="s">
        <v>52</v>
      </c>
      <c r="C70" s="97" t="s">
        <v>141</v>
      </c>
      <c r="D70" s="19">
        <v>164925</v>
      </c>
      <c r="E70" s="19">
        <v>144745</v>
      </c>
      <c r="F70" s="19">
        <v>142023</v>
      </c>
      <c r="G70" s="8">
        <v>153705</v>
      </c>
      <c r="H70" s="74">
        <v>154785</v>
      </c>
      <c r="I70" s="498"/>
      <c r="J70" s="9">
        <f t="shared" si="2"/>
        <v>93.851750795816287</v>
      </c>
      <c r="K70" s="10">
        <f t="shared" si="3"/>
        <v>-10140</v>
      </c>
      <c r="L70" s="1292"/>
      <c r="M70" s="1292"/>
      <c r="N70" s="70"/>
    </row>
    <row r="71" spans="1:14" ht="15" customHeight="1">
      <c r="A71" s="83" t="s">
        <v>142</v>
      </c>
      <c r="B71" s="84" t="s">
        <v>18</v>
      </c>
      <c r="C71" s="85" t="s">
        <v>143</v>
      </c>
      <c r="D71" s="26">
        <v>24544</v>
      </c>
      <c r="E71" s="26">
        <v>14831</v>
      </c>
      <c r="F71" s="26">
        <v>18535</v>
      </c>
      <c r="G71" s="16">
        <v>37993</v>
      </c>
      <c r="H71" s="86">
        <v>39076</v>
      </c>
      <c r="I71" s="501"/>
      <c r="J71" s="17">
        <f t="shared" si="2"/>
        <v>159.20795306388527</v>
      </c>
      <c r="K71" s="18">
        <f t="shared" si="3"/>
        <v>14532</v>
      </c>
      <c r="L71" s="1292"/>
      <c r="M71" s="1292"/>
      <c r="N71" s="70"/>
    </row>
    <row r="72" spans="1:14" ht="15" customHeight="1">
      <c r="A72" s="71" t="s">
        <v>144</v>
      </c>
      <c r="B72" s="72" t="s">
        <v>29</v>
      </c>
      <c r="C72" s="75" t="s">
        <v>145</v>
      </c>
      <c r="D72" s="19">
        <v>16601</v>
      </c>
      <c r="E72" s="19">
        <v>15797</v>
      </c>
      <c r="F72" s="19">
        <v>15948</v>
      </c>
      <c r="G72" s="8">
        <v>24289</v>
      </c>
      <c r="H72" s="74">
        <v>31778</v>
      </c>
      <c r="I72" s="498"/>
      <c r="J72" s="9">
        <f t="shared" si="2"/>
        <v>191.42220348171796</v>
      </c>
      <c r="K72" s="10">
        <f t="shared" si="3"/>
        <v>15177</v>
      </c>
      <c r="L72" s="1292"/>
      <c r="M72" s="1292"/>
      <c r="N72" s="70"/>
    </row>
    <row r="73" spans="1:14" ht="15" customHeight="1">
      <c r="A73" s="77" t="s">
        <v>144</v>
      </c>
      <c r="B73" s="78" t="s">
        <v>63</v>
      </c>
      <c r="C73" s="73" t="s">
        <v>146</v>
      </c>
      <c r="D73" s="22">
        <v>0</v>
      </c>
      <c r="E73" s="22">
        <v>0</v>
      </c>
      <c r="F73" s="22">
        <v>0</v>
      </c>
      <c r="G73" s="23">
        <v>0</v>
      </c>
      <c r="H73" s="74">
        <v>2</v>
      </c>
      <c r="I73" s="498"/>
      <c r="J73" s="92" t="s">
        <v>42</v>
      </c>
      <c r="K73" s="10">
        <f t="shared" si="3"/>
        <v>2</v>
      </c>
      <c r="L73" s="1292"/>
      <c r="M73" s="1292"/>
      <c r="N73" s="70"/>
    </row>
    <row r="74" spans="1:14" ht="15" customHeight="1">
      <c r="A74" s="93" t="s">
        <v>144</v>
      </c>
      <c r="B74" s="94" t="s">
        <v>24</v>
      </c>
      <c r="C74" s="95" t="s">
        <v>147</v>
      </c>
      <c r="D74" s="19">
        <v>1995</v>
      </c>
      <c r="E74" s="19">
        <v>1751</v>
      </c>
      <c r="F74" s="19">
        <v>1817</v>
      </c>
      <c r="G74" s="8">
        <v>3264</v>
      </c>
      <c r="H74" s="74">
        <v>5040</v>
      </c>
      <c r="I74" s="498"/>
      <c r="J74" s="9">
        <f t="shared" si="2"/>
        <v>252.63157894736841</v>
      </c>
      <c r="K74" s="10">
        <f t="shared" si="3"/>
        <v>3045</v>
      </c>
      <c r="L74" s="1292"/>
      <c r="M74" s="1292"/>
      <c r="N74" s="70"/>
    </row>
    <row r="75" spans="1:14" ht="15" customHeight="1">
      <c r="A75" s="93" t="s">
        <v>144</v>
      </c>
      <c r="B75" s="94" t="s">
        <v>52</v>
      </c>
      <c r="C75" s="95" t="s">
        <v>148</v>
      </c>
      <c r="D75" s="19">
        <v>695</v>
      </c>
      <c r="E75" s="19">
        <v>0</v>
      </c>
      <c r="F75" s="19">
        <v>30</v>
      </c>
      <c r="G75" s="8">
        <v>17394</v>
      </c>
      <c r="H75" s="74">
        <v>18809</v>
      </c>
      <c r="I75" s="498"/>
      <c r="J75" s="9">
        <f t="shared" si="2"/>
        <v>2706.3309352517986</v>
      </c>
      <c r="K75" s="10">
        <f t="shared" si="3"/>
        <v>18114</v>
      </c>
      <c r="L75" s="1292"/>
      <c r="M75" s="1292"/>
      <c r="N75" s="70"/>
    </row>
    <row r="76" spans="1:14" ht="15" customHeight="1">
      <c r="A76" s="71" t="s">
        <v>144</v>
      </c>
      <c r="B76" s="72" t="s">
        <v>129</v>
      </c>
      <c r="C76" s="75" t="s">
        <v>149</v>
      </c>
      <c r="D76" s="19">
        <v>49437</v>
      </c>
      <c r="E76" s="19">
        <v>36891</v>
      </c>
      <c r="F76" s="19">
        <v>29830</v>
      </c>
      <c r="G76" s="8">
        <v>9804</v>
      </c>
      <c r="H76" s="74">
        <v>40428</v>
      </c>
      <c r="I76" s="498"/>
      <c r="J76" s="9">
        <f t="shared" si="2"/>
        <v>81.776806845075555</v>
      </c>
      <c r="K76" s="10">
        <f t="shared" si="3"/>
        <v>-9009</v>
      </c>
      <c r="L76" s="1292"/>
      <c r="M76" s="1292"/>
      <c r="N76" s="70"/>
    </row>
    <row r="77" spans="1:14" ht="15" customHeight="1">
      <c r="A77" s="71" t="s">
        <v>144</v>
      </c>
      <c r="B77" s="72" t="s">
        <v>150</v>
      </c>
      <c r="C77" s="75" t="s">
        <v>151</v>
      </c>
      <c r="D77" s="19">
        <v>37714</v>
      </c>
      <c r="E77" s="19">
        <v>45553</v>
      </c>
      <c r="F77" s="19">
        <v>46724</v>
      </c>
      <c r="G77" s="8">
        <v>670</v>
      </c>
      <c r="H77" s="74">
        <v>624</v>
      </c>
      <c r="I77" s="498"/>
      <c r="J77" s="9">
        <f t="shared" si="2"/>
        <v>1.6545579890756748</v>
      </c>
      <c r="K77" s="10">
        <f t="shared" si="3"/>
        <v>-37090</v>
      </c>
      <c r="L77" s="1292"/>
      <c r="M77" s="1292"/>
      <c r="N77" s="70"/>
    </row>
    <row r="78" spans="1:14" ht="15" customHeight="1">
      <c r="A78" s="71" t="s">
        <v>144</v>
      </c>
      <c r="B78" s="72" t="s">
        <v>152</v>
      </c>
      <c r="C78" s="75" t="s">
        <v>153</v>
      </c>
      <c r="D78" s="19">
        <v>9043</v>
      </c>
      <c r="E78" s="19">
        <v>14810</v>
      </c>
      <c r="F78" s="19">
        <v>13885</v>
      </c>
      <c r="G78" s="8">
        <v>50030</v>
      </c>
      <c r="H78" s="74">
        <v>50546</v>
      </c>
      <c r="I78" s="498"/>
      <c r="J78" s="9">
        <f t="shared" si="2"/>
        <v>558.9516753289837</v>
      </c>
      <c r="K78" s="10">
        <f t="shared" si="3"/>
        <v>41503</v>
      </c>
      <c r="L78" s="1292"/>
      <c r="M78" s="1292"/>
      <c r="N78" s="70"/>
    </row>
    <row r="79" spans="1:14" ht="15" customHeight="1">
      <c r="A79" s="77" t="s">
        <v>144</v>
      </c>
      <c r="B79" s="78" t="s">
        <v>154</v>
      </c>
      <c r="C79" s="75" t="s">
        <v>155</v>
      </c>
      <c r="D79" s="19">
        <v>2725</v>
      </c>
      <c r="E79" s="19">
        <v>3466</v>
      </c>
      <c r="F79" s="19">
        <v>4303</v>
      </c>
      <c r="G79" s="8">
        <v>18402</v>
      </c>
      <c r="H79" s="74">
        <v>23903</v>
      </c>
      <c r="I79" s="498"/>
      <c r="J79" s="9">
        <f t="shared" si="2"/>
        <v>877.17431192660558</v>
      </c>
      <c r="K79" s="10">
        <f t="shared" si="3"/>
        <v>21178</v>
      </c>
      <c r="L79" s="1292"/>
      <c r="M79" s="1292"/>
      <c r="N79" s="70"/>
    </row>
    <row r="80" spans="1:14" ht="15" customHeight="1">
      <c r="A80" s="71" t="s">
        <v>144</v>
      </c>
      <c r="B80" s="72" t="s">
        <v>71</v>
      </c>
      <c r="C80" s="97" t="s">
        <v>156</v>
      </c>
      <c r="D80" s="19">
        <v>128379</v>
      </c>
      <c r="E80" s="19">
        <v>108515</v>
      </c>
      <c r="F80" s="19">
        <v>82149</v>
      </c>
      <c r="G80" s="8">
        <v>94912</v>
      </c>
      <c r="H80" s="74">
        <v>92808</v>
      </c>
      <c r="I80" s="498"/>
      <c r="J80" s="9">
        <f t="shared" si="2"/>
        <v>72.292197321991907</v>
      </c>
      <c r="K80" s="10">
        <f t="shared" si="3"/>
        <v>-35571</v>
      </c>
      <c r="L80" s="1292"/>
      <c r="M80" s="1292"/>
      <c r="N80" s="70"/>
    </row>
    <row r="81" spans="1:15" ht="15" customHeight="1">
      <c r="A81" s="87" t="s">
        <v>157</v>
      </c>
      <c r="B81" s="88" t="s">
        <v>29</v>
      </c>
      <c r="C81" s="89" t="s">
        <v>158</v>
      </c>
      <c r="D81" s="25">
        <v>3175</v>
      </c>
      <c r="E81" s="25">
        <v>29800</v>
      </c>
      <c r="F81" s="25">
        <v>28408</v>
      </c>
      <c r="G81" s="4">
        <v>26689</v>
      </c>
      <c r="H81" s="69">
        <v>20828</v>
      </c>
      <c r="I81" s="497"/>
      <c r="J81" s="5">
        <f t="shared" si="2"/>
        <v>656</v>
      </c>
      <c r="K81" s="6">
        <f t="shared" si="3"/>
        <v>17653</v>
      </c>
      <c r="L81" s="1292"/>
      <c r="M81" s="1292"/>
      <c r="N81" s="70"/>
    </row>
    <row r="82" spans="1:15" ht="15" customHeight="1">
      <c r="A82" s="93" t="s">
        <v>157</v>
      </c>
      <c r="B82" s="94" t="s">
        <v>24</v>
      </c>
      <c r="C82" s="95" t="s">
        <v>159</v>
      </c>
      <c r="D82" s="19">
        <v>352</v>
      </c>
      <c r="E82" s="19">
        <v>5308</v>
      </c>
      <c r="F82" s="19">
        <v>2746</v>
      </c>
      <c r="G82" s="8">
        <v>2827</v>
      </c>
      <c r="H82" s="74">
        <v>3120</v>
      </c>
      <c r="I82" s="498"/>
      <c r="J82" s="9">
        <f t="shared" si="2"/>
        <v>886.36363636363637</v>
      </c>
      <c r="K82" s="10">
        <f t="shared" si="3"/>
        <v>2768</v>
      </c>
      <c r="L82" s="1292"/>
      <c r="M82" s="1292"/>
      <c r="N82" s="70"/>
    </row>
    <row r="83" spans="1:15" ht="15" customHeight="1">
      <c r="A83" s="93" t="s">
        <v>157</v>
      </c>
      <c r="B83" s="94" t="s">
        <v>52</v>
      </c>
      <c r="C83" s="95" t="s">
        <v>160</v>
      </c>
      <c r="D83" s="19">
        <v>54799</v>
      </c>
      <c r="E83" s="19">
        <v>78565</v>
      </c>
      <c r="F83" s="19">
        <v>149872</v>
      </c>
      <c r="G83" s="8">
        <v>175801</v>
      </c>
      <c r="H83" s="74">
        <v>225998</v>
      </c>
      <c r="I83" s="498"/>
      <c r="J83" s="9">
        <f t="shared" si="2"/>
        <v>412.41263526706689</v>
      </c>
      <c r="K83" s="10">
        <f t="shared" si="3"/>
        <v>171199</v>
      </c>
      <c r="L83" s="1292"/>
      <c r="M83" s="1292"/>
      <c r="N83" s="70"/>
    </row>
    <row r="84" spans="1:15" ht="15" customHeight="1">
      <c r="A84" s="79" t="s">
        <v>157</v>
      </c>
      <c r="B84" s="80" t="s">
        <v>59</v>
      </c>
      <c r="C84" s="96" t="s">
        <v>161</v>
      </c>
      <c r="D84" s="24">
        <v>98827</v>
      </c>
      <c r="E84" s="24">
        <v>73020</v>
      </c>
      <c r="F84" s="24">
        <v>70910</v>
      </c>
      <c r="G84" s="12">
        <v>144375</v>
      </c>
      <c r="H84" s="82">
        <v>122611</v>
      </c>
      <c r="I84" s="500"/>
      <c r="J84" s="13">
        <f t="shared" si="2"/>
        <v>124.06629767168891</v>
      </c>
      <c r="K84" s="14">
        <f t="shared" si="3"/>
        <v>23784</v>
      </c>
      <c r="L84" s="1292"/>
      <c r="M84" s="1292"/>
      <c r="N84" s="70"/>
    </row>
    <row r="85" spans="1:15" ht="15" customHeight="1">
      <c r="A85" s="77" t="s">
        <v>162</v>
      </c>
      <c r="B85" s="78" t="s">
        <v>29</v>
      </c>
      <c r="C85" s="73" t="s">
        <v>163</v>
      </c>
      <c r="D85" s="19">
        <v>272000</v>
      </c>
      <c r="E85" s="19">
        <v>212971</v>
      </c>
      <c r="F85" s="19">
        <v>117359</v>
      </c>
      <c r="G85" s="8">
        <v>107713</v>
      </c>
      <c r="H85" s="74">
        <v>115974</v>
      </c>
      <c r="I85" s="498"/>
      <c r="J85" s="9">
        <f t="shared" si="2"/>
        <v>42.637500000000003</v>
      </c>
      <c r="K85" s="10">
        <f t="shared" si="3"/>
        <v>-156026</v>
      </c>
      <c r="L85" s="1292"/>
      <c r="M85" s="1292"/>
      <c r="N85" s="70"/>
    </row>
    <row r="86" spans="1:15" ht="15" customHeight="1">
      <c r="A86" s="71" t="s">
        <v>162</v>
      </c>
      <c r="B86" s="72" t="s">
        <v>24</v>
      </c>
      <c r="C86" s="95" t="s">
        <v>164</v>
      </c>
      <c r="D86" s="19">
        <v>253296</v>
      </c>
      <c r="E86" s="19">
        <v>255568</v>
      </c>
      <c r="F86" s="19">
        <v>185666</v>
      </c>
      <c r="G86" s="8">
        <v>119038</v>
      </c>
      <c r="H86" s="74">
        <v>58441</v>
      </c>
      <c r="I86" s="498"/>
      <c r="J86" s="9">
        <f t="shared" si="2"/>
        <v>23.072215905501864</v>
      </c>
      <c r="K86" s="10">
        <f t="shared" si="3"/>
        <v>-194855</v>
      </c>
      <c r="L86" s="1292"/>
      <c r="M86" s="1292"/>
      <c r="N86" s="70"/>
    </row>
    <row r="87" spans="1:15" ht="15" customHeight="1">
      <c r="A87" s="93" t="s">
        <v>162</v>
      </c>
      <c r="B87" s="94" t="s">
        <v>67</v>
      </c>
      <c r="C87" s="95" t="s">
        <v>165</v>
      </c>
      <c r="D87" s="19">
        <v>6988</v>
      </c>
      <c r="E87" s="19">
        <v>1265</v>
      </c>
      <c r="F87" s="19">
        <v>299</v>
      </c>
      <c r="G87" s="8">
        <v>97</v>
      </c>
      <c r="H87" s="74">
        <v>297</v>
      </c>
      <c r="I87" s="498"/>
      <c r="J87" s="9">
        <f t="shared" si="2"/>
        <v>4.2501431024613625</v>
      </c>
      <c r="K87" s="10">
        <f t="shared" si="3"/>
        <v>-6691</v>
      </c>
      <c r="L87" s="1292"/>
      <c r="M87" s="1292"/>
      <c r="N87" s="70"/>
    </row>
    <row r="88" spans="1:15" ht="15" customHeight="1">
      <c r="A88" s="71" t="s">
        <v>162</v>
      </c>
      <c r="B88" s="72" t="s">
        <v>59</v>
      </c>
      <c r="C88" s="97" t="s">
        <v>166</v>
      </c>
      <c r="D88" s="19">
        <v>16381</v>
      </c>
      <c r="E88" s="19">
        <v>15714</v>
      </c>
      <c r="F88" s="19">
        <v>27531</v>
      </c>
      <c r="G88" s="8">
        <v>47556</v>
      </c>
      <c r="H88" s="74">
        <v>35354</v>
      </c>
      <c r="I88" s="498"/>
      <c r="J88" s="9">
        <f t="shared" si="2"/>
        <v>215.82320981625051</v>
      </c>
      <c r="K88" s="10">
        <f t="shared" si="3"/>
        <v>18973</v>
      </c>
      <c r="L88" s="1292"/>
      <c r="M88" s="1292"/>
      <c r="N88" s="70"/>
    </row>
    <row r="89" spans="1:15" ht="15" customHeight="1">
      <c r="A89" s="87" t="s">
        <v>167</v>
      </c>
      <c r="B89" s="88" t="s">
        <v>29</v>
      </c>
      <c r="C89" s="89" t="s">
        <v>168</v>
      </c>
      <c r="D89" s="25">
        <v>43727</v>
      </c>
      <c r="E89" s="25">
        <v>90047</v>
      </c>
      <c r="F89" s="25">
        <v>86632</v>
      </c>
      <c r="G89" s="4">
        <v>38001</v>
      </c>
      <c r="H89" s="69">
        <v>52909</v>
      </c>
      <c r="I89" s="497"/>
      <c r="J89" s="5">
        <f t="shared" si="2"/>
        <v>120.99846776591123</v>
      </c>
      <c r="K89" s="6">
        <f t="shared" si="3"/>
        <v>9182</v>
      </c>
      <c r="L89" s="1292"/>
      <c r="M89" s="1292"/>
      <c r="N89" s="70"/>
    </row>
    <row r="90" spans="1:15" ht="15" customHeight="1">
      <c r="A90" s="93" t="s">
        <v>167</v>
      </c>
      <c r="B90" s="94" t="s">
        <v>24</v>
      </c>
      <c r="C90" s="95" t="s">
        <v>169</v>
      </c>
      <c r="D90" s="19">
        <v>61126</v>
      </c>
      <c r="E90" s="19">
        <v>139257</v>
      </c>
      <c r="F90" s="19">
        <v>172938</v>
      </c>
      <c r="G90" s="8">
        <v>82885</v>
      </c>
      <c r="H90" s="74">
        <v>66168</v>
      </c>
      <c r="I90" s="498">
        <f>'CT2015'!L527</f>
        <v>2851</v>
      </c>
      <c r="J90" s="9">
        <f t="shared" si="2"/>
        <v>108.24853581127508</v>
      </c>
      <c r="K90" s="10">
        <f t="shared" si="3"/>
        <v>5042</v>
      </c>
      <c r="L90" s="1292">
        <f>SUM('CT2020'!T552:T557)</f>
        <v>9045</v>
      </c>
      <c r="M90" s="1292">
        <f>L90-I90</f>
        <v>6194</v>
      </c>
      <c r="N90" s="70"/>
      <c r="O90" s="1486">
        <f>M90/I90*100</f>
        <v>217.25710277095754</v>
      </c>
    </row>
    <row r="91" spans="1:15" ht="15" customHeight="1">
      <c r="A91" s="79" t="s">
        <v>167</v>
      </c>
      <c r="B91" s="80" t="s">
        <v>52</v>
      </c>
      <c r="C91" s="96" t="s">
        <v>170</v>
      </c>
      <c r="D91" s="24">
        <v>1201</v>
      </c>
      <c r="E91" s="24">
        <v>1291</v>
      </c>
      <c r="F91" s="24">
        <v>1330</v>
      </c>
      <c r="G91" s="12">
        <v>817</v>
      </c>
      <c r="H91" s="82">
        <v>2005</v>
      </c>
      <c r="I91" s="500"/>
      <c r="J91" s="13">
        <f t="shared" si="2"/>
        <v>166.94421315570358</v>
      </c>
      <c r="K91" s="14">
        <f t="shared" si="3"/>
        <v>804</v>
      </c>
      <c r="L91" s="1292"/>
      <c r="M91" s="1292"/>
      <c r="N91" s="70"/>
    </row>
    <row r="92" spans="1:15" ht="15" customHeight="1">
      <c r="A92" s="77" t="s">
        <v>171</v>
      </c>
      <c r="B92" s="78" t="s">
        <v>29</v>
      </c>
      <c r="C92" s="73" t="s">
        <v>172</v>
      </c>
      <c r="D92" s="19">
        <v>45482</v>
      </c>
      <c r="E92" s="19">
        <v>58506</v>
      </c>
      <c r="F92" s="19">
        <v>43702</v>
      </c>
      <c r="G92" s="8">
        <v>48666</v>
      </c>
      <c r="H92" s="74">
        <v>56148</v>
      </c>
      <c r="I92" s="498"/>
      <c r="J92" s="9">
        <f t="shared" si="2"/>
        <v>123.451035574513</v>
      </c>
      <c r="K92" s="10">
        <f t="shared" si="3"/>
        <v>10666</v>
      </c>
      <c r="L92" s="1292"/>
      <c r="M92" s="1292"/>
      <c r="N92" s="70"/>
    </row>
    <row r="93" spans="1:15" ht="15" customHeight="1">
      <c r="A93" s="71" t="s">
        <v>171</v>
      </c>
      <c r="B93" s="72" t="s">
        <v>24</v>
      </c>
      <c r="C93" s="97" t="s">
        <v>173</v>
      </c>
      <c r="D93" s="19">
        <v>1198</v>
      </c>
      <c r="E93" s="19">
        <v>3378</v>
      </c>
      <c r="F93" s="19">
        <v>5829</v>
      </c>
      <c r="G93" s="8">
        <v>1426</v>
      </c>
      <c r="H93" s="74">
        <v>1737</v>
      </c>
      <c r="I93" s="498"/>
      <c r="J93" s="9">
        <f t="shared" si="2"/>
        <v>144.99165275459097</v>
      </c>
      <c r="K93" s="10">
        <f t="shared" si="3"/>
        <v>539</v>
      </c>
      <c r="L93" s="1292"/>
      <c r="M93" s="1292"/>
      <c r="N93" s="70"/>
    </row>
    <row r="94" spans="1:15" ht="15" customHeight="1">
      <c r="A94" s="83" t="s">
        <v>174</v>
      </c>
      <c r="B94" s="84" t="s">
        <v>29</v>
      </c>
      <c r="C94" s="85" t="s">
        <v>175</v>
      </c>
      <c r="D94" s="27">
        <v>0</v>
      </c>
      <c r="E94" s="27">
        <v>0</v>
      </c>
      <c r="F94" s="27">
        <v>0</v>
      </c>
      <c r="G94" s="28">
        <v>0</v>
      </c>
      <c r="H94" s="105">
        <v>0</v>
      </c>
      <c r="I94" s="504"/>
      <c r="J94" s="106" t="s">
        <v>42</v>
      </c>
      <c r="K94" s="18">
        <f t="shared" si="3"/>
        <v>0</v>
      </c>
      <c r="L94" s="14"/>
      <c r="M94" s="14"/>
      <c r="N94" s="65"/>
    </row>
    <row r="95" spans="1:15" ht="15" customHeight="1">
      <c r="A95" s="66" t="s">
        <v>176</v>
      </c>
      <c r="B95" s="67" t="s">
        <v>29</v>
      </c>
      <c r="C95" s="68" t="s">
        <v>177</v>
      </c>
      <c r="D95" s="25">
        <v>13657</v>
      </c>
      <c r="E95" s="25">
        <v>9975</v>
      </c>
      <c r="F95" s="25">
        <v>3458</v>
      </c>
      <c r="G95" s="4">
        <v>2715</v>
      </c>
      <c r="H95" s="69">
        <v>2219</v>
      </c>
      <c r="I95" s="497"/>
      <c r="J95" s="5">
        <f t="shared" si="2"/>
        <v>16.248077908764735</v>
      </c>
      <c r="K95" s="10">
        <f t="shared" si="3"/>
        <v>-11438</v>
      </c>
      <c r="L95" s="1292"/>
      <c r="M95" s="1292"/>
      <c r="N95" s="70" t="s">
        <v>178</v>
      </c>
    </row>
    <row r="96" spans="1:15" ht="15" customHeight="1">
      <c r="A96" s="87" t="s">
        <v>179</v>
      </c>
      <c r="B96" s="88" t="s">
        <v>29</v>
      </c>
      <c r="C96" s="89" t="s">
        <v>180</v>
      </c>
      <c r="D96" s="25">
        <v>29771</v>
      </c>
      <c r="E96" s="25">
        <v>9215</v>
      </c>
      <c r="F96" s="25">
        <v>2110</v>
      </c>
      <c r="G96" s="4">
        <v>2295</v>
      </c>
      <c r="H96" s="69">
        <v>2342</v>
      </c>
      <c r="I96" s="497"/>
      <c r="J96" s="5">
        <f t="shared" si="2"/>
        <v>7.8667159316112993</v>
      </c>
      <c r="K96" s="6">
        <f t="shared" si="3"/>
        <v>-27429</v>
      </c>
      <c r="L96" s="1292"/>
      <c r="M96" s="1292"/>
      <c r="N96" s="70"/>
    </row>
    <row r="97" spans="1:15" ht="15" customHeight="1">
      <c r="A97" s="93" t="s">
        <v>179</v>
      </c>
      <c r="B97" s="94" t="s">
        <v>24</v>
      </c>
      <c r="C97" s="95" t="s">
        <v>181</v>
      </c>
      <c r="D97" s="19">
        <v>1489</v>
      </c>
      <c r="E97" s="19">
        <v>411</v>
      </c>
      <c r="F97" s="19">
        <v>85</v>
      </c>
      <c r="G97" s="8">
        <v>34</v>
      </c>
      <c r="H97" s="74">
        <v>0</v>
      </c>
      <c r="I97" s="498"/>
      <c r="J97" s="9">
        <f t="shared" si="2"/>
        <v>0</v>
      </c>
      <c r="K97" s="10">
        <f t="shared" si="3"/>
        <v>-1489</v>
      </c>
      <c r="L97" s="1292"/>
      <c r="M97" s="1292"/>
      <c r="N97" s="70"/>
    </row>
    <row r="98" spans="1:15" ht="15" customHeight="1">
      <c r="A98" s="79" t="s">
        <v>179</v>
      </c>
      <c r="B98" s="80" t="s">
        <v>47</v>
      </c>
      <c r="C98" s="96" t="s">
        <v>182</v>
      </c>
      <c r="D98" s="24">
        <v>20292</v>
      </c>
      <c r="E98" s="24">
        <v>20870</v>
      </c>
      <c r="F98" s="24">
        <v>10316</v>
      </c>
      <c r="G98" s="12">
        <v>11695</v>
      </c>
      <c r="H98" s="82">
        <v>10841</v>
      </c>
      <c r="I98" s="500"/>
      <c r="J98" s="13">
        <f t="shared" si="2"/>
        <v>53.424995071949532</v>
      </c>
      <c r="K98" s="14">
        <f t="shared" si="3"/>
        <v>-9451</v>
      </c>
      <c r="L98" s="1292"/>
      <c r="M98" s="1292"/>
      <c r="N98" s="70"/>
    </row>
    <row r="99" spans="1:15" ht="15" customHeight="1">
      <c r="A99" s="83" t="s">
        <v>183</v>
      </c>
      <c r="B99" s="84" t="s">
        <v>29</v>
      </c>
      <c r="C99" s="85" t="s">
        <v>184</v>
      </c>
      <c r="D99" s="26">
        <v>1640</v>
      </c>
      <c r="E99" s="26">
        <v>1881</v>
      </c>
      <c r="F99" s="26">
        <v>504</v>
      </c>
      <c r="G99" s="16">
        <v>121</v>
      </c>
      <c r="H99" s="86">
        <v>0</v>
      </c>
      <c r="I99" s="501"/>
      <c r="J99" s="17">
        <f t="shared" si="2"/>
        <v>0</v>
      </c>
      <c r="K99" s="18">
        <f t="shared" si="3"/>
        <v>-1640</v>
      </c>
      <c r="L99" s="1292"/>
      <c r="M99" s="1292"/>
      <c r="N99" s="70"/>
    </row>
    <row r="100" spans="1:15" ht="15" customHeight="1">
      <c r="A100" s="71" t="s">
        <v>185</v>
      </c>
      <c r="B100" s="72" t="s">
        <v>29</v>
      </c>
      <c r="C100" s="75" t="s">
        <v>186</v>
      </c>
      <c r="D100" s="19">
        <v>25610</v>
      </c>
      <c r="E100" s="19">
        <v>21538</v>
      </c>
      <c r="F100" s="19">
        <v>14563</v>
      </c>
      <c r="G100" s="8">
        <v>2962</v>
      </c>
      <c r="H100" s="74">
        <v>2593</v>
      </c>
      <c r="I100" s="498"/>
      <c r="J100" s="9">
        <f t="shared" si="2"/>
        <v>10.124951190941038</v>
      </c>
      <c r="K100" s="10">
        <f t="shared" si="3"/>
        <v>-23017</v>
      </c>
      <c r="L100" s="1292"/>
      <c r="M100" s="1292"/>
      <c r="N100" s="70"/>
    </row>
    <row r="101" spans="1:15" ht="15" customHeight="1">
      <c r="A101" s="66" t="s">
        <v>187</v>
      </c>
      <c r="B101" s="98" t="s">
        <v>102</v>
      </c>
      <c r="C101" s="68" t="s">
        <v>188</v>
      </c>
      <c r="D101" s="25">
        <v>1996</v>
      </c>
      <c r="E101" s="25">
        <v>1612</v>
      </c>
      <c r="F101" s="25">
        <v>718</v>
      </c>
      <c r="G101" s="4">
        <v>909</v>
      </c>
      <c r="H101" s="69">
        <v>465</v>
      </c>
      <c r="I101" s="497"/>
      <c r="J101" s="5">
        <f t="shared" si="2"/>
        <v>23.296593186372746</v>
      </c>
      <c r="K101" s="6">
        <f t="shared" si="3"/>
        <v>-1531</v>
      </c>
      <c r="L101" s="1292"/>
      <c r="M101" s="1292"/>
      <c r="N101" s="70"/>
    </row>
    <row r="102" spans="1:15" ht="15" customHeight="1">
      <c r="A102" s="79" t="s">
        <v>187</v>
      </c>
      <c r="B102" s="80" t="s">
        <v>59</v>
      </c>
      <c r="C102" s="81" t="s">
        <v>189</v>
      </c>
      <c r="D102" s="107">
        <v>29833</v>
      </c>
      <c r="E102" s="107">
        <v>30948</v>
      </c>
      <c r="F102" s="107">
        <v>22551</v>
      </c>
      <c r="G102" s="12">
        <v>14285</v>
      </c>
      <c r="H102" s="82">
        <v>14500</v>
      </c>
      <c r="I102" s="500"/>
      <c r="J102" s="13">
        <f t="shared" si="2"/>
        <v>48.603895015586765</v>
      </c>
      <c r="K102" s="14">
        <f t="shared" si="3"/>
        <v>-15333</v>
      </c>
      <c r="L102" s="1292"/>
      <c r="M102" s="1292"/>
      <c r="N102" s="70"/>
    </row>
    <row r="103" spans="1:15" ht="15" customHeight="1">
      <c r="A103" s="77" t="s">
        <v>190</v>
      </c>
      <c r="B103" s="78" t="s">
        <v>29</v>
      </c>
      <c r="C103" s="73" t="s">
        <v>191</v>
      </c>
      <c r="D103" s="19">
        <v>71013</v>
      </c>
      <c r="E103" s="19">
        <v>42170</v>
      </c>
      <c r="F103" s="19">
        <v>10159</v>
      </c>
      <c r="G103" s="8">
        <v>12332</v>
      </c>
      <c r="H103" s="74">
        <v>4997</v>
      </c>
      <c r="I103" s="498">
        <f>'CT2015'!L560</f>
        <v>259.84399999999999</v>
      </c>
      <c r="J103" s="9">
        <f t="shared" si="2"/>
        <v>7.036739751876417</v>
      </c>
      <c r="K103" s="10">
        <f t="shared" si="3"/>
        <v>-66016</v>
      </c>
      <c r="L103" s="1292">
        <f>'CT2020'!T618</f>
        <v>443</v>
      </c>
      <c r="M103" s="1292">
        <f>L103-I103</f>
        <v>183.15600000000001</v>
      </c>
      <c r="N103" s="70"/>
      <c r="O103" s="1486">
        <f>M103/I103*100</f>
        <v>70.486907529132864</v>
      </c>
    </row>
    <row r="104" spans="1:15" ht="15" customHeight="1">
      <c r="A104" s="71" t="s">
        <v>190</v>
      </c>
      <c r="B104" s="72" t="s">
        <v>65</v>
      </c>
      <c r="C104" s="97" t="s">
        <v>192</v>
      </c>
      <c r="D104" s="19">
        <v>44017</v>
      </c>
      <c r="E104" s="19">
        <v>28068</v>
      </c>
      <c r="F104" s="19">
        <v>24487</v>
      </c>
      <c r="G104" s="8">
        <v>9232</v>
      </c>
      <c r="H104" s="74">
        <v>12308</v>
      </c>
      <c r="I104" s="498">
        <f>'CT2015'!L561</f>
        <v>640.01600000000008</v>
      </c>
      <c r="J104" s="9">
        <f t="shared" si="2"/>
        <v>27.961923802167345</v>
      </c>
      <c r="K104" s="10">
        <f t="shared" si="3"/>
        <v>-31709</v>
      </c>
      <c r="L104" s="1292">
        <f>'CT2020'!T622</f>
        <v>425</v>
      </c>
      <c r="M104" s="1292">
        <f t="shared" ref="M104:M105" si="4">L104-I104</f>
        <v>-215.01600000000008</v>
      </c>
      <c r="N104" s="70"/>
      <c r="O104" s="1486">
        <f>M104/I104*100</f>
        <v>-33.595410114747139</v>
      </c>
    </row>
    <row r="105" spans="1:15" ht="15" customHeight="1">
      <c r="A105" s="83" t="s">
        <v>193</v>
      </c>
      <c r="B105" s="84" t="s">
        <v>47</v>
      </c>
      <c r="C105" s="85" t="s">
        <v>194</v>
      </c>
      <c r="D105" s="26">
        <v>37223</v>
      </c>
      <c r="E105" s="26">
        <v>31951</v>
      </c>
      <c r="F105" s="26">
        <v>19432</v>
      </c>
      <c r="G105" s="16">
        <v>9667</v>
      </c>
      <c r="H105" s="86">
        <v>8018</v>
      </c>
      <c r="I105" s="501">
        <f>'CT2015'!L562</f>
        <v>416.93599999999998</v>
      </c>
      <c r="J105" s="17">
        <f t="shared" si="2"/>
        <v>21.540445423528464</v>
      </c>
      <c r="K105" s="18">
        <f t="shared" si="3"/>
        <v>-29205</v>
      </c>
      <c r="L105" s="1292">
        <f>'CT2020'!T626</f>
        <v>387</v>
      </c>
      <c r="M105" s="1292">
        <f t="shared" si="4"/>
        <v>-29.935999999999979</v>
      </c>
      <c r="N105" s="70"/>
      <c r="O105" s="1486">
        <f>M105/I105*100</f>
        <v>-7.1799988487441668</v>
      </c>
    </row>
    <row r="106" spans="1:15" ht="15" customHeight="1">
      <c r="A106" s="77" t="s">
        <v>195</v>
      </c>
      <c r="B106" s="78" t="s">
        <v>29</v>
      </c>
      <c r="C106" s="73" t="s">
        <v>196</v>
      </c>
      <c r="D106" s="19">
        <v>8339</v>
      </c>
      <c r="E106" s="19">
        <v>4703</v>
      </c>
      <c r="F106" s="19">
        <v>4792</v>
      </c>
      <c r="G106" s="8">
        <v>5008</v>
      </c>
      <c r="H106" s="74">
        <v>5142</v>
      </c>
      <c r="I106" s="498"/>
      <c r="J106" s="9">
        <f t="shared" si="2"/>
        <v>61.662069792541075</v>
      </c>
      <c r="K106" s="10">
        <f t="shared" si="3"/>
        <v>-3197</v>
      </c>
      <c r="L106" s="1292"/>
      <c r="M106" s="1292"/>
      <c r="N106" s="70"/>
    </row>
    <row r="107" spans="1:15" ht="15" customHeight="1">
      <c r="A107" s="93" t="s">
        <v>197</v>
      </c>
      <c r="B107" s="94" t="s">
        <v>24</v>
      </c>
      <c r="C107" s="95" t="s">
        <v>198</v>
      </c>
      <c r="D107" s="19">
        <v>13363</v>
      </c>
      <c r="E107" s="19">
        <v>14093</v>
      </c>
      <c r="F107" s="19">
        <v>12154</v>
      </c>
      <c r="G107" s="8">
        <v>11206</v>
      </c>
      <c r="H107" s="74">
        <v>7223</v>
      </c>
      <c r="I107" s="498"/>
      <c r="J107" s="9">
        <f t="shared" si="2"/>
        <v>54.052233779839852</v>
      </c>
      <c r="K107" s="10">
        <f t="shared" si="3"/>
        <v>-6140</v>
      </c>
      <c r="L107" s="1292"/>
      <c r="M107" s="1292"/>
      <c r="N107" s="70"/>
    </row>
    <row r="108" spans="1:15" ht="15" customHeight="1">
      <c r="A108" s="71" t="s">
        <v>197</v>
      </c>
      <c r="B108" s="72" t="s">
        <v>102</v>
      </c>
      <c r="C108" s="75" t="s">
        <v>199</v>
      </c>
      <c r="D108" s="19">
        <v>783</v>
      </c>
      <c r="E108" s="19">
        <v>207</v>
      </c>
      <c r="F108" s="19">
        <v>562</v>
      </c>
      <c r="G108" s="8">
        <v>146</v>
      </c>
      <c r="H108" s="74">
        <v>177</v>
      </c>
      <c r="I108" s="498"/>
      <c r="J108" s="9">
        <f t="shared" si="2"/>
        <v>22.60536398467433</v>
      </c>
      <c r="K108" s="10">
        <f t="shared" si="3"/>
        <v>-606</v>
      </c>
      <c r="L108" s="1292"/>
      <c r="M108" s="1292"/>
      <c r="N108" s="70"/>
    </row>
    <row r="109" spans="1:15" ht="15" customHeight="1">
      <c r="A109" s="79" t="s">
        <v>195</v>
      </c>
      <c r="B109" s="80" t="s">
        <v>59</v>
      </c>
      <c r="C109" s="81" t="s">
        <v>200</v>
      </c>
      <c r="D109" s="24">
        <v>21271</v>
      </c>
      <c r="E109" s="24">
        <v>15533</v>
      </c>
      <c r="F109" s="24">
        <v>8784</v>
      </c>
      <c r="G109" s="12">
        <v>10397</v>
      </c>
      <c r="H109" s="82">
        <v>9890</v>
      </c>
      <c r="I109" s="500"/>
      <c r="J109" s="13">
        <f t="shared" si="2"/>
        <v>46.495228245028443</v>
      </c>
      <c r="K109" s="10">
        <f t="shared" si="3"/>
        <v>-11381</v>
      </c>
      <c r="L109" s="1292"/>
      <c r="M109" s="1292"/>
      <c r="N109" s="65"/>
    </row>
    <row r="110" spans="1:15" ht="15" customHeight="1">
      <c r="A110" s="77" t="s">
        <v>201</v>
      </c>
      <c r="B110" s="78" t="s">
        <v>29</v>
      </c>
      <c r="C110" s="73" t="s">
        <v>202</v>
      </c>
      <c r="D110" s="19">
        <v>28958</v>
      </c>
      <c r="E110" s="19">
        <v>17155</v>
      </c>
      <c r="F110" s="19">
        <v>5630</v>
      </c>
      <c r="G110" s="8">
        <v>12434</v>
      </c>
      <c r="H110" s="74">
        <v>9635</v>
      </c>
      <c r="I110" s="498"/>
      <c r="J110" s="9">
        <f t="shared" si="2"/>
        <v>33.272325436839559</v>
      </c>
      <c r="K110" s="6">
        <f t="shared" si="3"/>
        <v>-19323</v>
      </c>
      <c r="L110" s="1292"/>
      <c r="M110" s="1292"/>
      <c r="N110" s="70" t="s">
        <v>203</v>
      </c>
    </row>
    <row r="111" spans="1:15" ht="15" customHeight="1">
      <c r="A111" s="93" t="s">
        <v>201</v>
      </c>
      <c r="B111" s="94" t="s">
        <v>24</v>
      </c>
      <c r="C111" s="95" t="s">
        <v>204</v>
      </c>
      <c r="D111" s="19">
        <v>11065</v>
      </c>
      <c r="E111" s="19">
        <v>6957</v>
      </c>
      <c r="F111" s="19">
        <v>3685</v>
      </c>
      <c r="G111" s="8">
        <v>4863</v>
      </c>
      <c r="H111" s="74">
        <v>6051</v>
      </c>
      <c r="I111" s="498"/>
      <c r="J111" s="9">
        <f t="shared" si="2"/>
        <v>54.685946678716682</v>
      </c>
      <c r="K111" s="10">
        <f t="shared" si="3"/>
        <v>-5014</v>
      </c>
      <c r="L111" s="1292"/>
      <c r="M111" s="1292"/>
      <c r="N111" s="70"/>
    </row>
    <row r="112" spans="1:15" ht="15" customHeight="1">
      <c r="A112" s="71" t="s">
        <v>201</v>
      </c>
      <c r="B112" s="72" t="s">
        <v>52</v>
      </c>
      <c r="C112" s="97" t="s">
        <v>205</v>
      </c>
      <c r="D112" s="19">
        <v>1032</v>
      </c>
      <c r="E112" s="19">
        <v>1255</v>
      </c>
      <c r="F112" s="19">
        <v>899</v>
      </c>
      <c r="G112" s="8">
        <v>1096</v>
      </c>
      <c r="H112" s="74">
        <v>1736</v>
      </c>
      <c r="I112" s="498"/>
      <c r="J112" s="9">
        <f t="shared" si="2"/>
        <v>168.2170542635659</v>
      </c>
      <c r="K112" s="10">
        <f t="shared" si="3"/>
        <v>704</v>
      </c>
      <c r="L112" s="1292"/>
      <c r="M112" s="1292"/>
      <c r="N112" s="70"/>
    </row>
    <row r="113" spans="1:14" ht="15" customHeight="1">
      <c r="A113" s="66" t="s">
        <v>206</v>
      </c>
      <c r="B113" s="67" t="s">
        <v>45</v>
      </c>
      <c r="C113" s="68" t="s">
        <v>207</v>
      </c>
      <c r="D113" s="25">
        <v>22972</v>
      </c>
      <c r="E113" s="25">
        <v>20187</v>
      </c>
      <c r="F113" s="25">
        <v>9929</v>
      </c>
      <c r="G113" s="4">
        <v>12875</v>
      </c>
      <c r="H113" s="69">
        <v>9668</v>
      </c>
      <c r="I113" s="497"/>
      <c r="J113" s="5">
        <f t="shared" si="2"/>
        <v>42.08601776075222</v>
      </c>
      <c r="K113" s="6">
        <f t="shared" si="3"/>
        <v>-13304</v>
      </c>
      <c r="L113" s="1292"/>
      <c r="M113" s="1292"/>
      <c r="N113" s="70"/>
    </row>
    <row r="114" spans="1:14" ht="15" customHeight="1">
      <c r="A114" s="79" t="s">
        <v>206</v>
      </c>
      <c r="B114" s="80" t="s">
        <v>59</v>
      </c>
      <c r="C114" s="81" t="s">
        <v>208</v>
      </c>
      <c r="D114" s="24">
        <v>27853</v>
      </c>
      <c r="E114" s="24">
        <v>19138</v>
      </c>
      <c r="F114" s="24">
        <v>15734</v>
      </c>
      <c r="G114" s="12">
        <v>13901</v>
      </c>
      <c r="H114" s="82">
        <v>13516</v>
      </c>
      <c r="I114" s="500"/>
      <c r="J114" s="13">
        <f t="shared" si="2"/>
        <v>48.526191074570065</v>
      </c>
      <c r="K114" s="14">
        <f t="shared" si="3"/>
        <v>-14337</v>
      </c>
      <c r="L114" s="1292"/>
      <c r="M114" s="1292"/>
      <c r="N114" s="70"/>
    </row>
    <row r="115" spans="1:14" ht="15" customHeight="1">
      <c r="A115" s="77" t="s">
        <v>209</v>
      </c>
      <c r="B115" s="78" t="s">
        <v>18</v>
      </c>
      <c r="C115" s="73" t="s">
        <v>210</v>
      </c>
      <c r="D115" s="19">
        <v>66131</v>
      </c>
      <c r="E115" s="19">
        <v>55480</v>
      </c>
      <c r="F115" s="19">
        <v>47735</v>
      </c>
      <c r="G115" s="8">
        <v>32383</v>
      </c>
      <c r="H115" s="74">
        <v>15029</v>
      </c>
      <c r="I115" s="498"/>
      <c r="J115" s="9">
        <f t="shared" si="2"/>
        <v>22.726104247629706</v>
      </c>
      <c r="K115" s="10">
        <f t="shared" si="3"/>
        <v>-51102</v>
      </c>
      <c r="L115" s="1292"/>
      <c r="M115" s="1292"/>
      <c r="N115" s="70"/>
    </row>
    <row r="116" spans="1:14" ht="15" customHeight="1">
      <c r="A116" s="93" t="s">
        <v>209</v>
      </c>
      <c r="B116" s="94" t="s">
        <v>65</v>
      </c>
      <c r="C116" s="95" t="s">
        <v>211</v>
      </c>
      <c r="D116" s="19">
        <v>15334</v>
      </c>
      <c r="E116" s="19">
        <v>9256</v>
      </c>
      <c r="F116" s="19">
        <v>7749</v>
      </c>
      <c r="G116" s="8">
        <v>1929</v>
      </c>
      <c r="H116" s="74">
        <v>1000</v>
      </c>
      <c r="I116" s="498"/>
      <c r="J116" s="9">
        <f t="shared" si="2"/>
        <v>6.5214555888874397</v>
      </c>
      <c r="K116" s="10">
        <f t="shared" si="3"/>
        <v>-14334</v>
      </c>
      <c r="L116" s="1292"/>
      <c r="M116" s="1292"/>
      <c r="N116" s="70"/>
    </row>
    <row r="117" spans="1:14" ht="15" customHeight="1">
      <c r="A117" s="77" t="s">
        <v>209</v>
      </c>
      <c r="B117" s="78" t="s">
        <v>67</v>
      </c>
      <c r="C117" s="95" t="s">
        <v>212</v>
      </c>
      <c r="D117" s="19">
        <v>24438</v>
      </c>
      <c r="E117" s="19">
        <v>21070</v>
      </c>
      <c r="F117" s="19">
        <v>11621</v>
      </c>
      <c r="G117" s="8">
        <v>6532</v>
      </c>
      <c r="H117" s="74">
        <v>9111</v>
      </c>
      <c r="I117" s="498"/>
      <c r="J117" s="9">
        <f t="shared" si="2"/>
        <v>37.282101644979129</v>
      </c>
      <c r="K117" s="10">
        <f t="shared" si="3"/>
        <v>-15327</v>
      </c>
      <c r="L117" s="1292"/>
      <c r="M117" s="1292"/>
      <c r="N117" s="70"/>
    </row>
    <row r="118" spans="1:14" ht="15" customHeight="1">
      <c r="A118" s="71" t="s">
        <v>209</v>
      </c>
      <c r="B118" s="72" t="s">
        <v>47</v>
      </c>
      <c r="C118" s="97" t="s">
        <v>213</v>
      </c>
      <c r="D118" s="29"/>
      <c r="E118" s="29"/>
      <c r="F118" s="29"/>
      <c r="G118" s="8">
        <v>7266</v>
      </c>
      <c r="H118" s="74">
        <v>5737</v>
      </c>
      <c r="I118" s="498"/>
      <c r="J118" s="92" t="s">
        <v>42</v>
      </c>
      <c r="K118" s="10">
        <f t="shared" si="3"/>
        <v>5737</v>
      </c>
      <c r="L118" s="1292"/>
      <c r="M118" s="1292"/>
      <c r="N118" s="70"/>
    </row>
    <row r="119" spans="1:14" ht="15" customHeight="1">
      <c r="A119" s="87" t="s">
        <v>214</v>
      </c>
      <c r="B119" s="88" t="s">
        <v>29</v>
      </c>
      <c r="C119" s="89" t="s">
        <v>215</v>
      </c>
      <c r="D119" s="25">
        <v>12507</v>
      </c>
      <c r="E119" s="25">
        <v>9335</v>
      </c>
      <c r="F119" s="25">
        <v>7110</v>
      </c>
      <c r="G119" s="4">
        <v>8440</v>
      </c>
      <c r="H119" s="69">
        <v>12592</v>
      </c>
      <c r="I119" s="497"/>
      <c r="J119" s="5">
        <f t="shared" si="2"/>
        <v>100.67961941312863</v>
      </c>
      <c r="K119" s="6">
        <f t="shared" si="3"/>
        <v>85</v>
      </c>
      <c r="L119" s="1292"/>
      <c r="M119" s="1292"/>
      <c r="N119" s="70"/>
    </row>
    <row r="120" spans="1:14" ht="15" customHeight="1">
      <c r="A120" s="79" t="s">
        <v>214</v>
      </c>
      <c r="B120" s="80" t="s">
        <v>216</v>
      </c>
      <c r="C120" s="81" t="s">
        <v>217</v>
      </c>
      <c r="D120" s="30">
        <v>0</v>
      </c>
      <c r="E120" s="30">
        <v>0</v>
      </c>
      <c r="F120" s="30">
        <v>0</v>
      </c>
      <c r="G120" s="31">
        <v>0</v>
      </c>
      <c r="H120" s="549">
        <v>0</v>
      </c>
      <c r="I120" s="550"/>
      <c r="J120" s="108" t="s">
        <v>42</v>
      </c>
      <c r="K120" s="14">
        <f t="shared" si="3"/>
        <v>0</v>
      </c>
      <c r="L120" s="1292"/>
      <c r="M120" s="1292"/>
      <c r="N120" s="70"/>
    </row>
    <row r="121" spans="1:14" ht="15" customHeight="1">
      <c r="A121" s="77" t="s">
        <v>218</v>
      </c>
      <c r="B121" s="78" t="s">
        <v>29</v>
      </c>
      <c r="C121" s="73" t="s">
        <v>219</v>
      </c>
      <c r="D121" s="19">
        <v>52263</v>
      </c>
      <c r="E121" s="19">
        <v>41695</v>
      </c>
      <c r="F121" s="19">
        <v>41998</v>
      </c>
      <c r="G121" s="8">
        <v>14930</v>
      </c>
      <c r="H121" s="74">
        <v>12124</v>
      </c>
      <c r="I121" s="498"/>
      <c r="J121" s="9">
        <f t="shared" si="2"/>
        <v>23.19805598607045</v>
      </c>
      <c r="K121" s="10">
        <f t="shared" si="3"/>
        <v>-40139</v>
      </c>
      <c r="L121" s="1292"/>
      <c r="M121" s="1292"/>
      <c r="N121" s="70"/>
    </row>
    <row r="122" spans="1:14" ht="15" customHeight="1">
      <c r="A122" s="71" t="s">
        <v>218</v>
      </c>
      <c r="B122" s="72" t="s">
        <v>24</v>
      </c>
      <c r="C122" s="97" t="s">
        <v>220</v>
      </c>
      <c r="D122" s="19">
        <v>25698</v>
      </c>
      <c r="E122" s="19">
        <v>22173</v>
      </c>
      <c r="F122" s="19">
        <v>25540</v>
      </c>
      <c r="G122" s="8">
        <v>37419</v>
      </c>
      <c r="H122" s="74">
        <v>36208</v>
      </c>
      <c r="I122" s="498"/>
      <c r="J122" s="9">
        <f t="shared" si="2"/>
        <v>140.89812436765507</v>
      </c>
      <c r="K122" s="10">
        <f t="shared" si="3"/>
        <v>10510</v>
      </c>
      <c r="L122" s="1292"/>
      <c r="M122" s="1292"/>
      <c r="N122" s="70"/>
    </row>
    <row r="123" spans="1:14" ht="15" customHeight="1">
      <c r="A123" s="87" t="s">
        <v>221</v>
      </c>
      <c r="B123" s="88" t="s">
        <v>29</v>
      </c>
      <c r="C123" s="89" t="s">
        <v>222</v>
      </c>
      <c r="D123" s="25">
        <v>35707</v>
      </c>
      <c r="E123" s="25">
        <v>31496</v>
      </c>
      <c r="F123" s="25">
        <v>32505</v>
      </c>
      <c r="G123" s="4">
        <v>38140</v>
      </c>
      <c r="H123" s="69">
        <v>30559</v>
      </c>
      <c r="I123" s="497"/>
      <c r="J123" s="5">
        <f t="shared" si="2"/>
        <v>85.582658862407939</v>
      </c>
      <c r="K123" s="6">
        <f t="shared" si="3"/>
        <v>-5148</v>
      </c>
      <c r="L123" s="1292"/>
      <c r="M123" s="1292"/>
      <c r="N123" s="70"/>
    </row>
    <row r="124" spans="1:14" ht="15" customHeight="1">
      <c r="A124" s="79" t="s">
        <v>221</v>
      </c>
      <c r="B124" s="80" t="s">
        <v>24</v>
      </c>
      <c r="C124" s="96" t="s">
        <v>223</v>
      </c>
      <c r="D124" s="24">
        <v>85717</v>
      </c>
      <c r="E124" s="24">
        <v>47367</v>
      </c>
      <c r="F124" s="24">
        <v>65612</v>
      </c>
      <c r="G124" s="12">
        <v>52918</v>
      </c>
      <c r="H124" s="82">
        <v>54140</v>
      </c>
      <c r="I124" s="500"/>
      <c r="J124" s="13">
        <f t="shared" si="2"/>
        <v>63.161333224447894</v>
      </c>
      <c r="K124" s="14">
        <f t="shared" si="3"/>
        <v>-31577</v>
      </c>
      <c r="L124" s="1292"/>
      <c r="M124" s="1292"/>
      <c r="N124" s="70"/>
    </row>
    <row r="125" spans="1:14" ht="15" customHeight="1">
      <c r="A125" s="77" t="s">
        <v>224</v>
      </c>
      <c r="B125" s="78" t="s">
        <v>29</v>
      </c>
      <c r="C125" s="73" t="s">
        <v>225</v>
      </c>
      <c r="D125" s="19">
        <v>67704</v>
      </c>
      <c r="E125" s="19">
        <v>65965</v>
      </c>
      <c r="F125" s="19">
        <v>55150</v>
      </c>
      <c r="G125" s="8">
        <v>58535</v>
      </c>
      <c r="H125" s="74">
        <v>57118</v>
      </c>
      <c r="I125" s="498"/>
      <c r="J125" s="9">
        <f t="shared" si="2"/>
        <v>84.364291622356134</v>
      </c>
      <c r="K125" s="10">
        <f t="shared" si="3"/>
        <v>-10586</v>
      </c>
      <c r="L125" s="1292"/>
      <c r="M125" s="1292"/>
      <c r="N125" s="70"/>
    </row>
    <row r="126" spans="1:14" ht="15" customHeight="1">
      <c r="A126" s="71" t="s">
        <v>224</v>
      </c>
      <c r="B126" s="72" t="s">
        <v>59</v>
      </c>
      <c r="C126" s="97" t="s">
        <v>226</v>
      </c>
      <c r="D126" s="19">
        <v>97384</v>
      </c>
      <c r="E126" s="19">
        <v>87782</v>
      </c>
      <c r="F126" s="19">
        <v>45320</v>
      </c>
      <c r="G126" s="8">
        <v>30413</v>
      </c>
      <c r="H126" s="74">
        <v>27767</v>
      </c>
      <c r="I126" s="498"/>
      <c r="J126" s="9">
        <f t="shared" si="2"/>
        <v>28.51289739587612</v>
      </c>
      <c r="K126" s="10">
        <f t="shared" si="3"/>
        <v>-69617</v>
      </c>
      <c r="L126" s="1292"/>
      <c r="M126" s="1292"/>
      <c r="N126" s="70"/>
    </row>
    <row r="127" spans="1:14" ht="15" customHeight="1">
      <c r="A127" s="87" t="s">
        <v>227</v>
      </c>
      <c r="B127" s="88" t="s">
        <v>18</v>
      </c>
      <c r="C127" s="89" t="s">
        <v>228</v>
      </c>
      <c r="D127" s="25">
        <v>70760</v>
      </c>
      <c r="E127" s="25">
        <v>51777</v>
      </c>
      <c r="F127" s="25">
        <v>52359</v>
      </c>
      <c r="G127" s="4">
        <v>57090</v>
      </c>
      <c r="H127" s="69">
        <v>5099</v>
      </c>
      <c r="I127" s="497"/>
      <c r="J127" s="5">
        <f t="shared" si="2"/>
        <v>7.2060486150367433</v>
      </c>
      <c r="K127" s="6">
        <f t="shared" si="3"/>
        <v>-65661</v>
      </c>
      <c r="L127" s="1292"/>
      <c r="M127" s="1292"/>
      <c r="N127" s="70"/>
    </row>
    <row r="128" spans="1:14" ht="15" customHeight="1">
      <c r="A128" s="79" t="s">
        <v>227</v>
      </c>
      <c r="B128" s="80" t="s">
        <v>59</v>
      </c>
      <c r="C128" s="81" t="s">
        <v>229</v>
      </c>
      <c r="D128" s="24">
        <v>49196</v>
      </c>
      <c r="E128" s="24">
        <v>39346</v>
      </c>
      <c r="F128" s="24">
        <v>45906</v>
      </c>
      <c r="G128" s="12">
        <v>42802</v>
      </c>
      <c r="H128" s="82">
        <v>43156</v>
      </c>
      <c r="I128" s="500"/>
      <c r="J128" s="13">
        <f t="shared" si="2"/>
        <v>87.722579071469227</v>
      </c>
      <c r="K128" s="14">
        <f t="shared" si="3"/>
        <v>-6040</v>
      </c>
      <c r="L128" s="14"/>
      <c r="M128" s="14"/>
      <c r="N128" s="65"/>
    </row>
    <row r="129" spans="1:14" ht="15" customHeight="1">
      <c r="A129" s="83" t="s">
        <v>230</v>
      </c>
      <c r="B129" s="84" t="s">
        <v>29</v>
      </c>
      <c r="C129" s="85" t="s">
        <v>231</v>
      </c>
      <c r="D129" s="26">
        <v>219053</v>
      </c>
      <c r="E129" s="26">
        <v>231036</v>
      </c>
      <c r="F129" s="26">
        <v>210661</v>
      </c>
      <c r="G129" s="16">
        <v>150484</v>
      </c>
      <c r="H129" s="86">
        <v>122242</v>
      </c>
      <c r="I129" s="501"/>
      <c r="J129" s="17">
        <f t="shared" si="2"/>
        <v>55.804759578732089</v>
      </c>
      <c r="K129" s="10">
        <f t="shared" si="3"/>
        <v>-96811</v>
      </c>
      <c r="L129" s="1292"/>
      <c r="M129" s="1292"/>
      <c r="N129" s="109" t="s">
        <v>232</v>
      </c>
    </row>
    <row r="130" spans="1:14" ht="15" customHeight="1">
      <c r="A130" s="83" t="s">
        <v>233</v>
      </c>
      <c r="B130" s="84" t="s">
        <v>29</v>
      </c>
      <c r="C130" s="85" t="s">
        <v>234</v>
      </c>
      <c r="D130" s="26">
        <v>19980</v>
      </c>
      <c r="E130" s="26">
        <v>17509</v>
      </c>
      <c r="F130" s="26">
        <v>8183</v>
      </c>
      <c r="G130" s="16">
        <v>12210</v>
      </c>
      <c r="H130" s="86">
        <v>16691</v>
      </c>
      <c r="I130" s="501"/>
      <c r="J130" s="17">
        <f t="shared" si="2"/>
        <v>83.538538538538546</v>
      </c>
      <c r="K130" s="18">
        <f t="shared" si="3"/>
        <v>-3289</v>
      </c>
      <c r="L130" s="1292"/>
      <c r="M130" s="1292"/>
      <c r="N130" s="70" t="s">
        <v>235</v>
      </c>
    </row>
    <row r="131" spans="1:14" ht="15" customHeight="1">
      <c r="A131" s="71" t="s">
        <v>236</v>
      </c>
      <c r="B131" s="72" t="s">
        <v>29</v>
      </c>
      <c r="C131" s="75" t="s">
        <v>237</v>
      </c>
      <c r="D131" s="22">
        <v>0</v>
      </c>
      <c r="E131" s="22">
        <v>0</v>
      </c>
      <c r="F131" s="22">
        <v>0</v>
      </c>
      <c r="G131" s="23">
        <v>0</v>
      </c>
      <c r="H131" s="551">
        <v>0</v>
      </c>
      <c r="I131" s="552"/>
      <c r="J131" s="92" t="s">
        <v>42</v>
      </c>
      <c r="K131" s="10">
        <f t="shared" si="3"/>
        <v>0</v>
      </c>
      <c r="L131" s="1292"/>
      <c r="M131" s="1292"/>
      <c r="N131" s="70"/>
    </row>
    <row r="132" spans="1:14" ht="15" customHeight="1">
      <c r="A132" s="71" t="s">
        <v>236</v>
      </c>
      <c r="B132" s="72" t="s">
        <v>22</v>
      </c>
      <c r="C132" s="75" t="s">
        <v>238</v>
      </c>
      <c r="D132" s="19">
        <v>14068</v>
      </c>
      <c r="E132" s="19">
        <v>12921</v>
      </c>
      <c r="F132" s="19">
        <v>13</v>
      </c>
      <c r="G132" s="8">
        <v>13156</v>
      </c>
      <c r="H132" s="74">
        <v>11766</v>
      </c>
      <c r="I132" s="498"/>
      <c r="J132" s="9">
        <f t="shared" si="2"/>
        <v>83.636622121125953</v>
      </c>
      <c r="K132" s="10">
        <f t="shared" si="3"/>
        <v>-2302</v>
      </c>
      <c r="L132" s="1292"/>
      <c r="M132" s="1292"/>
      <c r="N132" s="70"/>
    </row>
    <row r="133" spans="1:14" ht="15" customHeight="1">
      <c r="A133" s="71" t="s">
        <v>236</v>
      </c>
      <c r="B133" s="72" t="s">
        <v>115</v>
      </c>
      <c r="C133" s="75" t="s">
        <v>239</v>
      </c>
      <c r="D133" s="19">
        <v>2320</v>
      </c>
      <c r="E133" s="19">
        <v>1920</v>
      </c>
      <c r="F133" s="19">
        <v>699</v>
      </c>
      <c r="G133" s="8">
        <v>1632</v>
      </c>
      <c r="H133" s="74">
        <v>1599</v>
      </c>
      <c r="I133" s="498"/>
      <c r="J133" s="9">
        <f t="shared" ref="J133:J196" si="5">H133/D133*100</f>
        <v>68.922413793103445</v>
      </c>
      <c r="K133" s="10">
        <f t="shared" ref="K133:K196" si="6">H133-D133</f>
        <v>-721</v>
      </c>
      <c r="L133" s="1292"/>
      <c r="M133" s="1292"/>
      <c r="N133" s="70"/>
    </row>
    <row r="134" spans="1:14" ht="15" customHeight="1">
      <c r="A134" s="71" t="s">
        <v>236</v>
      </c>
      <c r="B134" s="72" t="s">
        <v>63</v>
      </c>
      <c r="C134" s="75" t="s">
        <v>240</v>
      </c>
      <c r="D134" s="19">
        <v>15781</v>
      </c>
      <c r="E134" s="19">
        <v>12258</v>
      </c>
      <c r="F134" s="19">
        <v>14267</v>
      </c>
      <c r="G134" s="8">
        <v>5648</v>
      </c>
      <c r="H134" s="74">
        <v>5278</v>
      </c>
      <c r="I134" s="498"/>
      <c r="J134" s="9">
        <f t="shared" si="5"/>
        <v>33.445282301501805</v>
      </c>
      <c r="K134" s="10">
        <f t="shared" si="6"/>
        <v>-10503</v>
      </c>
      <c r="L134" s="1292"/>
      <c r="M134" s="1292"/>
      <c r="N134" s="70"/>
    </row>
    <row r="135" spans="1:14" ht="15" customHeight="1">
      <c r="A135" s="66" t="s">
        <v>241</v>
      </c>
      <c r="B135" s="67" t="s">
        <v>29</v>
      </c>
      <c r="C135" s="68" t="s">
        <v>242</v>
      </c>
      <c r="D135" s="25">
        <v>1577</v>
      </c>
      <c r="E135" s="25">
        <v>3533</v>
      </c>
      <c r="F135" s="25">
        <v>2738</v>
      </c>
      <c r="G135" s="4">
        <v>2509</v>
      </c>
      <c r="H135" s="69">
        <v>3114</v>
      </c>
      <c r="I135" s="497"/>
      <c r="J135" s="5">
        <f t="shared" si="5"/>
        <v>197.46353836398225</v>
      </c>
      <c r="K135" s="6">
        <f t="shared" si="6"/>
        <v>1537</v>
      </c>
      <c r="L135" s="1292"/>
      <c r="M135" s="1292"/>
      <c r="N135" s="70"/>
    </row>
    <row r="136" spans="1:14" ht="15" customHeight="1">
      <c r="A136" s="71" t="s">
        <v>241</v>
      </c>
      <c r="B136" s="72" t="s">
        <v>22</v>
      </c>
      <c r="C136" s="75" t="s">
        <v>243</v>
      </c>
      <c r="D136" s="22">
        <v>0</v>
      </c>
      <c r="E136" s="22">
        <v>0</v>
      </c>
      <c r="F136" s="22">
        <v>0</v>
      </c>
      <c r="G136" s="23">
        <v>0</v>
      </c>
      <c r="H136" s="551">
        <v>0</v>
      </c>
      <c r="I136" s="552"/>
      <c r="J136" s="92" t="s">
        <v>42</v>
      </c>
      <c r="K136" s="10">
        <f t="shared" si="6"/>
        <v>0</v>
      </c>
      <c r="L136" s="1292"/>
      <c r="M136" s="1292"/>
      <c r="N136" s="70"/>
    </row>
    <row r="137" spans="1:14" ht="15" customHeight="1">
      <c r="A137" s="79" t="s">
        <v>241</v>
      </c>
      <c r="B137" s="80" t="s">
        <v>63</v>
      </c>
      <c r="C137" s="81" t="s">
        <v>244</v>
      </c>
      <c r="D137" s="24">
        <v>4563</v>
      </c>
      <c r="E137" s="24">
        <v>5037</v>
      </c>
      <c r="F137" s="24">
        <v>4853</v>
      </c>
      <c r="G137" s="12">
        <v>12056</v>
      </c>
      <c r="H137" s="82">
        <v>6061</v>
      </c>
      <c r="I137" s="500"/>
      <c r="J137" s="13">
        <f t="shared" si="5"/>
        <v>132.82927898312514</v>
      </c>
      <c r="K137" s="14">
        <f t="shared" si="6"/>
        <v>1498</v>
      </c>
      <c r="L137" s="1292"/>
      <c r="M137" s="1292"/>
      <c r="N137" s="70"/>
    </row>
    <row r="138" spans="1:14" ht="15" customHeight="1">
      <c r="A138" s="71" t="s">
        <v>241</v>
      </c>
      <c r="B138" s="72" t="s">
        <v>24</v>
      </c>
      <c r="C138" s="75" t="s">
        <v>245</v>
      </c>
      <c r="D138" s="19">
        <v>26048</v>
      </c>
      <c r="E138" s="19">
        <v>19131</v>
      </c>
      <c r="F138" s="19">
        <v>25003</v>
      </c>
      <c r="G138" s="8">
        <v>24554</v>
      </c>
      <c r="H138" s="74">
        <v>24554</v>
      </c>
      <c r="I138" s="498"/>
      <c r="J138" s="9">
        <f t="shared" si="5"/>
        <v>94.264434889434895</v>
      </c>
      <c r="K138" s="10">
        <f t="shared" si="6"/>
        <v>-1494</v>
      </c>
      <c r="L138" s="1292"/>
      <c r="M138" s="1292"/>
      <c r="N138" s="70"/>
    </row>
    <row r="139" spans="1:14" ht="15" customHeight="1">
      <c r="A139" s="66" t="s">
        <v>241</v>
      </c>
      <c r="B139" s="67" t="s">
        <v>52</v>
      </c>
      <c r="C139" s="68" t="s">
        <v>246</v>
      </c>
      <c r="D139" s="20">
        <v>0</v>
      </c>
      <c r="E139" s="20">
        <v>0</v>
      </c>
      <c r="F139" s="20">
        <v>0</v>
      </c>
      <c r="G139" s="21">
        <v>0</v>
      </c>
      <c r="H139" s="553">
        <v>0</v>
      </c>
      <c r="I139" s="554"/>
      <c r="J139" s="91" t="s">
        <v>42</v>
      </c>
      <c r="K139" s="6">
        <f t="shared" si="6"/>
        <v>0</v>
      </c>
      <c r="L139" s="1292"/>
      <c r="M139" s="1292"/>
      <c r="N139" s="70"/>
    </row>
    <row r="140" spans="1:14" ht="15" customHeight="1">
      <c r="A140" s="79" t="s">
        <v>241</v>
      </c>
      <c r="B140" s="80" t="s">
        <v>247</v>
      </c>
      <c r="C140" s="81" t="s">
        <v>248</v>
      </c>
      <c r="D140" s="24">
        <v>8438</v>
      </c>
      <c r="E140" s="24">
        <v>8223</v>
      </c>
      <c r="F140" s="24">
        <v>7165</v>
      </c>
      <c r="G140" s="12">
        <v>7146</v>
      </c>
      <c r="H140" s="82">
        <v>7826</v>
      </c>
      <c r="I140" s="500"/>
      <c r="J140" s="13">
        <f t="shared" si="5"/>
        <v>92.747096468357427</v>
      </c>
      <c r="K140" s="14">
        <f t="shared" si="6"/>
        <v>-612</v>
      </c>
      <c r="L140" s="1292"/>
      <c r="M140" s="1292"/>
      <c r="N140" s="70"/>
    </row>
    <row r="141" spans="1:14" ht="15" customHeight="1">
      <c r="A141" s="79" t="s">
        <v>241</v>
      </c>
      <c r="B141" s="80" t="s">
        <v>59</v>
      </c>
      <c r="C141" s="81" t="s">
        <v>249</v>
      </c>
      <c r="D141" s="39">
        <v>29901</v>
      </c>
      <c r="E141" s="26">
        <v>29308</v>
      </c>
      <c r="F141" s="26">
        <v>39740</v>
      </c>
      <c r="G141" s="16">
        <v>32530</v>
      </c>
      <c r="H141" s="86">
        <v>49584</v>
      </c>
      <c r="I141" s="501"/>
      <c r="J141" s="9">
        <f t="shared" si="5"/>
        <v>165.82722985853314</v>
      </c>
      <c r="K141" s="10">
        <f t="shared" si="6"/>
        <v>19683</v>
      </c>
      <c r="L141" s="1292"/>
      <c r="M141" s="1292"/>
      <c r="N141" s="70"/>
    </row>
    <row r="142" spans="1:14" ht="15" customHeight="1">
      <c r="A142" s="71" t="s">
        <v>250</v>
      </c>
      <c r="B142" s="72" t="s">
        <v>29</v>
      </c>
      <c r="C142" s="75" t="s">
        <v>251</v>
      </c>
      <c r="D142" s="22">
        <v>0</v>
      </c>
      <c r="E142" s="22">
        <v>0</v>
      </c>
      <c r="F142" s="22">
        <v>0</v>
      </c>
      <c r="G142" s="23">
        <v>0</v>
      </c>
      <c r="H142" s="551">
        <v>0</v>
      </c>
      <c r="I142" s="552"/>
      <c r="J142" s="92" t="s">
        <v>42</v>
      </c>
      <c r="K142" s="10">
        <f t="shared" si="6"/>
        <v>0</v>
      </c>
      <c r="L142" s="1292"/>
      <c r="M142" s="1292"/>
      <c r="N142" s="70"/>
    </row>
    <row r="143" spans="1:14" ht="15" customHeight="1">
      <c r="A143" s="71" t="s">
        <v>250</v>
      </c>
      <c r="B143" s="72" t="s">
        <v>22</v>
      </c>
      <c r="C143" s="75" t="s">
        <v>252</v>
      </c>
      <c r="D143" s="22">
        <v>0</v>
      </c>
      <c r="E143" s="22">
        <v>0</v>
      </c>
      <c r="F143" s="22">
        <v>0</v>
      </c>
      <c r="G143" s="23">
        <v>0</v>
      </c>
      <c r="H143" s="551">
        <v>0</v>
      </c>
      <c r="I143" s="552"/>
      <c r="J143" s="92" t="s">
        <v>42</v>
      </c>
      <c r="K143" s="10">
        <f t="shared" si="6"/>
        <v>0</v>
      </c>
      <c r="L143" s="1292"/>
      <c r="M143" s="1292"/>
      <c r="N143" s="70"/>
    </row>
    <row r="144" spans="1:14" ht="15" customHeight="1">
      <c r="A144" s="77" t="s">
        <v>250</v>
      </c>
      <c r="B144" s="78" t="s">
        <v>63</v>
      </c>
      <c r="C144" s="73" t="s">
        <v>253</v>
      </c>
      <c r="D144" s="22">
        <v>0</v>
      </c>
      <c r="E144" s="22">
        <v>0</v>
      </c>
      <c r="F144" s="22">
        <v>0</v>
      </c>
      <c r="G144" s="23">
        <v>0</v>
      </c>
      <c r="H144" s="551">
        <v>0</v>
      </c>
      <c r="I144" s="552"/>
      <c r="J144" s="92" t="s">
        <v>42</v>
      </c>
      <c r="K144" s="10">
        <f t="shared" si="6"/>
        <v>0</v>
      </c>
      <c r="L144" s="1292"/>
      <c r="M144" s="1292"/>
      <c r="N144" s="70"/>
    </row>
    <row r="145" spans="1:14" ht="15" customHeight="1">
      <c r="A145" s="71" t="s">
        <v>250</v>
      </c>
      <c r="B145" s="72" t="s">
        <v>24</v>
      </c>
      <c r="C145" s="75" t="s">
        <v>254</v>
      </c>
      <c r="D145" s="19">
        <v>0</v>
      </c>
      <c r="E145" s="19">
        <v>2191</v>
      </c>
      <c r="F145" s="19">
        <v>4932</v>
      </c>
      <c r="G145" s="8">
        <v>5726</v>
      </c>
      <c r="H145" s="74">
        <v>5563</v>
      </c>
      <c r="I145" s="498"/>
      <c r="J145" s="92" t="s">
        <v>42</v>
      </c>
      <c r="K145" s="10">
        <f t="shared" si="6"/>
        <v>5563</v>
      </c>
      <c r="L145" s="1292"/>
      <c r="M145" s="1292"/>
      <c r="N145" s="70"/>
    </row>
    <row r="146" spans="1:14" ht="15" customHeight="1">
      <c r="A146" s="71" t="s">
        <v>250</v>
      </c>
      <c r="B146" s="72" t="s">
        <v>255</v>
      </c>
      <c r="C146" s="75" t="s">
        <v>256</v>
      </c>
      <c r="D146" s="19">
        <v>0</v>
      </c>
      <c r="E146" s="19">
        <v>269</v>
      </c>
      <c r="F146" s="19">
        <v>667</v>
      </c>
      <c r="G146" s="8">
        <v>844</v>
      </c>
      <c r="H146" s="74">
        <v>743</v>
      </c>
      <c r="I146" s="498"/>
      <c r="J146" s="92" t="s">
        <v>42</v>
      </c>
      <c r="K146" s="10">
        <f t="shared" si="6"/>
        <v>743</v>
      </c>
      <c r="L146" s="1292"/>
      <c r="M146" s="1292"/>
      <c r="N146" s="70"/>
    </row>
    <row r="147" spans="1:14" ht="15" customHeight="1">
      <c r="A147" s="71" t="s">
        <v>250</v>
      </c>
      <c r="B147" s="72" t="s">
        <v>257</v>
      </c>
      <c r="C147" s="75" t="s">
        <v>258</v>
      </c>
      <c r="D147" s="22">
        <v>0</v>
      </c>
      <c r="E147" s="22">
        <v>0</v>
      </c>
      <c r="F147" s="22">
        <v>0</v>
      </c>
      <c r="G147" s="23">
        <v>0</v>
      </c>
      <c r="H147" s="551">
        <v>0</v>
      </c>
      <c r="I147" s="552"/>
      <c r="J147" s="92" t="s">
        <v>42</v>
      </c>
      <c r="K147" s="10">
        <f t="shared" si="6"/>
        <v>0</v>
      </c>
      <c r="L147" s="1292"/>
      <c r="M147" s="1292"/>
      <c r="N147" s="70"/>
    </row>
    <row r="148" spans="1:14" ht="15" customHeight="1">
      <c r="A148" s="71" t="s">
        <v>250</v>
      </c>
      <c r="B148" s="72" t="s">
        <v>33</v>
      </c>
      <c r="C148" s="75" t="s">
        <v>259</v>
      </c>
      <c r="D148" s="22">
        <v>0</v>
      </c>
      <c r="E148" s="22">
        <v>0</v>
      </c>
      <c r="F148" s="22">
        <v>0</v>
      </c>
      <c r="G148" s="23">
        <v>0</v>
      </c>
      <c r="H148" s="551">
        <v>0</v>
      </c>
      <c r="I148" s="552"/>
      <c r="J148" s="92" t="s">
        <v>42</v>
      </c>
      <c r="K148" s="10">
        <f t="shared" si="6"/>
        <v>0</v>
      </c>
      <c r="L148" s="1292"/>
      <c r="M148" s="1292"/>
      <c r="N148" s="70"/>
    </row>
    <row r="149" spans="1:14" ht="15" customHeight="1">
      <c r="A149" s="66" t="s">
        <v>260</v>
      </c>
      <c r="B149" s="98" t="s">
        <v>29</v>
      </c>
      <c r="C149" s="68" t="s">
        <v>261</v>
      </c>
      <c r="D149" s="20">
        <v>0</v>
      </c>
      <c r="E149" s="20">
        <v>0</v>
      </c>
      <c r="F149" s="20">
        <v>0</v>
      </c>
      <c r="G149" s="21">
        <v>0</v>
      </c>
      <c r="H149" s="553">
        <v>0</v>
      </c>
      <c r="I149" s="554"/>
      <c r="J149" s="91" t="s">
        <v>42</v>
      </c>
      <c r="K149" s="6">
        <f t="shared" si="6"/>
        <v>0</v>
      </c>
      <c r="L149" s="1292"/>
      <c r="M149" s="1292"/>
      <c r="N149" s="70"/>
    </row>
    <row r="150" spans="1:14" ht="15" customHeight="1">
      <c r="A150" s="71" t="s">
        <v>262</v>
      </c>
      <c r="B150" s="101" t="s">
        <v>22</v>
      </c>
      <c r="C150" s="75" t="s">
        <v>263</v>
      </c>
      <c r="D150" s="19">
        <v>47224</v>
      </c>
      <c r="E150" s="19">
        <v>13477</v>
      </c>
      <c r="F150" s="19">
        <v>17641</v>
      </c>
      <c r="G150" s="8">
        <v>19865</v>
      </c>
      <c r="H150" s="74">
        <v>20729</v>
      </c>
      <c r="I150" s="498"/>
      <c r="J150" s="9">
        <f t="shared" si="5"/>
        <v>43.895053362696935</v>
      </c>
      <c r="K150" s="10">
        <f t="shared" si="6"/>
        <v>-26495</v>
      </c>
      <c r="L150" s="1292"/>
      <c r="M150" s="1292"/>
      <c r="N150" s="70"/>
    </row>
    <row r="151" spans="1:14" ht="15" customHeight="1">
      <c r="A151" s="71" t="s">
        <v>262</v>
      </c>
      <c r="B151" s="101" t="s">
        <v>115</v>
      </c>
      <c r="C151" s="75" t="s">
        <v>264</v>
      </c>
      <c r="D151" s="19">
        <v>26076</v>
      </c>
      <c r="E151" s="19">
        <v>29797</v>
      </c>
      <c r="F151" s="22">
        <v>0</v>
      </c>
      <c r="G151" s="8">
        <v>42083</v>
      </c>
      <c r="H151" s="74">
        <v>56674</v>
      </c>
      <c r="I151" s="498"/>
      <c r="J151" s="9">
        <f t="shared" si="5"/>
        <v>217.34161681239453</v>
      </c>
      <c r="K151" s="10">
        <f t="shared" si="6"/>
        <v>30598</v>
      </c>
      <c r="L151" s="1292"/>
      <c r="M151" s="1292"/>
      <c r="N151" s="70"/>
    </row>
    <row r="152" spans="1:14" ht="15" customHeight="1">
      <c r="A152" s="71" t="s">
        <v>262</v>
      </c>
      <c r="B152" s="101" t="s">
        <v>117</v>
      </c>
      <c r="C152" s="75" t="s">
        <v>265</v>
      </c>
      <c r="D152" s="22">
        <v>0</v>
      </c>
      <c r="E152" s="22">
        <v>0</v>
      </c>
      <c r="F152" s="22">
        <v>0</v>
      </c>
      <c r="G152" s="23">
        <v>0</v>
      </c>
      <c r="H152" s="551">
        <v>0</v>
      </c>
      <c r="I152" s="552"/>
      <c r="J152" s="92" t="s">
        <v>42</v>
      </c>
      <c r="K152" s="10">
        <f t="shared" si="6"/>
        <v>0</v>
      </c>
      <c r="L152" s="1292"/>
      <c r="M152" s="1292"/>
      <c r="N152" s="70"/>
    </row>
    <row r="153" spans="1:14" ht="15" customHeight="1">
      <c r="A153" s="71" t="s">
        <v>262</v>
      </c>
      <c r="B153" s="101" t="s">
        <v>119</v>
      </c>
      <c r="C153" s="75" t="s">
        <v>266</v>
      </c>
      <c r="D153" s="22">
        <v>0</v>
      </c>
      <c r="E153" s="22">
        <v>0</v>
      </c>
      <c r="F153" s="22">
        <v>0</v>
      </c>
      <c r="G153" s="23">
        <v>0</v>
      </c>
      <c r="H153" s="551">
        <v>0</v>
      </c>
      <c r="I153" s="552"/>
      <c r="J153" s="92" t="s">
        <v>42</v>
      </c>
      <c r="K153" s="10">
        <f t="shared" si="6"/>
        <v>0</v>
      </c>
      <c r="L153" s="1292"/>
      <c r="M153" s="1292"/>
      <c r="N153" s="70"/>
    </row>
    <row r="154" spans="1:14" ht="15" customHeight="1">
      <c r="A154" s="71" t="s">
        <v>262</v>
      </c>
      <c r="B154" s="101" t="s">
        <v>267</v>
      </c>
      <c r="C154" s="75" t="s">
        <v>268</v>
      </c>
      <c r="D154" s="22">
        <v>0</v>
      </c>
      <c r="E154" s="22">
        <v>0</v>
      </c>
      <c r="F154" s="22">
        <v>0</v>
      </c>
      <c r="G154" s="23">
        <v>0</v>
      </c>
      <c r="H154" s="551">
        <v>0</v>
      </c>
      <c r="I154" s="552"/>
      <c r="J154" s="92" t="s">
        <v>42</v>
      </c>
      <c r="K154" s="10">
        <f t="shared" si="6"/>
        <v>0</v>
      </c>
      <c r="L154" s="1292"/>
      <c r="M154" s="1292"/>
      <c r="N154" s="70"/>
    </row>
    <row r="155" spans="1:14" ht="15" customHeight="1">
      <c r="A155" s="77" t="s">
        <v>262</v>
      </c>
      <c r="B155" s="110" t="s">
        <v>63</v>
      </c>
      <c r="C155" s="73" t="s">
        <v>269</v>
      </c>
      <c r="D155" s="19">
        <v>147574</v>
      </c>
      <c r="E155" s="19">
        <v>123795</v>
      </c>
      <c r="F155" s="19">
        <v>95490</v>
      </c>
      <c r="G155" s="8">
        <v>49533</v>
      </c>
      <c r="H155" s="74">
        <v>89093</v>
      </c>
      <c r="I155" s="498"/>
      <c r="J155" s="9">
        <f t="shared" si="5"/>
        <v>60.371745700462142</v>
      </c>
      <c r="K155" s="10">
        <f t="shared" si="6"/>
        <v>-58481</v>
      </c>
      <c r="L155" s="1292"/>
      <c r="M155" s="1292"/>
      <c r="N155" s="70"/>
    </row>
    <row r="156" spans="1:14" ht="15" customHeight="1">
      <c r="A156" s="71" t="s">
        <v>262</v>
      </c>
      <c r="B156" s="101" t="s">
        <v>65</v>
      </c>
      <c r="C156" s="75" t="s">
        <v>270</v>
      </c>
      <c r="D156" s="22">
        <v>0</v>
      </c>
      <c r="E156" s="22">
        <v>0</v>
      </c>
      <c r="F156" s="22">
        <v>0</v>
      </c>
      <c r="G156" s="23">
        <v>0</v>
      </c>
      <c r="H156" s="74">
        <v>2671</v>
      </c>
      <c r="I156" s="498"/>
      <c r="J156" s="92" t="s">
        <v>42</v>
      </c>
      <c r="K156" s="10">
        <f t="shared" si="6"/>
        <v>2671</v>
      </c>
      <c r="L156" s="1292"/>
      <c r="M156" s="1292"/>
      <c r="N156" s="70"/>
    </row>
    <row r="157" spans="1:14" ht="15" customHeight="1">
      <c r="A157" s="71" t="s">
        <v>262</v>
      </c>
      <c r="B157" s="72" t="s">
        <v>26</v>
      </c>
      <c r="C157" s="75" t="s">
        <v>271</v>
      </c>
      <c r="D157" s="22">
        <v>0</v>
      </c>
      <c r="E157" s="22">
        <v>0</v>
      </c>
      <c r="F157" s="22">
        <v>0</v>
      </c>
      <c r="G157" s="23">
        <v>0</v>
      </c>
      <c r="H157" s="551">
        <v>0</v>
      </c>
      <c r="I157" s="552"/>
      <c r="J157" s="92" t="s">
        <v>42</v>
      </c>
      <c r="K157" s="10">
        <f t="shared" si="6"/>
        <v>0</v>
      </c>
      <c r="L157" s="1292"/>
      <c r="M157" s="1292"/>
      <c r="N157" s="70"/>
    </row>
    <row r="158" spans="1:14" ht="15" customHeight="1">
      <c r="A158" s="71" t="s">
        <v>262</v>
      </c>
      <c r="B158" s="72" t="s">
        <v>272</v>
      </c>
      <c r="C158" s="75" t="s">
        <v>273</v>
      </c>
      <c r="D158" s="22">
        <v>0</v>
      </c>
      <c r="E158" s="22">
        <v>0</v>
      </c>
      <c r="F158" s="22">
        <v>0</v>
      </c>
      <c r="G158" s="23">
        <v>0</v>
      </c>
      <c r="H158" s="551">
        <v>0</v>
      </c>
      <c r="I158" s="552"/>
      <c r="J158" s="92" t="s">
        <v>42</v>
      </c>
      <c r="K158" s="10">
        <f t="shared" si="6"/>
        <v>0</v>
      </c>
      <c r="L158" s="1292"/>
      <c r="M158" s="1292"/>
      <c r="N158" s="70"/>
    </row>
    <row r="159" spans="1:14" ht="15" customHeight="1">
      <c r="A159" s="71" t="s">
        <v>262</v>
      </c>
      <c r="B159" s="72" t="s">
        <v>274</v>
      </c>
      <c r="C159" s="75" t="s">
        <v>275</v>
      </c>
      <c r="D159" s="22">
        <v>0</v>
      </c>
      <c r="E159" s="22">
        <v>0</v>
      </c>
      <c r="F159" s="22">
        <v>0</v>
      </c>
      <c r="G159" s="23">
        <v>0</v>
      </c>
      <c r="H159" s="551">
        <v>0</v>
      </c>
      <c r="I159" s="552"/>
      <c r="J159" s="92" t="s">
        <v>42</v>
      </c>
      <c r="K159" s="10">
        <f t="shared" si="6"/>
        <v>0</v>
      </c>
      <c r="L159" s="1292"/>
      <c r="M159" s="1292"/>
      <c r="N159" s="70"/>
    </row>
    <row r="160" spans="1:14" ht="15" customHeight="1">
      <c r="A160" s="71" t="s">
        <v>262</v>
      </c>
      <c r="B160" s="72" t="s">
        <v>276</v>
      </c>
      <c r="C160" s="75" t="s">
        <v>277</v>
      </c>
      <c r="D160" s="22">
        <v>0</v>
      </c>
      <c r="E160" s="22">
        <v>0</v>
      </c>
      <c r="F160" s="22">
        <v>0</v>
      </c>
      <c r="G160" s="23">
        <v>0</v>
      </c>
      <c r="H160" s="551">
        <v>0</v>
      </c>
      <c r="I160" s="552"/>
      <c r="J160" s="92" t="s">
        <v>42</v>
      </c>
      <c r="K160" s="10">
        <f t="shared" si="6"/>
        <v>0</v>
      </c>
      <c r="L160" s="1292"/>
      <c r="M160" s="1292"/>
      <c r="N160" s="70"/>
    </row>
    <row r="161" spans="1:15" ht="15" customHeight="1">
      <c r="A161" s="79" t="s">
        <v>262</v>
      </c>
      <c r="B161" s="80" t="s">
        <v>33</v>
      </c>
      <c r="C161" s="81" t="s">
        <v>278</v>
      </c>
      <c r="D161" s="24">
        <v>9027</v>
      </c>
      <c r="E161" s="24">
        <v>9165</v>
      </c>
      <c r="F161" s="24">
        <v>7981</v>
      </c>
      <c r="G161" s="12">
        <v>6571</v>
      </c>
      <c r="H161" s="82">
        <v>7781</v>
      </c>
      <c r="I161" s="500"/>
      <c r="J161" s="13">
        <f t="shared" si="5"/>
        <v>86.196964661570846</v>
      </c>
      <c r="K161" s="14">
        <f t="shared" si="6"/>
        <v>-1246</v>
      </c>
      <c r="L161" s="1292"/>
      <c r="M161" s="1292"/>
      <c r="N161" s="70"/>
    </row>
    <row r="162" spans="1:15" ht="15" customHeight="1">
      <c r="A162" s="71" t="s">
        <v>279</v>
      </c>
      <c r="B162" s="72" t="s">
        <v>29</v>
      </c>
      <c r="C162" s="75" t="s">
        <v>280</v>
      </c>
      <c r="D162" s="19">
        <v>1552</v>
      </c>
      <c r="E162" s="19">
        <v>1145</v>
      </c>
      <c r="F162" s="19">
        <v>2402</v>
      </c>
      <c r="G162" s="8">
        <v>1159</v>
      </c>
      <c r="H162" s="74">
        <v>7203</v>
      </c>
      <c r="I162" s="498"/>
      <c r="J162" s="9">
        <f t="shared" si="5"/>
        <v>464.11082474226805</v>
      </c>
      <c r="K162" s="10">
        <f t="shared" si="6"/>
        <v>5651</v>
      </c>
      <c r="L162" s="1292"/>
      <c r="M162" s="1292"/>
      <c r="N162" s="70"/>
    </row>
    <row r="163" spans="1:15" ht="15" customHeight="1">
      <c r="A163" s="87" t="s">
        <v>281</v>
      </c>
      <c r="B163" s="88" t="s">
        <v>29</v>
      </c>
      <c r="C163" s="89" t="s">
        <v>282</v>
      </c>
      <c r="D163" s="25">
        <v>1843</v>
      </c>
      <c r="E163" s="25">
        <v>1367</v>
      </c>
      <c r="F163" s="25">
        <v>2873</v>
      </c>
      <c r="G163" s="4">
        <v>1120</v>
      </c>
      <c r="H163" s="69">
        <v>165</v>
      </c>
      <c r="I163" s="497"/>
      <c r="J163" s="5">
        <f t="shared" si="5"/>
        <v>8.9527943570265869</v>
      </c>
      <c r="K163" s="6">
        <f t="shared" si="6"/>
        <v>-1678</v>
      </c>
      <c r="L163" s="1292"/>
      <c r="M163" s="1292"/>
      <c r="N163" s="70"/>
    </row>
    <row r="164" spans="1:15" ht="15" customHeight="1">
      <c r="A164" s="93" t="s">
        <v>281</v>
      </c>
      <c r="B164" s="94" t="s">
        <v>65</v>
      </c>
      <c r="C164" s="95" t="s">
        <v>283</v>
      </c>
      <c r="D164" s="19">
        <v>4766</v>
      </c>
      <c r="E164" s="19">
        <v>6543</v>
      </c>
      <c r="F164" s="19">
        <v>5261</v>
      </c>
      <c r="G164" s="8">
        <v>483</v>
      </c>
      <c r="H164" s="74">
        <v>5595</v>
      </c>
      <c r="I164" s="498"/>
      <c r="J164" s="9">
        <f t="shared" si="5"/>
        <v>117.39404112463281</v>
      </c>
      <c r="K164" s="10">
        <f t="shared" si="6"/>
        <v>829</v>
      </c>
      <c r="L164" s="1292"/>
      <c r="M164" s="1292"/>
      <c r="N164" s="70"/>
    </row>
    <row r="165" spans="1:15" ht="15" customHeight="1">
      <c r="A165" s="99" t="s">
        <v>281</v>
      </c>
      <c r="B165" s="100" t="s">
        <v>59</v>
      </c>
      <c r="C165" s="96" t="s">
        <v>284</v>
      </c>
      <c r="D165" s="24">
        <v>51651</v>
      </c>
      <c r="E165" s="24">
        <v>55763</v>
      </c>
      <c r="F165" s="24">
        <v>49127</v>
      </c>
      <c r="G165" s="12">
        <v>65435</v>
      </c>
      <c r="H165" s="82">
        <v>78951</v>
      </c>
      <c r="I165" s="500"/>
      <c r="J165" s="13">
        <f t="shared" si="5"/>
        <v>152.85473659754894</v>
      </c>
      <c r="K165" s="14">
        <f t="shared" si="6"/>
        <v>27300</v>
      </c>
      <c r="L165" s="1292"/>
      <c r="M165" s="1292"/>
      <c r="N165" s="70"/>
    </row>
    <row r="166" spans="1:15" ht="15" customHeight="1">
      <c r="A166" s="77" t="s">
        <v>285</v>
      </c>
      <c r="B166" s="78" t="s">
        <v>29</v>
      </c>
      <c r="C166" s="73" t="s">
        <v>286</v>
      </c>
      <c r="D166" s="19">
        <v>27454</v>
      </c>
      <c r="E166" s="19">
        <v>26109</v>
      </c>
      <c r="F166" s="19">
        <v>17483</v>
      </c>
      <c r="G166" s="8">
        <v>20967</v>
      </c>
      <c r="H166" s="74">
        <v>15785</v>
      </c>
      <c r="I166" s="498"/>
      <c r="J166" s="9">
        <f t="shared" si="5"/>
        <v>57.496175420703722</v>
      </c>
      <c r="K166" s="10">
        <f t="shared" si="6"/>
        <v>-11669</v>
      </c>
      <c r="L166" s="1292"/>
      <c r="M166" s="1292"/>
      <c r="N166" s="70"/>
    </row>
    <row r="167" spans="1:15" ht="15" customHeight="1">
      <c r="A167" s="71" t="s">
        <v>285</v>
      </c>
      <c r="B167" s="72" t="s">
        <v>24</v>
      </c>
      <c r="C167" s="75" t="s">
        <v>287</v>
      </c>
      <c r="D167" s="19">
        <v>0</v>
      </c>
      <c r="E167" s="19">
        <v>0</v>
      </c>
      <c r="F167" s="19">
        <v>0</v>
      </c>
      <c r="G167" s="8">
        <v>0</v>
      </c>
      <c r="H167" s="74">
        <v>0</v>
      </c>
      <c r="I167" s="498"/>
      <c r="J167" s="92" t="s">
        <v>42</v>
      </c>
      <c r="K167" s="10">
        <f t="shared" si="6"/>
        <v>0</v>
      </c>
      <c r="L167" s="1292"/>
      <c r="M167" s="1292"/>
      <c r="N167" s="70"/>
    </row>
    <row r="168" spans="1:15" ht="15" customHeight="1">
      <c r="A168" s="71" t="s">
        <v>288</v>
      </c>
      <c r="B168" s="72" t="s">
        <v>255</v>
      </c>
      <c r="C168" s="75" t="s">
        <v>289</v>
      </c>
      <c r="D168" s="19">
        <v>0</v>
      </c>
      <c r="E168" s="19">
        <v>0</v>
      </c>
      <c r="F168" s="19">
        <v>0</v>
      </c>
      <c r="G168" s="8">
        <v>0</v>
      </c>
      <c r="H168" s="74">
        <v>0</v>
      </c>
      <c r="I168" s="498"/>
      <c r="J168" s="92" t="s">
        <v>42</v>
      </c>
      <c r="K168" s="10">
        <f t="shared" si="6"/>
        <v>0</v>
      </c>
      <c r="L168" s="1292"/>
      <c r="M168" s="1292"/>
      <c r="N168" s="70"/>
    </row>
    <row r="169" spans="1:15" ht="15" customHeight="1">
      <c r="A169" s="71" t="s">
        <v>288</v>
      </c>
      <c r="B169" s="72" t="s">
        <v>257</v>
      </c>
      <c r="C169" s="75" t="s">
        <v>290</v>
      </c>
      <c r="D169" s="19">
        <v>8062</v>
      </c>
      <c r="E169" s="19">
        <v>14986</v>
      </c>
      <c r="F169" s="19">
        <v>14290</v>
      </c>
      <c r="G169" s="8">
        <v>12951</v>
      </c>
      <c r="H169" s="74">
        <v>14112</v>
      </c>
      <c r="I169" s="498"/>
      <c r="J169" s="9">
        <f t="shared" si="5"/>
        <v>175.04341354502603</v>
      </c>
      <c r="K169" s="10">
        <f t="shared" si="6"/>
        <v>6050</v>
      </c>
      <c r="L169" s="1292"/>
      <c r="M169" s="1292"/>
      <c r="N169" s="70"/>
    </row>
    <row r="170" spans="1:15" ht="15" customHeight="1">
      <c r="A170" s="71" t="s">
        <v>288</v>
      </c>
      <c r="B170" s="72" t="s">
        <v>291</v>
      </c>
      <c r="C170" s="75" t="s">
        <v>292</v>
      </c>
      <c r="D170" s="19">
        <v>1</v>
      </c>
      <c r="E170" s="19">
        <v>0</v>
      </c>
      <c r="F170" s="19">
        <v>0</v>
      </c>
      <c r="G170" s="8">
        <v>0</v>
      </c>
      <c r="H170" s="74">
        <v>0</v>
      </c>
      <c r="I170" s="498"/>
      <c r="J170" s="9">
        <f t="shared" si="5"/>
        <v>0</v>
      </c>
      <c r="K170" s="10">
        <f t="shared" si="6"/>
        <v>-1</v>
      </c>
      <c r="L170" s="1292"/>
      <c r="M170" s="1292"/>
      <c r="N170" s="70"/>
    </row>
    <row r="171" spans="1:15" ht="15" customHeight="1">
      <c r="A171" s="77" t="s">
        <v>288</v>
      </c>
      <c r="B171" s="78" t="s">
        <v>293</v>
      </c>
      <c r="C171" s="73" t="s">
        <v>294</v>
      </c>
      <c r="D171" s="19">
        <v>13628</v>
      </c>
      <c r="E171" s="19">
        <v>29158</v>
      </c>
      <c r="F171" s="19">
        <v>28708</v>
      </c>
      <c r="G171" s="8">
        <v>34366</v>
      </c>
      <c r="H171" s="74">
        <v>40527</v>
      </c>
      <c r="I171" s="498"/>
      <c r="J171" s="9">
        <f t="shared" si="5"/>
        <v>297.38039330789553</v>
      </c>
      <c r="K171" s="10">
        <f t="shared" si="6"/>
        <v>26899</v>
      </c>
      <c r="L171" s="1292"/>
      <c r="M171" s="1292"/>
      <c r="N171" s="70"/>
    </row>
    <row r="172" spans="1:15" ht="15" customHeight="1">
      <c r="A172" s="93" t="s">
        <v>288</v>
      </c>
      <c r="B172" s="94" t="s">
        <v>52</v>
      </c>
      <c r="C172" s="95" t="s">
        <v>295</v>
      </c>
      <c r="D172" s="19">
        <v>1675</v>
      </c>
      <c r="E172" s="19">
        <v>81</v>
      </c>
      <c r="F172" s="19">
        <v>18</v>
      </c>
      <c r="G172" s="8">
        <v>18</v>
      </c>
      <c r="H172" s="74">
        <v>1</v>
      </c>
      <c r="I172" s="498"/>
      <c r="J172" s="9">
        <f t="shared" si="5"/>
        <v>5.9701492537313432E-2</v>
      </c>
      <c r="K172" s="10">
        <f t="shared" si="6"/>
        <v>-1674</v>
      </c>
      <c r="L172" s="1292"/>
      <c r="M172" s="1292"/>
      <c r="N172" s="70"/>
    </row>
    <row r="173" spans="1:15" ht="15" customHeight="1">
      <c r="A173" s="71" t="s">
        <v>288</v>
      </c>
      <c r="B173" s="72" t="s">
        <v>59</v>
      </c>
      <c r="C173" s="97" t="s">
        <v>296</v>
      </c>
      <c r="D173" s="19">
        <v>32814</v>
      </c>
      <c r="E173" s="19">
        <v>33069</v>
      </c>
      <c r="F173" s="19">
        <v>36248</v>
      </c>
      <c r="G173" s="8">
        <v>32369</v>
      </c>
      <c r="H173" s="74">
        <v>27282</v>
      </c>
      <c r="I173" s="498"/>
      <c r="J173" s="9">
        <f t="shared" si="5"/>
        <v>83.141342110074973</v>
      </c>
      <c r="K173" s="10">
        <f t="shared" si="6"/>
        <v>-5532</v>
      </c>
      <c r="L173" s="1292"/>
      <c r="M173" s="1292"/>
      <c r="N173" s="70"/>
    </row>
    <row r="174" spans="1:15" ht="15" customHeight="1">
      <c r="A174" s="66" t="s">
        <v>297</v>
      </c>
      <c r="B174" s="98" t="s">
        <v>29</v>
      </c>
      <c r="C174" s="68" t="s">
        <v>298</v>
      </c>
      <c r="D174" s="25">
        <v>15282</v>
      </c>
      <c r="E174" s="25">
        <v>14208</v>
      </c>
      <c r="F174" s="25">
        <v>13229</v>
      </c>
      <c r="G174" s="4">
        <v>15390</v>
      </c>
      <c r="H174" s="69">
        <v>28154</v>
      </c>
      <c r="I174" s="497"/>
      <c r="J174" s="5">
        <f t="shared" si="5"/>
        <v>184.22981285172096</v>
      </c>
      <c r="K174" s="6">
        <f t="shared" si="6"/>
        <v>12872</v>
      </c>
      <c r="L174" s="1292"/>
      <c r="M174" s="1292"/>
      <c r="N174" s="70"/>
    </row>
    <row r="175" spans="1:15" ht="15" customHeight="1">
      <c r="A175" s="79" t="s">
        <v>297</v>
      </c>
      <c r="B175" s="102" t="s">
        <v>65</v>
      </c>
      <c r="C175" s="81" t="s">
        <v>299</v>
      </c>
      <c r="D175" s="24">
        <v>22361</v>
      </c>
      <c r="E175" s="24">
        <v>24590</v>
      </c>
      <c r="F175" s="24">
        <v>20339</v>
      </c>
      <c r="G175" s="12">
        <v>29129</v>
      </c>
      <c r="H175" s="82">
        <v>52365</v>
      </c>
      <c r="I175" s="500"/>
      <c r="J175" s="13">
        <f t="shared" si="5"/>
        <v>234.18004561513351</v>
      </c>
      <c r="K175" s="14">
        <f t="shared" si="6"/>
        <v>30004</v>
      </c>
      <c r="L175" s="1292"/>
      <c r="M175" s="1292"/>
      <c r="N175" s="70"/>
    </row>
    <row r="176" spans="1:15" ht="15" customHeight="1">
      <c r="A176" s="71" t="s">
        <v>300</v>
      </c>
      <c r="B176" s="72" t="s">
        <v>29</v>
      </c>
      <c r="C176" s="75" t="s">
        <v>301</v>
      </c>
      <c r="D176" s="19">
        <v>258060</v>
      </c>
      <c r="E176" s="19">
        <v>351805</v>
      </c>
      <c r="F176" s="19">
        <v>313377</v>
      </c>
      <c r="G176" s="8">
        <v>340746</v>
      </c>
      <c r="H176" s="74">
        <v>284882</v>
      </c>
      <c r="I176" s="815">
        <f>'CT2015'!L779+'CT2015'!L780+'CT2015'!L781</f>
        <v>2504.0500000000002</v>
      </c>
      <c r="J176" s="9">
        <f t="shared" si="5"/>
        <v>110.39370688987059</v>
      </c>
      <c r="K176" s="10">
        <f t="shared" si="6"/>
        <v>26822</v>
      </c>
      <c r="L176" s="1292">
        <f>'CT2020'!T832+'CT2020'!T833+'CT2020'!T834</f>
        <v>4430</v>
      </c>
      <c r="M176" s="1292">
        <f>L176-I176</f>
        <v>1925.9499999999998</v>
      </c>
      <c r="N176" s="70"/>
      <c r="O176" s="1486">
        <f>M176/I176*100</f>
        <v>76.913400291527708</v>
      </c>
    </row>
    <row r="177" spans="1:14" ht="15" customHeight="1">
      <c r="A177" s="66" t="s">
        <v>302</v>
      </c>
      <c r="B177" s="67" t="s">
        <v>18</v>
      </c>
      <c r="C177" s="68" t="s">
        <v>303</v>
      </c>
      <c r="D177" s="32">
        <v>33290</v>
      </c>
      <c r="E177" s="32">
        <v>31409</v>
      </c>
      <c r="F177" s="32">
        <v>40416</v>
      </c>
      <c r="G177" s="4">
        <v>29670</v>
      </c>
      <c r="H177" s="69">
        <v>32243</v>
      </c>
      <c r="I177" s="497"/>
      <c r="J177" s="5">
        <f t="shared" si="5"/>
        <v>96.854911384800232</v>
      </c>
      <c r="K177" s="6">
        <f t="shared" si="6"/>
        <v>-1047</v>
      </c>
      <c r="L177" s="1292"/>
      <c r="M177" s="1292"/>
      <c r="N177" s="70"/>
    </row>
    <row r="178" spans="1:14" ht="15" customHeight="1">
      <c r="A178" s="71" t="s">
        <v>304</v>
      </c>
      <c r="B178" s="72" t="s">
        <v>94</v>
      </c>
      <c r="C178" s="75" t="s">
        <v>305</v>
      </c>
      <c r="D178" s="19">
        <v>10320</v>
      </c>
      <c r="E178" s="19">
        <v>9733</v>
      </c>
      <c r="F178" s="19">
        <v>11098</v>
      </c>
      <c r="G178" s="8">
        <v>23895</v>
      </c>
      <c r="H178" s="74">
        <v>23498</v>
      </c>
      <c r="I178" s="498"/>
      <c r="J178" s="9">
        <f t="shared" si="5"/>
        <v>227.69379844961239</v>
      </c>
      <c r="K178" s="10">
        <f t="shared" si="6"/>
        <v>13178</v>
      </c>
      <c r="L178" s="1292"/>
      <c r="M178" s="1292"/>
      <c r="N178" s="70"/>
    </row>
    <row r="179" spans="1:14" ht="15" customHeight="1">
      <c r="A179" s="79" t="s">
        <v>304</v>
      </c>
      <c r="B179" s="80" t="s">
        <v>96</v>
      </c>
      <c r="C179" s="81" t="s">
        <v>306</v>
      </c>
      <c r="D179" s="24">
        <v>10238</v>
      </c>
      <c r="E179" s="24">
        <v>7036</v>
      </c>
      <c r="F179" s="24">
        <v>12082</v>
      </c>
      <c r="G179" s="12">
        <v>7548</v>
      </c>
      <c r="H179" s="82">
        <v>8835</v>
      </c>
      <c r="I179" s="500"/>
      <c r="J179" s="13">
        <f t="shared" si="5"/>
        <v>86.296151592107833</v>
      </c>
      <c r="K179" s="14">
        <f t="shared" si="6"/>
        <v>-1403</v>
      </c>
      <c r="L179" s="1292"/>
      <c r="M179" s="1292"/>
      <c r="N179" s="70"/>
    </row>
    <row r="180" spans="1:14" ht="15" customHeight="1">
      <c r="A180" s="71" t="s">
        <v>307</v>
      </c>
      <c r="B180" s="72" t="s">
        <v>18</v>
      </c>
      <c r="C180" s="75" t="s">
        <v>308</v>
      </c>
      <c r="D180" s="19">
        <v>74207</v>
      </c>
      <c r="E180" s="19">
        <v>124089</v>
      </c>
      <c r="F180" s="19">
        <v>14174</v>
      </c>
      <c r="G180" s="8">
        <v>86033</v>
      </c>
      <c r="H180" s="74">
        <v>134750</v>
      </c>
      <c r="I180" s="498"/>
      <c r="J180" s="9">
        <f t="shared" si="5"/>
        <v>181.58664276955002</v>
      </c>
      <c r="K180" s="10">
        <f t="shared" si="6"/>
        <v>60543</v>
      </c>
      <c r="L180" s="1292"/>
      <c r="M180" s="1292"/>
      <c r="N180" s="70"/>
    </row>
    <row r="181" spans="1:14" ht="15" customHeight="1">
      <c r="A181" s="87" t="s">
        <v>309</v>
      </c>
      <c r="B181" s="88" t="s">
        <v>29</v>
      </c>
      <c r="C181" s="89" t="s">
        <v>310</v>
      </c>
      <c r="D181" s="25">
        <v>153860</v>
      </c>
      <c r="E181" s="25">
        <v>99306</v>
      </c>
      <c r="F181" s="25">
        <v>85693</v>
      </c>
      <c r="G181" s="4">
        <v>151551</v>
      </c>
      <c r="H181" s="69">
        <v>129225</v>
      </c>
      <c r="I181" s="497"/>
      <c r="J181" s="5">
        <f t="shared" si="5"/>
        <v>83.988691017808392</v>
      </c>
      <c r="K181" s="6">
        <f t="shared" si="6"/>
        <v>-24635</v>
      </c>
      <c r="L181" s="1292"/>
      <c r="M181" s="1292"/>
      <c r="N181" s="70"/>
    </row>
    <row r="182" spans="1:14" ht="15" customHeight="1">
      <c r="A182" s="79" t="s">
        <v>309</v>
      </c>
      <c r="B182" s="80" t="s">
        <v>24</v>
      </c>
      <c r="C182" s="96" t="s">
        <v>311</v>
      </c>
      <c r="D182" s="24">
        <v>11463</v>
      </c>
      <c r="E182" s="24">
        <v>11790</v>
      </c>
      <c r="F182" s="24">
        <v>4813</v>
      </c>
      <c r="G182" s="12">
        <v>17690</v>
      </c>
      <c r="H182" s="82">
        <v>16319</v>
      </c>
      <c r="I182" s="500"/>
      <c r="J182" s="13">
        <f t="shared" si="5"/>
        <v>142.36238332024774</v>
      </c>
      <c r="K182" s="14">
        <f t="shared" si="6"/>
        <v>4856</v>
      </c>
      <c r="L182" s="1292"/>
      <c r="M182" s="1292"/>
      <c r="N182" s="70"/>
    </row>
    <row r="183" spans="1:14" ht="15" customHeight="1">
      <c r="A183" s="71" t="s">
        <v>312</v>
      </c>
      <c r="B183" s="72" t="s">
        <v>29</v>
      </c>
      <c r="C183" s="75" t="s">
        <v>313</v>
      </c>
      <c r="D183" s="111">
        <v>18661</v>
      </c>
      <c r="E183" s="111">
        <v>23458</v>
      </c>
      <c r="F183" s="111">
        <v>14725</v>
      </c>
      <c r="G183" s="8">
        <v>15582</v>
      </c>
      <c r="H183" s="74">
        <v>18445</v>
      </c>
      <c r="I183" s="498"/>
      <c r="J183" s="9">
        <f t="shared" si="5"/>
        <v>98.842505760677341</v>
      </c>
      <c r="K183" s="10">
        <f t="shared" si="6"/>
        <v>-216</v>
      </c>
      <c r="L183" s="1292"/>
      <c r="M183" s="1292"/>
      <c r="N183" s="70"/>
    </row>
    <row r="184" spans="1:14" ht="15" customHeight="1">
      <c r="A184" s="66" t="s">
        <v>314</v>
      </c>
      <c r="B184" s="67" t="s">
        <v>29</v>
      </c>
      <c r="C184" s="68" t="s">
        <v>315</v>
      </c>
      <c r="D184" s="25">
        <v>14407</v>
      </c>
      <c r="E184" s="25">
        <v>16096</v>
      </c>
      <c r="F184" s="25">
        <v>14404</v>
      </c>
      <c r="G184" s="4">
        <v>15165</v>
      </c>
      <c r="H184" s="69">
        <v>12205</v>
      </c>
      <c r="I184" s="497"/>
      <c r="J184" s="5">
        <f t="shared" si="5"/>
        <v>84.71576317068093</v>
      </c>
      <c r="K184" s="6">
        <f t="shared" si="6"/>
        <v>-2202</v>
      </c>
      <c r="L184" s="1292"/>
      <c r="M184" s="1292"/>
      <c r="N184" s="70"/>
    </row>
    <row r="185" spans="1:14" ht="15" customHeight="1">
      <c r="A185" s="93" t="s">
        <v>314</v>
      </c>
      <c r="B185" s="94" t="s">
        <v>65</v>
      </c>
      <c r="C185" s="95" t="s">
        <v>316</v>
      </c>
      <c r="D185" s="19">
        <v>11614</v>
      </c>
      <c r="E185" s="19">
        <v>6737</v>
      </c>
      <c r="F185" s="19">
        <v>4842</v>
      </c>
      <c r="G185" s="8">
        <v>5336</v>
      </c>
      <c r="H185" s="74">
        <v>6143</v>
      </c>
      <c r="I185" s="498"/>
      <c r="J185" s="9">
        <f t="shared" si="5"/>
        <v>52.893060099879449</v>
      </c>
      <c r="K185" s="10">
        <f t="shared" si="6"/>
        <v>-5471</v>
      </c>
      <c r="L185" s="1292"/>
      <c r="M185" s="1292"/>
      <c r="N185" s="70"/>
    </row>
    <row r="186" spans="1:14" ht="15" customHeight="1">
      <c r="A186" s="71" t="s">
        <v>314</v>
      </c>
      <c r="B186" s="72" t="s">
        <v>45</v>
      </c>
      <c r="C186" s="75" t="s">
        <v>317</v>
      </c>
      <c r="D186" s="19">
        <v>5123</v>
      </c>
      <c r="E186" s="19">
        <v>19158</v>
      </c>
      <c r="F186" s="19">
        <v>7995</v>
      </c>
      <c r="G186" s="8">
        <v>23417</v>
      </c>
      <c r="H186" s="74">
        <v>24899</v>
      </c>
      <c r="I186" s="498"/>
      <c r="J186" s="9">
        <f t="shared" si="5"/>
        <v>486.02381417138395</v>
      </c>
      <c r="K186" s="10">
        <f t="shared" si="6"/>
        <v>19776</v>
      </c>
      <c r="L186" s="1292"/>
      <c r="M186" s="1292"/>
      <c r="N186" s="70"/>
    </row>
    <row r="187" spans="1:14" ht="15" customHeight="1">
      <c r="A187" s="79" t="s">
        <v>314</v>
      </c>
      <c r="B187" s="80" t="s">
        <v>59</v>
      </c>
      <c r="C187" s="81" t="s">
        <v>318</v>
      </c>
      <c r="D187" s="24">
        <v>166244</v>
      </c>
      <c r="E187" s="24">
        <v>179383</v>
      </c>
      <c r="F187" s="24">
        <v>195592</v>
      </c>
      <c r="G187" s="12">
        <v>166096</v>
      </c>
      <c r="H187" s="82">
        <v>199254</v>
      </c>
      <c r="I187" s="500"/>
      <c r="J187" s="13">
        <f t="shared" si="5"/>
        <v>119.85635571810111</v>
      </c>
      <c r="K187" s="14">
        <f t="shared" si="6"/>
        <v>33010</v>
      </c>
      <c r="L187" s="14"/>
      <c r="M187" s="14"/>
      <c r="N187" s="65"/>
    </row>
    <row r="188" spans="1:14" ht="15" customHeight="1">
      <c r="A188" s="66" t="s">
        <v>319</v>
      </c>
      <c r="B188" s="67" t="s">
        <v>29</v>
      </c>
      <c r="C188" s="68" t="s">
        <v>320</v>
      </c>
      <c r="D188" s="25">
        <v>98489</v>
      </c>
      <c r="E188" s="25">
        <v>93248</v>
      </c>
      <c r="F188" s="20">
        <v>0</v>
      </c>
      <c r="G188" s="21">
        <v>0</v>
      </c>
      <c r="H188" s="553">
        <v>0</v>
      </c>
      <c r="I188" s="554">
        <f>'CT2015'!L839</f>
        <v>0</v>
      </c>
      <c r="J188" s="5">
        <f t="shared" si="5"/>
        <v>0</v>
      </c>
      <c r="K188" s="10">
        <f t="shared" si="6"/>
        <v>-98489</v>
      </c>
      <c r="L188" s="1292"/>
      <c r="M188" s="1292"/>
      <c r="N188" s="70" t="s">
        <v>321</v>
      </c>
    </row>
    <row r="189" spans="1:14" ht="15" customHeight="1">
      <c r="A189" s="71" t="s">
        <v>319</v>
      </c>
      <c r="B189" s="72" t="s">
        <v>22</v>
      </c>
      <c r="C189" s="75" t="s">
        <v>322</v>
      </c>
      <c r="D189" s="19">
        <v>4700</v>
      </c>
      <c r="E189" s="19">
        <v>6244</v>
      </c>
      <c r="F189" s="22">
        <v>0</v>
      </c>
      <c r="G189" s="23">
        <v>0</v>
      </c>
      <c r="H189" s="551">
        <v>0</v>
      </c>
      <c r="I189" s="552"/>
      <c r="J189" s="9">
        <f t="shared" si="5"/>
        <v>0</v>
      </c>
      <c r="K189" s="10">
        <f t="shared" si="6"/>
        <v>-4700</v>
      </c>
      <c r="L189" s="1292"/>
      <c r="M189" s="1292"/>
      <c r="N189" s="70"/>
    </row>
    <row r="190" spans="1:14" ht="15" customHeight="1">
      <c r="A190" s="71" t="s">
        <v>319</v>
      </c>
      <c r="B190" s="72" t="s">
        <v>115</v>
      </c>
      <c r="C190" s="75" t="s">
        <v>323</v>
      </c>
      <c r="D190" s="19">
        <v>22635</v>
      </c>
      <c r="E190" s="19">
        <v>10716</v>
      </c>
      <c r="F190" s="22">
        <v>0</v>
      </c>
      <c r="G190" s="23">
        <v>0</v>
      </c>
      <c r="H190" s="551">
        <v>0</v>
      </c>
      <c r="I190" s="552"/>
      <c r="J190" s="9">
        <f t="shared" si="5"/>
        <v>0</v>
      </c>
      <c r="K190" s="10">
        <f t="shared" si="6"/>
        <v>-22635</v>
      </c>
      <c r="L190" s="1292"/>
      <c r="M190" s="1292"/>
      <c r="N190" s="70"/>
    </row>
    <row r="191" spans="1:14" ht="15" customHeight="1">
      <c r="A191" s="71" t="s">
        <v>319</v>
      </c>
      <c r="B191" s="72" t="s">
        <v>117</v>
      </c>
      <c r="C191" s="75" t="s">
        <v>324</v>
      </c>
      <c r="D191" s="19">
        <v>5701</v>
      </c>
      <c r="E191" s="19">
        <v>26534</v>
      </c>
      <c r="F191" s="22">
        <v>0</v>
      </c>
      <c r="G191" s="23">
        <v>0</v>
      </c>
      <c r="H191" s="551">
        <v>0</v>
      </c>
      <c r="I191" s="552"/>
      <c r="J191" s="9">
        <f t="shared" si="5"/>
        <v>0</v>
      </c>
      <c r="K191" s="10">
        <f t="shared" si="6"/>
        <v>-5701</v>
      </c>
      <c r="L191" s="1292"/>
      <c r="M191" s="1292"/>
      <c r="N191" s="70"/>
    </row>
    <row r="192" spans="1:14" ht="15" customHeight="1">
      <c r="A192" s="71" t="s">
        <v>319</v>
      </c>
      <c r="B192" s="72" t="s">
        <v>119</v>
      </c>
      <c r="C192" s="75" t="s">
        <v>325</v>
      </c>
      <c r="D192" s="19">
        <v>13759</v>
      </c>
      <c r="E192" s="19">
        <v>18842</v>
      </c>
      <c r="F192" s="22">
        <v>0</v>
      </c>
      <c r="G192" s="23">
        <v>0</v>
      </c>
      <c r="H192" s="551">
        <v>0</v>
      </c>
      <c r="I192" s="552"/>
      <c r="J192" s="9">
        <f t="shared" si="5"/>
        <v>0</v>
      </c>
      <c r="K192" s="10">
        <f t="shared" si="6"/>
        <v>-13759</v>
      </c>
      <c r="L192" s="1292"/>
      <c r="M192" s="1292"/>
      <c r="N192" s="70"/>
    </row>
    <row r="193" spans="1:14" ht="15" customHeight="1">
      <c r="A193" s="71" t="s">
        <v>319</v>
      </c>
      <c r="B193" s="72" t="s">
        <v>267</v>
      </c>
      <c r="C193" s="75" t="s">
        <v>326</v>
      </c>
      <c r="D193" s="19">
        <v>22853</v>
      </c>
      <c r="E193" s="19">
        <v>32005</v>
      </c>
      <c r="F193" s="22">
        <v>0</v>
      </c>
      <c r="G193" s="23">
        <v>0</v>
      </c>
      <c r="H193" s="551">
        <v>0</v>
      </c>
      <c r="I193" s="552"/>
      <c r="J193" s="9">
        <f t="shared" si="5"/>
        <v>0</v>
      </c>
      <c r="K193" s="10">
        <f t="shared" si="6"/>
        <v>-22853</v>
      </c>
      <c r="L193" s="1292"/>
      <c r="M193" s="1292"/>
      <c r="N193" s="70"/>
    </row>
    <row r="194" spans="1:14" ht="15" customHeight="1">
      <c r="A194" s="71" t="s">
        <v>319</v>
      </c>
      <c r="B194" s="72" t="s">
        <v>327</v>
      </c>
      <c r="C194" s="75" t="s">
        <v>328</v>
      </c>
      <c r="D194" s="19">
        <v>280</v>
      </c>
      <c r="E194" s="19">
        <v>366</v>
      </c>
      <c r="F194" s="22">
        <v>0</v>
      </c>
      <c r="G194" s="23">
        <v>0</v>
      </c>
      <c r="H194" s="551">
        <v>0</v>
      </c>
      <c r="I194" s="552"/>
      <c r="J194" s="9">
        <f t="shared" si="5"/>
        <v>0</v>
      </c>
      <c r="K194" s="10">
        <f t="shared" si="6"/>
        <v>-280</v>
      </c>
      <c r="L194" s="1292"/>
      <c r="M194" s="1292"/>
      <c r="N194" s="70"/>
    </row>
    <row r="195" spans="1:14" ht="15" customHeight="1">
      <c r="A195" s="71" t="s">
        <v>319</v>
      </c>
      <c r="B195" s="72" t="s">
        <v>329</v>
      </c>
      <c r="C195" s="75" t="s">
        <v>330</v>
      </c>
      <c r="D195" s="19">
        <v>2732</v>
      </c>
      <c r="E195" s="19">
        <v>2708</v>
      </c>
      <c r="F195" s="19">
        <v>0</v>
      </c>
      <c r="G195" s="8">
        <v>119</v>
      </c>
      <c r="H195" s="74">
        <v>0</v>
      </c>
      <c r="I195" s="498"/>
      <c r="J195" s="9">
        <f t="shared" si="5"/>
        <v>0</v>
      </c>
      <c r="K195" s="10">
        <f t="shared" si="6"/>
        <v>-2732</v>
      </c>
      <c r="L195" s="1292"/>
      <c r="M195" s="1292"/>
      <c r="N195" s="70"/>
    </row>
    <row r="196" spans="1:14" ht="15" customHeight="1">
      <c r="A196" s="71" t="s">
        <v>319</v>
      </c>
      <c r="B196" s="72" t="s">
        <v>63</v>
      </c>
      <c r="C196" s="75" t="s">
        <v>331</v>
      </c>
      <c r="D196" s="19">
        <v>60069</v>
      </c>
      <c r="E196" s="19">
        <v>41281</v>
      </c>
      <c r="F196" s="19">
        <v>32798</v>
      </c>
      <c r="G196" s="8">
        <v>41907</v>
      </c>
      <c r="H196" s="74">
        <v>36284</v>
      </c>
      <c r="I196" s="498"/>
      <c r="J196" s="9">
        <f t="shared" si="5"/>
        <v>60.403868884116598</v>
      </c>
      <c r="K196" s="10">
        <f t="shared" si="6"/>
        <v>-23785</v>
      </c>
      <c r="L196" s="1292"/>
      <c r="M196" s="1292"/>
      <c r="N196" s="70"/>
    </row>
    <row r="197" spans="1:14" ht="15" customHeight="1">
      <c r="A197" s="66" t="s">
        <v>332</v>
      </c>
      <c r="B197" s="67" t="s">
        <v>29</v>
      </c>
      <c r="C197" s="68" t="s">
        <v>333</v>
      </c>
      <c r="D197" s="25">
        <v>31502</v>
      </c>
      <c r="E197" s="25">
        <v>25205</v>
      </c>
      <c r="F197" s="25">
        <v>36964</v>
      </c>
      <c r="G197" s="4">
        <v>64183</v>
      </c>
      <c r="H197" s="69">
        <v>43152</v>
      </c>
      <c r="I197" s="497"/>
      <c r="J197" s="5">
        <f t="shared" ref="J197:J260" si="7">H197/D197*100</f>
        <v>136.98177893467081</v>
      </c>
      <c r="K197" s="6">
        <f t="shared" ref="K197:K260" si="8">H197-D197</f>
        <v>11650</v>
      </c>
      <c r="L197" s="1292"/>
      <c r="M197" s="1292"/>
      <c r="N197" s="70"/>
    </row>
    <row r="198" spans="1:14" ht="15" customHeight="1">
      <c r="A198" s="77" t="s">
        <v>332</v>
      </c>
      <c r="B198" s="78" t="s">
        <v>63</v>
      </c>
      <c r="C198" s="73" t="s">
        <v>334</v>
      </c>
      <c r="D198" s="19">
        <v>18443</v>
      </c>
      <c r="E198" s="19">
        <v>39741</v>
      </c>
      <c r="F198" s="19">
        <v>17295</v>
      </c>
      <c r="G198" s="8">
        <v>29361</v>
      </c>
      <c r="H198" s="74">
        <v>23015</v>
      </c>
      <c r="I198" s="498"/>
      <c r="J198" s="9">
        <f t="shared" si="7"/>
        <v>124.78989318440601</v>
      </c>
      <c r="K198" s="10">
        <f t="shared" si="8"/>
        <v>4572</v>
      </c>
      <c r="L198" s="1292"/>
      <c r="M198" s="1292"/>
      <c r="N198" s="70"/>
    </row>
    <row r="199" spans="1:14" ht="15" customHeight="1">
      <c r="A199" s="79" t="s">
        <v>332</v>
      </c>
      <c r="B199" s="80" t="s">
        <v>24</v>
      </c>
      <c r="C199" s="96" t="s">
        <v>335</v>
      </c>
      <c r="D199" s="24">
        <v>15079</v>
      </c>
      <c r="E199" s="24">
        <v>14197</v>
      </c>
      <c r="F199" s="24">
        <v>10264</v>
      </c>
      <c r="G199" s="12">
        <v>13862</v>
      </c>
      <c r="H199" s="82">
        <v>12661</v>
      </c>
      <c r="I199" s="500"/>
      <c r="J199" s="13">
        <f t="shared" si="7"/>
        <v>83.964453876251739</v>
      </c>
      <c r="K199" s="14">
        <f t="shared" si="8"/>
        <v>-2418</v>
      </c>
      <c r="L199" s="14"/>
      <c r="M199" s="14"/>
      <c r="N199" s="65"/>
    </row>
    <row r="200" spans="1:14" ht="15" customHeight="1">
      <c r="A200" s="71" t="s">
        <v>336</v>
      </c>
      <c r="B200" s="72" t="s">
        <v>29</v>
      </c>
      <c r="C200" s="75" t="s">
        <v>337</v>
      </c>
      <c r="D200" s="19">
        <v>96790</v>
      </c>
      <c r="E200" s="19">
        <v>132935</v>
      </c>
      <c r="F200" s="19">
        <v>141078</v>
      </c>
      <c r="G200" s="8">
        <v>229217</v>
      </c>
      <c r="H200" s="74">
        <v>220557</v>
      </c>
      <c r="I200" s="498"/>
      <c r="J200" s="9">
        <f t="shared" si="7"/>
        <v>227.87168095877672</v>
      </c>
      <c r="K200" s="6">
        <f t="shared" si="8"/>
        <v>123767</v>
      </c>
      <c r="L200" s="1292"/>
      <c r="M200" s="1292"/>
      <c r="N200" s="70" t="s">
        <v>338</v>
      </c>
    </row>
    <row r="201" spans="1:14" ht="15" customHeight="1">
      <c r="A201" s="71" t="s">
        <v>336</v>
      </c>
      <c r="B201" s="72" t="s">
        <v>22</v>
      </c>
      <c r="C201" s="75" t="s">
        <v>339</v>
      </c>
      <c r="D201" s="19">
        <v>37043</v>
      </c>
      <c r="E201" s="19">
        <v>33614</v>
      </c>
      <c r="F201" s="19">
        <v>44058</v>
      </c>
      <c r="G201" s="8">
        <v>29916</v>
      </c>
      <c r="H201" s="74">
        <v>48822</v>
      </c>
      <c r="I201" s="498"/>
      <c r="J201" s="9">
        <f t="shared" si="7"/>
        <v>131.79818049294062</v>
      </c>
      <c r="K201" s="10">
        <f t="shared" si="8"/>
        <v>11779</v>
      </c>
      <c r="L201" s="1292"/>
      <c r="M201" s="1292"/>
      <c r="N201" s="70"/>
    </row>
    <row r="202" spans="1:14" ht="15" customHeight="1">
      <c r="A202" s="71" t="s">
        <v>336</v>
      </c>
      <c r="B202" s="72" t="s">
        <v>115</v>
      </c>
      <c r="C202" s="75" t="s">
        <v>340</v>
      </c>
      <c r="D202" s="19">
        <v>37592</v>
      </c>
      <c r="E202" s="19">
        <v>33250</v>
      </c>
      <c r="F202" s="19">
        <v>26654</v>
      </c>
      <c r="G202" s="8">
        <v>23012</v>
      </c>
      <c r="H202" s="74">
        <v>20333</v>
      </c>
      <c r="I202" s="498"/>
      <c r="J202" s="9">
        <f t="shared" si="7"/>
        <v>54.088635879974468</v>
      </c>
      <c r="K202" s="10">
        <f t="shared" si="8"/>
        <v>-17259</v>
      </c>
      <c r="L202" s="1292"/>
      <c r="M202" s="1292"/>
      <c r="N202" s="70"/>
    </row>
    <row r="203" spans="1:14" ht="15" customHeight="1">
      <c r="A203" s="71" t="s">
        <v>336</v>
      </c>
      <c r="B203" s="72" t="s">
        <v>117</v>
      </c>
      <c r="C203" s="75" t="s">
        <v>341</v>
      </c>
      <c r="D203" s="19">
        <v>53561</v>
      </c>
      <c r="E203" s="19">
        <v>51982</v>
      </c>
      <c r="F203" s="19">
        <v>58202</v>
      </c>
      <c r="G203" s="8">
        <v>46634</v>
      </c>
      <c r="H203" s="74">
        <v>33410</v>
      </c>
      <c r="I203" s="498"/>
      <c r="J203" s="9">
        <f t="shared" si="7"/>
        <v>62.377476148690278</v>
      </c>
      <c r="K203" s="10">
        <f t="shared" si="8"/>
        <v>-20151</v>
      </c>
      <c r="L203" s="1292"/>
      <c r="M203" s="1292"/>
      <c r="N203" s="70"/>
    </row>
    <row r="204" spans="1:14" ht="15" customHeight="1">
      <c r="A204" s="71" t="s">
        <v>336</v>
      </c>
      <c r="B204" s="72" t="s">
        <v>119</v>
      </c>
      <c r="C204" s="75" t="s">
        <v>342</v>
      </c>
      <c r="D204" s="19">
        <v>25157</v>
      </c>
      <c r="E204" s="19">
        <v>16776</v>
      </c>
      <c r="F204" s="19">
        <v>18380</v>
      </c>
      <c r="G204" s="8">
        <v>9684</v>
      </c>
      <c r="H204" s="74">
        <v>10849</v>
      </c>
      <c r="I204" s="498"/>
      <c r="J204" s="9">
        <f t="shared" si="7"/>
        <v>43.125173907858652</v>
      </c>
      <c r="K204" s="10">
        <f t="shared" si="8"/>
        <v>-14308</v>
      </c>
      <c r="L204" s="1292"/>
      <c r="M204" s="1292"/>
      <c r="N204" s="70"/>
    </row>
    <row r="205" spans="1:14" ht="15" customHeight="1">
      <c r="A205" s="71" t="s">
        <v>336</v>
      </c>
      <c r="B205" s="72" t="s">
        <v>267</v>
      </c>
      <c r="C205" s="75" t="s">
        <v>343</v>
      </c>
      <c r="D205" s="19">
        <v>35281</v>
      </c>
      <c r="E205" s="19">
        <v>44260</v>
      </c>
      <c r="F205" s="19">
        <v>45857</v>
      </c>
      <c r="G205" s="8">
        <v>47517</v>
      </c>
      <c r="H205" s="74">
        <v>46914</v>
      </c>
      <c r="I205" s="498"/>
      <c r="J205" s="9">
        <f t="shared" si="7"/>
        <v>132.9724214166265</v>
      </c>
      <c r="K205" s="10">
        <f t="shared" si="8"/>
        <v>11633</v>
      </c>
      <c r="L205" s="1292"/>
      <c r="M205" s="1292"/>
      <c r="N205" s="70"/>
    </row>
    <row r="206" spans="1:14" ht="15" customHeight="1">
      <c r="A206" s="71" t="s">
        <v>336</v>
      </c>
      <c r="B206" s="72" t="s">
        <v>327</v>
      </c>
      <c r="C206" s="75" t="s">
        <v>344</v>
      </c>
      <c r="D206" s="19">
        <v>23614</v>
      </c>
      <c r="E206" s="19">
        <v>23597</v>
      </c>
      <c r="F206" s="19">
        <v>15914</v>
      </c>
      <c r="G206" s="8">
        <v>8675</v>
      </c>
      <c r="H206" s="74">
        <v>6957</v>
      </c>
      <c r="I206" s="498"/>
      <c r="J206" s="9">
        <f t="shared" si="7"/>
        <v>29.461336495299399</v>
      </c>
      <c r="K206" s="10">
        <f t="shared" si="8"/>
        <v>-16657</v>
      </c>
      <c r="L206" s="1292"/>
      <c r="M206" s="1292"/>
      <c r="N206" s="70"/>
    </row>
    <row r="207" spans="1:14" ht="15" customHeight="1">
      <c r="A207" s="71" t="s">
        <v>336</v>
      </c>
      <c r="B207" s="72" t="s">
        <v>63</v>
      </c>
      <c r="C207" s="75" t="s">
        <v>345</v>
      </c>
      <c r="D207" s="19">
        <v>45599</v>
      </c>
      <c r="E207" s="19">
        <v>34953</v>
      </c>
      <c r="F207" s="19">
        <v>31075</v>
      </c>
      <c r="G207" s="8">
        <v>29057</v>
      </c>
      <c r="H207" s="74">
        <v>48835</v>
      </c>
      <c r="I207" s="498"/>
      <c r="J207" s="9">
        <f t="shared" si="7"/>
        <v>107.0966468562907</v>
      </c>
      <c r="K207" s="10">
        <f t="shared" si="8"/>
        <v>3236</v>
      </c>
      <c r="L207" s="1292"/>
      <c r="M207" s="1292"/>
      <c r="N207" s="70"/>
    </row>
    <row r="208" spans="1:14" ht="15" customHeight="1">
      <c r="A208" s="83" t="s">
        <v>346</v>
      </c>
      <c r="B208" s="84" t="s">
        <v>29</v>
      </c>
      <c r="C208" s="85" t="s">
        <v>347</v>
      </c>
      <c r="D208" s="26">
        <v>33283</v>
      </c>
      <c r="E208" s="26">
        <v>12829</v>
      </c>
      <c r="F208" s="26">
        <v>13656</v>
      </c>
      <c r="G208" s="16">
        <v>17555</v>
      </c>
      <c r="H208" s="86">
        <v>20250</v>
      </c>
      <c r="I208" s="501"/>
      <c r="J208" s="17">
        <f t="shared" si="7"/>
        <v>60.841871225550584</v>
      </c>
      <c r="K208" s="18">
        <f t="shared" si="8"/>
        <v>-13033</v>
      </c>
      <c r="L208" s="1292"/>
      <c r="M208" s="1292"/>
      <c r="N208" s="70"/>
    </row>
    <row r="209" spans="1:15" ht="15" customHeight="1">
      <c r="A209" s="71" t="s">
        <v>348</v>
      </c>
      <c r="B209" s="101" t="s">
        <v>102</v>
      </c>
      <c r="C209" s="75" t="s">
        <v>349</v>
      </c>
      <c r="D209" s="19">
        <v>53590</v>
      </c>
      <c r="E209" s="19">
        <v>44030</v>
      </c>
      <c r="F209" s="19">
        <v>27242</v>
      </c>
      <c r="G209" s="8">
        <v>20304</v>
      </c>
      <c r="H209" s="74">
        <v>8734</v>
      </c>
      <c r="I209" s="498">
        <f>'CT2015'!L863</f>
        <v>26.201999999999998</v>
      </c>
      <c r="J209" s="9">
        <f t="shared" si="7"/>
        <v>16.297816756857621</v>
      </c>
      <c r="K209" s="10">
        <f t="shared" si="8"/>
        <v>-44856</v>
      </c>
      <c r="L209" s="1292">
        <f>'CT2020'!T911</f>
        <v>17</v>
      </c>
      <c r="M209" s="1292">
        <f>L209-I209</f>
        <v>-9.2019999999999982</v>
      </c>
      <c r="N209" s="70"/>
      <c r="O209" s="1486">
        <f>M209/I209*100</f>
        <v>-35.119456530035869</v>
      </c>
    </row>
    <row r="210" spans="1:15" ht="15" customHeight="1">
      <c r="A210" s="71" t="s">
        <v>348</v>
      </c>
      <c r="B210" s="72" t="s">
        <v>59</v>
      </c>
      <c r="C210" s="75" t="s">
        <v>350</v>
      </c>
      <c r="D210" s="19">
        <v>116408</v>
      </c>
      <c r="E210" s="19">
        <v>97278</v>
      </c>
      <c r="F210" s="19">
        <v>94005</v>
      </c>
      <c r="G210" s="8">
        <v>87942</v>
      </c>
      <c r="H210" s="74">
        <v>94807</v>
      </c>
      <c r="I210" s="498"/>
      <c r="J210" s="9">
        <f t="shared" si="7"/>
        <v>81.443715208576734</v>
      </c>
      <c r="K210" s="14">
        <f t="shared" si="8"/>
        <v>-21601</v>
      </c>
      <c r="L210" s="14"/>
      <c r="M210" s="14"/>
      <c r="N210" s="65"/>
    </row>
    <row r="211" spans="1:15" ht="15" customHeight="1">
      <c r="A211" s="83" t="s">
        <v>351</v>
      </c>
      <c r="B211" s="84" t="s">
        <v>29</v>
      </c>
      <c r="C211" s="85" t="s">
        <v>352</v>
      </c>
      <c r="D211" s="26">
        <v>51976</v>
      </c>
      <c r="E211" s="26">
        <v>43959</v>
      </c>
      <c r="F211" s="26">
        <v>34582</v>
      </c>
      <c r="G211" s="16">
        <v>22345</v>
      </c>
      <c r="H211" s="86">
        <v>13768</v>
      </c>
      <c r="I211" s="501">
        <f>'CT2015'!L865</f>
        <v>715.93600000000004</v>
      </c>
      <c r="J211" s="17">
        <f t="shared" si="7"/>
        <v>26.489148837925196</v>
      </c>
      <c r="K211" s="18">
        <f t="shared" si="8"/>
        <v>-38208</v>
      </c>
      <c r="L211" s="1292">
        <f>'CT2020'!T913</f>
        <v>518</v>
      </c>
      <c r="M211" s="1292">
        <f>L211-I211</f>
        <v>-197.93600000000004</v>
      </c>
      <c r="N211" s="70" t="s">
        <v>232</v>
      </c>
      <c r="O211" s="1486">
        <f>M211/I211*100</f>
        <v>-27.647163992312169</v>
      </c>
    </row>
    <row r="212" spans="1:15" ht="15" customHeight="1">
      <c r="A212" s="71" t="s">
        <v>353</v>
      </c>
      <c r="B212" s="72" t="s">
        <v>29</v>
      </c>
      <c r="C212" s="75" t="s">
        <v>354</v>
      </c>
      <c r="D212" s="19">
        <v>67528</v>
      </c>
      <c r="E212" s="19">
        <v>46125</v>
      </c>
      <c r="F212" s="19">
        <v>33100</v>
      </c>
      <c r="G212" s="8">
        <v>24408</v>
      </c>
      <c r="H212" s="74">
        <v>14882</v>
      </c>
      <c r="I212" s="498"/>
      <c r="J212" s="9">
        <f t="shared" si="7"/>
        <v>22.038265608340243</v>
      </c>
      <c r="K212" s="10">
        <f t="shared" si="8"/>
        <v>-52646</v>
      </c>
      <c r="L212" s="1292"/>
      <c r="M212" s="1292"/>
      <c r="N212" s="70"/>
    </row>
    <row r="213" spans="1:15" ht="15" customHeight="1">
      <c r="A213" s="79" t="s">
        <v>353</v>
      </c>
      <c r="B213" s="80" t="s">
        <v>24</v>
      </c>
      <c r="C213" s="81" t="s">
        <v>355</v>
      </c>
      <c r="D213" s="24">
        <v>30753</v>
      </c>
      <c r="E213" s="24">
        <v>26809</v>
      </c>
      <c r="F213" s="24">
        <v>19977</v>
      </c>
      <c r="G213" s="12">
        <v>19523</v>
      </c>
      <c r="H213" s="82">
        <v>21064</v>
      </c>
      <c r="I213" s="500">
        <f>'CT2015'!L868</f>
        <v>1095.328</v>
      </c>
      <c r="J213" s="13">
        <f t="shared" si="7"/>
        <v>68.494130653919939</v>
      </c>
      <c r="K213" s="10">
        <f t="shared" si="8"/>
        <v>-9689</v>
      </c>
      <c r="L213" s="1292">
        <f>'CT2020'!T916</f>
        <v>868</v>
      </c>
      <c r="M213" s="1292">
        <f>L213-I213</f>
        <v>-227.32799999999997</v>
      </c>
      <c r="N213" s="65"/>
      <c r="O213" s="1486">
        <f>M213/I213*100</f>
        <v>-20.754331122732182</v>
      </c>
    </row>
    <row r="214" spans="1:15" ht="15" customHeight="1">
      <c r="A214" s="71" t="s">
        <v>356</v>
      </c>
      <c r="B214" s="72" t="s">
        <v>29</v>
      </c>
      <c r="C214" s="75" t="s">
        <v>357</v>
      </c>
      <c r="D214" s="19">
        <v>11128</v>
      </c>
      <c r="E214" s="19">
        <v>6477</v>
      </c>
      <c r="F214" s="19">
        <v>16280</v>
      </c>
      <c r="G214" s="8">
        <v>105199</v>
      </c>
      <c r="H214" s="74">
        <v>0</v>
      </c>
      <c r="I214" s="498"/>
      <c r="J214" s="9">
        <f t="shared" si="7"/>
        <v>0</v>
      </c>
      <c r="K214" s="6">
        <f t="shared" si="8"/>
        <v>-11128</v>
      </c>
      <c r="L214" s="1292"/>
      <c r="M214" s="1292"/>
      <c r="N214" s="70" t="s">
        <v>358</v>
      </c>
    </row>
    <row r="215" spans="1:15" ht="15" customHeight="1">
      <c r="A215" s="71" t="s">
        <v>356</v>
      </c>
      <c r="B215" s="72" t="s">
        <v>22</v>
      </c>
      <c r="C215" s="73" t="s">
        <v>359</v>
      </c>
      <c r="D215" s="19">
        <v>4042</v>
      </c>
      <c r="E215" s="19">
        <v>6174</v>
      </c>
      <c r="F215" s="19">
        <v>15093</v>
      </c>
      <c r="G215" s="8">
        <v>7935</v>
      </c>
      <c r="H215" s="74">
        <v>60584</v>
      </c>
      <c r="I215" s="498"/>
      <c r="J215" s="9">
        <f t="shared" si="7"/>
        <v>1498.8619495299356</v>
      </c>
      <c r="K215" s="10">
        <f t="shared" si="8"/>
        <v>56542</v>
      </c>
      <c r="L215" s="1292"/>
      <c r="M215" s="1292"/>
      <c r="N215" s="70"/>
    </row>
    <row r="216" spans="1:15" ht="15" customHeight="1">
      <c r="A216" s="93" t="s">
        <v>360</v>
      </c>
      <c r="B216" s="112" t="s">
        <v>65</v>
      </c>
      <c r="C216" s="95" t="s">
        <v>361</v>
      </c>
      <c r="D216" s="19">
        <v>0</v>
      </c>
      <c r="E216" s="19">
        <v>589</v>
      </c>
      <c r="F216" s="19">
        <v>441</v>
      </c>
      <c r="G216" s="8">
        <v>566</v>
      </c>
      <c r="H216" s="74">
        <v>390</v>
      </c>
      <c r="I216" s="498"/>
      <c r="J216" s="92" t="s">
        <v>42</v>
      </c>
      <c r="K216" s="10">
        <f t="shared" si="8"/>
        <v>390</v>
      </c>
      <c r="L216" s="1292"/>
      <c r="M216" s="1292"/>
      <c r="N216" s="70"/>
    </row>
    <row r="217" spans="1:15" ht="15" customHeight="1">
      <c r="A217" s="71" t="s">
        <v>360</v>
      </c>
      <c r="B217" s="72" t="s">
        <v>45</v>
      </c>
      <c r="C217" s="75" t="s">
        <v>362</v>
      </c>
      <c r="D217" s="19">
        <v>36470</v>
      </c>
      <c r="E217" s="19">
        <v>35514</v>
      </c>
      <c r="F217" s="19">
        <v>17249</v>
      </c>
      <c r="G217" s="8">
        <v>6359</v>
      </c>
      <c r="H217" s="74">
        <v>4289</v>
      </c>
      <c r="I217" s="498"/>
      <c r="J217" s="9">
        <f t="shared" si="7"/>
        <v>11.760350973402797</v>
      </c>
      <c r="K217" s="10">
        <f t="shared" si="8"/>
        <v>-32181</v>
      </c>
      <c r="L217" s="1292"/>
      <c r="M217" s="1292"/>
      <c r="N217" s="70"/>
    </row>
    <row r="218" spans="1:15" ht="15" customHeight="1">
      <c r="A218" s="71" t="s">
        <v>360</v>
      </c>
      <c r="B218" s="72" t="s">
        <v>59</v>
      </c>
      <c r="C218" s="75" t="s">
        <v>363</v>
      </c>
      <c r="D218" s="19">
        <v>48515</v>
      </c>
      <c r="E218" s="19">
        <v>48543</v>
      </c>
      <c r="F218" s="19">
        <v>34307</v>
      </c>
      <c r="G218" s="8">
        <v>26596</v>
      </c>
      <c r="H218" s="74">
        <v>28470</v>
      </c>
      <c r="I218" s="498"/>
      <c r="J218" s="9">
        <f t="shared" si="7"/>
        <v>58.682881583015565</v>
      </c>
      <c r="K218" s="10">
        <f t="shared" si="8"/>
        <v>-20045</v>
      </c>
      <c r="L218" s="1292"/>
      <c r="M218" s="1292"/>
      <c r="N218" s="70"/>
    </row>
    <row r="219" spans="1:15" ht="15" customHeight="1">
      <c r="A219" s="66" t="s">
        <v>364</v>
      </c>
      <c r="B219" s="67" t="s">
        <v>29</v>
      </c>
      <c r="C219" s="89" t="s">
        <v>365</v>
      </c>
      <c r="D219" s="25">
        <v>17373</v>
      </c>
      <c r="E219" s="25">
        <v>16406</v>
      </c>
      <c r="F219" s="25">
        <v>17199</v>
      </c>
      <c r="G219" s="4">
        <v>16935</v>
      </c>
      <c r="H219" s="69">
        <v>18093</v>
      </c>
      <c r="I219" s="497"/>
      <c r="J219" s="5">
        <f t="shared" si="7"/>
        <v>104.14436194094286</v>
      </c>
      <c r="K219" s="6">
        <f t="shared" si="8"/>
        <v>720</v>
      </c>
      <c r="L219" s="1292"/>
      <c r="M219" s="1292"/>
      <c r="N219" s="70"/>
    </row>
    <row r="220" spans="1:15" ht="15" customHeight="1">
      <c r="A220" s="93" t="s">
        <v>366</v>
      </c>
      <c r="B220" s="112" t="s">
        <v>65</v>
      </c>
      <c r="C220" s="95" t="s">
        <v>367</v>
      </c>
      <c r="D220" s="19">
        <v>89027</v>
      </c>
      <c r="E220" s="19">
        <v>76729</v>
      </c>
      <c r="F220" s="19">
        <v>54663</v>
      </c>
      <c r="G220" s="8">
        <v>38107</v>
      </c>
      <c r="H220" s="74">
        <v>40194</v>
      </c>
      <c r="I220" s="498"/>
      <c r="J220" s="9">
        <f t="shared" si="7"/>
        <v>45.148101137857054</v>
      </c>
      <c r="K220" s="10">
        <f t="shared" si="8"/>
        <v>-48833</v>
      </c>
      <c r="L220" s="1292"/>
      <c r="M220" s="1292"/>
      <c r="N220" s="70"/>
    </row>
    <row r="221" spans="1:15" ht="15" customHeight="1">
      <c r="A221" s="79" t="s">
        <v>366</v>
      </c>
      <c r="B221" s="80" t="s">
        <v>67</v>
      </c>
      <c r="C221" s="96" t="s">
        <v>368</v>
      </c>
      <c r="D221" s="24">
        <v>71123</v>
      </c>
      <c r="E221" s="24">
        <v>52206</v>
      </c>
      <c r="F221" s="24">
        <v>41627</v>
      </c>
      <c r="G221" s="12">
        <v>30329</v>
      </c>
      <c r="H221" s="82">
        <v>40570</v>
      </c>
      <c r="I221" s="500"/>
      <c r="J221" s="13">
        <f t="shared" si="7"/>
        <v>57.042025786313857</v>
      </c>
      <c r="K221" s="14">
        <f t="shared" si="8"/>
        <v>-30553</v>
      </c>
      <c r="L221" s="1292"/>
      <c r="M221" s="1292"/>
      <c r="N221" s="70"/>
    </row>
    <row r="222" spans="1:15" ht="15" customHeight="1">
      <c r="A222" s="71" t="s">
        <v>369</v>
      </c>
      <c r="B222" s="72" t="s">
        <v>29</v>
      </c>
      <c r="C222" s="75" t="s">
        <v>370</v>
      </c>
      <c r="D222" s="19">
        <v>4252</v>
      </c>
      <c r="E222" s="19">
        <v>2396</v>
      </c>
      <c r="F222" s="19">
        <v>1242</v>
      </c>
      <c r="G222" s="8">
        <v>651</v>
      </c>
      <c r="H222" s="74">
        <v>720</v>
      </c>
      <c r="I222" s="498"/>
      <c r="J222" s="9">
        <f t="shared" si="7"/>
        <v>16.933207902163687</v>
      </c>
      <c r="K222" s="10">
        <f t="shared" si="8"/>
        <v>-3532</v>
      </c>
      <c r="L222" s="1292"/>
      <c r="M222" s="1292"/>
      <c r="N222" s="70"/>
    </row>
    <row r="223" spans="1:15" ht="15" customHeight="1">
      <c r="A223" s="71" t="s">
        <v>369</v>
      </c>
      <c r="B223" s="72" t="s">
        <v>22</v>
      </c>
      <c r="C223" s="75" t="s">
        <v>371</v>
      </c>
      <c r="D223" s="19">
        <v>568</v>
      </c>
      <c r="E223" s="19">
        <v>1964</v>
      </c>
      <c r="F223" s="19">
        <v>445</v>
      </c>
      <c r="G223" s="8">
        <v>401</v>
      </c>
      <c r="H223" s="74">
        <v>4608</v>
      </c>
      <c r="I223" s="498"/>
      <c r="J223" s="9">
        <f t="shared" si="7"/>
        <v>811.26760563380276</v>
      </c>
      <c r="K223" s="10">
        <f t="shared" si="8"/>
        <v>4040</v>
      </c>
      <c r="L223" s="1292"/>
      <c r="M223" s="1292"/>
      <c r="N223" s="70"/>
    </row>
    <row r="224" spans="1:15" ht="15" customHeight="1">
      <c r="A224" s="71" t="s">
        <v>369</v>
      </c>
      <c r="B224" s="72" t="s">
        <v>115</v>
      </c>
      <c r="C224" s="75" t="s">
        <v>372</v>
      </c>
      <c r="D224" s="19">
        <v>1719</v>
      </c>
      <c r="E224" s="19">
        <v>1792</v>
      </c>
      <c r="F224" s="19">
        <v>957</v>
      </c>
      <c r="G224" s="8">
        <v>342</v>
      </c>
      <c r="H224" s="74">
        <v>163</v>
      </c>
      <c r="I224" s="498"/>
      <c r="J224" s="9">
        <f t="shared" si="7"/>
        <v>9.482257126236183</v>
      </c>
      <c r="K224" s="10">
        <f t="shared" si="8"/>
        <v>-1556</v>
      </c>
      <c r="L224" s="1292"/>
      <c r="M224" s="1292"/>
      <c r="N224" s="70"/>
    </row>
    <row r="225" spans="1:14" ht="15" customHeight="1">
      <c r="A225" s="87" t="s">
        <v>373</v>
      </c>
      <c r="B225" s="88" t="s">
        <v>29</v>
      </c>
      <c r="C225" s="89" t="s">
        <v>374</v>
      </c>
      <c r="D225" s="25">
        <v>39295</v>
      </c>
      <c r="E225" s="25">
        <v>30090</v>
      </c>
      <c r="F225" s="25">
        <v>30805</v>
      </c>
      <c r="G225" s="4">
        <v>34617</v>
      </c>
      <c r="H225" s="69">
        <v>23139</v>
      </c>
      <c r="I225" s="497"/>
      <c r="J225" s="5">
        <f t="shared" si="7"/>
        <v>58.885354370785095</v>
      </c>
      <c r="K225" s="6">
        <f t="shared" si="8"/>
        <v>-16156</v>
      </c>
      <c r="L225" s="1292"/>
      <c r="M225" s="1292"/>
      <c r="N225" s="70"/>
    </row>
    <row r="226" spans="1:14" ht="15" customHeight="1">
      <c r="A226" s="99" t="s">
        <v>373</v>
      </c>
      <c r="B226" s="100" t="s">
        <v>47</v>
      </c>
      <c r="C226" s="96" t="s">
        <v>375</v>
      </c>
      <c r="D226" s="24">
        <v>33012</v>
      </c>
      <c r="E226" s="24">
        <v>24389</v>
      </c>
      <c r="F226" s="24">
        <v>19833</v>
      </c>
      <c r="G226" s="12">
        <v>12392</v>
      </c>
      <c r="H226" s="82">
        <v>11337</v>
      </c>
      <c r="I226" s="500"/>
      <c r="J226" s="13">
        <f t="shared" si="7"/>
        <v>34.342057433660486</v>
      </c>
      <c r="K226" s="14">
        <f t="shared" si="8"/>
        <v>-21675</v>
      </c>
      <c r="L226" s="1292"/>
      <c r="M226" s="1292"/>
      <c r="N226" s="70"/>
    </row>
    <row r="227" spans="1:14" ht="15" customHeight="1">
      <c r="A227" s="77" t="s">
        <v>376</v>
      </c>
      <c r="B227" s="78" t="s">
        <v>18</v>
      </c>
      <c r="C227" s="73" t="s">
        <v>377</v>
      </c>
      <c r="D227" s="19">
        <v>2928</v>
      </c>
      <c r="E227" s="19">
        <v>3270</v>
      </c>
      <c r="F227" s="19">
        <v>2729</v>
      </c>
      <c r="G227" s="8">
        <v>7215</v>
      </c>
      <c r="H227" s="74">
        <v>5721</v>
      </c>
      <c r="I227" s="498"/>
      <c r="J227" s="9">
        <f t="shared" si="7"/>
        <v>195.38934426229508</v>
      </c>
      <c r="K227" s="10">
        <f t="shared" si="8"/>
        <v>2793</v>
      </c>
      <c r="L227" s="1292"/>
      <c r="M227" s="1292"/>
      <c r="N227" s="70"/>
    </row>
    <row r="228" spans="1:14" ht="15" customHeight="1">
      <c r="A228" s="93" t="s">
        <v>376</v>
      </c>
      <c r="B228" s="94" t="s">
        <v>65</v>
      </c>
      <c r="C228" s="95" t="s">
        <v>378</v>
      </c>
      <c r="D228" s="19">
        <v>2587</v>
      </c>
      <c r="E228" s="19">
        <v>2622</v>
      </c>
      <c r="F228" s="19">
        <v>2884</v>
      </c>
      <c r="G228" s="8">
        <v>2409</v>
      </c>
      <c r="H228" s="74">
        <v>2659</v>
      </c>
      <c r="I228" s="498"/>
      <c r="J228" s="9">
        <f t="shared" si="7"/>
        <v>102.78314650173948</v>
      </c>
      <c r="K228" s="10">
        <f t="shared" si="8"/>
        <v>72</v>
      </c>
      <c r="L228" s="1292"/>
      <c r="M228" s="1292"/>
      <c r="N228" s="70"/>
    </row>
    <row r="229" spans="1:14" ht="15" customHeight="1">
      <c r="A229" s="71" t="s">
        <v>376</v>
      </c>
      <c r="B229" s="72" t="s">
        <v>59</v>
      </c>
      <c r="C229" s="97" t="s">
        <v>379</v>
      </c>
      <c r="D229" s="19">
        <v>32299</v>
      </c>
      <c r="E229" s="19">
        <v>31343</v>
      </c>
      <c r="F229" s="19">
        <v>24848</v>
      </c>
      <c r="G229" s="8">
        <v>24086</v>
      </c>
      <c r="H229" s="74">
        <v>21304</v>
      </c>
      <c r="I229" s="498"/>
      <c r="J229" s="9">
        <f t="shared" si="7"/>
        <v>65.958698411715531</v>
      </c>
      <c r="K229" s="14">
        <f t="shared" si="8"/>
        <v>-10995</v>
      </c>
      <c r="L229" s="14"/>
      <c r="M229" s="14"/>
      <c r="N229" s="65"/>
    </row>
    <row r="230" spans="1:14" ht="15" customHeight="1">
      <c r="A230" s="87" t="s">
        <v>380</v>
      </c>
      <c r="B230" s="88" t="s">
        <v>29</v>
      </c>
      <c r="C230" s="89" t="s">
        <v>381</v>
      </c>
      <c r="D230" s="25">
        <v>110404</v>
      </c>
      <c r="E230" s="25">
        <v>117324</v>
      </c>
      <c r="F230" s="25">
        <v>231389</v>
      </c>
      <c r="G230" s="4">
        <v>262767</v>
      </c>
      <c r="H230" s="69">
        <v>197814</v>
      </c>
      <c r="I230" s="497"/>
      <c r="J230" s="5">
        <f t="shared" si="7"/>
        <v>179.17285605594</v>
      </c>
      <c r="K230" s="10">
        <f t="shared" si="8"/>
        <v>87410</v>
      </c>
      <c r="L230" s="1292"/>
      <c r="M230" s="1292"/>
      <c r="N230" s="70" t="s">
        <v>382</v>
      </c>
    </row>
    <row r="231" spans="1:14" ht="15" customHeight="1">
      <c r="A231" s="93" t="s">
        <v>380</v>
      </c>
      <c r="B231" s="94" t="s">
        <v>24</v>
      </c>
      <c r="C231" s="95" t="s">
        <v>383</v>
      </c>
      <c r="D231" s="19">
        <v>7299</v>
      </c>
      <c r="E231" s="19">
        <v>5655</v>
      </c>
      <c r="F231" s="19">
        <v>13350</v>
      </c>
      <c r="G231" s="8">
        <v>14819</v>
      </c>
      <c r="H231" s="74">
        <v>5301</v>
      </c>
      <c r="I231" s="498"/>
      <c r="J231" s="9">
        <f t="shared" si="7"/>
        <v>72.626387176325522</v>
      </c>
      <c r="K231" s="10">
        <f t="shared" si="8"/>
        <v>-1998</v>
      </c>
      <c r="L231" s="1292"/>
      <c r="M231" s="1292"/>
      <c r="N231" s="70"/>
    </row>
    <row r="232" spans="1:14" ht="15" customHeight="1">
      <c r="A232" s="93" t="s">
        <v>380</v>
      </c>
      <c r="B232" s="94" t="s">
        <v>52</v>
      </c>
      <c r="C232" s="95" t="s">
        <v>384</v>
      </c>
      <c r="D232" s="19">
        <v>235859</v>
      </c>
      <c r="E232" s="19">
        <v>219766</v>
      </c>
      <c r="F232" s="19">
        <v>192955</v>
      </c>
      <c r="G232" s="8">
        <v>538721</v>
      </c>
      <c r="H232" s="74">
        <v>489569</v>
      </c>
      <c r="I232" s="498"/>
      <c r="J232" s="9">
        <f t="shared" si="7"/>
        <v>207.56850491183289</v>
      </c>
      <c r="K232" s="10">
        <f t="shared" si="8"/>
        <v>253710</v>
      </c>
      <c r="L232" s="1292"/>
      <c r="M232" s="1292"/>
      <c r="N232" s="70"/>
    </row>
    <row r="233" spans="1:14" ht="15" customHeight="1">
      <c r="A233" s="71" t="s">
        <v>380</v>
      </c>
      <c r="B233" s="72" t="s">
        <v>129</v>
      </c>
      <c r="C233" s="97" t="s">
        <v>385</v>
      </c>
      <c r="D233" s="19">
        <v>148316</v>
      </c>
      <c r="E233" s="19">
        <v>103779</v>
      </c>
      <c r="F233" s="19">
        <v>73506</v>
      </c>
      <c r="G233" s="8">
        <v>250864</v>
      </c>
      <c r="H233" s="74">
        <v>194783</v>
      </c>
      <c r="I233" s="498"/>
      <c r="J233" s="9">
        <f t="shared" si="7"/>
        <v>131.32972841770274</v>
      </c>
      <c r="K233" s="10">
        <f t="shared" si="8"/>
        <v>46467</v>
      </c>
      <c r="L233" s="1292"/>
      <c r="M233" s="1292"/>
      <c r="N233" s="70"/>
    </row>
    <row r="234" spans="1:14" ht="15" customHeight="1">
      <c r="A234" s="83" t="s">
        <v>386</v>
      </c>
      <c r="B234" s="84" t="s">
        <v>387</v>
      </c>
      <c r="C234" s="85" t="s">
        <v>388</v>
      </c>
      <c r="D234" s="27">
        <v>0</v>
      </c>
      <c r="E234" s="27">
        <v>0</v>
      </c>
      <c r="F234" s="27">
        <v>0</v>
      </c>
      <c r="G234" s="28">
        <v>0</v>
      </c>
      <c r="H234" s="555">
        <v>0</v>
      </c>
      <c r="I234" s="556"/>
      <c r="J234" s="106" t="s">
        <v>42</v>
      </c>
      <c r="K234" s="18">
        <f t="shared" si="8"/>
        <v>0</v>
      </c>
      <c r="L234" s="1292"/>
      <c r="M234" s="1292"/>
      <c r="N234" s="70"/>
    </row>
    <row r="235" spans="1:14" ht="15" customHeight="1">
      <c r="A235" s="71" t="s">
        <v>389</v>
      </c>
      <c r="B235" s="72" t="s">
        <v>29</v>
      </c>
      <c r="C235" s="75" t="s">
        <v>390</v>
      </c>
      <c r="D235" s="19">
        <v>44206</v>
      </c>
      <c r="E235" s="19">
        <v>37681</v>
      </c>
      <c r="F235" s="19">
        <v>63030</v>
      </c>
      <c r="G235" s="8">
        <v>70765</v>
      </c>
      <c r="H235" s="74">
        <v>65717</v>
      </c>
      <c r="I235" s="498"/>
      <c r="J235" s="9">
        <f t="shared" si="7"/>
        <v>148.66081527394473</v>
      </c>
      <c r="K235" s="10">
        <f t="shared" si="8"/>
        <v>21511</v>
      </c>
      <c r="L235" s="1292"/>
      <c r="M235" s="1292"/>
      <c r="N235" s="70"/>
    </row>
    <row r="236" spans="1:14" ht="15" customHeight="1">
      <c r="A236" s="71" t="s">
        <v>389</v>
      </c>
      <c r="B236" s="72" t="s">
        <v>22</v>
      </c>
      <c r="C236" s="75" t="s">
        <v>391</v>
      </c>
      <c r="D236" s="19">
        <v>47449</v>
      </c>
      <c r="E236" s="19">
        <v>43862</v>
      </c>
      <c r="F236" s="19">
        <v>90156</v>
      </c>
      <c r="G236" s="8">
        <v>136244</v>
      </c>
      <c r="H236" s="74">
        <v>101911</v>
      </c>
      <c r="I236" s="498"/>
      <c r="J236" s="9">
        <f t="shared" si="7"/>
        <v>214.78007966448186</v>
      </c>
      <c r="K236" s="10">
        <f t="shared" si="8"/>
        <v>54462</v>
      </c>
      <c r="L236" s="1292"/>
      <c r="M236" s="1292"/>
      <c r="N236" s="70"/>
    </row>
    <row r="237" spans="1:14" ht="15" customHeight="1">
      <c r="A237" s="71" t="s">
        <v>389</v>
      </c>
      <c r="B237" s="72" t="s">
        <v>115</v>
      </c>
      <c r="C237" s="75" t="s">
        <v>392</v>
      </c>
      <c r="D237" s="19">
        <v>162423</v>
      </c>
      <c r="E237" s="19">
        <v>176971</v>
      </c>
      <c r="F237" s="19">
        <v>100663</v>
      </c>
      <c r="G237" s="8">
        <v>255269</v>
      </c>
      <c r="H237" s="74">
        <v>194962</v>
      </c>
      <c r="I237" s="498"/>
      <c r="J237" s="9">
        <f t="shared" si="7"/>
        <v>120.0334927935083</v>
      </c>
      <c r="K237" s="10">
        <f t="shared" si="8"/>
        <v>32539</v>
      </c>
      <c r="L237" s="1292"/>
      <c r="M237" s="1292"/>
      <c r="N237" s="70"/>
    </row>
    <row r="238" spans="1:14" ht="15" customHeight="1">
      <c r="A238" s="71" t="s">
        <v>389</v>
      </c>
      <c r="B238" s="72" t="s">
        <v>117</v>
      </c>
      <c r="C238" s="75" t="s">
        <v>393</v>
      </c>
      <c r="D238" s="19">
        <v>8652</v>
      </c>
      <c r="E238" s="19">
        <v>7335</v>
      </c>
      <c r="F238" s="19">
        <v>2304</v>
      </c>
      <c r="G238" s="8">
        <v>5913</v>
      </c>
      <c r="H238" s="74">
        <v>4264</v>
      </c>
      <c r="I238" s="498"/>
      <c r="J238" s="9">
        <f t="shared" si="7"/>
        <v>49.283402681460935</v>
      </c>
      <c r="K238" s="10">
        <f t="shared" si="8"/>
        <v>-4388</v>
      </c>
      <c r="L238" s="1292"/>
      <c r="M238" s="1292"/>
      <c r="N238" s="70"/>
    </row>
    <row r="239" spans="1:14" ht="15" customHeight="1">
      <c r="A239" s="71" t="s">
        <v>389</v>
      </c>
      <c r="B239" s="72" t="s">
        <v>119</v>
      </c>
      <c r="C239" s="75" t="s">
        <v>394</v>
      </c>
      <c r="D239" s="19">
        <v>84791</v>
      </c>
      <c r="E239" s="19">
        <v>52559</v>
      </c>
      <c r="F239" s="19">
        <v>70277</v>
      </c>
      <c r="G239" s="8">
        <v>63612</v>
      </c>
      <c r="H239" s="74">
        <v>61558</v>
      </c>
      <c r="I239" s="498"/>
      <c r="J239" s="9">
        <f t="shared" si="7"/>
        <v>72.599686287459747</v>
      </c>
      <c r="K239" s="10">
        <f t="shared" si="8"/>
        <v>-23233</v>
      </c>
      <c r="L239" s="1292"/>
      <c r="M239" s="1292"/>
      <c r="N239" s="70"/>
    </row>
    <row r="240" spans="1:14" ht="15" customHeight="1">
      <c r="A240" s="77" t="s">
        <v>389</v>
      </c>
      <c r="B240" s="78" t="s">
        <v>267</v>
      </c>
      <c r="C240" s="73" t="s">
        <v>395</v>
      </c>
      <c r="D240" s="19">
        <v>203376</v>
      </c>
      <c r="E240" s="19">
        <v>184297</v>
      </c>
      <c r="F240" s="19">
        <v>276644</v>
      </c>
      <c r="G240" s="8">
        <v>403265</v>
      </c>
      <c r="H240" s="74">
        <v>370816</v>
      </c>
      <c r="I240" s="498"/>
      <c r="J240" s="9">
        <f t="shared" si="7"/>
        <v>182.33026512469513</v>
      </c>
      <c r="K240" s="10">
        <f t="shared" si="8"/>
        <v>167440</v>
      </c>
      <c r="L240" s="1292"/>
      <c r="M240" s="1292"/>
      <c r="N240" s="70"/>
    </row>
    <row r="241" spans="1:14" ht="15" customHeight="1">
      <c r="A241" s="71" t="s">
        <v>396</v>
      </c>
      <c r="B241" s="72" t="s">
        <v>29</v>
      </c>
      <c r="C241" s="75" t="s">
        <v>397</v>
      </c>
      <c r="D241" s="19">
        <v>44719</v>
      </c>
      <c r="E241" s="19">
        <v>46480</v>
      </c>
      <c r="F241" s="19">
        <v>54099</v>
      </c>
      <c r="G241" s="8">
        <v>47912</v>
      </c>
      <c r="H241" s="74">
        <v>43349</v>
      </c>
      <c r="I241" s="498"/>
      <c r="J241" s="9">
        <f t="shared" si="7"/>
        <v>96.936425233122392</v>
      </c>
      <c r="K241" s="10">
        <f t="shared" si="8"/>
        <v>-1370</v>
      </c>
      <c r="L241" s="1292"/>
      <c r="M241" s="1292"/>
      <c r="N241" s="70"/>
    </row>
    <row r="242" spans="1:14" ht="15" customHeight="1">
      <c r="A242" s="71" t="s">
        <v>396</v>
      </c>
      <c r="B242" s="72" t="s">
        <v>22</v>
      </c>
      <c r="C242" s="75" t="s">
        <v>398</v>
      </c>
      <c r="D242" s="19">
        <v>114559</v>
      </c>
      <c r="E242" s="19">
        <v>84686</v>
      </c>
      <c r="F242" s="19">
        <v>111632</v>
      </c>
      <c r="G242" s="8">
        <v>140529</v>
      </c>
      <c r="H242" s="74">
        <v>137852</v>
      </c>
      <c r="I242" s="498"/>
      <c r="J242" s="9">
        <f t="shared" si="7"/>
        <v>120.33275430127708</v>
      </c>
      <c r="K242" s="10">
        <f t="shared" si="8"/>
        <v>23293</v>
      </c>
      <c r="L242" s="1292"/>
      <c r="M242" s="1292"/>
      <c r="N242" s="70"/>
    </row>
    <row r="243" spans="1:14" ht="15" customHeight="1">
      <c r="A243" s="66" t="s">
        <v>399</v>
      </c>
      <c r="B243" s="67" t="s">
        <v>29</v>
      </c>
      <c r="C243" s="68" t="s">
        <v>400</v>
      </c>
      <c r="D243" s="25">
        <v>335787</v>
      </c>
      <c r="E243" s="25">
        <v>217403</v>
      </c>
      <c r="F243" s="25">
        <v>303031</v>
      </c>
      <c r="G243" s="4">
        <v>321428</v>
      </c>
      <c r="H243" s="69">
        <v>305795</v>
      </c>
      <c r="I243" s="497"/>
      <c r="J243" s="5">
        <f t="shared" si="7"/>
        <v>91.068147367229827</v>
      </c>
      <c r="K243" s="6">
        <f t="shared" si="8"/>
        <v>-29992</v>
      </c>
      <c r="L243" s="1292"/>
      <c r="M243" s="1292"/>
      <c r="N243" s="70"/>
    </row>
    <row r="244" spans="1:14" ht="15" customHeight="1">
      <c r="A244" s="77" t="s">
        <v>401</v>
      </c>
      <c r="B244" s="78" t="s">
        <v>94</v>
      </c>
      <c r="C244" s="75" t="s">
        <v>402</v>
      </c>
      <c r="D244" s="19">
        <v>0</v>
      </c>
      <c r="E244" s="19">
        <v>61293</v>
      </c>
      <c r="F244" s="19">
        <v>87659</v>
      </c>
      <c r="G244" s="8">
        <v>107981</v>
      </c>
      <c r="H244" s="74">
        <v>128204</v>
      </c>
      <c r="I244" s="498"/>
      <c r="J244" s="92" t="s">
        <v>42</v>
      </c>
      <c r="K244" s="10">
        <f t="shared" si="8"/>
        <v>128204</v>
      </c>
      <c r="L244" s="1292"/>
      <c r="M244" s="1292"/>
      <c r="N244" s="70"/>
    </row>
    <row r="245" spans="1:14" ht="15" customHeight="1">
      <c r="A245" s="79" t="s">
        <v>399</v>
      </c>
      <c r="B245" s="80" t="s">
        <v>24</v>
      </c>
      <c r="C245" s="96" t="s">
        <v>403</v>
      </c>
      <c r="D245" s="24">
        <v>175025</v>
      </c>
      <c r="E245" s="24">
        <v>184713</v>
      </c>
      <c r="F245" s="24">
        <v>217252</v>
      </c>
      <c r="G245" s="12">
        <v>184423</v>
      </c>
      <c r="H245" s="82">
        <v>203755</v>
      </c>
      <c r="I245" s="500"/>
      <c r="J245" s="13">
        <f t="shared" si="7"/>
        <v>116.41479788601627</v>
      </c>
      <c r="K245" s="14">
        <f t="shared" si="8"/>
        <v>28730</v>
      </c>
      <c r="L245" s="1292"/>
      <c r="M245" s="1292"/>
      <c r="N245" s="70"/>
    </row>
    <row r="246" spans="1:14" ht="15" customHeight="1">
      <c r="A246" s="71" t="s">
        <v>404</v>
      </c>
      <c r="B246" s="72" t="s">
        <v>29</v>
      </c>
      <c r="C246" s="75" t="s">
        <v>405</v>
      </c>
      <c r="D246" s="19">
        <v>15423</v>
      </c>
      <c r="E246" s="19">
        <v>21182</v>
      </c>
      <c r="F246" s="19">
        <v>21899</v>
      </c>
      <c r="G246" s="8">
        <v>63843</v>
      </c>
      <c r="H246" s="74">
        <v>65627</v>
      </c>
      <c r="I246" s="498"/>
      <c r="J246" s="9">
        <f t="shared" si="7"/>
        <v>425.51384296181027</v>
      </c>
      <c r="K246" s="10">
        <f t="shared" si="8"/>
        <v>50204</v>
      </c>
      <c r="L246" s="1292"/>
      <c r="M246" s="1292"/>
      <c r="N246" s="70"/>
    </row>
    <row r="247" spans="1:14" ht="15" customHeight="1">
      <c r="A247" s="77" t="s">
        <v>404</v>
      </c>
      <c r="B247" s="78" t="s">
        <v>22</v>
      </c>
      <c r="C247" s="73" t="s">
        <v>406</v>
      </c>
      <c r="D247" s="19">
        <v>23631</v>
      </c>
      <c r="E247" s="19">
        <v>14197</v>
      </c>
      <c r="F247" s="19">
        <v>23102</v>
      </c>
      <c r="G247" s="8">
        <v>10142</v>
      </c>
      <c r="H247" s="74">
        <v>9770</v>
      </c>
      <c r="I247" s="498"/>
      <c r="J247" s="9">
        <f t="shared" si="7"/>
        <v>41.343997291693114</v>
      </c>
      <c r="K247" s="10">
        <f t="shared" si="8"/>
        <v>-13861</v>
      </c>
      <c r="L247" s="1292"/>
      <c r="M247" s="1292"/>
      <c r="N247" s="70"/>
    </row>
    <row r="248" spans="1:14" ht="15" customHeight="1">
      <c r="A248" s="93" t="s">
        <v>404</v>
      </c>
      <c r="B248" s="94" t="s">
        <v>24</v>
      </c>
      <c r="C248" s="95" t="s">
        <v>407</v>
      </c>
      <c r="D248" s="19">
        <v>38291</v>
      </c>
      <c r="E248" s="19">
        <v>35734</v>
      </c>
      <c r="F248" s="19">
        <v>24764</v>
      </c>
      <c r="G248" s="8">
        <v>21922</v>
      </c>
      <c r="H248" s="74">
        <v>19557</v>
      </c>
      <c r="I248" s="498"/>
      <c r="J248" s="9">
        <f t="shared" si="7"/>
        <v>51.074665064897765</v>
      </c>
      <c r="K248" s="10">
        <f t="shared" si="8"/>
        <v>-18734</v>
      </c>
      <c r="L248" s="1292"/>
      <c r="M248" s="1292"/>
      <c r="N248" s="70"/>
    </row>
    <row r="249" spans="1:14" ht="15" customHeight="1">
      <c r="A249" s="71" t="s">
        <v>404</v>
      </c>
      <c r="B249" s="72" t="s">
        <v>52</v>
      </c>
      <c r="C249" s="75" t="s">
        <v>408</v>
      </c>
      <c r="D249" s="19">
        <v>31140</v>
      </c>
      <c r="E249" s="19">
        <v>30964</v>
      </c>
      <c r="F249" s="19">
        <v>14648</v>
      </c>
      <c r="G249" s="8">
        <v>9134</v>
      </c>
      <c r="H249" s="74">
        <v>30028</v>
      </c>
      <c r="I249" s="498"/>
      <c r="J249" s="9">
        <f t="shared" si="7"/>
        <v>96.429030186255616</v>
      </c>
      <c r="K249" s="10">
        <f t="shared" si="8"/>
        <v>-1112</v>
      </c>
      <c r="L249" s="1292"/>
      <c r="M249" s="1292"/>
      <c r="N249" s="70"/>
    </row>
    <row r="250" spans="1:14" ht="15" customHeight="1">
      <c r="A250" s="71" t="s">
        <v>404</v>
      </c>
      <c r="B250" s="72" t="s">
        <v>247</v>
      </c>
      <c r="C250" s="75" t="s">
        <v>409</v>
      </c>
      <c r="D250" s="19">
        <v>37410</v>
      </c>
      <c r="E250" s="19">
        <v>35707</v>
      </c>
      <c r="F250" s="19">
        <v>34010</v>
      </c>
      <c r="G250" s="8">
        <v>43189</v>
      </c>
      <c r="H250" s="74">
        <v>36178</v>
      </c>
      <c r="I250" s="498"/>
      <c r="J250" s="9">
        <f t="shared" si="7"/>
        <v>96.706762897620962</v>
      </c>
      <c r="K250" s="10">
        <f t="shared" si="8"/>
        <v>-1232</v>
      </c>
      <c r="L250" s="1292"/>
      <c r="M250" s="1292"/>
      <c r="N250" s="70"/>
    </row>
    <row r="251" spans="1:14" ht="15" customHeight="1">
      <c r="A251" s="87" t="s">
        <v>410</v>
      </c>
      <c r="B251" s="88" t="s">
        <v>29</v>
      </c>
      <c r="C251" s="89" t="s">
        <v>411</v>
      </c>
      <c r="D251" s="25">
        <v>56372</v>
      </c>
      <c r="E251" s="25">
        <v>56830</v>
      </c>
      <c r="F251" s="25">
        <v>95580</v>
      </c>
      <c r="G251" s="4">
        <v>88959</v>
      </c>
      <c r="H251" s="69">
        <v>124378</v>
      </c>
      <c r="I251" s="497"/>
      <c r="J251" s="5">
        <f t="shared" si="7"/>
        <v>220.63790534307813</v>
      </c>
      <c r="K251" s="6">
        <f t="shared" si="8"/>
        <v>68006</v>
      </c>
      <c r="L251" s="1292"/>
      <c r="M251" s="1292"/>
      <c r="N251" s="70"/>
    </row>
    <row r="252" spans="1:14" ht="15" customHeight="1">
      <c r="A252" s="79" t="s">
        <v>410</v>
      </c>
      <c r="B252" s="80" t="s">
        <v>59</v>
      </c>
      <c r="C252" s="96" t="s">
        <v>412</v>
      </c>
      <c r="D252" s="24">
        <v>30128</v>
      </c>
      <c r="E252" s="24">
        <v>48057</v>
      </c>
      <c r="F252" s="24">
        <v>55091</v>
      </c>
      <c r="G252" s="12">
        <v>64002</v>
      </c>
      <c r="H252" s="82">
        <v>58902</v>
      </c>
      <c r="I252" s="500"/>
      <c r="J252" s="13">
        <f t="shared" si="7"/>
        <v>195.50584174190121</v>
      </c>
      <c r="K252" s="14">
        <f t="shared" si="8"/>
        <v>28774</v>
      </c>
      <c r="L252" s="14"/>
      <c r="M252" s="14"/>
      <c r="N252" s="65"/>
    </row>
    <row r="253" spans="1:14" ht="15" customHeight="1">
      <c r="A253" s="77" t="s">
        <v>413</v>
      </c>
      <c r="B253" s="78" t="s">
        <v>29</v>
      </c>
      <c r="C253" s="73" t="s">
        <v>414</v>
      </c>
      <c r="D253" s="22">
        <v>0</v>
      </c>
      <c r="E253" s="22">
        <v>0</v>
      </c>
      <c r="F253" s="22">
        <v>0</v>
      </c>
      <c r="G253" s="23">
        <v>0</v>
      </c>
      <c r="H253" s="551">
        <v>0</v>
      </c>
      <c r="I253" s="552"/>
      <c r="J253" s="92" t="s">
        <v>42</v>
      </c>
      <c r="K253" s="6">
        <f t="shared" si="8"/>
        <v>0</v>
      </c>
      <c r="L253" s="1292"/>
      <c r="M253" s="1292"/>
      <c r="N253" s="70" t="s">
        <v>415</v>
      </c>
    </row>
    <row r="254" spans="1:14" ht="15" customHeight="1">
      <c r="A254" s="93" t="s">
        <v>413</v>
      </c>
      <c r="B254" s="94" t="s">
        <v>24</v>
      </c>
      <c r="C254" s="95" t="s">
        <v>416</v>
      </c>
      <c r="D254" s="19">
        <v>11331</v>
      </c>
      <c r="E254" s="19">
        <v>13482</v>
      </c>
      <c r="F254" s="19">
        <v>13630</v>
      </c>
      <c r="G254" s="8">
        <v>15390</v>
      </c>
      <c r="H254" s="74">
        <v>17463</v>
      </c>
      <c r="I254" s="498"/>
      <c r="J254" s="9">
        <f t="shared" si="7"/>
        <v>154.11702409319565</v>
      </c>
      <c r="K254" s="10">
        <f t="shared" si="8"/>
        <v>6132</v>
      </c>
      <c r="L254" s="1292"/>
      <c r="M254" s="1292"/>
      <c r="N254" s="70"/>
    </row>
    <row r="255" spans="1:14" ht="15" customHeight="1">
      <c r="A255" s="93" t="s">
        <v>413</v>
      </c>
      <c r="B255" s="94" t="s">
        <v>52</v>
      </c>
      <c r="C255" s="95" t="s">
        <v>417</v>
      </c>
      <c r="D255" s="19">
        <v>21378</v>
      </c>
      <c r="E255" s="19">
        <v>21639</v>
      </c>
      <c r="F255" s="19">
        <v>26667</v>
      </c>
      <c r="G255" s="8">
        <v>62392</v>
      </c>
      <c r="H255" s="74">
        <v>27847</v>
      </c>
      <c r="I255" s="498"/>
      <c r="J255" s="9">
        <f t="shared" si="7"/>
        <v>130.2600804565441</v>
      </c>
      <c r="K255" s="10">
        <f t="shared" si="8"/>
        <v>6469</v>
      </c>
      <c r="L255" s="1292"/>
      <c r="M255" s="1292"/>
      <c r="N255" s="70"/>
    </row>
    <row r="256" spans="1:14" ht="15" customHeight="1">
      <c r="A256" s="71" t="s">
        <v>413</v>
      </c>
      <c r="B256" s="72" t="s">
        <v>59</v>
      </c>
      <c r="C256" s="97" t="s">
        <v>418</v>
      </c>
      <c r="D256" s="19">
        <v>86948</v>
      </c>
      <c r="E256" s="19">
        <v>36958</v>
      </c>
      <c r="F256" s="19">
        <v>48542</v>
      </c>
      <c r="G256" s="8">
        <v>10852</v>
      </c>
      <c r="H256" s="74">
        <v>77649</v>
      </c>
      <c r="I256" s="498"/>
      <c r="J256" s="9">
        <f t="shared" si="7"/>
        <v>89.305101899986198</v>
      </c>
      <c r="K256" s="10">
        <f t="shared" si="8"/>
        <v>-9299</v>
      </c>
      <c r="L256" s="1292"/>
      <c r="M256" s="1292"/>
      <c r="N256" s="70"/>
    </row>
    <row r="257" spans="1:14" ht="15" customHeight="1">
      <c r="A257" s="83" t="s">
        <v>419</v>
      </c>
      <c r="B257" s="84" t="s">
        <v>420</v>
      </c>
      <c r="C257" s="85" t="s">
        <v>421</v>
      </c>
      <c r="D257" s="27">
        <v>0</v>
      </c>
      <c r="E257" s="27">
        <v>0</v>
      </c>
      <c r="F257" s="27">
        <v>0</v>
      </c>
      <c r="G257" s="28">
        <v>0</v>
      </c>
      <c r="H257" s="555">
        <v>0</v>
      </c>
      <c r="I257" s="556"/>
      <c r="J257" s="106" t="s">
        <v>42</v>
      </c>
      <c r="K257" s="18">
        <f t="shared" si="8"/>
        <v>0</v>
      </c>
      <c r="L257" s="1292"/>
      <c r="M257" s="1292"/>
      <c r="N257" s="70"/>
    </row>
    <row r="258" spans="1:14" ht="15" customHeight="1">
      <c r="A258" s="77" t="s">
        <v>422</v>
      </c>
      <c r="B258" s="78" t="s">
        <v>29</v>
      </c>
      <c r="C258" s="73" t="s">
        <v>423</v>
      </c>
      <c r="D258" s="19">
        <v>62152</v>
      </c>
      <c r="E258" s="19">
        <v>29732</v>
      </c>
      <c r="F258" s="19">
        <v>15379</v>
      </c>
      <c r="G258" s="8">
        <v>15204</v>
      </c>
      <c r="H258" s="74">
        <v>12623</v>
      </c>
      <c r="I258" s="498"/>
      <c r="J258" s="9">
        <f t="shared" si="7"/>
        <v>20.309885442141844</v>
      </c>
      <c r="K258" s="10">
        <f t="shared" si="8"/>
        <v>-49529</v>
      </c>
      <c r="L258" s="1292"/>
      <c r="M258" s="1292"/>
      <c r="N258" s="70"/>
    </row>
    <row r="259" spans="1:14" ht="15" customHeight="1">
      <c r="A259" s="71" t="s">
        <v>422</v>
      </c>
      <c r="B259" s="72" t="s">
        <v>24</v>
      </c>
      <c r="C259" s="97" t="s">
        <v>424</v>
      </c>
      <c r="D259" s="19">
        <v>730</v>
      </c>
      <c r="E259" s="19">
        <v>10413</v>
      </c>
      <c r="F259" s="19">
        <v>0</v>
      </c>
      <c r="G259" s="8">
        <v>23</v>
      </c>
      <c r="H259" s="74">
        <v>43</v>
      </c>
      <c r="I259" s="498"/>
      <c r="J259" s="9">
        <f t="shared" si="7"/>
        <v>5.89041095890411</v>
      </c>
      <c r="K259" s="10">
        <f t="shared" si="8"/>
        <v>-687</v>
      </c>
      <c r="L259" s="1292"/>
      <c r="M259" s="1292"/>
      <c r="N259" s="70"/>
    </row>
    <row r="260" spans="1:14" ht="15" customHeight="1">
      <c r="A260" s="87" t="s">
        <v>425</v>
      </c>
      <c r="B260" s="88" t="s">
        <v>29</v>
      </c>
      <c r="C260" s="89" t="s">
        <v>426</v>
      </c>
      <c r="D260" s="25">
        <v>25908</v>
      </c>
      <c r="E260" s="25">
        <v>19291</v>
      </c>
      <c r="F260" s="25">
        <v>17849</v>
      </c>
      <c r="G260" s="4">
        <v>19111</v>
      </c>
      <c r="H260" s="69">
        <v>15937</v>
      </c>
      <c r="I260" s="497"/>
      <c r="J260" s="5">
        <f t="shared" si="7"/>
        <v>61.513818125675471</v>
      </c>
      <c r="K260" s="6">
        <f t="shared" si="8"/>
        <v>-9971</v>
      </c>
      <c r="L260" s="1292"/>
      <c r="M260" s="1292"/>
      <c r="N260" s="70"/>
    </row>
    <row r="261" spans="1:14" ht="15" customHeight="1">
      <c r="A261" s="93" t="s">
        <v>425</v>
      </c>
      <c r="B261" s="94" t="s">
        <v>24</v>
      </c>
      <c r="C261" s="95" t="s">
        <v>427</v>
      </c>
      <c r="D261" s="19">
        <v>711</v>
      </c>
      <c r="E261" s="19">
        <v>886</v>
      </c>
      <c r="F261" s="19">
        <v>502</v>
      </c>
      <c r="G261" s="8">
        <v>482</v>
      </c>
      <c r="H261" s="74">
        <v>445</v>
      </c>
      <c r="I261" s="498"/>
      <c r="J261" s="9">
        <f t="shared" ref="J261:J324" si="9">H261/D261*100</f>
        <v>62.587904360056257</v>
      </c>
      <c r="K261" s="10">
        <f t="shared" ref="K261:K324" si="10">H261-D261</f>
        <v>-266</v>
      </c>
      <c r="L261" s="1292"/>
      <c r="M261" s="1292"/>
      <c r="N261" s="70"/>
    </row>
    <row r="262" spans="1:14" ht="15" customHeight="1">
      <c r="A262" s="93" t="s">
        <v>425</v>
      </c>
      <c r="B262" s="94" t="s">
        <v>52</v>
      </c>
      <c r="C262" s="95" t="s">
        <v>428</v>
      </c>
      <c r="D262" s="19">
        <v>35811</v>
      </c>
      <c r="E262" s="19">
        <v>32761</v>
      </c>
      <c r="F262" s="19">
        <v>42406</v>
      </c>
      <c r="G262" s="8">
        <v>34881</v>
      </c>
      <c r="H262" s="74">
        <v>43566</v>
      </c>
      <c r="I262" s="498"/>
      <c r="J262" s="9">
        <f t="shared" si="9"/>
        <v>121.65535729245205</v>
      </c>
      <c r="K262" s="10">
        <f t="shared" si="10"/>
        <v>7755</v>
      </c>
      <c r="L262" s="1292"/>
      <c r="M262" s="1292"/>
      <c r="N262" s="70"/>
    </row>
    <row r="263" spans="1:14" ht="15" customHeight="1">
      <c r="A263" s="93" t="s">
        <v>425</v>
      </c>
      <c r="B263" s="94" t="s">
        <v>129</v>
      </c>
      <c r="C263" s="95" t="s">
        <v>429</v>
      </c>
      <c r="D263" s="22">
        <v>0</v>
      </c>
      <c r="E263" s="22">
        <v>0</v>
      </c>
      <c r="F263" s="22">
        <v>0</v>
      </c>
      <c r="G263" s="23">
        <v>0</v>
      </c>
      <c r="H263" s="551">
        <v>0</v>
      </c>
      <c r="I263" s="552"/>
      <c r="J263" s="92" t="s">
        <v>42</v>
      </c>
      <c r="K263" s="10">
        <f t="shared" si="10"/>
        <v>0</v>
      </c>
      <c r="L263" s="1292"/>
      <c r="M263" s="1292"/>
      <c r="N263" s="70"/>
    </row>
    <row r="264" spans="1:14" ht="15" customHeight="1">
      <c r="A264" s="79" t="s">
        <v>425</v>
      </c>
      <c r="B264" s="80" t="s">
        <v>59</v>
      </c>
      <c r="C264" s="96" t="s">
        <v>430</v>
      </c>
      <c r="D264" s="24">
        <v>46857</v>
      </c>
      <c r="E264" s="24">
        <v>51221</v>
      </c>
      <c r="F264" s="24">
        <v>76378</v>
      </c>
      <c r="G264" s="12">
        <v>111125</v>
      </c>
      <c r="H264" s="82">
        <v>81030</v>
      </c>
      <c r="I264" s="500"/>
      <c r="J264" s="13">
        <f t="shared" si="9"/>
        <v>172.93040527562584</v>
      </c>
      <c r="K264" s="14">
        <f t="shared" si="10"/>
        <v>34173</v>
      </c>
      <c r="L264" s="14"/>
      <c r="M264" s="14"/>
      <c r="N264" s="65"/>
    </row>
    <row r="265" spans="1:14" ht="15" customHeight="1">
      <c r="A265" s="66" t="s">
        <v>431</v>
      </c>
      <c r="B265" s="67" t="s">
        <v>29</v>
      </c>
      <c r="C265" s="68" t="s">
        <v>432</v>
      </c>
      <c r="D265" s="25">
        <v>218996</v>
      </c>
      <c r="E265" s="25">
        <v>178239</v>
      </c>
      <c r="F265" s="25">
        <v>140606</v>
      </c>
      <c r="G265" s="4">
        <v>91376</v>
      </c>
      <c r="H265" s="69">
        <v>86413</v>
      </c>
      <c r="I265" s="497"/>
      <c r="J265" s="5">
        <f t="shared" si="9"/>
        <v>39.458711574640631</v>
      </c>
      <c r="K265" s="10">
        <f t="shared" si="10"/>
        <v>-132583</v>
      </c>
      <c r="L265" s="1292"/>
      <c r="M265" s="1292"/>
      <c r="N265" s="70" t="s">
        <v>433</v>
      </c>
    </row>
    <row r="266" spans="1:14" ht="15" customHeight="1">
      <c r="A266" s="83" t="s">
        <v>434</v>
      </c>
      <c r="B266" s="84" t="s">
        <v>29</v>
      </c>
      <c r="C266" s="85" t="s">
        <v>435</v>
      </c>
      <c r="D266" s="26">
        <v>82224</v>
      </c>
      <c r="E266" s="26">
        <v>53245</v>
      </c>
      <c r="F266" s="26">
        <v>59654</v>
      </c>
      <c r="G266" s="16">
        <v>34383</v>
      </c>
      <c r="H266" s="86">
        <v>40207</v>
      </c>
      <c r="I266" s="501"/>
      <c r="J266" s="17">
        <f t="shared" si="9"/>
        <v>48.89934812220276</v>
      </c>
      <c r="K266" s="18">
        <f t="shared" si="10"/>
        <v>-42017</v>
      </c>
      <c r="L266" s="1292"/>
      <c r="M266" s="1292"/>
      <c r="N266" s="70"/>
    </row>
    <row r="267" spans="1:14" ht="15" customHeight="1">
      <c r="A267" s="83" t="s">
        <v>436</v>
      </c>
      <c r="B267" s="84" t="s">
        <v>29</v>
      </c>
      <c r="C267" s="85" t="s">
        <v>437</v>
      </c>
      <c r="D267" s="26">
        <v>167218</v>
      </c>
      <c r="E267" s="26">
        <v>171674</v>
      </c>
      <c r="F267" s="26">
        <v>157827</v>
      </c>
      <c r="G267" s="16">
        <v>108460</v>
      </c>
      <c r="H267" s="86">
        <v>115225</v>
      </c>
      <c r="I267" s="501"/>
      <c r="J267" s="17">
        <f t="shared" si="9"/>
        <v>68.907055460536554</v>
      </c>
      <c r="K267" s="18">
        <f t="shared" si="10"/>
        <v>-51993</v>
      </c>
      <c r="L267" s="1292"/>
      <c r="M267" s="1292"/>
      <c r="N267" s="70"/>
    </row>
    <row r="268" spans="1:14" ht="15" customHeight="1">
      <c r="A268" s="77" t="s">
        <v>438</v>
      </c>
      <c r="B268" s="78" t="s">
        <v>29</v>
      </c>
      <c r="C268" s="73" t="s">
        <v>439</v>
      </c>
      <c r="D268" s="19">
        <v>50269</v>
      </c>
      <c r="E268" s="19">
        <v>48114</v>
      </c>
      <c r="F268" s="19">
        <v>53212</v>
      </c>
      <c r="G268" s="8">
        <v>50846</v>
      </c>
      <c r="H268" s="74">
        <v>47593</v>
      </c>
      <c r="I268" s="498"/>
      <c r="J268" s="9">
        <f t="shared" si="9"/>
        <v>94.676639678529511</v>
      </c>
      <c r="K268" s="10">
        <f t="shared" si="10"/>
        <v>-2676</v>
      </c>
      <c r="L268" s="1292"/>
      <c r="M268" s="1292"/>
      <c r="N268" s="70"/>
    </row>
    <row r="269" spans="1:14" ht="15" customHeight="1">
      <c r="A269" s="93" t="s">
        <v>438</v>
      </c>
      <c r="B269" s="94" t="s">
        <v>24</v>
      </c>
      <c r="C269" s="95" t="s">
        <v>440</v>
      </c>
      <c r="D269" s="19">
        <v>85909</v>
      </c>
      <c r="E269" s="19">
        <v>84292</v>
      </c>
      <c r="F269" s="19">
        <v>80792</v>
      </c>
      <c r="G269" s="8">
        <v>66018</v>
      </c>
      <c r="H269" s="74">
        <v>65392</v>
      </c>
      <c r="I269" s="498"/>
      <c r="J269" s="9">
        <f t="shared" si="9"/>
        <v>76.117752505558215</v>
      </c>
      <c r="K269" s="10">
        <f t="shared" si="10"/>
        <v>-20517</v>
      </c>
      <c r="L269" s="1292"/>
      <c r="M269" s="1292"/>
      <c r="N269" s="70"/>
    </row>
    <row r="270" spans="1:14" ht="15" customHeight="1">
      <c r="A270" s="71" t="s">
        <v>438</v>
      </c>
      <c r="B270" s="72" t="s">
        <v>52</v>
      </c>
      <c r="C270" s="75" t="s">
        <v>441</v>
      </c>
      <c r="D270" s="19">
        <v>27130</v>
      </c>
      <c r="E270" s="19">
        <v>24251</v>
      </c>
      <c r="F270" s="19">
        <v>28070</v>
      </c>
      <c r="G270" s="8">
        <v>28457</v>
      </c>
      <c r="H270" s="74">
        <v>38557</v>
      </c>
      <c r="I270" s="498"/>
      <c r="J270" s="9">
        <f t="shared" si="9"/>
        <v>142.11942499078512</v>
      </c>
      <c r="K270" s="10">
        <f t="shared" si="10"/>
        <v>11427</v>
      </c>
      <c r="L270" s="1292"/>
      <c r="M270" s="1292"/>
      <c r="N270" s="70"/>
    </row>
    <row r="271" spans="1:14" ht="15" customHeight="1">
      <c r="A271" s="71" t="s">
        <v>438</v>
      </c>
      <c r="B271" s="72" t="s">
        <v>247</v>
      </c>
      <c r="C271" s="75" t="s">
        <v>442</v>
      </c>
      <c r="D271" s="19">
        <v>22352</v>
      </c>
      <c r="E271" s="19">
        <v>28558</v>
      </c>
      <c r="F271" s="19">
        <v>46925</v>
      </c>
      <c r="G271" s="8">
        <v>24576</v>
      </c>
      <c r="H271" s="74">
        <v>30651</v>
      </c>
      <c r="I271" s="498"/>
      <c r="J271" s="9">
        <f t="shared" si="9"/>
        <v>137.12866857551899</v>
      </c>
      <c r="K271" s="10">
        <f t="shared" si="10"/>
        <v>8299</v>
      </c>
      <c r="L271" s="1292"/>
      <c r="M271" s="1292"/>
      <c r="N271" s="70"/>
    </row>
    <row r="272" spans="1:14" ht="15" customHeight="1">
      <c r="A272" s="77" t="s">
        <v>438</v>
      </c>
      <c r="B272" s="78" t="s">
        <v>443</v>
      </c>
      <c r="C272" s="73" t="s">
        <v>444</v>
      </c>
      <c r="D272" s="19">
        <v>47614</v>
      </c>
      <c r="E272" s="19">
        <v>44281</v>
      </c>
      <c r="F272" s="19">
        <v>37728</v>
      </c>
      <c r="G272" s="8">
        <v>34380</v>
      </c>
      <c r="H272" s="74">
        <v>35866</v>
      </c>
      <c r="I272" s="498"/>
      <c r="J272" s="9">
        <f t="shared" si="9"/>
        <v>75.326584617969502</v>
      </c>
      <c r="K272" s="10">
        <f t="shared" si="10"/>
        <v>-11748</v>
      </c>
      <c r="L272" s="1292"/>
      <c r="M272" s="1292"/>
      <c r="N272" s="70"/>
    </row>
    <row r="273" spans="1:14" ht="15" customHeight="1">
      <c r="A273" s="71" t="s">
        <v>438</v>
      </c>
      <c r="B273" s="72" t="s">
        <v>45</v>
      </c>
      <c r="C273" s="75" t="s">
        <v>445</v>
      </c>
      <c r="D273" s="19">
        <v>40959</v>
      </c>
      <c r="E273" s="19">
        <v>40189</v>
      </c>
      <c r="F273" s="19">
        <v>64491</v>
      </c>
      <c r="G273" s="8">
        <v>44588</v>
      </c>
      <c r="H273" s="74">
        <v>55350</v>
      </c>
      <c r="I273" s="498"/>
      <c r="J273" s="9">
        <f t="shared" si="9"/>
        <v>135.13513513513513</v>
      </c>
      <c r="K273" s="10">
        <f t="shared" si="10"/>
        <v>14391</v>
      </c>
      <c r="L273" s="1292"/>
      <c r="M273" s="1292"/>
      <c r="N273" s="70"/>
    </row>
    <row r="274" spans="1:14" ht="15" customHeight="1">
      <c r="A274" s="71" t="s">
        <v>438</v>
      </c>
      <c r="B274" s="72" t="s">
        <v>55</v>
      </c>
      <c r="C274" s="75" t="s">
        <v>446</v>
      </c>
      <c r="D274" s="19">
        <v>37724</v>
      </c>
      <c r="E274" s="19">
        <v>36373</v>
      </c>
      <c r="F274" s="19">
        <v>33661</v>
      </c>
      <c r="G274" s="8">
        <v>42280</v>
      </c>
      <c r="H274" s="74">
        <v>48577</v>
      </c>
      <c r="I274" s="498"/>
      <c r="J274" s="9">
        <f t="shared" si="9"/>
        <v>128.769483617856</v>
      </c>
      <c r="K274" s="10">
        <f t="shared" si="10"/>
        <v>10853</v>
      </c>
      <c r="L274" s="1292"/>
      <c r="M274" s="1292"/>
      <c r="N274" s="70"/>
    </row>
    <row r="275" spans="1:14" ht="15" customHeight="1">
      <c r="A275" s="79" t="s">
        <v>438</v>
      </c>
      <c r="B275" s="80" t="s">
        <v>59</v>
      </c>
      <c r="C275" s="81" t="s">
        <v>447</v>
      </c>
      <c r="D275" s="24">
        <v>42548</v>
      </c>
      <c r="E275" s="24">
        <v>50462</v>
      </c>
      <c r="F275" s="24">
        <v>49369</v>
      </c>
      <c r="G275" s="12">
        <v>51763</v>
      </c>
      <c r="H275" s="82">
        <v>74602</v>
      </c>
      <c r="I275" s="500"/>
      <c r="J275" s="13">
        <f t="shared" si="9"/>
        <v>175.33609100310235</v>
      </c>
      <c r="K275" s="10">
        <f t="shared" si="10"/>
        <v>32054</v>
      </c>
      <c r="L275" s="1292"/>
      <c r="M275" s="1292"/>
      <c r="N275" s="65"/>
    </row>
    <row r="276" spans="1:14" ht="15" customHeight="1">
      <c r="A276" s="87" t="s">
        <v>448</v>
      </c>
      <c r="B276" s="88" t="s">
        <v>29</v>
      </c>
      <c r="C276" s="89" t="s">
        <v>449</v>
      </c>
      <c r="D276" s="25">
        <v>142086</v>
      </c>
      <c r="E276" s="25">
        <v>156562</v>
      </c>
      <c r="F276" s="25">
        <v>29879</v>
      </c>
      <c r="G276" s="4">
        <v>2344</v>
      </c>
      <c r="H276" s="69">
        <v>26987</v>
      </c>
      <c r="I276" s="497"/>
      <c r="J276" s="5">
        <f t="shared" si="9"/>
        <v>18.993426516335177</v>
      </c>
      <c r="K276" s="6">
        <f t="shared" si="10"/>
        <v>-115099</v>
      </c>
      <c r="L276" s="1292"/>
      <c r="M276" s="1292"/>
      <c r="N276" s="70" t="s">
        <v>450</v>
      </c>
    </row>
    <row r="277" spans="1:14" ht="15" customHeight="1">
      <c r="A277" s="93" t="s">
        <v>448</v>
      </c>
      <c r="B277" s="94" t="s">
        <v>24</v>
      </c>
      <c r="C277" s="95" t="s">
        <v>451</v>
      </c>
      <c r="D277" s="19">
        <v>238950</v>
      </c>
      <c r="E277" s="19">
        <v>191114</v>
      </c>
      <c r="F277" s="19">
        <v>257536</v>
      </c>
      <c r="G277" s="8">
        <v>382830</v>
      </c>
      <c r="H277" s="74">
        <v>370832</v>
      </c>
      <c r="I277" s="498"/>
      <c r="J277" s="9">
        <f t="shared" si="9"/>
        <v>155.19229964427706</v>
      </c>
      <c r="K277" s="10">
        <f t="shared" si="10"/>
        <v>131882</v>
      </c>
      <c r="L277" s="1292"/>
      <c r="M277" s="1292"/>
      <c r="N277" s="70"/>
    </row>
    <row r="278" spans="1:14" ht="15" customHeight="1">
      <c r="A278" s="71" t="s">
        <v>448</v>
      </c>
      <c r="B278" s="72" t="s">
        <v>52</v>
      </c>
      <c r="C278" s="97" t="s">
        <v>452</v>
      </c>
      <c r="D278" s="19">
        <v>267146</v>
      </c>
      <c r="E278" s="19">
        <v>184619</v>
      </c>
      <c r="F278" s="19">
        <v>175377</v>
      </c>
      <c r="G278" s="8">
        <v>113359</v>
      </c>
      <c r="H278" s="74">
        <v>269441</v>
      </c>
      <c r="I278" s="498"/>
      <c r="J278" s="9">
        <f t="shared" si="9"/>
        <v>100.85908080225794</v>
      </c>
      <c r="K278" s="10">
        <f t="shared" si="10"/>
        <v>2295</v>
      </c>
      <c r="L278" s="1292"/>
      <c r="M278" s="1292"/>
      <c r="N278" s="70"/>
    </row>
    <row r="279" spans="1:14" ht="15" customHeight="1">
      <c r="A279" s="83" t="s">
        <v>453</v>
      </c>
      <c r="B279" s="84" t="s">
        <v>29</v>
      </c>
      <c r="C279" s="85" t="s">
        <v>454</v>
      </c>
      <c r="D279" s="26">
        <v>234783.06922101369</v>
      </c>
      <c r="E279" s="26">
        <v>175596</v>
      </c>
      <c r="F279" s="26">
        <v>205323</v>
      </c>
      <c r="G279" s="16">
        <v>273626</v>
      </c>
      <c r="H279" s="86">
        <v>210585</v>
      </c>
      <c r="I279" s="501"/>
      <c r="J279" s="17">
        <f t="shared" si="9"/>
        <v>89.693435177715159</v>
      </c>
      <c r="K279" s="18">
        <f t="shared" si="10"/>
        <v>-24198.069221013691</v>
      </c>
      <c r="L279" s="1292"/>
      <c r="M279" s="1292"/>
      <c r="N279" s="70"/>
    </row>
    <row r="280" spans="1:14" ht="15" customHeight="1">
      <c r="A280" s="71" t="s">
        <v>455</v>
      </c>
      <c r="B280" s="72" t="s">
        <v>29</v>
      </c>
      <c r="C280" s="75" t="s">
        <v>456</v>
      </c>
      <c r="D280" s="19">
        <v>86204</v>
      </c>
      <c r="E280" s="19">
        <v>72050</v>
      </c>
      <c r="F280" s="19">
        <v>70719</v>
      </c>
      <c r="G280" s="8">
        <v>76427</v>
      </c>
      <c r="H280" s="74">
        <v>82912</v>
      </c>
      <c r="I280" s="498"/>
      <c r="J280" s="9">
        <f t="shared" si="9"/>
        <v>96.18115168669668</v>
      </c>
      <c r="K280" s="10">
        <f t="shared" si="10"/>
        <v>-3292</v>
      </c>
      <c r="L280" s="1292"/>
      <c r="M280" s="1292"/>
      <c r="N280" s="70"/>
    </row>
    <row r="281" spans="1:14" ht="15" customHeight="1">
      <c r="A281" s="83" t="s">
        <v>457</v>
      </c>
      <c r="B281" s="84" t="s">
        <v>29</v>
      </c>
      <c r="C281" s="85" t="s">
        <v>458</v>
      </c>
      <c r="D281" s="26">
        <v>26870</v>
      </c>
      <c r="E281" s="26">
        <v>9968</v>
      </c>
      <c r="F281" s="26">
        <v>6824</v>
      </c>
      <c r="G281" s="16">
        <v>4008</v>
      </c>
      <c r="H281" s="86">
        <v>5854</v>
      </c>
      <c r="I281" s="501"/>
      <c r="J281" s="17">
        <f t="shared" si="9"/>
        <v>21.786378861183476</v>
      </c>
      <c r="K281" s="18">
        <f t="shared" si="10"/>
        <v>-21016</v>
      </c>
      <c r="L281" s="1292"/>
      <c r="M281" s="1292"/>
      <c r="N281" s="70"/>
    </row>
    <row r="282" spans="1:14" ht="15" customHeight="1">
      <c r="A282" s="77" t="s">
        <v>459</v>
      </c>
      <c r="B282" s="78" t="s">
        <v>18</v>
      </c>
      <c r="C282" s="73" t="s">
        <v>460</v>
      </c>
      <c r="D282" s="19">
        <v>18850</v>
      </c>
      <c r="E282" s="19">
        <v>15756</v>
      </c>
      <c r="F282" s="19">
        <v>16654</v>
      </c>
      <c r="G282" s="8">
        <v>1507</v>
      </c>
      <c r="H282" s="74">
        <v>657</v>
      </c>
      <c r="I282" s="498"/>
      <c r="J282" s="9">
        <f t="shared" si="9"/>
        <v>3.4854111405835546</v>
      </c>
      <c r="K282" s="10">
        <f t="shared" si="10"/>
        <v>-18193</v>
      </c>
      <c r="L282" s="1292"/>
      <c r="M282" s="1292"/>
      <c r="N282" s="70"/>
    </row>
    <row r="283" spans="1:14" ht="15" customHeight="1">
      <c r="A283" s="71" t="s">
        <v>459</v>
      </c>
      <c r="B283" s="101" t="s">
        <v>102</v>
      </c>
      <c r="C283" s="75" t="s">
        <v>461</v>
      </c>
      <c r="D283" s="29"/>
      <c r="E283" s="29"/>
      <c r="F283" s="29"/>
      <c r="G283" s="8">
        <v>23511</v>
      </c>
      <c r="H283" s="74">
        <v>36987</v>
      </c>
      <c r="I283" s="498"/>
      <c r="J283" s="92" t="s">
        <v>42</v>
      </c>
      <c r="K283" s="10">
        <f t="shared" si="10"/>
        <v>36987</v>
      </c>
      <c r="L283" s="1292"/>
      <c r="M283" s="1292"/>
      <c r="N283" s="70"/>
    </row>
    <row r="284" spans="1:14" ht="15" customHeight="1">
      <c r="A284" s="79" t="s">
        <v>459</v>
      </c>
      <c r="B284" s="80" t="s">
        <v>59</v>
      </c>
      <c r="C284" s="81" t="s">
        <v>462</v>
      </c>
      <c r="D284" s="33">
        <v>135111</v>
      </c>
      <c r="E284" s="33">
        <v>107510</v>
      </c>
      <c r="F284" s="33">
        <v>118158</v>
      </c>
      <c r="G284" s="12">
        <v>63155</v>
      </c>
      <c r="H284" s="82">
        <v>74193</v>
      </c>
      <c r="I284" s="500"/>
      <c r="J284" s="13">
        <f t="shared" si="9"/>
        <v>54.912627395252791</v>
      </c>
      <c r="K284" s="14">
        <f t="shared" si="10"/>
        <v>-60918</v>
      </c>
      <c r="L284" s="14"/>
      <c r="M284" s="14"/>
      <c r="N284" s="65"/>
    </row>
    <row r="285" spans="1:14" ht="15" customHeight="1">
      <c r="A285" s="71" t="s">
        <v>463</v>
      </c>
      <c r="B285" s="101" t="s">
        <v>29</v>
      </c>
      <c r="C285" s="75" t="s">
        <v>464</v>
      </c>
      <c r="D285" s="19">
        <v>22123</v>
      </c>
      <c r="E285" s="19">
        <v>19363</v>
      </c>
      <c r="F285" s="19">
        <v>34420</v>
      </c>
      <c r="G285" s="8">
        <v>16355</v>
      </c>
      <c r="H285" s="74">
        <v>15697</v>
      </c>
      <c r="I285" s="498"/>
      <c r="J285" s="9">
        <f t="shared" si="9"/>
        <v>70.953306513583144</v>
      </c>
      <c r="K285" s="10">
        <f t="shared" si="10"/>
        <v>-6426</v>
      </c>
      <c r="L285" s="1292"/>
      <c r="M285" s="1292"/>
      <c r="N285" s="70" t="s">
        <v>465</v>
      </c>
    </row>
    <row r="286" spans="1:14" ht="15" customHeight="1">
      <c r="A286" s="83" t="s">
        <v>466</v>
      </c>
      <c r="B286" s="113" t="s">
        <v>29</v>
      </c>
      <c r="C286" s="85" t="s">
        <v>467</v>
      </c>
      <c r="D286" s="26">
        <v>315113</v>
      </c>
      <c r="E286" s="26">
        <v>207864</v>
      </c>
      <c r="F286" s="26">
        <v>286691</v>
      </c>
      <c r="G286" s="16">
        <v>335446</v>
      </c>
      <c r="H286" s="86">
        <v>344440</v>
      </c>
      <c r="I286" s="501"/>
      <c r="J286" s="17">
        <f t="shared" si="9"/>
        <v>109.30682009310945</v>
      </c>
      <c r="K286" s="18">
        <f t="shared" si="10"/>
        <v>29327</v>
      </c>
      <c r="L286" s="1292"/>
      <c r="M286" s="1292"/>
      <c r="N286" s="70"/>
    </row>
    <row r="287" spans="1:14" ht="15" customHeight="1">
      <c r="A287" s="71" t="s">
        <v>468</v>
      </c>
      <c r="B287" s="101" t="s">
        <v>18</v>
      </c>
      <c r="C287" s="75" t="s">
        <v>469</v>
      </c>
      <c r="D287" s="19">
        <v>26444</v>
      </c>
      <c r="E287" s="19">
        <v>19278</v>
      </c>
      <c r="F287" s="19">
        <v>18467</v>
      </c>
      <c r="G287" s="8">
        <v>13633</v>
      </c>
      <c r="H287" s="74">
        <v>17698</v>
      </c>
      <c r="I287" s="498"/>
      <c r="J287" s="9">
        <f t="shared" si="9"/>
        <v>66.926334896384816</v>
      </c>
      <c r="K287" s="10">
        <f t="shared" si="10"/>
        <v>-8746</v>
      </c>
      <c r="L287" s="1292"/>
      <c r="M287" s="1292"/>
      <c r="N287" s="70"/>
    </row>
    <row r="288" spans="1:14" ht="15" customHeight="1">
      <c r="A288" s="66" t="s">
        <v>470</v>
      </c>
      <c r="B288" s="67" t="s">
        <v>18</v>
      </c>
      <c r="C288" s="68" t="s">
        <v>471</v>
      </c>
      <c r="D288" s="25">
        <v>25791</v>
      </c>
      <c r="E288" s="25">
        <v>17214</v>
      </c>
      <c r="F288" s="25">
        <v>16413</v>
      </c>
      <c r="G288" s="4">
        <v>15727</v>
      </c>
      <c r="H288" s="69">
        <v>21616</v>
      </c>
      <c r="I288" s="497"/>
      <c r="J288" s="5">
        <f t="shared" si="9"/>
        <v>83.812182544298395</v>
      </c>
      <c r="K288" s="6">
        <f t="shared" si="10"/>
        <v>-4175</v>
      </c>
      <c r="L288" s="1292"/>
      <c r="M288" s="1292"/>
      <c r="N288" s="70"/>
    </row>
    <row r="289" spans="1:14" ht="15" customHeight="1">
      <c r="A289" s="71" t="s">
        <v>470</v>
      </c>
      <c r="B289" s="72" t="s">
        <v>94</v>
      </c>
      <c r="C289" s="75" t="s">
        <v>472</v>
      </c>
      <c r="D289" s="19">
        <v>3063</v>
      </c>
      <c r="E289" s="19">
        <v>1412</v>
      </c>
      <c r="F289" s="19">
        <v>865</v>
      </c>
      <c r="G289" s="8">
        <v>1144</v>
      </c>
      <c r="H289" s="74">
        <v>871</v>
      </c>
      <c r="I289" s="498"/>
      <c r="J289" s="9">
        <f t="shared" si="9"/>
        <v>28.436173685928829</v>
      </c>
      <c r="K289" s="10">
        <f t="shared" si="10"/>
        <v>-2192</v>
      </c>
      <c r="L289" s="1292"/>
      <c r="M289" s="1292"/>
      <c r="N289" s="70"/>
    </row>
    <row r="290" spans="1:14" ht="15" customHeight="1">
      <c r="A290" s="71" t="s">
        <v>470</v>
      </c>
      <c r="B290" s="72" t="s">
        <v>96</v>
      </c>
      <c r="C290" s="75" t="s">
        <v>473</v>
      </c>
      <c r="D290" s="19">
        <v>1057</v>
      </c>
      <c r="E290" s="19">
        <v>1263</v>
      </c>
      <c r="F290" s="19">
        <v>1021</v>
      </c>
      <c r="G290" s="8">
        <v>599</v>
      </c>
      <c r="H290" s="74">
        <v>140</v>
      </c>
      <c r="I290" s="498"/>
      <c r="J290" s="9">
        <f t="shared" si="9"/>
        <v>13.245033112582782</v>
      </c>
      <c r="K290" s="10">
        <f t="shared" si="10"/>
        <v>-917</v>
      </c>
      <c r="L290" s="1292"/>
      <c r="M290" s="1292"/>
      <c r="N290" s="70"/>
    </row>
    <row r="291" spans="1:14" ht="15" customHeight="1">
      <c r="A291" s="71" t="s">
        <v>470</v>
      </c>
      <c r="B291" s="72" t="s">
        <v>474</v>
      </c>
      <c r="C291" s="75" t="s">
        <v>475</v>
      </c>
      <c r="D291" s="19">
        <v>10613</v>
      </c>
      <c r="E291" s="19">
        <v>6308</v>
      </c>
      <c r="F291" s="19">
        <v>1579</v>
      </c>
      <c r="G291" s="8">
        <v>915</v>
      </c>
      <c r="H291" s="74">
        <v>626</v>
      </c>
      <c r="I291" s="498"/>
      <c r="J291" s="9">
        <f t="shared" si="9"/>
        <v>5.8984264581174033</v>
      </c>
      <c r="K291" s="10">
        <f t="shared" si="10"/>
        <v>-9987</v>
      </c>
      <c r="L291" s="1292"/>
      <c r="M291" s="1292"/>
      <c r="N291" s="70"/>
    </row>
    <row r="292" spans="1:14" ht="15" customHeight="1">
      <c r="A292" s="79" t="s">
        <v>470</v>
      </c>
      <c r="B292" s="80" t="s">
        <v>476</v>
      </c>
      <c r="C292" s="81" t="s">
        <v>477</v>
      </c>
      <c r="D292" s="33">
        <v>47379</v>
      </c>
      <c r="E292" s="33">
        <v>36604</v>
      </c>
      <c r="F292" s="33">
        <v>41434</v>
      </c>
      <c r="G292" s="12">
        <v>2433</v>
      </c>
      <c r="H292" s="82">
        <v>11038</v>
      </c>
      <c r="I292" s="500"/>
      <c r="J292" s="13">
        <f t="shared" si="9"/>
        <v>23.297241393866479</v>
      </c>
      <c r="K292" s="14">
        <f t="shared" si="10"/>
        <v>-36341</v>
      </c>
      <c r="L292" s="1292"/>
      <c r="M292" s="1292"/>
      <c r="N292" s="70"/>
    </row>
    <row r="293" spans="1:14" ht="15" customHeight="1">
      <c r="A293" s="77" t="s">
        <v>478</v>
      </c>
      <c r="B293" s="78" t="s">
        <v>29</v>
      </c>
      <c r="C293" s="73" t="s">
        <v>479</v>
      </c>
      <c r="D293" s="19">
        <v>127598</v>
      </c>
      <c r="E293" s="19">
        <v>115586</v>
      </c>
      <c r="F293" s="19">
        <v>111587</v>
      </c>
      <c r="G293" s="8">
        <v>70047</v>
      </c>
      <c r="H293" s="74">
        <v>75293</v>
      </c>
      <c r="I293" s="498"/>
      <c r="J293" s="9">
        <f t="shared" si="9"/>
        <v>59.007978181476197</v>
      </c>
      <c r="K293" s="10">
        <f t="shared" si="10"/>
        <v>-52305</v>
      </c>
      <c r="L293" s="1292"/>
      <c r="M293" s="1292"/>
      <c r="N293" s="70"/>
    </row>
    <row r="294" spans="1:14" ht="15" customHeight="1">
      <c r="A294" s="71" t="s">
        <v>478</v>
      </c>
      <c r="B294" s="72" t="s">
        <v>65</v>
      </c>
      <c r="C294" s="75" t="s">
        <v>480</v>
      </c>
      <c r="D294" s="19">
        <v>9542</v>
      </c>
      <c r="E294" s="19">
        <v>8343</v>
      </c>
      <c r="F294" s="19">
        <v>13526</v>
      </c>
      <c r="G294" s="8">
        <v>7447</v>
      </c>
      <c r="H294" s="74">
        <v>13262</v>
      </c>
      <c r="I294" s="498"/>
      <c r="J294" s="9">
        <f t="shared" si="9"/>
        <v>138.98553762313981</v>
      </c>
      <c r="K294" s="10">
        <f t="shared" si="10"/>
        <v>3720</v>
      </c>
      <c r="L294" s="1292"/>
      <c r="M294" s="1292"/>
      <c r="N294" s="70"/>
    </row>
    <row r="295" spans="1:14" ht="15" customHeight="1">
      <c r="A295" s="71" t="s">
        <v>478</v>
      </c>
      <c r="B295" s="72" t="s">
        <v>26</v>
      </c>
      <c r="C295" s="75" t="s">
        <v>481</v>
      </c>
      <c r="D295" s="19">
        <v>25975</v>
      </c>
      <c r="E295" s="19">
        <v>30148</v>
      </c>
      <c r="F295" s="19">
        <v>35696</v>
      </c>
      <c r="G295" s="8">
        <v>19195</v>
      </c>
      <c r="H295" s="74">
        <v>35491</v>
      </c>
      <c r="I295" s="498"/>
      <c r="J295" s="9">
        <f t="shared" si="9"/>
        <v>136.63522617901828</v>
      </c>
      <c r="K295" s="10">
        <f t="shared" si="10"/>
        <v>9516</v>
      </c>
      <c r="L295" s="1292"/>
      <c r="M295" s="1292"/>
      <c r="N295" s="70"/>
    </row>
    <row r="296" spans="1:14" ht="15" customHeight="1">
      <c r="A296" s="87" t="s">
        <v>482</v>
      </c>
      <c r="B296" s="88" t="s">
        <v>29</v>
      </c>
      <c r="C296" s="89" t="s">
        <v>483</v>
      </c>
      <c r="D296" s="25">
        <v>42279</v>
      </c>
      <c r="E296" s="25">
        <v>51842</v>
      </c>
      <c r="F296" s="25">
        <v>68776</v>
      </c>
      <c r="G296" s="4">
        <v>49959</v>
      </c>
      <c r="H296" s="69">
        <v>58606</v>
      </c>
      <c r="I296" s="497"/>
      <c r="J296" s="5">
        <f t="shared" si="9"/>
        <v>138.6172804465574</v>
      </c>
      <c r="K296" s="6">
        <f t="shared" si="10"/>
        <v>16327</v>
      </c>
      <c r="L296" s="1292"/>
      <c r="M296" s="1292"/>
      <c r="N296" s="70"/>
    </row>
    <row r="297" spans="1:14" ht="15" customHeight="1">
      <c r="A297" s="93" t="s">
        <v>482</v>
      </c>
      <c r="B297" s="94" t="s">
        <v>65</v>
      </c>
      <c r="C297" s="95" t="s">
        <v>484</v>
      </c>
      <c r="D297" s="19">
        <v>63965</v>
      </c>
      <c r="E297" s="19">
        <v>35897</v>
      </c>
      <c r="F297" s="19">
        <v>54842</v>
      </c>
      <c r="G297" s="8">
        <v>47317</v>
      </c>
      <c r="H297" s="74">
        <v>57292</v>
      </c>
      <c r="I297" s="498"/>
      <c r="J297" s="9">
        <f t="shared" si="9"/>
        <v>89.567732353630888</v>
      </c>
      <c r="K297" s="10">
        <f t="shared" si="10"/>
        <v>-6673</v>
      </c>
      <c r="L297" s="1292"/>
      <c r="M297" s="1292"/>
      <c r="N297" s="70"/>
    </row>
    <row r="298" spans="1:14" ht="15" customHeight="1">
      <c r="A298" s="99" t="s">
        <v>482</v>
      </c>
      <c r="B298" s="100" t="s">
        <v>67</v>
      </c>
      <c r="C298" s="96" t="s">
        <v>485</v>
      </c>
      <c r="D298" s="24">
        <v>60918</v>
      </c>
      <c r="E298" s="24">
        <v>64956</v>
      </c>
      <c r="F298" s="24">
        <v>48059</v>
      </c>
      <c r="G298" s="12">
        <v>52811</v>
      </c>
      <c r="H298" s="82">
        <v>45515</v>
      </c>
      <c r="I298" s="500"/>
      <c r="J298" s="13">
        <f t="shared" si="9"/>
        <v>74.715190912374013</v>
      </c>
      <c r="K298" s="14">
        <f t="shared" si="10"/>
        <v>-15403</v>
      </c>
      <c r="L298" s="1292"/>
      <c r="M298" s="1292"/>
      <c r="N298" s="70"/>
    </row>
    <row r="299" spans="1:14" ht="15" customHeight="1">
      <c r="A299" s="71" t="s">
        <v>486</v>
      </c>
      <c r="B299" s="72" t="s">
        <v>18</v>
      </c>
      <c r="C299" s="75" t="s">
        <v>487</v>
      </c>
      <c r="D299" s="19">
        <v>3071</v>
      </c>
      <c r="E299" s="19">
        <v>4497</v>
      </c>
      <c r="F299" s="19">
        <v>20723</v>
      </c>
      <c r="G299" s="8">
        <v>9723</v>
      </c>
      <c r="H299" s="74">
        <v>25634</v>
      </c>
      <c r="I299" s="498"/>
      <c r="J299" s="9">
        <f t="shared" si="9"/>
        <v>834.71182025398889</v>
      </c>
      <c r="K299" s="10">
        <f t="shared" si="10"/>
        <v>22563</v>
      </c>
      <c r="L299" s="1292"/>
      <c r="M299" s="1292"/>
      <c r="N299" s="70"/>
    </row>
    <row r="300" spans="1:14" ht="15" customHeight="1">
      <c r="A300" s="87" t="s">
        <v>488</v>
      </c>
      <c r="B300" s="88" t="s">
        <v>29</v>
      </c>
      <c r="C300" s="89" t="s">
        <v>489</v>
      </c>
      <c r="D300" s="25">
        <v>37392</v>
      </c>
      <c r="E300" s="25">
        <v>41659</v>
      </c>
      <c r="F300" s="25">
        <v>53392</v>
      </c>
      <c r="G300" s="4">
        <v>25995</v>
      </c>
      <c r="H300" s="69">
        <v>32070</v>
      </c>
      <c r="I300" s="497"/>
      <c r="J300" s="5">
        <f t="shared" si="9"/>
        <v>85.767008985879329</v>
      </c>
      <c r="K300" s="6">
        <f t="shared" si="10"/>
        <v>-5322</v>
      </c>
      <c r="L300" s="1292"/>
      <c r="M300" s="1292"/>
      <c r="N300" s="70"/>
    </row>
    <row r="301" spans="1:14" ht="15" customHeight="1">
      <c r="A301" s="93" t="s">
        <v>488</v>
      </c>
      <c r="B301" s="94" t="s">
        <v>65</v>
      </c>
      <c r="C301" s="95" t="s">
        <v>490</v>
      </c>
      <c r="D301" s="19">
        <v>4230</v>
      </c>
      <c r="E301" s="19">
        <v>3378</v>
      </c>
      <c r="F301" s="19">
        <v>3699</v>
      </c>
      <c r="G301" s="8">
        <v>3234</v>
      </c>
      <c r="H301" s="74">
        <v>4103</v>
      </c>
      <c r="I301" s="498"/>
      <c r="J301" s="9">
        <f t="shared" si="9"/>
        <v>96.997635933806151</v>
      </c>
      <c r="K301" s="10">
        <f t="shared" si="10"/>
        <v>-127</v>
      </c>
      <c r="L301" s="1292"/>
      <c r="M301" s="1292"/>
      <c r="N301" s="70"/>
    </row>
    <row r="302" spans="1:14" ht="15" customHeight="1">
      <c r="A302" s="93" t="s">
        <v>488</v>
      </c>
      <c r="B302" s="94" t="s">
        <v>67</v>
      </c>
      <c r="C302" s="95" t="s">
        <v>491</v>
      </c>
      <c r="D302" s="19">
        <v>20457</v>
      </c>
      <c r="E302" s="19">
        <v>25674</v>
      </c>
      <c r="F302" s="19">
        <v>42144</v>
      </c>
      <c r="G302" s="8">
        <v>40609</v>
      </c>
      <c r="H302" s="74">
        <v>59329</v>
      </c>
      <c r="I302" s="498"/>
      <c r="J302" s="9">
        <f t="shared" si="9"/>
        <v>290.01808671848266</v>
      </c>
      <c r="K302" s="10">
        <f t="shared" si="10"/>
        <v>38872</v>
      </c>
      <c r="L302" s="1292"/>
      <c r="M302" s="1292"/>
      <c r="N302" s="70"/>
    </row>
    <row r="303" spans="1:14" ht="15" customHeight="1">
      <c r="A303" s="99" t="s">
        <v>488</v>
      </c>
      <c r="B303" s="100" t="s">
        <v>59</v>
      </c>
      <c r="C303" s="96" t="s">
        <v>492</v>
      </c>
      <c r="D303" s="24">
        <v>56125</v>
      </c>
      <c r="E303" s="24">
        <v>51996</v>
      </c>
      <c r="F303" s="24">
        <v>48098</v>
      </c>
      <c r="G303" s="12">
        <v>51642</v>
      </c>
      <c r="H303" s="82">
        <v>44580</v>
      </c>
      <c r="I303" s="500"/>
      <c r="J303" s="13">
        <f t="shared" si="9"/>
        <v>79.429844097995556</v>
      </c>
      <c r="K303" s="14">
        <f t="shared" si="10"/>
        <v>-11545</v>
      </c>
      <c r="L303" s="14"/>
      <c r="M303" s="14"/>
      <c r="N303" s="65"/>
    </row>
    <row r="304" spans="1:14" ht="15" customHeight="1">
      <c r="A304" s="87" t="s">
        <v>493</v>
      </c>
      <c r="B304" s="88" t="s">
        <v>29</v>
      </c>
      <c r="C304" s="89" t="s">
        <v>494</v>
      </c>
      <c r="D304" s="25">
        <v>446</v>
      </c>
      <c r="E304" s="25">
        <v>187</v>
      </c>
      <c r="F304" s="25">
        <v>13303</v>
      </c>
      <c r="G304" s="4">
        <v>1256</v>
      </c>
      <c r="H304" s="69">
        <v>882</v>
      </c>
      <c r="I304" s="497"/>
      <c r="J304" s="5">
        <f t="shared" si="9"/>
        <v>197.75784753363229</v>
      </c>
      <c r="K304" s="6">
        <f t="shared" si="10"/>
        <v>436</v>
      </c>
      <c r="L304" s="1292"/>
      <c r="M304" s="1292"/>
      <c r="N304" s="70" t="s">
        <v>495</v>
      </c>
    </row>
    <row r="305" spans="1:15" ht="15" customHeight="1">
      <c r="A305" s="71" t="s">
        <v>496</v>
      </c>
      <c r="B305" s="72" t="s">
        <v>47</v>
      </c>
      <c r="C305" s="97" t="s">
        <v>497</v>
      </c>
      <c r="D305" s="19">
        <v>48458</v>
      </c>
      <c r="E305" s="19">
        <v>63959</v>
      </c>
      <c r="F305" s="19">
        <v>50353</v>
      </c>
      <c r="G305" s="8">
        <v>28858</v>
      </c>
      <c r="H305" s="74">
        <v>108308</v>
      </c>
      <c r="I305" s="498"/>
      <c r="J305" s="9">
        <f t="shared" si="9"/>
        <v>223.50901811878327</v>
      </c>
      <c r="K305" s="10">
        <f t="shared" si="10"/>
        <v>59850</v>
      </c>
      <c r="L305" s="1292"/>
      <c r="M305" s="1292"/>
      <c r="N305" s="70"/>
    </row>
    <row r="306" spans="1:15" ht="15" customHeight="1">
      <c r="A306" s="66" t="s">
        <v>498</v>
      </c>
      <c r="B306" s="67" t="s">
        <v>29</v>
      </c>
      <c r="C306" s="68" t="s">
        <v>499</v>
      </c>
      <c r="D306" s="25">
        <v>17602</v>
      </c>
      <c r="E306" s="25">
        <v>25805</v>
      </c>
      <c r="F306" s="25">
        <v>34912</v>
      </c>
      <c r="G306" s="4">
        <v>29177</v>
      </c>
      <c r="H306" s="69">
        <v>798</v>
      </c>
      <c r="I306" s="497"/>
      <c r="J306" s="5">
        <f t="shared" si="9"/>
        <v>4.5335757300306785</v>
      </c>
      <c r="K306" s="6">
        <f t="shared" si="10"/>
        <v>-16804</v>
      </c>
      <c r="L306" s="1292"/>
      <c r="M306" s="1292"/>
      <c r="N306" s="70"/>
    </row>
    <row r="307" spans="1:15" ht="15" customHeight="1">
      <c r="A307" s="71" t="s">
        <v>498</v>
      </c>
      <c r="B307" s="72" t="s">
        <v>22</v>
      </c>
      <c r="C307" s="75" t="s">
        <v>500</v>
      </c>
      <c r="D307" s="19">
        <v>7134</v>
      </c>
      <c r="E307" s="19">
        <v>8691</v>
      </c>
      <c r="F307" s="19">
        <v>8271</v>
      </c>
      <c r="G307" s="8">
        <v>16046</v>
      </c>
      <c r="H307" s="74">
        <v>13695</v>
      </c>
      <c r="I307" s="498"/>
      <c r="J307" s="9">
        <f t="shared" si="9"/>
        <v>191.96804037005887</v>
      </c>
      <c r="K307" s="10">
        <f t="shared" si="10"/>
        <v>6561</v>
      </c>
      <c r="L307" s="1292"/>
      <c r="M307" s="1292"/>
      <c r="N307" s="70"/>
    </row>
    <row r="308" spans="1:15" ht="15" customHeight="1">
      <c r="A308" s="79" t="s">
        <v>498</v>
      </c>
      <c r="B308" s="80" t="s">
        <v>63</v>
      </c>
      <c r="C308" s="81" t="s">
        <v>501</v>
      </c>
      <c r="D308" s="24">
        <v>17749</v>
      </c>
      <c r="E308" s="24">
        <v>25170</v>
      </c>
      <c r="F308" s="24">
        <v>58049</v>
      </c>
      <c r="G308" s="12">
        <v>43867</v>
      </c>
      <c r="H308" s="82">
        <v>41747</v>
      </c>
      <c r="I308" s="500">
        <f>'CT2015'!L1145</f>
        <v>3465.0010000000002</v>
      </c>
      <c r="J308" s="13">
        <f t="shared" si="9"/>
        <v>235.20761733055383</v>
      </c>
      <c r="K308" s="14">
        <f t="shared" si="10"/>
        <v>23998</v>
      </c>
      <c r="L308" s="1292">
        <f>'CT2020'!T1188</f>
        <v>3036</v>
      </c>
      <c r="M308" s="1292">
        <f>L308-I308</f>
        <v>-429.0010000000002</v>
      </c>
      <c r="N308" s="70"/>
      <c r="O308" s="1486">
        <f>M308/I308*100</f>
        <v>-12.380977667827517</v>
      </c>
    </row>
    <row r="309" spans="1:15" ht="15" customHeight="1">
      <c r="A309" s="71" t="s">
        <v>502</v>
      </c>
      <c r="B309" s="101" t="s">
        <v>29</v>
      </c>
      <c r="C309" s="75" t="s">
        <v>503</v>
      </c>
      <c r="D309" s="19">
        <v>39848</v>
      </c>
      <c r="E309" s="19">
        <v>30228</v>
      </c>
      <c r="F309" s="19">
        <v>35373</v>
      </c>
      <c r="G309" s="8">
        <v>32182</v>
      </c>
      <c r="H309" s="74">
        <v>46691</v>
      </c>
      <c r="I309" s="498"/>
      <c r="J309" s="9">
        <f t="shared" si="9"/>
        <v>117.1727564746035</v>
      </c>
      <c r="K309" s="10">
        <f t="shared" si="10"/>
        <v>6843</v>
      </c>
      <c r="L309" s="1292"/>
      <c r="M309" s="1292"/>
      <c r="N309" s="70"/>
    </row>
    <row r="310" spans="1:15" ht="15" customHeight="1">
      <c r="A310" s="83" t="s">
        <v>504</v>
      </c>
      <c r="B310" s="113" t="s">
        <v>18</v>
      </c>
      <c r="C310" s="85" t="s">
        <v>505</v>
      </c>
      <c r="D310" s="26">
        <v>11508</v>
      </c>
      <c r="E310" s="26">
        <v>13362</v>
      </c>
      <c r="F310" s="26">
        <v>13699</v>
      </c>
      <c r="G310" s="16">
        <v>25565</v>
      </c>
      <c r="H310" s="86">
        <v>18467</v>
      </c>
      <c r="I310" s="501"/>
      <c r="J310" s="17">
        <f t="shared" si="9"/>
        <v>160.47097671185261</v>
      </c>
      <c r="K310" s="18">
        <f t="shared" si="10"/>
        <v>6959</v>
      </c>
      <c r="L310" s="1292"/>
      <c r="M310" s="1292"/>
      <c r="N310" s="70"/>
    </row>
    <row r="311" spans="1:15" ht="15" customHeight="1">
      <c r="A311" s="71" t="s">
        <v>506</v>
      </c>
      <c r="B311" s="101" t="s">
        <v>29</v>
      </c>
      <c r="C311" s="75" t="s">
        <v>507</v>
      </c>
      <c r="D311" s="19">
        <v>6692</v>
      </c>
      <c r="E311" s="19">
        <v>9660</v>
      </c>
      <c r="F311" s="19">
        <v>3907</v>
      </c>
      <c r="G311" s="8">
        <v>2353</v>
      </c>
      <c r="H311" s="74">
        <v>1379</v>
      </c>
      <c r="I311" s="498"/>
      <c r="J311" s="9">
        <f t="shared" si="9"/>
        <v>20.606694560669457</v>
      </c>
      <c r="K311" s="10">
        <f t="shared" si="10"/>
        <v>-5313</v>
      </c>
      <c r="L311" s="1292"/>
      <c r="M311" s="1292"/>
      <c r="N311" s="70"/>
    </row>
    <row r="312" spans="1:15" ht="15" customHeight="1">
      <c r="A312" s="83" t="s">
        <v>508</v>
      </c>
      <c r="B312" s="84" t="s">
        <v>18</v>
      </c>
      <c r="C312" s="85" t="s">
        <v>509</v>
      </c>
      <c r="D312" s="26">
        <v>7076</v>
      </c>
      <c r="E312" s="26">
        <v>4953</v>
      </c>
      <c r="F312" s="26">
        <v>7182</v>
      </c>
      <c r="G312" s="16">
        <v>1709</v>
      </c>
      <c r="H312" s="86">
        <v>2070</v>
      </c>
      <c r="I312" s="501"/>
      <c r="J312" s="17">
        <f t="shared" si="9"/>
        <v>29.253815715093275</v>
      </c>
      <c r="K312" s="18">
        <f t="shared" si="10"/>
        <v>-5006</v>
      </c>
      <c r="L312" s="14"/>
      <c r="M312" s="14"/>
      <c r="N312" s="65"/>
    </row>
    <row r="313" spans="1:15" ht="15" customHeight="1">
      <c r="A313" s="77" t="s">
        <v>510</v>
      </c>
      <c r="B313" s="110" t="s">
        <v>511</v>
      </c>
      <c r="C313" s="73" t="s">
        <v>512</v>
      </c>
      <c r="D313" s="19">
        <v>97532</v>
      </c>
      <c r="E313" s="19">
        <v>137173</v>
      </c>
      <c r="F313" s="19">
        <v>126637</v>
      </c>
      <c r="G313" s="8">
        <v>101911</v>
      </c>
      <c r="H313" s="74">
        <v>102843</v>
      </c>
      <c r="I313" s="498"/>
      <c r="J313" s="9">
        <f t="shared" si="9"/>
        <v>105.44539228150759</v>
      </c>
      <c r="K313" s="10">
        <f t="shared" si="10"/>
        <v>5311</v>
      </c>
      <c r="L313" s="1292"/>
      <c r="M313" s="1292"/>
      <c r="N313" s="70" t="s">
        <v>513</v>
      </c>
    </row>
    <row r="314" spans="1:15" ht="15" customHeight="1">
      <c r="A314" s="71" t="s">
        <v>510</v>
      </c>
      <c r="B314" s="101" t="s">
        <v>65</v>
      </c>
      <c r="C314" s="75" t="s">
        <v>514</v>
      </c>
      <c r="D314" s="19">
        <v>50330</v>
      </c>
      <c r="E314" s="19">
        <v>95708</v>
      </c>
      <c r="F314" s="19">
        <v>30043</v>
      </c>
      <c r="G314" s="8">
        <v>34970</v>
      </c>
      <c r="H314" s="74">
        <v>25936</v>
      </c>
      <c r="I314" s="498"/>
      <c r="J314" s="9">
        <f t="shared" si="9"/>
        <v>51.531889529107886</v>
      </c>
      <c r="K314" s="10">
        <f t="shared" si="10"/>
        <v>-24394</v>
      </c>
      <c r="L314" s="1292"/>
      <c r="M314" s="1292"/>
      <c r="N314" s="70"/>
    </row>
    <row r="315" spans="1:15" ht="15" customHeight="1">
      <c r="A315" s="77" t="s">
        <v>510</v>
      </c>
      <c r="B315" s="110" t="s">
        <v>26</v>
      </c>
      <c r="C315" s="73" t="s">
        <v>515</v>
      </c>
      <c r="D315" s="29"/>
      <c r="E315" s="29"/>
      <c r="F315" s="29"/>
      <c r="G315" s="8">
        <v>2214</v>
      </c>
      <c r="H315" s="551">
        <v>0</v>
      </c>
      <c r="I315" s="552"/>
      <c r="J315" s="92" t="s">
        <v>42</v>
      </c>
      <c r="K315" s="10">
        <f t="shared" si="10"/>
        <v>0</v>
      </c>
      <c r="L315" s="1292"/>
      <c r="M315" s="1292"/>
      <c r="N315" s="70"/>
    </row>
    <row r="316" spans="1:15" ht="15" customHeight="1">
      <c r="A316" s="93" t="s">
        <v>516</v>
      </c>
      <c r="B316" s="94" t="s">
        <v>517</v>
      </c>
      <c r="C316" s="95" t="s">
        <v>518</v>
      </c>
      <c r="D316" s="19">
        <v>86410</v>
      </c>
      <c r="E316" s="19">
        <v>134471</v>
      </c>
      <c r="F316" s="34">
        <v>289455</v>
      </c>
      <c r="G316" s="8">
        <v>64362</v>
      </c>
      <c r="H316" s="74">
        <v>91329</v>
      </c>
      <c r="I316" s="498"/>
      <c r="J316" s="9">
        <f t="shared" si="9"/>
        <v>105.69262816803611</v>
      </c>
      <c r="K316" s="10">
        <f t="shared" si="10"/>
        <v>4919</v>
      </c>
      <c r="L316" s="1292"/>
      <c r="M316" s="1292"/>
      <c r="N316" s="70"/>
    </row>
    <row r="317" spans="1:15" ht="15" customHeight="1">
      <c r="A317" s="71" t="s">
        <v>516</v>
      </c>
      <c r="B317" s="72" t="s">
        <v>519</v>
      </c>
      <c r="C317" s="75" t="s">
        <v>520</v>
      </c>
      <c r="D317" s="19">
        <v>73334</v>
      </c>
      <c r="E317" s="19">
        <v>53159</v>
      </c>
      <c r="F317" s="19">
        <v>560</v>
      </c>
      <c r="G317" s="8">
        <v>79748</v>
      </c>
      <c r="H317" s="551">
        <v>0</v>
      </c>
      <c r="I317" s="552"/>
      <c r="J317" s="9">
        <f t="shared" si="9"/>
        <v>0</v>
      </c>
      <c r="K317" s="10">
        <f t="shared" si="10"/>
        <v>-73334</v>
      </c>
      <c r="L317" s="1292"/>
      <c r="M317" s="1292"/>
      <c r="N317" s="70"/>
    </row>
    <row r="318" spans="1:15" ht="15" customHeight="1">
      <c r="A318" s="87" t="s">
        <v>521</v>
      </c>
      <c r="B318" s="114" t="s">
        <v>18</v>
      </c>
      <c r="C318" s="89" t="s">
        <v>522</v>
      </c>
      <c r="D318" s="20">
        <v>0</v>
      </c>
      <c r="E318" s="25">
        <v>216</v>
      </c>
      <c r="F318" s="20">
        <v>0</v>
      </c>
      <c r="G318" s="21">
        <v>0</v>
      </c>
      <c r="H318" s="553">
        <v>0</v>
      </c>
      <c r="I318" s="554"/>
      <c r="J318" s="91" t="s">
        <v>42</v>
      </c>
      <c r="K318" s="6">
        <f t="shared" si="10"/>
        <v>0</v>
      </c>
      <c r="L318" s="1292"/>
      <c r="M318" s="1292"/>
      <c r="N318" s="70"/>
    </row>
    <row r="319" spans="1:15" ht="15" customHeight="1">
      <c r="A319" s="93" t="s">
        <v>521</v>
      </c>
      <c r="B319" s="94" t="s">
        <v>65</v>
      </c>
      <c r="C319" s="95" t="s">
        <v>523</v>
      </c>
      <c r="D319" s="29"/>
      <c r="E319" s="29"/>
      <c r="F319" s="29"/>
      <c r="G319" s="8">
        <v>19717</v>
      </c>
      <c r="H319" s="74">
        <v>20969</v>
      </c>
      <c r="I319" s="498"/>
      <c r="J319" s="92" t="s">
        <v>42</v>
      </c>
      <c r="K319" s="10">
        <f t="shared" si="10"/>
        <v>20969</v>
      </c>
      <c r="L319" s="1292"/>
      <c r="M319" s="1292"/>
      <c r="N319" s="70"/>
    </row>
    <row r="320" spans="1:15" ht="15" customHeight="1">
      <c r="A320" s="99" t="s">
        <v>521</v>
      </c>
      <c r="B320" s="100" t="s">
        <v>47</v>
      </c>
      <c r="C320" s="96" t="s">
        <v>524</v>
      </c>
      <c r="D320" s="24">
        <v>131885</v>
      </c>
      <c r="E320" s="24">
        <v>165339</v>
      </c>
      <c r="F320" s="24">
        <v>339705</v>
      </c>
      <c r="G320" s="12">
        <v>46195</v>
      </c>
      <c r="H320" s="82">
        <v>79183</v>
      </c>
      <c r="I320" s="500"/>
      <c r="J320" s="13">
        <f t="shared" si="9"/>
        <v>60.039428289797925</v>
      </c>
      <c r="K320" s="14">
        <f t="shared" si="10"/>
        <v>-52702</v>
      </c>
      <c r="L320" s="14"/>
      <c r="M320" s="14"/>
      <c r="N320" s="65"/>
    </row>
    <row r="321" spans="1:14" ht="15" customHeight="1">
      <c r="A321" s="66" t="s">
        <v>525</v>
      </c>
      <c r="B321" s="98" t="s">
        <v>29</v>
      </c>
      <c r="C321" s="68" t="s">
        <v>526</v>
      </c>
      <c r="D321" s="25">
        <v>29967</v>
      </c>
      <c r="E321" s="25">
        <v>21361</v>
      </c>
      <c r="F321" s="25">
        <v>41865</v>
      </c>
      <c r="G321" s="4">
        <v>52715</v>
      </c>
      <c r="H321" s="69">
        <v>117846</v>
      </c>
      <c r="I321" s="497"/>
      <c r="J321" s="5">
        <f t="shared" si="9"/>
        <v>393.25257783561921</v>
      </c>
      <c r="K321" s="6">
        <f t="shared" si="10"/>
        <v>87879</v>
      </c>
      <c r="L321" s="1292"/>
      <c r="M321" s="1292"/>
      <c r="N321" s="70" t="s">
        <v>527</v>
      </c>
    </row>
    <row r="322" spans="1:14" ht="15" customHeight="1">
      <c r="A322" s="77" t="s">
        <v>525</v>
      </c>
      <c r="B322" s="110" t="s">
        <v>94</v>
      </c>
      <c r="C322" s="73" t="s">
        <v>528</v>
      </c>
      <c r="D322" s="19">
        <v>26339</v>
      </c>
      <c r="E322" s="19">
        <v>24631</v>
      </c>
      <c r="F322" s="19">
        <v>32798</v>
      </c>
      <c r="G322" s="8">
        <v>10329</v>
      </c>
      <c r="H322" s="74">
        <v>18138</v>
      </c>
      <c r="I322" s="498"/>
      <c r="J322" s="9">
        <f t="shared" si="9"/>
        <v>68.863662249895597</v>
      </c>
      <c r="K322" s="10">
        <f t="shared" si="10"/>
        <v>-8201</v>
      </c>
      <c r="L322" s="1292"/>
      <c r="M322" s="1292"/>
      <c r="N322" s="70"/>
    </row>
    <row r="323" spans="1:14" ht="15" customHeight="1">
      <c r="A323" s="93" t="s">
        <v>529</v>
      </c>
      <c r="B323" s="94" t="s">
        <v>24</v>
      </c>
      <c r="C323" s="95" t="s">
        <v>530</v>
      </c>
      <c r="D323" s="19">
        <v>41145</v>
      </c>
      <c r="E323" s="19">
        <v>39761</v>
      </c>
      <c r="F323" s="19">
        <v>20854</v>
      </c>
      <c r="G323" s="8">
        <v>38085</v>
      </c>
      <c r="H323" s="74">
        <v>29847</v>
      </c>
      <c r="I323" s="498"/>
      <c r="J323" s="9">
        <f t="shared" si="9"/>
        <v>72.541013488880793</v>
      </c>
      <c r="K323" s="10">
        <f t="shared" si="10"/>
        <v>-11298</v>
      </c>
      <c r="L323" s="1292"/>
      <c r="M323" s="1292"/>
      <c r="N323" s="70"/>
    </row>
    <row r="324" spans="1:14" ht="15" customHeight="1">
      <c r="A324" s="93" t="s">
        <v>529</v>
      </c>
      <c r="B324" s="112" t="s">
        <v>52</v>
      </c>
      <c r="C324" s="95" t="s">
        <v>531</v>
      </c>
      <c r="D324" s="19">
        <v>268291</v>
      </c>
      <c r="E324" s="19">
        <v>292557</v>
      </c>
      <c r="F324" s="19">
        <v>194790</v>
      </c>
      <c r="G324" s="8">
        <v>277829</v>
      </c>
      <c r="H324" s="74">
        <v>139130</v>
      </c>
      <c r="I324" s="498"/>
      <c r="J324" s="9">
        <f t="shared" si="9"/>
        <v>51.857870744825583</v>
      </c>
      <c r="K324" s="10">
        <f t="shared" si="10"/>
        <v>-129161</v>
      </c>
      <c r="L324" s="1292"/>
      <c r="M324" s="1292"/>
      <c r="N324" s="70"/>
    </row>
    <row r="325" spans="1:14" ht="15" customHeight="1">
      <c r="A325" s="77" t="s">
        <v>525</v>
      </c>
      <c r="B325" s="78" t="s">
        <v>69</v>
      </c>
      <c r="C325" s="115" t="s">
        <v>532</v>
      </c>
      <c r="D325" s="19">
        <v>7188</v>
      </c>
      <c r="E325" s="19">
        <v>6089</v>
      </c>
      <c r="F325" s="19">
        <v>11421</v>
      </c>
      <c r="G325" s="8">
        <v>13845</v>
      </c>
      <c r="H325" s="116">
        <v>12689</v>
      </c>
      <c r="I325" s="505"/>
      <c r="J325" s="9">
        <f t="shared" ref="J325:J388" si="11">H325/D325*100</f>
        <v>176.5303283249861</v>
      </c>
      <c r="K325" s="10">
        <f t="shared" ref="K325:K388" si="12">H325-D325</f>
        <v>5501</v>
      </c>
      <c r="L325" s="1292"/>
      <c r="M325" s="1292"/>
      <c r="N325" s="70"/>
    </row>
    <row r="326" spans="1:14" ht="15" customHeight="1">
      <c r="A326" s="93" t="s">
        <v>529</v>
      </c>
      <c r="B326" s="112" t="s">
        <v>71</v>
      </c>
      <c r="C326" s="115" t="s">
        <v>533</v>
      </c>
      <c r="D326" s="19">
        <v>227602</v>
      </c>
      <c r="E326" s="19">
        <v>255533</v>
      </c>
      <c r="F326" s="19">
        <v>324615</v>
      </c>
      <c r="G326" s="8">
        <v>409817</v>
      </c>
      <c r="H326" s="116">
        <v>484170</v>
      </c>
      <c r="I326" s="505"/>
      <c r="J326" s="9">
        <f t="shared" si="11"/>
        <v>212.72660169945783</v>
      </c>
      <c r="K326" s="10">
        <f t="shared" si="12"/>
        <v>256568</v>
      </c>
      <c r="L326" s="1292"/>
      <c r="M326" s="1292"/>
      <c r="N326" s="70"/>
    </row>
    <row r="327" spans="1:14" ht="15" customHeight="1">
      <c r="A327" s="71" t="s">
        <v>529</v>
      </c>
      <c r="B327" s="101" t="s">
        <v>47</v>
      </c>
      <c r="C327" s="97" t="s">
        <v>534</v>
      </c>
      <c r="D327" s="19">
        <v>72031</v>
      </c>
      <c r="E327" s="19">
        <v>47722</v>
      </c>
      <c r="F327" s="19">
        <v>74712</v>
      </c>
      <c r="G327" s="8">
        <v>108148</v>
      </c>
      <c r="H327" s="74">
        <v>112642</v>
      </c>
      <c r="I327" s="498"/>
      <c r="J327" s="9">
        <f t="shared" si="11"/>
        <v>156.37989199094835</v>
      </c>
      <c r="K327" s="10">
        <f t="shared" si="12"/>
        <v>40611</v>
      </c>
      <c r="L327" s="1292"/>
      <c r="M327" s="1292"/>
      <c r="N327" s="70"/>
    </row>
    <row r="328" spans="1:14" ht="15" customHeight="1">
      <c r="A328" s="66" t="s">
        <v>535</v>
      </c>
      <c r="B328" s="67" t="s">
        <v>18</v>
      </c>
      <c r="C328" s="89" t="s">
        <v>536</v>
      </c>
      <c r="D328" s="25">
        <v>144449</v>
      </c>
      <c r="E328" s="25">
        <v>1</v>
      </c>
      <c r="F328" s="25">
        <v>3346</v>
      </c>
      <c r="G328" s="4">
        <v>0</v>
      </c>
      <c r="H328" s="69">
        <v>2335</v>
      </c>
      <c r="I328" s="497"/>
      <c r="J328" s="5">
        <f t="shared" si="11"/>
        <v>1.616487480010246</v>
      </c>
      <c r="K328" s="6">
        <f t="shared" si="12"/>
        <v>-142114</v>
      </c>
      <c r="L328" s="1292"/>
      <c r="M328" s="1292"/>
      <c r="N328" s="70"/>
    </row>
    <row r="329" spans="1:14" ht="15" customHeight="1">
      <c r="A329" s="99" t="s">
        <v>535</v>
      </c>
      <c r="B329" s="117" t="s">
        <v>65</v>
      </c>
      <c r="C329" s="96" t="s">
        <v>537</v>
      </c>
      <c r="D329" s="24">
        <v>0</v>
      </c>
      <c r="E329" s="24">
        <v>147990</v>
      </c>
      <c r="F329" s="24">
        <v>128891</v>
      </c>
      <c r="G329" s="12">
        <v>71899</v>
      </c>
      <c r="H329" s="82">
        <v>85946</v>
      </c>
      <c r="I329" s="500"/>
      <c r="J329" s="108" t="s">
        <v>42</v>
      </c>
      <c r="K329" s="14">
        <f t="shared" si="12"/>
        <v>85946</v>
      </c>
      <c r="L329" s="1292"/>
      <c r="M329" s="1292"/>
      <c r="N329" s="70"/>
    </row>
    <row r="330" spans="1:14" ht="15" customHeight="1">
      <c r="A330" s="71" t="s">
        <v>538</v>
      </c>
      <c r="B330" s="72" t="s">
        <v>29</v>
      </c>
      <c r="C330" s="75" t="s">
        <v>539</v>
      </c>
      <c r="D330" s="19">
        <v>57871</v>
      </c>
      <c r="E330" s="19">
        <v>97359</v>
      </c>
      <c r="F330" s="19">
        <v>18773</v>
      </c>
      <c r="G330" s="8">
        <v>17774</v>
      </c>
      <c r="H330" s="74">
        <v>30196</v>
      </c>
      <c r="I330" s="498"/>
      <c r="J330" s="9">
        <f t="shared" si="11"/>
        <v>52.178120302051113</v>
      </c>
      <c r="K330" s="10">
        <f t="shared" si="12"/>
        <v>-27675</v>
      </c>
      <c r="L330" s="1292"/>
      <c r="M330" s="1292"/>
      <c r="N330" s="70"/>
    </row>
    <row r="331" spans="1:14" ht="15" customHeight="1">
      <c r="A331" s="83" t="s">
        <v>540</v>
      </c>
      <c r="B331" s="113" t="s">
        <v>29</v>
      </c>
      <c r="C331" s="85" t="s">
        <v>541</v>
      </c>
      <c r="D331" s="26">
        <v>51593</v>
      </c>
      <c r="E331" s="26">
        <v>47461</v>
      </c>
      <c r="F331" s="26">
        <v>42100</v>
      </c>
      <c r="G331" s="16">
        <v>45638</v>
      </c>
      <c r="H331" s="86">
        <v>80489</v>
      </c>
      <c r="I331" s="501"/>
      <c r="J331" s="17">
        <f t="shared" si="11"/>
        <v>156.00759792995174</v>
      </c>
      <c r="K331" s="18">
        <f t="shared" si="12"/>
        <v>28896</v>
      </c>
      <c r="L331" s="1292"/>
      <c r="M331" s="1292"/>
      <c r="N331" s="70"/>
    </row>
    <row r="332" spans="1:14" ht="15" customHeight="1">
      <c r="A332" s="77" t="s">
        <v>542</v>
      </c>
      <c r="B332" s="78" t="s">
        <v>18</v>
      </c>
      <c r="C332" s="73" t="s">
        <v>543</v>
      </c>
      <c r="D332" s="19">
        <v>40498</v>
      </c>
      <c r="E332" s="19">
        <v>51100</v>
      </c>
      <c r="F332" s="19">
        <v>58999</v>
      </c>
      <c r="G332" s="8">
        <v>40712</v>
      </c>
      <c r="H332" s="74">
        <v>31590</v>
      </c>
      <c r="I332" s="498"/>
      <c r="J332" s="9">
        <f t="shared" si="11"/>
        <v>78.003852042076147</v>
      </c>
      <c r="K332" s="10">
        <f t="shared" si="12"/>
        <v>-8908</v>
      </c>
      <c r="L332" s="1292"/>
      <c r="M332" s="1292"/>
      <c r="N332" s="70"/>
    </row>
    <row r="333" spans="1:14" ht="15" customHeight="1">
      <c r="A333" s="93" t="s">
        <v>542</v>
      </c>
      <c r="B333" s="94" t="s">
        <v>65</v>
      </c>
      <c r="C333" s="95" t="s">
        <v>544</v>
      </c>
      <c r="D333" s="19">
        <v>33088</v>
      </c>
      <c r="E333" s="19">
        <v>38307</v>
      </c>
      <c r="F333" s="19">
        <v>26783</v>
      </c>
      <c r="G333" s="8">
        <v>32802</v>
      </c>
      <c r="H333" s="74">
        <v>48721</v>
      </c>
      <c r="I333" s="498"/>
      <c r="J333" s="9">
        <f t="shared" si="11"/>
        <v>147.24673597678915</v>
      </c>
      <c r="K333" s="10">
        <f t="shared" si="12"/>
        <v>15633</v>
      </c>
      <c r="L333" s="1292"/>
      <c r="M333" s="1292"/>
      <c r="N333" s="70"/>
    </row>
    <row r="334" spans="1:14" ht="15" customHeight="1">
      <c r="A334" s="93" t="s">
        <v>542</v>
      </c>
      <c r="B334" s="94" t="s">
        <v>67</v>
      </c>
      <c r="C334" s="95" t="s">
        <v>545</v>
      </c>
      <c r="D334" s="19">
        <v>129514</v>
      </c>
      <c r="E334" s="19">
        <v>198042</v>
      </c>
      <c r="F334" s="19">
        <v>172497</v>
      </c>
      <c r="G334" s="8">
        <v>53638</v>
      </c>
      <c r="H334" s="74">
        <v>294136</v>
      </c>
      <c r="I334" s="498"/>
      <c r="J334" s="9">
        <f t="shared" si="11"/>
        <v>227.10749417051437</v>
      </c>
      <c r="K334" s="10">
        <f t="shared" si="12"/>
        <v>164622</v>
      </c>
      <c r="L334" s="1292"/>
      <c r="M334" s="1292"/>
      <c r="N334" s="70"/>
    </row>
    <row r="335" spans="1:14" ht="15" customHeight="1">
      <c r="A335" s="99" t="s">
        <v>542</v>
      </c>
      <c r="B335" s="117" t="s">
        <v>47</v>
      </c>
      <c r="C335" s="96" t="s">
        <v>546</v>
      </c>
      <c r="D335" s="24">
        <v>40960</v>
      </c>
      <c r="E335" s="24">
        <v>88992</v>
      </c>
      <c r="F335" s="24">
        <v>62073</v>
      </c>
      <c r="G335" s="12">
        <v>57835</v>
      </c>
      <c r="H335" s="82">
        <v>39470</v>
      </c>
      <c r="I335" s="500"/>
      <c r="J335" s="13">
        <f t="shared" si="11"/>
        <v>96.3623046875</v>
      </c>
      <c r="K335" s="14">
        <f t="shared" si="12"/>
        <v>-1490</v>
      </c>
      <c r="L335" s="14"/>
      <c r="M335" s="14"/>
      <c r="N335" s="65"/>
    </row>
    <row r="336" spans="1:14" ht="15" customHeight="1">
      <c r="A336" s="77" t="s">
        <v>547</v>
      </c>
      <c r="B336" s="78" t="s">
        <v>29</v>
      </c>
      <c r="C336" s="73" t="s">
        <v>548</v>
      </c>
      <c r="D336" s="19">
        <v>20354</v>
      </c>
      <c r="E336" s="19">
        <v>125681</v>
      </c>
      <c r="F336" s="19">
        <v>40619</v>
      </c>
      <c r="G336" s="8">
        <v>39008</v>
      </c>
      <c r="H336" s="74">
        <v>17002</v>
      </c>
      <c r="I336" s="498"/>
      <c r="J336" s="9">
        <f t="shared" si="11"/>
        <v>83.5314925813108</v>
      </c>
      <c r="K336" s="10">
        <f t="shared" si="12"/>
        <v>-3352</v>
      </c>
      <c r="L336" s="1292"/>
      <c r="M336" s="1292"/>
      <c r="N336" s="70" t="s">
        <v>549</v>
      </c>
    </row>
    <row r="337" spans="1:15" ht="15" customHeight="1">
      <c r="A337" s="93" t="s">
        <v>547</v>
      </c>
      <c r="B337" s="94" t="s">
        <v>24</v>
      </c>
      <c r="C337" s="95" t="s">
        <v>550</v>
      </c>
      <c r="D337" s="19">
        <v>153879</v>
      </c>
      <c r="E337" s="19">
        <v>197781</v>
      </c>
      <c r="F337" s="19">
        <v>101565</v>
      </c>
      <c r="G337" s="8">
        <v>96367</v>
      </c>
      <c r="H337" s="74">
        <v>93447</v>
      </c>
      <c r="I337" s="498"/>
      <c r="J337" s="9">
        <f t="shared" si="11"/>
        <v>60.72758466067495</v>
      </c>
      <c r="K337" s="10">
        <f t="shared" si="12"/>
        <v>-60432</v>
      </c>
      <c r="L337" s="1292"/>
      <c r="M337" s="1292"/>
      <c r="N337" s="70"/>
    </row>
    <row r="338" spans="1:15" ht="15" customHeight="1">
      <c r="A338" s="93" t="s">
        <v>547</v>
      </c>
      <c r="B338" s="94" t="s">
        <v>67</v>
      </c>
      <c r="C338" s="95" t="s">
        <v>551</v>
      </c>
      <c r="D338" s="19">
        <v>0</v>
      </c>
      <c r="E338" s="19">
        <v>112019</v>
      </c>
      <c r="F338" s="19">
        <v>129825</v>
      </c>
      <c r="G338" s="8">
        <v>210951</v>
      </c>
      <c r="H338" s="74">
        <v>266909</v>
      </c>
      <c r="I338" s="498"/>
      <c r="J338" s="92" t="s">
        <v>42</v>
      </c>
      <c r="K338" s="10">
        <f t="shared" si="12"/>
        <v>266909</v>
      </c>
      <c r="L338" s="1292"/>
      <c r="M338" s="1292"/>
      <c r="N338" s="70"/>
    </row>
    <row r="339" spans="1:15" ht="15" customHeight="1">
      <c r="A339" s="93" t="s">
        <v>547</v>
      </c>
      <c r="B339" s="94" t="s">
        <v>69</v>
      </c>
      <c r="C339" s="95" t="s">
        <v>552</v>
      </c>
      <c r="D339" s="19">
        <v>5523</v>
      </c>
      <c r="E339" s="19">
        <v>5619</v>
      </c>
      <c r="F339" s="19">
        <v>11333</v>
      </c>
      <c r="G339" s="8">
        <v>720</v>
      </c>
      <c r="H339" s="74">
        <v>227</v>
      </c>
      <c r="I339" s="498"/>
      <c r="J339" s="9">
        <f t="shared" si="11"/>
        <v>4.1100850986782547</v>
      </c>
      <c r="K339" s="10">
        <f t="shared" si="12"/>
        <v>-5296</v>
      </c>
      <c r="L339" s="1292"/>
      <c r="M339" s="1292"/>
      <c r="N339" s="70"/>
    </row>
    <row r="340" spans="1:15" ht="15" customHeight="1">
      <c r="A340" s="71" t="s">
        <v>547</v>
      </c>
      <c r="B340" s="72" t="s">
        <v>59</v>
      </c>
      <c r="C340" s="75" t="s">
        <v>553</v>
      </c>
      <c r="D340" s="19">
        <v>7185</v>
      </c>
      <c r="E340" s="19">
        <v>9726</v>
      </c>
      <c r="F340" s="19">
        <v>15125</v>
      </c>
      <c r="G340" s="8">
        <v>25349</v>
      </c>
      <c r="H340" s="74">
        <v>18425</v>
      </c>
      <c r="I340" s="498"/>
      <c r="J340" s="9">
        <f t="shared" si="11"/>
        <v>256.43702157272094</v>
      </c>
      <c r="K340" s="10">
        <f t="shared" si="12"/>
        <v>11240</v>
      </c>
      <c r="L340" s="1292"/>
      <c r="M340" s="1292"/>
      <c r="N340" s="70"/>
    </row>
    <row r="341" spans="1:15" ht="15" customHeight="1">
      <c r="A341" s="66" t="s">
        <v>554</v>
      </c>
      <c r="B341" s="67" t="s">
        <v>18</v>
      </c>
      <c r="C341" s="89" t="s">
        <v>555</v>
      </c>
      <c r="D341" s="25">
        <v>16647</v>
      </c>
      <c r="E341" s="25">
        <v>0</v>
      </c>
      <c r="F341" s="25">
        <v>119</v>
      </c>
      <c r="G341" s="4">
        <v>7789</v>
      </c>
      <c r="H341" s="69">
        <v>62</v>
      </c>
      <c r="I341" s="497"/>
      <c r="J341" s="5">
        <f t="shared" si="11"/>
        <v>0.37243947858472998</v>
      </c>
      <c r="K341" s="6">
        <f t="shared" si="12"/>
        <v>-16585</v>
      </c>
      <c r="L341" s="1292"/>
      <c r="M341" s="1292"/>
      <c r="N341" s="70"/>
    </row>
    <row r="342" spans="1:15" ht="15" customHeight="1">
      <c r="A342" s="99" t="s">
        <v>554</v>
      </c>
      <c r="B342" s="100" t="s">
        <v>65</v>
      </c>
      <c r="C342" s="96" t="s">
        <v>556</v>
      </c>
      <c r="D342" s="24">
        <v>156134</v>
      </c>
      <c r="E342" s="24">
        <v>199904</v>
      </c>
      <c r="F342" s="24">
        <v>211084</v>
      </c>
      <c r="G342" s="12">
        <v>167516</v>
      </c>
      <c r="H342" s="82">
        <v>70666</v>
      </c>
      <c r="I342" s="500"/>
      <c r="J342" s="13">
        <f t="shared" si="11"/>
        <v>45.259840905888531</v>
      </c>
      <c r="K342" s="14">
        <f t="shared" si="12"/>
        <v>-85468</v>
      </c>
      <c r="L342" s="1292"/>
      <c r="M342" s="1292"/>
      <c r="N342" s="70"/>
    </row>
    <row r="343" spans="1:15" ht="15" customHeight="1">
      <c r="A343" s="87" t="s">
        <v>557</v>
      </c>
      <c r="B343" s="88" t="s">
        <v>29</v>
      </c>
      <c r="C343" s="89" t="s">
        <v>558</v>
      </c>
      <c r="D343" s="25">
        <v>0</v>
      </c>
      <c r="E343" s="25">
        <v>65177</v>
      </c>
      <c r="F343" s="25">
        <v>111278</v>
      </c>
      <c r="G343" s="4">
        <v>107337</v>
      </c>
      <c r="H343" s="69">
        <v>83735</v>
      </c>
      <c r="I343" s="497"/>
      <c r="J343" s="91" t="s">
        <v>42</v>
      </c>
      <c r="K343" s="6">
        <f t="shared" si="12"/>
        <v>83735</v>
      </c>
      <c r="L343" s="1292"/>
      <c r="M343" s="1292"/>
      <c r="N343" s="70"/>
    </row>
    <row r="344" spans="1:15" ht="15" customHeight="1">
      <c r="A344" s="93" t="s">
        <v>557</v>
      </c>
      <c r="B344" s="94" t="s">
        <v>65</v>
      </c>
      <c r="C344" s="95" t="s">
        <v>559</v>
      </c>
      <c r="D344" s="19">
        <v>125575</v>
      </c>
      <c r="E344" s="19">
        <v>0</v>
      </c>
      <c r="F344" s="19">
        <v>3791</v>
      </c>
      <c r="G344" s="8">
        <v>474</v>
      </c>
      <c r="H344" s="74">
        <v>720</v>
      </c>
      <c r="I344" s="498"/>
      <c r="J344" s="9">
        <f t="shared" si="11"/>
        <v>0.57336253235118462</v>
      </c>
      <c r="K344" s="10">
        <f t="shared" si="12"/>
        <v>-124855</v>
      </c>
      <c r="L344" s="1292"/>
      <c r="M344" s="1292"/>
      <c r="N344" s="70"/>
    </row>
    <row r="345" spans="1:15" ht="15" customHeight="1">
      <c r="A345" s="79" t="s">
        <v>557</v>
      </c>
      <c r="B345" s="80" t="s">
        <v>67</v>
      </c>
      <c r="C345" s="96" t="s">
        <v>560</v>
      </c>
      <c r="D345" s="24">
        <v>0</v>
      </c>
      <c r="E345" s="24">
        <v>119472</v>
      </c>
      <c r="F345" s="24">
        <v>59049</v>
      </c>
      <c r="G345" s="12">
        <v>43140</v>
      </c>
      <c r="H345" s="82">
        <v>36715</v>
      </c>
      <c r="I345" s="500"/>
      <c r="J345" s="108" t="s">
        <v>42</v>
      </c>
      <c r="K345" s="14">
        <f t="shared" si="12"/>
        <v>36715</v>
      </c>
      <c r="L345" s="14"/>
      <c r="M345" s="14"/>
      <c r="N345" s="65"/>
    </row>
    <row r="346" spans="1:15" ht="15" customHeight="1">
      <c r="A346" s="71" t="s">
        <v>561</v>
      </c>
      <c r="B346" s="72" t="s">
        <v>18</v>
      </c>
      <c r="C346" s="75" t="s">
        <v>562</v>
      </c>
      <c r="D346" s="22">
        <v>0</v>
      </c>
      <c r="E346" s="19">
        <v>3</v>
      </c>
      <c r="F346" s="22">
        <v>0</v>
      </c>
      <c r="G346" s="23">
        <v>0</v>
      </c>
      <c r="H346" s="551">
        <v>0</v>
      </c>
      <c r="I346" s="552"/>
      <c r="J346" s="92" t="s">
        <v>42</v>
      </c>
      <c r="K346" s="10">
        <f t="shared" si="12"/>
        <v>0</v>
      </c>
      <c r="L346" s="1292"/>
      <c r="M346" s="1292"/>
      <c r="N346" s="70" t="s">
        <v>563</v>
      </c>
    </row>
    <row r="347" spans="1:15" ht="15" customHeight="1">
      <c r="A347" s="83" t="s">
        <v>564</v>
      </c>
      <c r="B347" s="113" t="s">
        <v>18</v>
      </c>
      <c r="C347" s="85" t="s">
        <v>565</v>
      </c>
      <c r="D347" s="26">
        <v>11077</v>
      </c>
      <c r="E347" s="26">
        <v>19509</v>
      </c>
      <c r="F347" s="26">
        <v>22871</v>
      </c>
      <c r="G347" s="16">
        <v>29158</v>
      </c>
      <c r="H347" s="86">
        <v>45640</v>
      </c>
      <c r="I347" s="501"/>
      <c r="J347" s="17">
        <f t="shared" si="11"/>
        <v>412.02491649363549</v>
      </c>
      <c r="K347" s="18">
        <f t="shared" si="12"/>
        <v>34563</v>
      </c>
      <c r="L347" s="1292"/>
      <c r="M347" s="1292"/>
      <c r="N347" s="70"/>
    </row>
    <row r="348" spans="1:15" ht="15" customHeight="1">
      <c r="A348" s="71" t="s">
        <v>566</v>
      </c>
      <c r="B348" s="72" t="s">
        <v>29</v>
      </c>
      <c r="C348" s="75" t="s">
        <v>567</v>
      </c>
      <c r="D348" s="19">
        <v>77736</v>
      </c>
      <c r="E348" s="19">
        <v>100150</v>
      </c>
      <c r="F348" s="19">
        <v>109338</v>
      </c>
      <c r="G348" s="8">
        <v>91913</v>
      </c>
      <c r="H348" s="74">
        <v>126909</v>
      </c>
      <c r="I348" s="498">
        <f>'CT2015'!L1256</f>
        <v>1395.9990000000003</v>
      </c>
      <c r="J348" s="9">
        <f t="shared" si="11"/>
        <v>163.25640629824022</v>
      </c>
      <c r="K348" s="10">
        <f t="shared" si="12"/>
        <v>49173</v>
      </c>
      <c r="L348" s="1292">
        <f>'CT2020'!T1288</f>
        <v>776</v>
      </c>
      <c r="M348" s="1292">
        <f>L348-I348</f>
        <v>-619.99900000000025</v>
      </c>
      <c r="N348" s="70"/>
      <c r="O348" s="1486">
        <f>M348/I348*100</f>
        <v>-44.412567630779115</v>
      </c>
    </row>
    <row r="349" spans="1:15" ht="15" customHeight="1">
      <c r="A349" s="87" t="s">
        <v>568</v>
      </c>
      <c r="B349" s="88" t="s">
        <v>18</v>
      </c>
      <c r="C349" s="89" t="s">
        <v>569</v>
      </c>
      <c r="D349" s="25">
        <v>40710</v>
      </c>
      <c r="E349" s="25">
        <v>22201</v>
      </c>
      <c r="F349" s="25">
        <v>50052</v>
      </c>
      <c r="G349" s="4">
        <v>28579</v>
      </c>
      <c r="H349" s="69">
        <v>34816</v>
      </c>
      <c r="I349" s="497"/>
      <c r="J349" s="5">
        <f t="shared" si="11"/>
        <v>85.521984770326696</v>
      </c>
      <c r="K349" s="6">
        <f t="shared" si="12"/>
        <v>-5894</v>
      </c>
      <c r="L349" s="1292"/>
      <c r="M349" s="1292"/>
      <c r="N349" s="70"/>
    </row>
    <row r="350" spans="1:15" ht="15" customHeight="1">
      <c r="A350" s="79" t="s">
        <v>568</v>
      </c>
      <c r="B350" s="80" t="s">
        <v>65</v>
      </c>
      <c r="C350" s="96" t="s">
        <v>570</v>
      </c>
      <c r="D350" s="24">
        <v>180392</v>
      </c>
      <c r="E350" s="24">
        <v>186182</v>
      </c>
      <c r="F350" s="24">
        <v>335246</v>
      </c>
      <c r="G350" s="12">
        <v>188888</v>
      </c>
      <c r="H350" s="82">
        <v>265073</v>
      </c>
      <c r="I350" s="500"/>
      <c r="J350" s="13">
        <f t="shared" si="11"/>
        <v>146.94276908066877</v>
      </c>
      <c r="K350" s="14">
        <f t="shared" si="12"/>
        <v>84681</v>
      </c>
      <c r="L350" s="1292"/>
      <c r="M350" s="1292"/>
      <c r="N350" s="70"/>
    </row>
    <row r="351" spans="1:15" ht="15" customHeight="1">
      <c r="A351" s="77" t="s">
        <v>571</v>
      </c>
      <c r="B351" s="78" t="s">
        <v>29</v>
      </c>
      <c r="C351" s="73" t="s">
        <v>572</v>
      </c>
      <c r="D351" s="19">
        <v>93073</v>
      </c>
      <c r="E351" s="19">
        <v>54448</v>
      </c>
      <c r="F351" s="19">
        <v>54851</v>
      </c>
      <c r="G351" s="8">
        <v>45849</v>
      </c>
      <c r="H351" s="74">
        <v>72200</v>
      </c>
      <c r="I351" s="498"/>
      <c r="J351" s="9">
        <f t="shared" si="11"/>
        <v>77.573517561483996</v>
      </c>
      <c r="K351" s="10">
        <f t="shared" si="12"/>
        <v>-20873</v>
      </c>
      <c r="L351" s="1292"/>
      <c r="M351" s="1292"/>
      <c r="N351" s="70"/>
    </row>
    <row r="352" spans="1:15" ht="15" customHeight="1">
      <c r="A352" s="93" t="s">
        <v>571</v>
      </c>
      <c r="B352" s="94" t="s">
        <v>24</v>
      </c>
      <c r="C352" s="95" t="s">
        <v>573</v>
      </c>
      <c r="D352" s="19">
        <v>1743</v>
      </c>
      <c r="E352" s="19">
        <v>1394</v>
      </c>
      <c r="F352" s="19">
        <v>7903</v>
      </c>
      <c r="G352" s="8">
        <v>5020</v>
      </c>
      <c r="H352" s="74">
        <v>6666</v>
      </c>
      <c r="I352" s="498"/>
      <c r="J352" s="9">
        <f t="shared" si="11"/>
        <v>382.44406196213424</v>
      </c>
      <c r="K352" s="10">
        <f t="shared" si="12"/>
        <v>4923</v>
      </c>
      <c r="L352" s="1292"/>
      <c r="M352" s="1292"/>
      <c r="N352" s="70"/>
    </row>
    <row r="353" spans="1:15" ht="15" customHeight="1">
      <c r="A353" s="93" t="s">
        <v>571</v>
      </c>
      <c r="B353" s="94" t="s">
        <v>52</v>
      </c>
      <c r="C353" s="95" t="s">
        <v>574</v>
      </c>
      <c r="D353" s="19">
        <v>140961</v>
      </c>
      <c r="E353" s="19">
        <v>135447</v>
      </c>
      <c r="F353" s="19">
        <v>196639</v>
      </c>
      <c r="G353" s="8">
        <v>229145</v>
      </c>
      <c r="H353" s="74">
        <v>199928</v>
      </c>
      <c r="I353" s="498"/>
      <c r="J353" s="9">
        <f t="shared" si="11"/>
        <v>141.83213796723916</v>
      </c>
      <c r="K353" s="10">
        <f t="shared" si="12"/>
        <v>58967</v>
      </c>
      <c r="L353" s="1292"/>
      <c r="M353" s="1292"/>
      <c r="N353" s="70"/>
    </row>
    <row r="354" spans="1:15" ht="15" customHeight="1">
      <c r="A354" s="71" t="s">
        <v>571</v>
      </c>
      <c r="B354" s="72" t="s">
        <v>575</v>
      </c>
      <c r="C354" s="97" t="s">
        <v>576</v>
      </c>
      <c r="D354" s="19">
        <v>37111</v>
      </c>
      <c r="E354" s="19">
        <v>24784</v>
      </c>
      <c r="F354" s="19">
        <v>30093</v>
      </c>
      <c r="G354" s="8">
        <v>22166</v>
      </c>
      <c r="H354" s="74">
        <v>33234</v>
      </c>
      <c r="I354" s="498"/>
      <c r="J354" s="9">
        <f t="shared" si="11"/>
        <v>89.552962733421353</v>
      </c>
      <c r="K354" s="10">
        <f t="shared" si="12"/>
        <v>-3877</v>
      </c>
      <c r="L354" s="1292"/>
      <c r="M354" s="1292"/>
      <c r="N354" s="70"/>
    </row>
    <row r="355" spans="1:15" ht="15" customHeight="1">
      <c r="A355" s="87" t="s">
        <v>577</v>
      </c>
      <c r="B355" s="88" t="s">
        <v>29</v>
      </c>
      <c r="C355" s="89" t="s">
        <v>578</v>
      </c>
      <c r="D355" s="25">
        <v>81234</v>
      </c>
      <c r="E355" s="25">
        <v>103137</v>
      </c>
      <c r="F355" s="25">
        <v>177638</v>
      </c>
      <c r="G355" s="4">
        <v>157037</v>
      </c>
      <c r="H355" s="69">
        <v>121536</v>
      </c>
      <c r="I355" s="497"/>
      <c r="J355" s="5">
        <f t="shared" si="11"/>
        <v>149.61223133170841</v>
      </c>
      <c r="K355" s="6">
        <f t="shared" si="12"/>
        <v>40302</v>
      </c>
      <c r="L355" s="1292"/>
      <c r="M355" s="1292"/>
      <c r="N355" s="70"/>
    </row>
    <row r="356" spans="1:15" ht="15" customHeight="1">
      <c r="A356" s="79" t="s">
        <v>577</v>
      </c>
      <c r="B356" s="80" t="s">
        <v>575</v>
      </c>
      <c r="C356" s="96" t="s">
        <v>579</v>
      </c>
      <c r="D356" s="24">
        <v>10687</v>
      </c>
      <c r="E356" s="24">
        <v>26062</v>
      </c>
      <c r="F356" s="24">
        <v>0</v>
      </c>
      <c r="G356" s="12">
        <v>16920</v>
      </c>
      <c r="H356" s="82">
        <v>15653</v>
      </c>
      <c r="I356" s="500"/>
      <c r="J356" s="13">
        <f t="shared" si="11"/>
        <v>146.46767100215214</v>
      </c>
      <c r="K356" s="14">
        <f t="shared" si="12"/>
        <v>4966</v>
      </c>
      <c r="L356" s="1292"/>
      <c r="M356" s="1292"/>
      <c r="N356" s="70"/>
    </row>
    <row r="357" spans="1:15" ht="15" customHeight="1">
      <c r="A357" s="77" t="s">
        <v>580</v>
      </c>
      <c r="B357" s="78" t="s">
        <v>29</v>
      </c>
      <c r="C357" s="73" t="s">
        <v>581</v>
      </c>
      <c r="D357" s="19">
        <v>52522</v>
      </c>
      <c r="E357" s="19">
        <v>87438</v>
      </c>
      <c r="F357" s="19">
        <v>109592</v>
      </c>
      <c r="G357" s="8">
        <v>104997</v>
      </c>
      <c r="H357" s="74">
        <v>113039</v>
      </c>
      <c r="I357" s="498"/>
      <c r="J357" s="9">
        <f t="shared" si="11"/>
        <v>215.22219260500361</v>
      </c>
      <c r="K357" s="10">
        <f t="shared" si="12"/>
        <v>60517</v>
      </c>
      <c r="L357" s="1292"/>
      <c r="M357" s="1292"/>
      <c r="N357" s="70"/>
    </row>
    <row r="358" spans="1:15" ht="15" customHeight="1">
      <c r="A358" s="71" t="s">
        <v>580</v>
      </c>
      <c r="B358" s="72" t="s">
        <v>575</v>
      </c>
      <c r="C358" s="97" t="s">
        <v>582</v>
      </c>
      <c r="D358" s="19">
        <v>14224</v>
      </c>
      <c r="E358" s="19">
        <v>30869</v>
      </c>
      <c r="F358" s="19">
        <v>5900</v>
      </c>
      <c r="G358" s="8">
        <v>11396</v>
      </c>
      <c r="H358" s="74">
        <v>12545</v>
      </c>
      <c r="I358" s="498"/>
      <c r="J358" s="9">
        <f t="shared" si="11"/>
        <v>88.196006749156354</v>
      </c>
      <c r="K358" s="10">
        <f t="shared" si="12"/>
        <v>-1679</v>
      </c>
      <c r="L358" s="1292"/>
      <c r="M358" s="1292"/>
      <c r="N358" s="70"/>
    </row>
    <row r="359" spans="1:15" ht="15" customHeight="1">
      <c r="A359" s="87" t="s">
        <v>583</v>
      </c>
      <c r="B359" s="88" t="s">
        <v>29</v>
      </c>
      <c r="C359" s="89" t="s">
        <v>584</v>
      </c>
      <c r="D359" s="25">
        <v>3790</v>
      </c>
      <c r="E359" s="25">
        <v>2467</v>
      </c>
      <c r="F359" s="25">
        <v>2383</v>
      </c>
      <c r="G359" s="4">
        <v>556</v>
      </c>
      <c r="H359" s="69">
        <v>4615</v>
      </c>
      <c r="I359" s="497">
        <f>'CT2015'!L1277</f>
        <v>2118.2849999999999</v>
      </c>
      <c r="J359" s="5">
        <f t="shared" si="11"/>
        <v>121.76781002638522</v>
      </c>
      <c r="K359" s="6">
        <f t="shared" si="12"/>
        <v>825</v>
      </c>
      <c r="L359" s="1292">
        <f>'CT2020'!T1309</f>
        <v>1296</v>
      </c>
      <c r="M359" s="1292">
        <f>L359-I359</f>
        <v>-822.28499999999985</v>
      </c>
      <c r="N359" s="70"/>
      <c r="O359" s="1486">
        <f>M359/I359*100</f>
        <v>-38.818430947677008</v>
      </c>
    </row>
    <row r="360" spans="1:15" ht="15" customHeight="1">
      <c r="A360" s="71" t="s">
        <v>583</v>
      </c>
      <c r="B360" s="72" t="s">
        <v>45</v>
      </c>
      <c r="C360" s="75" t="s">
        <v>585</v>
      </c>
      <c r="D360" s="19">
        <v>27846</v>
      </c>
      <c r="E360" s="19">
        <v>22978</v>
      </c>
      <c r="F360" s="19">
        <v>28299</v>
      </c>
      <c r="G360" s="8">
        <v>4702</v>
      </c>
      <c r="H360" s="74">
        <v>10107</v>
      </c>
      <c r="I360" s="498"/>
      <c r="J360" s="9">
        <f t="shared" si="11"/>
        <v>36.296056884292177</v>
      </c>
      <c r="K360" s="10">
        <f t="shared" si="12"/>
        <v>-17739</v>
      </c>
      <c r="L360" s="1292"/>
      <c r="M360" s="1292"/>
      <c r="N360" s="70"/>
    </row>
    <row r="361" spans="1:15" ht="15" customHeight="1">
      <c r="A361" s="79" t="s">
        <v>583</v>
      </c>
      <c r="B361" s="80" t="s">
        <v>59</v>
      </c>
      <c r="C361" s="81" t="s">
        <v>586</v>
      </c>
      <c r="D361" s="24">
        <v>15240</v>
      </c>
      <c r="E361" s="24">
        <v>11854</v>
      </c>
      <c r="F361" s="24">
        <v>17050</v>
      </c>
      <c r="G361" s="12">
        <v>24718</v>
      </c>
      <c r="H361" s="82">
        <v>64207</v>
      </c>
      <c r="I361" s="500"/>
      <c r="J361" s="13">
        <f t="shared" si="11"/>
        <v>421.30577427821521</v>
      </c>
      <c r="K361" s="14">
        <f t="shared" si="12"/>
        <v>48967</v>
      </c>
      <c r="L361" s="14"/>
      <c r="M361" s="14"/>
      <c r="N361" s="65"/>
    </row>
    <row r="362" spans="1:15" ht="15" customHeight="1">
      <c r="A362" s="77" t="s">
        <v>587</v>
      </c>
      <c r="B362" s="78" t="s">
        <v>29</v>
      </c>
      <c r="C362" s="73" t="s">
        <v>588</v>
      </c>
      <c r="D362" s="19">
        <v>3126</v>
      </c>
      <c r="E362" s="19">
        <v>3265</v>
      </c>
      <c r="F362" s="19">
        <v>2851</v>
      </c>
      <c r="G362" s="8">
        <v>3249</v>
      </c>
      <c r="H362" s="74">
        <v>1162</v>
      </c>
      <c r="I362" s="498"/>
      <c r="J362" s="9">
        <f t="shared" si="11"/>
        <v>37.172104926423543</v>
      </c>
      <c r="K362" s="10">
        <f t="shared" si="12"/>
        <v>-1964</v>
      </c>
      <c r="L362" s="1292"/>
      <c r="M362" s="1292"/>
      <c r="N362" s="70" t="s">
        <v>232</v>
      </c>
    </row>
    <row r="363" spans="1:15" ht="15" customHeight="1">
      <c r="A363" s="217" t="s">
        <v>587</v>
      </c>
      <c r="B363" s="218" t="s">
        <v>24</v>
      </c>
      <c r="C363" s="219" t="s">
        <v>589</v>
      </c>
      <c r="D363" s="220">
        <v>70256</v>
      </c>
      <c r="E363" s="220">
        <v>81027</v>
      </c>
      <c r="F363" s="220">
        <v>87189</v>
      </c>
      <c r="G363" s="221">
        <v>35592</v>
      </c>
      <c r="H363" s="222">
        <v>58157</v>
      </c>
      <c r="I363" s="506">
        <f>'CT2015'!L1282</f>
        <v>58157</v>
      </c>
      <c r="J363" s="9">
        <f t="shared" si="11"/>
        <v>82.778695058073339</v>
      </c>
      <c r="K363" s="10">
        <f t="shared" si="12"/>
        <v>-12099</v>
      </c>
      <c r="L363" s="1292">
        <f>'CT2020'!T1314</f>
        <v>48883</v>
      </c>
      <c r="M363" s="1292">
        <f>L363-I363</f>
        <v>-9274</v>
      </c>
      <c r="N363" s="70"/>
      <c r="O363" s="1486">
        <f>M363/I363*100</f>
        <v>-15.946489674501779</v>
      </c>
    </row>
    <row r="364" spans="1:15" ht="15" customHeight="1">
      <c r="A364" s="87" t="s">
        <v>590</v>
      </c>
      <c r="B364" s="114" t="s">
        <v>18</v>
      </c>
      <c r="C364" s="89" t="s">
        <v>591</v>
      </c>
      <c r="D364" s="25">
        <v>98201</v>
      </c>
      <c r="E364" s="25">
        <v>46941</v>
      </c>
      <c r="F364" s="25">
        <v>40564</v>
      </c>
      <c r="G364" s="4">
        <v>14041</v>
      </c>
      <c r="H364" s="69">
        <v>25722</v>
      </c>
      <c r="I364" s="497"/>
      <c r="J364" s="5">
        <f t="shared" si="11"/>
        <v>26.193215955031008</v>
      </c>
      <c r="K364" s="6">
        <f t="shared" si="12"/>
        <v>-72479</v>
      </c>
      <c r="L364" s="1292"/>
      <c r="M364" s="1292"/>
      <c r="N364" s="70"/>
    </row>
    <row r="365" spans="1:15" ht="15" customHeight="1">
      <c r="A365" s="93" t="s">
        <v>592</v>
      </c>
      <c r="B365" s="112" t="s">
        <v>65</v>
      </c>
      <c r="C365" s="95" t="s">
        <v>593</v>
      </c>
      <c r="D365" s="19">
        <v>6</v>
      </c>
      <c r="E365" s="19">
        <v>167</v>
      </c>
      <c r="F365" s="19">
        <v>16</v>
      </c>
      <c r="G365" s="8">
        <v>0</v>
      </c>
      <c r="H365" s="74">
        <v>781</v>
      </c>
      <c r="I365" s="498">
        <f>'CT2015'!L1284</f>
        <v>125.741</v>
      </c>
      <c r="J365" s="9">
        <f t="shared" si="11"/>
        <v>13016.666666666666</v>
      </c>
      <c r="K365" s="10">
        <f t="shared" si="12"/>
        <v>775</v>
      </c>
      <c r="L365" s="1292">
        <f>'CT2020'!T1316</f>
        <v>0</v>
      </c>
      <c r="M365" s="1292">
        <f>L365-I365</f>
        <v>-125.741</v>
      </c>
      <c r="N365" s="70"/>
      <c r="O365" s="1486">
        <f>M365/I365*100</f>
        <v>-100</v>
      </c>
    </row>
    <row r="366" spans="1:15" ht="15" customHeight="1">
      <c r="A366" s="77" t="s">
        <v>590</v>
      </c>
      <c r="B366" s="78" t="s">
        <v>67</v>
      </c>
      <c r="C366" s="95" t="s">
        <v>594</v>
      </c>
      <c r="D366" s="19">
        <v>12</v>
      </c>
      <c r="E366" s="19">
        <v>14</v>
      </c>
      <c r="F366" s="19">
        <v>3</v>
      </c>
      <c r="G366" s="8">
        <v>79</v>
      </c>
      <c r="H366" s="74">
        <v>0</v>
      </c>
      <c r="I366" s="498"/>
      <c r="J366" s="9">
        <f t="shared" si="11"/>
        <v>0</v>
      </c>
      <c r="K366" s="10">
        <f t="shared" si="12"/>
        <v>-12</v>
      </c>
      <c r="L366" s="1292"/>
      <c r="M366" s="1292"/>
      <c r="N366" s="70"/>
    </row>
    <row r="367" spans="1:15" ht="15" customHeight="1">
      <c r="A367" s="93" t="s">
        <v>590</v>
      </c>
      <c r="B367" s="94" t="s">
        <v>69</v>
      </c>
      <c r="C367" s="95" t="s">
        <v>595</v>
      </c>
      <c r="D367" s="19">
        <v>6215</v>
      </c>
      <c r="E367" s="19">
        <v>6067</v>
      </c>
      <c r="F367" s="19">
        <v>2856</v>
      </c>
      <c r="G367" s="8">
        <v>2276</v>
      </c>
      <c r="H367" s="74">
        <v>1048</v>
      </c>
      <c r="I367" s="498"/>
      <c r="J367" s="9">
        <f t="shared" si="11"/>
        <v>16.862429605792435</v>
      </c>
      <c r="K367" s="10">
        <f t="shared" si="12"/>
        <v>-5167</v>
      </c>
      <c r="L367" s="1292"/>
      <c r="M367" s="1292"/>
      <c r="N367" s="70"/>
    </row>
    <row r="368" spans="1:15" ht="15" customHeight="1">
      <c r="A368" s="93" t="s">
        <v>590</v>
      </c>
      <c r="B368" s="94" t="s">
        <v>596</v>
      </c>
      <c r="C368" s="95" t="s">
        <v>597</v>
      </c>
      <c r="D368" s="19">
        <v>7195</v>
      </c>
      <c r="E368" s="19">
        <v>7736</v>
      </c>
      <c r="F368" s="19">
        <v>6834</v>
      </c>
      <c r="G368" s="8">
        <v>6274</v>
      </c>
      <c r="H368" s="74">
        <v>4766</v>
      </c>
      <c r="I368" s="498"/>
      <c r="J368" s="9">
        <f t="shared" si="11"/>
        <v>66.240444753300906</v>
      </c>
      <c r="K368" s="10">
        <f t="shared" si="12"/>
        <v>-2429</v>
      </c>
      <c r="L368" s="1292"/>
      <c r="M368" s="1292"/>
      <c r="N368" s="70"/>
    </row>
    <row r="369" spans="1:15" ht="15" customHeight="1">
      <c r="A369" s="93" t="s">
        <v>590</v>
      </c>
      <c r="B369" s="94" t="s">
        <v>598</v>
      </c>
      <c r="C369" s="95" t="s">
        <v>599</v>
      </c>
      <c r="D369" s="19">
        <v>429</v>
      </c>
      <c r="E369" s="19">
        <v>47</v>
      </c>
      <c r="F369" s="19">
        <v>3</v>
      </c>
      <c r="G369" s="8">
        <v>91</v>
      </c>
      <c r="H369" s="74">
        <v>33</v>
      </c>
      <c r="I369" s="498"/>
      <c r="J369" s="9">
        <f t="shared" si="11"/>
        <v>7.6923076923076925</v>
      </c>
      <c r="K369" s="10">
        <f t="shared" si="12"/>
        <v>-396</v>
      </c>
      <c r="L369" s="1292"/>
      <c r="M369" s="1292"/>
      <c r="N369" s="70"/>
    </row>
    <row r="370" spans="1:15" ht="15" customHeight="1">
      <c r="A370" s="79" t="s">
        <v>590</v>
      </c>
      <c r="B370" s="80" t="s">
        <v>59</v>
      </c>
      <c r="C370" s="96" t="s">
        <v>600</v>
      </c>
      <c r="D370" s="24">
        <v>120433</v>
      </c>
      <c r="E370" s="24">
        <v>97205</v>
      </c>
      <c r="F370" s="24">
        <v>94532</v>
      </c>
      <c r="G370" s="12">
        <v>111146</v>
      </c>
      <c r="H370" s="82">
        <v>130807</v>
      </c>
      <c r="I370" s="500"/>
      <c r="J370" s="13">
        <f t="shared" si="11"/>
        <v>108.61391811214534</v>
      </c>
      <c r="K370" s="14">
        <f t="shared" si="12"/>
        <v>10374</v>
      </c>
      <c r="L370" s="1292"/>
      <c r="M370" s="1292"/>
      <c r="N370" s="70"/>
    </row>
    <row r="371" spans="1:15" ht="15" customHeight="1">
      <c r="A371" s="79" t="s">
        <v>601</v>
      </c>
      <c r="B371" s="80" t="s">
        <v>18</v>
      </c>
      <c r="C371" s="81" t="s">
        <v>602</v>
      </c>
      <c r="D371" s="30">
        <v>0</v>
      </c>
      <c r="E371" s="24">
        <v>88152</v>
      </c>
      <c r="F371" s="24">
        <v>87776</v>
      </c>
      <c r="G371" s="12">
        <v>73716</v>
      </c>
      <c r="H371" s="549">
        <v>63251</v>
      </c>
      <c r="I371" s="550"/>
      <c r="J371" s="108" t="s">
        <v>42</v>
      </c>
      <c r="K371" s="10">
        <f t="shared" si="12"/>
        <v>63251</v>
      </c>
      <c r="L371" s="1292"/>
      <c r="M371" s="1292"/>
      <c r="N371" s="65"/>
    </row>
    <row r="372" spans="1:15" ht="15" customHeight="1">
      <c r="A372" s="77" t="s">
        <v>603</v>
      </c>
      <c r="B372" s="78" t="s">
        <v>29</v>
      </c>
      <c r="C372" s="73" t="s">
        <v>604</v>
      </c>
      <c r="D372" s="19">
        <v>694573</v>
      </c>
      <c r="E372" s="19">
        <v>473140</v>
      </c>
      <c r="F372" s="19">
        <v>374982</v>
      </c>
      <c r="G372" s="8">
        <v>312343</v>
      </c>
      <c r="H372" s="74">
        <v>306772</v>
      </c>
      <c r="I372" s="498"/>
      <c r="J372" s="9">
        <f t="shared" si="11"/>
        <v>44.166991806476787</v>
      </c>
      <c r="K372" s="6">
        <f t="shared" si="12"/>
        <v>-387801</v>
      </c>
      <c r="L372" s="1292"/>
      <c r="M372" s="1292"/>
      <c r="N372" s="70" t="s">
        <v>605</v>
      </c>
    </row>
    <row r="373" spans="1:15" ht="15" customHeight="1">
      <c r="A373" s="71" t="s">
        <v>603</v>
      </c>
      <c r="B373" s="72" t="s">
        <v>24</v>
      </c>
      <c r="C373" s="75" t="s">
        <v>606</v>
      </c>
      <c r="D373" s="19">
        <v>924628</v>
      </c>
      <c r="E373" s="19">
        <v>582486</v>
      </c>
      <c r="F373" s="19">
        <v>404552</v>
      </c>
      <c r="G373" s="8">
        <v>256969</v>
      </c>
      <c r="H373" s="74">
        <v>287011</v>
      </c>
      <c r="I373" s="498"/>
      <c r="J373" s="9">
        <f t="shared" si="11"/>
        <v>31.040699611086836</v>
      </c>
      <c r="K373" s="10">
        <f t="shared" si="12"/>
        <v>-637617</v>
      </c>
      <c r="L373" s="1292"/>
      <c r="M373" s="1292"/>
      <c r="N373" s="70"/>
    </row>
    <row r="374" spans="1:15" ht="15" customHeight="1">
      <c r="A374" s="87" t="s">
        <v>607</v>
      </c>
      <c r="B374" s="88" t="s">
        <v>29</v>
      </c>
      <c r="C374" s="89" t="s">
        <v>608</v>
      </c>
      <c r="D374" s="25">
        <v>26566</v>
      </c>
      <c r="E374" s="25">
        <v>22815</v>
      </c>
      <c r="F374" s="25">
        <v>15766</v>
      </c>
      <c r="G374" s="4">
        <v>10831</v>
      </c>
      <c r="H374" s="69">
        <v>13312</v>
      </c>
      <c r="I374" s="497">
        <f>'CT2015'!L1307</f>
        <v>109.845</v>
      </c>
      <c r="J374" s="5">
        <f t="shared" si="11"/>
        <v>50.109162086877966</v>
      </c>
      <c r="K374" s="6">
        <f t="shared" si="12"/>
        <v>-13254</v>
      </c>
      <c r="L374" s="1292">
        <f>'CT2020'!T1339</f>
        <v>199</v>
      </c>
      <c r="M374" s="1292">
        <f>L374-I374</f>
        <v>89.155000000000001</v>
      </c>
      <c r="N374" s="70"/>
      <c r="O374" s="1486">
        <f>M374/I374*100</f>
        <v>81.164367973052947</v>
      </c>
    </row>
    <row r="375" spans="1:15" ht="15" customHeight="1">
      <c r="A375" s="79" t="s">
        <v>607</v>
      </c>
      <c r="B375" s="80" t="s">
        <v>24</v>
      </c>
      <c r="C375" s="81" t="s">
        <v>609</v>
      </c>
      <c r="D375" s="24">
        <v>619593</v>
      </c>
      <c r="E375" s="24">
        <v>494529</v>
      </c>
      <c r="F375" s="24">
        <v>472462</v>
      </c>
      <c r="G375" s="12">
        <v>266412</v>
      </c>
      <c r="H375" s="82">
        <v>435941</v>
      </c>
      <c r="I375" s="500">
        <f>'CT2015'!L1310+'CT2015'!L1313</f>
        <v>1270.53</v>
      </c>
      <c r="J375" s="13">
        <f t="shared" si="11"/>
        <v>70.35925196056121</v>
      </c>
      <c r="K375" s="14">
        <f t="shared" si="12"/>
        <v>-183652</v>
      </c>
      <c r="L375" s="1292">
        <f>'CT2020'!T1342+'CT2020'!T1345</f>
        <v>817</v>
      </c>
      <c r="M375" s="1292">
        <f>L375-I375</f>
        <v>-453.53</v>
      </c>
      <c r="N375" s="70"/>
      <c r="O375" s="1486">
        <f>M375/I375*100</f>
        <v>-35.696126813219678</v>
      </c>
    </row>
    <row r="376" spans="1:15" ht="15" customHeight="1">
      <c r="A376" s="71" t="s">
        <v>610</v>
      </c>
      <c r="B376" s="72" t="s">
        <v>29</v>
      </c>
      <c r="C376" s="75" t="s">
        <v>611</v>
      </c>
      <c r="D376" s="19">
        <v>727339</v>
      </c>
      <c r="E376" s="19">
        <v>291647</v>
      </c>
      <c r="F376" s="19">
        <v>245617</v>
      </c>
      <c r="G376" s="8">
        <v>205370</v>
      </c>
      <c r="H376" s="74">
        <v>261108</v>
      </c>
      <c r="I376" s="498"/>
      <c r="J376" s="9">
        <f t="shared" si="11"/>
        <v>35.899078696453785</v>
      </c>
      <c r="K376" s="10">
        <f t="shared" si="12"/>
        <v>-466231</v>
      </c>
      <c r="L376" s="1488">
        <f>'CT2020'!T1350</f>
        <v>2826</v>
      </c>
      <c r="M376" s="1292"/>
      <c r="N376" s="70"/>
    </row>
    <row r="377" spans="1:15" ht="15" customHeight="1">
      <c r="A377" s="87" t="s">
        <v>612</v>
      </c>
      <c r="B377" s="88" t="s">
        <v>29</v>
      </c>
      <c r="C377" s="89" t="s">
        <v>613</v>
      </c>
      <c r="D377" s="25">
        <v>626135</v>
      </c>
      <c r="E377" s="25">
        <v>313811</v>
      </c>
      <c r="F377" s="25">
        <v>260206</v>
      </c>
      <c r="G377" s="4">
        <v>173197</v>
      </c>
      <c r="H377" s="69">
        <v>165302</v>
      </c>
      <c r="I377" s="497"/>
      <c r="J377" s="5">
        <f t="shared" si="11"/>
        <v>26.400376915521413</v>
      </c>
      <c r="K377" s="6">
        <f t="shared" si="12"/>
        <v>-460833</v>
      </c>
      <c r="L377" s="1292"/>
      <c r="M377" s="1292"/>
      <c r="N377" s="70"/>
    </row>
    <row r="378" spans="1:15" ht="15" customHeight="1">
      <c r="A378" s="93" t="s">
        <v>612</v>
      </c>
      <c r="B378" s="94" t="s">
        <v>24</v>
      </c>
      <c r="C378" s="95" t="s">
        <v>614</v>
      </c>
      <c r="D378" s="19">
        <v>582769</v>
      </c>
      <c r="E378" s="19">
        <v>393801</v>
      </c>
      <c r="F378" s="19">
        <v>237691</v>
      </c>
      <c r="G378" s="8">
        <v>115261</v>
      </c>
      <c r="H378" s="74">
        <v>145818</v>
      </c>
      <c r="I378" s="498">
        <f>'CT2015'!L1332</f>
        <v>385.04599999999999</v>
      </c>
      <c r="J378" s="9">
        <f t="shared" si="11"/>
        <v>25.021578018048316</v>
      </c>
      <c r="K378" s="10">
        <f t="shared" si="12"/>
        <v>-436951</v>
      </c>
      <c r="L378" s="1292">
        <f>'CT2020'!T1364</f>
        <v>654</v>
      </c>
      <c r="M378" s="1292">
        <f>L378-I378</f>
        <v>268.95400000000001</v>
      </c>
      <c r="N378" s="70"/>
      <c r="O378" s="1486">
        <f>M378/I378*100</f>
        <v>69.849836123476166</v>
      </c>
    </row>
    <row r="379" spans="1:15" ht="15" customHeight="1">
      <c r="A379" s="79" t="s">
        <v>612</v>
      </c>
      <c r="B379" s="80" t="s">
        <v>52</v>
      </c>
      <c r="C379" s="81" t="s">
        <v>615</v>
      </c>
      <c r="D379" s="24">
        <v>85383</v>
      </c>
      <c r="E379" s="24">
        <v>53088</v>
      </c>
      <c r="F379" s="24">
        <v>21674</v>
      </c>
      <c r="G379" s="12">
        <v>15992</v>
      </c>
      <c r="H379" s="82">
        <v>15867</v>
      </c>
      <c r="I379" s="500"/>
      <c r="J379" s="13">
        <f t="shared" si="11"/>
        <v>18.583324549383367</v>
      </c>
      <c r="K379" s="14">
        <f t="shared" si="12"/>
        <v>-69516</v>
      </c>
      <c r="L379" s="1292"/>
      <c r="M379" s="1292"/>
      <c r="N379" s="70"/>
    </row>
    <row r="380" spans="1:15" ht="15" customHeight="1">
      <c r="A380" s="77" t="s">
        <v>616</v>
      </c>
      <c r="B380" s="78" t="s">
        <v>29</v>
      </c>
      <c r="C380" s="73" t="s">
        <v>617</v>
      </c>
      <c r="D380" s="19">
        <v>236428</v>
      </c>
      <c r="E380" s="19">
        <v>57417</v>
      </c>
      <c r="F380" s="19">
        <v>36766</v>
      </c>
      <c r="G380" s="8">
        <v>43437</v>
      </c>
      <c r="H380" s="74">
        <v>38722</v>
      </c>
      <c r="I380" s="498"/>
      <c r="J380" s="9">
        <f t="shared" si="11"/>
        <v>16.377924780482854</v>
      </c>
      <c r="K380" s="10">
        <f t="shared" si="12"/>
        <v>-197706</v>
      </c>
      <c r="L380" s="1292"/>
      <c r="M380" s="1292"/>
      <c r="N380" s="70"/>
    </row>
    <row r="381" spans="1:15" ht="15" customHeight="1">
      <c r="A381" s="93" t="s">
        <v>618</v>
      </c>
      <c r="B381" s="94" t="s">
        <v>24</v>
      </c>
      <c r="C381" s="95" t="s">
        <v>619</v>
      </c>
      <c r="D381" s="19">
        <v>127811</v>
      </c>
      <c r="E381" s="19">
        <v>34179</v>
      </c>
      <c r="F381" s="19">
        <v>1133</v>
      </c>
      <c r="G381" s="8">
        <v>9369</v>
      </c>
      <c r="H381" s="74">
        <v>14286</v>
      </c>
      <c r="I381" s="498"/>
      <c r="J381" s="9">
        <f t="shared" si="11"/>
        <v>11.177441691247232</v>
      </c>
      <c r="K381" s="10">
        <f t="shared" si="12"/>
        <v>-113525</v>
      </c>
      <c r="L381" s="1292"/>
      <c r="M381" s="1292"/>
      <c r="N381" s="70"/>
    </row>
    <row r="382" spans="1:15" ht="15" customHeight="1">
      <c r="A382" s="93" t="s">
        <v>618</v>
      </c>
      <c r="B382" s="94" t="s">
        <v>52</v>
      </c>
      <c r="C382" s="95" t="s">
        <v>620</v>
      </c>
      <c r="D382" s="19">
        <v>98451</v>
      </c>
      <c r="E382" s="19">
        <v>4792</v>
      </c>
      <c r="F382" s="19">
        <v>9021</v>
      </c>
      <c r="G382" s="8">
        <v>6043</v>
      </c>
      <c r="H382" s="74">
        <v>8603</v>
      </c>
      <c r="I382" s="498"/>
      <c r="J382" s="9">
        <f t="shared" si="11"/>
        <v>8.7383571522889554</v>
      </c>
      <c r="K382" s="10">
        <f t="shared" si="12"/>
        <v>-89848</v>
      </c>
      <c r="L382" s="1292"/>
      <c r="M382" s="1292"/>
      <c r="N382" s="70"/>
    </row>
    <row r="383" spans="1:15" ht="15" customHeight="1">
      <c r="A383" s="71" t="s">
        <v>618</v>
      </c>
      <c r="B383" s="72" t="s">
        <v>59</v>
      </c>
      <c r="C383" s="75" t="s">
        <v>621</v>
      </c>
      <c r="D383" s="19">
        <v>684941</v>
      </c>
      <c r="E383" s="19">
        <v>387512</v>
      </c>
      <c r="F383" s="19">
        <v>209233</v>
      </c>
      <c r="G383" s="8">
        <v>154070</v>
      </c>
      <c r="H383" s="74">
        <v>159491</v>
      </c>
      <c r="I383" s="498"/>
      <c r="J383" s="9">
        <f t="shared" si="11"/>
        <v>23.285363264865151</v>
      </c>
      <c r="K383" s="14">
        <f t="shared" si="12"/>
        <v>-525450</v>
      </c>
      <c r="L383" s="14"/>
      <c r="M383" s="14"/>
      <c r="N383" s="65"/>
    </row>
    <row r="384" spans="1:15" ht="15" customHeight="1">
      <c r="A384" s="66" t="s">
        <v>622</v>
      </c>
      <c r="B384" s="67" t="s">
        <v>36</v>
      </c>
      <c r="C384" s="68" t="s">
        <v>623</v>
      </c>
      <c r="D384" s="25">
        <v>499629</v>
      </c>
      <c r="E384" s="25">
        <v>451984</v>
      </c>
      <c r="F384" s="25">
        <v>463259</v>
      </c>
      <c r="G384" s="4">
        <v>344114</v>
      </c>
      <c r="H384" s="69">
        <v>589188</v>
      </c>
      <c r="I384" s="497"/>
      <c r="J384" s="5">
        <f t="shared" si="11"/>
        <v>117.92510042451498</v>
      </c>
      <c r="K384" s="10">
        <f t="shared" si="12"/>
        <v>89559</v>
      </c>
      <c r="L384" s="1292"/>
      <c r="M384" s="1292"/>
      <c r="N384" s="70" t="s">
        <v>624</v>
      </c>
    </row>
    <row r="385" spans="1:15" ht="15" customHeight="1">
      <c r="A385" s="71" t="s">
        <v>622</v>
      </c>
      <c r="B385" s="72" t="s">
        <v>517</v>
      </c>
      <c r="C385" s="97" t="s">
        <v>625</v>
      </c>
      <c r="D385" s="19">
        <v>32166</v>
      </c>
      <c r="E385" s="19">
        <v>97219</v>
      </c>
      <c r="F385" s="19">
        <v>122838</v>
      </c>
      <c r="G385" s="8">
        <v>170052</v>
      </c>
      <c r="H385" s="74">
        <v>190411</v>
      </c>
      <c r="I385" s="498"/>
      <c r="J385" s="9">
        <f t="shared" si="11"/>
        <v>591.9635640116893</v>
      </c>
      <c r="K385" s="10">
        <f t="shared" si="12"/>
        <v>158245</v>
      </c>
      <c r="L385" s="1292"/>
      <c r="M385" s="1292"/>
      <c r="N385" s="70"/>
    </row>
    <row r="386" spans="1:15" ht="15" customHeight="1">
      <c r="A386" s="83" t="s">
        <v>626</v>
      </c>
      <c r="B386" s="84" t="s">
        <v>29</v>
      </c>
      <c r="C386" s="85" t="s">
        <v>627</v>
      </c>
      <c r="D386" s="26">
        <v>142573</v>
      </c>
      <c r="E386" s="26">
        <v>171058</v>
      </c>
      <c r="F386" s="26">
        <v>160883</v>
      </c>
      <c r="G386" s="16">
        <v>279803</v>
      </c>
      <c r="H386" s="86">
        <v>311810</v>
      </c>
      <c r="I386" s="501"/>
      <c r="J386" s="17">
        <f t="shared" si="11"/>
        <v>218.7019982745681</v>
      </c>
      <c r="K386" s="18">
        <f t="shared" si="12"/>
        <v>169237</v>
      </c>
      <c r="L386" s="1292"/>
      <c r="M386" s="1292"/>
      <c r="N386" s="70"/>
    </row>
    <row r="387" spans="1:15" ht="15" customHeight="1">
      <c r="A387" s="79" t="s">
        <v>628</v>
      </c>
      <c r="B387" s="80" t="s">
        <v>29</v>
      </c>
      <c r="C387" s="81" t="s">
        <v>629</v>
      </c>
      <c r="D387" s="24">
        <v>3819</v>
      </c>
      <c r="E387" s="24">
        <v>5079</v>
      </c>
      <c r="F387" s="24">
        <v>5357</v>
      </c>
      <c r="G387" s="12">
        <v>3295</v>
      </c>
      <c r="H387" s="82">
        <v>3603</v>
      </c>
      <c r="I387" s="500"/>
      <c r="J387" s="13">
        <f t="shared" si="11"/>
        <v>94.344069128043998</v>
      </c>
      <c r="K387" s="10">
        <f t="shared" si="12"/>
        <v>-216</v>
      </c>
      <c r="L387" s="1292"/>
      <c r="M387" s="1292"/>
      <c r="N387" s="65"/>
    </row>
    <row r="388" spans="1:15" ht="15" customHeight="1">
      <c r="A388" s="77" t="s">
        <v>630</v>
      </c>
      <c r="B388" s="78" t="s">
        <v>29</v>
      </c>
      <c r="C388" s="73" t="s">
        <v>631</v>
      </c>
      <c r="D388" s="19">
        <v>123795</v>
      </c>
      <c r="E388" s="19">
        <v>148521</v>
      </c>
      <c r="F388" s="19">
        <v>152177</v>
      </c>
      <c r="G388" s="8">
        <v>112980</v>
      </c>
      <c r="H388" s="74">
        <v>108020</v>
      </c>
      <c r="I388" s="498"/>
      <c r="J388" s="9">
        <f t="shared" si="11"/>
        <v>87.257159012884202</v>
      </c>
      <c r="K388" s="6">
        <f t="shared" si="12"/>
        <v>-15775</v>
      </c>
      <c r="L388" s="1292"/>
      <c r="M388" s="1292"/>
      <c r="N388" s="70" t="s">
        <v>632</v>
      </c>
    </row>
    <row r="389" spans="1:15" ht="15" customHeight="1">
      <c r="A389" s="93" t="s">
        <v>630</v>
      </c>
      <c r="B389" s="94" t="s">
        <v>24</v>
      </c>
      <c r="C389" s="95" t="s">
        <v>633</v>
      </c>
      <c r="D389" s="19">
        <v>8346</v>
      </c>
      <c r="E389" s="19">
        <v>8320</v>
      </c>
      <c r="F389" s="19">
        <v>7390</v>
      </c>
      <c r="G389" s="8">
        <v>7499</v>
      </c>
      <c r="H389" s="74">
        <v>7305</v>
      </c>
      <c r="I389" s="498"/>
      <c r="J389" s="9">
        <f t="shared" ref="J389:J452" si="13">H389/D389*100</f>
        <v>87.526959022286121</v>
      </c>
      <c r="K389" s="10">
        <f t="shared" ref="K389:K452" si="14">H389-D389</f>
        <v>-1041</v>
      </c>
      <c r="L389" s="1292"/>
      <c r="M389" s="1292"/>
      <c r="N389" s="70"/>
    </row>
    <row r="390" spans="1:15" ht="15" customHeight="1">
      <c r="A390" s="71" t="s">
        <v>630</v>
      </c>
      <c r="B390" s="72" t="s">
        <v>52</v>
      </c>
      <c r="C390" s="97" t="s">
        <v>634</v>
      </c>
      <c r="D390" s="19">
        <v>95378</v>
      </c>
      <c r="E390" s="19">
        <v>62214</v>
      </c>
      <c r="F390" s="19">
        <v>52084</v>
      </c>
      <c r="G390" s="8">
        <v>75524</v>
      </c>
      <c r="H390" s="74">
        <v>72475</v>
      </c>
      <c r="I390" s="498"/>
      <c r="J390" s="9">
        <f t="shared" si="13"/>
        <v>75.987124913502072</v>
      </c>
      <c r="K390" s="14">
        <f t="shared" si="14"/>
        <v>-22903</v>
      </c>
      <c r="L390" s="14"/>
      <c r="M390" s="14"/>
      <c r="N390" s="65"/>
    </row>
    <row r="391" spans="1:15" ht="15" customHeight="1">
      <c r="A391" s="87" t="s">
        <v>635</v>
      </c>
      <c r="B391" s="88" t="s">
        <v>29</v>
      </c>
      <c r="C391" s="89" t="s">
        <v>636</v>
      </c>
      <c r="D391" s="25">
        <v>97893</v>
      </c>
      <c r="E391" s="25">
        <v>73388</v>
      </c>
      <c r="F391" s="25">
        <v>47179</v>
      </c>
      <c r="G391" s="4">
        <v>45896</v>
      </c>
      <c r="H391" s="69">
        <v>40887</v>
      </c>
      <c r="I391" s="497"/>
      <c r="J391" s="5">
        <f t="shared" si="13"/>
        <v>41.767031350556223</v>
      </c>
      <c r="K391" s="10">
        <f t="shared" si="14"/>
        <v>-57006</v>
      </c>
      <c r="L391" s="1292"/>
      <c r="M391" s="1292"/>
      <c r="N391" s="70" t="s">
        <v>637</v>
      </c>
    </row>
    <row r="392" spans="1:15" ht="15" customHeight="1">
      <c r="A392" s="79" t="s">
        <v>635</v>
      </c>
      <c r="B392" s="80" t="s">
        <v>24</v>
      </c>
      <c r="C392" s="81" t="s">
        <v>638</v>
      </c>
      <c r="D392" s="24">
        <v>134040</v>
      </c>
      <c r="E392" s="24">
        <v>74048</v>
      </c>
      <c r="F392" s="24">
        <v>89013</v>
      </c>
      <c r="G392" s="12">
        <v>96278</v>
      </c>
      <c r="H392" s="82">
        <v>137049</v>
      </c>
      <c r="I392" s="500"/>
      <c r="J392" s="13">
        <f t="shared" si="13"/>
        <v>102.24485228290064</v>
      </c>
      <c r="K392" s="10">
        <f t="shared" si="14"/>
        <v>3009</v>
      </c>
      <c r="L392" s="1292"/>
      <c r="M392" s="1292"/>
      <c r="N392" s="65"/>
    </row>
    <row r="393" spans="1:15" ht="15" customHeight="1">
      <c r="A393" s="71" t="s">
        <v>639</v>
      </c>
      <c r="B393" s="72" t="s">
        <v>29</v>
      </c>
      <c r="C393" s="75" t="s">
        <v>640</v>
      </c>
      <c r="D393" s="19">
        <v>1223102</v>
      </c>
      <c r="E393" s="19">
        <v>1152418</v>
      </c>
      <c r="F393" s="19">
        <v>1315922</v>
      </c>
      <c r="G393" s="8">
        <v>1356186</v>
      </c>
      <c r="H393" s="74">
        <v>1112677</v>
      </c>
      <c r="I393" s="498"/>
      <c r="J393" s="9">
        <f t="shared" si="13"/>
        <v>90.971725988511182</v>
      </c>
      <c r="K393" s="6">
        <f t="shared" si="14"/>
        <v>-110425</v>
      </c>
      <c r="L393" s="1292"/>
      <c r="M393" s="1292"/>
      <c r="N393" s="70" t="s">
        <v>641</v>
      </c>
    </row>
    <row r="394" spans="1:15" ht="15" customHeight="1">
      <c r="A394" s="83" t="s">
        <v>642</v>
      </c>
      <c r="B394" s="84" t="s">
        <v>29</v>
      </c>
      <c r="C394" s="85" t="s">
        <v>643</v>
      </c>
      <c r="D394" s="26">
        <v>1311497</v>
      </c>
      <c r="E394" s="26">
        <v>1499465</v>
      </c>
      <c r="F394" s="26">
        <v>1429572</v>
      </c>
      <c r="G394" s="16">
        <v>1473736</v>
      </c>
      <c r="H394" s="86">
        <v>1764988</v>
      </c>
      <c r="I394" s="546">
        <f>'CT2015'!L1380</f>
        <v>37687</v>
      </c>
      <c r="J394" s="17">
        <f t="shared" si="13"/>
        <v>134.57811950770758</v>
      </c>
      <c r="K394" s="18">
        <f t="shared" si="14"/>
        <v>453491</v>
      </c>
      <c r="L394" s="14">
        <f>'CT2020'!T1410</f>
        <v>36414</v>
      </c>
      <c r="M394" s="14">
        <f>L394-I394</f>
        <v>-1273</v>
      </c>
      <c r="N394" s="65"/>
      <c r="O394" s="1486">
        <f>M394/I394*100</f>
        <v>-3.3778225913444953</v>
      </c>
    </row>
    <row r="395" spans="1:15" ht="15" customHeight="1">
      <c r="A395" s="66" t="s">
        <v>644</v>
      </c>
      <c r="B395" s="67" t="s">
        <v>29</v>
      </c>
      <c r="C395" s="68" t="s">
        <v>645</v>
      </c>
      <c r="D395" s="25">
        <v>202026</v>
      </c>
      <c r="E395" s="25">
        <v>168556</v>
      </c>
      <c r="F395" s="25">
        <v>125439</v>
      </c>
      <c r="G395" s="4">
        <v>67951</v>
      </c>
      <c r="H395" s="69">
        <v>46881</v>
      </c>
      <c r="I395" s="497"/>
      <c r="J395" s="5">
        <f t="shared" si="13"/>
        <v>23.205429004187579</v>
      </c>
      <c r="K395" s="10">
        <f t="shared" si="14"/>
        <v>-155145</v>
      </c>
      <c r="L395" s="1292"/>
      <c r="M395" s="1292"/>
      <c r="N395" s="70" t="s">
        <v>646</v>
      </c>
    </row>
    <row r="396" spans="1:15" ht="15" customHeight="1">
      <c r="A396" s="71" t="s">
        <v>644</v>
      </c>
      <c r="B396" s="72" t="s">
        <v>22</v>
      </c>
      <c r="C396" s="75" t="s">
        <v>647</v>
      </c>
      <c r="D396" s="19">
        <v>493731</v>
      </c>
      <c r="E396" s="19">
        <v>553133</v>
      </c>
      <c r="F396" s="19">
        <v>572650</v>
      </c>
      <c r="G396" s="8">
        <v>325304</v>
      </c>
      <c r="H396" s="74">
        <v>269076</v>
      </c>
      <c r="I396" s="498"/>
      <c r="J396" s="9">
        <f t="shared" si="13"/>
        <v>54.498502220844955</v>
      </c>
      <c r="K396" s="10">
        <f t="shared" si="14"/>
        <v>-224655</v>
      </c>
      <c r="L396" s="1292"/>
      <c r="M396" s="1292"/>
      <c r="N396" s="70"/>
    </row>
    <row r="397" spans="1:15" ht="15" customHeight="1">
      <c r="A397" s="71" t="s">
        <v>644</v>
      </c>
      <c r="B397" s="72" t="s">
        <v>115</v>
      </c>
      <c r="C397" s="75" t="s">
        <v>648</v>
      </c>
      <c r="D397" s="19">
        <v>6044</v>
      </c>
      <c r="E397" s="19">
        <v>10283</v>
      </c>
      <c r="F397" s="19">
        <v>9279</v>
      </c>
      <c r="G397" s="8">
        <v>17285</v>
      </c>
      <c r="H397" s="74">
        <v>15640</v>
      </c>
      <c r="I397" s="498"/>
      <c r="J397" s="9">
        <f t="shared" si="13"/>
        <v>258.76902713434811</v>
      </c>
      <c r="K397" s="10">
        <f t="shared" si="14"/>
        <v>9596</v>
      </c>
      <c r="L397" s="1292"/>
      <c r="M397" s="1292"/>
      <c r="N397" s="70"/>
    </row>
    <row r="398" spans="1:15" ht="15" customHeight="1">
      <c r="A398" s="71" t="s">
        <v>644</v>
      </c>
      <c r="B398" s="72" t="s">
        <v>117</v>
      </c>
      <c r="C398" s="75" t="s">
        <v>649</v>
      </c>
      <c r="D398" s="19">
        <v>52309</v>
      </c>
      <c r="E398" s="19">
        <v>217781</v>
      </c>
      <c r="F398" s="19">
        <v>318388</v>
      </c>
      <c r="G398" s="8">
        <v>256873</v>
      </c>
      <c r="H398" s="74">
        <v>338623</v>
      </c>
      <c r="I398" s="498"/>
      <c r="J398" s="9">
        <f t="shared" si="13"/>
        <v>647.35131621709456</v>
      </c>
      <c r="K398" s="10">
        <f t="shared" si="14"/>
        <v>286314</v>
      </c>
      <c r="L398" s="1292"/>
      <c r="M398" s="1292"/>
      <c r="N398" s="70"/>
    </row>
    <row r="399" spans="1:15" ht="15" customHeight="1">
      <c r="A399" s="87" t="s">
        <v>650</v>
      </c>
      <c r="B399" s="88" t="s">
        <v>29</v>
      </c>
      <c r="C399" s="89" t="s">
        <v>651</v>
      </c>
      <c r="D399" s="25">
        <v>209507</v>
      </c>
      <c r="E399" s="25">
        <v>331557</v>
      </c>
      <c r="F399" s="25">
        <v>333118</v>
      </c>
      <c r="G399" s="4">
        <v>294299</v>
      </c>
      <c r="H399" s="69">
        <v>349735</v>
      </c>
      <c r="I399" s="497"/>
      <c r="J399" s="5">
        <f t="shared" si="13"/>
        <v>166.93236980148635</v>
      </c>
      <c r="K399" s="6">
        <f t="shared" si="14"/>
        <v>140228</v>
      </c>
      <c r="L399" s="1292"/>
      <c r="M399" s="1292"/>
      <c r="N399" s="70"/>
    </row>
    <row r="400" spans="1:15" ht="15" customHeight="1">
      <c r="A400" s="79" t="s">
        <v>650</v>
      </c>
      <c r="B400" s="80" t="s">
        <v>24</v>
      </c>
      <c r="C400" s="81" t="s">
        <v>652</v>
      </c>
      <c r="D400" s="24">
        <v>148115</v>
      </c>
      <c r="E400" s="24">
        <v>129564</v>
      </c>
      <c r="F400" s="24">
        <v>121885</v>
      </c>
      <c r="G400" s="12">
        <v>79039</v>
      </c>
      <c r="H400" s="82">
        <v>155551</v>
      </c>
      <c r="I400" s="500">
        <f>'CT2015'!L1391</f>
        <v>155.55100000000002</v>
      </c>
      <c r="J400" s="13">
        <f t="shared" si="13"/>
        <v>105.02042331971779</v>
      </c>
      <c r="K400" s="14">
        <f t="shared" si="14"/>
        <v>7436</v>
      </c>
      <c r="L400" s="14">
        <f>'CT2020'!T1421</f>
        <v>185</v>
      </c>
      <c r="M400" s="14">
        <f>L400-I400</f>
        <v>29.448999999999984</v>
      </c>
      <c r="N400" s="65"/>
      <c r="O400" s="1486">
        <f>M400/I400*100</f>
        <v>18.932054438737122</v>
      </c>
    </row>
    <row r="401" spans="1:15" ht="15" customHeight="1">
      <c r="A401" s="77" t="s">
        <v>653</v>
      </c>
      <c r="B401" s="78" t="s">
        <v>29</v>
      </c>
      <c r="C401" s="73" t="s">
        <v>654</v>
      </c>
      <c r="D401" s="19">
        <v>178626</v>
      </c>
      <c r="E401" s="19">
        <v>197416</v>
      </c>
      <c r="F401" s="19">
        <v>167469</v>
      </c>
      <c r="G401" s="8">
        <v>139699</v>
      </c>
      <c r="H401" s="74">
        <v>258971</v>
      </c>
      <c r="I401" s="498"/>
      <c r="J401" s="9">
        <f t="shared" si="13"/>
        <v>144.97945427877241</v>
      </c>
      <c r="K401" s="6">
        <f t="shared" si="14"/>
        <v>80345</v>
      </c>
      <c r="L401" s="1292"/>
      <c r="M401" s="1292"/>
      <c r="N401" s="70" t="s">
        <v>655</v>
      </c>
    </row>
    <row r="402" spans="1:15" ht="15" customHeight="1">
      <c r="A402" s="71" t="s">
        <v>653</v>
      </c>
      <c r="B402" s="72" t="s">
        <v>24</v>
      </c>
      <c r="C402" s="97" t="s">
        <v>656</v>
      </c>
      <c r="D402" s="19">
        <v>252582</v>
      </c>
      <c r="E402" s="19">
        <v>232130</v>
      </c>
      <c r="F402" s="19">
        <v>187366</v>
      </c>
      <c r="G402" s="8">
        <v>276923</v>
      </c>
      <c r="H402" s="74">
        <v>331311</v>
      </c>
      <c r="I402" s="498">
        <f>'CT2015'!L1395</f>
        <v>662.62199999999996</v>
      </c>
      <c r="J402" s="9">
        <f t="shared" si="13"/>
        <v>131.1696795496116</v>
      </c>
      <c r="K402" s="10">
        <f t="shared" si="14"/>
        <v>78729</v>
      </c>
      <c r="L402" s="1292">
        <f>'CT2020'!T1425</f>
        <v>940</v>
      </c>
      <c r="M402" s="1292">
        <f>L402-I402</f>
        <v>277.37800000000004</v>
      </c>
      <c r="N402" s="70"/>
      <c r="O402" s="1486">
        <f>M402/I402*100</f>
        <v>41.860668676862531</v>
      </c>
    </row>
    <row r="403" spans="1:15" ht="15" customHeight="1">
      <c r="A403" s="83" t="s">
        <v>657</v>
      </c>
      <c r="B403" s="84" t="s">
        <v>29</v>
      </c>
      <c r="C403" s="85" t="s">
        <v>658</v>
      </c>
      <c r="D403" s="26">
        <v>422673</v>
      </c>
      <c r="E403" s="26">
        <v>530276</v>
      </c>
      <c r="F403" s="26">
        <v>484324</v>
      </c>
      <c r="G403" s="16">
        <v>456987</v>
      </c>
      <c r="H403" s="86">
        <v>507673</v>
      </c>
      <c r="I403" s="501"/>
      <c r="J403" s="17">
        <f t="shared" si="13"/>
        <v>120.11010876019996</v>
      </c>
      <c r="K403" s="18">
        <f t="shared" si="14"/>
        <v>85000</v>
      </c>
      <c r="L403" s="1292"/>
      <c r="M403" s="1292"/>
      <c r="N403" s="70"/>
    </row>
    <row r="404" spans="1:15" ht="15" customHeight="1">
      <c r="A404" s="71" t="s">
        <v>659</v>
      </c>
      <c r="B404" s="72" t="s">
        <v>18</v>
      </c>
      <c r="C404" s="75" t="s">
        <v>660</v>
      </c>
      <c r="D404" s="19">
        <v>1692983</v>
      </c>
      <c r="E404" s="19">
        <v>1931456</v>
      </c>
      <c r="F404" s="19">
        <v>1939919</v>
      </c>
      <c r="G404" s="8">
        <v>1841701</v>
      </c>
      <c r="H404" s="74">
        <v>2144216</v>
      </c>
      <c r="I404" s="498"/>
      <c r="J404" s="9">
        <f t="shared" si="13"/>
        <v>126.65313237049634</v>
      </c>
      <c r="K404" s="14">
        <f t="shared" si="14"/>
        <v>451233</v>
      </c>
      <c r="L404" s="14"/>
      <c r="M404" s="14"/>
      <c r="N404" s="65"/>
    </row>
    <row r="405" spans="1:15" ht="15" customHeight="1">
      <c r="A405" s="66" t="s">
        <v>661</v>
      </c>
      <c r="B405" s="67" t="s">
        <v>18</v>
      </c>
      <c r="C405" s="68" t="s">
        <v>662</v>
      </c>
      <c r="D405" s="25">
        <v>160193</v>
      </c>
      <c r="E405" s="25">
        <v>285479</v>
      </c>
      <c r="F405" s="25">
        <v>275218</v>
      </c>
      <c r="G405" s="4">
        <v>266181</v>
      </c>
      <c r="H405" s="69">
        <v>295039</v>
      </c>
      <c r="I405" s="497">
        <f>'CT2015'!L1399+'CT2015'!L1402</f>
        <v>6725.152</v>
      </c>
      <c r="J405" s="5">
        <f t="shared" si="13"/>
        <v>184.17721123894302</v>
      </c>
      <c r="K405" s="10">
        <f t="shared" si="14"/>
        <v>134846</v>
      </c>
      <c r="L405" s="1292">
        <f>'CT2020'!T1431+'CT2020'!T1434</f>
        <v>3900</v>
      </c>
      <c r="M405" s="1292">
        <f>L405-I405</f>
        <v>-2825.152</v>
      </c>
      <c r="N405" s="70" t="s">
        <v>663</v>
      </c>
      <c r="O405" s="1486">
        <f>M405/I405*100</f>
        <v>-42.008745675934165</v>
      </c>
    </row>
    <row r="406" spans="1:15" ht="15" customHeight="1">
      <c r="A406" s="83" t="s">
        <v>664</v>
      </c>
      <c r="B406" s="84" t="s">
        <v>29</v>
      </c>
      <c r="C406" s="85" t="s">
        <v>665</v>
      </c>
      <c r="D406" s="26">
        <v>11187</v>
      </c>
      <c r="E406" s="26">
        <v>2338</v>
      </c>
      <c r="F406" s="26">
        <v>2860</v>
      </c>
      <c r="G406" s="16">
        <v>1689</v>
      </c>
      <c r="H406" s="86">
        <v>2040</v>
      </c>
      <c r="I406" s="501"/>
      <c r="J406" s="17">
        <f t="shared" si="13"/>
        <v>18.235451863770447</v>
      </c>
      <c r="K406" s="18">
        <f t="shared" si="14"/>
        <v>-9147</v>
      </c>
      <c r="L406" s="1292"/>
      <c r="M406" s="1292"/>
      <c r="N406" s="70"/>
    </row>
    <row r="407" spans="1:15" ht="15" customHeight="1">
      <c r="A407" s="77" t="s">
        <v>666</v>
      </c>
      <c r="B407" s="78" t="s">
        <v>29</v>
      </c>
      <c r="C407" s="73" t="s">
        <v>667</v>
      </c>
      <c r="D407" s="19">
        <v>131120</v>
      </c>
      <c r="E407" s="19">
        <v>76664</v>
      </c>
      <c r="F407" s="19">
        <v>72051</v>
      </c>
      <c r="G407" s="8">
        <v>70012</v>
      </c>
      <c r="H407" s="74">
        <v>80503</v>
      </c>
      <c r="I407" s="498">
        <f>'CT2015'!L1411</f>
        <v>2576.096</v>
      </c>
      <c r="J407" s="9">
        <f t="shared" si="13"/>
        <v>61.396430750457597</v>
      </c>
      <c r="K407" s="10">
        <f t="shared" si="14"/>
        <v>-50617</v>
      </c>
      <c r="L407" s="1292">
        <f>'CT2020'!T1444</f>
        <v>1785</v>
      </c>
      <c r="M407" s="1292">
        <f>L407-I407</f>
        <v>-791.096</v>
      </c>
      <c r="N407" s="70"/>
      <c r="O407" s="1486">
        <f>M407/I407*100</f>
        <v>-30.709104008546266</v>
      </c>
    </row>
    <row r="408" spans="1:15" ht="15" customHeight="1">
      <c r="A408" s="71" t="s">
        <v>666</v>
      </c>
      <c r="B408" s="72" t="s">
        <v>24</v>
      </c>
      <c r="C408" s="97" t="s">
        <v>668</v>
      </c>
      <c r="D408" s="19">
        <v>82010</v>
      </c>
      <c r="E408" s="19">
        <v>65126</v>
      </c>
      <c r="F408" s="19">
        <v>61581</v>
      </c>
      <c r="G408" s="8">
        <v>71406</v>
      </c>
      <c r="H408" s="74">
        <v>66468</v>
      </c>
      <c r="I408" s="498"/>
      <c r="J408" s="9">
        <f t="shared" si="13"/>
        <v>81.048652603341054</v>
      </c>
      <c r="K408" s="10">
        <f t="shared" si="14"/>
        <v>-15542</v>
      </c>
      <c r="L408" s="1292"/>
      <c r="M408" s="1292"/>
      <c r="N408" s="70"/>
    </row>
    <row r="409" spans="1:15" ht="15" customHeight="1">
      <c r="A409" s="83" t="s">
        <v>669</v>
      </c>
      <c r="B409" s="84" t="s">
        <v>29</v>
      </c>
      <c r="C409" s="85" t="s">
        <v>670</v>
      </c>
      <c r="D409" s="26">
        <v>459902</v>
      </c>
      <c r="E409" s="26">
        <v>487781</v>
      </c>
      <c r="F409" s="26">
        <v>523157</v>
      </c>
      <c r="G409" s="16">
        <v>532306</v>
      </c>
      <c r="H409" s="86">
        <v>754691</v>
      </c>
      <c r="I409" s="501"/>
      <c r="J409" s="17">
        <f t="shared" si="13"/>
        <v>164.09822092532758</v>
      </c>
      <c r="K409" s="18">
        <f t="shared" si="14"/>
        <v>294789</v>
      </c>
      <c r="L409" s="1292"/>
      <c r="M409" s="1292"/>
      <c r="N409" s="70"/>
    </row>
    <row r="410" spans="1:15" ht="15" customHeight="1">
      <c r="A410" s="71" t="s">
        <v>671</v>
      </c>
      <c r="B410" s="72" t="s">
        <v>29</v>
      </c>
      <c r="C410" s="75" t="s">
        <v>672</v>
      </c>
      <c r="D410" s="19">
        <v>94679</v>
      </c>
      <c r="E410" s="19">
        <v>114980</v>
      </c>
      <c r="F410" s="19">
        <v>117551</v>
      </c>
      <c r="G410" s="8">
        <v>52692</v>
      </c>
      <c r="H410" s="74">
        <v>85223</v>
      </c>
      <c r="I410" s="498"/>
      <c r="J410" s="9">
        <f t="shared" si="13"/>
        <v>90.01256878505265</v>
      </c>
      <c r="K410" s="10">
        <f t="shared" si="14"/>
        <v>-9456</v>
      </c>
      <c r="L410" s="1292"/>
      <c r="M410" s="1292"/>
      <c r="N410" s="70"/>
    </row>
    <row r="411" spans="1:15" ht="15" customHeight="1">
      <c r="A411" s="66" t="s">
        <v>673</v>
      </c>
      <c r="B411" s="67" t="s">
        <v>29</v>
      </c>
      <c r="C411" s="68" t="s">
        <v>674</v>
      </c>
      <c r="D411" s="25">
        <v>20381</v>
      </c>
      <c r="E411" s="25">
        <v>9371</v>
      </c>
      <c r="F411" s="25">
        <v>9322</v>
      </c>
      <c r="G411" s="4">
        <v>5014</v>
      </c>
      <c r="H411" s="69">
        <v>5038</v>
      </c>
      <c r="I411" s="497"/>
      <c r="J411" s="5">
        <f t="shared" si="13"/>
        <v>24.719101123595504</v>
      </c>
      <c r="K411" s="6">
        <f t="shared" si="14"/>
        <v>-15343</v>
      </c>
      <c r="L411" s="1292"/>
      <c r="M411" s="1292"/>
      <c r="N411" s="70"/>
    </row>
    <row r="412" spans="1:15" ht="15" customHeight="1">
      <c r="A412" s="79" t="s">
        <v>673</v>
      </c>
      <c r="B412" s="80" t="s">
        <v>22</v>
      </c>
      <c r="C412" s="81" t="s">
        <v>675</v>
      </c>
      <c r="D412" s="24">
        <v>57563</v>
      </c>
      <c r="E412" s="24">
        <v>66843</v>
      </c>
      <c r="F412" s="24">
        <v>36574</v>
      </c>
      <c r="G412" s="12">
        <v>42975</v>
      </c>
      <c r="H412" s="82">
        <v>47982</v>
      </c>
      <c r="I412" s="500"/>
      <c r="J412" s="13">
        <f t="shared" si="13"/>
        <v>83.355627746990251</v>
      </c>
      <c r="K412" s="14">
        <f t="shared" si="14"/>
        <v>-9581</v>
      </c>
      <c r="L412" s="1292"/>
      <c r="M412" s="1292"/>
      <c r="N412" s="70"/>
    </row>
    <row r="413" spans="1:15" ht="15" customHeight="1">
      <c r="A413" s="71" t="s">
        <v>676</v>
      </c>
      <c r="B413" s="72" t="s">
        <v>29</v>
      </c>
      <c r="C413" s="75" t="s">
        <v>677</v>
      </c>
      <c r="D413" s="19">
        <v>91349</v>
      </c>
      <c r="E413" s="19">
        <v>110421</v>
      </c>
      <c r="F413" s="19">
        <v>102452</v>
      </c>
      <c r="G413" s="8">
        <v>107001</v>
      </c>
      <c r="H413" s="74">
        <v>102852</v>
      </c>
      <c r="I413" s="498"/>
      <c r="J413" s="9">
        <f t="shared" si="13"/>
        <v>112.59236554313676</v>
      </c>
      <c r="K413" s="10">
        <f t="shared" si="14"/>
        <v>11503</v>
      </c>
      <c r="L413" s="1292"/>
      <c r="M413" s="1292"/>
      <c r="N413" s="70"/>
    </row>
    <row r="414" spans="1:15" ht="15" customHeight="1">
      <c r="A414" s="66" t="s">
        <v>678</v>
      </c>
      <c r="B414" s="67" t="s">
        <v>29</v>
      </c>
      <c r="C414" s="68" t="s">
        <v>679</v>
      </c>
      <c r="D414" s="20">
        <v>0</v>
      </c>
      <c r="E414" s="20">
        <v>0</v>
      </c>
      <c r="F414" s="20">
        <v>0</v>
      </c>
      <c r="G414" s="21">
        <v>0</v>
      </c>
      <c r="H414" s="553">
        <v>0</v>
      </c>
      <c r="I414" s="554"/>
      <c r="J414" s="91" t="s">
        <v>42</v>
      </c>
      <c r="K414" s="6">
        <f t="shared" si="14"/>
        <v>0</v>
      </c>
      <c r="L414" s="1292"/>
      <c r="M414" s="1292"/>
      <c r="N414" s="70"/>
    </row>
    <row r="415" spans="1:15" ht="15" customHeight="1">
      <c r="A415" s="71" t="s">
        <v>680</v>
      </c>
      <c r="B415" s="72" t="s">
        <v>22</v>
      </c>
      <c r="C415" s="75" t="s">
        <v>681</v>
      </c>
      <c r="D415" s="19">
        <v>70201</v>
      </c>
      <c r="E415" s="19">
        <v>68700</v>
      </c>
      <c r="F415" s="19">
        <v>56032</v>
      </c>
      <c r="G415" s="8">
        <v>55280</v>
      </c>
      <c r="H415" s="74">
        <v>50177</v>
      </c>
      <c r="I415" s="498"/>
      <c r="J415" s="9">
        <f t="shared" si="13"/>
        <v>71.476189797866127</v>
      </c>
      <c r="K415" s="10">
        <f t="shared" si="14"/>
        <v>-20024</v>
      </c>
      <c r="L415" s="1292"/>
      <c r="M415" s="1292"/>
      <c r="N415" s="70"/>
    </row>
    <row r="416" spans="1:15" ht="15" customHeight="1">
      <c r="A416" s="71" t="s">
        <v>680</v>
      </c>
      <c r="B416" s="72" t="s">
        <v>115</v>
      </c>
      <c r="C416" s="75" t="s">
        <v>682</v>
      </c>
      <c r="D416" s="19">
        <v>6987</v>
      </c>
      <c r="E416" s="19">
        <v>3933</v>
      </c>
      <c r="F416" s="19">
        <v>2826</v>
      </c>
      <c r="G416" s="8">
        <v>1923</v>
      </c>
      <c r="H416" s="74">
        <v>1709</v>
      </c>
      <c r="I416" s="498"/>
      <c r="J416" s="9">
        <f t="shared" si="13"/>
        <v>24.459710891655934</v>
      </c>
      <c r="K416" s="10">
        <f t="shared" si="14"/>
        <v>-5278</v>
      </c>
      <c r="L416" s="1292"/>
      <c r="M416" s="1292"/>
      <c r="N416" s="70"/>
    </row>
    <row r="417" spans="1:15" ht="15" customHeight="1">
      <c r="A417" s="79" t="s">
        <v>680</v>
      </c>
      <c r="B417" s="80" t="s">
        <v>117</v>
      </c>
      <c r="C417" s="81" t="s">
        <v>683</v>
      </c>
      <c r="D417" s="24">
        <v>168</v>
      </c>
      <c r="E417" s="24">
        <v>62</v>
      </c>
      <c r="F417" s="24">
        <v>284</v>
      </c>
      <c r="G417" s="31">
        <v>0</v>
      </c>
      <c r="H417" s="549">
        <v>0</v>
      </c>
      <c r="I417" s="550"/>
      <c r="J417" s="13">
        <f t="shared" si="13"/>
        <v>0</v>
      </c>
      <c r="K417" s="14">
        <f t="shared" si="14"/>
        <v>-168</v>
      </c>
      <c r="L417" s="1292"/>
      <c r="M417" s="1292"/>
      <c r="N417" s="70"/>
    </row>
    <row r="418" spans="1:15" ht="15" customHeight="1">
      <c r="A418" s="71" t="s">
        <v>684</v>
      </c>
      <c r="B418" s="72" t="s">
        <v>29</v>
      </c>
      <c r="C418" s="75" t="s">
        <v>685</v>
      </c>
      <c r="D418" s="19">
        <v>40221</v>
      </c>
      <c r="E418" s="19">
        <v>14909</v>
      </c>
      <c r="F418" s="19">
        <v>17700</v>
      </c>
      <c r="G418" s="8">
        <v>34424</v>
      </c>
      <c r="H418" s="74">
        <v>40412</v>
      </c>
      <c r="I418" s="498"/>
      <c r="J418" s="9">
        <f t="shared" si="13"/>
        <v>100.47487630839611</v>
      </c>
      <c r="K418" s="10">
        <f t="shared" si="14"/>
        <v>191</v>
      </c>
      <c r="L418" s="1292"/>
      <c r="M418" s="1292"/>
      <c r="N418" s="70"/>
    </row>
    <row r="419" spans="1:15" ht="15" customHeight="1">
      <c r="A419" s="83" t="s">
        <v>686</v>
      </c>
      <c r="B419" s="84" t="s">
        <v>29</v>
      </c>
      <c r="C419" s="85" t="s">
        <v>687</v>
      </c>
      <c r="D419" s="26">
        <v>64740</v>
      </c>
      <c r="E419" s="26">
        <v>66362</v>
      </c>
      <c r="F419" s="26">
        <v>98120</v>
      </c>
      <c r="G419" s="16">
        <v>107656</v>
      </c>
      <c r="H419" s="86">
        <v>115064</v>
      </c>
      <c r="I419" s="501"/>
      <c r="J419" s="17">
        <f t="shared" si="13"/>
        <v>177.73246833487798</v>
      </c>
      <c r="K419" s="18">
        <f t="shared" si="14"/>
        <v>50324</v>
      </c>
      <c r="L419" s="1292"/>
      <c r="M419" s="1292"/>
      <c r="N419" s="70"/>
    </row>
    <row r="420" spans="1:15" ht="15" customHeight="1">
      <c r="A420" s="71" t="s">
        <v>688</v>
      </c>
      <c r="B420" s="72" t="s">
        <v>29</v>
      </c>
      <c r="C420" s="75" t="s">
        <v>689</v>
      </c>
      <c r="D420" s="19">
        <v>78862</v>
      </c>
      <c r="E420" s="19">
        <v>61896</v>
      </c>
      <c r="F420" s="19">
        <v>50027</v>
      </c>
      <c r="G420" s="8">
        <v>40517</v>
      </c>
      <c r="H420" s="74">
        <v>45788</v>
      </c>
      <c r="I420" s="498"/>
      <c r="J420" s="9">
        <f t="shared" si="13"/>
        <v>58.060916537749485</v>
      </c>
      <c r="K420" s="10">
        <f t="shared" si="14"/>
        <v>-33074</v>
      </c>
      <c r="L420" s="1292"/>
      <c r="M420" s="1292"/>
      <c r="N420" s="70"/>
    </row>
    <row r="421" spans="1:15" ht="15" customHeight="1">
      <c r="A421" s="87" t="s">
        <v>690</v>
      </c>
      <c r="B421" s="88" t="s">
        <v>29</v>
      </c>
      <c r="C421" s="89" t="s">
        <v>691</v>
      </c>
      <c r="D421" s="25">
        <v>139071</v>
      </c>
      <c r="E421" s="25">
        <v>213884</v>
      </c>
      <c r="F421" s="25">
        <v>225599</v>
      </c>
      <c r="G421" s="4">
        <v>176599</v>
      </c>
      <c r="H421" s="69">
        <v>203057</v>
      </c>
      <c r="I421" s="497"/>
      <c r="J421" s="5">
        <f t="shared" si="13"/>
        <v>146.00959222267761</v>
      </c>
      <c r="K421" s="6">
        <f t="shared" si="14"/>
        <v>63986</v>
      </c>
      <c r="L421" s="1292"/>
      <c r="M421" s="1292"/>
      <c r="N421" s="70"/>
    </row>
    <row r="422" spans="1:15" ht="15" customHeight="1">
      <c r="A422" s="93" t="s">
        <v>690</v>
      </c>
      <c r="B422" s="94" t="s">
        <v>24</v>
      </c>
      <c r="C422" s="95" t="s">
        <v>692</v>
      </c>
      <c r="D422" s="29"/>
      <c r="E422" s="29"/>
      <c r="F422" s="29"/>
      <c r="G422" s="29"/>
      <c r="H422" s="74">
        <v>7243</v>
      </c>
      <c r="I422" s="498"/>
      <c r="J422" s="92" t="s">
        <v>42</v>
      </c>
      <c r="K422" s="10">
        <f t="shared" si="14"/>
        <v>7243</v>
      </c>
      <c r="L422" s="1292"/>
      <c r="M422" s="1292"/>
      <c r="N422" s="70"/>
    </row>
    <row r="423" spans="1:15" ht="15" customHeight="1">
      <c r="A423" s="93" t="s">
        <v>690</v>
      </c>
      <c r="B423" s="94" t="s">
        <v>52</v>
      </c>
      <c r="C423" s="95" t="s">
        <v>693</v>
      </c>
      <c r="D423" s="19">
        <v>9991</v>
      </c>
      <c r="E423" s="19">
        <v>10190</v>
      </c>
      <c r="F423" s="19">
        <v>8556</v>
      </c>
      <c r="G423" s="8">
        <v>7848</v>
      </c>
      <c r="H423" s="74">
        <v>9944</v>
      </c>
      <c r="I423" s="498"/>
      <c r="J423" s="9">
        <f t="shared" si="13"/>
        <v>99.529576618957066</v>
      </c>
      <c r="K423" s="10">
        <f t="shared" si="14"/>
        <v>-47</v>
      </c>
      <c r="L423" s="1292"/>
      <c r="M423" s="1292"/>
      <c r="N423" s="70"/>
    </row>
    <row r="424" spans="1:15" ht="15" customHeight="1">
      <c r="A424" s="93" t="s">
        <v>690</v>
      </c>
      <c r="B424" s="94" t="s">
        <v>129</v>
      </c>
      <c r="C424" s="95" t="s">
        <v>694</v>
      </c>
      <c r="D424" s="19">
        <v>7861</v>
      </c>
      <c r="E424" s="19">
        <v>18462</v>
      </c>
      <c r="F424" s="19">
        <v>15201</v>
      </c>
      <c r="G424" s="8">
        <v>5394</v>
      </c>
      <c r="H424" s="74">
        <v>4934</v>
      </c>
      <c r="I424" s="498"/>
      <c r="J424" s="9">
        <f t="shared" si="13"/>
        <v>62.765551456557688</v>
      </c>
      <c r="K424" s="10">
        <f t="shared" si="14"/>
        <v>-2927</v>
      </c>
      <c r="L424" s="1292"/>
      <c r="M424" s="1292"/>
      <c r="N424" s="70"/>
    </row>
    <row r="425" spans="1:15" ht="15" customHeight="1">
      <c r="A425" s="93" t="s">
        <v>690</v>
      </c>
      <c r="B425" s="94" t="s">
        <v>596</v>
      </c>
      <c r="C425" s="95" t="s">
        <v>695</v>
      </c>
      <c r="D425" s="19">
        <v>6325</v>
      </c>
      <c r="E425" s="19">
        <v>6331</v>
      </c>
      <c r="F425" s="19">
        <v>5029</v>
      </c>
      <c r="G425" s="8">
        <v>1808</v>
      </c>
      <c r="H425" s="74">
        <v>1728</v>
      </c>
      <c r="I425" s="498"/>
      <c r="J425" s="9">
        <f t="shared" si="13"/>
        <v>27.320158102766801</v>
      </c>
      <c r="K425" s="10">
        <f t="shared" si="14"/>
        <v>-4597</v>
      </c>
      <c r="L425" s="1292"/>
      <c r="M425" s="1292"/>
      <c r="N425" s="70"/>
    </row>
    <row r="426" spans="1:15" ht="15" customHeight="1">
      <c r="A426" s="93" t="s">
        <v>690</v>
      </c>
      <c r="B426" s="94" t="s">
        <v>696</v>
      </c>
      <c r="C426" s="95" t="s">
        <v>697</v>
      </c>
      <c r="D426" s="22">
        <v>0</v>
      </c>
      <c r="E426" s="22">
        <v>0</v>
      </c>
      <c r="F426" s="22">
        <v>0</v>
      </c>
      <c r="G426" s="23">
        <v>0</v>
      </c>
      <c r="H426" s="74">
        <v>10585</v>
      </c>
      <c r="I426" s="498"/>
      <c r="J426" s="92" t="s">
        <v>42</v>
      </c>
      <c r="K426" s="10">
        <f t="shared" si="14"/>
        <v>10585</v>
      </c>
      <c r="L426" s="1292"/>
      <c r="M426" s="1292"/>
      <c r="N426" s="70"/>
    </row>
    <row r="427" spans="1:15" ht="15" customHeight="1">
      <c r="A427" s="93" t="s">
        <v>698</v>
      </c>
      <c r="B427" s="94" t="s">
        <v>699</v>
      </c>
      <c r="C427" s="95" t="s">
        <v>700</v>
      </c>
      <c r="D427" s="19">
        <v>23872</v>
      </c>
      <c r="E427" s="19">
        <v>12642</v>
      </c>
      <c r="F427" s="19">
        <v>8981</v>
      </c>
      <c r="G427" s="8">
        <v>10144</v>
      </c>
      <c r="H427" s="74">
        <v>6842</v>
      </c>
      <c r="I427" s="498"/>
      <c r="J427" s="9">
        <f t="shared" si="13"/>
        <v>28.661193029490619</v>
      </c>
      <c r="K427" s="10">
        <f t="shared" si="14"/>
        <v>-17030</v>
      </c>
      <c r="L427" s="1292"/>
      <c r="M427" s="1292"/>
      <c r="N427" s="70"/>
    </row>
    <row r="428" spans="1:15" ht="15" customHeight="1">
      <c r="A428" s="79" t="s">
        <v>698</v>
      </c>
      <c r="B428" s="80" t="s">
        <v>59</v>
      </c>
      <c r="C428" s="96" t="s">
        <v>701</v>
      </c>
      <c r="D428" s="24">
        <v>48341</v>
      </c>
      <c r="E428" s="24">
        <v>44632</v>
      </c>
      <c r="F428" s="24">
        <v>49057</v>
      </c>
      <c r="G428" s="12">
        <v>17628</v>
      </c>
      <c r="H428" s="82">
        <v>52144</v>
      </c>
      <c r="I428" s="500">
        <f>'CT2015'!L1512+'CT2015'!L1513</f>
        <v>1479.296</v>
      </c>
      <c r="J428" s="13">
        <f t="shared" si="13"/>
        <v>107.86702798866388</v>
      </c>
      <c r="K428" s="14">
        <f t="shared" si="14"/>
        <v>3803</v>
      </c>
      <c r="L428" s="1292">
        <f>'CT2020'!T1548+'CT2020'!T1549</f>
        <v>116</v>
      </c>
      <c r="M428" s="1292">
        <f>L428-I428</f>
        <v>-1363.296</v>
      </c>
      <c r="N428" s="70"/>
      <c r="O428" s="1486">
        <f>M428/I428*100</f>
        <v>-92.158432119062041</v>
      </c>
    </row>
    <row r="429" spans="1:15" ht="15" customHeight="1">
      <c r="A429" s="79" t="s">
        <v>702</v>
      </c>
      <c r="B429" s="80" t="s">
        <v>29</v>
      </c>
      <c r="C429" s="81" t="s">
        <v>703</v>
      </c>
      <c r="D429" s="24">
        <v>95125</v>
      </c>
      <c r="E429" s="24">
        <v>70019</v>
      </c>
      <c r="F429" s="24">
        <v>65971</v>
      </c>
      <c r="G429" s="12">
        <v>45396</v>
      </c>
      <c r="H429" s="82">
        <v>46176</v>
      </c>
      <c r="I429" s="500"/>
      <c r="J429" s="13">
        <f t="shared" si="13"/>
        <v>48.542444152431017</v>
      </c>
      <c r="K429" s="10">
        <f t="shared" si="14"/>
        <v>-48949</v>
      </c>
      <c r="L429" s="1292"/>
      <c r="M429" s="1292"/>
      <c r="N429" s="65"/>
    </row>
    <row r="430" spans="1:15" ht="15" customHeight="1">
      <c r="A430" s="77" t="s">
        <v>704</v>
      </c>
      <c r="B430" s="78" t="s">
        <v>29</v>
      </c>
      <c r="C430" s="73" t="s">
        <v>705</v>
      </c>
      <c r="D430" s="19">
        <v>259473</v>
      </c>
      <c r="E430" s="19">
        <v>401072</v>
      </c>
      <c r="F430" s="19">
        <v>104566</v>
      </c>
      <c r="G430" s="8">
        <v>116146</v>
      </c>
      <c r="H430" s="74">
        <v>71427</v>
      </c>
      <c r="I430" s="498"/>
      <c r="J430" s="9">
        <f t="shared" si="13"/>
        <v>27.527719647130915</v>
      </c>
      <c r="K430" s="6">
        <f t="shared" si="14"/>
        <v>-188046</v>
      </c>
      <c r="L430" s="1292"/>
      <c r="M430" s="1292"/>
      <c r="N430" s="70" t="s">
        <v>549</v>
      </c>
    </row>
    <row r="431" spans="1:15" ht="15" customHeight="1">
      <c r="A431" s="93" t="s">
        <v>704</v>
      </c>
      <c r="B431" s="94" t="s">
        <v>24</v>
      </c>
      <c r="C431" s="95" t="s">
        <v>706</v>
      </c>
      <c r="D431" s="19">
        <v>100803</v>
      </c>
      <c r="E431" s="19">
        <v>224138</v>
      </c>
      <c r="F431" s="19">
        <v>285941</v>
      </c>
      <c r="G431" s="8">
        <v>371017</v>
      </c>
      <c r="H431" s="74">
        <v>319451</v>
      </c>
      <c r="I431" s="498"/>
      <c r="J431" s="9">
        <f t="shared" si="13"/>
        <v>316.90624286975589</v>
      </c>
      <c r="K431" s="10">
        <f t="shared" si="14"/>
        <v>218648</v>
      </c>
      <c r="L431" s="1292"/>
      <c r="M431" s="1292"/>
      <c r="N431" s="70"/>
    </row>
    <row r="432" spans="1:15" ht="15" customHeight="1">
      <c r="A432" s="71" t="s">
        <v>704</v>
      </c>
      <c r="B432" s="72" t="s">
        <v>67</v>
      </c>
      <c r="C432" s="97" t="s">
        <v>707</v>
      </c>
      <c r="D432" s="19">
        <v>2475</v>
      </c>
      <c r="E432" s="19">
        <v>3050</v>
      </c>
      <c r="F432" s="19">
        <v>4182</v>
      </c>
      <c r="G432" s="8">
        <v>18171</v>
      </c>
      <c r="H432" s="74">
        <v>15582</v>
      </c>
      <c r="I432" s="498"/>
      <c r="J432" s="9">
        <f t="shared" si="13"/>
        <v>629.57575757575762</v>
      </c>
      <c r="K432" s="10">
        <f t="shared" si="14"/>
        <v>13107</v>
      </c>
      <c r="L432" s="1292"/>
      <c r="M432" s="1292"/>
      <c r="N432" s="70"/>
    </row>
    <row r="433" spans="1:15" ht="15" customHeight="1">
      <c r="A433" s="87" t="s">
        <v>708</v>
      </c>
      <c r="B433" s="88" t="s">
        <v>29</v>
      </c>
      <c r="C433" s="89" t="s">
        <v>709</v>
      </c>
      <c r="D433" s="25">
        <v>19450</v>
      </c>
      <c r="E433" s="25">
        <v>26929</v>
      </c>
      <c r="F433" s="25">
        <v>27422</v>
      </c>
      <c r="G433" s="4">
        <v>27427</v>
      </c>
      <c r="H433" s="69">
        <v>30131</v>
      </c>
      <c r="I433" s="497">
        <f>'CT2015'!L1520</f>
        <v>2079.0390000000002</v>
      </c>
      <c r="J433" s="5">
        <f t="shared" si="13"/>
        <v>154.91516709511569</v>
      </c>
      <c r="K433" s="6">
        <f t="shared" si="14"/>
        <v>10681</v>
      </c>
      <c r="L433" s="1292">
        <f>'CT2020'!T1570</f>
        <v>2225</v>
      </c>
      <c r="M433" s="1292">
        <f>L433-I433</f>
        <v>145.96099999999979</v>
      </c>
      <c r="N433" s="70"/>
      <c r="O433" s="1486">
        <f>M433/I433*100</f>
        <v>7.0205994211748681</v>
      </c>
    </row>
    <row r="434" spans="1:15" ht="15" customHeight="1">
      <c r="A434" s="93" t="s">
        <v>708</v>
      </c>
      <c r="B434" s="94" t="s">
        <v>24</v>
      </c>
      <c r="C434" s="95" t="s">
        <v>710</v>
      </c>
      <c r="D434" s="19">
        <v>15863</v>
      </c>
      <c r="E434" s="19">
        <v>14770</v>
      </c>
      <c r="F434" s="19">
        <v>7789</v>
      </c>
      <c r="G434" s="8">
        <v>11142</v>
      </c>
      <c r="H434" s="74">
        <v>17164</v>
      </c>
      <c r="I434" s="498">
        <f>'CT2015'!L1521</f>
        <v>1184.316</v>
      </c>
      <c r="J434" s="9">
        <f t="shared" si="13"/>
        <v>108.20147513080754</v>
      </c>
      <c r="K434" s="10">
        <f t="shared" si="14"/>
        <v>1301</v>
      </c>
      <c r="L434" s="1292">
        <f>'CT2020'!T1572</f>
        <v>606</v>
      </c>
      <c r="M434" s="1292">
        <f>L434-I434</f>
        <v>-578.31600000000003</v>
      </c>
      <c r="N434" s="70"/>
      <c r="O434" s="1486">
        <f>M434/I434*100</f>
        <v>-48.831224098973586</v>
      </c>
    </row>
    <row r="435" spans="1:15" ht="15" customHeight="1">
      <c r="A435" s="79" t="s">
        <v>708</v>
      </c>
      <c r="B435" s="80" t="s">
        <v>52</v>
      </c>
      <c r="C435" s="96" t="s">
        <v>711</v>
      </c>
      <c r="D435" s="24">
        <v>17786</v>
      </c>
      <c r="E435" s="24">
        <v>20102</v>
      </c>
      <c r="F435" s="24">
        <v>14712</v>
      </c>
      <c r="G435" s="12">
        <v>5062</v>
      </c>
      <c r="H435" s="82">
        <v>353</v>
      </c>
      <c r="I435" s="500">
        <f>'CT2015'!L1522</f>
        <v>24.357000000000003</v>
      </c>
      <c r="J435" s="13">
        <f t="shared" si="13"/>
        <v>1.9847070729787475</v>
      </c>
      <c r="K435" s="14">
        <f t="shared" si="14"/>
        <v>-17433</v>
      </c>
      <c r="L435" s="1292">
        <f>'CT2020'!T1579</f>
        <v>2187</v>
      </c>
      <c r="M435" s="1292">
        <f>L435-I435</f>
        <v>2162.643</v>
      </c>
      <c r="N435" s="70"/>
      <c r="O435" s="1486">
        <f>M435/I435*100</f>
        <v>8878.9382928932137</v>
      </c>
    </row>
    <row r="436" spans="1:15" ht="15" customHeight="1">
      <c r="A436" s="71" t="s">
        <v>712</v>
      </c>
      <c r="B436" s="101" t="s">
        <v>18</v>
      </c>
      <c r="C436" s="75" t="s">
        <v>713</v>
      </c>
      <c r="D436" s="19">
        <v>53083</v>
      </c>
      <c r="E436" s="19">
        <v>104194</v>
      </c>
      <c r="F436" s="19">
        <v>121212</v>
      </c>
      <c r="G436" s="8">
        <v>123631</v>
      </c>
      <c r="H436" s="74">
        <v>208534</v>
      </c>
      <c r="I436" s="498">
        <f>'CT2015'!L1527</f>
        <v>1016.47</v>
      </c>
      <c r="J436" s="9">
        <f t="shared" si="13"/>
        <v>392.84516700261855</v>
      </c>
      <c r="K436" s="10">
        <f t="shared" si="14"/>
        <v>155451</v>
      </c>
      <c r="L436" s="1292">
        <f>SUM('CT2020'!T1593:T1597)</f>
        <v>885</v>
      </c>
      <c r="M436" s="1292">
        <f>L436-I436</f>
        <v>-131.47000000000003</v>
      </c>
      <c r="N436" s="70"/>
      <c r="O436" s="1486">
        <f>M436/I436*100</f>
        <v>-12.933977392348032</v>
      </c>
    </row>
    <row r="437" spans="1:15" ht="15" customHeight="1">
      <c r="A437" s="71" t="s">
        <v>712</v>
      </c>
      <c r="B437" s="101" t="s">
        <v>94</v>
      </c>
      <c r="C437" s="75" t="s">
        <v>714</v>
      </c>
      <c r="D437" s="19">
        <v>58848</v>
      </c>
      <c r="E437" s="19">
        <v>72928</v>
      </c>
      <c r="F437" s="19">
        <v>59875</v>
      </c>
      <c r="G437" s="8">
        <v>93315</v>
      </c>
      <c r="H437" s="74">
        <v>55178</v>
      </c>
      <c r="I437" s="498"/>
      <c r="J437" s="9">
        <f t="shared" si="13"/>
        <v>93.76359434475259</v>
      </c>
      <c r="K437" s="10">
        <f t="shared" si="14"/>
        <v>-3670</v>
      </c>
      <c r="L437" s="1292"/>
      <c r="M437" s="1292"/>
      <c r="N437" s="70"/>
    </row>
    <row r="438" spans="1:15" ht="15" customHeight="1">
      <c r="A438" s="83" t="s">
        <v>715</v>
      </c>
      <c r="B438" s="84" t="s">
        <v>18</v>
      </c>
      <c r="C438" s="85" t="s">
        <v>716</v>
      </c>
      <c r="D438" s="27">
        <v>0</v>
      </c>
      <c r="E438" s="26">
        <v>16235</v>
      </c>
      <c r="F438" s="26">
        <v>16676</v>
      </c>
      <c r="G438" s="16">
        <v>18216</v>
      </c>
      <c r="H438" s="86">
        <v>19160</v>
      </c>
      <c r="I438" s="501">
        <f>'CT2015'!L1538</f>
        <v>153.28</v>
      </c>
      <c r="J438" s="106" t="s">
        <v>42</v>
      </c>
      <c r="K438" s="18">
        <f t="shared" si="14"/>
        <v>19160</v>
      </c>
      <c r="L438" s="1292">
        <f>'CT2020'!T1604</f>
        <v>451</v>
      </c>
      <c r="M438" s="1292">
        <f>L438-I438</f>
        <v>297.72000000000003</v>
      </c>
      <c r="N438" s="70"/>
      <c r="O438" s="1486">
        <f>M438/I438*100</f>
        <v>194.23277661795407</v>
      </c>
    </row>
    <row r="439" spans="1:15" ht="15" customHeight="1">
      <c r="A439" s="77" t="s">
        <v>717</v>
      </c>
      <c r="B439" s="110" t="s">
        <v>18</v>
      </c>
      <c r="C439" s="73" t="s">
        <v>718</v>
      </c>
      <c r="D439" s="19">
        <v>9594</v>
      </c>
      <c r="E439" s="19">
        <v>9415</v>
      </c>
      <c r="F439" s="19">
        <v>14203</v>
      </c>
      <c r="G439" s="8">
        <v>13606</v>
      </c>
      <c r="H439" s="74">
        <v>11968</v>
      </c>
      <c r="I439" s="498">
        <f>'CT2015'!L1541+'CT2015'!L1547+'CT2015'!L1548</f>
        <v>492.53399999999999</v>
      </c>
      <c r="J439" s="9">
        <f t="shared" si="13"/>
        <v>124.74463206170523</v>
      </c>
      <c r="K439" s="10">
        <f t="shared" si="14"/>
        <v>2374</v>
      </c>
      <c r="L439" s="1292">
        <f>'CT2020'!T1618+'CT2020'!T1632</f>
        <v>465</v>
      </c>
      <c r="M439" s="1292">
        <f>L439-I439</f>
        <v>-27.533999999999992</v>
      </c>
      <c r="N439" s="70"/>
      <c r="O439" s="1486">
        <f>M439/I439*100</f>
        <v>-5.5902739709339846</v>
      </c>
    </row>
    <row r="440" spans="1:15" ht="15" customHeight="1">
      <c r="A440" s="93" t="s">
        <v>717</v>
      </c>
      <c r="B440" s="112" t="s">
        <v>65</v>
      </c>
      <c r="C440" s="95" t="s">
        <v>719</v>
      </c>
      <c r="D440" s="19">
        <v>30036</v>
      </c>
      <c r="E440" s="19">
        <v>31177</v>
      </c>
      <c r="F440" s="19">
        <v>32910</v>
      </c>
      <c r="G440" s="8">
        <v>32924</v>
      </c>
      <c r="H440" s="74">
        <v>33744</v>
      </c>
      <c r="I440" s="498">
        <f>'CT2015'!L1550+'CT2015'!L1551</f>
        <v>3213.3780000000002</v>
      </c>
      <c r="J440" s="9">
        <f t="shared" si="13"/>
        <v>112.34518577706751</v>
      </c>
      <c r="K440" s="10">
        <f t="shared" si="14"/>
        <v>3708</v>
      </c>
      <c r="L440" s="1292">
        <f>'CT2020'!T1635+'CT2020'!T1636+'CT2020'!T1637</f>
        <v>3121</v>
      </c>
      <c r="M440" s="1292">
        <f t="shared" ref="M440:M441" si="15">L440-I440</f>
        <v>-92.378000000000156</v>
      </c>
      <c r="N440" s="70"/>
      <c r="O440" s="1486">
        <f>M440/I440*100</f>
        <v>-2.8747940640659193</v>
      </c>
    </row>
    <row r="441" spans="1:15" ht="15" customHeight="1">
      <c r="A441" s="103" t="s">
        <v>717</v>
      </c>
      <c r="B441" s="118" t="s">
        <v>67</v>
      </c>
      <c r="C441" s="97" t="s">
        <v>720</v>
      </c>
      <c r="D441" s="19">
        <v>11295</v>
      </c>
      <c r="E441" s="19">
        <v>12411</v>
      </c>
      <c r="F441" s="19">
        <v>20952</v>
      </c>
      <c r="G441" s="8">
        <v>17902</v>
      </c>
      <c r="H441" s="74">
        <v>15798</v>
      </c>
      <c r="I441" s="498">
        <f>'CT2015'!L1553</f>
        <v>1279.6379999999999</v>
      </c>
      <c r="J441" s="9">
        <f t="shared" si="13"/>
        <v>139.867197875166</v>
      </c>
      <c r="K441" s="14">
        <f t="shared" si="14"/>
        <v>4503</v>
      </c>
      <c r="L441" s="14">
        <f>'CT2020'!T1641+'CT2020'!T1642+'CT2020'!T1643+'CT2020'!T1644+'CT2020'!T1645</f>
        <v>880</v>
      </c>
      <c r="M441" s="14">
        <f t="shared" si="15"/>
        <v>-399.63799999999992</v>
      </c>
      <c r="N441" s="65"/>
      <c r="O441" s="1486">
        <f>M441/I441*100</f>
        <v>-31.230551140244344</v>
      </c>
    </row>
    <row r="442" spans="1:15" ht="15" customHeight="1">
      <c r="A442" s="66" t="s">
        <v>721</v>
      </c>
      <c r="B442" s="67" t="s">
        <v>29</v>
      </c>
      <c r="C442" s="68" t="s">
        <v>722</v>
      </c>
      <c r="D442" s="25">
        <v>207032</v>
      </c>
      <c r="E442" s="25">
        <v>302432</v>
      </c>
      <c r="F442" s="25">
        <v>322599</v>
      </c>
      <c r="G442" s="4">
        <v>326040</v>
      </c>
      <c r="H442" s="69">
        <v>340582</v>
      </c>
      <c r="I442" s="497"/>
      <c r="J442" s="5">
        <f t="shared" si="13"/>
        <v>164.50693612581631</v>
      </c>
      <c r="K442" s="10">
        <f t="shared" si="14"/>
        <v>133550</v>
      </c>
      <c r="L442" s="1292"/>
      <c r="M442" s="1292"/>
      <c r="N442" s="70" t="s">
        <v>723</v>
      </c>
    </row>
    <row r="443" spans="1:15" ht="15" customHeight="1">
      <c r="A443" s="83" t="s">
        <v>724</v>
      </c>
      <c r="B443" s="84" t="s">
        <v>29</v>
      </c>
      <c r="C443" s="85" t="s">
        <v>725</v>
      </c>
      <c r="D443" s="26">
        <v>773322</v>
      </c>
      <c r="E443" s="26">
        <v>918383</v>
      </c>
      <c r="F443" s="26">
        <v>967614</v>
      </c>
      <c r="G443" s="16">
        <v>908394</v>
      </c>
      <c r="H443" s="86">
        <v>877935</v>
      </c>
      <c r="I443" s="501">
        <f>'CT2015'!L1558</f>
        <v>1020.5095563709475</v>
      </c>
      <c r="J443" s="17">
        <f t="shared" si="13"/>
        <v>113.5277413548302</v>
      </c>
      <c r="K443" s="18">
        <f t="shared" si="14"/>
        <v>104613</v>
      </c>
      <c r="L443" s="14">
        <f>'CT2020'!T1651</f>
        <v>1198</v>
      </c>
      <c r="M443" s="14">
        <f>L443-I443</f>
        <v>177.49044362905249</v>
      </c>
      <c r="N443" s="65"/>
      <c r="O443" s="1486">
        <f>M443/I443*100</f>
        <v>17.392335282016315</v>
      </c>
    </row>
    <row r="444" spans="1:15" ht="15" customHeight="1">
      <c r="A444" s="77" t="s">
        <v>726</v>
      </c>
      <c r="B444" s="78" t="s">
        <v>29</v>
      </c>
      <c r="C444" s="73" t="s">
        <v>727</v>
      </c>
      <c r="D444" s="19">
        <v>622812</v>
      </c>
      <c r="E444" s="19">
        <v>702804</v>
      </c>
      <c r="F444" s="19">
        <v>662446</v>
      </c>
      <c r="G444" s="8">
        <v>622652</v>
      </c>
      <c r="H444" s="74">
        <v>669404</v>
      </c>
      <c r="I444" s="498">
        <f>SUM('CT2015'!L1561:L1568)</f>
        <v>55162.689999999995</v>
      </c>
      <c r="J444" s="9">
        <f t="shared" si="13"/>
        <v>107.48090916681117</v>
      </c>
      <c r="K444" s="6">
        <f t="shared" si="14"/>
        <v>46592</v>
      </c>
      <c r="L444" s="1292">
        <f>SUM('CT2020'!T1654:T1662)</f>
        <v>53191</v>
      </c>
      <c r="M444" s="1292">
        <f>L444-I444</f>
        <v>-1971.6899999999951</v>
      </c>
      <c r="N444" s="70" t="s">
        <v>728</v>
      </c>
      <c r="O444" s="1486">
        <f>M444/I444*100</f>
        <v>-3.5743180762214375</v>
      </c>
    </row>
    <row r="445" spans="1:15" ht="15" customHeight="1">
      <c r="A445" s="71" t="s">
        <v>726</v>
      </c>
      <c r="B445" s="72" t="s">
        <v>24</v>
      </c>
      <c r="C445" s="97" t="s">
        <v>729</v>
      </c>
      <c r="D445" s="19">
        <v>215570</v>
      </c>
      <c r="E445" s="19">
        <v>219951</v>
      </c>
      <c r="F445" s="19">
        <v>226300</v>
      </c>
      <c r="G445" s="8">
        <v>251132</v>
      </c>
      <c r="H445" s="74">
        <v>288589</v>
      </c>
      <c r="I445" s="498">
        <f>SUM('CT2015'!L1574:L1581)</f>
        <v>14848.723000000002</v>
      </c>
      <c r="J445" s="9">
        <f t="shared" si="13"/>
        <v>133.87252400612331</v>
      </c>
      <c r="K445" s="10">
        <f t="shared" si="14"/>
        <v>73019</v>
      </c>
      <c r="L445" s="1292">
        <f>SUM('CT2020'!T1668:T1675)</f>
        <v>14631</v>
      </c>
      <c r="M445" s="1292">
        <f>L445-I445</f>
        <v>-217.72300000000178</v>
      </c>
      <c r="N445" s="70"/>
      <c r="O445" s="1486">
        <f>M445/I445*100</f>
        <v>-1.4662742378587152</v>
      </c>
    </row>
    <row r="446" spans="1:15" ht="15" customHeight="1">
      <c r="A446" s="93" t="s">
        <v>730</v>
      </c>
      <c r="B446" s="94" t="s">
        <v>67</v>
      </c>
      <c r="C446" s="95" t="s">
        <v>731</v>
      </c>
      <c r="D446" s="19">
        <v>44194</v>
      </c>
      <c r="E446" s="19">
        <v>32076</v>
      </c>
      <c r="F446" s="19">
        <v>28595</v>
      </c>
      <c r="G446" s="8">
        <v>25650</v>
      </c>
      <c r="H446" s="74">
        <v>25135</v>
      </c>
      <c r="I446" s="498"/>
      <c r="J446" s="9">
        <f t="shared" si="13"/>
        <v>56.874236321672619</v>
      </c>
      <c r="K446" s="10">
        <f t="shared" si="14"/>
        <v>-19059</v>
      </c>
      <c r="L446" s="1292"/>
      <c r="M446" s="1292"/>
      <c r="N446" s="70"/>
    </row>
    <row r="447" spans="1:15" ht="15" customHeight="1">
      <c r="A447" s="103" t="s">
        <v>730</v>
      </c>
      <c r="B447" s="104" t="s">
        <v>69</v>
      </c>
      <c r="C447" s="97" t="s">
        <v>732</v>
      </c>
      <c r="D447" s="19">
        <v>196</v>
      </c>
      <c r="E447" s="19">
        <v>175</v>
      </c>
      <c r="F447" s="19">
        <v>184</v>
      </c>
      <c r="G447" s="8">
        <v>329</v>
      </c>
      <c r="H447" s="74">
        <v>309</v>
      </c>
      <c r="I447" s="498"/>
      <c r="J447" s="9">
        <f t="shared" si="13"/>
        <v>157.65306122448979</v>
      </c>
      <c r="K447" s="10">
        <f t="shared" si="14"/>
        <v>113</v>
      </c>
      <c r="L447" s="1292"/>
      <c r="M447" s="1292"/>
      <c r="N447" s="70"/>
    </row>
    <row r="448" spans="1:15" ht="15" customHeight="1">
      <c r="A448" s="87" t="s">
        <v>733</v>
      </c>
      <c r="B448" s="88" t="s">
        <v>29</v>
      </c>
      <c r="C448" s="89" t="s">
        <v>734</v>
      </c>
      <c r="D448" s="25">
        <v>29646</v>
      </c>
      <c r="E448" s="25">
        <v>45594</v>
      </c>
      <c r="F448" s="25">
        <v>41696</v>
      </c>
      <c r="G448" s="4">
        <v>30789</v>
      </c>
      <c r="H448" s="69">
        <v>21346</v>
      </c>
      <c r="I448" s="497"/>
      <c r="J448" s="5">
        <f t="shared" si="13"/>
        <v>72.002968359981111</v>
      </c>
      <c r="K448" s="6">
        <f t="shared" si="14"/>
        <v>-8300</v>
      </c>
      <c r="L448" s="1292"/>
      <c r="M448" s="1292"/>
      <c r="N448" s="70"/>
    </row>
    <row r="449" spans="1:15" ht="15" customHeight="1">
      <c r="A449" s="93" t="s">
        <v>733</v>
      </c>
      <c r="B449" s="94" t="s">
        <v>24</v>
      </c>
      <c r="C449" s="95" t="s">
        <v>735</v>
      </c>
      <c r="D449" s="19">
        <v>7502</v>
      </c>
      <c r="E449" s="19">
        <v>7653</v>
      </c>
      <c r="F449" s="19">
        <v>13194</v>
      </c>
      <c r="G449" s="8">
        <v>8732</v>
      </c>
      <c r="H449" s="74">
        <v>16164</v>
      </c>
      <c r="I449" s="498"/>
      <c r="J449" s="9">
        <f t="shared" si="13"/>
        <v>215.46254332178086</v>
      </c>
      <c r="K449" s="10">
        <f t="shared" si="14"/>
        <v>8662</v>
      </c>
      <c r="L449" s="1292"/>
      <c r="M449" s="1292"/>
      <c r="N449" s="70"/>
    </row>
    <row r="450" spans="1:15" ht="15" customHeight="1">
      <c r="A450" s="93" t="s">
        <v>733</v>
      </c>
      <c r="B450" s="94" t="s">
        <v>52</v>
      </c>
      <c r="C450" s="95" t="s">
        <v>736</v>
      </c>
      <c r="D450" s="19">
        <v>15311</v>
      </c>
      <c r="E450" s="19">
        <v>10029</v>
      </c>
      <c r="F450" s="19">
        <v>10762</v>
      </c>
      <c r="G450" s="8">
        <v>10226</v>
      </c>
      <c r="H450" s="74">
        <v>10138</v>
      </c>
      <c r="I450" s="498"/>
      <c r="J450" s="9">
        <f t="shared" si="13"/>
        <v>66.213833191822872</v>
      </c>
      <c r="K450" s="10">
        <f t="shared" si="14"/>
        <v>-5173</v>
      </c>
      <c r="L450" s="1292"/>
      <c r="M450" s="1292"/>
      <c r="N450" s="70"/>
    </row>
    <row r="451" spans="1:15" ht="15" customHeight="1">
      <c r="A451" s="79" t="s">
        <v>733</v>
      </c>
      <c r="B451" s="80" t="s">
        <v>129</v>
      </c>
      <c r="C451" s="96" t="s">
        <v>737</v>
      </c>
      <c r="D451" s="24">
        <v>27391</v>
      </c>
      <c r="E451" s="24">
        <v>29061</v>
      </c>
      <c r="F451" s="24">
        <v>32047</v>
      </c>
      <c r="G451" s="12">
        <v>33477</v>
      </c>
      <c r="H451" s="82">
        <v>28872</v>
      </c>
      <c r="I451" s="500"/>
      <c r="J451" s="13">
        <f t="shared" si="13"/>
        <v>105.40688547333066</v>
      </c>
      <c r="K451" s="14">
        <f t="shared" si="14"/>
        <v>1481</v>
      </c>
      <c r="L451" s="1292"/>
      <c r="M451" s="1292"/>
      <c r="N451" s="70"/>
    </row>
    <row r="452" spans="1:15" ht="15" customHeight="1">
      <c r="A452" s="77" t="s">
        <v>738</v>
      </c>
      <c r="B452" s="78" t="s">
        <v>29</v>
      </c>
      <c r="C452" s="73" t="s">
        <v>739</v>
      </c>
      <c r="D452" s="19">
        <v>24540</v>
      </c>
      <c r="E452" s="19">
        <v>20672</v>
      </c>
      <c r="F452" s="19">
        <v>28026</v>
      </c>
      <c r="G452" s="8">
        <v>30733</v>
      </c>
      <c r="H452" s="74">
        <v>94915</v>
      </c>
      <c r="I452" s="498">
        <f>'CT2015'!L1595</f>
        <v>2277.96</v>
      </c>
      <c r="J452" s="9">
        <f t="shared" si="13"/>
        <v>386.77669111654438</v>
      </c>
      <c r="K452" s="10">
        <f t="shared" si="14"/>
        <v>70375</v>
      </c>
      <c r="L452" s="1292">
        <f>'CT2020'!T1689</f>
        <v>2110</v>
      </c>
      <c r="M452" s="1292">
        <f>L452-I452</f>
        <v>-167.96000000000004</v>
      </c>
      <c r="N452" s="70"/>
      <c r="O452" s="1486">
        <f>M452/I452*100</f>
        <v>-7.3732637974327924</v>
      </c>
    </row>
    <row r="453" spans="1:15" ht="15" customHeight="1">
      <c r="A453" s="93" t="s">
        <v>738</v>
      </c>
      <c r="B453" s="94" t="s">
        <v>24</v>
      </c>
      <c r="C453" s="95" t="s">
        <v>740</v>
      </c>
      <c r="D453" s="19">
        <v>8566</v>
      </c>
      <c r="E453" s="19">
        <v>1720</v>
      </c>
      <c r="F453" s="19">
        <v>1923</v>
      </c>
      <c r="G453" s="8">
        <v>1050</v>
      </c>
      <c r="H453" s="74">
        <v>6579</v>
      </c>
      <c r="I453" s="498">
        <f>'CT2015'!L1596</f>
        <v>157.89599999999999</v>
      </c>
      <c r="J453" s="9">
        <f t="shared" ref="J453:J512" si="16">H453/D453*100</f>
        <v>76.803642306794302</v>
      </c>
      <c r="K453" s="10">
        <f t="shared" ref="K453:K512" si="17">H453-D453</f>
        <v>-1987</v>
      </c>
      <c r="L453" s="1292">
        <f>'CT2020'!T1692</f>
        <v>171</v>
      </c>
      <c r="M453" s="1292">
        <f t="shared" ref="M453:M457" si="18">L453-I453</f>
        <v>13.104000000000013</v>
      </c>
      <c r="N453" s="70"/>
      <c r="O453" s="1486">
        <f t="shared" ref="O453:O462" si="19">M453/I453*100</f>
        <v>8.2991336069311537</v>
      </c>
    </row>
    <row r="454" spans="1:15" ht="15" customHeight="1">
      <c r="A454" s="93" t="s">
        <v>738</v>
      </c>
      <c r="B454" s="94" t="s">
        <v>52</v>
      </c>
      <c r="C454" s="95" t="s">
        <v>741</v>
      </c>
      <c r="D454" s="19">
        <v>210</v>
      </c>
      <c r="E454" s="19">
        <v>65</v>
      </c>
      <c r="F454" s="19">
        <v>11152</v>
      </c>
      <c r="G454" s="8">
        <v>4944</v>
      </c>
      <c r="H454" s="74">
        <v>27281</v>
      </c>
      <c r="I454" s="498">
        <f>'CT2015'!L1597</f>
        <v>654.74399999999991</v>
      </c>
      <c r="J454" s="9">
        <f t="shared" si="16"/>
        <v>12990.952380952382</v>
      </c>
      <c r="K454" s="10">
        <f t="shared" si="17"/>
        <v>27071</v>
      </c>
      <c r="L454" s="1292">
        <f>'CT2020'!T1695</f>
        <v>673</v>
      </c>
      <c r="M454" s="1292">
        <f t="shared" si="18"/>
        <v>18.256000000000085</v>
      </c>
      <c r="N454" s="70"/>
      <c r="O454" s="1486">
        <f t="shared" si="19"/>
        <v>2.7882653372921458</v>
      </c>
    </row>
    <row r="455" spans="1:15" ht="15" customHeight="1">
      <c r="A455" s="93" t="s">
        <v>738</v>
      </c>
      <c r="B455" s="94" t="s">
        <v>129</v>
      </c>
      <c r="C455" s="95" t="s">
        <v>742</v>
      </c>
      <c r="D455" s="19">
        <v>86</v>
      </c>
      <c r="E455" s="19">
        <v>110</v>
      </c>
      <c r="F455" s="19">
        <v>308</v>
      </c>
      <c r="G455" s="8">
        <v>605</v>
      </c>
      <c r="H455" s="74">
        <v>16339</v>
      </c>
      <c r="I455" s="498">
        <f>'CT2015'!L1598</f>
        <v>392.13599999999997</v>
      </c>
      <c r="J455" s="9">
        <f t="shared" si="16"/>
        <v>18998.837209302324</v>
      </c>
      <c r="K455" s="10">
        <f t="shared" si="17"/>
        <v>16253</v>
      </c>
      <c r="L455" s="1292">
        <f>'CT2020'!T1696</f>
        <v>260</v>
      </c>
      <c r="M455" s="1292">
        <f t="shared" si="18"/>
        <v>-132.13599999999997</v>
      </c>
      <c r="N455" s="70"/>
      <c r="O455" s="1486">
        <f t="shared" si="19"/>
        <v>-33.696472652345101</v>
      </c>
    </row>
    <row r="456" spans="1:15" ht="15" customHeight="1">
      <c r="A456" s="93" t="s">
        <v>738</v>
      </c>
      <c r="B456" s="94" t="s">
        <v>596</v>
      </c>
      <c r="C456" s="95" t="s">
        <v>743</v>
      </c>
      <c r="D456" s="19">
        <v>31922</v>
      </c>
      <c r="E456" s="19">
        <v>31629</v>
      </c>
      <c r="F456" s="19">
        <v>27266</v>
      </c>
      <c r="G456" s="8">
        <v>15835</v>
      </c>
      <c r="H456" s="74">
        <v>25721</v>
      </c>
      <c r="I456" s="498">
        <f>'CT2015'!L1599</f>
        <v>617.30399999999997</v>
      </c>
      <c r="J456" s="9">
        <f t="shared" si="16"/>
        <v>80.57452540567634</v>
      </c>
      <c r="K456" s="10">
        <f t="shared" si="17"/>
        <v>-6201</v>
      </c>
      <c r="L456" s="1292">
        <f>'CT2020'!T1697</f>
        <v>740</v>
      </c>
      <c r="M456" s="1292">
        <f t="shared" si="18"/>
        <v>122.69600000000003</v>
      </c>
      <c r="N456" s="70"/>
      <c r="O456" s="1486">
        <f t="shared" si="19"/>
        <v>19.876106424063352</v>
      </c>
    </row>
    <row r="457" spans="1:15" ht="15" customHeight="1">
      <c r="A457" s="71" t="s">
        <v>738</v>
      </c>
      <c r="B457" s="72" t="s">
        <v>696</v>
      </c>
      <c r="C457" s="97" t="s">
        <v>744</v>
      </c>
      <c r="D457" s="19">
        <v>11416</v>
      </c>
      <c r="E457" s="19">
        <v>1720</v>
      </c>
      <c r="F457" s="19">
        <v>126</v>
      </c>
      <c r="G457" s="8">
        <v>169</v>
      </c>
      <c r="H457" s="74">
        <v>818</v>
      </c>
      <c r="I457" s="498">
        <f>'CT2015'!L1600</f>
        <v>19.631999999999998</v>
      </c>
      <c r="J457" s="9">
        <f t="shared" si="16"/>
        <v>7.1653819201121234</v>
      </c>
      <c r="K457" s="10">
        <f t="shared" si="17"/>
        <v>-10598</v>
      </c>
      <c r="L457" s="1292">
        <f>'CT2020'!T1698</f>
        <v>2</v>
      </c>
      <c r="M457" s="1292">
        <f t="shared" si="18"/>
        <v>-17.631999999999998</v>
      </c>
      <c r="N457" s="70"/>
      <c r="O457" s="1486">
        <f t="shared" si="19"/>
        <v>-89.812550937245319</v>
      </c>
    </row>
    <row r="458" spans="1:15" ht="15" customHeight="1">
      <c r="A458" s="83" t="s">
        <v>745</v>
      </c>
      <c r="B458" s="84" t="s">
        <v>29</v>
      </c>
      <c r="C458" s="85" t="s">
        <v>746</v>
      </c>
      <c r="D458" s="26">
        <v>333423</v>
      </c>
      <c r="E458" s="26">
        <v>485580</v>
      </c>
      <c r="F458" s="26">
        <v>494154</v>
      </c>
      <c r="G458" s="16">
        <v>441544</v>
      </c>
      <c r="H458" s="86">
        <v>535435</v>
      </c>
      <c r="I458" s="497"/>
      <c r="J458" s="17">
        <f t="shared" si="16"/>
        <v>160.58730201575776</v>
      </c>
      <c r="K458" s="18">
        <f t="shared" si="17"/>
        <v>202012</v>
      </c>
      <c r="L458" s="14"/>
      <c r="M458" s="14"/>
      <c r="N458" s="65"/>
    </row>
    <row r="459" spans="1:15" ht="15" customHeight="1">
      <c r="A459" s="87" t="s">
        <v>747</v>
      </c>
      <c r="B459" s="88" t="s">
        <v>29</v>
      </c>
      <c r="C459" s="89" t="s">
        <v>748</v>
      </c>
      <c r="D459" s="35">
        <f>D515-SUM(D460:D463)</f>
        <v>396074</v>
      </c>
      <c r="E459" s="35">
        <f>E515-SUM(E460:E463)</f>
        <v>458301</v>
      </c>
      <c r="F459" s="35">
        <f>F515-SUM(F460:F463)</f>
        <v>509043</v>
      </c>
      <c r="G459" s="4">
        <v>664218</v>
      </c>
      <c r="H459" s="69">
        <v>725811</v>
      </c>
      <c r="I459" s="497">
        <f>'CT2015'!L1602</f>
        <v>2177.433</v>
      </c>
      <c r="J459" s="535">
        <f>H459/D515*100</f>
        <v>65.335874234399029</v>
      </c>
      <c r="K459" s="10">
        <f t="shared" si="17"/>
        <v>329737</v>
      </c>
      <c r="L459" s="1292">
        <f>'CT2020'!T1700</f>
        <v>3082</v>
      </c>
      <c r="M459" s="1292">
        <f>L459-I459</f>
        <v>904.56700000000001</v>
      </c>
      <c r="N459" s="70" t="s">
        <v>749</v>
      </c>
      <c r="O459" s="1486">
        <f t="shared" si="19"/>
        <v>41.54281670205237</v>
      </c>
    </row>
    <row r="460" spans="1:15" ht="15" customHeight="1">
      <c r="A460" s="93" t="s">
        <v>747</v>
      </c>
      <c r="B460" s="94" t="s">
        <v>24</v>
      </c>
      <c r="C460" s="95" t="s">
        <v>750</v>
      </c>
      <c r="D460" s="36">
        <f>ROUND($D$515*G460/$G$515,0)</f>
        <v>398899</v>
      </c>
      <c r="E460" s="36">
        <f>ROUND($E$515*G460/$G$515,0)</f>
        <v>461572</v>
      </c>
      <c r="F460" s="36">
        <f>ROUND($F$515*G460/$G$515,0)</f>
        <v>512677</v>
      </c>
      <c r="G460" s="8">
        <v>668958</v>
      </c>
      <c r="H460" s="74">
        <v>720350</v>
      </c>
      <c r="I460" s="498">
        <f>'CT2015'!L1603</f>
        <v>2161.0500000000002</v>
      </c>
      <c r="J460" s="536">
        <f t="shared" si="16"/>
        <v>180.58455899864376</v>
      </c>
      <c r="K460" s="10">
        <f t="shared" si="17"/>
        <v>321451</v>
      </c>
      <c r="L460" s="1292">
        <f>'CT2020'!T1701</f>
        <v>1353</v>
      </c>
      <c r="M460" s="1292">
        <f t="shared" ref="M460:M462" si="20">L460-I460</f>
        <v>-808.05000000000018</v>
      </c>
      <c r="N460" s="70"/>
      <c r="O460" s="1486">
        <f t="shared" si="19"/>
        <v>-37.391545776358718</v>
      </c>
    </row>
    <row r="461" spans="1:15" ht="15" customHeight="1">
      <c r="A461" s="93" t="s">
        <v>747</v>
      </c>
      <c r="B461" s="94" t="s">
        <v>52</v>
      </c>
      <c r="C461" s="95" t="s">
        <v>751</v>
      </c>
      <c r="D461" s="36">
        <f>ROUND($D$515*G461/$G$515,0)</f>
        <v>87386</v>
      </c>
      <c r="E461" s="36">
        <f>ROUND($E$515*G461/$G$515,0)</f>
        <v>101116</v>
      </c>
      <c r="F461" s="36">
        <f>ROUND($F$515*G461/$G$515,0)</f>
        <v>112312</v>
      </c>
      <c r="G461" s="8">
        <v>146548</v>
      </c>
      <c r="H461" s="74">
        <v>168619</v>
      </c>
      <c r="I461" s="498">
        <f>'CT2015'!L1604</f>
        <v>4889.951</v>
      </c>
      <c r="J461" s="536">
        <f t="shared" si="16"/>
        <v>192.95882635662463</v>
      </c>
      <c r="K461" s="10">
        <f t="shared" si="17"/>
        <v>81233</v>
      </c>
      <c r="L461" s="1292">
        <f>'CT2020'!T1702</f>
        <v>5185</v>
      </c>
      <c r="M461" s="1292">
        <f t="shared" si="20"/>
        <v>295.04899999999998</v>
      </c>
      <c r="N461" s="70"/>
      <c r="O461" s="1486">
        <f t="shared" si="19"/>
        <v>6.0337823426042503</v>
      </c>
    </row>
    <row r="462" spans="1:15" ht="15" customHeight="1">
      <c r="A462" s="93" t="s">
        <v>752</v>
      </c>
      <c r="B462" s="94" t="s">
        <v>69</v>
      </c>
      <c r="C462" s="95" t="s">
        <v>753</v>
      </c>
      <c r="D462" s="36">
        <f>ROUND($D$515*G462/$G$515,0)</f>
        <v>174280</v>
      </c>
      <c r="E462" s="36">
        <f>ROUND($E$515*G462/$G$515,0)</f>
        <v>201662</v>
      </c>
      <c r="F462" s="36">
        <f>ROUND($F$515*G462/$G$515,0)</f>
        <v>223990</v>
      </c>
      <c r="G462" s="8">
        <v>292270</v>
      </c>
      <c r="H462" s="74">
        <v>352262</v>
      </c>
      <c r="I462" s="498">
        <f>'CT2015'!L1605</f>
        <v>1056.7859999999998</v>
      </c>
      <c r="J462" s="536">
        <f t="shared" si="16"/>
        <v>202.12416800550835</v>
      </c>
      <c r="K462" s="10">
        <f t="shared" si="17"/>
        <v>177982</v>
      </c>
      <c r="L462" s="1292">
        <f>'CT2020'!T1703</f>
        <v>1046</v>
      </c>
      <c r="M462" s="1292">
        <f t="shared" si="20"/>
        <v>-10.785999999999831</v>
      </c>
      <c r="N462" s="70"/>
      <c r="O462" s="1486">
        <f t="shared" si="19"/>
        <v>-1.0206418328781639</v>
      </c>
    </row>
    <row r="463" spans="1:15" ht="15" customHeight="1">
      <c r="A463" s="71" t="s">
        <v>747</v>
      </c>
      <c r="B463" s="72" t="s">
        <v>71</v>
      </c>
      <c r="C463" s="75" t="s">
        <v>754</v>
      </c>
      <c r="D463" s="36">
        <f>ROUND($D$515*G463/$G$515,0)</f>
        <v>54253</v>
      </c>
      <c r="E463" s="36">
        <f>ROUND($E$515*G463/$G$515,0)</f>
        <v>62777</v>
      </c>
      <c r="F463" s="36">
        <f>ROUND($F$515*G463/$G$515,0)</f>
        <v>69728</v>
      </c>
      <c r="G463" s="8">
        <v>90983</v>
      </c>
      <c r="H463" s="74">
        <v>52611</v>
      </c>
      <c r="I463" s="500"/>
      <c r="J463" s="536">
        <f t="shared" si="16"/>
        <v>96.973439256815283</v>
      </c>
      <c r="K463" s="10">
        <f t="shared" si="17"/>
        <v>-1642</v>
      </c>
      <c r="L463" s="1292"/>
      <c r="M463" s="1292"/>
      <c r="N463" s="70"/>
    </row>
    <row r="464" spans="1:15" ht="15" customHeight="1">
      <c r="A464" s="87" t="s">
        <v>755</v>
      </c>
      <c r="B464" s="88" t="s">
        <v>29</v>
      </c>
      <c r="C464" s="89" t="s">
        <v>756</v>
      </c>
      <c r="D464" s="25">
        <v>11729</v>
      </c>
      <c r="E464" s="25">
        <v>28505</v>
      </c>
      <c r="F464" s="25">
        <v>26414</v>
      </c>
      <c r="G464" s="4">
        <v>22110</v>
      </c>
      <c r="H464" s="69">
        <v>26817</v>
      </c>
      <c r="I464" s="498"/>
      <c r="J464" s="5">
        <f t="shared" si="16"/>
        <v>228.63841759740814</v>
      </c>
      <c r="K464" s="6">
        <f t="shared" si="17"/>
        <v>15088</v>
      </c>
      <c r="L464" s="1292"/>
      <c r="M464" s="1292"/>
      <c r="N464" s="70"/>
    </row>
    <row r="465" spans="1:15" ht="15" customHeight="1">
      <c r="A465" s="79" t="s">
        <v>755</v>
      </c>
      <c r="B465" s="80" t="s">
        <v>24</v>
      </c>
      <c r="C465" s="96" t="s">
        <v>757</v>
      </c>
      <c r="D465" s="24">
        <v>5486</v>
      </c>
      <c r="E465" s="24">
        <v>9714</v>
      </c>
      <c r="F465" s="24">
        <v>13402</v>
      </c>
      <c r="G465" s="12">
        <v>24312</v>
      </c>
      <c r="H465" s="82">
        <v>36649</v>
      </c>
      <c r="I465" s="500"/>
      <c r="J465" s="13">
        <f t="shared" si="16"/>
        <v>668.04593510754648</v>
      </c>
      <c r="K465" s="14">
        <f t="shared" si="17"/>
        <v>31163</v>
      </c>
      <c r="L465" s="1292"/>
      <c r="M465" s="1292"/>
      <c r="N465" s="70"/>
    </row>
    <row r="466" spans="1:15" ht="15" customHeight="1">
      <c r="A466" s="77" t="s">
        <v>758</v>
      </c>
      <c r="B466" s="78" t="s">
        <v>29</v>
      </c>
      <c r="C466" s="73" t="s">
        <v>759</v>
      </c>
      <c r="D466" s="19">
        <v>52894</v>
      </c>
      <c r="E466" s="19">
        <v>54115</v>
      </c>
      <c r="F466" s="19">
        <v>53845</v>
      </c>
      <c r="G466" s="8">
        <v>67705</v>
      </c>
      <c r="H466" s="74">
        <v>51024</v>
      </c>
      <c r="I466" s="498"/>
      <c r="J466" s="9">
        <f t="shared" si="16"/>
        <v>96.464627367943436</v>
      </c>
      <c r="K466" s="10">
        <f t="shared" si="17"/>
        <v>-1870</v>
      </c>
      <c r="L466" s="1292"/>
      <c r="M466" s="1292"/>
      <c r="N466" s="70"/>
    </row>
    <row r="467" spans="1:15" ht="15" customHeight="1">
      <c r="A467" s="93" t="s">
        <v>758</v>
      </c>
      <c r="B467" s="94" t="s">
        <v>65</v>
      </c>
      <c r="C467" s="95" t="s">
        <v>760</v>
      </c>
      <c r="D467" s="19">
        <v>53561</v>
      </c>
      <c r="E467" s="19">
        <v>52738</v>
      </c>
      <c r="F467" s="19">
        <v>55738</v>
      </c>
      <c r="G467" s="8">
        <v>62532</v>
      </c>
      <c r="H467" s="74">
        <v>45333</v>
      </c>
      <c r="I467" s="498"/>
      <c r="J467" s="9">
        <f t="shared" si="16"/>
        <v>84.638076212169295</v>
      </c>
      <c r="K467" s="10">
        <f t="shared" si="17"/>
        <v>-8228</v>
      </c>
      <c r="L467" s="1292"/>
      <c r="M467" s="1292"/>
      <c r="N467" s="70"/>
    </row>
    <row r="468" spans="1:15" ht="15" customHeight="1">
      <c r="A468" s="71" t="s">
        <v>758</v>
      </c>
      <c r="B468" s="72" t="s">
        <v>67</v>
      </c>
      <c r="C468" s="95" t="s">
        <v>761</v>
      </c>
      <c r="D468" s="19">
        <v>106116</v>
      </c>
      <c r="E468" s="19">
        <v>107594</v>
      </c>
      <c r="F468" s="19">
        <v>135989</v>
      </c>
      <c r="G468" s="8">
        <v>113921</v>
      </c>
      <c r="H468" s="74">
        <v>124187</v>
      </c>
      <c r="I468" s="498"/>
      <c r="J468" s="9">
        <f t="shared" si="16"/>
        <v>117.02947717592069</v>
      </c>
      <c r="K468" s="10">
        <f t="shared" si="17"/>
        <v>18071</v>
      </c>
      <c r="L468" s="1292"/>
      <c r="M468" s="1292"/>
      <c r="N468" s="70"/>
    </row>
    <row r="469" spans="1:15" ht="15" customHeight="1">
      <c r="A469" s="103" t="s">
        <v>758</v>
      </c>
      <c r="B469" s="104" t="s">
        <v>69</v>
      </c>
      <c r="C469" s="97" t="s">
        <v>762</v>
      </c>
      <c r="D469" s="22">
        <v>0</v>
      </c>
      <c r="E469" s="22">
        <v>0</v>
      </c>
      <c r="F469" s="19">
        <v>10545</v>
      </c>
      <c r="G469" s="8">
        <v>31492</v>
      </c>
      <c r="H469" s="74">
        <v>47583</v>
      </c>
      <c r="I469" s="498"/>
      <c r="J469" s="92" t="s">
        <v>42</v>
      </c>
      <c r="K469" s="10">
        <f t="shared" si="17"/>
        <v>47583</v>
      </c>
      <c r="L469" s="1292"/>
      <c r="M469" s="1292"/>
      <c r="N469" s="70"/>
    </row>
    <row r="470" spans="1:15" ht="15" customHeight="1">
      <c r="A470" s="103" t="s">
        <v>758</v>
      </c>
      <c r="B470" s="104" t="s">
        <v>763</v>
      </c>
      <c r="C470" s="97" t="s">
        <v>764</v>
      </c>
      <c r="D470" s="29"/>
      <c r="E470" s="29"/>
      <c r="F470" s="29"/>
      <c r="G470" s="29"/>
      <c r="H470" s="74">
        <v>91207</v>
      </c>
      <c r="I470" s="498"/>
      <c r="J470" s="92" t="s">
        <v>42</v>
      </c>
      <c r="K470" s="10">
        <f t="shared" si="17"/>
        <v>91207</v>
      </c>
      <c r="L470" s="1292"/>
      <c r="M470" s="1292"/>
      <c r="N470" s="70" t="s">
        <v>765</v>
      </c>
    </row>
    <row r="471" spans="1:15" ht="15" customHeight="1">
      <c r="A471" s="87" t="s">
        <v>766</v>
      </c>
      <c r="B471" s="88" t="s">
        <v>18</v>
      </c>
      <c r="C471" s="89" t="s">
        <v>767</v>
      </c>
      <c r="D471" s="25">
        <v>0</v>
      </c>
      <c r="E471" s="25">
        <v>110881</v>
      </c>
      <c r="F471" s="25">
        <v>127409</v>
      </c>
      <c r="G471" s="4">
        <v>143309</v>
      </c>
      <c r="H471" s="69">
        <v>148973</v>
      </c>
      <c r="I471" s="497"/>
      <c r="J471" s="91" t="s">
        <v>42</v>
      </c>
      <c r="K471" s="6">
        <f t="shared" si="17"/>
        <v>148973</v>
      </c>
      <c r="L471" s="1292"/>
      <c r="M471" s="1292"/>
      <c r="N471" s="70"/>
    </row>
    <row r="472" spans="1:15" ht="15" customHeight="1">
      <c r="A472" s="79" t="s">
        <v>766</v>
      </c>
      <c r="B472" s="80" t="s">
        <v>65</v>
      </c>
      <c r="C472" s="81" t="s">
        <v>768</v>
      </c>
      <c r="D472" s="24">
        <v>0</v>
      </c>
      <c r="E472" s="24">
        <v>55293</v>
      </c>
      <c r="F472" s="24">
        <v>139525</v>
      </c>
      <c r="G472" s="12">
        <v>217492</v>
      </c>
      <c r="H472" s="82">
        <v>279368</v>
      </c>
      <c r="I472" s="500"/>
      <c r="J472" s="108" t="s">
        <v>42</v>
      </c>
      <c r="K472" s="14">
        <f t="shared" si="17"/>
        <v>279368</v>
      </c>
      <c r="L472" s="14"/>
      <c r="M472" s="14"/>
      <c r="N472" s="65"/>
    </row>
    <row r="473" spans="1:15" ht="15" customHeight="1">
      <c r="A473" s="77" t="s">
        <v>769</v>
      </c>
      <c r="B473" s="78" t="s">
        <v>29</v>
      </c>
      <c r="C473" s="73" t="s">
        <v>770</v>
      </c>
      <c r="D473" s="19">
        <v>36140</v>
      </c>
      <c r="E473" s="19">
        <v>34555</v>
      </c>
      <c r="F473" s="19">
        <v>34091</v>
      </c>
      <c r="G473" s="8">
        <v>37273</v>
      </c>
      <c r="H473" s="74">
        <v>36088</v>
      </c>
      <c r="I473" s="498"/>
      <c r="J473" s="9">
        <f t="shared" si="16"/>
        <v>99.856115107913666</v>
      </c>
      <c r="K473" s="6">
        <f t="shared" si="17"/>
        <v>-52</v>
      </c>
      <c r="L473" s="1292"/>
      <c r="M473" s="1292"/>
      <c r="N473" s="70" t="s">
        <v>771</v>
      </c>
    </row>
    <row r="474" spans="1:15" ht="15" customHeight="1">
      <c r="A474" s="71" t="s">
        <v>769</v>
      </c>
      <c r="B474" s="72" t="s">
        <v>24</v>
      </c>
      <c r="C474" s="97" t="s">
        <v>772</v>
      </c>
      <c r="D474" s="19">
        <v>176714</v>
      </c>
      <c r="E474" s="19">
        <v>151207</v>
      </c>
      <c r="F474" s="19">
        <v>187702</v>
      </c>
      <c r="G474" s="8">
        <v>179908</v>
      </c>
      <c r="H474" s="74">
        <v>142282</v>
      </c>
      <c r="I474" s="498">
        <f>'CT2015'!L1619</f>
        <v>10680.376311363769</v>
      </c>
      <c r="J474" s="9">
        <f t="shared" si="16"/>
        <v>80.515409079076932</v>
      </c>
      <c r="K474" s="14">
        <f t="shared" si="17"/>
        <v>-34432</v>
      </c>
      <c r="L474" s="14">
        <f>'CT2020'!T1717</f>
        <v>11436</v>
      </c>
      <c r="M474" s="14">
        <f>L474-I474</f>
        <v>755.62368863623124</v>
      </c>
      <c r="N474" s="65"/>
      <c r="O474" s="1486">
        <f t="shared" ref="O474:O475" si="21">M474/I474*100</f>
        <v>7.0748788863577623</v>
      </c>
    </row>
    <row r="475" spans="1:15" ht="15" customHeight="1">
      <c r="A475" s="66" t="s">
        <v>773</v>
      </c>
      <c r="B475" s="67" t="s">
        <v>29</v>
      </c>
      <c r="C475" s="68" t="s">
        <v>774</v>
      </c>
      <c r="D475" s="25">
        <v>29954</v>
      </c>
      <c r="E475" s="25">
        <v>49352</v>
      </c>
      <c r="F475" s="25">
        <v>56256</v>
      </c>
      <c r="G475" s="4">
        <v>90590</v>
      </c>
      <c r="H475" s="69">
        <v>17428</v>
      </c>
      <c r="I475" s="497">
        <f>'CT2015'!L1634</f>
        <v>2122</v>
      </c>
      <c r="J475" s="5">
        <f t="shared" si="16"/>
        <v>58.182546571409496</v>
      </c>
      <c r="K475" s="10">
        <f t="shared" si="17"/>
        <v>-12526</v>
      </c>
      <c r="L475" s="1292">
        <f>'CT2020'!T1761</f>
        <v>2117</v>
      </c>
      <c r="M475" s="1292">
        <f>L475-I475</f>
        <v>-5</v>
      </c>
      <c r="N475" s="70" t="s">
        <v>775</v>
      </c>
      <c r="O475" s="1486">
        <f t="shared" si="21"/>
        <v>-0.23562676720075398</v>
      </c>
    </row>
    <row r="476" spans="1:15" ht="15" customHeight="1">
      <c r="A476" s="71" t="s">
        <v>773</v>
      </c>
      <c r="B476" s="72" t="s">
        <v>22</v>
      </c>
      <c r="C476" s="75" t="s">
        <v>776</v>
      </c>
      <c r="D476" s="19">
        <v>31231</v>
      </c>
      <c r="E476" s="19">
        <v>32616</v>
      </c>
      <c r="F476" s="19">
        <v>20315</v>
      </c>
      <c r="G476" s="8">
        <v>82087</v>
      </c>
      <c r="H476" s="74">
        <v>82845</v>
      </c>
      <c r="I476" s="498"/>
      <c r="J476" s="9">
        <f t="shared" si="16"/>
        <v>265.26528129102496</v>
      </c>
      <c r="K476" s="10">
        <f t="shared" si="17"/>
        <v>51614</v>
      </c>
      <c r="L476" s="1292"/>
      <c r="M476" s="1292"/>
      <c r="N476" s="70"/>
    </row>
    <row r="477" spans="1:15" ht="15" customHeight="1">
      <c r="A477" s="71" t="s">
        <v>773</v>
      </c>
      <c r="B477" s="72" t="s">
        <v>115</v>
      </c>
      <c r="C477" s="75" t="s">
        <v>777</v>
      </c>
      <c r="D477" s="19">
        <v>33956</v>
      </c>
      <c r="E477" s="19">
        <v>45677</v>
      </c>
      <c r="F477" s="19">
        <v>23032</v>
      </c>
      <c r="G477" s="8">
        <v>12120</v>
      </c>
      <c r="H477" s="74">
        <v>4235</v>
      </c>
      <c r="I477" s="498"/>
      <c r="J477" s="9">
        <f t="shared" si="16"/>
        <v>12.472022617505006</v>
      </c>
      <c r="K477" s="10">
        <f t="shared" si="17"/>
        <v>-29721</v>
      </c>
      <c r="L477" s="1292"/>
      <c r="M477" s="1292"/>
      <c r="N477" s="70"/>
    </row>
    <row r="478" spans="1:15" ht="15" customHeight="1">
      <c r="A478" s="71" t="s">
        <v>773</v>
      </c>
      <c r="B478" s="72" t="s">
        <v>117</v>
      </c>
      <c r="C478" s="75" t="s">
        <v>778</v>
      </c>
      <c r="D478" s="19">
        <v>15564</v>
      </c>
      <c r="E478" s="19">
        <v>9319</v>
      </c>
      <c r="F478" s="19">
        <v>9242</v>
      </c>
      <c r="G478" s="8">
        <v>21903</v>
      </c>
      <c r="H478" s="74">
        <v>2815</v>
      </c>
      <c r="I478" s="498"/>
      <c r="J478" s="9">
        <f t="shared" si="16"/>
        <v>18.086610125931639</v>
      </c>
      <c r="K478" s="10">
        <f t="shared" si="17"/>
        <v>-12749</v>
      </c>
      <c r="L478" s="1292"/>
      <c r="M478" s="1292"/>
      <c r="N478" s="70"/>
    </row>
    <row r="479" spans="1:15" ht="15" customHeight="1">
      <c r="A479" s="71" t="s">
        <v>773</v>
      </c>
      <c r="B479" s="72" t="s">
        <v>119</v>
      </c>
      <c r="C479" s="75" t="s">
        <v>779</v>
      </c>
      <c r="D479" s="19">
        <v>34842</v>
      </c>
      <c r="E479" s="19">
        <v>37117</v>
      </c>
      <c r="F479" s="19">
        <v>49431</v>
      </c>
      <c r="G479" s="8">
        <v>20122</v>
      </c>
      <c r="H479" s="74">
        <v>85430</v>
      </c>
      <c r="I479" s="498"/>
      <c r="J479" s="9">
        <f t="shared" si="16"/>
        <v>245.19258366339477</v>
      </c>
      <c r="K479" s="10">
        <f t="shared" si="17"/>
        <v>50588</v>
      </c>
      <c r="L479" s="1292"/>
      <c r="M479" s="1292"/>
      <c r="N479" s="70"/>
    </row>
    <row r="480" spans="1:15" ht="15" customHeight="1">
      <c r="A480" s="83" t="s">
        <v>780</v>
      </c>
      <c r="B480" s="84" t="s">
        <v>29</v>
      </c>
      <c r="C480" s="85" t="s">
        <v>781</v>
      </c>
      <c r="D480" s="26">
        <v>13692</v>
      </c>
      <c r="E480" s="26">
        <v>15659</v>
      </c>
      <c r="F480" s="26">
        <v>15633</v>
      </c>
      <c r="G480" s="16">
        <v>23803</v>
      </c>
      <c r="H480" s="86">
        <v>29146</v>
      </c>
      <c r="I480" s="501"/>
      <c r="J480" s="17">
        <f t="shared" si="16"/>
        <v>212.8688285130003</v>
      </c>
      <c r="K480" s="18">
        <f t="shared" si="17"/>
        <v>15454</v>
      </c>
      <c r="L480" s="1292"/>
      <c r="M480" s="1292"/>
      <c r="N480" s="70"/>
    </row>
    <row r="481" spans="1:15" ht="15" customHeight="1">
      <c r="A481" s="71" t="s">
        <v>782</v>
      </c>
      <c r="B481" s="72" t="s">
        <v>29</v>
      </c>
      <c r="C481" s="75" t="s">
        <v>783</v>
      </c>
      <c r="D481" s="19">
        <v>8645</v>
      </c>
      <c r="E481" s="19">
        <v>6419</v>
      </c>
      <c r="F481" s="19">
        <v>4742</v>
      </c>
      <c r="G481" s="8">
        <v>3733</v>
      </c>
      <c r="H481" s="74">
        <v>5232</v>
      </c>
      <c r="I481" s="498">
        <f>'CT2015'!L1641</f>
        <v>26.16</v>
      </c>
      <c r="J481" s="9">
        <f t="shared" si="16"/>
        <v>60.52053209947946</v>
      </c>
      <c r="K481" s="10">
        <f t="shared" si="17"/>
        <v>-3413</v>
      </c>
      <c r="L481" s="1292">
        <f>'CT2020'!T1778</f>
        <v>41</v>
      </c>
      <c r="M481" s="1292">
        <f>L481-I481</f>
        <v>14.84</v>
      </c>
      <c r="N481" s="70"/>
      <c r="O481" s="1486">
        <f t="shared" ref="O481:O482" si="22">M481/I481*100</f>
        <v>56.727828746177366</v>
      </c>
    </row>
    <row r="482" spans="1:15" ht="15" customHeight="1">
      <c r="A482" s="71" t="s">
        <v>782</v>
      </c>
      <c r="B482" s="72" t="s">
        <v>22</v>
      </c>
      <c r="C482" s="75" t="s">
        <v>784</v>
      </c>
      <c r="D482" s="19">
        <v>59267</v>
      </c>
      <c r="E482" s="19">
        <v>62025</v>
      </c>
      <c r="F482" s="19">
        <v>80405</v>
      </c>
      <c r="G482" s="8">
        <v>35817</v>
      </c>
      <c r="H482" s="74">
        <v>42510</v>
      </c>
      <c r="I482" s="498">
        <f>'CT2015'!L1644</f>
        <v>212.55</v>
      </c>
      <c r="J482" s="9">
        <f t="shared" si="16"/>
        <v>71.726255757841628</v>
      </c>
      <c r="K482" s="10">
        <f t="shared" si="17"/>
        <v>-16757</v>
      </c>
      <c r="L482" s="1292">
        <f>'CT2020'!T1781</f>
        <v>173</v>
      </c>
      <c r="M482" s="1292">
        <f>L482-I482</f>
        <v>-39.550000000000011</v>
      </c>
      <c r="N482" s="70"/>
      <c r="O482" s="1486">
        <f t="shared" si="22"/>
        <v>-18.607386497294758</v>
      </c>
    </row>
    <row r="483" spans="1:15" ht="15" customHeight="1">
      <c r="A483" s="83" t="s">
        <v>785</v>
      </c>
      <c r="B483" s="84" t="s">
        <v>575</v>
      </c>
      <c r="C483" s="85" t="s">
        <v>786</v>
      </c>
      <c r="D483" s="26">
        <v>246376</v>
      </c>
      <c r="E483" s="26">
        <v>254585</v>
      </c>
      <c r="F483" s="26">
        <v>192591</v>
      </c>
      <c r="G483" s="16">
        <v>121455</v>
      </c>
      <c r="H483" s="86">
        <v>123713</v>
      </c>
      <c r="I483" s="501"/>
      <c r="J483" s="17">
        <f t="shared" si="16"/>
        <v>50.213088937234154</v>
      </c>
      <c r="K483" s="18">
        <f t="shared" si="17"/>
        <v>-122663</v>
      </c>
      <c r="L483" s="1292"/>
      <c r="M483" s="1292"/>
      <c r="N483" s="70"/>
    </row>
    <row r="484" spans="1:15" ht="15" customHeight="1">
      <c r="A484" s="83" t="s">
        <v>787</v>
      </c>
      <c r="B484" s="84" t="s">
        <v>575</v>
      </c>
      <c r="C484" s="85" t="s">
        <v>788</v>
      </c>
      <c r="D484" s="26">
        <v>657426</v>
      </c>
      <c r="E484" s="26">
        <v>218729</v>
      </c>
      <c r="F484" s="26">
        <v>179766</v>
      </c>
      <c r="G484" s="16">
        <v>222372</v>
      </c>
      <c r="H484" s="86">
        <v>356772</v>
      </c>
      <c r="I484" s="501"/>
      <c r="J484" s="17">
        <f t="shared" si="16"/>
        <v>54.268008870960379</v>
      </c>
      <c r="K484" s="18">
        <f t="shared" si="17"/>
        <v>-300654</v>
      </c>
      <c r="L484" s="1292"/>
      <c r="M484" s="1292"/>
      <c r="N484" s="70"/>
    </row>
    <row r="485" spans="1:15" ht="15" customHeight="1">
      <c r="A485" s="77" t="s">
        <v>789</v>
      </c>
      <c r="B485" s="78" t="s">
        <v>18</v>
      </c>
      <c r="C485" s="73" t="s">
        <v>790</v>
      </c>
      <c r="D485" s="19">
        <v>68360</v>
      </c>
      <c r="E485" s="19">
        <v>76113</v>
      </c>
      <c r="F485" s="19">
        <v>75446</v>
      </c>
      <c r="G485" s="8">
        <v>47556</v>
      </c>
      <c r="H485" s="74">
        <v>61820</v>
      </c>
      <c r="I485" s="498">
        <f>'CT2015'!L1663</f>
        <v>556.38</v>
      </c>
      <c r="J485" s="9">
        <f t="shared" si="16"/>
        <v>90.433001755412519</v>
      </c>
      <c r="K485" s="10">
        <f t="shared" si="17"/>
        <v>-6540</v>
      </c>
      <c r="L485" s="1292">
        <f>'CT2020'!T1802</f>
        <v>744</v>
      </c>
      <c r="M485" s="1292">
        <f>L485-I485</f>
        <v>187.62</v>
      </c>
      <c r="N485" s="70"/>
      <c r="O485" s="1486">
        <f t="shared" ref="O485" si="23">M485/I485*100</f>
        <v>33.721557209101697</v>
      </c>
    </row>
    <row r="486" spans="1:15" ht="15" customHeight="1">
      <c r="A486" s="93" t="s">
        <v>789</v>
      </c>
      <c r="B486" s="94" t="s">
        <v>65</v>
      </c>
      <c r="C486" s="95" t="s">
        <v>791</v>
      </c>
      <c r="D486" s="19">
        <v>146875</v>
      </c>
      <c r="E486" s="19">
        <v>134297</v>
      </c>
      <c r="F486" s="19">
        <v>105982</v>
      </c>
      <c r="G486" s="8">
        <v>69952</v>
      </c>
      <c r="H486" s="74">
        <v>92174</v>
      </c>
      <c r="I486" s="498"/>
      <c r="J486" s="9">
        <f t="shared" si="16"/>
        <v>62.756765957446817</v>
      </c>
      <c r="K486" s="10">
        <f t="shared" si="17"/>
        <v>-54701</v>
      </c>
      <c r="L486" s="1292"/>
      <c r="M486" s="1292"/>
      <c r="N486" s="70"/>
    </row>
    <row r="487" spans="1:15" ht="15" customHeight="1">
      <c r="A487" s="93" t="s">
        <v>789</v>
      </c>
      <c r="B487" s="112" t="s">
        <v>67</v>
      </c>
      <c r="C487" s="95" t="s">
        <v>792</v>
      </c>
      <c r="D487" s="19">
        <v>24372</v>
      </c>
      <c r="E487" s="19">
        <v>27613</v>
      </c>
      <c r="F487" s="19">
        <v>82467</v>
      </c>
      <c r="G487" s="8">
        <v>151358</v>
      </c>
      <c r="H487" s="74">
        <v>158848</v>
      </c>
      <c r="I487" s="498"/>
      <c r="J487" s="9">
        <f t="shared" si="16"/>
        <v>651.76431971114403</v>
      </c>
      <c r="K487" s="10">
        <f t="shared" si="17"/>
        <v>134476</v>
      </c>
      <c r="L487" s="1292"/>
      <c r="M487" s="1292"/>
      <c r="N487" s="70"/>
    </row>
    <row r="488" spans="1:15" ht="15" customHeight="1">
      <c r="A488" s="77" t="s">
        <v>789</v>
      </c>
      <c r="B488" s="78" t="s">
        <v>69</v>
      </c>
      <c r="C488" s="95" t="s">
        <v>793</v>
      </c>
      <c r="D488" s="19">
        <v>79865</v>
      </c>
      <c r="E488" s="19">
        <v>162193</v>
      </c>
      <c r="F488" s="19">
        <v>131357</v>
      </c>
      <c r="G488" s="8">
        <v>219955</v>
      </c>
      <c r="H488" s="74">
        <v>220246</v>
      </c>
      <c r="I488" s="498"/>
      <c r="J488" s="9">
        <f t="shared" si="16"/>
        <v>275.77286671257747</v>
      </c>
      <c r="K488" s="10">
        <f t="shared" si="17"/>
        <v>140381</v>
      </c>
      <c r="L488" s="1292"/>
      <c r="M488" s="1292"/>
      <c r="N488" s="70"/>
    </row>
    <row r="489" spans="1:15" ht="15" customHeight="1">
      <c r="A489" s="93" t="s">
        <v>789</v>
      </c>
      <c r="B489" s="112" t="s">
        <v>71</v>
      </c>
      <c r="C489" s="95" t="s">
        <v>794</v>
      </c>
      <c r="D489" s="37">
        <f>ROUND(D516*$G$489/$G$516,0)</f>
        <v>61443</v>
      </c>
      <c r="E489" s="37">
        <f>ROUND(E516*$G$489/$G$516,0)</f>
        <v>65926</v>
      </c>
      <c r="F489" s="37">
        <f>ROUND(F516*$G$489/$G$516,0)</f>
        <v>58529</v>
      </c>
      <c r="G489" s="8">
        <v>63395</v>
      </c>
      <c r="H489" s="74">
        <v>83500</v>
      </c>
      <c r="I489" s="498"/>
      <c r="J489" s="92" t="s">
        <v>42</v>
      </c>
      <c r="K489" s="10">
        <f t="shared" si="17"/>
        <v>22057</v>
      </c>
      <c r="L489" s="1292"/>
      <c r="M489" s="1292"/>
      <c r="N489" s="70"/>
    </row>
    <row r="490" spans="1:15" ht="15" customHeight="1">
      <c r="A490" s="79" t="s">
        <v>789</v>
      </c>
      <c r="B490" s="80" t="s">
        <v>59</v>
      </c>
      <c r="C490" s="96" t="s">
        <v>795</v>
      </c>
      <c r="D490" s="38">
        <f>D516-D489</f>
        <v>367330</v>
      </c>
      <c r="E490" s="38">
        <f>E516-E489</f>
        <v>394125</v>
      </c>
      <c r="F490" s="38">
        <f>F516-F489</f>
        <v>349904</v>
      </c>
      <c r="G490" s="12">
        <v>378997</v>
      </c>
      <c r="H490" s="82">
        <v>503795</v>
      </c>
      <c r="I490" s="500">
        <f>'CT2015'!L1673</f>
        <v>1007.59</v>
      </c>
      <c r="J490" s="13">
        <f>H490/D516*100</f>
        <v>117.4969039561726</v>
      </c>
      <c r="K490" s="10">
        <f>H490-D516</f>
        <v>75022</v>
      </c>
      <c r="L490" s="1292">
        <f>'CT2020'!T1811</f>
        <v>1635</v>
      </c>
      <c r="M490" s="1292">
        <f>L490-I490</f>
        <v>627.41</v>
      </c>
      <c r="N490" s="65"/>
      <c r="O490" s="1486">
        <f t="shared" ref="O490:O493" si="24">M490/I490*100</f>
        <v>62.268382973233159</v>
      </c>
    </row>
    <row r="491" spans="1:15" ht="15" customHeight="1">
      <c r="A491" s="71" t="s">
        <v>796</v>
      </c>
      <c r="B491" s="72" t="s">
        <v>29</v>
      </c>
      <c r="C491" s="75" t="s">
        <v>797</v>
      </c>
      <c r="D491" s="39">
        <v>204370</v>
      </c>
      <c r="E491" s="26">
        <v>294963</v>
      </c>
      <c r="F491" s="26">
        <v>230337</v>
      </c>
      <c r="G491" s="16">
        <v>187925</v>
      </c>
      <c r="H491" s="74">
        <v>230883</v>
      </c>
      <c r="I491" s="498">
        <f>'CT2015'!L1687</f>
        <v>7388.2560000000012</v>
      </c>
      <c r="J491" s="9">
        <f t="shared" si="16"/>
        <v>112.97303909575768</v>
      </c>
      <c r="K491" s="6">
        <f t="shared" si="17"/>
        <v>26513</v>
      </c>
      <c r="L491" s="1292">
        <f>'CT2020'!T1812</f>
        <v>3797</v>
      </c>
      <c r="M491" s="1292">
        <f>L491-I491</f>
        <v>-3591.2560000000012</v>
      </c>
      <c r="N491" s="70" t="s">
        <v>798</v>
      </c>
      <c r="O491" s="1486">
        <f t="shared" si="24"/>
        <v>-48.607628106010417</v>
      </c>
    </row>
    <row r="492" spans="1:15" ht="15" customHeight="1">
      <c r="A492" s="66" t="s">
        <v>799</v>
      </c>
      <c r="B492" s="67" t="s">
        <v>29</v>
      </c>
      <c r="C492" s="68" t="s">
        <v>800</v>
      </c>
      <c r="D492" s="40">
        <f>D517-D493</f>
        <v>794010</v>
      </c>
      <c r="E492" s="40">
        <f>E517-E493</f>
        <v>869897</v>
      </c>
      <c r="F492" s="40">
        <f>F517-F493</f>
        <v>801798</v>
      </c>
      <c r="G492" s="40">
        <f>G517-G493</f>
        <v>996774</v>
      </c>
      <c r="H492" s="69">
        <v>1097153</v>
      </c>
      <c r="I492" s="497">
        <f>'CT2015'!L1688</f>
        <v>6582.9179999999997</v>
      </c>
      <c r="J492" s="5">
        <f>H492/D517*100</f>
        <v>123.83314540859804</v>
      </c>
      <c r="K492" s="6">
        <f>H492-D517</f>
        <v>211160</v>
      </c>
      <c r="L492" s="1292">
        <f>'CT2020'!T1813</f>
        <v>3058</v>
      </c>
      <c r="M492" s="1292">
        <f t="shared" ref="M492:M493" si="25">L492-I492</f>
        <v>-3524.9179999999997</v>
      </c>
      <c r="N492" s="70"/>
      <c r="O492" s="1486">
        <f t="shared" si="24"/>
        <v>-53.546436397962118</v>
      </c>
    </row>
    <row r="493" spans="1:15" ht="15" customHeight="1">
      <c r="A493" s="99" t="s">
        <v>799</v>
      </c>
      <c r="B493" s="100" t="s">
        <v>65</v>
      </c>
      <c r="C493" s="96" t="s">
        <v>801</v>
      </c>
      <c r="D493" s="41">
        <f>ROUND(D517*$H$493/$H$517,0)</f>
        <v>91983</v>
      </c>
      <c r="E493" s="41">
        <f>ROUND(E517*$H$493/$H$517,0)</f>
        <v>100774</v>
      </c>
      <c r="F493" s="41">
        <f>ROUND(F517*$H$493/$H$517,0)</f>
        <v>92885</v>
      </c>
      <c r="G493" s="41">
        <f>ROUND(G517*$H$493/$H$517,0)</f>
        <v>115473</v>
      </c>
      <c r="H493" s="82">
        <v>127101</v>
      </c>
      <c r="I493" s="500">
        <f>'CT2015'!L1689</f>
        <v>762.60599999999988</v>
      </c>
      <c r="J493" s="108" t="s">
        <v>42</v>
      </c>
      <c r="K493" s="14">
        <f t="shared" si="17"/>
        <v>35118</v>
      </c>
      <c r="L493" s="1292">
        <f>'CT2020'!T1814</f>
        <v>922</v>
      </c>
      <c r="M493" s="1292">
        <f t="shared" si="25"/>
        <v>159.39400000000012</v>
      </c>
      <c r="N493" s="70"/>
      <c r="O493" s="1486">
        <f t="shared" si="24"/>
        <v>20.901225534548658</v>
      </c>
    </row>
    <row r="494" spans="1:15" ht="15" customHeight="1">
      <c r="A494" s="77" t="s">
        <v>802</v>
      </c>
      <c r="B494" s="78" t="s">
        <v>29</v>
      </c>
      <c r="C494" s="73" t="s">
        <v>803</v>
      </c>
      <c r="D494" s="19">
        <v>63682</v>
      </c>
      <c r="E494" s="19">
        <v>90513</v>
      </c>
      <c r="F494" s="19">
        <v>90307</v>
      </c>
      <c r="G494" s="8">
        <v>58710</v>
      </c>
      <c r="H494" s="74">
        <v>57813</v>
      </c>
      <c r="I494" s="498"/>
      <c r="J494" s="9">
        <f t="shared" si="16"/>
        <v>90.783894978172796</v>
      </c>
      <c r="K494" s="10">
        <f t="shared" si="17"/>
        <v>-5869</v>
      </c>
      <c r="L494" s="1292"/>
      <c r="M494" s="1292" t="s">
        <v>5312</v>
      </c>
      <c r="N494" s="70"/>
    </row>
    <row r="495" spans="1:15" ht="15" customHeight="1">
      <c r="A495" s="93" t="s">
        <v>802</v>
      </c>
      <c r="B495" s="94" t="s">
        <v>24</v>
      </c>
      <c r="C495" s="95" t="s">
        <v>804</v>
      </c>
      <c r="D495" s="19">
        <v>30977</v>
      </c>
      <c r="E495" s="19">
        <v>33190</v>
      </c>
      <c r="F495" s="19">
        <v>33115</v>
      </c>
      <c r="G495" s="8">
        <v>28521</v>
      </c>
      <c r="H495" s="74">
        <v>20323</v>
      </c>
      <c r="I495" s="498"/>
      <c r="J495" s="9">
        <f t="shared" si="16"/>
        <v>65.606740484875885</v>
      </c>
      <c r="K495" s="10">
        <f t="shared" si="17"/>
        <v>-10654</v>
      </c>
      <c r="L495" s="1292"/>
      <c r="M495" s="1292"/>
      <c r="N495" s="70"/>
    </row>
    <row r="496" spans="1:15" ht="15" customHeight="1">
      <c r="A496" s="93" t="s">
        <v>802</v>
      </c>
      <c r="B496" s="94" t="s">
        <v>52</v>
      </c>
      <c r="C496" s="95" t="s">
        <v>805</v>
      </c>
      <c r="D496" s="19">
        <v>67683</v>
      </c>
      <c r="E496" s="19">
        <v>96198</v>
      </c>
      <c r="F496" s="19">
        <v>95980</v>
      </c>
      <c r="G496" s="8">
        <v>96678</v>
      </c>
      <c r="H496" s="74">
        <v>89004</v>
      </c>
      <c r="I496" s="498"/>
      <c r="J496" s="9">
        <f t="shared" si="16"/>
        <v>131.50126324187758</v>
      </c>
      <c r="K496" s="10">
        <f t="shared" si="17"/>
        <v>21321</v>
      </c>
      <c r="L496" s="1292"/>
      <c r="M496" s="1292"/>
      <c r="N496" s="70"/>
    </row>
    <row r="497" spans="1:15" ht="15" customHeight="1">
      <c r="A497" s="93" t="s">
        <v>802</v>
      </c>
      <c r="B497" s="94" t="s">
        <v>129</v>
      </c>
      <c r="C497" s="95" t="s">
        <v>806</v>
      </c>
      <c r="D497" s="19">
        <v>15818</v>
      </c>
      <c r="E497" s="19">
        <v>24440</v>
      </c>
      <c r="F497" s="19">
        <v>24384</v>
      </c>
      <c r="G497" s="8">
        <v>24701</v>
      </c>
      <c r="H497" s="74">
        <v>16287</v>
      </c>
      <c r="I497" s="498"/>
      <c r="J497" s="9">
        <f t="shared" si="16"/>
        <v>102.96497660892653</v>
      </c>
      <c r="K497" s="10">
        <f t="shared" si="17"/>
        <v>469</v>
      </c>
      <c r="L497" s="1292"/>
      <c r="M497" s="1292"/>
      <c r="N497" s="70"/>
    </row>
    <row r="498" spans="1:15" ht="15" customHeight="1">
      <c r="A498" s="103" t="s">
        <v>802</v>
      </c>
      <c r="B498" s="104" t="s">
        <v>47</v>
      </c>
      <c r="C498" s="97" t="s">
        <v>807</v>
      </c>
      <c r="D498" s="19">
        <v>15188</v>
      </c>
      <c r="E498" s="19">
        <v>21587</v>
      </c>
      <c r="F498" s="19">
        <v>21538</v>
      </c>
      <c r="G498" s="8">
        <v>19964</v>
      </c>
      <c r="H498" s="74">
        <v>28592</v>
      </c>
      <c r="I498" s="498"/>
      <c r="J498" s="9">
        <f t="shared" si="16"/>
        <v>188.25388464577298</v>
      </c>
      <c r="K498" s="10">
        <f t="shared" si="17"/>
        <v>13404</v>
      </c>
      <c r="L498" s="1292"/>
      <c r="M498" s="1292"/>
      <c r="N498" s="70"/>
    </row>
    <row r="499" spans="1:15" ht="15" customHeight="1">
      <c r="A499" s="87" t="s">
        <v>808</v>
      </c>
      <c r="B499" s="88" t="s">
        <v>29</v>
      </c>
      <c r="C499" s="89" t="s">
        <v>809</v>
      </c>
      <c r="D499" s="25">
        <v>2660</v>
      </c>
      <c r="E499" s="25">
        <v>2314</v>
      </c>
      <c r="F499" s="25">
        <v>5869</v>
      </c>
      <c r="G499" s="4">
        <v>4964</v>
      </c>
      <c r="H499" s="69">
        <v>7387</v>
      </c>
      <c r="I499" s="497"/>
      <c r="J499" s="5">
        <f t="shared" si="16"/>
        <v>277.70676691729324</v>
      </c>
      <c r="K499" s="6">
        <f t="shared" si="17"/>
        <v>4727</v>
      </c>
      <c r="L499" s="1292"/>
      <c r="M499" s="1292"/>
      <c r="N499" s="70"/>
    </row>
    <row r="500" spans="1:15" ht="15" customHeight="1">
      <c r="A500" s="93" t="s">
        <v>808</v>
      </c>
      <c r="B500" s="94" t="s">
        <v>24</v>
      </c>
      <c r="C500" s="95" t="s">
        <v>810</v>
      </c>
      <c r="D500" s="19">
        <v>9768</v>
      </c>
      <c r="E500" s="19">
        <v>13563</v>
      </c>
      <c r="F500" s="19">
        <v>23279</v>
      </c>
      <c r="G500" s="8">
        <v>26514</v>
      </c>
      <c r="H500" s="74">
        <v>61314</v>
      </c>
      <c r="I500" s="498">
        <f>'CT2015'!L1702</f>
        <v>18271.572</v>
      </c>
      <c r="J500" s="9">
        <f t="shared" si="16"/>
        <v>627.70270270270271</v>
      </c>
      <c r="K500" s="10">
        <f t="shared" si="17"/>
        <v>51546</v>
      </c>
      <c r="L500" s="1292">
        <f>'CT2020'!T1821</f>
        <v>8897</v>
      </c>
      <c r="M500" s="1292">
        <f>L500-I500</f>
        <v>-9374.5720000000001</v>
      </c>
      <c r="N500" s="70"/>
      <c r="O500" s="1486">
        <f t="shared" ref="O500:O502" si="26">M500/I500*100</f>
        <v>-51.306871680225427</v>
      </c>
    </row>
    <row r="501" spans="1:15" ht="15" customHeight="1">
      <c r="A501" s="223" t="s">
        <v>808</v>
      </c>
      <c r="B501" s="224" t="s">
        <v>67</v>
      </c>
      <c r="C501" s="225" t="s">
        <v>811</v>
      </c>
      <c r="D501" s="220">
        <v>184265</v>
      </c>
      <c r="E501" s="220">
        <v>155977</v>
      </c>
      <c r="F501" s="220">
        <v>167414</v>
      </c>
      <c r="G501" s="221">
        <v>67795</v>
      </c>
      <c r="H501" s="222">
        <v>60573</v>
      </c>
      <c r="I501" s="506">
        <f>'CT2015'!L1703</f>
        <v>60573</v>
      </c>
      <c r="J501" s="9">
        <f t="shared" si="16"/>
        <v>32.872764768132853</v>
      </c>
      <c r="K501" s="10">
        <f t="shared" si="17"/>
        <v>-123692</v>
      </c>
      <c r="L501" s="1292">
        <f>'CT2020'!T1822</f>
        <v>16503</v>
      </c>
      <c r="M501" s="1292">
        <f t="shared" ref="M501:M502" si="27">L501-I501</f>
        <v>-44070</v>
      </c>
      <c r="N501" s="70"/>
      <c r="O501" s="1486">
        <f t="shared" si="26"/>
        <v>-72.75518795502947</v>
      </c>
    </row>
    <row r="502" spans="1:15" ht="15" customHeight="1">
      <c r="A502" s="223" t="s">
        <v>808</v>
      </c>
      <c r="B502" s="224" t="s">
        <v>69</v>
      </c>
      <c r="C502" s="225" t="s">
        <v>812</v>
      </c>
      <c r="D502" s="220">
        <v>175954</v>
      </c>
      <c r="E502" s="220">
        <v>201477</v>
      </c>
      <c r="F502" s="220">
        <v>147819</v>
      </c>
      <c r="G502" s="221">
        <v>148031</v>
      </c>
      <c r="H502" s="222">
        <v>142976</v>
      </c>
      <c r="I502" s="506">
        <f>SUM('CT2015'!L1705:L1712)</f>
        <v>131671.30799999999</v>
      </c>
      <c r="J502" s="9">
        <f t="shared" si="16"/>
        <v>81.257601418552568</v>
      </c>
      <c r="K502" s="10">
        <f t="shared" si="17"/>
        <v>-32978</v>
      </c>
      <c r="L502" s="1292">
        <f>'CT2020'!T1823</f>
        <v>90091</v>
      </c>
      <c r="M502" s="1292">
        <f t="shared" si="27"/>
        <v>-41580.30799999999</v>
      </c>
      <c r="N502" s="70"/>
      <c r="O502" s="1486">
        <f t="shared" si="26"/>
        <v>-31.578867584424692</v>
      </c>
    </row>
    <row r="503" spans="1:15" ht="15" customHeight="1">
      <c r="A503" s="93" t="s">
        <v>808</v>
      </c>
      <c r="B503" s="94" t="s">
        <v>71</v>
      </c>
      <c r="C503" s="95" t="s">
        <v>813</v>
      </c>
      <c r="D503" s="19">
        <v>171696</v>
      </c>
      <c r="E503" s="19">
        <v>130323</v>
      </c>
      <c r="F503" s="19">
        <v>115020</v>
      </c>
      <c r="G503" s="8">
        <v>122532</v>
      </c>
      <c r="H503" s="74">
        <v>111376</v>
      </c>
      <c r="I503" s="498"/>
      <c r="J503" s="9">
        <f t="shared" si="16"/>
        <v>64.868139036436489</v>
      </c>
      <c r="K503" s="10">
        <f t="shared" si="17"/>
        <v>-60320</v>
      </c>
      <c r="L503" s="1292"/>
      <c r="M503" s="1292"/>
      <c r="N503" s="70"/>
    </row>
    <row r="504" spans="1:15" ht="15" customHeight="1">
      <c r="A504" s="79" t="s">
        <v>808</v>
      </c>
      <c r="B504" s="80" t="s">
        <v>59</v>
      </c>
      <c r="C504" s="96" t="s">
        <v>814</v>
      </c>
      <c r="D504" s="24">
        <v>38760</v>
      </c>
      <c r="E504" s="24">
        <v>41039</v>
      </c>
      <c r="F504" s="24">
        <v>12247</v>
      </c>
      <c r="G504" s="12">
        <v>23622</v>
      </c>
      <c r="H504" s="82">
        <v>19786</v>
      </c>
      <c r="I504" s="500"/>
      <c r="J504" s="13">
        <f t="shared" si="16"/>
        <v>51.047471620227036</v>
      </c>
      <c r="K504" s="14">
        <f t="shared" si="17"/>
        <v>-18974</v>
      </c>
      <c r="L504" s="1292"/>
      <c r="M504" s="1292"/>
      <c r="N504" s="70"/>
    </row>
    <row r="505" spans="1:15" ht="15" customHeight="1">
      <c r="A505" s="77" t="s">
        <v>815</v>
      </c>
      <c r="B505" s="78" t="s">
        <v>18</v>
      </c>
      <c r="C505" s="73" t="s">
        <v>816</v>
      </c>
      <c r="D505" s="19">
        <v>27772</v>
      </c>
      <c r="E505" s="19">
        <v>40597</v>
      </c>
      <c r="F505" s="19">
        <v>11677</v>
      </c>
      <c r="G505" s="8">
        <v>12988</v>
      </c>
      <c r="H505" s="74">
        <v>12776</v>
      </c>
      <c r="I505" s="498"/>
      <c r="J505" s="9">
        <f t="shared" si="16"/>
        <v>46.003168659081091</v>
      </c>
      <c r="K505" s="10">
        <f t="shared" si="17"/>
        <v>-14996</v>
      </c>
      <c r="L505" s="1292"/>
      <c r="M505" s="1292"/>
      <c r="N505" s="70"/>
    </row>
    <row r="506" spans="1:15" ht="15" customHeight="1">
      <c r="A506" s="93" t="s">
        <v>815</v>
      </c>
      <c r="B506" s="94" t="s">
        <v>65</v>
      </c>
      <c r="C506" s="95" t="s">
        <v>817</v>
      </c>
      <c r="D506" s="19">
        <v>64285</v>
      </c>
      <c r="E506" s="19">
        <v>76602</v>
      </c>
      <c r="F506" s="19">
        <v>86292</v>
      </c>
      <c r="G506" s="8">
        <v>138430</v>
      </c>
      <c r="H506" s="74">
        <v>91313</v>
      </c>
      <c r="I506" s="498"/>
      <c r="J506" s="9">
        <f t="shared" si="16"/>
        <v>142.04402271136345</v>
      </c>
      <c r="K506" s="10">
        <f t="shared" si="17"/>
        <v>27028</v>
      </c>
      <c r="L506" s="1292"/>
      <c r="M506" s="1292"/>
      <c r="N506" s="70"/>
    </row>
    <row r="507" spans="1:15" ht="15" customHeight="1">
      <c r="A507" s="93" t="s">
        <v>815</v>
      </c>
      <c r="B507" s="94" t="s">
        <v>67</v>
      </c>
      <c r="C507" s="95" t="s">
        <v>818</v>
      </c>
      <c r="D507" s="19">
        <v>8464</v>
      </c>
      <c r="E507" s="19">
        <v>7876</v>
      </c>
      <c r="F507" s="19">
        <v>49603</v>
      </c>
      <c r="G507" s="8">
        <v>135031</v>
      </c>
      <c r="H507" s="74">
        <v>117365</v>
      </c>
      <c r="I507" s="498">
        <f>'CT2015'!L1732</f>
        <v>22705</v>
      </c>
      <c r="J507" s="9">
        <f t="shared" si="16"/>
        <v>1386.6375236294896</v>
      </c>
      <c r="K507" s="10">
        <f t="shared" si="17"/>
        <v>108901</v>
      </c>
      <c r="L507" s="1292">
        <f>'CT2020'!T1838</f>
        <v>21713</v>
      </c>
      <c r="M507" s="1292">
        <f>L507-I507</f>
        <v>-992</v>
      </c>
      <c r="N507" s="70"/>
      <c r="O507" s="1486">
        <f t="shared" ref="O507" si="28">M507/I507*100</f>
        <v>-4.3690817000660642</v>
      </c>
    </row>
    <row r="508" spans="1:15" ht="15" customHeight="1">
      <c r="A508" s="93" t="s">
        <v>815</v>
      </c>
      <c r="B508" s="94" t="s">
        <v>69</v>
      </c>
      <c r="C508" s="95" t="s">
        <v>819</v>
      </c>
      <c r="D508" s="19">
        <v>83525</v>
      </c>
      <c r="E508" s="19">
        <v>222587</v>
      </c>
      <c r="F508" s="19">
        <v>172205</v>
      </c>
      <c r="G508" s="8">
        <v>6607</v>
      </c>
      <c r="H508" s="74">
        <v>8947</v>
      </c>
      <c r="I508" s="498"/>
      <c r="J508" s="9">
        <f t="shared" si="16"/>
        <v>10.711762945225981</v>
      </c>
      <c r="K508" s="10">
        <f t="shared" si="17"/>
        <v>-74578</v>
      </c>
      <c r="L508" s="1292"/>
      <c r="M508" s="1292"/>
      <c r="N508" s="70"/>
    </row>
    <row r="509" spans="1:15" ht="15" customHeight="1">
      <c r="A509" s="71" t="s">
        <v>815</v>
      </c>
      <c r="B509" s="72" t="s">
        <v>59</v>
      </c>
      <c r="C509" s="97" t="s">
        <v>820</v>
      </c>
      <c r="D509" s="19">
        <v>18194</v>
      </c>
      <c r="E509" s="19">
        <v>22580</v>
      </c>
      <c r="F509" s="19">
        <v>98120</v>
      </c>
      <c r="G509" s="8">
        <v>26754</v>
      </c>
      <c r="H509" s="74">
        <v>67340</v>
      </c>
      <c r="I509" s="498">
        <f>'CT2015'!L1737</f>
        <v>2491.58</v>
      </c>
      <c r="J509" s="9">
        <f t="shared" si="16"/>
        <v>370.12201824777395</v>
      </c>
      <c r="K509" s="14">
        <f t="shared" si="17"/>
        <v>49146</v>
      </c>
      <c r="L509" s="14">
        <f>'CT2020'!T1840</f>
        <v>1733</v>
      </c>
      <c r="M509" s="14">
        <f>L509-I509</f>
        <v>-758.57999999999993</v>
      </c>
      <c r="N509" s="65"/>
      <c r="O509" s="1486">
        <f t="shared" ref="O509" si="29">M509/I509*100</f>
        <v>-30.445741256552068</v>
      </c>
    </row>
    <row r="510" spans="1:15" ht="15" customHeight="1">
      <c r="A510" s="119" t="s">
        <v>821</v>
      </c>
      <c r="B510" s="120" t="s">
        <v>822</v>
      </c>
      <c r="C510" s="121" t="s">
        <v>823</v>
      </c>
      <c r="D510" s="27">
        <v>62172</v>
      </c>
      <c r="E510" s="27">
        <v>57263</v>
      </c>
      <c r="F510" s="27">
        <v>52753</v>
      </c>
      <c r="G510" s="28">
        <v>49933</v>
      </c>
      <c r="H510" s="105">
        <v>53866</v>
      </c>
      <c r="I510" s="504"/>
      <c r="J510" s="42">
        <f t="shared" si="16"/>
        <v>86.64028823264492</v>
      </c>
      <c r="K510" s="43">
        <f t="shared" si="17"/>
        <v>-8306</v>
      </c>
      <c r="L510" s="1293"/>
      <c r="M510" s="1293"/>
      <c r="N510" s="122" t="s">
        <v>824</v>
      </c>
    </row>
    <row r="511" spans="1:15" ht="15" customHeight="1">
      <c r="A511" s="123" t="s">
        <v>825</v>
      </c>
      <c r="B511" s="124" t="s">
        <v>826</v>
      </c>
      <c r="C511" s="125" t="s">
        <v>827</v>
      </c>
      <c r="D511" s="22">
        <v>203060</v>
      </c>
      <c r="E511" s="22">
        <v>149600</v>
      </c>
      <c r="F511" s="22">
        <v>134562</v>
      </c>
      <c r="G511" s="23">
        <v>187389</v>
      </c>
      <c r="H511" s="76">
        <v>188430</v>
      </c>
      <c r="I511" s="499"/>
      <c r="J511" s="44">
        <f t="shared" si="16"/>
        <v>92.795232936078008</v>
      </c>
      <c r="K511" s="45">
        <f t="shared" si="17"/>
        <v>-14630</v>
      </c>
      <c r="L511" s="45"/>
      <c r="M511" s="45"/>
      <c r="N511" s="122" t="s">
        <v>828</v>
      </c>
    </row>
    <row r="512" spans="1:15" ht="15" customHeight="1">
      <c r="A512" s="126"/>
      <c r="B512" s="127"/>
      <c r="C512" s="128" t="s">
        <v>829</v>
      </c>
      <c r="D512" s="46">
        <f t="shared" ref="D512:I512" si="30">SUM(D4:D511)</f>
        <v>37954955.069221012</v>
      </c>
      <c r="E512" s="46">
        <f t="shared" si="30"/>
        <v>37432605</v>
      </c>
      <c r="F512" s="46">
        <f t="shared" si="30"/>
        <v>36365164.299999997</v>
      </c>
      <c r="G512" s="46">
        <f t="shared" si="30"/>
        <v>35814438</v>
      </c>
      <c r="H512" s="129">
        <f t="shared" si="30"/>
        <v>38958572</v>
      </c>
      <c r="I512" s="544">
        <f t="shared" si="30"/>
        <v>484996.64686773479</v>
      </c>
      <c r="J512" s="47">
        <f t="shared" si="16"/>
        <v>102.64423163971246</v>
      </c>
      <c r="K512" s="48">
        <f t="shared" si="17"/>
        <v>1003616.9307789877</v>
      </c>
      <c r="L512" s="1297">
        <f t="shared" ref="L512:M512" si="31">SUM(L4:L511)</f>
        <v>375578</v>
      </c>
      <c r="M512" s="1297">
        <f t="shared" si="31"/>
        <v>-112244.6468677347</v>
      </c>
      <c r="N512" s="109"/>
      <c r="O512" s="1486">
        <f t="shared" ref="O512" si="32">M512/I512*100</f>
        <v>-23.143386164140914</v>
      </c>
    </row>
    <row r="513" spans="1:13">
      <c r="A513" s="130" t="s">
        <v>830</v>
      </c>
      <c r="D513" s="8"/>
      <c r="E513" s="8"/>
      <c r="F513" s="8"/>
      <c r="G513" s="8"/>
      <c r="I513" s="40">
        <f>I512-'CT2015'!L1745</f>
        <v>0</v>
      </c>
      <c r="K513" s="131" t="s">
        <v>42</v>
      </c>
      <c r="L513" s="131">
        <f>'CT2020'!T1852</f>
        <v>375578</v>
      </c>
      <c r="M513" s="131">
        <f>L513-I512</f>
        <v>-109418.64686773479</v>
      </c>
    </row>
    <row r="514" spans="1:13">
      <c r="A514" s="130"/>
      <c r="D514" s="8"/>
      <c r="E514" s="8"/>
      <c r="F514" s="8"/>
      <c r="G514" s="8"/>
      <c r="I514" s="557">
        <f>I512/H512*100</f>
        <v>1.2449035525935981</v>
      </c>
      <c r="L514" s="131">
        <f>L512-L513</f>
        <v>0</v>
      </c>
    </row>
    <row r="515" spans="1:13">
      <c r="C515" s="132" t="s">
        <v>831</v>
      </c>
      <c r="D515" s="19">
        <v>1110892</v>
      </c>
      <c r="E515" s="19">
        <v>1285428</v>
      </c>
      <c r="F515" s="19">
        <v>1427750</v>
      </c>
      <c r="G515" s="8">
        <f>SUM(G459:G463)</f>
        <v>1862977</v>
      </c>
      <c r="H515" s="8">
        <f>SUM(H459:H463)</f>
        <v>2019653</v>
      </c>
      <c r="I515" s="8">
        <f t="shared" ref="I515:L515" si="33">SUM(I459:I463)</f>
        <v>10285.220000000001</v>
      </c>
      <c r="J515" s="8">
        <f t="shared" si="33"/>
        <v>737.97686685199096</v>
      </c>
      <c r="K515" s="8">
        <f t="shared" si="33"/>
        <v>908761</v>
      </c>
      <c r="L515" s="8">
        <f t="shared" si="33"/>
        <v>10666</v>
      </c>
      <c r="M515" s="49"/>
    </row>
    <row r="516" spans="1:13">
      <c r="C516" s="52" t="s">
        <v>832</v>
      </c>
      <c r="D516" s="19">
        <v>428773</v>
      </c>
      <c r="E516" s="19">
        <v>460051</v>
      </c>
      <c r="F516" s="19">
        <v>408433</v>
      </c>
      <c r="G516" s="8">
        <f>G489+G490</f>
        <v>442392</v>
      </c>
    </row>
    <row r="517" spans="1:13">
      <c r="C517" s="52" t="s">
        <v>833</v>
      </c>
      <c r="D517" s="19">
        <v>885993</v>
      </c>
      <c r="E517" s="19">
        <v>970671</v>
      </c>
      <c r="F517" s="19">
        <v>894683</v>
      </c>
      <c r="G517" s="8">
        <v>1112247</v>
      </c>
      <c r="H517" s="8">
        <f>H492+H493</f>
        <v>1224254</v>
      </c>
      <c r="I517" s="8">
        <f t="shared" ref="I517:L517" si="34">I492+I493</f>
        <v>7345.5239999999994</v>
      </c>
      <c r="J517" s="8" t="e">
        <f t="shared" si="34"/>
        <v>#VALUE!</v>
      </c>
      <c r="K517" s="8">
        <f t="shared" si="34"/>
        <v>246278</v>
      </c>
      <c r="L517" s="8">
        <f t="shared" si="34"/>
        <v>3980</v>
      </c>
    </row>
  </sheetData>
  <mergeCells count="1">
    <mergeCell ref="A3:B3"/>
  </mergeCells>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ADD7-F58B-475C-887D-C89088BBADC8}">
  <sheetPr>
    <tabColor theme="5" tint="0.79998168889431442"/>
  </sheetPr>
  <dimension ref="A1:AH1857"/>
  <sheetViews>
    <sheetView workbookViewId="0">
      <pane xSplit="10" ySplit="7" topLeftCell="Q1416" activePane="bottomRight" state="frozen"/>
      <selection pane="topRight" activeCell="K1" sqref="K1"/>
      <selection pane="bottomLeft" activeCell="A8" sqref="A8"/>
      <selection pane="bottomRight" activeCell="Y1426" sqref="Y1426"/>
    </sheetView>
  </sheetViews>
  <sheetFormatPr defaultColWidth="8.25" defaultRowHeight="12"/>
  <cols>
    <col min="1" max="1" width="2.83203125" style="1069" customWidth="1"/>
    <col min="2" max="2" width="2.75" style="1069" customWidth="1"/>
    <col min="3" max="3" width="6.6640625" style="1016" customWidth="1"/>
    <col min="4" max="4" width="6.08203125" style="988" customWidth="1"/>
    <col min="5" max="5" width="7.75" style="944" customWidth="1"/>
    <col min="6" max="6" width="6.1640625" style="944" hidden="1" customWidth="1"/>
    <col min="7" max="7" width="6.83203125" style="1095" hidden="1" customWidth="1"/>
    <col min="8" max="8" width="3" style="1016" hidden="1" customWidth="1"/>
    <col min="9" max="9" width="7.9140625" style="944" hidden="1" customWidth="1"/>
    <col min="10" max="10" width="36.75" style="944" customWidth="1"/>
    <col min="11" max="12" width="10.1640625" style="874" hidden="1" customWidth="1"/>
    <col min="13" max="13" width="11.4140625" style="874" hidden="1" customWidth="1"/>
    <col min="14" max="14" width="9.1640625" style="874" hidden="1" customWidth="1"/>
    <col min="15" max="15" width="7.6640625" style="874" hidden="1" customWidth="1"/>
    <col min="16" max="16" width="9.08203125" style="874" hidden="1" customWidth="1"/>
    <col min="17" max="17" width="10.08203125" style="1154" customWidth="1"/>
    <col min="18" max="18" width="23.5" style="874" hidden="1" customWidth="1"/>
    <col min="19" max="19" width="10.5" style="874" customWidth="1"/>
    <col min="20" max="20" width="11.75" style="874" customWidth="1"/>
    <col min="21" max="21" width="33.9140625" style="944" hidden="1" customWidth="1"/>
    <col min="22" max="22" width="20.83203125" style="944" hidden="1" customWidth="1"/>
    <col min="23" max="23" width="49.25" style="945" hidden="1" customWidth="1"/>
    <col min="24" max="16384" width="8.25" style="1034"/>
  </cols>
  <sheetData>
    <row r="1" spans="1:23" ht="15.75" customHeight="1">
      <c r="A1" s="1034"/>
      <c r="B1" s="1034"/>
      <c r="C1" s="1094" t="s">
        <v>11747</v>
      </c>
      <c r="L1" s="875"/>
      <c r="M1" s="875"/>
      <c r="N1" s="875"/>
      <c r="O1" s="875"/>
      <c r="P1" s="875"/>
      <c r="T1" s="1261" t="s">
        <v>11819</v>
      </c>
    </row>
    <row r="2" spans="1:23" ht="13.15" customHeight="1">
      <c r="A2" s="1034"/>
      <c r="B2" s="1034"/>
      <c r="C2" s="1096" t="s">
        <v>5314</v>
      </c>
      <c r="D2" s="1097"/>
      <c r="E2" s="1098"/>
      <c r="F2" s="1098"/>
      <c r="G2" s="1099"/>
      <c r="H2" s="1100"/>
      <c r="I2" s="1098"/>
      <c r="J2" s="947"/>
      <c r="K2" s="876"/>
      <c r="L2" s="946"/>
      <c r="M2" s="876"/>
      <c r="N2" s="876"/>
      <c r="O2" s="877" t="s">
        <v>10072</v>
      </c>
      <c r="P2" s="876"/>
      <c r="Q2" s="1155"/>
      <c r="R2" s="876"/>
      <c r="S2" s="876"/>
      <c r="T2" s="876"/>
      <c r="U2" s="947"/>
      <c r="V2" s="947"/>
      <c r="W2" s="948"/>
    </row>
    <row r="3" spans="1:23" ht="14.25" customHeight="1">
      <c r="A3" s="1034"/>
      <c r="B3" s="1034"/>
      <c r="C3" s="949" t="s">
        <v>10073</v>
      </c>
      <c r="D3" s="950"/>
      <c r="E3" s="951"/>
      <c r="F3" s="952"/>
      <c r="G3" s="953"/>
      <c r="H3" s="954"/>
      <c r="I3" s="952"/>
      <c r="J3" s="951"/>
      <c r="K3" s="878"/>
      <c r="L3" s="879"/>
      <c r="M3" s="878"/>
      <c r="N3" s="878"/>
      <c r="O3" s="878"/>
      <c r="P3" s="878"/>
      <c r="Q3" s="1156"/>
      <c r="R3" s="878"/>
      <c r="S3" s="878"/>
      <c r="T3" s="878"/>
      <c r="U3" s="955"/>
      <c r="V3" s="951"/>
      <c r="W3" s="956"/>
    </row>
    <row r="4" spans="1:23" s="944" customFormat="1" ht="10.15" customHeight="1">
      <c r="C4" s="957" t="s">
        <v>5316</v>
      </c>
      <c r="D4" s="958"/>
      <c r="E4" s="959" t="s">
        <v>5316</v>
      </c>
      <c r="F4" s="960"/>
      <c r="G4" s="961"/>
      <c r="H4" s="962"/>
      <c r="I4" s="960"/>
      <c r="J4" s="963" t="s">
        <v>5317</v>
      </c>
      <c r="K4" s="915" t="s">
        <v>10074</v>
      </c>
      <c r="L4" s="876" t="s">
        <v>10075</v>
      </c>
      <c r="M4" s="880" t="s">
        <v>10076</v>
      </c>
      <c r="N4" s="880" t="s">
        <v>10077</v>
      </c>
      <c r="O4" s="876" t="s">
        <v>10078</v>
      </c>
      <c r="P4" s="880" t="s">
        <v>10079</v>
      </c>
      <c r="Q4" s="1157" t="s">
        <v>5319</v>
      </c>
      <c r="R4" s="1258" t="s">
        <v>10080</v>
      </c>
      <c r="S4" s="1262"/>
      <c r="T4" s="1265"/>
      <c r="U4" s="889" t="s">
        <v>10081</v>
      </c>
      <c r="V4" s="964" t="s">
        <v>10082</v>
      </c>
      <c r="W4" s="965" t="s">
        <v>10083</v>
      </c>
    </row>
    <row r="5" spans="1:23" s="944" customFormat="1" ht="10.15" customHeight="1">
      <c r="C5" s="966"/>
      <c r="D5" s="967"/>
      <c r="E5" s="960"/>
      <c r="F5" s="960"/>
      <c r="G5" s="961"/>
      <c r="H5" s="962"/>
      <c r="I5" s="960"/>
      <c r="J5" s="968"/>
      <c r="K5" s="887"/>
      <c r="L5" s="921" t="s">
        <v>10084</v>
      </c>
      <c r="M5" s="882" t="s">
        <v>10084</v>
      </c>
      <c r="N5" s="969" t="s">
        <v>10085</v>
      </c>
      <c r="O5" s="970" t="s">
        <v>10086</v>
      </c>
      <c r="P5" s="882"/>
      <c r="Q5" s="1158" t="s">
        <v>10087</v>
      </c>
      <c r="R5" s="1259"/>
      <c r="S5" s="1263" t="s">
        <v>9884</v>
      </c>
      <c r="T5" s="1266" t="s">
        <v>9049</v>
      </c>
      <c r="U5" s="886"/>
      <c r="V5" s="971"/>
      <c r="W5" s="972"/>
    </row>
    <row r="6" spans="1:23" s="944" customFormat="1" ht="11.25" customHeight="1">
      <c r="C6" s="966"/>
      <c r="D6" s="967"/>
      <c r="E6" s="960"/>
      <c r="F6" s="960"/>
      <c r="G6" s="961"/>
      <c r="H6" s="962"/>
      <c r="I6" s="960"/>
      <c r="J6" s="968"/>
      <c r="K6" s="887"/>
      <c r="L6" s="921"/>
      <c r="M6" s="882"/>
      <c r="N6" s="882"/>
      <c r="O6" s="921"/>
      <c r="P6" s="882"/>
      <c r="Q6" s="1158" t="s">
        <v>10088</v>
      </c>
      <c r="R6" s="1259"/>
      <c r="S6" s="1263" t="s">
        <v>9048</v>
      </c>
      <c r="T6" s="1266" t="s">
        <v>11746</v>
      </c>
      <c r="U6" s="886"/>
      <c r="V6" s="971"/>
      <c r="W6" s="972"/>
    </row>
    <row r="7" spans="1:23" s="944" customFormat="1" ht="10.15" customHeight="1">
      <c r="C7" s="973" t="s">
        <v>5320</v>
      </c>
      <c r="D7" s="974"/>
      <c r="E7" s="975" t="s">
        <v>5321</v>
      </c>
      <c r="F7" s="975"/>
      <c r="G7" s="976"/>
      <c r="H7" s="977" t="s">
        <v>5322</v>
      </c>
      <c r="I7" s="975"/>
      <c r="J7" s="978"/>
      <c r="K7" s="908" t="s">
        <v>3133</v>
      </c>
      <c r="L7" s="918" t="s">
        <v>3134</v>
      </c>
      <c r="M7" s="900" t="s">
        <v>10089</v>
      </c>
      <c r="N7" s="900" t="s">
        <v>10090</v>
      </c>
      <c r="O7" s="918" t="s">
        <v>10091</v>
      </c>
      <c r="P7" s="900"/>
      <c r="Q7" s="1159" t="s">
        <v>10092</v>
      </c>
      <c r="R7" s="893"/>
      <c r="S7" s="1264"/>
      <c r="T7" s="1257"/>
      <c r="U7" s="900"/>
      <c r="V7" s="979"/>
      <c r="W7" s="980"/>
    </row>
    <row r="8" spans="1:23" ht="14.5" customHeight="1">
      <c r="A8" s="1034"/>
      <c r="B8" s="1034"/>
      <c r="C8" s="981" t="s">
        <v>5323</v>
      </c>
      <c r="D8" s="982" t="str">
        <f t="shared" ref="D8:D73" si="0">IF(C8="","",CONCATENATE(LEFT(C8,4),MID(C8,6,2)))</f>
        <v>011101</v>
      </c>
      <c r="E8" s="983"/>
      <c r="F8" s="983"/>
      <c r="G8" s="1101"/>
      <c r="H8" s="1102"/>
      <c r="I8" s="947"/>
      <c r="J8" s="984" t="s">
        <v>5324</v>
      </c>
      <c r="K8" s="880"/>
      <c r="L8" s="880"/>
      <c r="M8" s="880"/>
      <c r="N8" s="880"/>
      <c r="O8" s="880"/>
      <c r="P8" s="881">
        <f>Q9+Q13</f>
        <v>43347</v>
      </c>
      <c r="Q8" s="1160"/>
      <c r="R8" s="880"/>
      <c r="S8" s="1269"/>
      <c r="T8" s="880"/>
      <c r="U8" s="985"/>
      <c r="V8" s="985"/>
      <c r="W8" s="986"/>
    </row>
    <row r="9" spans="1:23" ht="14.5" customHeight="1">
      <c r="A9" s="1034"/>
      <c r="B9" s="1034"/>
      <c r="C9" s="987"/>
      <c r="D9" s="988" t="str">
        <f t="shared" si="0"/>
        <v/>
      </c>
      <c r="E9" s="989" t="s">
        <v>5325</v>
      </c>
      <c r="F9" s="988" t="str">
        <f t="shared" ref="F9:F74" si="1">IF(E9="","",CONCATENATE(LEFT(E9,4),MID(E9,6,3)))</f>
        <v>0111011</v>
      </c>
      <c r="G9" s="1095" t="str">
        <f>IF(F9="",G8,F9)</f>
        <v>0111011</v>
      </c>
      <c r="J9" s="990" t="s">
        <v>5324</v>
      </c>
      <c r="K9" s="882"/>
      <c r="L9" s="882"/>
      <c r="M9" s="882"/>
      <c r="N9" s="882"/>
      <c r="O9" s="882"/>
      <c r="P9" s="882"/>
      <c r="Q9" s="1161">
        <f>ROUND(SUM(Q10:Q12),0)</f>
        <v>42197</v>
      </c>
      <c r="R9" s="882" t="s">
        <v>10093</v>
      </c>
      <c r="S9" s="1269"/>
      <c r="T9" s="1254"/>
      <c r="U9" s="991"/>
      <c r="V9" s="991"/>
      <c r="W9" s="992"/>
    </row>
    <row r="10" spans="1:23" ht="14.5" customHeight="1">
      <c r="A10" s="1034"/>
      <c r="B10" s="1034"/>
      <c r="C10" s="987"/>
      <c r="D10" s="988" t="str">
        <f t="shared" si="0"/>
        <v/>
      </c>
      <c r="F10" s="988" t="str">
        <f t="shared" si="1"/>
        <v/>
      </c>
      <c r="G10" s="1095" t="str">
        <f>IF(F10="",G9,F10)</f>
        <v>0111011</v>
      </c>
      <c r="H10" s="1016" t="s">
        <v>36</v>
      </c>
      <c r="I10" s="944" t="str">
        <f t="shared" ref="I10:I74" si="2">IF(H10="","",CONCATENATE(G10,H10))</f>
        <v>0111011001</v>
      </c>
      <c r="J10" s="991" t="s">
        <v>5326</v>
      </c>
      <c r="K10" s="884">
        <v>1650712.8</v>
      </c>
      <c r="L10" s="882"/>
      <c r="M10" s="882"/>
      <c r="N10" s="884">
        <v>174100</v>
      </c>
      <c r="O10" s="885">
        <v>240000</v>
      </c>
      <c r="P10" s="882"/>
      <c r="Q10" s="1162">
        <f>N10*O10/1000000</f>
        <v>41784</v>
      </c>
      <c r="R10" s="882"/>
      <c r="S10" s="1269"/>
      <c r="T10" s="1254"/>
      <c r="U10" s="991" t="s">
        <v>10094</v>
      </c>
      <c r="V10" s="991" t="s">
        <v>10095</v>
      </c>
      <c r="W10" s="992" t="s">
        <v>10096</v>
      </c>
    </row>
    <row r="11" spans="1:23" ht="14.5" customHeight="1">
      <c r="A11" s="1034"/>
      <c r="B11" s="1034"/>
      <c r="C11" s="987"/>
      <c r="F11" s="988"/>
      <c r="G11" s="1095" t="str">
        <f>IF(F11="",G10,F11)</f>
        <v>0111011</v>
      </c>
      <c r="H11" s="1016" t="s">
        <v>5327</v>
      </c>
      <c r="I11" s="944" t="str">
        <f t="shared" si="2"/>
        <v>0111011002</v>
      </c>
      <c r="J11" s="991" t="s">
        <v>5328</v>
      </c>
      <c r="K11" s="884">
        <v>4139.8</v>
      </c>
      <c r="L11" s="884">
        <v>1225</v>
      </c>
      <c r="M11" s="884">
        <v>380502</v>
      </c>
      <c r="N11" s="887"/>
      <c r="O11" s="887"/>
      <c r="P11" s="882"/>
      <c r="Q11" s="1162">
        <f>ROUND(K11*L11/M11,0)</f>
        <v>13</v>
      </c>
      <c r="R11" s="882"/>
      <c r="S11" s="1269"/>
      <c r="T11" s="1254"/>
      <c r="U11" s="991" t="s">
        <v>10097</v>
      </c>
      <c r="V11" s="991"/>
      <c r="W11" s="992" t="s">
        <v>10098</v>
      </c>
    </row>
    <row r="12" spans="1:23" ht="14.5" customHeight="1">
      <c r="A12" s="1034"/>
      <c r="B12" s="1034"/>
      <c r="C12" s="987"/>
      <c r="D12" s="988" t="str">
        <f t="shared" si="0"/>
        <v/>
      </c>
      <c r="F12" s="988" t="str">
        <f t="shared" si="1"/>
        <v/>
      </c>
      <c r="G12" s="1095" t="str">
        <f>IF(F12="",G10,F12)</f>
        <v>0111011</v>
      </c>
      <c r="H12" s="1016" t="s">
        <v>5329</v>
      </c>
      <c r="I12" s="944" t="str">
        <f t="shared" si="2"/>
        <v>0111011003</v>
      </c>
      <c r="J12" s="991" t="s">
        <v>5330</v>
      </c>
      <c r="K12" s="884">
        <v>12678.4</v>
      </c>
      <c r="L12" s="882"/>
      <c r="M12" s="882"/>
      <c r="N12" s="887"/>
      <c r="O12" s="887"/>
      <c r="P12" s="882"/>
      <c r="Q12" s="1163">
        <v>400</v>
      </c>
      <c r="R12" s="882"/>
      <c r="S12" s="1269"/>
      <c r="T12" s="1254"/>
      <c r="U12" s="991" t="s">
        <v>10099</v>
      </c>
      <c r="V12" s="991" t="s">
        <v>10095</v>
      </c>
      <c r="W12" s="992" t="s">
        <v>10100</v>
      </c>
    </row>
    <row r="13" spans="1:23" ht="14.5" customHeight="1">
      <c r="A13" s="1034"/>
      <c r="B13" s="1034"/>
      <c r="C13" s="987"/>
      <c r="D13" s="988" t="str">
        <f t="shared" si="0"/>
        <v/>
      </c>
      <c r="E13" s="989" t="s">
        <v>5331</v>
      </c>
      <c r="F13" s="988" t="str">
        <f t="shared" si="1"/>
        <v>0111012</v>
      </c>
      <c r="G13" s="1095" t="str">
        <f>IF(F13="",G12,F13)</f>
        <v>0111012</v>
      </c>
      <c r="H13" s="1016" t="s">
        <v>36</v>
      </c>
      <c r="I13" s="944" t="str">
        <f t="shared" si="2"/>
        <v>0111012001</v>
      </c>
      <c r="J13" s="990" t="s">
        <v>23</v>
      </c>
      <c r="K13" s="884">
        <v>51286</v>
      </c>
      <c r="L13" s="887">
        <f>N10</f>
        <v>174100</v>
      </c>
      <c r="M13" s="884">
        <v>7765000</v>
      </c>
      <c r="N13" s="882"/>
      <c r="O13" s="882"/>
      <c r="P13" s="882"/>
      <c r="Q13" s="1164">
        <f>ROUND(K13*L13/M13,0)</f>
        <v>1150</v>
      </c>
      <c r="R13" s="882" t="s">
        <v>10101</v>
      </c>
      <c r="S13" s="1269"/>
      <c r="T13" s="1254"/>
      <c r="U13" s="991" t="s">
        <v>10102</v>
      </c>
      <c r="V13" s="991"/>
      <c r="W13" s="992" t="s">
        <v>10103</v>
      </c>
    </row>
    <row r="14" spans="1:23" ht="14.5" customHeight="1">
      <c r="A14" s="1034"/>
      <c r="B14" s="1034"/>
      <c r="C14" s="981" t="s">
        <v>5332</v>
      </c>
      <c r="D14" s="982" t="str">
        <f t="shared" si="0"/>
        <v>011102</v>
      </c>
      <c r="E14" s="983" t="s">
        <v>5334</v>
      </c>
      <c r="F14" s="982" t="str">
        <f>IF(E14="","",CONCATENATE(LEFT(E14,4),MID(E14,6,3)))</f>
        <v>0111021</v>
      </c>
      <c r="G14" s="1103" t="str">
        <f>IF(F14="",G13,F14)</f>
        <v>0111021</v>
      </c>
      <c r="H14" s="1102"/>
      <c r="I14" s="947" t="str">
        <f t="shared" si="2"/>
        <v/>
      </c>
      <c r="J14" s="984" t="s">
        <v>5333</v>
      </c>
      <c r="K14" s="889"/>
      <c r="L14" s="889"/>
      <c r="M14" s="889"/>
      <c r="N14" s="889"/>
      <c r="O14" s="889"/>
      <c r="P14" s="881">
        <f>Q14</f>
        <v>131</v>
      </c>
      <c r="Q14" s="1160">
        <f>Q15+Q16</f>
        <v>131</v>
      </c>
      <c r="R14" s="880"/>
      <c r="S14" s="1270"/>
      <c r="T14" s="880"/>
      <c r="U14" s="993"/>
      <c r="V14" s="993"/>
      <c r="W14" s="986"/>
    </row>
    <row r="15" spans="1:23" ht="14.5" customHeight="1">
      <c r="A15" s="1034"/>
      <c r="B15" s="1034"/>
      <c r="C15" s="994"/>
      <c r="D15" s="995" t="str">
        <f t="shared" si="0"/>
        <v/>
      </c>
      <c r="E15" s="989"/>
      <c r="F15" s="988" t="str">
        <f>IF(E15="","",CONCATENATE(LEFT(E15,4),MID(E15,6,3)))</f>
        <v/>
      </c>
      <c r="G15" s="1095" t="str">
        <f>IF(F15="",G14,F15)</f>
        <v>0111021</v>
      </c>
      <c r="H15" s="1016" t="s">
        <v>5534</v>
      </c>
      <c r="I15" s="944" t="str">
        <f t="shared" si="2"/>
        <v>0111021101</v>
      </c>
      <c r="J15" s="991" t="s">
        <v>10104</v>
      </c>
      <c r="K15" s="873"/>
      <c r="L15" s="886"/>
      <c r="M15" s="886"/>
      <c r="N15" s="890">
        <v>4340</v>
      </c>
      <c r="O15" s="891">
        <v>24000</v>
      </c>
      <c r="P15" s="886"/>
      <c r="Q15" s="1165">
        <f>ROUND(N15*O15/1000000,0)</f>
        <v>104</v>
      </c>
      <c r="R15" s="882" t="s">
        <v>10093</v>
      </c>
      <c r="S15" s="1269"/>
      <c r="T15" s="1254"/>
      <c r="U15" s="991" t="s">
        <v>10094</v>
      </c>
      <c r="V15" s="991" t="s">
        <v>10095</v>
      </c>
      <c r="W15" s="992"/>
    </row>
    <row r="16" spans="1:23" ht="14.5" customHeight="1">
      <c r="A16" s="1034"/>
      <c r="B16" s="1034"/>
      <c r="C16" s="994"/>
      <c r="D16" s="995" t="str">
        <f t="shared" si="0"/>
        <v/>
      </c>
      <c r="E16" s="989"/>
      <c r="F16" s="988" t="str">
        <f t="shared" si="1"/>
        <v/>
      </c>
      <c r="G16" s="1095" t="str">
        <f t="shared" ref="G16:G73" si="3">IF(F16="",G15,F16)</f>
        <v>0111021</v>
      </c>
      <c r="I16" s="944" t="str">
        <f t="shared" si="2"/>
        <v/>
      </c>
      <c r="J16" s="991" t="s">
        <v>10105</v>
      </c>
      <c r="K16" s="873"/>
      <c r="L16" s="886"/>
      <c r="M16" s="886"/>
      <c r="N16" s="886"/>
      <c r="O16" s="886"/>
      <c r="P16" s="886"/>
      <c r="Q16" s="1165">
        <f>ROUND(SUM(Q17:Q19),0)</f>
        <v>27</v>
      </c>
      <c r="R16" s="882" t="s">
        <v>10093</v>
      </c>
      <c r="S16" s="1269"/>
      <c r="T16" s="1254"/>
      <c r="U16" s="991" t="s">
        <v>10094</v>
      </c>
      <c r="V16" s="996"/>
      <c r="W16" s="992"/>
    </row>
    <row r="17" spans="1:23" ht="14.5" customHeight="1">
      <c r="A17" s="1034"/>
      <c r="B17" s="1034"/>
      <c r="C17" s="987"/>
      <c r="D17" s="988" t="str">
        <f t="shared" si="0"/>
        <v/>
      </c>
      <c r="F17" s="988" t="str">
        <f t="shared" si="1"/>
        <v/>
      </c>
      <c r="G17" s="1095" t="str">
        <f t="shared" si="3"/>
        <v>0111021</v>
      </c>
      <c r="H17" s="1016" t="s">
        <v>5602</v>
      </c>
      <c r="I17" s="944" t="str">
        <f t="shared" si="2"/>
        <v>0111021201</v>
      </c>
      <c r="J17" s="991" t="s">
        <v>5336</v>
      </c>
      <c r="K17" s="873"/>
      <c r="L17" s="886"/>
      <c r="M17" s="886"/>
      <c r="N17" s="890">
        <v>1870</v>
      </c>
      <c r="O17" s="891">
        <v>12000</v>
      </c>
      <c r="P17" s="886"/>
      <c r="Q17" s="1162">
        <f>N17*O17/1000000</f>
        <v>22.44</v>
      </c>
      <c r="R17" s="882"/>
      <c r="S17" s="1269"/>
      <c r="T17" s="1254"/>
      <c r="U17" s="991"/>
      <c r="V17" s="991" t="s">
        <v>10095</v>
      </c>
      <c r="W17" s="992"/>
    </row>
    <row r="18" spans="1:23" ht="14.5" customHeight="1">
      <c r="A18" s="1034"/>
      <c r="B18" s="1034"/>
      <c r="C18" s="987"/>
      <c r="D18" s="988" t="str">
        <f t="shared" si="0"/>
        <v/>
      </c>
      <c r="F18" s="988" t="str">
        <f t="shared" si="1"/>
        <v/>
      </c>
      <c r="G18" s="1095" t="str">
        <f t="shared" si="3"/>
        <v>0111021</v>
      </c>
      <c r="H18" s="1016" t="s">
        <v>5844</v>
      </c>
      <c r="I18" s="944" t="str">
        <f t="shared" si="2"/>
        <v>0111021202</v>
      </c>
      <c r="J18" s="991" t="s">
        <v>5338</v>
      </c>
      <c r="K18" s="873"/>
      <c r="L18" s="886"/>
      <c r="M18" s="886"/>
      <c r="N18" s="890">
        <v>1</v>
      </c>
      <c r="O18" s="873">
        <v>0</v>
      </c>
      <c r="P18" s="886"/>
      <c r="Q18" s="1162">
        <f>N18*O18/1000000</f>
        <v>0</v>
      </c>
      <c r="R18" s="882"/>
      <c r="S18" s="1269"/>
      <c r="T18" s="1254"/>
      <c r="U18" s="990"/>
      <c r="V18" s="996" t="s">
        <v>10106</v>
      </c>
      <c r="W18" s="997" t="s">
        <v>10107</v>
      </c>
    </row>
    <row r="19" spans="1:23" ht="14.5" customHeight="1">
      <c r="A19" s="1034"/>
      <c r="B19" s="1034"/>
      <c r="C19" s="987"/>
      <c r="D19" s="988" t="str">
        <f t="shared" si="0"/>
        <v/>
      </c>
      <c r="F19" s="988" t="str">
        <f t="shared" si="1"/>
        <v/>
      </c>
      <c r="G19" s="1095" t="str">
        <f t="shared" si="3"/>
        <v>0111021</v>
      </c>
      <c r="H19" s="1016" t="s">
        <v>7571</v>
      </c>
      <c r="I19" s="944" t="str">
        <f t="shared" si="2"/>
        <v>0111021203</v>
      </c>
      <c r="J19" s="991" t="s">
        <v>5340</v>
      </c>
      <c r="K19" s="873"/>
      <c r="L19" s="886"/>
      <c r="M19" s="886"/>
      <c r="N19" s="890">
        <v>330</v>
      </c>
      <c r="O19" s="891">
        <v>14000</v>
      </c>
      <c r="P19" s="886"/>
      <c r="Q19" s="1162">
        <f>N19*O19/1000000</f>
        <v>4.62</v>
      </c>
      <c r="R19" s="882"/>
      <c r="S19" s="1269"/>
      <c r="T19" s="1254"/>
      <c r="U19" s="991"/>
      <c r="V19" s="996" t="s">
        <v>10106</v>
      </c>
      <c r="W19" s="992"/>
    </row>
    <row r="20" spans="1:23" ht="14.5" customHeight="1">
      <c r="A20" s="1034"/>
      <c r="B20" s="1034"/>
      <c r="C20" s="981" t="s">
        <v>5341</v>
      </c>
      <c r="D20" s="982" t="str">
        <f t="shared" si="0"/>
        <v>011201</v>
      </c>
      <c r="E20" s="983" t="s">
        <v>5343</v>
      </c>
      <c r="F20" s="982" t="str">
        <f t="shared" si="1"/>
        <v>0112011</v>
      </c>
      <c r="G20" s="1103" t="str">
        <f t="shared" si="3"/>
        <v>0112011</v>
      </c>
      <c r="H20" s="1102"/>
      <c r="I20" s="947" t="str">
        <f t="shared" si="2"/>
        <v/>
      </c>
      <c r="J20" s="984" t="s">
        <v>5342</v>
      </c>
      <c r="K20" s="889"/>
      <c r="L20" s="889"/>
      <c r="M20" s="889"/>
      <c r="N20" s="889"/>
      <c r="O20" s="889"/>
      <c r="P20" s="881">
        <f>Q20</f>
        <v>578</v>
      </c>
      <c r="Q20" s="1160">
        <f>Q21+Q22</f>
        <v>578</v>
      </c>
      <c r="R20" s="880"/>
      <c r="S20" s="1270"/>
      <c r="T20" s="880"/>
      <c r="U20" s="993"/>
      <c r="V20" s="993"/>
      <c r="W20" s="986"/>
    </row>
    <row r="21" spans="1:23" ht="14.5" customHeight="1">
      <c r="A21" s="1034"/>
      <c r="B21" s="1034"/>
      <c r="C21" s="987"/>
      <c r="D21" s="988" t="str">
        <f t="shared" si="0"/>
        <v/>
      </c>
      <c r="E21" s="989"/>
      <c r="F21" s="988" t="str">
        <f t="shared" si="1"/>
        <v/>
      </c>
      <c r="G21" s="1095" t="str">
        <f t="shared" si="3"/>
        <v>0112011</v>
      </c>
      <c r="H21" s="1016" t="s">
        <v>5534</v>
      </c>
      <c r="I21" s="944" t="str">
        <f t="shared" si="2"/>
        <v>0112011101</v>
      </c>
      <c r="J21" s="991" t="s">
        <v>10108</v>
      </c>
      <c r="K21" s="873"/>
      <c r="L21" s="886"/>
      <c r="M21" s="886"/>
      <c r="N21" s="890">
        <v>0</v>
      </c>
      <c r="O21" s="892">
        <v>131000</v>
      </c>
      <c r="P21" s="886"/>
      <c r="Q21" s="1165">
        <f>ROUND(N21*O21/1000000,0)</f>
        <v>0</v>
      </c>
      <c r="R21" s="882" t="s">
        <v>10093</v>
      </c>
      <c r="S21" s="1269"/>
      <c r="T21" s="1254"/>
      <c r="U21" s="991" t="s">
        <v>10094</v>
      </c>
      <c r="V21" s="991" t="s">
        <v>10095</v>
      </c>
      <c r="W21" s="992"/>
    </row>
    <row r="22" spans="1:23" ht="14.5" customHeight="1">
      <c r="A22" s="1034"/>
      <c r="B22" s="1034"/>
      <c r="C22" s="998"/>
      <c r="D22" s="999" t="str">
        <f t="shared" si="0"/>
        <v/>
      </c>
      <c r="E22" s="1000"/>
      <c r="F22" s="999" t="str">
        <f t="shared" si="1"/>
        <v/>
      </c>
      <c r="G22" s="1104" t="str">
        <f t="shared" si="3"/>
        <v>0112011</v>
      </c>
      <c r="H22" s="1005" t="s">
        <v>5602</v>
      </c>
      <c r="I22" s="1002" t="str">
        <f t="shared" si="2"/>
        <v>0112011201</v>
      </c>
      <c r="J22" s="978" t="s">
        <v>10109</v>
      </c>
      <c r="K22" s="873"/>
      <c r="L22" s="886"/>
      <c r="M22" s="886"/>
      <c r="N22" s="873"/>
      <c r="O22" s="873"/>
      <c r="P22" s="886"/>
      <c r="Q22" s="1166">
        <v>578</v>
      </c>
      <c r="R22" s="882" t="s">
        <v>10110</v>
      </c>
      <c r="S22" s="1269"/>
      <c r="T22" s="1254"/>
      <c r="U22" s="996" t="s">
        <v>10111</v>
      </c>
      <c r="V22" s="996" t="s">
        <v>10106</v>
      </c>
      <c r="W22" s="992" t="s">
        <v>10112</v>
      </c>
    </row>
    <row r="23" spans="1:23" ht="14.5" customHeight="1">
      <c r="A23" s="1034"/>
      <c r="B23" s="1034"/>
      <c r="C23" s="994" t="s">
        <v>5345</v>
      </c>
      <c r="D23" s="988" t="str">
        <f t="shared" si="0"/>
        <v>011202</v>
      </c>
      <c r="E23" s="989" t="s">
        <v>5347</v>
      </c>
      <c r="F23" s="988" t="str">
        <f t="shared" si="1"/>
        <v>0112021</v>
      </c>
      <c r="G23" s="1095" t="str">
        <f t="shared" si="3"/>
        <v>0112021</v>
      </c>
      <c r="I23" s="944" t="str">
        <f t="shared" si="2"/>
        <v/>
      </c>
      <c r="J23" s="990" t="s">
        <v>5346</v>
      </c>
      <c r="K23" s="889"/>
      <c r="L23" s="889"/>
      <c r="M23" s="889"/>
      <c r="N23" s="889"/>
      <c r="O23" s="889"/>
      <c r="P23" s="881">
        <f>Q23</f>
        <v>2708</v>
      </c>
      <c r="Q23" s="1160">
        <f>Q24+Q25</f>
        <v>2708</v>
      </c>
      <c r="R23" s="880"/>
      <c r="S23" s="1270"/>
      <c r="T23" s="880"/>
      <c r="U23" s="993"/>
      <c r="V23" s="993"/>
      <c r="W23" s="986"/>
    </row>
    <row r="24" spans="1:23" ht="14.5" customHeight="1">
      <c r="A24" s="1034"/>
      <c r="B24" s="1034"/>
      <c r="C24" s="994"/>
      <c r="D24" s="995" t="str">
        <f t="shared" si="0"/>
        <v/>
      </c>
      <c r="E24" s="989"/>
      <c r="F24" s="988" t="str">
        <f t="shared" si="1"/>
        <v/>
      </c>
      <c r="G24" s="1095" t="str">
        <f t="shared" si="3"/>
        <v>0112021</v>
      </c>
      <c r="H24" s="1016" t="s">
        <v>5534</v>
      </c>
      <c r="I24" s="944" t="str">
        <f t="shared" si="2"/>
        <v>0112021101</v>
      </c>
      <c r="J24" s="991" t="s">
        <v>10113</v>
      </c>
      <c r="K24" s="873"/>
      <c r="L24" s="886"/>
      <c r="M24" s="886"/>
      <c r="N24" s="890">
        <v>1810</v>
      </c>
      <c r="O24" s="892">
        <v>1083000</v>
      </c>
      <c r="P24" s="886"/>
      <c r="Q24" s="1162">
        <f>ROUND(N24*O24/1000000,0)</f>
        <v>1960</v>
      </c>
      <c r="R24" s="1001" t="s">
        <v>10114</v>
      </c>
      <c r="S24" s="1271"/>
      <c r="T24" s="1255"/>
      <c r="U24" s="991" t="s">
        <v>10094</v>
      </c>
      <c r="V24" s="991" t="s">
        <v>10115</v>
      </c>
      <c r="W24" s="992"/>
    </row>
    <row r="25" spans="1:23" ht="14.5" customHeight="1">
      <c r="A25" s="1034"/>
      <c r="B25" s="1034"/>
      <c r="C25" s="994"/>
      <c r="D25" s="995" t="str">
        <f t="shared" si="0"/>
        <v/>
      </c>
      <c r="E25" s="989"/>
      <c r="F25" s="988" t="str">
        <f t="shared" si="1"/>
        <v/>
      </c>
      <c r="G25" s="1095" t="str">
        <f t="shared" si="3"/>
        <v>0112021</v>
      </c>
      <c r="I25" s="944" t="str">
        <f t="shared" si="2"/>
        <v/>
      </c>
      <c r="J25" s="991" t="s">
        <v>10116</v>
      </c>
      <c r="K25" s="873"/>
      <c r="L25" s="886"/>
      <c r="M25" s="886"/>
      <c r="N25" s="886"/>
      <c r="O25" s="886"/>
      <c r="P25" s="886"/>
      <c r="Q25" s="1162">
        <f>SUM(Q26:Q29)</f>
        <v>748</v>
      </c>
      <c r="R25" s="1001" t="s">
        <v>10117</v>
      </c>
      <c r="S25" s="1271"/>
      <c r="T25" s="1255"/>
      <c r="U25" s="996"/>
      <c r="V25" s="996"/>
      <c r="W25" s="992"/>
    </row>
    <row r="26" spans="1:23" ht="14.5" customHeight="1">
      <c r="A26" s="1034"/>
      <c r="B26" s="1034"/>
      <c r="C26" s="987"/>
      <c r="D26" s="988" t="str">
        <f t="shared" si="0"/>
        <v/>
      </c>
      <c r="F26" s="988" t="str">
        <f t="shared" si="1"/>
        <v/>
      </c>
      <c r="G26" s="1095" t="str">
        <f t="shared" si="3"/>
        <v>0112021</v>
      </c>
      <c r="H26" s="1016" t="s">
        <v>5455</v>
      </c>
      <c r="I26" s="944" t="str">
        <f t="shared" si="2"/>
        <v>0112021201</v>
      </c>
      <c r="J26" s="991" t="s">
        <v>5350</v>
      </c>
      <c r="K26" s="873"/>
      <c r="L26" s="886"/>
      <c r="M26" s="886"/>
      <c r="N26" s="873"/>
      <c r="O26" s="873"/>
      <c r="P26" s="886"/>
      <c r="Q26" s="1167">
        <v>0</v>
      </c>
      <c r="R26" s="882"/>
      <c r="S26" s="1269"/>
      <c r="T26" s="1254"/>
      <c r="U26" s="996" t="s">
        <v>10118</v>
      </c>
      <c r="V26" s="991"/>
      <c r="W26" s="992" t="s">
        <v>10119</v>
      </c>
    </row>
    <row r="27" spans="1:23" ht="14.5" customHeight="1">
      <c r="A27" s="1034"/>
      <c r="B27" s="1034"/>
      <c r="C27" s="987"/>
      <c r="D27" s="988" t="str">
        <f t="shared" si="0"/>
        <v/>
      </c>
      <c r="F27" s="988" t="str">
        <f t="shared" si="1"/>
        <v/>
      </c>
      <c r="G27" s="1095" t="str">
        <f t="shared" si="3"/>
        <v>0112021</v>
      </c>
      <c r="H27" s="1016" t="s">
        <v>5844</v>
      </c>
      <c r="I27" s="944" t="str">
        <f t="shared" si="2"/>
        <v>0112021202</v>
      </c>
      <c r="J27" s="991" t="s">
        <v>5351</v>
      </c>
      <c r="K27" s="873"/>
      <c r="L27" s="886"/>
      <c r="M27" s="886"/>
      <c r="N27" s="873"/>
      <c r="O27" s="873"/>
      <c r="P27" s="886"/>
      <c r="Q27" s="1167">
        <v>748</v>
      </c>
      <c r="R27" s="882"/>
      <c r="S27" s="1269"/>
      <c r="T27" s="1254"/>
      <c r="U27" s="996" t="s">
        <v>10099</v>
      </c>
      <c r="V27" s="996" t="s">
        <v>10120</v>
      </c>
      <c r="W27" s="992" t="s">
        <v>10121</v>
      </c>
    </row>
    <row r="28" spans="1:23" ht="14.5" customHeight="1">
      <c r="A28" s="1034"/>
      <c r="B28" s="1034"/>
      <c r="C28" s="987"/>
      <c r="D28" s="988" t="str">
        <f t="shared" si="0"/>
        <v/>
      </c>
      <c r="F28" s="988" t="str">
        <f t="shared" si="1"/>
        <v/>
      </c>
      <c r="G28" s="1095" t="str">
        <f t="shared" si="3"/>
        <v>0112021</v>
      </c>
      <c r="H28" s="1016" t="s">
        <v>7571</v>
      </c>
      <c r="I28" s="944" t="str">
        <f t="shared" si="2"/>
        <v>0112021203</v>
      </c>
      <c r="J28" s="991" t="s">
        <v>5352</v>
      </c>
      <c r="K28" s="873"/>
      <c r="L28" s="886"/>
      <c r="M28" s="886"/>
      <c r="N28" s="873"/>
      <c r="O28" s="873"/>
      <c r="P28" s="886"/>
      <c r="Q28" s="1167">
        <v>0</v>
      </c>
      <c r="R28" s="882"/>
      <c r="S28" s="1269"/>
      <c r="T28" s="1254"/>
      <c r="U28" s="996" t="s">
        <v>10099</v>
      </c>
      <c r="V28" s="996"/>
      <c r="W28" s="992" t="s">
        <v>10122</v>
      </c>
    </row>
    <row r="29" spans="1:23" ht="14.5" customHeight="1">
      <c r="A29" s="1034"/>
      <c r="B29" s="1034"/>
      <c r="C29" s="998"/>
      <c r="D29" s="999" t="str">
        <f t="shared" si="0"/>
        <v/>
      </c>
      <c r="E29" s="1002"/>
      <c r="F29" s="999" t="str">
        <f t="shared" si="1"/>
        <v/>
      </c>
      <c r="G29" s="1104" t="str">
        <f t="shared" si="3"/>
        <v>0112021</v>
      </c>
      <c r="H29" s="1016" t="s">
        <v>5474</v>
      </c>
      <c r="I29" s="944" t="str">
        <f t="shared" si="2"/>
        <v>0112021299</v>
      </c>
      <c r="J29" s="991" t="s">
        <v>5354</v>
      </c>
      <c r="K29" s="872"/>
      <c r="L29" s="893"/>
      <c r="M29" s="893"/>
      <c r="N29" s="872"/>
      <c r="O29" s="872"/>
      <c r="P29" s="893"/>
      <c r="Q29" s="1168">
        <v>0</v>
      </c>
      <c r="R29" s="900"/>
      <c r="S29" s="1272"/>
      <c r="T29" s="900"/>
      <c r="U29" s="978" t="s">
        <v>10099</v>
      </c>
      <c r="V29" s="978" t="s">
        <v>10095</v>
      </c>
      <c r="W29" s="1003" t="s">
        <v>10122</v>
      </c>
    </row>
    <row r="30" spans="1:23" ht="14.5" customHeight="1">
      <c r="A30" s="1034"/>
      <c r="B30" s="1034"/>
      <c r="C30" s="994" t="s">
        <v>10123</v>
      </c>
      <c r="D30" s="988" t="str">
        <f>IF(C30="","",CONCATENATE(LEFT(C30,4),MID(C30,6,2)))</f>
        <v>011301</v>
      </c>
      <c r="E30" s="983" t="s">
        <v>10124</v>
      </c>
      <c r="F30" s="947" t="str">
        <f t="shared" si="1"/>
        <v>0113011</v>
      </c>
      <c r="G30" s="1103" t="str">
        <f t="shared" si="3"/>
        <v>0113011</v>
      </c>
      <c r="H30" s="1102"/>
      <c r="I30" s="947" t="str">
        <f>IF(H30="","",CONCATENATE(#REF!,H30))</f>
        <v/>
      </c>
      <c r="J30" s="984" t="s">
        <v>37</v>
      </c>
      <c r="K30" s="886"/>
      <c r="L30" s="886"/>
      <c r="M30" s="886"/>
      <c r="N30" s="886"/>
      <c r="O30" s="886"/>
      <c r="P30" s="881">
        <f>Q30</f>
        <v>35339</v>
      </c>
      <c r="Q30" s="1161">
        <f>ROUND(SUM(Q31:R74),0)</f>
        <v>35339</v>
      </c>
      <c r="R30" s="882"/>
      <c r="S30" s="1269"/>
      <c r="T30" s="1254"/>
      <c r="U30" s="996" t="s">
        <v>10125</v>
      </c>
      <c r="V30" s="996"/>
      <c r="W30" s="992" t="s">
        <v>10126</v>
      </c>
    </row>
    <row r="31" spans="1:23" ht="14.5" customHeight="1">
      <c r="A31" s="1034"/>
      <c r="B31" s="1034"/>
      <c r="C31" s="987"/>
      <c r="D31" s="988" t="str">
        <f t="shared" si="0"/>
        <v/>
      </c>
      <c r="F31" s="988" t="str">
        <f t="shared" si="1"/>
        <v/>
      </c>
      <c r="G31" s="1095" t="str">
        <f t="shared" si="3"/>
        <v>0113011</v>
      </c>
      <c r="H31" s="1016" t="s">
        <v>575</v>
      </c>
      <c r="I31" s="944" t="str">
        <f t="shared" si="2"/>
        <v>0113011101</v>
      </c>
      <c r="J31" s="991" t="s">
        <v>10127</v>
      </c>
      <c r="K31" s="873"/>
      <c r="L31" s="873"/>
      <c r="M31" s="886"/>
      <c r="N31" s="886"/>
      <c r="O31" s="886"/>
      <c r="P31" s="886"/>
      <c r="Q31" s="1167">
        <v>182</v>
      </c>
      <c r="R31" s="882"/>
      <c r="S31" s="1269"/>
      <c r="T31" s="1254"/>
      <c r="U31" s="990"/>
      <c r="V31" s="991" t="s">
        <v>10095</v>
      </c>
      <c r="W31" s="992"/>
    </row>
    <row r="32" spans="1:23" ht="14.5" customHeight="1">
      <c r="A32" s="1034"/>
      <c r="B32" s="1034"/>
      <c r="C32" s="987"/>
      <c r="D32" s="988" t="str">
        <f t="shared" si="0"/>
        <v/>
      </c>
      <c r="F32" s="988" t="str">
        <f t="shared" si="1"/>
        <v/>
      </c>
      <c r="G32" s="1095" t="str">
        <f t="shared" si="3"/>
        <v>0113011</v>
      </c>
      <c r="H32" s="1016" t="s">
        <v>5359</v>
      </c>
      <c r="I32" s="944" t="str">
        <f t="shared" si="2"/>
        <v>0113011102</v>
      </c>
      <c r="J32" s="991" t="s">
        <v>10128</v>
      </c>
      <c r="K32" s="873"/>
      <c r="L32" s="873"/>
      <c r="M32" s="886"/>
      <c r="N32" s="886"/>
      <c r="O32" s="886"/>
      <c r="P32" s="886"/>
      <c r="Q32" s="1167">
        <v>672</v>
      </c>
      <c r="R32" s="882"/>
      <c r="S32" s="1269"/>
      <c r="T32" s="1254"/>
      <c r="U32" s="996"/>
      <c r="V32" s="996" t="s">
        <v>10129</v>
      </c>
      <c r="W32" s="992"/>
    </row>
    <row r="33" spans="1:23" ht="14.5" customHeight="1">
      <c r="A33" s="1034"/>
      <c r="B33" s="1034"/>
      <c r="C33" s="987"/>
      <c r="D33" s="988" t="str">
        <f t="shared" si="0"/>
        <v/>
      </c>
      <c r="F33" s="988" t="str">
        <f t="shared" si="1"/>
        <v/>
      </c>
      <c r="G33" s="1095" t="str">
        <f t="shared" si="3"/>
        <v>0113011</v>
      </c>
      <c r="H33" s="1016" t="s">
        <v>5361</v>
      </c>
      <c r="I33" s="944" t="str">
        <f t="shared" si="2"/>
        <v>0113011103</v>
      </c>
      <c r="J33" s="991" t="s">
        <v>10130</v>
      </c>
      <c r="K33" s="873"/>
      <c r="L33" s="873"/>
      <c r="M33" s="886"/>
      <c r="N33" s="886"/>
      <c r="O33" s="886"/>
      <c r="P33" s="886"/>
      <c r="Q33" s="1167">
        <v>1004</v>
      </c>
      <c r="R33" s="882"/>
      <c r="S33" s="1269"/>
      <c r="T33" s="1254"/>
      <c r="U33" s="996"/>
      <c r="V33" s="996" t="s">
        <v>10129</v>
      </c>
      <c r="W33" s="992"/>
    </row>
    <row r="34" spans="1:23" ht="14.5" customHeight="1">
      <c r="A34" s="1034"/>
      <c r="B34" s="1034"/>
      <c r="C34" s="987"/>
      <c r="D34" s="988" t="str">
        <f t="shared" si="0"/>
        <v/>
      </c>
      <c r="F34" s="988" t="str">
        <f t="shared" si="1"/>
        <v/>
      </c>
      <c r="G34" s="1095" t="str">
        <f t="shared" si="3"/>
        <v>0113011</v>
      </c>
      <c r="H34" s="1016" t="s">
        <v>5363</v>
      </c>
      <c r="I34" s="944" t="str">
        <f t="shared" si="2"/>
        <v>0113011104</v>
      </c>
      <c r="J34" s="991" t="s">
        <v>10131</v>
      </c>
      <c r="K34" s="873"/>
      <c r="L34" s="873"/>
      <c r="M34" s="886"/>
      <c r="N34" s="886"/>
      <c r="O34" s="886"/>
      <c r="P34" s="886"/>
      <c r="Q34" s="1167">
        <v>137</v>
      </c>
      <c r="R34" s="882"/>
      <c r="S34" s="1269"/>
      <c r="T34" s="1254"/>
      <c r="U34" s="996"/>
      <c r="V34" s="996" t="s">
        <v>10129</v>
      </c>
      <c r="W34" s="992"/>
    </row>
    <row r="35" spans="1:23" ht="14.5" customHeight="1">
      <c r="A35" s="1034"/>
      <c r="B35" s="1034"/>
      <c r="C35" s="987"/>
      <c r="D35" s="988" t="str">
        <f t="shared" si="0"/>
        <v/>
      </c>
      <c r="F35" s="988" t="str">
        <f t="shared" si="1"/>
        <v/>
      </c>
      <c r="G35" s="1095" t="str">
        <f t="shared" si="3"/>
        <v>0113011</v>
      </c>
      <c r="H35" s="1016" t="s">
        <v>5365</v>
      </c>
      <c r="I35" s="944" t="str">
        <f t="shared" si="2"/>
        <v>0113011105</v>
      </c>
      <c r="J35" s="991" t="s">
        <v>10132</v>
      </c>
      <c r="K35" s="873"/>
      <c r="L35" s="873"/>
      <c r="M35" s="886"/>
      <c r="N35" s="886"/>
      <c r="O35" s="886"/>
      <c r="P35" s="886"/>
      <c r="Q35" s="1167">
        <v>367</v>
      </c>
      <c r="R35" s="882"/>
      <c r="S35" s="1269"/>
      <c r="T35" s="1254"/>
      <c r="U35" s="996"/>
      <c r="V35" s="996" t="s">
        <v>10129</v>
      </c>
      <c r="W35" s="992"/>
    </row>
    <row r="36" spans="1:23" ht="14.5" customHeight="1">
      <c r="A36" s="1034"/>
      <c r="B36" s="1034"/>
      <c r="C36" s="987"/>
      <c r="D36" s="988" t="str">
        <f t="shared" si="0"/>
        <v/>
      </c>
      <c r="F36" s="988" t="str">
        <f t="shared" si="1"/>
        <v/>
      </c>
      <c r="G36" s="1095" t="str">
        <f t="shared" si="3"/>
        <v>0113011</v>
      </c>
      <c r="H36" s="1016" t="s">
        <v>5367</v>
      </c>
      <c r="I36" s="944" t="str">
        <f t="shared" si="2"/>
        <v>0113011106</v>
      </c>
      <c r="J36" s="991" t="s">
        <v>10133</v>
      </c>
      <c r="K36" s="873"/>
      <c r="L36" s="873"/>
      <c r="M36" s="886"/>
      <c r="N36" s="886"/>
      <c r="O36" s="886"/>
      <c r="P36" s="886"/>
      <c r="Q36" s="1167">
        <v>696</v>
      </c>
      <c r="R36" s="882"/>
      <c r="S36" s="1269"/>
      <c r="T36" s="1254"/>
      <c r="U36" s="996"/>
      <c r="V36" s="996" t="s">
        <v>10129</v>
      </c>
      <c r="W36" s="992"/>
    </row>
    <row r="37" spans="1:23" ht="14.5" customHeight="1">
      <c r="A37" s="1034"/>
      <c r="B37" s="1034"/>
      <c r="C37" s="987"/>
      <c r="D37" s="988" t="str">
        <f t="shared" si="0"/>
        <v/>
      </c>
      <c r="F37" s="988" t="str">
        <f t="shared" si="1"/>
        <v/>
      </c>
      <c r="G37" s="1095" t="str">
        <f t="shared" si="3"/>
        <v>0113011</v>
      </c>
      <c r="H37" s="1016" t="s">
        <v>5369</v>
      </c>
      <c r="I37" s="944" t="str">
        <f t="shared" si="2"/>
        <v>0113011107</v>
      </c>
      <c r="J37" s="991" t="s">
        <v>10134</v>
      </c>
      <c r="K37" s="873"/>
      <c r="L37" s="873"/>
      <c r="M37" s="886"/>
      <c r="N37" s="886"/>
      <c r="O37" s="886"/>
      <c r="P37" s="886"/>
      <c r="Q37" s="1167">
        <v>2769</v>
      </c>
      <c r="R37" s="882"/>
      <c r="S37" s="1269"/>
      <c r="T37" s="1254"/>
      <c r="U37" s="996"/>
      <c r="V37" s="996" t="s">
        <v>10129</v>
      </c>
      <c r="W37" s="992"/>
    </row>
    <row r="38" spans="1:23" ht="14.5" customHeight="1">
      <c r="A38" s="1034"/>
      <c r="B38" s="1034"/>
      <c r="C38" s="987"/>
      <c r="D38" s="988" t="str">
        <f t="shared" si="0"/>
        <v/>
      </c>
      <c r="F38" s="988" t="str">
        <f t="shared" si="1"/>
        <v/>
      </c>
      <c r="G38" s="1095" t="str">
        <f t="shared" si="3"/>
        <v>0113011</v>
      </c>
      <c r="H38" s="1016" t="s">
        <v>5371</v>
      </c>
      <c r="I38" s="944" t="str">
        <f t="shared" si="2"/>
        <v>0113011108</v>
      </c>
      <c r="J38" s="991" t="s">
        <v>10135</v>
      </c>
      <c r="K38" s="873"/>
      <c r="L38" s="873"/>
      <c r="M38" s="886"/>
      <c r="N38" s="886"/>
      <c r="O38" s="886"/>
      <c r="P38" s="886"/>
      <c r="Q38" s="1167">
        <v>1910</v>
      </c>
      <c r="R38" s="882"/>
      <c r="S38" s="1269"/>
      <c r="T38" s="1254"/>
      <c r="U38" s="996"/>
      <c r="V38" s="996" t="s">
        <v>10129</v>
      </c>
      <c r="W38" s="992"/>
    </row>
    <row r="39" spans="1:23" ht="14.5" customHeight="1">
      <c r="A39" s="1034"/>
      <c r="B39" s="1034"/>
      <c r="C39" s="987"/>
      <c r="D39" s="988" t="str">
        <f t="shared" si="0"/>
        <v/>
      </c>
      <c r="F39" s="988" t="str">
        <f t="shared" si="1"/>
        <v/>
      </c>
      <c r="G39" s="1095" t="str">
        <f t="shared" si="3"/>
        <v>0113011</v>
      </c>
      <c r="H39" s="1016" t="s">
        <v>5373</v>
      </c>
      <c r="I39" s="944" t="str">
        <f t="shared" si="2"/>
        <v>0113011109</v>
      </c>
      <c r="J39" s="992" t="s">
        <v>10136</v>
      </c>
      <c r="K39" s="873"/>
      <c r="L39" s="873"/>
      <c r="M39" s="886"/>
      <c r="N39" s="873"/>
      <c r="O39" s="873"/>
      <c r="P39" s="886"/>
      <c r="Q39" s="1167">
        <v>339</v>
      </c>
      <c r="R39" s="882"/>
      <c r="S39" s="1269"/>
      <c r="T39" s="1254"/>
      <c r="U39" s="996"/>
      <c r="V39" s="991" t="s">
        <v>10137</v>
      </c>
      <c r="W39" s="992"/>
    </row>
    <row r="40" spans="1:23" ht="14.5" customHeight="1">
      <c r="A40" s="1034"/>
      <c r="B40" s="1034"/>
      <c r="C40" s="987"/>
      <c r="D40" s="988" t="str">
        <f t="shared" si="0"/>
        <v/>
      </c>
      <c r="F40" s="988" t="str">
        <f t="shared" si="1"/>
        <v/>
      </c>
      <c r="G40" s="1095" t="str">
        <f t="shared" si="3"/>
        <v>0113011</v>
      </c>
      <c r="H40" s="1016" t="s">
        <v>5375</v>
      </c>
      <c r="I40" s="944" t="str">
        <f t="shared" si="2"/>
        <v>0113011110</v>
      </c>
      <c r="J40" s="991" t="s">
        <v>5376</v>
      </c>
      <c r="K40" s="873"/>
      <c r="L40" s="873"/>
      <c r="M40" s="886"/>
      <c r="N40" s="873"/>
      <c r="O40" s="873"/>
      <c r="P40" s="886"/>
      <c r="Q40" s="1167">
        <v>202</v>
      </c>
      <c r="R40" s="882"/>
      <c r="S40" s="1269"/>
      <c r="T40" s="1254"/>
      <c r="U40" s="996"/>
      <c r="V40" s="996"/>
      <c r="W40" s="992"/>
    </row>
    <row r="41" spans="1:23" ht="14.5" customHeight="1">
      <c r="A41" s="1034"/>
      <c r="B41" s="1034"/>
      <c r="C41" s="987"/>
      <c r="D41" s="988" t="str">
        <f t="shared" si="0"/>
        <v/>
      </c>
      <c r="F41" s="988" t="str">
        <f t="shared" si="1"/>
        <v/>
      </c>
      <c r="G41" s="1095" t="str">
        <f t="shared" si="3"/>
        <v>0113011</v>
      </c>
      <c r="H41" s="1016" t="s">
        <v>5377</v>
      </c>
      <c r="I41" s="944" t="str">
        <f t="shared" si="2"/>
        <v>0113011111</v>
      </c>
      <c r="J41" s="991" t="s">
        <v>5378</v>
      </c>
      <c r="K41" s="873"/>
      <c r="L41" s="873"/>
      <c r="M41" s="886"/>
      <c r="N41" s="873"/>
      <c r="O41" s="873"/>
      <c r="P41" s="886"/>
      <c r="Q41" s="1167">
        <v>999</v>
      </c>
      <c r="R41" s="882"/>
      <c r="S41" s="1269"/>
      <c r="T41" s="1254"/>
      <c r="U41" s="996"/>
      <c r="V41" s="991" t="s">
        <v>10095</v>
      </c>
      <c r="W41" s="992"/>
    </row>
    <row r="42" spans="1:23" ht="14.5" customHeight="1">
      <c r="A42" s="1034"/>
      <c r="B42" s="1034"/>
      <c r="C42" s="987"/>
      <c r="D42" s="988" t="str">
        <f t="shared" si="0"/>
        <v/>
      </c>
      <c r="F42" s="988" t="str">
        <f t="shared" si="1"/>
        <v/>
      </c>
      <c r="G42" s="1095" t="str">
        <f t="shared" si="3"/>
        <v>0113011</v>
      </c>
      <c r="H42" s="1016" t="s">
        <v>5379</v>
      </c>
      <c r="I42" s="944" t="str">
        <f t="shared" si="2"/>
        <v>0113011112</v>
      </c>
      <c r="J42" s="992" t="s">
        <v>10138</v>
      </c>
      <c r="K42" s="873"/>
      <c r="L42" s="873"/>
      <c r="M42" s="886"/>
      <c r="N42" s="873"/>
      <c r="O42" s="873"/>
      <c r="P42" s="886"/>
      <c r="Q42" s="1167">
        <v>176</v>
      </c>
      <c r="R42" s="882"/>
      <c r="S42" s="1269"/>
      <c r="T42" s="1254"/>
      <c r="U42" s="996"/>
      <c r="V42" s="996" t="s">
        <v>10129</v>
      </c>
      <c r="W42" s="992"/>
    </row>
    <row r="43" spans="1:23" ht="14.5" customHeight="1">
      <c r="A43" s="1034"/>
      <c r="B43" s="1034"/>
      <c r="C43" s="987"/>
      <c r="D43" s="988" t="str">
        <f>IF(C43="","",CONCATENATE(LEFT(C43,4),MID(C43,6,2)))</f>
        <v/>
      </c>
      <c r="F43" s="988" t="str">
        <f>IF(E43="","",CONCATENATE(LEFT(E43,4),MID(E43,6,3)))</f>
        <v/>
      </c>
      <c r="G43" s="1095" t="str">
        <f>IF(F43="",G42,F43)</f>
        <v>0113011</v>
      </c>
      <c r="H43" s="1016" t="s">
        <v>10139</v>
      </c>
      <c r="I43" s="944" t="str">
        <f>IF(H43="","",CONCATENATE(G43,H43))</f>
        <v>0113011113</v>
      </c>
      <c r="J43" s="992" t="s">
        <v>10140</v>
      </c>
      <c r="K43" s="873"/>
      <c r="L43" s="873"/>
      <c r="M43" s="886"/>
      <c r="N43" s="873"/>
      <c r="O43" s="873"/>
      <c r="P43" s="886"/>
      <c r="Q43" s="1167">
        <v>58</v>
      </c>
      <c r="R43" s="882"/>
      <c r="S43" s="1269"/>
      <c r="T43" s="1254"/>
      <c r="U43" s="996"/>
      <c r="V43" s="996" t="s">
        <v>10129</v>
      </c>
      <c r="W43" s="992"/>
    </row>
    <row r="44" spans="1:23" ht="14.5" customHeight="1">
      <c r="A44" s="1034"/>
      <c r="B44" s="1034"/>
      <c r="C44" s="987"/>
      <c r="D44" s="988" t="str">
        <f t="shared" si="0"/>
        <v/>
      </c>
      <c r="F44" s="988" t="str">
        <f t="shared" si="1"/>
        <v/>
      </c>
      <c r="G44" s="1095" t="str">
        <f>IF(F44="",G42,F44)</f>
        <v>0113011</v>
      </c>
      <c r="H44" s="1016" t="s">
        <v>5381</v>
      </c>
      <c r="I44" s="944" t="str">
        <f t="shared" si="2"/>
        <v>0113011199</v>
      </c>
      <c r="J44" s="991" t="s">
        <v>10141</v>
      </c>
      <c r="K44" s="873"/>
      <c r="L44" s="873"/>
      <c r="M44" s="886"/>
      <c r="N44" s="886"/>
      <c r="O44" s="886"/>
      <c r="P44" s="886"/>
      <c r="Q44" s="1167">
        <f>0+0+113+69</f>
        <v>182</v>
      </c>
      <c r="R44" s="882"/>
      <c r="S44" s="1269"/>
      <c r="T44" s="1254"/>
      <c r="U44" s="991"/>
      <c r="V44" s="991" t="s">
        <v>10095</v>
      </c>
      <c r="W44" s="992" t="s">
        <v>10142</v>
      </c>
    </row>
    <row r="45" spans="1:23" ht="14.5" customHeight="1">
      <c r="A45" s="1034"/>
      <c r="B45" s="1034"/>
      <c r="C45" s="987"/>
      <c r="D45" s="988" t="str">
        <f t="shared" si="0"/>
        <v/>
      </c>
      <c r="F45" s="988" t="str">
        <f t="shared" si="1"/>
        <v/>
      </c>
      <c r="G45" s="1095" t="str">
        <f t="shared" si="3"/>
        <v>0113011</v>
      </c>
      <c r="H45" s="1016" t="s">
        <v>5383</v>
      </c>
      <c r="I45" s="944" t="str">
        <f t="shared" si="2"/>
        <v>0113011201</v>
      </c>
      <c r="J45" s="991" t="s">
        <v>5384</v>
      </c>
      <c r="K45" s="873"/>
      <c r="L45" s="873"/>
      <c r="M45" s="886"/>
      <c r="N45" s="873"/>
      <c r="O45" s="873"/>
      <c r="P45" s="886"/>
      <c r="Q45" s="1167">
        <v>1565</v>
      </c>
      <c r="R45" s="882"/>
      <c r="S45" s="1269"/>
      <c r="T45" s="1254"/>
      <c r="U45" s="996"/>
      <c r="V45" s="991" t="s">
        <v>10137</v>
      </c>
      <c r="W45" s="992"/>
    </row>
    <row r="46" spans="1:23" ht="14.5" customHeight="1">
      <c r="A46" s="1034"/>
      <c r="B46" s="1034"/>
      <c r="C46" s="987"/>
      <c r="D46" s="988" t="str">
        <f t="shared" si="0"/>
        <v/>
      </c>
      <c r="F46" s="988" t="str">
        <f t="shared" si="1"/>
        <v/>
      </c>
      <c r="G46" s="1095" t="str">
        <f t="shared" si="3"/>
        <v>0113011</v>
      </c>
      <c r="H46" s="1016" t="s">
        <v>5385</v>
      </c>
      <c r="I46" s="944" t="str">
        <f t="shared" si="2"/>
        <v>0113011202</v>
      </c>
      <c r="J46" s="991" t="s">
        <v>5386</v>
      </c>
      <c r="K46" s="873"/>
      <c r="L46" s="873"/>
      <c r="M46" s="886"/>
      <c r="N46" s="873"/>
      <c r="O46" s="873"/>
      <c r="P46" s="886"/>
      <c r="Q46" s="1167">
        <v>727</v>
      </c>
      <c r="R46" s="882"/>
      <c r="S46" s="1269"/>
      <c r="T46" s="1254"/>
      <c r="U46" s="996"/>
      <c r="V46" s="991" t="s">
        <v>10095</v>
      </c>
      <c r="W46" s="992"/>
    </row>
    <row r="47" spans="1:23" ht="14.5" customHeight="1">
      <c r="A47" s="1034"/>
      <c r="B47" s="1034"/>
      <c r="C47" s="987"/>
      <c r="D47" s="988" t="str">
        <f t="shared" si="0"/>
        <v/>
      </c>
      <c r="F47" s="988" t="str">
        <f t="shared" si="1"/>
        <v/>
      </c>
      <c r="G47" s="1095" t="str">
        <f t="shared" si="3"/>
        <v>0113011</v>
      </c>
      <c r="H47" s="1016" t="s">
        <v>5387</v>
      </c>
      <c r="I47" s="944" t="str">
        <f t="shared" si="2"/>
        <v>0113011203</v>
      </c>
      <c r="J47" s="991" t="s">
        <v>10143</v>
      </c>
      <c r="K47" s="873"/>
      <c r="L47" s="873"/>
      <c r="M47" s="886"/>
      <c r="N47" s="873"/>
      <c r="O47" s="873"/>
      <c r="P47" s="886"/>
      <c r="Q47" s="1167">
        <v>1266</v>
      </c>
      <c r="R47" s="882"/>
      <c r="S47" s="1269"/>
      <c r="T47" s="1254"/>
      <c r="U47" s="996"/>
      <c r="V47" s="991" t="s">
        <v>10137</v>
      </c>
      <c r="W47" s="992"/>
    </row>
    <row r="48" spans="1:23" ht="14.5" customHeight="1">
      <c r="A48" s="1034"/>
      <c r="B48" s="1034"/>
      <c r="C48" s="987"/>
      <c r="D48" s="988" t="str">
        <f t="shared" si="0"/>
        <v/>
      </c>
      <c r="F48" s="988" t="str">
        <f t="shared" si="1"/>
        <v/>
      </c>
      <c r="G48" s="1095" t="str">
        <f t="shared" si="3"/>
        <v>0113011</v>
      </c>
      <c r="H48" s="1016" t="s">
        <v>5389</v>
      </c>
      <c r="I48" s="944" t="str">
        <f t="shared" si="2"/>
        <v>0113011204</v>
      </c>
      <c r="J48" s="991" t="s">
        <v>10144</v>
      </c>
      <c r="K48" s="873"/>
      <c r="L48" s="873"/>
      <c r="M48" s="886"/>
      <c r="N48" s="873"/>
      <c r="O48" s="873"/>
      <c r="P48" s="886"/>
      <c r="Q48" s="1167">
        <v>1607</v>
      </c>
      <c r="R48" s="882"/>
      <c r="S48" s="1269"/>
      <c r="T48" s="1254"/>
      <c r="U48" s="996"/>
      <c r="V48" s="996" t="s">
        <v>10145</v>
      </c>
      <c r="W48" s="992"/>
    </row>
    <row r="49" spans="1:23" ht="14.5" customHeight="1">
      <c r="A49" s="1034"/>
      <c r="B49" s="1034"/>
      <c r="C49" s="987"/>
      <c r="D49" s="988" t="str">
        <f t="shared" si="0"/>
        <v/>
      </c>
      <c r="F49" s="988" t="str">
        <f t="shared" si="1"/>
        <v/>
      </c>
      <c r="G49" s="1095" t="str">
        <f t="shared" si="3"/>
        <v>0113011</v>
      </c>
      <c r="H49" s="1016" t="s">
        <v>5391</v>
      </c>
      <c r="I49" s="944" t="str">
        <f t="shared" si="2"/>
        <v>0113011205</v>
      </c>
      <c r="J49" s="991" t="s">
        <v>5392</v>
      </c>
      <c r="K49" s="873"/>
      <c r="L49" s="873"/>
      <c r="M49" s="886"/>
      <c r="N49" s="873"/>
      <c r="O49" s="873"/>
      <c r="P49" s="886"/>
      <c r="Q49" s="1167">
        <v>9198</v>
      </c>
      <c r="R49" s="882"/>
      <c r="S49" s="1269"/>
      <c r="T49" s="1254"/>
      <c r="U49" s="996"/>
      <c r="V49" s="996" t="s">
        <v>10145</v>
      </c>
      <c r="W49" s="992"/>
    </row>
    <row r="50" spans="1:23" ht="14.5" customHeight="1">
      <c r="A50" s="1034"/>
      <c r="B50" s="1034"/>
      <c r="C50" s="987"/>
      <c r="D50" s="988" t="str">
        <f t="shared" si="0"/>
        <v/>
      </c>
      <c r="F50" s="988" t="str">
        <f t="shared" si="1"/>
        <v/>
      </c>
      <c r="G50" s="1095" t="str">
        <f t="shared" si="3"/>
        <v>0113011</v>
      </c>
      <c r="H50" s="1016" t="s">
        <v>5393</v>
      </c>
      <c r="I50" s="944" t="str">
        <f t="shared" si="2"/>
        <v>0113011206</v>
      </c>
      <c r="J50" s="991" t="s">
        <v>10146</v>
      </c>
      <c r="K50" s="873"/>
      <c r="L50" s="873"/>
      <c r="M50" s="886"/>
      <c r="N50" s="873"/>
      <c r="O50" s="873"/>
      <c r="P50" s="886"/>
      <c r="Q50" s="1167">
        <v>99</v>
      </c>
      <c r="R50" s="882"/>
      <c r="S50" s="1269"/>
      <c r="T50" s="1254"/>
      <c r="U50" s="996"/>
      <c r="V50" s="991" t="s">
        <v>10095</v>
      </c>
      <c r="W50" s="992"/>
    </row>
    <row r="51" spans="1:23" ht="14.5" customHeight="1">
      <c r="A51" s="1034"/>
      <c r="B51" s="1034"/>
      <c r="C51" s="987"/>
      <c r="D51" s="988" t="str">
        <f t="shared" si="0"/>
        <v/>
      </c>
      <c r="F51" s="988" t="str">
        <f t="shared" si="1"/>
        <v/>
      </c>
      <c r="G51" s="1095" t="str">
        <f t="shared" si="3"/>
        <v>0113011</v>
      </c>
      <c r="H51" s="1016" t="s">
        <v>5395</v>
      </c>
      <c r="I51" s="944" t="str">
        <f t="shared" si="2"/>
        <v>0113011207</v>
      </c>
      <c r="J51" s="991" t="s">
        <v>10147</v>
      </c>
      <c r="K51" s="873"/>
      <c r="L51" s="873"/>
      <c r="M51" s="886"/>
      <c r="N51" s="873"/>
      <c r="O51" s="873"/>
      <c r="P51" s="886"/>
      <c r="Q51" s="1167">
        <v>36</v>
      </c>
      <c r="R51" s="882"/>
      <c r="S51" s="1269"/>
      <c r="T51" s="1254"/>
      <c r="U51" s="991"/>
      <c r="V51" s="996" t="s">
        <v>10145</v>
      </c>
      <c r="W51" s="992"/>
    </row>
    <row r="52" spans="1:23" ht="14.5" customHeight="1">
      <c r="A52" s="1034"/>
      <c r="B52" s="1034"/>
      <c r="C52" s="987"/>
      <c r="D52" s="988" t="str">
        <f t="shared" si="0"/>
        <v/>
      </c>
      <c r="F52" s="988" t="str">
        <f t="shared" si="1"/>
        <v/>
      </c>
      <c r="G52" s="1095" t="str">
        <f t="shared" si="3"/>
        <v>0113011</v>
      </c>
      <c r="H52" s="1016" t="s">
        <v>5397</v>
      </c>
      <c r="I52" s="944" t="str">
        <f t="shared" si="2"/>
        <v>0113011208</v>
      </c>
      <c r="J52" s="991" t="s">
        <v>10148</v>
      </c>
      <c r="K52" s="873"/>
      <c r="L52" s="873"/>
      <c r="M52" s="886"/>
      <c r="N52" s="873"/>
      <c r="O52" s="873"/>
      <c r="P52" s="886"/>
      <c r="Q52" s="1167">
        <v>515</v>
      </c>
      <c r="R52" s="882"/>
      <c r="S52" s="1269"/>
      <c r="T52" s="1254"/>
      <c r="U52" s="996"/>
      <c r="V52" s="991" t="s">
        <v>10137</v>
      </c>
      <c r="W52" s="992"/>
    </row>
    <row r="53" spans="1:23" ht="14.5" customHeight="1">
      <c r="A53" s="1034"/>
      <c r="B53" s="1034"/>
      <c r="C53" s="987"/>
      <c r="D53" s="988" t="str">
        <f t="shared" si="0"/>
        <v/>
      </c>
      <c r="F53" s="988" t="str">
        <f t="shared" si="1"/>
        <v/>
      </c>
      <c r="G53" s="1095" t="str">
        <f t="shared" si="3"/>
        <v>0113011</v>
      </c>
      <c r="H53" s="1016" t="s">
        <v>5399</v>
      </c>
      <c r="I53" s="944" t="str">
        <f t="shared" si="2"/>
        <v>0113011209</v>
      </c>
      <c r="J53" s="991" t="s">
        <v>5400</v>
      </c>
      <c r="K53" s="873"/>
      <c r="L53" s="886"/>
      <c r="M53" s="886"/>
      <c r="N53" s="873"/>
      <c r="O53" s="873"/>
      <c r="P53" s="886"/>
      <c r="Q53" s="1167">
        <v>66</v>
      </c>
      <c r="R53" s="882"/>
      <c r="S53" s="1269"/>
      <c r="T53" s="1254"/>
      <c r="U53" s="991"/>
      <c r="V53" s="991" t="s">
        <v>10095</v>
      </c>
      <c r="W53" s="992"/>
    </row>
    <row r="54" spans="1:23" ht="14.5" customHeight="1">
      <c r="A54" s="1034"/>
      <c r="B54" s="1034"/>
      <c r="C54" s="987"/>
      <c r="D54" s="988" t="str">
        <f t="shared" si="0"/>
        <v/>
      </c>
      <c r="F54" s="988" t="str">
        <f t="shared" si="1"/>
        <v/>
      </c>
      <c r="G54" s="1095" t="str">
        <f t="shared" si="3"/>
        <v>0113011</v>
      </c>
      <c r="H54" s="1016" t="s">
        <v>5401</v>
      </c>
      <c r="I54" s="944" t="str">
        <f t="shared" si="2"/>
        <v>0113011210</v>
      </c>
      <c r="J54" s="991" t="s">
        <v>10149</v>
      </c>
      <c r="K54" s="873"/>
      <c r="L54" s="873"/>
      <c r="M54" s="886"/>
      <c r="N54" s="886"/>
      <c r="O54" s="886"/>
      <c r="P54" s="886"/>
      <c r="Q54" s="1167">
        <v>3773</v>
      </c>
      <c r="R54" s="882"/>
      <c r="S54" s="1269"/>
      <c r="T54" s="1254"/>
      <c r="U54" s="991"/>
      <c r="V54" s="996" t="s">
        <v>10145</v>
      </c>
      <c r="W54" s="992"/>
    </row>
    <row r="55" spans="1:23" ht="14.5" customHeight="1">
      <c r="A55" s="1034"/>
      <c r="B55" s="1034"/>
      <c r="C55" s="987"/>
      <c r="D55" s="988" t="str">
        <f t="shared" si="0"/>
        <v/>
      </c>
      <c r="F55" s="988" t="str">
        <f t="shared" si="1"/>
        <v/>
      </c>
      <c r="G55" s="1095" t="str">
        <f t="shared" si="3"/>
        <v>0113011</v>
      </c>
      <c r="H55" s="1016" t="s">
        <v>5403</v>
      </c>
      <c r="I55" s="944" t="str">
        <f t="shared" si="2"/>
        <v>0113011211</v>
      </c>
      <c r="J55" s="991" t="s">
        <v>10150</v>
      </c>
      <c r="K55" s="873"/>
      <c r="L55" s="873"/>
      <c r="M55" s="886"/>
      <c r="N55" s="873"/>
      <c r="O55" s="873"/>
      <c r="P55" s="886"/>
      <c r="Q55" s="1167">
        <v>8</v>
      </c>
      <c r="R55" s="882"/>
      <c r="S55" s="1269"/>
      <c r="T55" s="1254"/>
      <c r="U55" s="996"/>
      <c r="V55" s="996" t="s">
        <v>10145</v>
      </c>
      <c r="W55" s="992"/>
    </row>
    <row r="56" spans="1:23" ht="14.5" customHeight="1">
      <c r="A56" s="1034"/>
      <c r="B56" s="1034"/>
      <c r="C56" s="987"/>
      <c r="D56" s="988" t="str">
        <f t="shared" si="0"/>
        <v/>
      </c>
      <c r="F56" s="988" t="str">
        <f t="shared" si="1"/>
        <v/>
      </c>
      <c r="G56" s="1095" t="str">
        <f t="shared" si="3"/>
        <v>0113011</v>
      </c>
      <c r="H56" s="1016" t="s">
        <v>5405</v>
      </c>
      <c r="I56" s="944" t="str">
        <f t="shared" si="2"/>
        <v>0113011212</v>
      </c>
      <c r="J56" s="991" t="s">
        <v>5406</v>
      </c>
      <c r="K56" s="873"/>
      <c r="L56" s="873"/>
      <c r="M56" s="886"/>
      <c r="N56" s="873"/>
      <c r="O56" s="873"/>
      <c r="P56" s="886"/>
      <c r="Q56" s="1167">
        <v>25</v>
      </c>
      <c r="R56" s="882"/>
      <c r="S56" s="1269"/>
      <c r="T56" s="1254"/>
      <c r="U56" s="991"/>
      <c r="V56" s="991" t="s">
        <v>10095</v>
      </c>
      <c r="W56" s="992"/>
    </row>
    <row r="57" spans="1:23" ht="14.5" customHeight="1">
      <c r="A57" s="1034"/>
      <c r="B57" s="1034"/>
      <c r="C57" s="987"/>
      <c r="D57" s="988" t="str">
        <f t="shared" si="0"/>
        <v/>
      </c>
      <c r="F57" s="988" t="str">
        <f t="shared" si="1"/>
        <v/>
      </c>
      <c r="G57" s="1095" t="str">
        <f t="shared" si="3"/>
        <v>0113011</v>
      </c>
      <c r="H57" s="1016" t="s">
        <v>5407</v>
      </c>
      <c r="I57" s="944" t="str">
        <f t="shared" si="2"/>
        <v>0113011213</v>
      </c>
      <c r="J57" s="991" t="s">
        <v>5408</v>
      </c>
      <c r="K57" s="873"/>
      <c r="L57" s="873"/>
      <c r="M57" s="886"/>
      <c r="N57" s="873"/>
      <c r="O57" s="873"/>
      <c r="P57" s="886"/>
      <c r="Q57" s="1167">
        <v>532</v>
      </c>
      <c r="R57" s="882"/>
      <c r="S57" s="1269"/>
      <c r="T57" s="1254"/>
      <c r="U57" s="996"/>
      <c r="V57" s="996" t="s">
        <v>10145</v>
      </c>
      <c r="W57" s="992"/>
    </row>
    <row r="58" spans="1:23" ht="14.5" customHeight="1">
      <c r="A58" s="1034"/>
      <c r="B58" s="1034"/>
      <c r="C58" s="987"/>
      <c r="F58" s="988"/>
      <c r="G58" s="1095" t="str">
        <f t="shared" si="3"/>
        <v>0113011</v>
      </c>
      <c r="H58" s="1016" t="s">
        <v>5409</v>
      </c>
      <c r="I58" s="944" t="str">
        <f t="shared" si="2"/>
        <v>0113011214</v>
      </c>
      <c r="J58" s="991" t="s">
        <v>10151</v>
      </c>
      <c r="K58" s="873"/>
      <c r="L58" s="873"/>
      <c r="M58" s="886"/>
      <c r="N58" s="873"/>
      <c r="O58" s="873"/>
      <c r="P58" s="886"/>
      <c r="Q58" s="1167">
        <v>452</v>
      </c>
      <c r="R58" s="882"/>
      <c r="S58" s="1269"/>
      <c r="T58" s="1254"/>
      <c r="U58" s="996"/>
      <c r="V58" s="996"/>
      <c r="W58" s="992"/>
    </row>
    <row r="59" spans="1:23" ht="14.5" customHeight="1">
      <c r="A59" s="1034"/>
      <c r="B59" s="1034"/>
      <c r="C59" s="987"/>
      <c r="D59" s="988" t="str">
        <f t="shared" si="0"/>
        <v/>
      </c>
      <c r="F59" s="988" t="str">
        <f t="shared" si="1"/>
        <v/>
      </c>
      <c r="G59" s="1095" t="str">
        <f t="shared" si="3"/>
        <v>0113011</v>
      </c>
      <c r="H59" s="1016" t="s">
        <v>5411</v>
      </c>
      <c r="I59" s="944" t="str">
        <f t="shared" si="2"/>
        <v>0113011215</v>
      </c>
      <c r="J59" s="991" t="s">
        <v>10152</v>
      </c>
      <c r="K59" s="873"/>
      <c r="L59" s="873"/>
      <c r="M59" s="886"/>
      <c r="N59" s="873"/>
      <c r="O59" s="873"/>
      <c r="P59" s="886"/>
      <c r="Q59" s="1167">
        <v>22</v>
      </c>
      <c r="R59" s="882"/>
      <c r="S59" s="1269"/>
      <c r="T59" s="1254"/>
      <c r="U59" s="996"/>
      <c r="V59" s="996" t="s">
        <v>10145</v>
      </c>
      <c r="W59" s="992"/>
    </row>
    <row r="60" spans="1:23" ht="14.5" customHeight="1">
      <c r="A60" s="1034"/>
      <c r="B60" s="1034"/>
      <c r="C60" s="987"/>
      <c r="F60" s="988"/>
      <c r="G60" s="1095" t="str">
        <f t="shared" si="3"/>
        <v>0113011</v>
      </c>
      <c r="H60" s="1016" t="s">
        <v>5413</v>
      </c>
      <c r="I60" s="944" t="str">
        <f t="shared" si="2"/>
        <v>0113011216</v>
      </c>
      <c r="J60" s="991" t="s">
        <v>10153</v>
      </c>
      <c r="K60" s="873"/>
      <c r="L60" s="873"/>
      <c r="M60" s="886"/>
      <c r="N60" s="873"/>
      <c r="O60" s="873"/>
      <c r="P60" s="886"/>
      <c r="Q60" s="1167">
        <v>20</v>
      </c>
      <c r="R60" s="882"/>
      <c r="S60" s="1269"/>
      <c r="T60" s="1254"/>
      <c r="U60" s="996"/>
      <c r="V60" s="996"/>
      <c r="W60" s="992"/>
    </row>
    <row r="61" spans="1:23" ht="14.5" customHeight="1">
      <c r="A61" s="1034"/>
      <c r="B61" s="1034"/>
      <c r="C61" s="987"/>
      <c r="D61" s="988" t="str">
        <f t="shared" si="0"/>
        <v/>
      </c>
      <c r="F61" s="988" t="str">
        <f t="shared" si="1"/>
        <v/>
      </c>
      <c r="G61" s="1095" t="str">
        <f t="shared" si="3"/>
        <v>0113011</v>
      </c>
      <c r="H61" s="1016" t="s">
        <v>5415</v>
      </c>
      <c r="I61" s="944" t="str">
        <f t="shared" si="2"/>
        <v>0113011217</v>
      </c>
      <c r="J61" s="991" t="s">
        <v>5416</v>
      </c>
      <c r="K61" s="873"/>
      <c r="L61" s="886"/>
      <c r="M61" s="886"/>
      <c r="N61" s="873"/>
      <c r="O61" s="873"/>
      <c r="P61" s="886"/>
      <c r="Q61" s="1167">
        <v>0</v>
      </c>
      <c r="R61" s="882"/>
      <c r="S61" s="1269"/>
      <c r="T61" s="1254"/>
      <c r="U61" s="991"/>
      <c r="V61" s="991" t="s">
        <v>10095</v>
      </c>
      <c r="W61" s="992"/>
    </row>
    <row r="62" spans="1:23" ht="14.5" customHeight="1">
      <c r="A62" s="1034"/>
      <c r="B62" s="1034"/>
      <c r="C62" s="987"/>
      <c r="F62" s="988"/>
      <c r="G62" s="1095" t="str">
        <f t="shared" si="3"/>
        <v>0113011</v>
      </c>
      <c r="H62" s="1016" t="s">
        <v>5417</v>
      </c>
      <c r="I62" s="944" t="str">
        <f t="shared" si="2"/>
        <v>0113011218</v>
      </c>
      <c r="J62" s="991" t="s">
        <v>10154</v>
      </c>
      <c r="K62" s="873"/>
      <c r="L62" s="873"/>
      <c r="M62" s="886"/>
      <c r="N62" s="873"/>
      <c r="O62" s="873"/>
      <c r="P62" s="886"/>
      <c r="Q62" s="1167">
        <v>180</v>
      </c>
      <c r="R62" s="882"/>
      <c r="S62" s="1269"/>
      <c r="T62" s="1254"/>
      <c r="U62" s="996"/>
      <c r="V62" s="996"/>
      <c r="W62" s="992"/>
    </row>
    <row r="63" spans="1:23" ht="14.5" customHeight="1">
      <c r="A63" s="1034"/>
      <c r="B63" s="1034"/>
      <c r="C63" s="987"/>
      <c r="F63" s="988"/>
      <c r="G63" s="1095" t="str">
        <f t="shared" si="3"/>
        <v>0113011</v>
      </c>
      <c r="H63" s="1016" t="s">
        <v>10155</v>
      </c>
      <c r="I63" s="944" t="str">
        <f t="shared" si="2"/>
        <v>0113011219</v>
      </c>
      <c r="J63" s="991" t="s">
        <v>10156</v>
      </c>
      <c r="K63" s="890">
        <v>12200.6</v>
      </c>
      <c r="L63" s="890">
        <v>1630</v>
      </c>
      <c r="M63" s="890">
        <v>43800</v>
      </c>
      <c r="N63" s="873"/>
      <c r="O63" s="873"/>
      <c r="P63" s="886"/>
      <c r="Q63" s="1165">
        <f>ROUND(K63*L63/M63,0)</f>
        <v>454</v>
      </c>
      <c r="R63" s="882"/>
      <c r="S63" s="1269"/>
      <c r="T63" s="1254"/>
      <c r="U63" s="996" t="s">
        <v>10157</v>
      </c>
      <c r="V63" s="996"/>
      <c r="W63" s="992" t="s">
        <v>10158</v>
      </c>
    </row>
    <row r="64" spans="1:23" ht="14.5" customHeight="1">
      <c r="A64" s="1034"/>
      <c r="B64" s="1034"/>
      <c r="C64" s="987"/>
      <c r="F64" s="988"/>
      <c r="G64" s="1095" t="str">
        <f>IF(F64="",G62,F64)</f>
        <v>0113011</v>
      </c>
      <c r="H64" s="1016" t="s">
        <v>10159</v>
      </c>
      <c r="I64" s="944" t="str">
        <f>IF(H64="","",CONCATENATE(G64,H64))</f>
        <v>0113011220</v>
      </c>
      <c r="J64" s="991" t="s">
        <v>5473</v>
      </c>
      <c r="K64" s="873"/>
      <c r="L64" s="873"/>
      <c r="M64" s="886"/>
      <c r="N64" s="873"/>
      <c r="O64" s="873"/>
      <c r="P64" s="886"/>
      <c r="Q64" s="1167">
        <v>2135</v>
      </c>
      <c r="R64" s="882"/>
      <c r="S64" s="1269"/>
      <c r="T64" s="1254"/>
      <c r="U64" s="996" t="s">
        <v>10125</v>
      </c>
      <c r="V64" s="996"/>
      <c r="W64" s="992"/>
    </row>
    <row r="65" spans="1:23" s="944" customFormat="1" ht="14.5" customHeight="1">
      <c r="C65" s="987"/>
      <c r="D65" s="988" t="str">
        <f t="shared" si="0"/>
        <v/>
      </c>
      <c r="F65" s="988" t="str">
        <f t="shared" si="1"/>
        <v/>
      </c>
      <c r="G65" s="1095" t="str">
        <f>IF(F65="",G62,F65)</f>
        <v>0113011</v>
      </c>
      <c r="H65" s="1016" t="s">
        <v>5419</v>
      </c>
      <c r="I65" s="944" t="str">
        <f t="shared" si="2"/>
        <v>0113011299</v>
      </c>
      <c r="J65" s="991" t="s">
        <v>10160</v>
      </c>
      <c r="K65" s="873"/>
      <c r="L65" s="873"/>
      <c r="M65" s="873"/>
      <c r="N65" s="873"/>
      <c r="O65" s="873"/>
      <c r="P65" s="873"/>
      <c r="Q65" s="1167">
        <f>5+560</f>
        <v>565</v>
      </c>
      <c r="R65" s="887"/>
      <c r="S65" s="1273"/>
      <c r="T65" s="1256"/>
      <c r="U65" s="991"/>
      <c r="V65" s="991" t="s">
        <v>10095</v>
      </c>
      <c r="W65" s="992" t="s">
        <v>10161</v>
      </c>
    </row>
    <row r="66" spans="1:23" ht="14.5" customHeight="1">
      <c r="A66" s="1034"/>
      <c r="B66" s="1034"/>
      <c r="C66" s="987"/>
      <c r="D66" s="988" t="str">
        <f t="shared" si="0"/>
        <v/>
      </c>
      <c r="F66" s="988" t="str">
        <f t="shared" si="1"/>
        <v/>
      </c>
      <c r="G66" s="1095" t="str">
        <f t="shared" si="3"/>
        <v>0113011</v>
      </c>
      <c r="H66" s="1016" t="s">
        <v>5421</v>
      </c>
      <c r="I66" s="944" t="str">
        <f t="shared" si="2"/>
        <v>0113011301</v>
      </c>
      <c r="J66" s="991" t="s">
        <v>5422</v>
      </c>
      <c r="K66" s="873"/>
      <c r="L66" s="886"/>
      <c r="M66" s="886"/>
      <c r="N66" s="873"/>
      <c r="O66" s="873"/>
      <c r="P66" s="886"/>
      <c r="Q66" s="1167">
        <v>948</v>
      </c>
      <c r="R66" s="882"/>
      <c r="S66" s="1269"/>
      <c r="T66" s="1254"/>
      <c r="U66" s="996"/>
      <c r="V66" s="991" t="s">
        <v>10137</v>
      </c>
      <c r="W66" s="992"/>
    </row>
    <row r="67" spans="1:23" ht="14.5" customHeight="1">
      <c r="A67" s="1034"/>
      <c r="B67" s="1034"/>
      <c r="C67" s="987"/>
      <c r="D67" s="988" t="str">
        <f t="shared" si="0"/>
        <v/>
      </c>
      <c r="F67" s="988" t="str">
        <f t="shared" si="1"/>
        <v/>
      </c>
      <c r="G67" s="1095" t="str">
        <f t="shared" si="3"/>
        <v>0113011</v>
      </c>
      <c r="H67" s="1016" t="s">
        <v>5423</v>
      </c>
      <c r="I67" s="944" t="str">
        <f t="shared" si="2"/>
        <v>0113011302</v>
      </c>
      <c r="J67" s="991" t="s">
        <v>5424</v>
      </c>
      <c r="K67" s="873"/>
      <c r="L67" s="886"/>
      <c r="M67" s="886"/>
      <c r="N67" s="873"/>
      <c r="O67" s="873"/>
      <c r="P67" s="886"/>
      <c r="Q67" s="1167">
        <v>106</v>
      </c>
      <c r="R67" s="882"/>
      <c r="S67" s="1269"/>
      <c r="T67" s="1254"/>
      <c r="U67" s="991"/>
      <c r="V67" s="991" t="s">
        <v>10095</v>
      </c>
      <c r="W67" s="992"/>
    </row>
    <row r="68" spans="1:23" ht="14.5" customHeight="1">
      <c r="A68" s="1034"/>
      <c r="B68" s="1034"/>
      <c r="C68" s="987"/>
      <c r="D68" s="988" t="str">
        <f t="shared" si="0"/>
        <v/>
      </c>
      <c r="F68" s="988" t="str">
        <f t="shared" si="1"/>
        <v/>
      </c>
      <c r="G68" s="1095" t="str">
        <f t="shared" si="3"/>
        <v>0113011</v>
      </c>
      <c r="H68" s="1016" t="s">
        <v>5425</v>
      </c>
      <c r="I68" s="944" t="str">
        <f t="shared" si="2"/>
        <v>0113011303</v>
      </c>
      <c r="J68" s="991" t="s">
        <v>5426</v>
      </c>
      <c r="K68" s="873"/>
      <c r="L68" s="886"/>
      <c r="M68" s="886"/>
      <c r="N68" s="873"/>
      <c r="O68" s="873"/>
      <c r="P68" s="886"/>
      <c r="Q68" s="1167">
        <v>402</v>
      </c>
      <c r="R68" s="882"/>
      <c r="S68" s="1269"/>
      <c r="T68" s="1254"/>
      <c r="U68" s="991"/>
      <c r="V68" s="991" t="s">
        <v>10095</v>
      </c>
      <c r="W68" s="992"/>
    </row>
    <row r="69" spans="1:23" ht="14.5" customHeight="1">
      <c r="A69" s="1034"/>
      <c r="B69" s="1034"/>
      <c r="C69" s="987"/>
      <c r="D69" s="988" t="str">
        <f t="shared" si="0"/>
        <v/>
      </c>
      <c r="F69" s="988" t="str">
        <f t="shared" si="1"/>
        <v/>
      </c>
      <c r="G69" s="1095" t="str">
        <f t="shared" si="3"/>
        <v>0113011</v>
      </c>
      <c r="H69" s="1016" t="s">
        <v>5427</v>
      </c>
      <c r="I69" s="944" t="str">
        <f t="shared" si="2"/>
        <v>0113011304</v>
      </c>
      <c r="J69" s="991" t="s">
        <v>5428</v>
      </c>
      <c r="K69" s="873"/>
      <c r="L69" s="873"/>
      <c r="M69" s="873"/>
      <c r="N69" s="873"/>
      <c r="O69" s="873"/>
      <c r="P69" s="886"/>
      <c r="Q69" s="1167">
        <v>52</v>
      </c>
      <c r="R69" s="882"/>
      <c r="S69" s="1269"/>
      <c r="T69" s="1254"/>
      <c r="U69" s="991"/>
      <c r="V69" s="991" t="s">
        <v>10095</v>
      </c>
      <c r="W69" s="992"/>
    </row>
    <row r="70" spans="1:23" ht="14.5" customHeight="1">
      <c r="A70" s="1034"/>
      <c r="B70" s="1034"/>
      <c r="C70" s="987"/>
      <c r="D70" s="988" t="str">
        <f t="shared" si="0"/>
        <v/>
      </c>
      <c r="F70" s="988" t="str">
        <f t="shared" si="1"/>
        <v/>
      </c>
      <c r="G70" s="1095" t="str">
        <f t="shared" si="3"/>
        <v>0113011</v>
      </c>
      <c r="H70" s="1016" t="s">
        <v>5429</v>
      </c>
      <c r="I70" s="944" t="str">
        <f t="shared" si="2"/>
        <v>0113011305</v>
      </c>
      <c r="J70" s="991" t="s">
        <v>5430</v>
      </c>
      <c r="K70" s="873"/>
      <c r="L70" s="873"/>
      <c r="M70" s="873"/>
      <c r="N70" s="873"/>
      <c r="O70" s="873"/>
      <c r="P70" s="886"/>
      <c r="Q70" s="1167">
        <v>295</v>
      </c>
      <c r="R70" s="882"/>
      <c r="S70" s="1269"/>
      <c r="T70" s="1254"/>
      <c r="U70" s="991"/>
      <c r="V70" s="991" t="s">
        <v>10095</v>
      </c>
      <c r="W70" s="992"/>
    </row>
    <row r="71" spans="1:23" ht="14.5" customHeight="1">
      <c r="A71" s="1034"/>
      <c r="B71" s="1034"/>
      <c r="C71" s="987"/>
      <c r="D71" s="988" t="str">
        <f t="shared" si="0"/>
        <v/>
      </c>
      <c r="F71" s="988" t="str">
        <f t="shared" si="1"/>
        <v/>
      </c>
      <c r="G71" s="1095" t="str">
        <f t="shared" si="3"/>
        <v>0113011</v>
      </c>
      <c r="H71" s="1016" t="s">
        <v>5431</v>
      </c>
      <c r="I71" s="944" t="str">
        <f t="shared" si="2"/>
        <v>0113011306</v>
      </c>
      <c r="J71" s="991" t="s">
        <v>5432</v>
      </c>
      <c r="K71" s="873"/>
      <c r="L71" s="873"/>
      <c r="M71" s="873"/>
      <c r="N71" s="873"/>
      <c r="O71" s="873"/>
      <c r="P71" s="886"/>
      <c r="Q71" s="1167">
        <v>336</v>
      </c>
      <c r="R71" s="882"/>
      <c r="S71" s="1269"/>
      <c r="T71" s="1254"/>
      <c r="U71" s="991"/>
      <c r="V71" s="991" t="s">
        <v>10095</v>
      </c>
      <c r="W71" s="992"/>
    </row>
    <row r="72" spans="1:23" ht="14.5" customHeight="1">
      <c r="A72" s="1034"/>
      <c r="B72" s="1034"/>
      <c r="C72" s="987"/>
      <c r="D72" s="988" t="str">
        <f t="shared" si="0"/>
        <v/>
      </c>
      <c r="F72" s="988" t="str">
        <f t="shared" si="1"/>
        <v/>
      </c>
      <c r="G72" s="1095" t="str">
        <f t="shared" si="3"/>
        <v>0113011</v>
      </c>
      <c r="H72" s="1016" t="s">
        <v>5433</v>
      </c>
      <c r="I72" s="944" t="str">
        <f t="shared" si="2"/>
        <v>0113011307</v>
      </c>
      <c r="J72" s="991" t="s">
        <v>5434</v>
      </c>
      <c r="K72" s="873"/>
      <c r="L72" s="886"/>
      <c r="M72" s="886"/>
      <c r="N72" s="873"/>
      <c r="O72" s="873"/>
      <c r="P72" s="886"/>
      <c r="Q72" s="1167">
        <v>252</v>
      </c>
      <c r="R72" s="882"/>
      <c r="S72" s="1269"/>
      <c r="T72" s="1254"/>
      <c r="U72" s="996"/>
      <c r="V72" s="991" t="s">
        <v>10095</v>
      </c>
      <c r="W72" s="992"/>
    </row>
    <row r="73" spans="1:23" ht="14.5" customHeight="1">
      <c r="A73" s="1034"/>
      <c r="B73" s="1034"/>
      <c r="C73" s="987"/>
      <c r="D73" s="988" t="str">
        <f t="shared" si="0"/>
        <v/>
      </c>
      <c r="F73" s="988" t="str">
        <f t="shared" si="1"/>
        <v/>
      </c>
      <c r="G73" s="1095" t="str">
        <f t="shared" si="3"/>
        <v>0113011</v>
      </c>
      <c r="H73" s="1016" t="s">
        <v>5435</v>
      </c>
      <c r="I73" s="944" t="str">
        <f t="shared" si="2"/>
        <v>0113011308</v>
      </c>
      <c r="J73" s="991" t="s">
        <v>5436</v>
      </c>
      <c r="K73" s="873"/>
      <c r="L73" s="873"/>
      <c r="M73" s="873"/>
      <c r="N73" s="873"/>
      <c r="O73" s="873"/>
      <c r="P73" s="886"/>
      <c r="Q73" s="1167">
        <v>4</v>
      </c>
      <c r="R73" s="882"/>
      <c r="S73" s="1269"/>
      <c r="T73" s="1254"/>
      <c r="U73" s="991"/>
      <c r="V73" s="996" t="s">
        <v>10145</v>
      </c>
      <c r="W73" s="992"/>
    </row>
    <row r="74" spans="1:23" s="944" customFormat="1" ht="14.5" customHeight="1">
      <c r="C74" s="987"/>
      <c r="D74" s="988" t="str">
        <f>IF(C74="","",CONCATENATE(LEFT(C74,4),MID(C74,6,2)))</f>
        <v/>
      </c>
      <c r="F74" s="988" t="str">
        <f t="shared" si="1"/>
        <v/>
      </c>
      <c r="G74" s="1095" t="str">
        <f>IF(F74="",G73,F74)</f>
        <v>0113011</v>
      </c>
      <c r="H74" s="1016" t="s">
        <v>5437</v>
      </c>
      <c r="I74" s="944" t="str">
        <f t="shared" si="2"/>
        <v>0113011399</v>
      </c>
      <c r="J74" s="991" t="s">
        <v>5438</v>
      </c>
      <c r="K74" s="873"/>
      <c r="L74" s="873"/>
      <c r="M74" s="873"/>
      <c r="N74" s="873"/>
      <c r="O74" s="873"/>
      <c r="P74" s="873"/>
      <c r="Q74" s="1167">
        <v>6</v>
      </c>
      <c r="R74" s="887"/>
      <c r="S74" s="1273"/>
      <c r="T74" s="1256"/>
      <c r="U74" s="996"/>
      <c r="V74" s="996" t="s">
        <v>10145</v>
      </c>
      <c r="W74" s="992" t="s">
        <v>10162</v>
      </c>
    </row>
    <row r="75" spans="1:23" ht="14.5" customHeight="1">
      <c r="C75" s="981" t="s">
        <v>5478</v>
      </c>
      <c r="D75" s="982" t="str">
        <f>IF(C75="","",CONCATENATE(LEFT(C75,4),MID(C75,6,2)))</f>
        <v>011401</v>
      </c>
      <c r="E75" s="983" t="s">
        <v>5479</v>
      </c>
      <c r="F75" s="982" t="str">
        <f t="shared" ref="F75:F138" si="4">IF(E75="","",CONCATENATE(LEFT(E75,4),MID(E75,6,3)))</f>
        <v>0114011</v>
      </c>
      <c r="G75" s="1103" t="str">
        <f>IF(F75="",G74,F75)</f>
        <v>0114011</v>
      </c>
      <c r="H75" s="1102"/>
      <c r="I75" s="947" t="str">
        <f t="shared" ref="I75:I138" si="5">IF(H75="","",CONCATENATE(G75,H75))</f>
        <v/>
      </c>
      <c r="J75" s="984" t="s">
        <v>5480</v>
      </c>
      <c r="K75" s="889"/>
      <c r="L75" s="889"/>
      <c r="M75" s="889"/>
      <c r="N75" s="889"/>
      <c r="O75" s="889"/>
      <c r="P75" s="881">
        <f>Q75</f>
        <v>3917</v>
      </c>
      <c r="Q75" s="1169">
        <f>ROUND(SUM(Q76:R91),0)</f>
        <v>3917</v>
      </c>
      <c r="R75" s="1004" t="s">
        <v>10163</v>
      </c>
      <c r="S75" s="1274"/>
      <c r="T75" s="1004"/>
      <c r="U75" s="993" t="s">
        <v>10099</v>
      </c>
      <c r="V75" s="993"/>
      <c r="W75" s="986"/>
    </row>
    <row r="76" spans="1:23" ht="14.5" customHeight="1">
      <c r="C76" s="987"/>
      <c r="D76" s="988" t="str">
        <f t="shared" ref="D76:D139" si="6">IF(C76="","",CONCATENATE(LEFT(C76,4),MID(C76,6,2)))</f>
        <v/>
      </c>
      <c r="F76" s="988" t="str">
        <f t="shared" si="4"/>
        <v/>
      </c>
      <c r="G76" s="1095" t="str">
        <f t="shared" ref="G76:G90" si="7">IF(F76="",G75,F76)</f>
        <v>0114011</v>
      </c>
      <c r="H76" s="1016" t="s">
        <v>575</v>
      </c>
      <c r="I76" s="944" t="str">
        <f t="shared" si="5"/>
        <v>0114011101</v>
      </c>
      <c r="J76" s="991" t="s">
        <v>5481</v>
      </c>
      <c r="K76" s="873"/>
      <c r="L76" s="886"/>
      <c r="M76" s="886"/>
      <c r="N76" s="873"/>
      <c r="O76" s="873"/>
      <c r="P76" s="886"/>
      <c r="Q76" s="1167">
        <v>564</v>
      </c>
      <c r="R76" s="882"/>
      <c r="S76" s="1269"/>
      <c r="T76" s="1254"/>
      <c r="U76" s="996"/>
      <c r="V76" s="991" t="s">
        <v>10095</v>
      </c>
      <c r="W76" s="992"/>
    </row>
    <row r="77" spans="1:23" ht="14.5" customHeight="1">
      <c r="C77" s="987"/>
      <c r="D77" s="988" t="str">
        <f t="shared" si="6"/>
        <v/>
      </c>
      <c r="F77" s="988" t="str">
        <f t="shared" si="4"/>
        <v/>
      </c>
      <c r="G77" s="1095" t="str">
        <f t="shared" si="7"/>
        <v>0114011</v>
      </c>
      <c r="H77" s="1016" t="s">
        <v>5602</v>
      </c>
      <c r="I77" s="944" t="str">
        <f t="shared" si="5"/>
        <v>0114011201</v>
      </c>
      <c r="J77" s="991" t="s">
        <v>5485</v>
      </c>
      <c r="K77" s="873"/>
      <c r="L77" s="886"/>
      <c r="M77" s="886"/>
      <c r="N77" s="873"/>
      <c r="O77" s="873"/>
      <c r="P77" s="886"/>
      <c r="Q77" s="1167">
        <v>30</v>
      </c>
      <c r="R77" s="882"/>
      <c r="S77" s="1269"/>
      <c r="T77" s="1254"/>
      <c r="U77" s="991"/>
      <c r="V77" s="991" t="s">
        <v>10095</v>
      </c>
      <c r="W77" s="992"/>
    </row>
    <row r="78" spans="1:23" ht="14.5" customHeight="1">
      <c r="C78" s="987"/>
      <c r="D78" s="988" t="str">
        <f t="shared" si="6"/>
        <v/>
      </c>
      <c r="E78" s="989"/>
      <c r="F78" s="988" t="str">
        <f t="shared" si="4"/>
        <v/>
      </c>
      <c r="G78" s="1095" t="str">
        <f t="shared" si="7"/>
        <v>0114011</v>
      </c>
      <c r="H78" s="1016" t="s">
        <v>5484</v>
      </c>
      <c r="I78" s="944" t="str">
        <f t="shared" si="5"/>
        <v>0114011301</v>
      </c>
      <c r="J78" s="991" t="s">
        <v>5489</v>
      </c>
      <c r="K78" s="873"/>
      <c r="L78" s="886"/>
      <c r="M78" s="886"/>
      <c r="N78" s="873"/>
      <c r="O78" s="873"/>
      <c r="P78" s="886"/>
      <c r="Q78" s="1167">
        <v>1282</v>
      </c>
      <c r="R78" s="882"/>
      <c r="S78" s="1269"/>
      <c r="T78" s="1254"/>
      <c r="U78" s="996"/>
      <c r="V78" s="991" t="s">
        <v>10095</v>
      </c>
      <c r="W78" s="992"/>
    </row>
    <row r="79" spans="1:23" ht="14.5" customHeight="1">
      <c r="C79" s="987"/>
      <c r="D79" s="988" t="str">
        <f t="shared" si="6"/>
        <v/>
      </c>
      <c r="E79" s="989"/>
      <c r="F79" s="988" t="str">
        <f t="shared" si="4"/>
        <v/>
      </c>
      <c r="G79" s="1095" t="str">
        <f t="shared" si="7"/>
        <v>0114011</v>
      </c>
      <c r="H79" s="1016" t="s">
        <v>6047</v>
      </c>
      <c r="I79" s="944" t="str">
        <f t="shared" si="5"/>
        <v>0114011302</v>
      </c>
      <c r="J79" s="991" t="s">
        <v>5491</v>
      </c>
      <c r="K79" s="873"/>
      <c r="L79" s="886"/>
      <c r="M79" s="886"/>
      <c r="N79" s="873"/>
      <c r="O79" s="873"/>
      <c r="P79" s="886"/>
      <c r="Q79" s="1167">
        <v>348</v>
      </c>
      <c r="R79" s="882"/>
      <c r="S79" s="1269"/>
      <c r="T79" s="1254"/>
      <c r="U79" s="996"/>
      <c r="V79" s="991" t="s">
        <v>10095</v>
      </c>
      <c r="W79" s="992"/>
    </row>
    <row r="80" spans="1:23" ht="14.5" customHeight="1">
      <c r="C80" s="987"/>
      <c r="D80" s="988" t="str">
        <f t="shared" si="6"/>
        <v/>
      </c>
      <c r="E80" s="989"/>
      <c r="F80" s="988" t="str">
        <f t="shared" si="4"/>
        <v/>
      </c>
      <c r="G80" s="1095" t="str">
        <f t="shared" si="7"/>
        <v>0114011</v>
      </c>
      <c r="H80" s="1016" t="s">
        <v>10164</v>
      </c>
      <c r="I80" s="944" t="str">
        <f t="shared" si="5"/>
        <v>0114011303</v>
      </c>
      <c r="J80" s="991" t="s">
        <v>5493</v>
      </c>
      <c r="K80" s="873"/>
      <c r="L80" s="886"/>
      <c r="M80" s="886"/>
      <c r="N80" s="873"/>
      <c r="O80" s="873"/>
      <c r="P80" s="886"/>
      <c r="Q80" s="1167">
        <v>0</v>
      </c>
      <c r="R80" s="882"/>
      <c r="S80" s="1269"/>
      <c r="T80" s="1254"/>
      <c r="U80" s="996"/>
      <c r="V80" s="991" t="s">
        <v>10095</v>
      </c>
      <c r="W80" s="992" t="s">
        <v>10165</v>
      </c>
    </row>
    <row r="81" spans="1:24" ht="14.5" customHeight="1">
      <c r="C81" s="987"/>
      <c r="D81" s="988" t="str">
        <f t="shared" si="6"/>
        <v/>
      </c>
      <c r="E81" s="989"/>
      <c r="F81" s="988" t="str">
        <f t="shared" si="4"/>
        <v/>
      </c>
      <c r="G81" s="1095" t="str">
        <f t="shared" si="7"/>
        <v>0114011</v>
      </c>
      <c r="H81" s="1016" t="s">
        <v>10166</v>
      </c>
      <c r="I81" s="944" t="str">
        <f t="shared" si="5"/>
        <v>0114011304</v>
      </c>
      <c r="J81" s="991" t="s">
        <v>5495</v>
      </c>
      <c r="K81" s="873"/>
      <c r="L81" s="886"/>
      <c r="M81" s="886"/>
      <c r="N81" s="873"/>
      <c r="O81" s="873"/>
      <c r="P81" s="886"/>
      <c r="Q81" s="1167">
        <v>130</v>
      </c>
      <c r="R81" s="882"/>
      <c r="S81" s="1269"/>
      <c r="T81" s="1254"/>
      <c r="U81" s="996"/>
      <c r="V81" s="991" t="s">
        <v>10095</v>
      </c>
      <c r="W81" s="992"/>
    </row>
    <row r="82" spans="1:24" ht="14.5" customHeight="1">
      <c r="C82" s="987"/>
      <c r="D82" s="988" t="str">
        <f t="shared" si="6"/>
        <v/>
      </c>
      <c r="E82" s="989"/>
      <c r="F82" s="988" t="str">
        <f t="shared" si="4"/>
        <v/>
      </c>
      <c r="G82" s="1095" t="str">
        <f t="shared" si="7"/>
        <v>0114011</v>
      </c>
      <c r="H82" s="1016" t="s">
        <v>10167</v>
      </c>
      <c r="I82" s="944" t="str">
        <f t="shared" si="5"/>
        <v>0114011305</v>
      </c>
      <c r="J82" s="991" t="s">
        <v>5497</v>
      </c>
      <c r="K82" s="873"/>
      <c r="L82" s="886"/>
      <c r="M82" s="886"/>
      <c r="N82" s="873"/>
      <c r="O82" s="873"/>
      <c r="P82" s="886"/>
      <c r="Q82" s="1167">
        <v>2</v>
      </c>
      <c r="R82" s="882"/>
      <c r="S82" s="1269"/>
      <c r="T82" s="1254"/>
      <c r="U82" s="996"/>
      <c r="V82" s="991" t="s">
        <v>10095</v>
      </c>
      <c r="W82" s="992"/>
    </row>
    <row r="83" spans="1:24" ht="14.5" customHeight="1">
      <c r="C83" s="987"/>
      <c r="D83" s="988" t="str">
        <f t="shared" si="6"/>
        <v/>
      </c>
      <c r="E83" s="989"/>
      <c r="F83" s="988" t="str">
        <f t="shared" si="4"/>
        <v/>
      </c>
      <c r="G83" s="1095" t="str">
        <f t="shared" si="7"/>
        <v>0114011</v>
      </c>
      <c r="H83" s="1016" t="s">
        <v>10168</v>
      </c>
      <c r="I83" s="944" t="str">
        <f t="shared" si="5"/>
        <v>0114011306</v>
      </c>
      <c r="J83" s="991" t="s">
        <v>5499</v>
      </c>
      <c r="K83" s="873"/>
      <c r="L83" s="886"/>
      <c r="M83" s="886"/>
      <c r="N83" s="873"/>
      <c r="O83" s="873"/>
      <c r="P83" s="886"/>
      <c r="Q83" s="1167">
        <v>0</v>
      </c>
      <c r="R83" s="882"/>
      <c r="S83" s="1269"/>
      <c r="T83" s="1254"/>
      <c r="U83" s="996"/>
      <c r="V83" s="991" t="s">
        <v>10095</v>
      </c>
      <c r="W83" s="992" t="s">
        <v>10169</v>
      </c>
    </row>
    <row r="84" spans="1:24" ht="14.5" customHeight="1">
      <c r="C84" s="987"/>
      <c r="D84" s="988" t="str">
        <f t="shared" si="6"/>
        <v/>
      </c>
      <c r="E84" s="989"/>
      <c r="F84" s="988" t="str">
        <f t="shared" si="4"/>
        <v/>
      </c>
      <c r="G84" s="1095" t="str">
        <f t="shared" si="7"/>
        <v>0114011</v>
      </c>
      <c r="H84" s="1016" t="s">
        <v>10170</v>
      </c>
      <c r="I84" s="944" t="str">
        <f t="shared" si="5"/>
        <v>0114011307</v>
      </c>
      <c r="J84" s="991" t="s">
        <v>5501</v>
      </c>
      <c r="K84" s="873"/>
      <c r="L84" s="886"/>
      <c r="M84" s="886"/>
      <c r="N84" s="873"/>
      <c r="O84" s="873"/>
      <c r="P84" s="886"/>
      <c r="Q84" s="1167">
        <v>27</v>
      </c>
      <c r="R84" s="882"/>
      <c r="S84" s="1269"/>
      <c r="T84" s="1254"/>
      <c r="U84" s="996"/>
      <c r="V84" s="991" t="s">
        <v>10095</v>
      </c>
      <c r="W84" s="992"/>
    </row>
    <row r="85" spans="1:24" ht="14.5" customHeight="1">
      <c r="C85" s="987"/>
      <c r="D85" s="988" t="str">
        <f t="shared" si="6"/>
        <v/>
      </c>
      <c r="E85" s="989"/>
      <c r="F85" s="988" t="str">
        <f t="shared" si="4"/>
        <v/>
      </c>
      <c r="G85" s="1095" t="str">
        <f t="shared" si="7"/>
        <v>0114011</v>
      </c>
      <c r="H85" s="1016" t="s">
        <v>10171</v>
      </c>
      <c r="I85" s="944" t="str">
        <f t="shared" si="5"/>
        <v>0114011308</v>
      </c>
      <c r="J85" s="991" t="s">
        <v>5503</v>
      </c>
      <c r="K85" s="873"/>
      <c r="L85" s="886"/>
      <c r="M85" s="886"/>
      <c r="N85" s="873"/>
      <c r="O85" s="873"/>
      <c r="P85" s="886"/>
      <c r="Q85" s="1167">
        <v>138</v>
      </c>
      <c r="R85" s="882"/>
      <c r="S85" s="1269"/>
      <c r="T85" s="1254"/>
      <c r="U85" s="996"/>
      <c r="V85" s="991" t="s">
        <v>10095</v>
      </c>
      <c r="W85" s="992"/>
    </row>
    <row r="86" spans="1:24" ht="14.5" customHeight="1">
      <c r="C86" s="987"/>
      <c r="D86" s="988" t="str">
        <f t="shared" si="6"/>
        <v/>
      </c>
      <c r="E86" s="989"/>
      <c r="F86" s="988" t="str">
        <f t="shared" si="4"/>
        <v/>
      </c>
      <c r="G86" s="1095" t="str">
        <f t="shared" si="7"/>
        <v>0114011</v>
      </c>
      <c r="H86" s="1016" t="s">
        <v>10172</v>
      </c>
      <c r="I86" s="944" t="str">
        <f t="shared" si="5"/>
        <v>0114011309</v>
      </c>
      <c r="J86" s="991" t="s">
        <v>5505</v>
      </c>
      <c r="K86" s="873"/>
      <c r="L86" s="886"/>
      <c r="M86" s="886"/>
      <c r="N86" s="873"/>
      <c r="O86" s="873"/>
      <c r="P86" s="886"/>
      <c r="Q86" s="1167">
        <v>113</v>
      </c>
      <c r="R86" s="882"/>
      <c r="S86" s="1269"/>
      <c r="T86" s="1254"/>
      <c r="U86" s="996"/>
      <c r="V86" s="991" t="s">
        <v>10095</v>
      </c>
      <c r="W86" s="992"/>
    </row>
    <row r="87" spans="1:24" ht="14.5" customHeight="1">
      <c r="C87" s="987"/>
      <c r="D87" s="988" t="str">
        <f t="shared" si="6"/>
        <v/>
      </c>
      <c r="E87" s="989"/>
      <c r="F87" s="988" t="str">
        <f t="shared" si="4"/>
        <v/>
      </c>
      <c r="G87" s="1095" t="str">
        <f t="shared" si="7"/>
        <v>0114011</v>
      </c>
      <c r="H87" s="1016" t="s">
        <v>10173</v>
      </c>
      <c r="I87" s="944" t="str">
        <f t="shared" si="5"/>
        <v>0114011310</v>
      </c>
      <c r="J87" s="991" t="s">
        <v>5507</v>
      </c>
      <c r="K87" s="873"/>
      <c r="L87" s="886"/>
      <c r="M87" s="886"/>
      <c r="N87" s="873"/>
      <c r="O87" s="873"/>
      <c r="P87" s="886"/>
      <c r="Q87" s="1167">
        <v>309</v>
      </c>
      <c r="R87" s="882"/>
      <c r="S87" s="1269"/>
      <c r="T87" s="1254"/>
      <c r="U87" s="996"/>
      <c r="V87" s="991" t="s">
        <v>10095</v>
      </c>
      <c r="W87" s="992"/>
    </row>
    <row r="88" spans="1:24" ht="14.5" customHeight="1">
      <c r="C88" s="987"/>
      <c r="D88" s="988" t="str">
        <f t="shared" si="6"/>
        <v/>
      </c>
      <c r="E88" s="989"/>
      <c r="F88" s="988" t="str">
        <f t="shared" si="4"/>
        <v/>
      </c>
      <c r="G88" s="1095" t="str">
        <f t="shared" si="7"/>
        <v>0114011</v>
      </c>
      <c r="H88" s="1016" t="s">
        <v>10174</v>
      </c>
      <c r="I88" s="944" t="str">
        <f t="shared" si="5"/>
        <v>0114011311</v>
      </c>
      <c r="J88" s="991" t="s">
        <v>5509</v>
      </c>
      <c r="K88" s="873"/>
      <c r="L88" s="886"/>
      <c r="M88" s="886"/>
      <c r="N88" s="873"/>
      <c r="O88" s="873"/>
      <c r="P88" s="886"/>
      <c r="Q88" s="1167">
        <v>28</v>
      </c>
      <c r="R88" s="882"/>
      <c r="S88" s="1269"/>
      <c r="T88" s="1254"/>
      <c r="U88" s="996"/>
      <c r="V88" s="991" t="s">
        <v>10095</v>
      </c>
      <c r="W88" s="992"/>
    </row>
    <row r="89" spans="1:24" ht="14.5" customHeight="1">
      <c r="C89" s="987"/>
      <c r="D89" s="988" t="str">
        <f t="shared" si="6"/>
        <v/>
      </c>
      <c r="E89" s="989"/>
      <c r="F89" s="988" t="str">
        <f t="shared" si="4"/>
        <v/>
      </c>
      <c r="G89" s="1095" t="str">
        <f t="shared" si="7"/>
        <v>0114011</v>
      </c>
      <c r="H89" s="1016" t="s">
        <v>10175</v>
      </c>
      <c r="I89" s="944" t="str">
        <f t="shared" si="5"/>
        <v>0114011312</v>
      </c>
      <c r="J89" s="991" t="s">
        <v>5511</v>
      </c>
      <c r="K89" s="873"/>
      <c r="L89" s="886"/>
      <c r="M89" s="886"/>
      <c r="N89" s="873"/>
      <c r="O89" s="873"/>
      <c r="P89" s="886"/>
      <c r="Q89" s="1167">
        <v>0</v>
      </c>
      <c r="R89" s="882"/>
      <c r="S89" s="1269"/>
      <c r="T89" s="1254"/>
      <c r="U89" s="996"/>
      <c r="V89" s="991" t="s">
        <v>10095</v>
      </c>
      <c r="W89" s="992" t="s">
        <v>10169</v>
      </c>
    </row>
    <row r="90" spans="1:24" ht="14.5" customHeight="1">
      <c r="C90" s="987"/>
      <c r="D90" s="988" t="str">
        <f t="shared" si="6"/>
        <v/>
      </c>
      <c r="E90" s="989"/>
      <c r="F90" s="988" t="str">
        <f t="shared" si="4"/>
        <v/>
      </c>
      <c r="G90" s="1095" t="str">
        <f t="shared" si="7"/>
        <v>0114011</v>
      </c>
      <c r="H90" s="1016" t="s">
        <v>10176</v>
      </c>
      <c r="I90" s="944" t="str">
        <f t="shared" si="5"/>
        <v>0114011399</v>
      </c>
      <c r="J90" s="991" t="s">
        <v>5513</v>
      </c>
      <c r="K90" s="873"/>
      <c r="L90" s="886"/>
      <c r="M90" s="886"/>
      <c r="N90" s="886"/>
      <c r="O90" s="886"/>
      <c r="P90" s="886"/>
      <c r="Q90" s="1167">
        <f>641+185</f>
        <v>826</v>
      </c>
      <c r="R90" s="882"/>
      <c r="S90" s="1269"/>
      <c r="T90" s="1254"/>
      <c r="U90" s="996"/>
      <c r="V90" s="991" t="s">
        <v>10095</v>
      </c>
      <c r="W90" s="992" t="s">
        <v>10177</v>
      </c>
    </row>
    <row r="91" spans="1:24" ht="14.5" customHeight="1">
      <c r="C91" s="1005"/>
      <c r="D91" s="999" t="str">
        <f t="shared" si="6"/>
        <v/>
      </c>
      <c r="E91" s="1000"/>
      <c r="F91" s="999" t="str">
        <f t="shared" si="4"/>
        <v/>
      </c>
      <c r="G91" s="1104" t="str">
        <f>IF(F91="",G90,F91)</f>
        <v>0114011</v>
      </c>
      <c r="H91" s="1005" t="s">
        <v>5486</v>
      </c>
      <c r="I91" s="1002" t="str">
        <f t="shared" si="5"/>
        <v>0114011401</v>
      </c>
      <c r="J91" s="1006" t="s">
        <v>10178</v>
      </c>
      <c r="K91" s="872"/>
      <c r="L91" s="893"/>
      <c r="M91" s="893"/>
      <c r="N91" s="893"/>
      <c r="O91" s="893"/>
      <c r="P91" s="893"/>
      <c r="Q91" s="1170">
        <f>5+0+32+4+16+4+2+0+0+7+46+0+4</f>
        <v>120</v>
      </c>
      <c r="R91" s="918"/>
      <c r="S91" s="1275"/>
      <c r="T91" s="900"/>
      <c r="U91" s="1006"/>
      <c r="V91" s="1002" t="s">
        <v>10095</v>
      </c>
      <c r="W91" s="1007" t="s">
        <v>10179</v>
      </c>
      <c r="X91" s="1105"/>
    </row>
    <row r="92" spans="1:24" ht="14.5" customHeight="1">
      <c r="C92" s="994" t="s">
        <v>5516</v>
      </c>
      <c r="D92" s="988" t="str">
        <f t="shared" si="6"/>
        <v>011501</v>
      </c>
      <c r="E92" s="989" t="s">
        <v>5517</v>
      </c>
      <c r="F92" s="988" t="str">
        <f t="shared" si="4"/>
        <v>0115011</v>
      </c>
      <c r="G92" s="1095" t="str">
        <f>IF(F92="",G91,F92)</f>
        <v>0115011</v>
      </c>
      <c r="I92" s="944" t="str">
        <f t="shared" si="5"/>
        <v/>
      </c>
      <c r="J92" s="990" t="s">
        <v>41</v>
      </c>
      <c r="K92" s="886"/>
      <c r="L92" s="886"/>
      <c r="M92" s="886"/>
      <c r="N92" s="886"/>
      <c r="O92" s="886"/>
      <c r="P92" s="896">
        <f>Q92</f>
        <v>0</v>
      </c>
      <c r="Q92" s="1171">
        <f>Q93+Q94</f>
        <v>0</v>
      </c>
      <c r="R92" s="1001" t="s">
        <v>10180</v>
      </c>
      <c r="S92" s="1271"/>
      <c r="T92" s="1255"/>
      <c r="U92" s="996"/>
      <c r="V92" s="996"/>
      <c r="W92" s="992"/>
    </row>
    <row r="93" spans="1:24" ht="14.5" customHeight="1">
      <c r="C93" s="987"/>
      <c r="D93" s="988" t="str">
        <f t="shared" si="6"/>
        <v/>
      </c>
      <c r="F93" s="988" t="str">
        <f t="shared" si="4"/>
        <v/>
      </c>
      <c r="G93" s="1095" t="str">
        <f>IF(F93="",G92,F93)</f>
        <v>0115011</v>
      </c>
      <c r="H93" s="1016" t="s">
        <v>36</v>
      </c>
      <c r="I93" s="944" t="str">
        <f t="shared" si="5"/>
        <v>0115011001</v>
      </c>
      <c r="J93" s="991" t="s">
        <v>5518</v>
      </c>
      <c r="K93" s="873"/>
      <c r="L93" s="886"/>
      <c r="M93" s="886"/>
      <c r="N93" s="873"/>
      <c r="O93" s="873"/>
      <c r="P93" s="886"/>
      <c r="Q93" s="1167">
        <v>0</v>
      </c>
      <c r="R93" s="882"/>
      <c r="S93" s="1269"/>
      <c r="T93" s="1254"/>
      <c r="U93" s="996"/>
      <c r="V93" s="996" t="s">
        <v>10120</v>
      </c>
      <c r="W93" s="992" t="s">
        <v>10181</v>
      </c>
    </row>
    <row r="94" spans="1:24" ht="14.5" customHeight="1">
      <c r="C94" s="987"/>
      <c r="D94" s="988" t="str">
        <f t="shared" si="6"/>
        <v/>
      </c>
      <c r="F94" s="988" t="str">
        <f t="shared" si="4"/>
        <v/>
      </c>
      <c r="G94" s="1095" t="str">
        <f>IF(F94="",G93,F94)</f>
        <v>0115011</v>
      </c>
      <c r="H94" s="1016" t="s">
        <v>5337</v>
      </c>
      <c r="I94" s="944" t="str">
        <f t="shared" si="5"/>
        <v>0115011002</v>
      </c>
      <c r="J94" s="991" t="s">
        <v>5519</v>
      </c>
      <c r="K94" s="873"/>
      <c r="L94" s="886"/>
      <c r="M94" s="886"/>
      <c r="N94" s="873"/>
      <c r="O94" s="873"/>
      <c r="P94" s="886"/>
      <c r="Q94" s="1167">
        <v>0</v>
      </c>
      <c r="R94" s="882"/>
      <c r="S94" s="1269"/>
      <c r="T94" s="1254"/>
      <c r="U94" s="996"/>
      <c r="V94" s="996" t="s">
        <v>10145</v>
      </c>
      <c r="W94" s="992" t="s">
        <v>10182</v>
      </c>
    </row>
    <row r="95" spans="1:24" ht="14.5" customHeight="1">
      <c r="C95" s="981" t="s">
        <v>5520</v>
      </c>
      <c r="D95" s="982" t="str">
        <f t="shared" si="6"/>
        <v>011502</v>
      </c>
      <c r="E95" s="983" t="s">
        <v>5522</v>
      </c>
      <c r="F95" s="982" t="str">
        <f t="shared" si="4"/>
        <v>0115021</v>
      </c>
      <c r="G95" s="1103" t="str">
        <f>IF(F95="",G94,F95)</f>
        <v>0115021</v>
      </c>
      <c r="H95" s="1102"/>
      <c r="I95" s="947" t="str">
        <f t="shared" si="5"/>
        <v/>
      </c>
      <c r="J95" s="984" t="s">
        <v>5521</v>
      </c>
      <c r="K95" s="897"/>
      <c r="L95" s="889"/>
      <c r="M95" s="889"/>
      <c r="N95" s="889"/>
      <c r="O95" s="889"/>
      <c r="P95" s="881">
        <f>Q95</f>
        <v>33</v>
      </c>
      <c r="Q95" s="1160">
        <f>Q96+Q97</f>
        <v>33</v>
      </c>
      <c r="R95" s="880"/>
      <c r="S95" s="1270"/>
      <c r="T95" s="880"/>
      <c r="U95" s="993"/>
      <c r="V95" s="993"/>
      <c r="W95" s="986"/>
    </row>
    <row r="96" spans="1:24" ht="14.5" customHeight="1">
      <c r="A96" s="1034"/>
      <c r="B96" s="1034"/>
      <c r="C96" s="994"/>
      <c r="D96" s="995" t="str">
        <f t="shared" si="6"/>
        <v/>
      </c>
      <c r="E96" s="989"/>
      <c r="F96" s="988" t="str">
        <f t="shared" si="4"/>
        <v/>
      </c>
      <c r="G96" s="1095" t="str">
        <f t="shared" ref="G96:G123" si="8">IF(F96="",G95,F96)</f>
        <v>0115021</v>
      </c>
      <c r="H96" s="1016" t="s">
        <v>5534</v>
      </c>
      <c r="I96" s="944" t="str">
        <f t="shared" si="5"/>
        <v>0115021101</v>
      </c>
      <c r="J96" s="991" t="s">
        <v>10183</v>
      </c>
      <c r="K96" s="873"/>
      <c r="L96" s="886"/>
      <c r="M96" s="886"/>
      <c r="N96" s="886"/>
      <c r="O96" s="886"/>
      <c r="P96" s="886"/>
      <c r="Q96" s="1167">
        <v>0</v>
      </c>
      <c r="R96" s="1008" t="s">
        <v>10184</v>
      </c>
      <c r="S96" s="1276"/>
      <c r="T96" s="1267"/>
      <c r="U96" s="996"/>
      <c r="V96" s="996"/>
      <c r="W96" s="992" t="s">
        <v>10185</v>
      </c>
    </row>
    <row r="97" spans="1:23" ht="14.5" customHeight="1">
      <c r="A97" s="1034"/>
      <c r="B97" s="1034"/>
      <c r="C97" s="994"/>
      <c r="D97" s="995" t="str">
        <f t="shared" si="6"/>
        <v/>
      </c>
      <c r="E97" s="989"/>
      <c r="F97" s="988" t="str">
        <f t="shared" si="4"/>
        <v/>
      </c>
      <c r="G97" s="1095" t="str">
        <f t="shared" si="8"/>
        <v>0115021</v>
      </c>
      <c r="I97" s="944" t="str">
        <f t="shared" si="5"/>
        <v/>
      </c>
      <c r="J97" s="991" t="s">
        <v>10186</v>
      </c>
      <c r="K97" s="873"/>
      <c r="L97" s="886"/>
      <c r="M97" s="886"/>
      <c r="N97" s="886"/>
      <c r="O97" s="886"/>
      <c r="P97" s="886"/>
      <c r="Q97" s="1162">
        <f>SUM(Q98:Q100)</f>
        <v>33</v>
      </c>
      <c r="R97" s="882" t="s">
        <v>10187</v>
      </c>
      <c r="S97" s="1269"/>
      <c r="T97" s="1254"/>
      <c r="U97" s="996"/>
      <c r="V97" s="996"/>
      <c r="W97" s="992"/>
    </row>
    <row r="98" spans="1:23" ht="14.5" customHeight="1">
      <c r="A98" s="1034"/>
      <c r="B98" s="1034"/>
      <c r="C98" s="987"/>
      <c r="D98" s="988" t="str">
        <f t="shared" si="6"/>
        <v/>
      </c>
      <c r="F98" s="988" t="str">
        <f t="shared" si="4"/>
        <v/>
      </c>
      <c r="G98" s="1095" t="str">
        <f t="shared" si="8"/>
        <v>0115021</v>
      </c>
      <c r="H98" s="1016" t="s">
        <v>5602</v>
      </c>
      <c r="I98" s="944" t="str">
        <f t="shared" si="5"/>
        <v>0115021201</v>
      </c>
      <c r="J98" s="991" t="s">
        <v>5524</v>
      </c>
      <c r="K98" s="873"/>
      <c r="L98" s="873"/>
      <c r="M98" s="873"/>
      <c r="N98" s="873"/>
      <c r="O98" s="873"/>
      <c r="P98" s="886"/>
      <c r="Q98" s="1167">
        <v>33</v>
      </c>
      <c r="R98" s="882"/>
      <c r="S98" s="1269"/>
      <c r="T98" s="1254"/>
      <c r="U98" s="996" t="s">
        <v>10111</v>
      </c>
      <c r="V98" s="996" t="s">
        <v>10120</v>
      </c>
      <c r="W98" s="992"/>
    </row>
    <row r="99" spans="1:23" ht="14.5" customHeight="1">
      <c r="A99" s="1034"/>
      <c r="B99" s="1034"/>
      <c r="C99" s="987"/>
      <c r="D99" s="988" t="str">
        <f t="shared" si="6"/>
        <v/>
      </c>
      <c r="F99" s="988" t="str">
        <f t="shared" si="4"/>
        <v/>
      </c>
      <c r="G99" s="1095" t="str">
        <f t="shared" si="8"/>
        <v>0115021</v>
      </c>
      <c r="H99" s="1016" t="s">
        <v>5844</v>
      </c>
      <c r="I99" s="944" t="str">
        <f t="shared" si="5"/>
        <v>0115021202</v>
      </c>
      <c r="J99" s="991" t="s">
        <v>5525</v>
      </c>
      <c r="K99" s="873"/>
      <c r="L99" s="873"/>
      <c r="M99" s="873"/>
      <c r="N99" s="873"/>
      <c r="O99" s="873"/>
      <c r="P99" s="886"/>
      <c r="Q99" s="1167">
        <v>0</v>
      </c>
      <c r="R99" s="882"/>
      <c r="S99" s="1269"/>
      <c r="T99" s="1254"/>
      <c r="U99" s="996" t="s">
        <v>10188</v>
      </c>
      <c r="V99" s="996" t="s">
        <v>10145</v>
      </c>
      <c r="W99" s="1009" t="s">
        <v>10189</v>
      </c>
    </row>
    <row r="100" spans="1:23" ht="14.5" customHeight="1">
      <c r="A100" s="1034"/>
      <c r="B100" s="1034"/>
      <c r="C100" s="998"/>
      <c r="D100" s="999" t="str">
        <f t="shared" si="6"/>
        <v/>
      </c>
      <c r="E100" s="1002"/>
      <c r="F100" s="999" t="str">
        <f t="shared" si="4"/>
        <v/>
      </c>
      <c r="G100" s="1104" t="str">
        <f t="shared" si="8"/>
        <v>0115021</v>
      </c>
      <c r="H100" s="1005" t="s">
        <v>7571</v>
      </c>
      <c r="I100" s="1002" t="str">
        <f t="shared" si="5"/>
        <v>0115021203</v>
      </c>
      <c r="J100" s="978" t="s">
        <v>5526</v>
      </c>
      <c r="K100" s="872"/>
      <c r="L100" s="872"/>
      <c r="M100" s="872"/>
      <c r="N100" s="872"/>
      <c r="O100" s="872"/>
      <c r="P100" s="893"/>
      <c r="Q100" s="1170">
        <v>0</v>
      </c>
      <c r="R100" s="900"/>
      <c r="S100" s="1272"/>
      <c r="T100" s="900"/>
      <c r="U100" s="1006" t="s">
        <v>10099</v>
      </c>
      <c r="V100" s="978" t="s">
        <v>10129</v>
      </c>
      <c r="W100" s="1003"/>
    </row>
    <row r="101" spans="1:23" ht="14.5" customHeight="1">
      <c r="A101" s="1034"/>
      <c r="B101" s="1034"/>
      <c r="C101" s="994" t="s">
        <v>5527</v>
      </c>
      <c r="D101" s="988" t="str">
        <f t="shared" si="6"/>
        <v>011509</v>
      </c>
      <c r="E101" s="989" t="s">
        <v>10190</v>
      </c>
      <c r="F101" s="988" t="str">
        <f t="shared" si="4"/>
        <v>0115099</v>
      </c>
      <c r="G101" s="1095" t="str">
        <f t="shared" si="8"/>
        <v>0115099</v>
      </c>
      <c r="I101" s="944" t="str">
        <f t="shared" si="5"/>
        <v/>
      </c>
      <c r="J101" s="990" t="s">
        <v>5528</v>
      </c>
      <c r="K101" s="886"/>
      <c r="L101" s="886"/>
      <c r="M101" s="886"/>
      <c r="N101" s="886"/>
      <c r="O101" s="886"/>
      <c r="P101" s="896">
        <f>Q101</f>
        <v>40</v>
      </c>
      <c r="Q101" s="1171">
        <f>Q102+Q105+Q108</f>
        <v>40</v>
      </c>
      <c r="R101" s="882"/>
      <c r="S101" s="1269"/>
      <c r="T101" s="1254"/>
      <c r="U101" s="996"/>
      <c r="V101" s="996"/>
      <c r="W101" s="992"/>
    </row>
    <row r="102" spans="1:23" ht="14.5" customHeight="1">
      <c r="A102" s="1034"/>
      <c r="B102" s="1034"/>
      <c r="C102" s="994"/>
      <c r="D102" s="995" t="str">
        <f t="shared" si="6"/>
        <v/>
      </c>
      <c r="E102" s="989"/>
      <c r="F102" s="988" t="str">
        <f t="shared" si="4"/>
        <v/>
      </c>
      <c r="G102" s="1095" t="str">
        <f t="shared" si="8"/>
        <v>0115099</v>
      </c>
      <c r="I102" s="944" t="str">
        <f t="shared" si="5"/>
        <v/>
      </c>
      <c r="J102" s="991" t="s">
        <v>10191</v>
      </c>
      <c r="K102" s="886"/>
      <c r="L102" s="886"/>
      <c r="M102" s="886"/>
      <c r="N102" s="886"/>
      <c r="O102" s="886"/>
      <c r="P102" s="886"/>
      <c r="Q102" s="1162">
        <f>SUM(Q103:Q104)</f>
        <v>25</v>
      </c>
      <c r="R102" s="1001" t="s">
        <v>10192</v>
      </c>
      <c r="S102" s="1271"/>
      <c r="T102" s="1255"/>
      <c r="U102" s="996" t="s">
        <v>10111</v>
      </c>
      <c r="V102" s="996"/>
      <c r="W102" s="992"/>
    </row>
    <row r="103" spans="1:23" ht="14.5" customHeight="1">
      <c r="A103" s="1034"/>
      <c r="B103" s="1034"/>
      <c r="C103" s="987"/>
      <c r="D103" s="988" t="str">
        <f t="shared" si="6"/>
        <v/>
      </c>
      <c r="F103" s="988" t="str">
        <f t="shared" si="4"/>
        <v/>
      </c>
      <c r="G103" s="1095" t="str">
        <f t="shared" si="8"/>
        <v>0115099</v>
      </c>
      <c r="H103" s="1016" t="s">
        <v>5637</v>
      </c>
      <c r="I103" s="944" t="str">
        <f t="shared" si="5"/>
        <v>0115099101</v>
      </c>
      <c r="J103" s="991" t="s">
        <v>5530</v>
      </c>
      <c r="K103" s="873"/>
      <c r="L103" s="886"/>
      <c r="M103" s="886"/>
      <c r="N103" s="873"/>
      <c r="O103" s="873"/>
      <c r="P103" s="886"/>
      <c r="Q103" s="1167">
        <v>25</v>
      </c>
      <c r="R103" s="882"/>
      <c r="S103" s="1269"/>
      <c r="T103" s="1254"/>
      <c r="U103" s="996"/>
      <c r="V103" s="991" t="s">
        <v>10095</v>
      </c>
      <c r="W103" s="992" t="s">
        <v>10193</v>
      </c>
    </row>
    <row r="104" spans="1:23" ht="14.5" customHeight="1">
      <c r="A104" s="1034"/>
      <c r="B104" s="1034"/>
      <c r="C104" s="987"/>
      <c r="D104" s="988" t="str">
        <f t="shared" si="6"/>
        <v/>
      </c>
      <c r="F104" s="988" t="str">
        <f t="shared" si="4"/>
        <v/>
      </c>
      <c r="G104" s="1095" t="str">
        <f t="shared" si="8"/>
        <v>0115099</v>
      </c>
      <c r="H104" s="1016" t="s">
        <v>5453</v>
      </c>
      <c r="I104" s="944" t="str">
        <f t="shared" si="5"/>
        <v>0115099199</v>
      </c>
      <c r="J104" s="991" t="s">
        <v>5531</v>
      </c>
      <c r="K104" s="873"/>
      <c r="L104" s="886"/>
      <c r="M104" s="886"/>
      <c r="N104" s="886"/>
      <c r="O104" s="886"/>
      <c r="P104" s="886"/>
      <c r="Q104" s="1167">
        <v>0</v>
      </c>
      <c r="R104" s="882"/>
      <c r="S104" s="1269"/>
      <c r="T104" s="1254"/>
      <c r="U104" s="996"/>
      <c r="V104" s="996" t="s">
        <v>10120</v>
      </c>
      <c r="W104" s="992"/>
    </row>
    <row r="105" spans="1:23" ht="14.5" customHeight="1">
      <c r="A105" s="1034"/>
      <c r="B105" s="1034"/>
      <c r="C105" s="987"/>
      <c r="E105" s="989"/>
      <c r="F105" s="988" t="str">
        <f>IF(E105="","",CONCATENATE(LEFT(E105,4),MID(E105,6,3)))</f>
        <v/>
      </c>
      <c r="G105" s="1095" t="str">
        <f t="shared" si="8"/>
        <v>0115099</v>
      </c>
      <c r="I105" s="944" t="str">
        <f>IF(H105="","",CONCATENATE(G105,H105))</f>
        <v/>
      </c>
      <c r="J105" s="991" t="s">
        <v>10194</v>
      </c>
      <c r="K105" s="873"/>
      <c r="L105" s="886"/>
      <c r="M105" s="886"/>
      <c r="N105" s="886"/>
      <c r="O105" s="886"/>
      <c r="P105" s="886"/>
      <c r="Q105" s="1165">
        <f>SUM(Q106:Q107)</f>
        <v>9</v>
      </c>
      <c r="R105" s="882"/>
      <c r="S105" s="1269"/>
      <c r="T105" s="1254"/>
      <c r="U105" s="996"/>
      <c r="V105" s="996"/>
      <c r="W105" s="992"/>
    </row>
    <row r="106" spans="1:23" ht="14.5" customHeight="1">
      <c r="A106" s="1034"/>
      <c r="B106" s="1034"/>
      <c r="C106" s="987"/>
      <c r="D106" s="988" t="str">
        <f t="shared" si="6"/>
        <v/>
      </c>
      <c r="F106" s="988" t="str">
        <f t="shared" si="4"/>
        <v/>
      </c>
      <c r="G106" s="1095" t="str">
        <f t="shared" si="8"/>
        <v>0115099</v>
      </c>
      <c r="H106" s="1016" t="s">
        <v>5602</v>
      </c>
      <c r="I106" s="944" t="str">
        <f t="shared" si="5"/>
        <v>0115099201</v>
      </c>
      <c r="J106" s="991" t="s">
        <v>5535</v>
      </c>
      <c r="K106" s="873"/>
      <c r="L106" s="886"/>
      <c r="M106" s="886"/>
      <c r="N106" s="886"/>
      <c r="O106" s="886"/>
      <c r="P106" s="886"/>
      <c r="Q106" s="1167">
        <v>1</v>
      </c>
      <c r="R106" s="882"/>
      <c r="S106" s="1269"/>
      <c r="T106" s="1254"/>
      <c r="U106" s="996" t="s">
        <v>10111</v>
      </c>
      <c r="V106" s="996" t="s">
        <v>10120</v>
      </c>
      <c r="W106" s="992"/>
    </row>
    <row r="107" spans="1:23" ht="14.5" customHeight="1">
      <c r="A107" s="1034"/>
      <c r="B107" s="1034"/>
      <c r="C107" s="987"/>
      <c r="D107" s="988" t="str">
        <f t="shared" si="6"/>
        <v/>
      </c>
      <c r="F107" s="988" t="str">
        <f t="shared" si="4"/>
        <v/>
      </c>
      <c r="G107" s="1095" t="str">
        <f t="shared" si="8"/>
        <v>0115099</v>
      </c>
      <c r="H107" s="1016" t="s">
        <v>5474</v>
      </c>
      <c r="I107" s="944" t="str">
        <f t="shared" si="5"/>
        <v>0115099299</v>
      </c>
      <c r="J107" s="991" t="s">
        <v>5536</v>
      </c>
      <c r="K107" s="890">
        <v>520</v>
      </c>
      <c r="L107" s="898">
        <f>815+60</f>
        <v>875</v>
      </c>
      <c r="M107" s="890">
        <f>18778.4+40300.5</f>
        <v>59078.9</v>
      </c>
      <c r="N107" s="886"/>
      <c r="O107" s="886"/>
      <c r="P107" s="886"/>
      <c r="Q107" s="1165">
        <f>ROUND(K107*L107/M107,0)</f>
        <v>8</v>
      </c>
      <c r="R107" s="882"/>
      <c r="S107" s="1269"/>
      <c r="T107" s="1254"/>
      <c r="U107" s="1010" t="s">
        <v>10188</v>
      </c>
      <c r="V107" s="996" t="s">
        <v>10145</v>
      </c>
      <c r="W107" s="992" t="s">
        <v>10195</v>
      </c>
    </row>
    <row r="108" spans="1:23" ht="14.5" customHeight="1">
      <c r="A108" s="1034"/>
      <c r="B108" s="1034"/>
      <c r="C108" s="998"/>
      <c r="D108" s="999"/>
      <c r="E108" s="1002"/>
      <c r="F108" s="999"/>
      <c r="G108" s="1104" t="str">
        <f t="shared" si="8"/>
        <v>0115099</v>
      </c>
      <c r="H108" s="1005" t="s">
        <v>10196</v>
      </c>
      <c r="I108" s="1002" t="str">
        <f t="shared" si="5"/>
        <v>0115099999</v>
      </c>
      <c r="J108" s="978" t="s">
        <v>10197</v>
      </c>
      <c r="K108" s="872"/>
      <c r="L108" s="899"/>
      <c r="M108" s="872"/>
      <c r="N108" s="893"/>
      <c r="O108" s="893"/>
      <c r="P108" s="893"/>
      <c r="Q108" s="1170">
        <v>6</v>
      </c>
      <c r="R108" s="900"/>
      <c r="S108" s="1272"/>
      <c r="T108" s="900"/>
      <c r="U108" s="1006" t="s">
        <v>10099</v>
      </c>
      <c r="V108" s="1006"/>
      <c r="W108" s="1003" t="s">
        <v>10198</v>
      </c>
    </row>
    <row r="109" spans="1:23" ht="14.5" customHeight="1">
      <c r="A109" s="1034"/>
      <c r="B109" s="1034"/>
      <c r="C109" s="994" t="s">
        <v>5539</v>
      </c>
      <c r="D109" s="988" t="str">
        <f t="shared" si="6"/>
        <v>011601</v>
      </c>
      <c r="E109" s="989" t="s">
        <v>5540</v>
      </c>
      <c r="F109" s="988" t="str">
        <f t="shared" si="4"/>
        <v>0116011</v>
      </c>
      <c r="G109" s="1095" t="str">
        <f>IF(F109="",#REF!,F109)</f>
        <v>0116011</v>
      </c>
      <c r="H109" s="1016" t="s">
        <v>7312</v>
      </c>
      <c r="I109" s="944" t="str">
        <f t="shared" si="5"/>
        <v>0116011001</v>
      </c>
      <c r="J109" s="990" t="s">
        <v>5541</v>
      </c>
      <c r="K109" s="890">
        <v>237188</v>
      </c>
      <c r="L109" s="886">
        <f>SUM(L110:L113)</f>
        <v>51726</v>
      </c>
      <c r="M109" s="886">
        <f>SUM(M110:M113)</f>
        <v>29613274</v>
      </c>
      <c r="N109" s="886"/>
      <c r="O109" s="886"/>
      <c r="P109" s="896">
        <f>Q109</f>
        <v>648</v>
      </c>
      <c r="Q109" s="1171">
        <f>SUM(Q110:Q113)</f>
        <v>648</v>
      </c>
      <c r="R109" s="1001" t="s">
        <v>10199</v>
      </c>
      <c r="S109" s="1271"/>
      <c r="T109" s="1255"/>
      <c r="U109" s="996"/>
      <c r="V109" s="996"/>
      <c r="W109" s="992" t="s">
        <v>10200</v>
      </c>
    </row>
    <row r="110" spans="1:23" ht="14.5" customHeight="1">
      <c r="A110" s="1034"/>
      <c r="B110" s="1034"/>
      <c r="C110" s="987"/>
      <c r="D110" s="988" t="str">
        <f t="shared" si="6"/>
        <v/>
      </c>
      <c r="F110" s="988" t="str">
        <f t="shared" si="4"/>
        <v/>
      </c>
      <c r="G110" s="1095" t="str">
        <f t="shared" si="8"/>
        <v>0116011</v>
      </c>
      <c r="I110" s="944" t="str">
        <f t="shared" si="5"/>
        <v/>
      </c>
      <c r="J110" s="991" t="s">
        <v>5542</v>
      </c>
      <c r="K110" s="873">
        <f>$K$109*143456/(143456+36152+5597+18473)</f>
        <v>167058.01180294386</v>
      </c>
      <c r="L110" s="890">
        <v>30400</v>
      </c>
      <c r="M110" s="890">
        <v>24244000</v>
      </c>
      <c r="N110" s="873"/>
      <c r="O110" s="873"/>
      <c r="P110" s="886"/>
      <c r="Q110" s="1162">
        <f t="shared" ref="Q110:Q113" si="9">ROUND(K110*L110/M110,0)</f>
        <v>209</v>
      </c>
      <c r="R110" s="882"/>
      <c r="S110" s="1269"/>
      <c r="T110" s="1254"/>
      <c r="U110" s="996" t="s">
        <v>10201</v>
      </c>
      <c r="V110" s="996"/>
      <c r="W110" s="992" t="s">
        <v>10202</v>
      </c>
    </row>
    <row r="111" spans="1:23" ht="14.5" customHeight="1">
      <c r="A111" s="1034"/>
      <c r="B111" s="1034"/>
      <c r="C111" s="987"/>
      <c r="D111" s="988" t="str">
        <f t="shared" si="6"/>
        <v/>
      </c>
      <c r="F111" s="988" t="str">
        <f t="shared" si="4"/>
        <v/>
      </c>
      <c r="G111" s="1095" t="str">
        <f t="shared" si="8"/>
        <v>0116011</v>
      </c>
      <c r="I111" s="944" t="str">
        <f t="shared" si="5"/>
        <v/>
      </c>
      <c r="J111" s="991" t="s">
        <v>5543</v>
      </c>
      <c r="K111" s="873">
        <f>$K$109*36152/(143456+36152+5597+18473)</f>
        <v>42099.885976885082</v>
      </c>
      <c r="L111" s="890">
        <v>4030</v>
      </c>
      <c r="M111" s="890">
        <v>4718000</v>
      </c>
      <c r="N111" s="873"/>
      <c r="O111" s="873"/>
      <c r="P111" s="886"/>
      <c r="Q111" s="1172">
        <f t="shared" si="9"/>
        <v>36</v>
      </c>
      <c r="R111" s="882"/>
      <c r="S111" s="1269"/>
      <c r="T111" s="1254"/>
      <c r="U111" s="996" t="s">
        <v>10201</v>
      </c>
      <c r="V111" s="996"/>
      <c r="W111" s="992" t="s">
        <v>10203</v>
      </c>
    </row>
    <row r="112" spans="1:23" ht="14.5" customHeight="1">
      <c r="C112" s="987"/>
      <c r="D112" s="988" t="str">
        <f t="shared" si="6"/>
        <v/>
      </c>
      <c r="F112" s="988" t="str">
        <f t="shared" si="4"/>
        <v/>
      </c>
      <c r="G112" s="1095" t="str">
        <f t="shared" si="8"/>
        <v>0116011</v>
      </c>
      <c r="I112" s="944" t="str">
        <f t="shared" si="5"/>
        <v/>
      </c>
      <c r="J112" s="991" t="s">
        <v>5544</v>
      </c>
      <c r="K112" s="873">
        <f>$K$109*5597/(143456+36152+5597+18473)</f>
        <v>6517.8430463771247</v>
      </c>
      <c r="L112" s="890">
        <v>16200</v>
      </c>
      <c r="M112" s="890">
        <v>537600</v>
      </c>
      <c r="N112" s="873"/>
      <c r="O112" s="873"/>
      <c r="P112" s="886"/>
      <c r="Q112" s="1172">
        <f t="shared" si="9"/>
        <v>196</v>
      </c>
      <c r="R112" s="882"/>
      <c r="S112" s="1269"/>
      <c r="T112" s="1254"/>
      <c r="U112" s="996" t="s">
        <v>10201</v>
      </c>
      <c r="V112" s="996"/>
      <c r="W112" s="992" t="s">
        <v>10203</v>
      </c>
    </row>
    <row r="113" spans="1:23" ht="14.5" customHeight="1">
      <c r="C113" s="987"/>
      <c r="D113" s="988" t="str">
        <f t="shared" si="6"/>
        <v/>
      </c>
      <c r="F113" s="988" t="str">
        <f t="shared" si="4"/>
        <v/>
      </c>
      <c r="G113" s="1095" t="str">
        <f t="shared" si="8"/>
        <v>0116011</v>
      </c>
      <c r="I113" s="944" t="str">
        <f t="shared" si="5"/>
        <v/>
      </c>
      <c r="J113" s="991" t="s">
        <v>5545</v>
      </c>
      <c r="K113" s="873">
        <f>$K$109*18473/(143456+36152+5597+18473)</f>
        <v>21512.259173793929</v>
      </c>
      <c r="L113" s="890">
        <f>299+797</f>
        <v>1096</v>
      </c>
      <c r="M113" s="890">
        <f>70883+42791</f>
        <v>113674</v>
      </c>
      <c r="N113" s="873"/>
      <c r="O113" s="873"/>
      <c r="P113" s="886"/>
      <c r="Q113" s="1172">
        <f t="shared" si="9"/>
        <v>207</v>
      </c>
      <c r="R113" s="882"/>
      <c r="S113" s="1269"/>
      <c r="T113" s="1254"/>
      <c r="U113" s="1011" t="s">
        <v>10201</v>
      </c>
      <c r="V113" s="996"/>
      <c r="W113" s="992" t="s">
        <v>10204</v>
      </c>
    </row>
    <row r="114" spans="1:23" ht="14.5" customHeight="1">
      <c r="C114" s="981" t="s">
        <v>5546</v>
      </c>
      <c r="D114" s="982" t="str">
        <f t="shared" si="6"/>
        <v>011602</v>
      </c>
      <c r="E114" s="983" t="s">
        <v>5547</v>
      </c>
      <c r="F114" s="982" t="str">
        <f t="shared" si="4"/>
        <v>0116021</v>
      </c>
      <c r="G114" s="1103" t="str">
        <f>IF(F114="",#REF!,F114)</f>
        <v>0116021</v>
      </c>
      <c r="H114" s="1102"/>
      <c r="I114" s="947" t="str">
        <f t="shared" si="5"/>
        <v/>
      </c>
      <c r="J114" s="984" t="s">
        <v>51</v>
      </c>
      <c r="K114" s="889"/>
      <c r="L114" s="889"/>
      <c r="M114" s="889"/>
      <c r="N114" s="889"/>
      <c r="O114" s="889"/>
      <c r="P114" s="881">
        <f>Q114</f>
        <v>990</v>
      </c>
      <c r="Q114" s="1160">
        <f>SUM(Q115:Q117)</f>
        <v>990</v>
      </c>
      <c r="R114" s="1004" t="s">
        <v>10205</v>
      </c>
      <c r="S114" s="1274"/>
      <c r="T114" s="1004"/>
      <c r="U114" s="993"/>
      <c r="V114" s="993"/>
      <c r="W114" s="986"/>
    </row>
    <row r="115" spans="1:23" ht="14.5" customHeight="1">
      <c r="C115" s="987"/>
      <c r="D115" s="988" t="str">
        <f t="shared" si="6"/>
        <v/>
      </c>
      <c r="F115" s="988" t="str">
        <f t="shared" si="4"/>
        <v/>
      </c>
      <c r="G115" s="1095" t="str">
        <f t="shared" si="8"/>
        <v>0116021</v>
      </c>
      <c r="H115" s="1016" t="s">
        <v>5349</v>
      </c>
      <c r="I115" s="944" t="str">
        <f t="shared" si="5"/>
        <v>0116021001</v>
      </c>
      <c r="J115" s="991" t="s">
        <v>5548</v>
      </c>
      <c r="K115" s="890">
        <v>109014.3</v>
      </c>
      <c r="L115" s="890">
        <v>621</v>
      </c>
      <c r="M115" s="890">
        <v>69700</v>
      </c>
      <c r="N115" s="886"/>
      <c r="O115" s="886"/>
      <c r="P115" s="886"/>
      <c r="Q115" s="1172">
        <f>ROUND(K115*L115/M115,0)</f>
        <v>971</v>
      </c>
      <c r="R115" s="882"/>
      <c r="S115" s="1269"/>
      <c r="T115" s="1254"/>
      <c r="U115" s="996" t="s">
        <v>10206</v>
      </c>
      <c r="V115" s="996" t="s">
        <v>10207</v>
      </c>
      <c r="W115" s="992" t="s">
        <v>10208</v>
      </c>
    </row>
    <row r="116" spans="1:23" ht="14.5" customHeight="1">
      <c r="C116" s="987"/>
      <c r="D116" s="988" t="str">
        <f t="shared" si="6"/>
        <v/>
      </c>
      <c r="F116" s="988" t="str">
        <f t="shared" si="4"/>
        <v/>
      </c>
      <c r="G116" s="1095" t="str">
        <f t="shared" si="8"/>
        <v>0116021</v>
      </c>
      <c r="H116" s="1016" t="s">
        <v>5327</v>
      </c>
      <c r="I116" s="944" t="str">
        <f t="shared" si="5"/>
        <v>0116021002</v>
      </c>
      <c r="J116" s="991" t="s">
        <v>5549</v>
      </c>
      <c r="K116" s="873"/>
      <c r="L116" s="886"/>
      <c r="M116" s="886"/>
      <c r="N116" s="886"/>
      <c r="O116" s="886"/>
      <c r="P116" s="886"/>
      <c r="Q116" s="1167">
        <v>16</v>
      </c>
      <c r="R116" s="882"/>
      <c r="S116" s="1269"/>
      <c r="T116" s="1254"/>
      <c r="U116" s="996" t="s">
        <v>10209</v>
      </c>
      <c r="V116" s="996" t="s">
        <v>10145</v>
      </c>
      <c r="W116" s="992"/>
    </row>
    <row r="117" spans="1:23" ht="14.5" customHeight="1">
      <c r="C117" s="998"/>
      <c r="D117" s="999" t="str">
        <f t="shared" si="6"/>
        <v/>
      </c>
      <c r="E117" s="1002"/>
      <c r="F117" s="999" t="str">
        <f t="shared" si="4"/>
        <v/>
      </c>
      <c r="G117" s="1104" t="str">
        <f t="shared" si="8"/>
        <v>0116021</v>
      </c>
      <c r="H117" s="1005" t="s">
        <v>5329</v>
      </c>
      <c r="I117" s="1002" t="str">
        <f t="shared" si="5"/>
        <v>0116021003</v>
      </c>
      <c r="J117" s="978" t="s">
        <v>5550</v>
      </c>
      <c r="K117" s="895">
        <v>2732.3</v>
      </c>
      <c r="L117" s="893">
        <f>L121</f>
        <v>78</v>
      </c>
      <c r="M117" s="893">
        <f>M121</f>
        <v>67103</v>
      </c>
      <c r="N117" s="893"/>
      <c r="O117" s="893"/>
      <c r="P117" s="893"/>
      <c r="Q117" s="1173">
        <f>ROUND(K117*L117/M117,0)</f>
        <v>3</v>
      </c>
      <c r="R117" s="900"/>
      <c r="S117" s="1272"/>
      <c r="T117" s="900"/>
      <c r="U117" s="1006" t="s">
        <v>10210</v>
      </c>
      <c r="V117" s="1006" t="s">
        <v>10145</v>
      </c>
      <c r="W117" s="1012" t="s">
        <v>10211</v>
      </c>
    </row>
    <row r="118" spans="1:23" ht="14.5" customHeight="1">
      <c r="C118" s="994" t="s">
        <v>5551</v>
      </c>
      <c r="D118" s="988" t="str">
        <f t="shared" si="6"/>
        <v>011603</v>
      </c>
      <c r="E118" s="989" t="s">
        <v>5552</v>
      </c>
      <c r="F118" s="988" t="str">
        <f t="shared" si="4"/>
        <v>0116031</v>
      </c>
      <c r="G118" s="1095" t="str">
        <f>IF(F118="",#REF!,F118)</f>
        <v>0116031</v>
      </c>
      <c r="I118" s="944" t="str">
        <f t="shared" si="5"/>
        <v/>
      </c>
      <c r="J118" s="990" t="s">
        <v>53</v>
      </c>
      <c r="K118" s="886"/>
      <c r="L118" s="886"/>
      <c r="M118" s="886"/>
      <c r="N118" s="886"/>
      <c r="O118" s="886"/>
      <c r="P118" s="896">
        <f>Q118</f>
        <v>3629</v>
      </c>
      <c r="Q118" s="1171">
        <f>SUM(Q119:Q123)</f>
        <v>3629</v>
      </c>
      <c r="R118" s="1001" t="s">
        <v>10212</v>
      </c>
      <c r="S118" s="1271"/>
      <c r="T118" s="1255"/>
      <c r="U118" s="996"/>
      <c r="V118" s="996"/>
      <c r="W118" s="992"/>
    </row>
    <row r="119" spans="1:23" ht="14.5" customHeight="1">
      <c r="C119" s="987"/>
      <c r="D119" s="988" t="str">
        <f t="shared" si="6"/>
        <v/>
      </c>
      <c r="F119" s="988" t="str">
        <f t="shared" si="4"/>
        <v/>
      </c>
      <c r="G119" s="1095" t="str">
        <f t="shared" si="8"/>
        <v>0116031</v>
      </c>
      <c r="H119" s="1016" t="s">
        <v>5349</v>
      </c>
      <c r="I119" s="944" t="str">
        <f t="shared" si="5"/>
        <v>0116031001</v>
      </c>
      <c r="J119" s="991" t="s">
        <v>5553</v>
      </c>
      <c r="K119" s="873"/>
      <c r="L119" s="886"/>
      <c r="M119" s="886"/>
      <c r="N119" s="886"/>
      <c r="O119" s="886"/>
      <c r="P119" s="886"/>
      <c r="Q119" s="1167">
        <v>1776</v>
      </c>
      <c r="R119" s="882"/>
      <c r="S119" s="1269"/>
      <c r="T119" s="1254"/>
      <c r="U119" s="996" t="s">
        <v>10099</v>
      </c>
      <c r="V119" s="996" t="s">
        <v>10213</v>
      </c>
      <c r="W119" s="992"/>
    </row>
    <row r="120" spans="1:23" ht="14.5" customHeight="1">
      <c r="C120" s="987"/>
      <c r="D120" s="988" t="str">
        <f t="shared" si="6"/>
        <v/>
      </c>
      <c r="F120" s="988" t="str">
        <f t="shared" si="4"/>
        <v/>
      </c>
      <c r="G120" s="1095" t="str">
        <f t="shared" si="8"/>
        <v>0116031</v>
      </c>
      <c r="H120" s="1016" t="s">
        <v>5327</v>
      </c>
      <c r="I120" s="944" t="str">
        <f t="shared" si="5"/>
        <v>0116031002</v>
      </c>
      <c r="J120" s="991" t="s">
        <v>5554</v>
      </c>
      <c r="K120" s="873"/>
      <c r="L120" s="886"/>
      <c r="M120" s="886"/>
      <c r="N120" s="886"/>
      <c r="O120" s="886"/>
      <c r="P120" s="886"/>
      <c r="Q120" s="1167">
        <v>223</v>
      </c>
      <c r="R120" s="882"/>
      <c r="S120" s="1269"/>
      <c r="T120" s="1254"/>
      <c r="U120" s="996" t="s">
        <v>10099</v>
      </c>
      <c r="V120" s="996" t="s">
        <v>10129</v>
      </c>
      <c r="W120" s="992"/>
    </row>
    <row r="121" spans="1:23" ht="14.5" customHeight="1">
      <c r="C121" s="987"/>
      <c r="D121" s="988" t="str">
        <f t="shared" si="6"/>
        <v/>
      </c>
      <c r="F121" s="988" t="str">
        <f t="shared" si="4"/>
        <v/>
      </c>
      <c r="G121" s="1095" t="str">
        <f t="shared" si="8"/>
        <v>0116031</v>
      </c>
      <c r="H121" s="1016" t="s">
        <v>5329</v>
      </c>
      <c r="I121" s="944" t="str">
        <f t="shared" si="5"/>
        <v>0116031003</v>
      </c>
      <c r="J121" s="991" t="s">
        <v>5555</v>
      </c>
      <c r="K121" s="890">
        <v>14997.5</v>
      </c>
      <c r="L121" s="890">
        <v>78</v>
      </c>
      <c r="M121" s="890">
        <v>67103</v>
      </c>
      <c r="N121" s="886"/>
      <c r="O121" s="886"/>
      <c r="P121" s="886"/>
      <c r="Q121" s="1165">
        <f>ROUND(K121*L121/M121,0)</f>
        <v>17</v>
      </c>
      <c r="R121" s="882"/>
      <c r="S121" s="1269"/>
      <c r="T121" s="1254"/>
      <c r="U121" s="996" t="s">
        <v>10214</v>
      </c>
      <c r="V121" s="996" t="s">
        <v>10215</v>
      </c>
      <c r="W121" s="992" t="s">
        <v>10216</v>
      </c>
    </row>
    <row r="122" spans="1:23" ht="14.5" customHeight="1">
      <c r="C122" s="987"/>
      <c r="D122" s="988" t="str">
        <f t="shared" si="6"/>
        <v/>
      </c>
      <c r="F122" s="988" t="str">
        <f t="shared" si="4"/>
        <v/>
      </c>
      <c r="G122" s="1095" t="str">
        <f t="shared" si="8"/>
        <v>0116031</v>
      </c>
      <c r="H122" s="1016" t="s">
        <v>5556</v>
      </c>
      <c r="I122" s="944" t="str">
        <f t="shared" si="5"/>
        <v>0116031004</v>
      </c>
      <c r="J122" s="991" t="s">
        <v>5557</v>
      </c>
      <c r="K122" s="873"/>
      <c r="L122" s="886"/>
      <c r="M122" s="886"/>
      <c r="N122" s="886"/>
      <c r="O122" s="886"/>
      <c r="P122" s="886"/>
      <c r="Q122" s="1167">
        <v>1613</v>
      </c>
      <c r="R122" s="882"/>
      <c r="S122" s="1269"/>
      <c r="T122" s="1254"/>
      <c r="U122" s="996" t="s">
        <v>10099</v>
      </c>
      <c r="V122" s="996" t="s">
        <v>10213</v>
      </c>
      <c r="W122" s="992"/>
    </row>
    <row r="123" spans="1:23" ht="14.5" customHeight="1">
      <c r="C123" s="998"/>
      <c r="D123" s="999" t="str">
        <f t="shared" si="6"/>
        <v/>
      </c>
      <c r="E123" s="1002"/>
      <c r="F123" s="999" t="str">
        <f t="shared" si="4"/>
        <v/>
      </c>
      <c r="G123" s="1104" t="str">
        <f t="shared" si="8"/>
        <v>0116031</v>
      </c>
      <c r="H123" s="1005" t="s">
        <v>5353</v>
      </c>
      <c r="I123" s="1002" t="str">
        <f t="shared" si="5"/>
        <v>0116031099</v>
      </c>
      <c r="J123" s="978" t="s">
        <v>5558</v>
      </c>
      <c r="K123" s="872"/>
      <c r="L123" s="893"/>
      <c r="M123" s="893"/>
      <c r="N123" s="893"/>
      <c r="O123" s="893"/>
      <c r="P123" s="893"/>
      <c r="Q123" s="1170">
        <v>0</v>
      </c>
      <c r="R123" s="900"/>
      <c r="S123" s="1272"/>
      <c r="T123" s="900"/>
      <c r="U123" s="978" t="s">
        <v>10099</v>
      </c>
      <c r="V123" s="1006"/>
      <c r="W123" s="1003" t="s">
        <v>10217</v>
      </c>
    </row>
    <row r="124" spans="1:23" ht="14.5" customHeight="1">
      <c r="C124" s="994" t="s">
        <v>5559</v>
      </c>
      <c r="D124" s="988" t="str">
        <f t="shared" si="6"/>
        <v>011609</v>
      </c>
      <c r="E124" s="989"/>
      <c r="F124" s="995" t="str">
        <f t="shared" si="4"/>
        <v/>
      </c>
      <c r="G124" s="1106"/>
      <c r="I124" s="944" t="str">
        <f t="shared" si="5"/>
        <v/>
      </c>
      <c r="J124" s="990" t="s">
        <v>5560</v>
      </c>
      <c r="K124" s="886"/>
      <c r="L124" s="886"/>
      <c r="M124" s="886"/>
      <c r="N124" s="873"/>
      <c r="O124" s="873"/>
      <c r="P124" s="896">
        <f>SUM(Q125:Q128)</f>
        <v>23</v>
      </c>
      <c r="Q124" s="1162"/>
      <c r="R124" s="882"/>
      <c r="S124" s="1269"/>
      <c r="T124" s="1254"/>
      <c r="U124" s="996"/>
      <c r="V124" s="996"/>
      <c r="W124" s="992"/>
    </row>
    <row r="125" spans="1:23" ht="14.5" customHeight="1">
      <c r="C125" s="994"/>
      <c r="D125" s="995" t="str">
        <f t="shared" si="6"/>
        <v/>
      </c>
      <c r="E125" s="989" t="s">
        <v>5561</v>
      </c>
      <c r="F125" s="988" t="str">
        <f t="shared" si="4"/>
        <v>0116091</v>
      </c>
      <c r="G125" s="1095" t="str">
        <f t="shared" ref="G125:G130" si="10">IF(F125="",G124,F125)</f>
        <v>0116091</v>
      </c>
      <c r="H125" s="1016" t="s">
        <v>36</v>
      </c>
      <c r="I125" s="944" t="str">
        <f t="shared" si="5"/>
        <v>0116091001</v>
      </c>
      <c r="J125" s="990" t="s">
        <v>54</v>
      </c>
      <c r="K125" s="873"/>
      <c r="L125" s="886"/>
      <c r="M125" s="886"/>
      <c r="N125" s="873"/>
      <c r="O125" s="873"/>
      <c r="P125" s="886"/>
      <c r="Q125" s="1174">
        <v>0</v>
      </c>
      <c r="R125" s="882" t="s">
        <v>10218</v>
      </c>
      <c r="S125" s="1269"/>
      <c r="T125" s="1254"/>
      <c r="U125" s="996" t="s">
        <v>10099</v>
      </c>
      <c r="V125" s="991" t="s">
        <v>10095</v>
      </c>
      <c r="W125" s="992"/>
    </row>
    <row r="126" spans="1:23" ht="14.5" customHeight="1">
      <c r="C126" s="994"/>
      <c r="D126" s="995" t="str">
        <f t="shared" si="6"/>
        <v/>
      </c>
      <c r="E126" s="989" t="s">
        <v>5562</v>
      </c>
      <c r="F126" s="988" t="str">
        <f t="shared" si="4"/>
        <v>0116092</v>
      </c>
      <c r="G126" s="1095" t="str">
        <f t="shared" si="10"/>
        <v>0116092</v>
      </c>
      <c r="H126" s="1016" t="s">
        <v>36</v>
      </c>
      <c r="I126" s="944" t="str">
        <f t="shared" si="5"/>
        <v>0116092001</v>
      </c>
      <c r="J126" s="990" t="s">
        <v>56</v>
      </c>
      <c r="K126" s="873"/>
      <c r="L126" s="886"/>
      <c r="M126" s="886"/>
      <c r="N126" s="886"/>
      <c r="O126" s="886"/>
      <c r="P126" s="886"/>
      <c r="Q126" s="1174">
        <v>0</v>
      </c>
      <c r="R126" s="1008" t="s">
        <v>10219</v>
      </c>
      <c r="S126" s="1276"/>
      <c r="T126" s="1267"/>
      <c r="U126" s="996"/>
      <c r="V126" s="996"/>
      <c r="W126" s="992" t="s">
        <v>10185</v>
      </c>
    </row>
    <row r="127" spans="1:23" ht="14.5" customHeight="1">
      <c r="C127" s="994"/>
      <c r="D127" s="995" t="str">
        <f t="shared" si="6"/>
        <v/>
      </c>
      <c r="E127" s="989" t="s">
        <v>5563</v>
      </c>
      <c r="F127" s="988" t="str">
        <f t="shared" si="4"/>
        <v>0116093</v>
      </c>
      <c r="G127" s="1095" t="str">
        <f t="shared" si="10"/>
        <v>0116093</v>
      </c>
      <c r="H127" s="1016" t="s">
        <v>36</v>
      </c>
      <c r="I127" s="944" t="str">
        <f t="shared" si="5"/>
        <v>0116093001</v>
      </c>
      <c r="J127" s="990" t="s">
        <v>58</v>
      </c>
      <c r="K127" s="873"/>
      <c r="L127" s="886"/>
      <c r="M127" s="886"/>
      <c r="N127" s="886"/>
      <c r="O127" s="886"/>
      <c r="P127" s="886"/>
      <c r="Q127" s="1174">
        <v>0</v>
      </c>
      <c r="R127" s="1008" t="s">
        <v>10219</v>
      </c>
      <c r="S127" s="1276"/>
      <c r="T127" s="1267"/>
      <c r="U127" s="996"/>
      <c r="V127" s="996"/>
      <c r="W127" s="992" t="s">
        <v>10185</v>
      </c>
    </row>
    <row r="128" spans="1:23" ht="14.5" customHeight="1">
      <c r="A128" s="1034"/>
      <c r="B128" s="1034"/>
      <c r="C128" s="994"/>
      <c r="D128" s="995" t="str">
        <f t="shared" si="6"/>
        <v/>
      </c>
      <c r="E128" s="989" t="s">
        <v>5564</v>
      </c>
      <c r="F128" s="988" t="str">
        <f t="shared" si="4"/>
        <v>0116099</v>
      </c>
      <c r="G128" s="1095" t="str">
        <f t="shared" si="10"/>
        <v>0116099</v>
      </c>
      <c r="I128" s="944" t="str">
        <f t="shared" si="5"/>
        <v/>
      </c>
      <c r="J128" s="1013" t="s">
        <v>5565</v>
      </c>
      <c r="K128" s="873"/>
      <c r="L128" s="886"/>
      <c r="M128" s="886"/>
      <c r="N128" s="886"/>
      <c r="O128" s="886"/>
      <c r="P128" s="886"/>
      <c r="Q128" s="1171">
        <f>SUM(Q129:Q130)</f>
        <v>23</v>
      </c>
      <c r="R128" s="1001" t="s">
        <v>10220</v>
      </c>
      <c r="S128" s="1271"/>
      <c r="T128" s="1255"/>
      <c r="U128" s="996"/>
      <c r="V128" s="996"/>
      <c r="W128" s="992"/>
    </row>
    <row r="129" spans="1:23" ht="14.5" customHeight="1">
      <c r="A129" s="1034"/>
      <c r="B129" s="1034"/>
      <c r="C129" s="987"/>
      <c r="D129" s="988" t="str">
        <f t="shared" si="6"/>
        <v/>
      </c>
      <c r="F129" s="988" t="str">
        <f t="shared" si="4"/>
        <v/>
      </c>
      <c r="G129" s="1095" t="str">
        <f t="shared" si="10"/>
        <v>0116099</v>
      </c>
      <c r="H129" s="1016" t="s">
        <v>5349</v>
      </c>
      <c r="I129" s="944" t="str">
        <f t="shared" si="5"/>
        <v>0116099001</v>
      </c>
      <c r="J129" s="991" t="s">
        <v>5566</v>
      </c>
      <c r="K129" s="873"/>
      <c r="L129" s="886"/>
      <c r="M129" s="886"/>
      <c r="N129" s="873"/>
      <c r="O129" s="873"/>
      <c r="P129" s="886"/>
      <c r="Q129" s="1167">
        <v>0</v>
      </c>
      <c r="R129" s="882"/>
      <c r="S129" s="1269"/>
      <c r="T129" s="1254"/>
      <c r="U129" s="996" t="s">
        <v>10099</v>
      </c>
      <c r="V129" s="991" t="s">
        <v>10095</v>
      </c>
      <c r="W129" s="992"/>
    </row>
    <row r="130" spans="1:23" ht="14.5" customHeight="1">
      <c r="A130" s="1034"/>
      <c r="B130" s="1034"/>
      <c r="C130" s="998"/>
      <c r="D130" s="999" t="str">
        <f t="shared" si="6"/>
        <v/>
      </c>
      <c r="E130" s="1002"/>
      <c r="F130" s="999" t="str">
        <f t="shared" si="4"/>
        <v/>
      </c>
      <c r="G130" s="1104" t="str">
        <f t="shared" si="10"/>
        <v>0116099</v>
      </c>
      <c r="H130" s="1005" t="s">
        <v>5353</v>
      </c>
      <c r="I130" s="1002" t="str">
        <f t="shared" si="5"/>
        <v>0116099099</v>
      </c>
      <c r="J130" s="1003" t="s">
        <v>5567</v>
      </c>
      <c r="K130" s="872"/>
      <c r="L130" s="893"/>
      <c r="M130" s="893"/>
      <c r="N130" s="893"/>
      <c r="O130" s="893"/>
      <c r="P130" s="893"/>
      <c r="Q130" s="1170">
        <v>23</v>
      </c>
      <c r="R130" s="900"/>
      <c r="S130" s="1272"/>
      <c r="T130" s="900"/>
      <c r="U130" s="978" t="s">
        <v>10099</v>
      </c>
      <c r="V130" s="1006" t="s">
        <v>10221</v>
      </c>
      <c r="W130" s="1003" t="s">
        <v>10222</v>
      </c>
    </row>
    <row r="131" spans="1:23" ht="14.5" customHeight="1">
      <c r="A131" s="1034"/>
      <c r="B131" s="1034"/>
      <c r="C131" s="994" t="s">
        <v>5568</v>
      </c>
      <c r="D131" s="988" t="str">
        <f t="shared" si="6"/>
        <v>012101</v>
      </c>
      <c r="E131" s="989"/>
      <c r="F131" s="995" t="str">
        <f t="shared" si="4"/>
        <v/>
      </c>
      <c r="G131" s="1106"/>
      <c r="I131" s="944" t="str">
        <f t="shared" si="5"/>
        <v/>
      </c>
      <c r="J131" s="990" t="s">
        <v>5569</v>
      </c>
      <c r="K131" s="886"/>
      <c r="L131" s="886"/>
      <c r="M131" s="886"/>
      <c r="N131" s="886"/>
      <c r="O131" s="886"/>
      <c r="P131" s="896">
        <f>Q132+Q133</f>
        <v>12314</v>
      </c>
      <c r="Q131" s="1162"/>
      <c r="R131" s="882"/>
      <c r="S131" s="1269"/>
      <c r="T131" s="1254"/>
      <c r="U131" s="996"/>
      <c r="V131" s="996"/>
      <c r="W131" s="992"/>
    </row>
    <row r="132" spans="1:23" ht="14.5" customHeight="1">
      <c r="A132" s="1034"/>
      <c r="B132" s="1034"/>
      <c r="C132" s="994"/>
      <c r="D132" s="995" t="str">
        <f t="shared" si="6"/>
        <v/>
      </c>
      <c r="E132" s="989" t="s">
        <v>5570</v>
      </c>
      <c r="F132" s="988" t="str">
        <f t="shared" si="4"/>
        <v>0121011</v>
      </c>
      <c r="G132" s="1095" t="str">
        <f t="shared" ref="G132:G159" si="11">IF(F132="",G131,F132)</f>
        <v>0121011</v>
      </c>
      <c r="H132" s="1016" t="s">
        <v>36</v>
      </c>
      <c r="I132" s="944" t="str">
        <f t="shared" si="5"/>
        <v>0121011001</v>
      </c>
      <c r="J132" s="990" t="s">
        <v>5571</v>
      </c>
      <c r="K132" s="873"/>
      <c r="L132" s="886"/>
      <c r="M132" s="886"/>
      <c r="N132" s="873"/>
      <c r="O132" s="873"/>
      <c r="P132" s="873"/>
      <c r="Q132" s="1174">
        <v>10090</v>
      </c>
      <c r="R132" s="882" t="s">
        <v>10223</v>
      </c>
      <c r="S132" s="1269"/>
      <c r="T132" s="1254"/>
      <c r="U132" s="996" t="s">
        <v>10099</v>
      </c>
      <c r="V132" s="991" t="s">
        <v>10095</v>
      </c>
      <c r="W132" s="992" t="s">
        <v>10224</v>
      </c>
    </row>
    <row r="133" spans="1:23" ht="14.5" customHeight="1">
      <c r="A133" s="1034"/>
      <c r="B133" s="1034"/>
      <c r="C133" s="994"/>
      <c r="D133" s="995" t="str">
        <f t="shared" si="6"/>
        <v/>
      </c>
      <c r="E133" s="989" t="s">
        <v>5572</v>
      </c>
      <c r="F133" s="988" t="str">
        <f t="shared" si="4"/>
        <v>0121019</v>
      </c>
      <c r="G133" s="1095" t="str">
        <f t="shared" si="11"/>
        <v>0121019</v>
      </c>
      <c r="I133" s="944" t="str">
        <f t="shared" si="5"/>
        <v/>
      </c>
      <c r="J133" s="990" t="s">
        <v>64</v>
      </c>
      <c r="K133" s="886"/>
      <c r="L133" s="886"/>
      <c r="M133" s="886"/>
      <c r="N133" s="886"/>
      <c r="O133" s="886"/>
      <c r="P133" s="886"/>
      <c r="Q133" s="1171">
        <f>SUM(Q134:Q137)</f>
        <v>2224</v>
      </c>
      <c r="R133" s="1001" t="s">
        <v>10225</v>
      </c>
      <c r="S133" s="1271"/>
      <c r="T133" s="1255"/>
      <c r="U133" s="996"/>
      <c r="V133" s="996"/>
      <c r="W133" s="992" t="s">
        <v>10226</v>
      </c>
    </row>
    <row r="134" spans="1:23" ht="14.5" customHeight="1">
      <c r="A134" s="1034"/>
      <c r="B134" s="1034"/>
      <c r="C134" s="987"/>
      <c r="D134" s="988" t="str">
        <f t="shared" si="6"/>
        <v/>
      </c>
      <c r="F134" s="988" t="str">
        <f t="shared" si="4"/>
        <v/>
      </c>
      <c r="G134" s="1095" t="str">
        <f t="shared" si="11"/>
        <v>0121019</v>
      </c>
      <c r="H134" s="1016" t="s">
        <v>575</v>
      </c>
      <c r="I134" s="944" t="str">
        <f t="shared" si="5"/>
        <v>0121019101</v>
      </c>
      <c r="J134" s="991" t="s">
        <v>5573</v>
      </c>
      <c r="K134" s="890">
        <v>1070</v>
      </c>
      <c r="L134" s="873">
        <f>L135</f>
        <v>4890</v>
      </c>
      <c r="M134" s="873">
        <f>M135</f>
        <v>441500</v>
      </c>
      <c r="N134" s="886"/>
      <c r="O134" s="886"/>
      <c r="P134" s="886"/>
      <c r="Q134" s="1162">
        <f>ROUND(K134*L134/M134,0)</f>
        <v>12</v>
      </c>
      <c r="R134" s="1001"/>
      <c r="S134" s="1271"/>
      <c r="T134" s="1255"/>
      <c r="U134" s="996" t="s">
        <v>10227</v>
      </c>
      <c r="V134" s="996" t="s">
        <v>10215</v>
      </c>
      <c r="W134" s="992" t="s">
        <v>10228</v>
      </c>
    </row>
    <row r="135" spans="1:23" ht="14.5" customHeight="1">
      <c r="A135" s="1034"/>
      <c r="B135" s="1034"/>
      <c r="C135" s="987"/>
      <c r="D135" s="988" t="str">
        <f t="shared" si="6"/>
        <v/>
      </c>
      <c r="F135" s="988" t="str">
        <f t="shared" si="4"/>
        <v/>
      </c>
      <c r="G135" s="1095" t="str">
        <f t="shared" si="11"/>
        <v>0121019</v>
      </c>
      <c r="H135" s="1016" t="s">
        <v>5359</v>
      </c>
      <c r="I135" s="944" t="str">
        <f t="shared" si="5"/>
        <v>0121019102</v>
      </c>
      <c r="J135" s="991" t="s">
        <v>5574</v>
      </c>
      <c r="K135" s="890">
        <v>67633</v>
      </c>
      <c r="L135" s="890">
        <f>1350+3540</f>
        <v>4890</v>
      </c>
      <c r="M135" s="890">
        <f>165400+276100</f>
        <v>441500</v>
      </c>
      <c r="N135" s="886"/>
      <c r="O135" s="886"/>
      <c r="P135" s="886"/>
      <c r="Q135" s="1162">
        <f>ROUND(K135*L135/M135,0)</f>
        <v>749</v>
      </c>
      <c r="R135" s="882"/>
      <c r="S135" s="1269"/>
      <c r="T135" s="1254"/>
      <c r="U135" s="996" t="s">
        <v>10227</v>
      </c>
      <c r="V135" s="996" t="s">
        <v>10145</v>
      </c>
      <c r="W135" s="992" t="s">
        <v>10229</v>
      </c>
    </row>
    <row r="136" spans="1:23" ht="14.5" customHeight="1">
      <c r="A136" s="1034"/>
      <c r="B136" s="1034"/>
      <c r="C136" s="987"/>
      <c r="D136" s="988" t="str">
        <f t="shared" si="6"/>
        <v/>
      </c>
      <c r="F136" s="988" t="str">
        <f t="shared" si="4"/>
        <v/>
      </c>
      <c r="G136" s="1095" t="str">
        <f t="shared" si="11"/>
        <v>0121019</v>
      </c>
      <c r="H136" s="1016" t="s">
        <v>5576</v>
      </c>
      <c r="I136" s="944" t="str">
        <f t="shared" si="5"/>
        <v>0121019901</v>
      </c>
      <c r="J136" s="1107" t="s">
        <v>5577</v>
      </c>
      <c r="K136" s="890">
        <v>147166</v>
      </c>
      <c r="L136" s="890">
        <v>2150</v>
      </c>
      <c r="M136" s="890">
        <v>253300</v>
      </c>
      <c r="N136" s="886"/>
      <c r="O136" s="886"/>
      <c r="P136" s="886"/>
      <c r="Q136" s="1162">
        <f>ROUND(K136*L136/M136,0)</f>
        <v>1249</v>
      </c>
      <c r="R136" s="882"/>
      <c r="S136" s="1269"/>
      <c r="T136" s="1254"/>
      <c r="U136" s="996" t="s">
        <v>10230</v>
      </c>
      <c r="V136" s="996" t="s">
        <v>10145</v>
      </c>
      <c r="W136" s="992" t="s">
        <v>10231</v>
      </c>
    </row>
    <row r="137" spans="1:23" ht="14.5" customHeight="1">
      <c r="A137" s="1034"/>
      <c r="B137" s="1034"/>
      <c r="C137" s="998"/>
      <c r="D137" s="999" t="str">
        <f t="shared" si="6"/>
        <v/>
      </c>
      <c r="E137" s="1002"/>
      <c r="F137" s="999" t="str">
        <f t="shared" si="4"/>
        <v/>
      </c>
      <c r="G137" s="1104" t="str">
        <f t="shared" si="11"/>
        <v>0121019</v>
      </c>
      <c r="H137" s="1005" t="s">
        <v>5578</v>
      </c>
      <c r="I137" s="1002" t="str">
        <f t="shared" si="5"/>
        <v>0121019902</v>
      </c>
      <c r="J137" s="1003" t="s">
        <v>10232</v>
      </c>
      <c r="K137" s="895">
        <v>21360</v>
      </c>
      <c r="L137" s="895">
        <f>ROUND(2150*0.4+1490*0.8+(2490+6590+430),0)</f>
        <v>11562</v>
      </c>
      <c r="M137" s="895">
        <f>253300*0.4+241300*0.8+(225400+603000+29300)</f>
        <v>1152060</v>
      </c>
      <c r="N137" s="893"/>
      <c r="O137" s="893"/>
      <c r="P137" s="893"/>
      <c r="Q137" s="1175">
        <f>ROUND(K137*L137/M137,0)</f>
        <v>214</v>
      </c>
      <c r="R137" s="900"/>
      <c r="S137" s="1272"/>
      <c r="T137" s="900"/>
      <c r="U137" s="1006" t="s">
        <v>10230</v>
      </c>
      <c r="V137" s="1006" t="s">
        <v>10145</v>
      </c>
      <c r="W137" s="1003" t="s">
        <v>10233</v>
      </c>
    </row>
    <row r="138" spans="1:23" ht="14.5" customHeight="1">
      <c r="A138" s="1034"/>
      <c r="B138" s="1034"/>
      <c r="C138" s="994" t="s">
        <v>5580</v>
      </c>
      <c r="D138" s="988" t="str">
        <f t="shared" si="6"/>
        <v>012102</v>
      </c>
      <c r="E138" s="989" t="s">
        <v>5581</v>
      </c>
      <c r="F138" s="988" t="str">
        <f t="shared" si="4"/>
        <v>0121021</v>
      </c>
      <c r="G138" s="1095" t="str">
        <f>IF(F138="",G137,F138)</f>
        <v>0121021</v>
      </c>
      <c r="I138" s="944" t="str">
        <f t="shared" si="5"/>
        <v/>
      </c>
      <c r="J138" s="990" t="s">
        <v>66</v>
      </c>
      <c r="K138" s="886"/>
      <c r="L138" s="886"/>
      <c r="M138" s="886"/>
      <c r="N138" s="886"/>
      <c r="O138" s="886"/>
      <c r="P138" s="896">
        <f>Q138</f>
        <v>21616</v>
      </c>
      <c r="Q138" s="1171">
        <f>SUM(Q139:Q142)</f>
        <v>21616</v>
      </c>
      <c r="R138" s="1001" t="s">
        <v>10234</v>
      </c>
      <c r="S138" s="1271"/>
      <c r="T138" s="1255"/>
      <c r="U138" s="996" t="s">
        <v>10235</v>
      </c>
      <c r="V138" s="996"/>
      <c r="W138" s="992" t="s">
        <v>10236</v>
      </c>
    </row>
    <row r="139" spans="1:23" ht="14.5" customHeight="1">
      <c r="A139" s="1034"/>
      <c r="B139" s="1034"/>
      <c r="C139" s="987"/>
      <c r="D139" s="988" t="str">
        <f t="shared" si="6"/>
        <v/>
      </c>
      <c r="F139" s="988" t="str">
        <f t="shared" ref="F139:F197" si="12">IF(E139="","",CONCATENATE(LEFT(E139,4),MID(E139,6,3)))</f>
        <v/>
      </c>
      <c r="G139" s="1095" t="str">
        <f>IF(F139="",G138,F139)</f>
        <v>0121021</v>
      </c>
      <c r="H139" s="1016" t="s">
        <v>5349</v>
      </c>
      <c r="I139" s="944" t="str">
        <f t="shared" ref="I139:I201" si="13">IF(H139="","",CONCATENATE(G139,H139))</f>
        <v>0121021001</v>
      </c>
      <c r="J139" s="992" t="s">
        <v>10237</v>
      </c>
      <c r="K139" s="890">
        <v>731542</v>
      </c>
      <c r="L139" s="890">
        <f>48000-23500-7420+7720</f>
        <v>24800</v>
      </c>
      <c r="M139" s="890">
        <f>1792000-784600-385200+763400</f>
        <v>1385600</v>
      </c>
      <c r="N139" s="886"/>
      <c r="O139" s="886"/>
      <c r="P139" s="886"/>
      <c r="Q139" s="1162">
        <f>ROUND(K139*L139/M139,0)</f>
        <v>13093</v>
      </c>
      <c r="R139" s="882"/>
      <c r="S139" s="1269"/>
      <c r="T139" s="1254"/>
      <c r="U139" s="996"/>
      <c r="V139" s="996" t="s">
        <v>10215</v>
      </c>
      <c r="W139" s="992" t="s">
        <v>10238</v>
      </c>
    </row>
    <row r="140" spans="1:23" ht="14.5" customHeight="1">
      <c r="A140" s="1034"/>
      <c r="B140" s="1034"/>
      <c r="C140" s="987"/>
      <c r="D140" s="988" t="str">
        <f t="shared" ref="D140:D200" si="14">IF(C140="","",CONCATENATE(LEFT(C140,4),MID(C140,6,2)))</f>
        <v/>
      </c>
      <c r="F140" s="988" t="str">
        <f t="shared" si="12"/>
        <v/>
      </c>
      <c r="G140" s="1095" t="str">
        <f>IF(F140="",G139,F140)</f>
        <v>0121021</v>
      </c>
      <c r="H140" s="1016" t="s">
        <v>5327</v>
      </c>
      <c r="I140" s="944" t="str">
        <f t="shared" si="13"/>
        <v>0121021002</v>
      </c>
      <c r="J140" s="991" t="s">
        <v>5583</v>
      </c>
      <c r="K140" s="890">
        <v>301892</v>
      </c>
      <c r="L140" s="890">
        <f>5630+5910</f>
        <v>11540</v>
      </c>
      <c r="M140" s="890">
        <f>244600+270000</f>
        <v>514600</v>
      </c>
      <c r="N140" s="886"/>
      <c r="O140" s="886"/>
      <c r="P140" s="886"/>
      <c r="Q140" s="1162">
        <f>ROUND(K140*L140/M140,0)</f>
        <v>6770</v>
      </c>
      <c r="R140" s="882"/>
      <c r="S140" s="1269"/>
      <c r="T140" s="1254"/>
      <c r="U140" s="996"/>
      <c r="V140" s="996" t="s">
        <v>10145</v>
      </c>
      <c r="W140" s="992" t="s">
        <v>10239</v>
      </c>
    </row>
    <row r="141" spans="1:23" ht="14.5" customHeight="1">
      <c r="A141" s="1034"/>
      <c r="B141" s="1034"/>
      <c r="C141" s="987"/>
      <c r="F141" s="988"/>
      <c r="G141" s="1095" t="str">
        <f>IF(F141="",G140,F141)</f>
        <v>0121021</v>
      </c>
      <c r="H141" s="1016" t="s">
        <v>7205</v>
      </c>
      <c r="I141" s="944" t="str">
        <f t="shared" si="13"/>
        <v>0121021003</v>
      </c>
      <c r="J141" s="991" t="s">
        <v>10240</v>
      </c>
      <c r="K141" s="890">
        <v>54234</v>
      </c>
      <c r="L141" s="873">
        <f>L140</f>
        <v>11540</v>
      </c>
      <c r="M141" s="873">
        <f>M140</f>
        <v>514600</v>
      </c>
      <c r="N141" s="886"/>
      <c r="O141" s="886"/>
      <c r="P141" s="886"/>
      <c r="Q141" s="1162">
        <f>ROUND(K141*L141/M141,0)</f>
        <v>1216</v>
      </c>
      <c r="R141" s="882"/>
      <c r="S141" s="1269"/>
      <c r="T141" s="1254"/>
      <c r="U141" s="996"/>
      <c r="V141" s="996"/>
      <c r="W141" s="992" t="s">
        <v>10241</v>
      </c>
    </row>
    <row r="142" spans="1:23" ht="14.5" customHeight="1">
      <c r="A142" s="1034"/>
      <c r="B142" s="1034"/>
      <c r="C142" s="998"/>
      <c r="D142" s="999" t="str">
        <f t="shared" si="14"/>
        <v/>
      </c>
      <c r="E142" s="1002"/>
      <c r="F142" s="999" t="str">
        <f t="shared" si="12"/>
        <v/>
      </c>
      <c r="G142" s="1104" t="str">
        <f>IF(F142="",G140,F142)</f>
        <v>0121021</v>
      </c>
      <c r="H142" s="1005" t="s">
        <v>5556</v>
      </c>
      <c r="I142" s="1002" t="str">
        <f t="shared" si="13"/>
        <v>0121021004</v>
      </c>
      <c r="J142" s="978" t="s">
        <v>10242</v>
      </c>
      <c r="K142" s="895">
        <v>19621</v>
      </c>
      <c r="L142" s="895">
        <f>ROUND((5630+5910)*0.4+(7070+9370)*0.8+(16340+3650),0)</f>
        <v>37758</v>
      </c>
      <c r="M142" s="895">
        <f>ROUND((244600+270000)*0.4+(238500+278700)*0.8+(654600+105400),0)</f>
        <v>1379600</v>
      </c>
      <c r="N142" s="893"/>
      <c r="O142" s="893"/>
      <c r="P142" s="893"/>
      <c r="Q142" s="1176">
        <f>ROUND(K142*L142/M142,0)</f>
        <v>537</v>
      </c>
      <c r="R142" s="900"/>
      <c r="S142" s="1272"/>
      <c r="T142" s="900"/>
      <c r="U142" s="1006"/>
      <c r="V142" s="1006" t="s">
        <v>10145</v>
      </c>
      <c r="W142" s="1003" t="s">
        <v>10243</v>
      </c>
    </row>
    <row r="143" spans="1:23" ht="14.5" customHeight="1">
      <c r="A143" s="1034"/>
      <c r="B143" s="1034"/>
      <c r="C143" s="994" t="s">
        <v>5584</v>
      </c>
      <c r="D143" s="988" t="str">
        <f>IF(C143="","",CONCATENATE(LEFT(C143,4),MID(C143,6,2)))</f>
        <v>012103</v>
      </c>
      <c r="E143" s="989" t="s">
        <v>5585</v>
      </c>
      <c r="F143" s="988" t="str">
        <f>IF(E143="","",CONCATENATE(LEFT(E143,4),MID(E143,6,3)))</f>
        <v>0121031</v>
      </c>
      <c r="G143" s="1095" t="str">
        <f>IF(F143="",G153,F143)</f>
        <v>0121031</v>
      </c>
      <c r="I143" s="944" t="str">
        <f t="shared" si="13"/>
        <v/>
      </c>
      <c r="J143" s="990" t="s">
        <v>68</v>
      </c>
      <c r="K143" s="886"/>
      <c r="L143" s="886"/>
      <c r="M143" s="886"/>
      <c r="N143" s="886"/>
      <c r="O143" s="886"/>
      <c r="P143" s="896">
        <f>Q143</f>
        <v>1736</v>
      </c>
      <c r="Q143" s="1171">
        <f>SUM(Q144:Q145)</f>
        <v>1736</v>
      </c>
      <c r="R143" s="1001" t="s">
        <v>10244</v>
      </c>
      <c r="S143" s="1271"/>
      <c r="T143" s="1255"/>
      <c r="U143" s="996"/>
      <c r="V143" s="996"/>
      <c r="W143" s="992"/>
    </row>
    <row r="144" spans="1:23" ht="14.5" customHeight="1">
      <c r="A144" s="1034"/>
      <c r="B144" s="1034"/>
      <c r="C144" s="987"/>
      <c r="D144" s="988" t="str">
        <f>IF(C144="","",CONCATENATE(LEFT(C144,4),MID(C144,6,2)))</f>
        <v/>
      </c>
      <c r="F144" s="988" t="str">
        <f>IF(E144="","",CONCATENATE(LEFT(E144,4),MID(E144,6,3)))</f>
        <v/>
      </c>
      <c r="G144" s="1095" t="str">
        <f>IF(F144="",G143,F144)</f>
        <v>0121031</v>
      </c>
      <c r="H144" s="1016" t="s">
        <v>36</v>
      </c>
      <c r="I144" s="944" t="str">
        <f t="shared" si="13"/>
        <v>0121031001</v>
      </c>
      <c r="J144" s="992" t="s">
        <v>5586</v>
      </c>
      <c r="K144" s="873"/>
      <c r="L144" s="886"/>
      <c r="M144" s="886"/>
      <c r="N144" s="873"/>
      <c r="O144" s="873"/>
      <c r="P144" s="886"/>
      <c r="Q144" s="1167">
        <v>1730</v>
      </c>
      <c r="R144" s="882"/>
      <c r="S144" s="1269"/>
      <c r="T144" s="1254"/>
      <c r="U144" s="996" t="s">
        <v>10099</v>
      </c>
      <c r="V144" s="996" t="s">
        <v>10120</v>
      </c>
      <c r="W144" s="992"/>
    </row>
    <row r="145" spans="1:23" ht="14.5" customHeight="1">
      <c r="A145" s="1034"/>
      <c r="B145" s="1034"/>
      <c r="C145" s="998"/>
      <c r="D145" s="999" t="str">
        <f>IF(C145="","",CONCATENATE(LEFT(C145,4),MID(C145,6,2)))</f>
        <v/>
      </c>
      <c r="E145" s="1002"/>
      <c r="F145" s="999" t="str">
        <f>IF(E145="","",CONCATENATE(LEFT(E145,4),MID(E145,6,3)))</f>
        <v/>
      </c>
      <c r="G145" s="1104" t="str">
        <f>IF(F145="",G144,F145)</f>
        <v>0121031</v>
      </c>
      <c r="H145" s="1005" t="s">
        <v>5337</v>
      </c>
      <c r="I145" s="1002" t="str">
        <f t="shared" si="13"/>
        <v>0121031002</v>
      </c>
      <c r="J145" s="978" t="s">
        <v>10245</v>
      </c>
      <c r="K145" s="895">
        <v>2954</v>
      </c>
      <c r="L145" s="895">
        <v>20200</v>
      </c>
      <c r="M145" s="895">
        <v>9290000</v>
      </c>
      <c r="N145" s="893"/>
      <c r="O145" s="893"/>
      <c r="P145" s="893"/>
      <c r="Q145" s="1176">
        <f>ROUND(K145*L145/M145,0)</f>
        <v>6</v>
      </c>
      <c r="R145" s="900"/>
      <c r="S145" s="1272"/>
      <c r="T145" s="900"/>
      <c r="U145" s="1006" t="s">
        <v>10246</v>
      </c>
      <c r="V145" s="1006" t="s">
        <v>10215</v>
      </c>
      <c r="W145" s="1003" t="s">
        <v>10247</v>
      </c>
    </row>
    <row r="146" spans="1:23" ht="14.5" customHeight="1">
      <c r="A146" s="1034"/>
      <c r="B146" s="1034"/>
      <c r="C146" s="981" t="s">
        <v>5587</v>
      </c>
      <c r="D146" s="982" t="str">
        <f t="shared" si="14"/>
        <v>012104</v>
      </c>
      <c r="E146" s="983" t="s">
        <v>5588</v>
      </c>
      <c r="F146" s="982" t="str">
        <f t="shared" si="12"/>
        <v>0121041</v>
      </c>
      <c r="G146" s="1103" t="str">
        <f>IF(F146="",G137,F146)</f>
        <v>0121041</v>
      </c>
      <c r="H146" s="1102"/>
      <c r="I146" s="947" t="str">
        <f t="shared" si="13"/>
        <v/>
      </c>
      <c r="J146" s="984" t="s">
        <v>5589</v>
      </c>
      <c r="K146" s="886"/>
      <c r="L146" s="886"/>
      <c r="M146" s="886"/>
      <c r="N146" s="886"/>
      <c r="O146" s="886"/>
      <c r="P146" s="896">
        <f>Q146</f>
        <v>17384</v>
      </c>
      <c r="Q146" s="1171">
        <f>SUM(Q147:Q150)</f>
        <v>17384</v>
      </c>
      <c r="R146" s="1001" t="s">
        <v>10248</v>
      </c>
      <c r="S146" s="1271"/>
      <c r="T146" s="1255"/>
      <c r="U146" s="996"/>
      <c r="V146" s="996"/>
      <c r="W146" s="992" t="s">
        <v>10249</v>
      </c>
    </row>
    <row r="147" spans="1:23" ht="14.5" customHeight="1">
      <c r="A147" s="1034"/>
      <c r="B147" s="1034"/>
      <c r="C147" s="987"/>
      <c r="D147" s="988" t="str">
        <f t="shared" si="14"/>
        <v/>
      </c>
      <c r="F147" s="988" t="str">
        <f t="shared" si="12"/>
        <v/>
      </c>
      <c r="G147" s="1095" t="str">
        <f t="shared" si="11"/>
        <v>0121041</v>
      </c>
      <c r="H147" s="1016" t="s">
        <v>36</v>
      </c>
      <c r="I147" s="944" t="str">
        <f t="shared" si="13"/>
        <v>0121041001</v>
      </c>
      <c r="J147" s="991" t="s">
        <v>5590</v>
      </c>
      <c r="K147" s="873"/>
      <c r="L147" s="886"/>
      <c r="M147" s="886"/>
      <c r="N147" s="873"/>
      <c r="O147" s="873"/>
      <c r="P147" s="886"/>
      <c r="Q147" s="1167">
        <v>17073</v>
      </c>
      <c r="R147" s="882"/>
      <c r="S147" s="1269"/>
      <c r="T147" s="1254"/>
      <c r="U147" s="996" t="s">
        <v>10099</v>
      </c>
      <c r="V147" s="996" t="s">
        <v>10221</v>
      </c>
      <c r="W147" s="992"/>
    </row>
    <row r="148" spans="1:23" ht="14.5" customHeight="1">
      <c r="A148" s="1034"/>
      <c r="B148" s="1034"/>
      <c r="C148" s="987"/>
      <c r="D148" s="988" t="str">
        <f t="shared" si="14"/>
        <v/>
      </c>
      <c r="F148" s="988" t="str">
        <f t="shared" si="12"/>
        <v/>
      </c>
      <c r="G148" s="1095" t="str">
        <f t="shared" si="11"/>
        <v>0121041</v>
      </c>
      <c r="H148" s="1016" t="s">
        <v>5337</v>
      </c>
      <c r="I148" s="944" t="str">
        <f t="shared" si="13"/>
        <v>0121041002</v>
      </c>
      <c r="J148" s="992" t="s">
        <v>5591</v>
      </c>
      <c r="K148" s="890">
        <v>1133.2</v>
      </c>
      <c r="L148" s="890">
        <v>4736</v>
      </c>
      <c r="M148" s="890">
        <v>140648</v>
      </c>
      <c r="N148" s="873"/>
      <c r="O148" s="873"/>
      <c r="P148" s="886"/>
      <c r="Q148" s="1162">
        <f>ROUND(K148*L148/M148,0)</f>
        <v>38</v>
      </c>
      <c r="R148" s="882"/>
      <c r="S148" s="1269"/>
      <c r="T148" s="1254"/>
      <c r="U148" s="996" t="s">
        <v>10250</v>
      </c>
      <c r="V148" s="996" t="s">
        <v>10120</v>
      </c>
      <c r="W148" s="992" t="s">
        <v>10251</v>
      </c>
    </row>
    <row r="149" spans="1:23" ht="14.5" customHeight="1">
      <c r="A149" s="1034"/>
      <c r="B149" s="1034"/>
      <c r="C149" s="987"/>
      <c r="D149" s="988" t="str">
        <f t="shared" si="14"/>
        <v/>
      </c>
      <c r="F149" s="988" t="str">
        <f t="shared" si="12"/>
        <v/>
      </c>
      <c r="G149" s="1095" t="str">
        <f t="shared" si="11"/>
        <v>0121041</v>
      </c>
      <c r="H149" s="1016" t="s">
        <v>5339</v>
      </c>
      <c r="I149" s="944" t="str">
        <f t="shared" si="13"/>
        <v>0121041003</v>
      </c>
      <c r="J149" s="991" t="s">
        <v>5592</v>
      </c>
      <c r="K149" s="890">
        <v>4065.2</v>
      </c>
      <c r="L149" s="886">
        <f>Q147</f>
        <v>17073</v>
      </c>
      <c r="M149" s="890">
        <v>457700</v>
      </c>
      <c r="N149" s="873"/>
      <c r="O149" s="873"/>
      <c r="P149" s="886"/>
      <c r="Q149" s="1162">
        <f>ROUND(K149*L149/M149,0)</f>
        <v>152</v>
      </c>
      <c r="R149" s="882"/>
      <c r="S149" s="1269"/>
      <c r="T149" s="1254"/>
      <c r="U149" s="996" t="s">
        <v>10252</v>
      </c>
      <c r="V149" s="996" t="s">
        <v>10120</v>
      </c>
      <c r="W149" s="992" t="s">
        <v>10253</v>
      </c>
    </row>
    <row r="150" spans="1:23" ht="14.5" customHeight="1">
      <c r="A150" s="1034"/>
      <c r="B150" s="1034"/>
      <c r="C150" s="987"/>
      <c r="D150" s="988" t="str">
        <f t="shared" si="14"/>
        <v/>
      </c>
      <c r="F150" s="988" t="str">
        <f t="shared" si="12"/>
        <v/>
      </c>
      <c r="G150" s="1095" t="str">
        <f t="shared" si="11"/>
        <v>0121041</v>
      </c>
      <c r="H150" s="1016" t="s">
        <v>5593</v>
      </c>
      <c r="I150" s="944" t="str">
        <f t="shared" si="13"/>
        <v>0121041004</v>
      </c>
      <c r="J150" s="991" t="s">
        <v>10254</v>
      </c>
      <c r="K150" s="890">
        <v>3594.6</v>
      </c>
      <c r="L150" s="890">
        <f>L148</f>
        <v>4736</v>
      </c>
      <c r="M150" s="890">
        <f>M148</f>
        <v>140648</v>
      </c>
      <c r="N150" s="886"/>
      <c r="O150" s="886"/>
      <c r="P150" s="886"/>
      <c r="Q150" s="1162">
        <f>ROUND(K150*L150/M150,0)</f>
        <v>121</v>
      </c>
      <c r="R150" s="882"/>
      <c r="S150" s="1269"/>
      <c r="T150" s="1254"/>
      <c r="U150" s="1006" t="s">
        <v>10250</v>
      </c>
      <c r="V150" s="996"/>
      <c r="W150" s="992" t="s">
        <v>10255</v>
      </c>
    </row>
    <row r="151" spans="1:23" ht="14.5" customHeight="1">
      <c r="A151" s="1034"/>
      <c r="B151" s="1034"/>
      <c r="C151" s="981" t="s">
        <v>5595</v>
      </c>
      <c r="D151" s="982" t="str">
        <f t="shared" si="14"/>
        <v>012105</v>
      </c>
      <c r="E151" s="983" t="s">
        <v>5596</v>
      </c>
      <c r="F151" s="982" t="str">
        <f t="shared" si="12"/>
        <v>0121051</v>
      </c>
      <c r="G151" s="1103" t="str">
        <f t="shared" si="11"/>
        <v>0121051</v>
      </c>
      <c r="H151" s="1102"/>
      <c r="I151" s="947" t="str">
        <f t="shared" si="13"/>
        <v/>
      </c>
      <c r="J151" s="984" t="s">
        <v>72</v>
      </c>
      <c r="K151" s="889"/>
      <c r="L151" s="889"/>
      <c r="M151" s="889"/>
      <c r="N151" s="889"/>
      <c r="O151" s="889"/>
      <c r="P151" s="881">
        <f>Q151</f>
        <v>8588</v>
      </c>
      <c r="Q151" s="1160">
        <f>SUM(Q152:Q153)</f>
        <v>8588</v>
      </c>
      <c r="R151" s="1004" t="s">
        <v>10244</v>
      </c>
      <c r="S151" s="1274"/>
      <c r="T151" s="1004"/>
      <c r="U151" s="993"/>
      <c r="V151" s="993"/>
      <c r="W151" s="986"/>
    </row>
    <row r="152" spans="1:23" ht="14.5" customHeight="1">
      <c r="A152" s="1034"/>
      <c r="B152" s="1034"/>
      <c r="C152" s="987"/>
      <c r="D152" s="988" t="str">
        <f t="shared" si="14"/>
        <v/>
      </c>
      <c r="F152" s="988" t="str">
        <f t="shared" si="12"/>
        <v/>
      </c>
      <c r="G152" s="1095" t="str">
        <f t="shared" si="11"/>
        <v>0121051</v>
      </c>
      <c r="H152" s="1016" t="s">
        <v>36</v>
      </c>
      <c r="I152" s="944" t="str">
        <f t="shared" si="13"/>
        <v>0121051001</v>
      </c>
      <c r="J152" s="991" t="s">
        <v>5597</v>
      </c>
      <c r="K152" s="873"/>
      <c r="L152" s="886"/>
      <c r="M152" s="886"/>
      <c r="N152" s="873"/>
      <c r="O152" s="873"/>
      <c r="P152" s="886"/>
      <c r="Q152" s="1167">
        <v>8586</v>
      </c>
      <c r="R152" s="882"/>
      <c r="S152" s="1269"/>
      <c r="T152" s="1254"/>
      <c r="U152" s="996" t="s">
        <v>10111</v>
      </c>
      <c r="V152" s="996" t="s">
        <v>10221</v>
      </c>
      <c r="W152" s="992" t="s">
        <v>10256</v>
      </c>
    </row>
    <row r="153" spans="1:23" ht="14.5" customHeight="1">
      <c r="A153" s="1034"/>
      <c r="B153" s="1034"/>
      <c r="C153" s="998"/>
      <c r="D153" s="999" t="str">
        <f t="shared" si="14"/>
        <v/>
      </c>
      <c r="E153" s="1002"/>
      <c r="F153" s="999" t="str">
        <f t="shared" si="12"/>
        <v/>
      </c>
      <c r="G153" s="1104" t="str">
        <f t="shared" si="11"/>
        <v>0121051</v>
      </c>
      <c r="H153" s="1005" t="s">
        <v>5337</v>
      </c>
      <c r="I153" s="1002" t="str">
        <f t="shared" si="13"/>
        <v>0121051002</v>
      </c>
      <c r="J153" s="978" t="s">
        <v>10257</v>
      </c>
      <c r="K153" s="895">
        <v>87</v>
      </c>
      <c r="L153" s="895">
        <v>13669</v>
      </c>
      <c r="M153" s="895">
        <v>713834</v>
      </c>
      <c r="N153" s="893"/>
      <c r="O153" s="893"/>
      <c r="P153" s="893"/>
      <c r="Q153" s="1176">
        <f>ROUND(K153*L153/M153,0)</f>
        <v>2</v>
      </c>
      <c r="R153" s="900"/>
      <c r="S153" s="1272"/>
      <c r="T153" s="900"/>
      <c r="U153" s="1006" t="s">
        <v>10250</v>
      </c>
      <c r="V153" s="1006" t="s">
        <v>10215</v>
      </c>
      <c r="W153" s="1003" t="s">
        <v>10258</v>
      </c>
    </row>
    <row r="154" spans="1:23" ht="14.5" customHeight="1">
      <c r="A154" s="1034"/>
      <c r="B154" s="1034"/>
      <c r="C154" s="994" t="s">
        <v>5598</v>
      </c>
      <c r="D154" s="988" t="str">
        <f t="shared" si="14"/>
        <v>012109</v>
      </c>
      <c r="E154" s="989" t="s">
        <v>5599</v>
      </c>
      <c r="F154" s="988" t="str">
        <f>IF(E154="","",CONCATENATE(LEFT(E154,4),MID(E154,6,3)))</f>
        <v>0121099</v>
      </c>
      <c r="G154" s="1095" t="str">
        <f>IF(F154="",#REF!,F154)</f>
        <v>0121099</v>
      </c>
      <c r="I154" s="944" t="str">
        <f>IF(H154="","",CONCATENATE(G154,H154))</f>
        <v/>
      </c>
      <c r="J154" s="990" t="s">
        <v>5600</v>
      </c>
      <c r="K154" s="886"/>
      <c r="L154" s="886"/>
      <c r="M154" s="886"/>
      <c r="N154" s="886"/>
      <c r="O154" s="886"/>
      <c r="P154" s="896">
        <f>Q154</f>
        <v>245</v>
      </c>
      <c r="Q154" s="1171">
        <f>SUM(Q155:Q162)</f>
        <v>245</v>
      </c>
      <c r="R154" s="1001" t="s">
        <v>10259</v>
      </c>
      <c r="S154" s="1271"/>
      <c r="T154" s="1255"/>
      <c r="U154" s="996"/>
      <c r="V154" s="996"/>
      <c r="W154" s="992"/>
    </row>
    <row r="155" spans="1:23" ht="14.5" customHeight="1">
      <c r="A155" s="1034"/>
      <c r="B155" s="1034"/>
      <c r="C155" s="987"/>
      <c r="D155" s="988" t="str">
        <f t="shared" si="14"/>
        <v/>
      </c>
      <c r="F155" s="988" t="str">
        <f t="shared" si="12"/>
        <v/>
      </c>
      <c r="G155" s="1095" t="str">
        <f>IF(F155="",G154,F155)</f>
        <v>0121099</v>
      </c>
      <c r="H155" s="1016" t="s">
        <v>5534</v>
      </c>
      <c r="I155" s="944" t="str">
        <f t="shared" si="13"/>
        <v>0121099101</v>
      </c>
      <c r="J155" s="1108" t="s">
        <v>5603</v>
      </c>
      <c r="K155" s="890">
        <v>5128.7</v>
      </c>
      <c r="L155" s="890">
        <v>1</v>
      </c>
      <c r="M155" s="890">
        <v>10291</v>
      </c>
      <c r="N155" s="886"/>
      <c r="O155" s="886"/>
      <c r="P155" s="886"/>
      <c r="Q155" s="1162">
        <f t="shared" ref="Q155:Q160" si="15">ROUND(K155*L155/M155,0)</f>
        <v>0</v>
      </c>
      <c r="R155" s="882"/>
      <c r="S155" s="1287">
        <f>'CT2015'!K181</f>
        <v>46.6</v>
      </c>
      <c r="T155" s="1254">
        <f>ROUND(Q155*S155/100,0)</f>
        <v>0</v>
      </c>
      <c r="U155" s="1010" t="s">
        <v>10260</v>
      </c>
      <c r="V155" s="996" t="s">
        <v>10215</v>
      </c>
      <c r="W155" s="992"/>
    </row>
    <row r="156" spans="1:23" ht="14.5" customHeight="1">
      <c r="A156" s="1034"/>
      <c r="B156" s="1034"/>
      <c r="C156" s="987"/>
      <c r="D156" s="988" t="str">
        <f t="shared" si="14"/>
        <v/>
      </c>
      <c r="F156" s="988" t="str">
        <f t="shared" si="12"/>
        <v/>
      </c>
      <c r="G156" s="1095" t="str">
        <f>IF(F156="",G155,F156)</f>
        <v>0121099</v>
      </c>
      <c r="H156" s="1016" t="s">
        <v>5455</v>
      </c>
      <c r="I156" s="944" t="str">
        <f t="shared" si="13"/>
        <v>0121099201</v>
      </c>
      <c r="J156" s="991" t="s">
        <v>5604</v>
      </c>
      <c r="K156" s="890">
        <v>56591.7</v>
      </c>
      <c r="L156" s="890">
        <v>0</v>
      </c>
      <c r="M156" s="890">
        <v>7551</v>
      </c>
      <c r="N156" s="886"/>
      <c r="O156" s="886"/>
      <c r="P156" s="886"/>
      <c r="Q156" s="1162">
        <f t="shared" si="15"/>
        <v>0</v>
      </c>
      <c r="R156" s="882"/>
      <c r="S156" s="1269"/>
      <c r="T156" s="1254"/>
      <c r="U156" s="996" t="s">
        <v>10261</v>
      </c>
      <c r="V156" s="996" t="s">
        <v>10215</v>
      </c>
      <c r="W156" s="992" t="s">
        <v>10262</v>
      </c>
    </row>
    <row r="157" spans="1:23" ht="14.5" customHeight="1">
      <c r="A157" s="1034"/>
      <c r="B157" s="1034"/>
      <c r="C157" s="987"/>
      <c r="D157" s="988" t="str">
        <f>IF(C157="","",CONCATENATE(LEFT(C157,4),MID(C157,6,2)))</f>
        <v/>
      </c>
      <c r="F157" s="988" t="str">
        <f>IF(E157="","",CONCATENATE(LEFT(E157,4),MID(E157,6,3)))</f>
        <v/>
      </c>
      <c r="G157" s="1095" t="str">
        <f t="shared" si="11"/>
        <v>0121099</v>
      </c>
      <c r="H157" s="1016" t="s">
        <v>5476</v>
      </c>
      <c r="I157" s="944" t="str">
        <f>IF(H157="","",CONCATENATE(G157,H157))</f>
        <v>0121099301</v>
      </c>
      <c r="J157" s="991" t="s">
        <v>5606</v>
      </c>
      <c r="K157" s="890">
        <v>133.80000000000001</v>
      </c>
      <c r="L157" s="890">
        <v>0</v>
      </c>
      <c r="M157" s="890">
        <v>79710.2</v>
      </c>
      <c r="N157" s="886"/>
      <c r="O157" s="886"/>
      <c r="P157" s="886"/>
      <c r="Q157" s="1162">
        <f t="shared" si="15"/>
        <v>0</v>
      </c>
      <c r="R157" s="882"/>
      <c r="S157" s="1269"/>
      <c r="T157" s="1254"/>
      <c r="U157" s="996" t="s">
        <v>10263</v>
      </c>
      <c r="V157" s="996" t="s">
        <v>10213</v>
      </c>
      <c r="W157" s="992" t="s">
        <v>10264</v>
      </c>
    </row>
    <row r="158" spans="1:23" ht="14.5" customHeight="1">
      <c r="C158" s="987"/>
      <c r="D158" s="988" t="str">
        <f t="shared" si="14"/>
        <v/>
      </c>
      <c r="F158" s="988" t="str">
        <f t="shared" si="12"/>
        <v/>
      </c>
      <c r="G158" s="1095" t="str">
        <f>IF(F158="",G156,F158)</f>
        <v>0121099</v>
      </c>
      <c r="H158" s="1016" t="s">
        <v>5607</v>
      </c>
      <c r="I158" s="944" t="str">
        <f t="shared" si="13"/>
        <v>0121099801</v>
      </c>
      <c r="J158" s="991" t="s">
        <v>5608</v>
      </c>
      <c r="K158" s="890">
        <v>147.80000000000001</v>
      </c>
      <c r="L158" s="890">
        <v>326</v>
      </c>
      <c r="M158" s="890">
        <v>19573</v>
      </c>
      <c r="N158" s="886"/>
      <c r="O158" s="886"/>
      <c r="P158" s="886"/>
      <c r="Q158" s="1162">
        <f t="shared" si="15"/>
        <v>2</v>
      </c>
      <c r="R158" s="882"/>
      <c r="S158" s="1269"/>
      <c r="T158" s="1254"/>
      <c r="U158" s="996" t="s">
        <v>10265</v>
      </c>
      <c r="V158" s="996"/>
      <c r="W158" s="1014" t="s">
        <v>10266</v>
      </c>
    </row>
    <row r="159" spans="1:23" ht="14.5" customHeight="1">
      <c r="C159" s="987"/>
      <c r="D159" s="988" t="str">
        <f t="shared" si="14"/>
        <v/>
      </c>
      <c r="F159" s="988" t="str">
        <f t="shared" si="12"/>
        <v/>
      </c>
      <c r="G159" s="1095" t="str">
        <f t="shared" si="11"/>
        <v>0121099</v>
      </c>
      <c r="H159" s="1016" t="s">
        <v>5609</v>
      </c>
      <c r="I159" s="944" t="str">
        <f t="shared" si="13"/>
        <v>0121099802</v>
      </c>
      <c r="J159" s="991" t="s">
        <v>5610</v>
      </c>
      <c r="K159" s="890">
        <v>289.60000000000002</v>
      </c>
      <c r="L159" s="890">
        <v>276</v>
      </c>
      <c r="M159" s="890">
        <v>21199</v>
      </c>
      <c r="N159" s="886"/>
      <c r="O159" s="886"/>
      <c r="P159" s="886"/>
      <c r="Q159" s="1162">
        <f t="shared" si="15"/>
        <v>4</v>
      </c>
      <c r="R159" s="882"/>
      <c r="S159" s="1269"/>
      <c r="T159" s="1254"/>
      <c r="U159" s="996" t="s">
        <v>10265</v>
      </c>
      <c r="V159" s="996"/>
      <c r="W159" s="1014" t="s">
        <v>10267</v>
      </c>
    </row>
    <row r="160" spans="1:23" ht="14.5" customHeight="1">
      <c r="C160" s="987"/>
      <c r="D160" s="988" t="str">
        <f t="shared" si="14"/>
        <v/>
      </c>
      <c r="F160" s="988" t="str">
        <f t="shared" si="12"/>
        <v/>
      </c>
      <c r="G160" s="1095" t="str">
        <f>IF(F160="",G159,F160)</f>
        <v>0121099</v>
      </c>
      <c r="H160" s="1016" t="s">
        <v>5611</v>
      </c>
      <c r="I160" s="944" t="str">
        <f>IF(H160="","",CONCATENATE(G160,H160))</f>
        <v>0121099803</v>
      </c>
      <c r="J160" s="991" t="s">
        <v>5612</v>
      </c>
      <c r="K160" s="890">
        <v>7075.3</v>
      </c>
      <c r="L160" s="890">
        <v>64</v>
      </c>
      <c r="M160" s="890">
        <v>2745</v>
      </c>
      <c r="N160" s="886"/>
      <c r="O160" s="886"/>
      <c r="P160" s="886"/>
      <c r="Q160" s="1162">
        <f t="shared" si="15"/>
        <v>165</v>
      </c>
      <c r="R160" s="882"/>
      <c r="S160" s="1269"/>
      <c r="T160" s="1254"/>
      <c r="U160" s="1010" t="s">
        <v>10268</v>
      </c>
      <c r="V160" s="996" t="s">
        <v>10221</v>
      </c>
      <c r="W160" s="992" t="s">
        <v>10269</v>
      </c>
    </row>
    <row r="161" spans="3:23" ht="14.5" customHeight="1">
      <c r="C161" s="987"/>
      <c r="D161" s="988" t="str">
        <f t="shared" si="14"/>
        <v/>
      </c>
      <c r="F161" s="988" t="str">
        <f t="shared" si="12"/>
        <v/>
      </c>
      <c r="G161" s="1095" t="str">
        <f>IF(F161="",G160,F161)</f>
        <v>0121099</v>
      </c>
      <c r="H161" s="1016" t="s">
        <v>5613</v>
      </c>
      <c r="I161" s="944" t="str">
        <f>IF(H161="","",CONCATENATE(G161,H161))</f>
        <v>0121099804</v>
      </c>
      <c r="J161" s="991" t="s">
        <v>5614</v>
      </c>
      <c r="K161" s="890">
        <v>4442.6000000000004</v>
      </c>
      <c r="L161" s="873"/>
      <c r="M161" s="873"/>
      <c r="N161" s="886"/>
      <c r="O161" s="886"/>
      <c r="P161" s="886"/>
      <c r="Q161" s="1167">
        <v>0</v>
      </c>
      <c r="R161" s="882"/>
      <c r="S161" s="1269"/>
      <c r="T161" s="1254"/>
      <c r="U161" s="996"/>
      <c r="V161" s="996"/>
      <c r="W161" s="992" t="s">
        <v>10270</v>
      </c>
    </row>
    <row r="162" spans="3:23" ht="14.5" customHeight="1">
      <c r="C162" s="987"/>
      <c r="D162" s="988" t="str">
        <f t="shared" si="14"/>
        <v/>
      </c>
      <c r="F162" s="988" t="str">
        <f t="shared" si="12"/>
        <v/>
      </c>
      <c r="G162" s="1095" t="str">
        <f>IF(F162="",G161,F162)</f>
        <v>0121099</v>
      </c>
      <c r="H162" s="1016" t="s">
        <v>5617</v>
      </c>
      <c r="I162" s="944" t="str">
        <f t="shared" si="13"/>
        <v>0121099899</v>
      </c>
      <c r="J162" s="991" t="s">
        <v>5618</v>
      </c>
      <c r="K162" s="890">
        <v>22507.4</v>
      </c>
      <c r="L162" s="890">
        <f>57.63+0</f>
        <v>57.63</v>
      </c>
      <c r="M162" s="890">
        <f>8984.88+8438.06</f>
        <v>17422.939999999999</v>
      </c>
      <c r="N162" s="886"/>
      <c r="O162" s="886"/>
      <c r="P162" s="886"/>
      <c r="Q162" s="1162">
        <f>ROUND(K162*L162/M162,0)</f>
        <v>74</v>
      </c>
      <c r="R162" s="882"/>
      <c r="S162" s="1269"/>
      <c r="T162" s="1254"/>
      <c r="U162" s="996" t="s">
        <v>10271</v>
      </c>
      <c r="V162" s="996"/>
      <c r="W162" s="992" t="s">
        <v>10272</v>
      </c>
    </row>
    <row r="163" spans="3:23" ht="14.5" customHeight="1">
      <c r="C163" s="981" t="s">
        <v>10273</v>
      </c>
      <c r="D163" s="982" t="str">
        <f t="shared" si="14"/>
        <v>013101</v>
      </c>
      <c r="E163" s="983" t="s">
        <v>10274</v>
      </c>
      <c r="F163" s="982" t="str">
        <f t="shared" si="12"/>
        <v>0131011</v>
      </c>
      <c r="G163" s="1103" t="str">
        <f>IF(F163="",G1835,F163)</f>
        <v>0131011</v>
      </c>
      <c r="H163" s="1102"/>
      <c r="I163" s="947" t="str">
        <f t="shared" si="13"/>
        <v/>
      </c>
      <c r="J163" s="984" t="s">
        <v>10275</v>
      </c>
      <c r="K163" s="889">
        <f>SUM(K164:K170)</f>
        <v>438468</v>
      </c>
      <c r="L163" s="889"/>
      <c r="M163" s="889"/>
      <c r="N163" s="889"/>
      <c r="O163" s="889"/>
      <c r="P163" s="881">
        <f>Q163</f>
        <v>9319</v>
      </c>
      <c r="Q163" s="1160">
        <f>SUM(Q164:Q170)</f>
        <v>9319</v>
      </c>
      <c r="R163" s="1004" t="s">
        <v>10276</v>
      </c>
      <c r="S163" s="1274"/>
      <c r="T163" s="1004"/>
      <c r="U163" s="985"/>
      <c r="V163" s="996"/>
      <c r="W163" s="992"/>
    </row>
    <row r="164" spans="3:23" ht="14.5" customHeight="1">
      <c r="C164" s="987"/>
      <c r="D164" s="988" t="str">
        <f t="shared" si="14"/>
        <v/>
      </c>
      <c r="F164" s="988" t="str">
        <f t="shared" si="12"/>
        <v/>
      </c>
      <c r="G164" s="1095" t="str">
        <f t="shared" ref="G164:G174" si="16">IF(F164="",G163,F164)</f>
        <v>0131011</v>
      </c>
      <c r="H164" s="1016" t="s">
        <v>5349</v>
      </c>
      <c r="I164" s="944" t="str">
        <f t="shared" si="13"/>
        <v>0131011001</v>
      </c>
      <c r="J164" s="991" t="s">
        <v>5624</v>
      </c>
      <c r="K164" s="890">
        <v>89657</v>
      </c>
      <c r="L164" s="890">
        <f>58+9</f>
        <v>67</v>
      </c>
      <c r="M164" s="890">
        <f>1399+761</f>
        <v>2160</v>
      </c>
      <c r="N164" s="886"/>
      <c r="O164" s="886"/>
      <c r="P164" s="886"/>
      <c r="Q164" s="1162">
        <f t="shared" ref="Q164:Q170" si="17">ROUND(K164*L164/M164,0)</f>
        <v>2781</v>
      </c>
      <c r="R164" s="882"/>
      <c r="S164" s="1269"/>
      <c r="T164" s="1254"/>
      <c r="U164" s="996" t="s">
        <v>10277</v>
      </c>
      <c r="V164" s="996" t="s">
        <v>10278</v>
      </c>
      <c r="W164" s="992" t="s">
        <v>10279</v>
      </c>
    </row>
    <row r="165" spans="3:23" ht="14.5" customHeight="1">
      <c r="C165" s="987"/>
      <c r="D165" s="988" t="str">
        <f t="shared" si="14"/>
        <v/>
      </c>
      <c r="F165" s="988" t="str">
        <f t="shared" si="12"/>
        <v/>
      </c>
      <c r="G165" s="1095" t="str">
        <f t="shared" si="16"/>
        <v>0131011</v>
      </c>
      <c r="H165" s="1016" t="s">
        <v>5327</v>
      </c>
      <c r="I165" s="944" t="str">
        <f t="shared" si="13"/>
        <v>0131011002</v>
      </c>
      <c r="J165" s="991" t="s">
        <v>5625</v>
      </c>
      <c r="K165" s="890">
        <v>83091</v>
      </c>
      <c r="L165" s="886">
        <f>Q10+Q12</f>
        <v>42184</v>
      </c>
      <c r="M165" s="886">
        <f>K10+K12</f>
        <v>1663391.2</v>
      </c>
      <c r="N165" s="886"/>
      <c r="O165" s="886"/>
      <c r="P165" s="886"/>
      <c r="Q165" s="1162">
        <f t="shared" si="17"/>
        <v>2107</v>
      </c>
      <c r="R165" s="882"/>
      <c r="S165" s="1269"/>
      <c r="T165" s="1254"/>
      <c r="U165" s="996"/>
      <c r="V165" s="996"/>
      <c r="W165" s="992" t="s">
        <v>10280</v>
      </c>
    </row>
    <row r="166" spans="3:23" ht="14.5" customHeight="1">
      <c r="C166" s="987"/>
      <c r="D166" s="988" t="str">
        <f t="shared" si="14"/>
        <v/>
      </c>
      <c r="F166" s="988" t="str">
        <f t="shared" si="12"/>
        <v/>
      </c>
      <c r="G166" s="1095" t="str">
        <f t="shared" si="16"/>
        <v>0131011</v>
      </c>
      <c r="H166" s="1016" t="s">
        <v>5329</v>
      </c>
      <c r="I166" s="944" t="str">
        <f t="shared" si="13"/>
        <v>0131011003</v>
      </c>
      <c r="J166" s="991" t="s">
        <v>5626</v>
      </c>
      <c r="K166" s="890">
        <v>17646</v>
      </c>
      <c r="L166" s="890">
        <f>0+13365</f>
        <v>13365</v>
      </c>
      <c r="M166" s="890">
        <f>116850+995474</f>
        <v>1112324</v>
      </c>
      <c r="N166" s="886"/>
      <c r="O166" s="886"/>
      <c r="P166" s="886"/>
      <c r="Q166" s="1162">
        <f t="shared" si="17"/>
        <v>212</v>
      </c>
      <c r="R166" s="882"/>
      <c r="S166" s="1269"/>
      <c r="T166" s="1254"/>
      <c r="U166" s="996" t="s">
        <v>10281</v>
      </c>
      <c r="V166" s="996" t="s">
        <v>10282</v>
      </c>
      <c r="W166" s="992" t="s">
        <v>10283</v>
      </c>
    </row>
    <row r="167" spans="3:23" ht="14.5" customHeight="1">
      <c r="C167" s="987"/>
      <c r="D167" s="988" t="str">
        <f t="shared" si="14"/>
        <v/>
      </c>
      <c r="F167" s="988" t="str">
        <f t="shared" si="12"/>
        <v/>
      </c>
      <c r="G167" s="1095" t="str">
        <f t="shared" si="16"/>
        <v>0131011</v>
      </c>
      <c r="H167" s="1016" t="s">
        <v>5556</v>
      </c>
      <c r="I167" s="944" t="str">
        <f t="shared" si="13"/>
        <v>0131011004</v>
      </c>
      <c r="J167" s="991" t="s">
        <v>5627</v>
      </c>
      <c r="K167" s="890">
        <v>89280</v>
      </c>
      <c r="L167" s="890">
        <v>199652</v>
      </c>
      <c r="M167" s="890">
        <v>13366390</v>
      </c>
      <c r="N167" s="886"/>
      <c r="O167" s="886"/>
      <c r="P167" s="886"/>
      <c r="Q167" s="1162">
        <f t="shared" si="17"/>
        <v>1334</v>
      </c>
      <c r="R167" s="882"/>
      <c r="S167" s="1269"/>
      <c r="T167" s="1254"/>
      <c r="U167" s="996" t="s">
        <v>10284</v>
      </c>
      <c r="V167" s="996" t="s">
        <v>10278</v>
      </c>
      <c r="W167" s="992" t="s">
        <v>10285</v>
      </c>
    </row>
    <row r="168" spans="3:23" ht="14.5" customHeight="1">
      <c r="C168" s="987"/>
      <c r="D168" s="988" t="str">
        <f t="shared" si="14"/>
        <v/>
      </c>
      <c r="F168" s="988" t="str">
        <f t="shared" si="12"/>
        <v/>
      </c>
      <c r="G168" s="1095" t="str">
        <f t="shared" si="16"/>
        <v>0131011</v>
      </c>
      <c r="H168" s="1016" t="s">
        <v>5628</v>
      </c>
      <c r="I168" s="944" t="str">
        <f t="shared" si="13"/>
        <v>0131011005</v>
      </c>
      <c r="J168" s="991" t="s">
        <v>5629</v>
      </c>
      <c r="K168" s="890">
        <v>28085</v>
      </c>
      <c r="L168" s="890">
        <v>36500</v>
      </c>
      <c r="M168" s="890">
        <v>1462000</v>
      </c>
      <c r="N168" s="886"/>
      <c r="O168" s="886"/>
      <c r="P168" s="886"/>
      <c r="Q168" s="1162">
        <f t="shared" si="17"/>
        <v>701</v>
      </c>
      <c r="R168" s="882"/>
      <c r="S168" s="1269"/>
      <c r="T168" s="1254"/>
      <c r="U168" s="996" t="s">
        <v>10284</v>
      </c>
      <c r="V168" s="996" t="s">
        <v>10129</v>
      </c>
      <c r="W168" s="992" t="s">
        <v>10286</v>
      </c>
    </row>
    <row r="169" spans="3:23" ht="14.5" customHeight="1">
      <c r="C169" s="987"/>
      <c r="D169" s="988" t="str">
        <f t="shared" si="14"/>
        <v/>
      </c>
      <c r="F169" s="988" t="str">
        <f t="shared" si="12"/>
        <v/>
      </c>
      <c r="G169" s="1095" t="str">
        <f t="shared" si="16"/>
        <v>0131011</v>
      </c>
      <c r="H169" s="1016" t="s">
        <v>5630</v>
      </c>
      <c r="I169" s="944" t="str">
        <f t="shared" si="13"/>
        <v>0131011006</v>
      </c>
      <c r="J169" s="991" t="s">
        <v>5631</v>
      </c>
      <c r="K169" s="890">
        <v>35463</v>
      </c>
      <c r="L169" s="890">
        <f>13200+55700</f>
        <v>68900</v>
      </c>
      <c r="M169" s="890">
        <f>1352000+2555000</f>
        <v>3907000</v>
      </c>
      <c r="N169" s="882"/>
      <c r="O169" s="886"/>
      <c r="P169" s="886"/>
      <c r="Q169" s="1162">
        <f t="shared" si="17"/>
        <v>625</v>
      </c>
      <c r="R169" s="882"/>
      <c r="S169" s="1269"/>
      <c r="T169" s="1254"/>
      <c r="U169" s="996" t="s">
        <v>10287</v>
      </c>
      <c r="V169" s="996" t="s">
        <v>10215</v>
      </c>
      <c r="W169" s="992" t="s">
        <v>10288</v>
      </c>
    </row>
    <row r="170" spans="3:23" ht="14.5" customHeight="1">
      <c r="C170" s="987"/>
      <c r="D170" s="988" t="str">
        <f t="shared" si="14"/>
        <v/>
      </c>
      <c r="F170" s="988" t="str">
        <f t="shared" si="12"/>
        <v/>
      </c>
      <c r="G170" s="1095" t="str">
        <f t="shared" si="16"/>
        <v>0131011</v>
      </c>
      <c r="H170" s="1016" t="s">
        <v>5632</v>
      </c>
      <c r="I170" s="944" t="str">
        <f t="shared" si="13"/>
        <v>0131011007</v>
      </c>
      <c r="J170" s="991" t="s">
        <v>5633</v>
      </c>
      <c r="K170" s="890">
        <v>95246</v>
      </c>
      <c r="L170" s="890">
        <v>13868</v>
      </c>
      <c r="M170" s="890">
        <v>847084</v>
      </c>
      <c r="N170" s="886"/>
      <c r="O170" s="886"/>
      <c r="P170" s="886"/>
      <c r="Q170" s="1162">
        <f t="shared" si="17"/>
        <v>1559</v>
      </c>
      <c r="R170" s="882"/>
      <c r="S170" s="1269"/>
      <c r="T170" s="1254"/>
      <c r="U170" s="1010" t="s">
        <v>10289</v>
      </c>
      <c r="V170" s="996" t="s">
        <v>10129</v>
      </c>
      <c r="W170" s="992" t="s">
        <v>10290</v>
      </c>
    </row>
    <row r="171" spans="3:23" ht="14.5" customHeight="1">
      <c r="C171" s="981" t="s">
        <v>5635</v>
      </c>
      <c r="D171" s="982" t="str">
        <f t="shared" si="14"/>
        <v>015101</v>
      </c>
      <c r="E171" s="983" t="s">
        <v>5636</v>
      </c>
      <c r="F171" s="982" t="str">
        <f t="shared" si="12"/>
        <v>0151011</v>
      </c>
      <c r="G171" s="1103" t="str">
        <f>IF(F171="",#REF!,F171)</f>
        <v>0151011</v>
      </c>
      <c r="H171" s="1102"/>
      <c r="I171" s="947" t="str">
        <f t="shared" si="13"/>
        <v/>
      </c>
      <c r="J171" s="984" t="s">
        <v>78</v>
      </c>
      <c r="K171" s="889"/>
      <c r="L171" s="889"/>
      <c r="M171" s="889"/>
      <c r="N171" s="889"/>
      <c r="O171" s="889"/>
      <c r="P171" s="881">
        <f>Q171</f>
        <v>4731</v>
      </c>
      <c r="Q171" s="1160">
        <f>SUM(Q172:Q174)</f>
        <v>4731</v>
      </c>
      <c r="R171" s="880" t="s">
        <v>10291</v>
      </c>
      <c r="S171" s="1270"/>
      <c r="T171" s="880"/>
      <c r="U171" s="993"/>
      <c r="V171" s="993"/>
      <c r="W171" s="986"/>
    </row>
    <row r="172" spans="3:23" ht="14.5" customHeight="1">
      <c r="C172" s="994"/>
      <c r="E172" s="989"/>
      <c r="F172" s="988"/>
      <c r="G172" s="1095" t="str">
        <f t="shared" si="16"/>
        <v>0151011</v>
      </c>
      <c r="H172" s="1016" t="s">
        <v>5637</v>
      </c>
      <c r="I172" s="944" t="str">
        <f t="shared" si="13"/>
        <v>0151011101</v>
      </c>
      <c r="J172" s="991" t="s">
        <v>5638</v>
      </c>
      <c r="K172" s="873"/>
      <c r="L172" s="886"/>
      <c r="M172" s="886"/>
      <c r="N172" s="886"/>
      <c r="O172" s="886"/>
      <c r="P172" s="886"/>
      <c r="Q172" s="1167">
        <v>27</v>
      </c>
      <c r="R172" s="882"/>
      <c r="S172" s="1269"/>
      <c r="T172" s="1254"/>
      <c r="U172" s="996" t="s">
        <v>10292</v>
      </c>
      <c r="V172" s="996"/>
      <c r="W172" s="992" t="s">
        <v>10293</v>
      </c>
    </row>
    <row r="173" spans="3:23" ht="14.5" customHeight="1">
      <c r="C173" s="994"/>
      <c r="E173" s="989"/>
      <c r="F173" s="988"/>
      <c r="G173" s="1095" t="str">
        <f t="shared" si="16"/>
        <v>0151011</v>
      </c>
      <c r="H173" s="1016" t="s">
        <v>5455</v>
      </c>
      <c r="I173" s="944" t="str">
        <f t="shared" si="13"/>
        <v>0151011201</v>
      </c>
      <c r="J173" s="991" t="s">
        <v>5639</v>
      </c>
      <c r="K173" s="890">
        <v>95194</v>
      </c>
      <c r="L173" s="890">
        <v>264</v>
      </c>
      <c r="M173" s="890">
        <v>19882</v>
      </c>
      <c r="N173" s="886"/>
      <c r="O173" s="886"/>
      <c r="P173" s="886"/>
      <c r="Q173" s="1162">
        <f>ROUND(K173*L173/M173,0)</f>
        <v>1264</v>
      </c>
      <c r="R173" s="882"/>
      <c r="S173" s="1269"/>
      <c r="T173" s="1254"/>
      <c r="U173" s="996" t="s">
        <v>10294</v>
      </c>
      <c r="V173" s="996"/>
      <c r="W173" s="992" t="s">
        <v>10295</v>
      </c>
    </row>
    <row r="174" spans="3:23" ht="14.5" customHeight="1">
      <c r="C174" s="1015"/>
      <c r="D174" s="999"/>
      <c r="E174" s="1000"/>
      <c r="F174" s="999"/>
      <c r="G174" s="1104" t="str">
        <f t="shared" si="16"/>
        <v>0151011</v>
      </c>
      <c r="H174" s="1005" t="s">
        <v>5576</v>
      </c>
      <c r="I174" s="1002" t="str">
        <f t="shared" si="13"/>
        <v>0151011901</v>
      </c>
      <c r="J174" s="978" t="s">
        <v>5640</v>
      </c>
      <c r="K174" s="895">
        <v>152193</v>
      </c>
      <c r="L174" s="895">
        <v>125693</v>
      </c>
      <c r="M174" s="895">
        <v>5560201</v>
      </c>
      <c r="N174" s="893"/>
      <c r="O174" s="893"/>
      <c r="P174" s="893"/>
      <c r="Q174" s="1176">
        <f>ROUND(K174*L174/M174,0)</f>
        <v>3440</v>
      </c>
      <c r="R174" s="900"/>
      <c r="S174" s="1272"/>
      <c r="T174" s="900"/>
      <c r="U174" s="1006" t="s">
        <v>10296</v>
      </c>
      <c r="V174" s="1006" t="s">
        <v>10297</v>
      </c>
      <c r="W174" s="1003" t="s">
        <v>10298</v>
      </c>
    </row>
    <row r="175" spans="3:23" ht="14.5" customHeight="1">
      <c r="C175" s="994" t="s">
        <v>5641</v>
      </c>
      <c r="D175" s="988" t="str">
        <f>IF(C175="","",CONCATENATE(LEFT(C175,4),MID(C175,6,2)))</f>
        <v>015201</v>
      </c>
      <c r="E175" s="989" t="s">
        <v>5642</v>
      </c>
      <c r="F175" s="988" t="str">
        <f t="shared" si="12"/>
        <v>0152011</v>
      </c>
      <c r="G175" s="1095" t="str">
        <f>IF(F175="",#REF!,F175)</f>
        <v>0152011</v>
      </c>
      <c r="I175" s="944" t="str">
        <f t="shared" si="13"/>
        <v/>
      </c>
      <c r="J175" s="990" t="s">
        <v>5643</v>
      </c>
      <c r="K175" s="901"/>
      <c r="L175" s="901"/>
      <c r="M175" s="901"/>
      <c r="N175" s="886"/>
      <c r="O175" s="886"/>
      <c r="P175" s="896">
        <f>Q175</f>
        <v>3898</v>
      </c>
      <c r="Q175" s="1171">
        <f>SUM(Q176:Q185)</f>
        <v>3898</v>
      </c>
      <c r="R175" s="1001" t="s">
        <v>10299</v>
      </c>
      <c r="S175" s="1271"/>
      <c r="T175" s="1255"/>
      <c r="U175" s="996"/>
      <c r="V175" s="996"/>
      <c r="W175" s="992"/>
    </row>
    <row r="176" spans="3:23" ht="14.5" customHeight="1">
      <c r="C176" s="987"/>
      <c r="D176" s="988" t="str">
        <f t="shared" si="14"/>
        <v/>
      </c>
      <c r="F176" s="988" t="str">
        <f t="shared" si="12"/>
        <v/>
      </c>
      <c r="G176" s="1095" t="str">
        <f t="shared" ref="G176:G201" si="18">IF(F176="",G175,F176)</f>
        <v>0152011</v>
      </c>
      <c r="H176" s="1016" t="s">
        <v>575</v>
      </c>
      <c r="I176" s="944" t="str">
        <f t="shared" si="13"/>
        <v>0152011101</v>
      </c>
      <c r="J176" s="991" t="s">
        <v>5644</v>
      </c>
      <c r="K176" s="898">
        <v>106833</v>
      </c>
      <c r="L176" s="898">
        <v>124</v>
      </c>
      <c r="M176" s="902">
        <v>10739</v>
      </c>
      <c r="N176" s="886"/>
      <c r="O176" s="886"/>
      <c r="P176" s="886"/>
      <c r="Q176" s="1162">
        <f t="shared" ref="Q176:Q185" si="19">ROUND(K176*L176/M176,0)</f>
        <v>1234</v>
      </c>
      <c r="R176" s="882"/>
      <c r="S176" s="1269"/>
      <c r="T176" s="1254"/>
      <c r="U176" s="996" t="s">
        <v>10300</v>
      </c>
      <c r="V176" s="996" t="s">
        <v>10215</v>
      </c>
      <c r="W176" s="992"/>
    </row>
    <row r="177" spans="3:23" ht="14.5" customHeight="1">
      <c r="C177" s="987"/>
      <c r="D177" s="988" t="str">
        <f t="shared" si="14"/>
        <v/>
      </c>
      <c r="F177" s="988" t="str">
        <f t="shared" si="12"/>
        <v/>
      </c>
      <c r="G177" s="1095" t="str">
        <f t="shared" si="18"/>
        <v>0152011</v>
      </c>
      <c r="H177" s="1016" t="s">
        <v>5359</v>
      </c>
      <c r="I177" s="944" t="str">
        <f t="shared" si="13"/>
        <v>0152011102</v>
      </c>
      <c r="J177" s="991" t="s">
        <v>5645</v>
      </c>
      <c r="K177" s="898">
        <v>34882.199999999997</v>
      </c>
      <c r="L177" s="898">
        <v>65</v>
      </c>
      <c r="M177" s="902">
        <v>3506</v>
      </c>
      <c r="N177" s="886"/>
      <c r="O177" s="886"/>
      <c r="P177" s="886"/>
      <c r="Q177" s="1162">
        <f t="shared" si="19"/>
        <v>647</v>
      </c>
      <c r="R177" s="882"/>
      <c r="S177" s="1269"/>
      <c r="T177" s="1254"/>
      <c r="U177" s="996" t="s">
        <v>10145</v>
      </c>
      <c r="V177" s="996" t="s">
        <v>10145</v>
      </c>
      <c r="W177" s="992"/>
    </row>
    <row r="178" spans="3:23" ht="14.5" customHeight="1">
      <c r="C178" s="987"/>
      <c r="D178" s="988" t="str">
        <f t="shared" si="14"/>
        <v/>
      </c>
      <c r="F178" s="988" t="str">
        <f t="shared" si="12"/>
        <v/>
      </c>
      <c r="G178" s="1095" t="str">
        <f t="shared" si="18"/>
        <v>0152011</v>
      </c>
      <c r="H178" s="1016" t="s">
        <v>5361</v>
      </c>
      <c r="I178" s="944" t="str">
        <f t="shared" si="13"/>
        <v>0152011103</v>
      </c>
      <c r="J178" s="991" t="s">
        <v>10301</v>
      </c>
      <c r="K178" s="898">
        <v>3619</v>
      </c>
      <c r="L178" s="898">
        <v>1</v>
      </c>
      <c r="M178" s="902">
        <v>364</v>
      </c>
      <c r="N178" s="886"/>
      <c r="O178" s="886"/>
      <c r="P178" s="886"/>
      <c r="Q178" s="1162">
        <f t="shared" si="19"/>
        <v>10</v>
      </c>
      <c r="R178" s="882"/>
      <c r="S178" s="1269"/>
      <c r="T178" s="1254"/>
      <c r="U178" s="996" t="s">
        <v>10145</v>
      </c>
      <c r="V178" s="996" t="s">
        <v>10145</v>
      </c>
      <c r="W178" s="992"/>
    </row>
    <row r="179" spans="3:23" ht="14.5" customHeight="1">
      <c r="C179" s="987"/>
      <c r="F179" s="988"/>
      <c r="G179" s="1095" t="str">
        <f t="shared" si="18"/>
        <v>0152011</v>
      </c>
      <c r="H179" s="1016" t="s">
        <v>6146</v>
      </c>
      <c r="I179" s="944" t="str">
        <f t="shared" si="13"/>
        <v>0152011104</v>
      </c>
      <c r="J179" s="991" t="s">
        <v>10302</v>
      </c>
      <c r="K179" s="898">
        <v>20554.3</v>
      </c>
      <c r="L179" s="898">
        <v>0</v>
      </c>
      <c r="M179" s="902">
        <f>K179/(K179+K180)*3055</f>
        <v>2066.0680525257712</v>
      </c>
      <c r="N179" s="886"/>
      <c r="O179" s="886"/>
      <c r="P179" s="886"/>
      <c r="Q179" s="1162">
        <f>ROUND(K179*L179/M179,0)</f>
        <v>0</v>
      </c>
      <c r="R179" s="882"/>
      <c r="S179" s="1269"/>
      <c r="T179" s="1254"/>
      <c r="U179" s="996"/>
      <c r="V179" s="996"/>
      <c r="W179" s="992"/>
    </row>
    <row r="180" spans="3:23" ht="14.5" customHeight="1">
      <c r="C180" s="987"/>
      <c r="D180" s="988" t="str">
        <f t="shared" si="14"/>
        <v/>
      </c>
      <c r="F180" s="988" t="str">
        <f t="shared" si="12"/>
        <v/>
      </c>
      <c r="G180" s="1095" t="str">
        <f>IF(F180="",G178,F180)</f>
        <v>0152011</v>
      </c>
      <c r="H180" s="1016" t="s">
        <v>6148</v>
      </c>
      <c r="I180" s="944" t="str">
        <f t="shared" si="13"/>
        <v>0152011105</v>
      </c>
      <c r="J180" s="992" t="s">
        <v>10303</v>
      </c>
      <c r="K180" s="898">
        <v>9838.4</v>
      </c>
      <c r="L180" s="898">
        <v>0</v>
      </c>
      <c r="M180" s="902">
        <f>3055-M179</f>
        <v>988.93194747422876</v>
      </c>
      <c r="N180" s="886"/>
      <c r="O180" s="886"/>
      <c r="P180" s="886"/>
      <c r="Q180" s="1162">
        <f t="shared" si="19"/>
        <v>0</v>
      </c>
      <c r="R180" s="882"/>
      <c r="S180" s="1269"/>
      <c r="T180" s="1254"/>
      <c r="U180" s="996" t="s">
        <v>10145</v>
      </c>
      <c r="V180" s="996" t="s">
        <v>10145</v>
      </c>
      <c r="W180" s="992"/>
    </row>
    <row r="181" spans="3:23" ht="14.5" customHeight="1">
      <c r="C181" s="987"/>
      <c r="D181" s="988" t="str">
        <f t="shared" si="14"/>
        <v/>
      </c>
      <c r="F181" s="988" t="str">
        <f t="shared" si="12"/>
        <v/>
      </c>
      <c r="G181" s="1095" t="str">
        <f t="shared" si="18"/>
        <v>0152011</v>
      </c>
      <c r="H181" s="1016" t="s">
        <v>6150</v>
      </c>
      <c r="I181" s="944" t="str">
        <f t="shared" si="13"/>
        <v>0152011106</v>
      </c>
      <c r="J181" s="991" t="s">
        <v>5648</v>
      </c>
      <c r="K181" s="898">
        <v>1292.2</v>
      </c>
      <c r="L181" s="898">
        <v>3</v>
      </c>
      <c r="M181" s="902">
        <v>132</v>
      </c>
      <c r="N181" s="886"/>
      <c r="O181" s="886"/>
      <c r="P181" s="886"/>
      <c r="Q181" s="1162">
        <f t="shared" si="19"/>
        <v>29</v>
      </c>
      <c r="R181" s="882"/>
      <c r="S181" s="1269"/>
      <c r="T181" s="1254"/>
      <c r="U181" s="996" t="s">
        <v>10145</v>
      </c>
      <c r="V181" s="996" t="s">
        <v>10145</v>
      </c>
      <c r="W181" s="992" t="s">
        <v>10304</v>
      </c>
    </row>
    <row r="182" spans="3:23" ht="14.5" customHeight="1">
      <c r="C182" s="987"/>
      <c r="D182" s="988" t="str">
        <f t="shared" si="14"/>
        <v/>
      </c>
      <c r="F182" s="988" t="str">
        <f t="shared" si="12"/>
        <v/>
      </c>
      <c r="G182" s="1095" t="str">
        <f t="shared" si="18"/>
        <v>0152011</v>
      </c>
      <c r="H182" s="1016" t="s">
        <v>5667</v>
      </c>
      <c r="I182" s="944" t="str">
        <f t="shared" si="13"/>
        <v>0152011107</v>
      </c>
      <c r="J182" s="991" t="s">
        <v>5649</v>
      </c>
      <c r="K182" s="898">
        <v>15340.6</v>
      </c>
      <c r="L182" s="898">
        <v>11</v>
      </c>
      <c r="M182" s="902">
        <v>1541</v>
      </c>
      <c r="N182" s="886"/>
      <c r="O182" s="886"/>
      <c r="P182" s="886"/>
      <c r="Q182" s="1162">
        <f t="shared" si="19"/>
        <v>110</v>
      </c>
      <c r="R182" s="882"/>
      <c r="S182" s="1269"/>
      <c r="T182" s="1254"/>
      <c r="U182" s="996" t="s">
        <v>10145</v>
      </c>
      <c r="V182" s="996" t="s">
        <v>10145</v>
      </c>
      <c r="W182" s="992"/>
    </row>
    <row r="183" spans="3:23" ht="14.5" customHeight="1">
      <c r="C183" s="987"/>
      <c r="F183" s="988"/>
      <c r="G183" s="1095" t="str">
        <f t="shared" si="18"/>
        <v>0152011</v>
      </c>
      <c r="H183" s="1016" t="s">
        <v>5602</v>
      </c>
      <c r="I183" s="944" t="str">
        <f t="shared" si="13"/>
        <v>0152011201</v>
      </c>
      <c r="J183" s="991" t="s">
        <v>10305</v>
      </c>
      <c r="K183" s="898">
        <v>15987.2</v>
      </c>
      <c r="L183" s="898">
        <v>81</v>
      </c>
      <c r="M183" s="902">
        <v>806</v>
      </c>
      <c r="N183" s="886"/>
      <c r="O183" s="886"/>
      <c r="P183" s="886"/>
      <c r="Q183" s="1162">
        <f>ROUND(K183*L183/M183,0)</f>
        <v>1607</v>
      </c>
      <c r="R183" s="882"/>
      <c r="S183" s="1269"/>
      <c r="T183" s="1254"/>
      <c r="U183" s="996" t="s">
        <v>10294</v>
      </c>
      <c r="V183" s="996"/>
      <c r="W183" s="992" t="s">
        <v>10306</v>
      </c>
    </row>
    <row r="184" spans="3:23" ht="14.5" customHeight="1">
      <c r="C184" s="987"/>
      <c r="D184" s="988" t="str">
        <f t="shared" si="14"/>
        <v/>
      </c>
      <c r="F184" s="988" t="str">
        <f t="shared" si="12"/>
        <v/>
      </c>
      <c r="G184" s="1095" t="str">
        <f>IF(F184="",G182,F184)</f>
        <v>0152011</v>
      </c>
      <c r="H184" s="1016" t="s">
        <v>5476</v>
      </c>
      <c r="I184" s="944" t="str">
        <f t="shared" si="13"/>
        <v>0152011301</v>
      </c>
      <c r="J184" s="992" t="s">
        <v>5651</v>
      </c>
      <c r="K184" s="898">
        <v>6766.5</v>
      </c>
      <c r="L184" s="898">
        <v>1492</v>
      </c>
      <c r="M184" s="898">
        <v>242239</v>
      </c>
      <c r="N184" s="886"/>
      <c r="O184" s="886"/>
      <c r="P184" s="886"/>
      <c r="Q184" s="1162">
        <f t="shared" si="19"/>
        <v>42</v>
      </c>
      <c r="R184" s="882"/>
      <c r="S184" s="1269"/>
      <c r="T184" s="1254"/>
      <c r="U184" s="996" t="s">
        <v>10307</v>
      </c>
      <c r="V184" s="996" t="s">
        <v>10145</v>
      </c>
      <c r="W184" s="992" t="s">
        <v>10308</v>
      </c>
    </row>
    <row r="185" spans="3:23" ht="14.5" customHeight="1">
      <c r="C185" s="998"/>
      <c r="D185" s="999"/>
      <c r="E185" s="1002"/>
      <c r="F185" s="999"/>
      <c r="G185" s="1104" t="str">
        <f t="shared" si="18"/>
        <v>0152011</v>
      </c>
      <c r="H185" s="1005" t="s">
        <v>6047</v>
      </c>
      <c r="I185" s="1002" t="str">
        <f t="shared" si="13"/>
        <v>0152011302</v>
      </c>
      <c r="J185" s="1003" t="s">
        <v>5652</v>
      </c>
      <c r="K185" s="903">
        <v>41302.5</v>
      </c>
      <c r="L185" s="903">
        <v>2</v>
      </c>
      <c r="M185" s="904">
        <v>378</v>
      </c>
      <c r="N185" s="893"/>
      <c r="O185" s="893"/>
      <c r="P185" s="893"/>
      <c r="Q185" s="1176">
        <f t="shared" si="19"/>
        <v>219</v>
      </c>
      <c r="R185" s="900"/>
      <c r="S185" s="1272"/>
      <c r="T185" s="900"/>
      <c r="U185" s="1006" t="s">
        <v>10300</v>
      </c>
      <c r="V185" s="1006" t="s">
        <v>10145</v>
      </c>
      <c r="W185" s="1003"/>
    </row>
    <row r="186" spans="3:23" ht="14.5" customHeight="1">
      <c r="C186" s="994" t="s">
        <v>5653</v>
      </c>
      <c r="D186" s="988" t="str">
        <f t="shared" si="14"/>
        <v>015301</v>
      </c>
      <c r="E186" s="989" t="s">
        <v>5654</v>
      </c>
      <c r="F186" s="988" t="str">
        <f t="shared" si="12"/>
        <v>0153011</v>
      </c>
      <c r="G186" s="1095" t="str">
        <f>IF(F186="",#REF!,F186)</f>
        <v>0153011</v>
      </c>
      <c r="I186" s="944" t="str">
        <f t="shared" si="13"/>
        <v/>
      </c>
      <c r="J186" s="990" t="s">
        <v>5655</v>
      </c>
      <c r="K186" s="886">
        <f>SUM(K187:K201)</f>
        <v>236845.4</v>
      </c>
      <c r="L186" s="886"/>
      <c r="M186" s="886"/>
      <c r="N186" s="873"/>
      <c r="O186" s="873"/>
      <c r="P186" s="896">
        <f>Q186</f>
        <v>890</v>
      </c>
      <c r="Q186" s="1171">
        <f>SUM(Q187:Q201)</f>
        <v>890</v>
      </c>
      <c r="R186" s="1001" t="s">
        <v>10309</v>
      </c>
      <c r="S186" s="1271"/>
      <c r="T186" s="1255"/>
      <c r="U186" s="996"/>
      <c r="V186" s="996"/>
      <c r="W186" s="992"/>
    </row>
    <row r="187" spans="3:23" ht="14.5" customHeight="1">
      <c r="C187" s="987"/>
      <c r="D187" s="988" t="str">
        <f t="shared" si="14"/>
        <v/>
      </c>
      <c r="F187" s="988" t="str">
        <f t="shared" si="12"/>
        <v/>
      </c>
      <c r="G187" s="1095" t="str">
        <f t="shared" si="18"/>
        <v>0153011</v>
      </c>
      <c r="H187" s="1016" t="s">
        <v>5637</v>
      </c>
      <c r="I187" s="944" t="str">
        <f t="shared" si="13"/>
        <v>0153011101</v>
      </c>
      <c r="J187" s="991" t="s">
        <v>5656</v>
      </c>
      <c r="K187" s="890">
        <v>917.6</v>
      </c>
      <c r="L187" s="890">
        <v>1</v>
      </c>
      <c r="M187" s="890">
        <v>92</v>
      </c>
      <c r="N187" s="873"/>
      <c r="O187" s="873"/>
      <c r="P187" s="886"/>
      <c r="Q187" s="1162">
        <f t="shared" ref="Q187:Q200" si="20">ROUND(K187*L187/M187,0)</f>
        <v>10</v>
      </c>
      <c r="R187" s="882"/>
      <c r="S187" s="1269"/>
      <c r="T187" s="1254"/>
      <c r="U187" s="996" t="s">
        <v>10310</v>
      </c>
      <c r="V187" s="996" t="s">
        <v>10278</v>
      </c>
      <c r="W187" s="992"/>
    </row>
    <row r="188" spans="3:23" ht="14.5" customHeight="1">
      <c r="C188" s="987"/>
      <c r="D188" s="988" t="str">
        <f t="shared" si="14"/>
        <v/>
      </c>
      <c r="F188" s="988" t="str">
        <f t="shared" si="12"/>
        <v/>
      </c>
      <c r="G188" s="1095" t="str">
        <f t="shared" si="18"/>
        <v>0153011</v>
      </c>
      <c r="H188" s="1016" t="s">
        <v>5657</v>
      </c>
      <c r="I188" s="944" t="str">
        <f t="shared" si="13"/>
        <v>0153011102</v>
      </c>
      <c r="J188" s="991" t="s">
        <v>5658</v>
      </c>
      <c r="K188" s="890">
        <v>59627.199999999997</v>
      </c>
      <c r="L188" s="890">
        <v>78</v>
      </c>
      <c r="M188" s="890">
        <v>5965</v>
      </c>
      <c r="N188" s="873"/>
      <c r="O188" s="873"/>
      <c r="P188" s="886"/>
      <c r="Q188" s="1162">
        <f t="shared" si="20"/>
        <v>780</v>
      </c>
      <c r="R188" s="882"/>
      <c r="S188" s="1269"/>
      <c r="T188" s="1254"/>
      <c r="U188" s="996" t="s">
        <v>10145</v>
      </c>
      <c r="V188" s="996" t="s">
        <v>10278</v>
      </c>
      <c r="W188" s="992"/>
    </row>
    <row r="189" spans="3:23" ht="14.5" customHeight="1">
      <c r="C189" s="987"/>
      <c r="D189" s="988" t="str">
        <f t="shared" si="14"/>
        <v/>
      </c>
      <c r="F189" s="988" t="str">
        <f t="shared" si="12"/>
        <v/>
      </c>
      <c r="G189" s="1095" t="str">
        <f t="shared" si="18"/>
        <v>0153011</v>
      </c>
      <c r="H189" s="1016" t="s">
        <v>5659</v>
      </c>
      <c r="I189" s="944" t="str">
        <f t="shared" si="13"/>
        <v>0153011103</v>
      </c>
      <c r="J189" s="991" t="s">
        <v>5660</v>
      </c>
      <c r="K189" s="890">
        <v>7693.8</v>
      </c>
      <c r="L189" s="890">
        <v>2</v>
      </c>
      <c r="M189" s="890">
        <v>770</v>
      </c>
      <c r="N189" s="873"/>
      <c r="O189" s="873"/>
      <c r="P189" s="886"/>
      <c r="Q189" s="1162">
        <f t="shared" si="20"/>
        <v>20</v>
      </c>
      <c r="R189" s="882"/>
      <c r="S189" s="1269"/>
      <c r="T189" s="1254"/>
      <c r="U189" s="996" t="s">
        <v>10145</v>
      </c>
      <c r="V189" s="996" t="s">
        <v>10278</v>
      </c>
      <c r="W189" s="992"/>
    </row>
    <row r="190" spans="3:23" ht="14.5" customHeight="1">
      <c r="C190" s="987"/>
      <c r="D190" s="988" t="str">
        <f t="shared" si="14"/>
        <v/>
      </c>
      <c r="F190" s="988" t="str">
        <f t="shared" si="12"/>
        <v/>
      </c>
      <c r="G190" s="1095" t="str">
        <f t="shared" si="18"/>
        <v>0153011</v>
      </c>
      <c r="H190" s="1016" t="s">
        <v>5661</v>
      </c>
      <c r="I190" s="944" t="str">
        <f t="shared" si="13"/>
        <v>0153011104</v>
      </c>
      <c r="J190" s="991" t="s">
        <v>5662</v>
      </c>
      <c r="K190" s="890">
        <v>9118.2000000000007</v>
      </c>
      <c r="L190" s="890">
        <v>1</v>
      </c>
      <c r="M190" s="890">
        <v>912</v>
      </c>
      <c r="N190" s="873"/>
      <c r="O190" s="873"/>
      <c r="P190" s="886"/>
      <c r="Q190" s="1162">
        <f t="shared" si="20"/>
        <v>10</v>
      </c>
      <c r="R190" s="882"/>
      <c r="S190" s="1269"/>
      <c r="T190" s="1254"/>
      <c r="U190" s="996" t="s">
        <v>10145</v>
      </c>
      <c r="V190" s="996" t="s">
        <v>10278</v>
      </c>
      <c r="W190" s="992"/>
    </row>
    <row r="191" spans="3:23" ht="14.5" customHeight="1">
      <c r="C191" s="987"/>
      <c r="D191" s="988" t="str">
        <f t="shared" si="14"/>
        <v/>
      </c>
      <c r="F191" s="988" t="str">
        <f t="shared" si="12"/>
        <v/>
      </c>
      <c r="G191" s="1095" t="str">
        <f t="shared" si="18"/>
        <v>0153011</v>
      </c>
      <c r="H191" s="1016" t="s">
        <v>5663</v>
      </c>
      <c r="I191" s="944" t="str">
        <f t="shared" si="13"/>
        <v>0153011105</v>
      </c>
      <c r="J191" s="991" t="s">
        <v>5664</v>
      </c>
      <c r="K191" s="890">
        <v>28822</v>
      </c>
      <c r="L191" s="890">
        <v>0</v>
      </c>
      <c r="M191" s="890">
        <v>129587.3</v>
      </c>
      <c r="N191" s="873"/>
      <c r="O191" s="873"/>
      <c r="P191" s="886"/>
      <c r="Q191" s="1162">
        <f t="shared" si="20"/>
        <v>0</v>
      </c>
      <c r="R191" s="882"/>
      <c r="S191" s="1269"/>
      <c r="T191" s="1254"/>
      <c r="U191" s="1010" t="s">
        <v>10311</v>
      </c>
      <c r="V191" s="996" t="s">
        <v>10278</v>
      </c>
      <c r="W191" s="992"/>
    </row>
    <row r="192" spans="3:23" ht="14.5" customHeight="1">
      <c r="C192" s="987"/>
      <c r="D192" s="988" t="str">
        <f t="shared" si="14"/>
        <v/>
      </c>
      <c r="F192" s="988" t="str">
        <f t="shared" si="12"/>
        <v/>
      </c>
      <c r="G192" s="1095" t="str">
        <f t="shared" si="18"/>
        <v>0153011</v>
      </c>
      <c r="H192" s="1016" t="s">
        <v>5665</v>
      </c>
      <c r="I192" s="944" t="str">
        <f t="shared" si="13"/>
        <v>0153011106</v>
      </c>
      <c r="J192" s="991" t="s">
        <v>5666</v>
      </c>
      <c r="K192" s="890">
        <v>2747.9</v>
      </c>
      <c r="L192" s="890">
        <v>1</v>
      </c>
      <c r="M192" s="890">
        <v>275</v>
      </c>
      <c r="N192" s="873"/>
      <c r="O192" s="873"/>
      <c r="P192" s="886"/>
      <c r="Q192" s="1162">
        <f t="shared" si="20"/>
        <v>10</v>
      </c>
      <c r="R192" s="882"/>
      <c r="S192" s="1269"/>
      <c r="T192" s="1254"/>
      <c r="U192" s="996" t="s">
        <v>10310</v>
      </c>
      <c r="V192" s="996" t="s">
        <v>10278</v>
      </c>
      <c r="W192" s="992"/>
    </row>
    <row r="193" spans="1:23" ht="14.5" customHeight="1">
      <c r="C193" s="987"/>
      <c r="F193" s="988"/>
      <c r="G193" s="1095" t="str">
        <f t="shared" si="18"/>
        <v>0153011</v>
      </c>
      <c r="H193" s="1016" t="s">
        <v>5667</v>
      </c>
      <c r="I193" s="944" t="str">
        <f t="shared" si="13"/>
        <v>0153011107</v>
      </c>
      <c r="J193" s="991" t="s">
        <v>5668</v>
      </c>
      <c r="K193" s="890">
        <v>54553.3</v>
      </c>
      <c r="L193" s="890">
        <v>1</v>
      </c>
      <c r="M193" s="890">
        <v>5458</v>
      </c>
      <c r="N193" s="873"/>
      <c r="O193" s="873"/>
      <c r="P193" s="886"/>
      <c r="Q193" s="1162">
        <f t="shared" si="20"/>
        <v>10</v>
      </c>
      <c r="R193" s="882"/>
      <c r="S193" s="1269"/>
      <c r="T193" s="1254"/>
      <c r="U193" s="996" t="s">
        <v>10145</v>
      </c>
      <c r="V193" s="996" t="s">
        <v>10278</v>
      </c>
      <c r="W193" s="992" t="s">
        <v>10312</v>
      </c>
    </row>
    <row r="194" spans="1:23" ht="14.5" customHeight="1">
      <c r="C194" s="987"/>
      <c r="F194" s="988"/>
      <c r="G194" s="1095" t="str">
        <f t="shared" si="18"/>
        <v>0153011</v>
      </c>
      <c r="H194" s="1016" t="s">
        <v>5371</v>
      </c>
      <c r="I194" s="944" t="str">
        <f t="shared" si="13"/>
        <v>0153011108</v>
      </c>
      <c r="J194" s="991" t="s">
        <v>5669</v>
      </c>
      <c r="K194" s="890">
        <v>37403.4</v>
      </c>
      <c r="L194" s="890">
        <v>0</v>
      </c>
      <c r="M194" s="890">
        <v>3742</v>
      </c>
      <c r="N194" s="873"/>
      <c r="O194" s="873"/>
      <c r="P194" s="886"/>
      <c r="Q194" s="1162">
        <f t="shared" si="20"/>
        <v>0</v>
      </c>
      <c r="R194" s="882"/>
      <c r="S194" s="1269"/>
      <c r="T194" s="1254"/>
      <c r="U194" s="996" t="s">
        <v>10145</v>
      </c>
      <c r="V194" s="996" t="s">
        <v>10278</v>
      </c>
      <c r="W194" s="992" t="s">
        <v>10106</v>
      </c>
    </row>
    <row r="195" spans="1:23" ht="14.5" customHeight="1">
      <c r="C195" s="987"/>
      <c r="F195" s="988"/>
      <c r="G195" s="1095" t="str">
        <f t="shared" si="18"/>
        <v>0153011</v>
      </c>
      <c r="H195" s="1016" t="s">
        <v>5373</v>
      </c>
      <c r="I195" s="944" t="str">
        <f t="shared" si="13"/>
        <v>0153011109</v>
      </c>
      <c r="J195" s="991" t="s">
        <v>5670</v>
      </c>
      <c r="K195" s="890">
        <v>19892.7</v>
      </c>
      <c r="L195" s="890">
        <v>39.200000000000003</v>
      </c>
      <c r="M195" s="890">
        <v>39087.80000000001</v>
      </c>
      <c r="N195" s="873"/>
      <c r="O195" s="873"/>
      <c r="P195" s="886"/>
      <c r="Q195" s="1162">
        <f t="shared" si="20"/>
        <v>20</v>
      </c>
      <c r="R195" s="882"/>
      <c r="S195" s="1269"/>
      <c r="T195" s="1254"/>
      <c r="U195" s="1010" t="s">
        <v>10313</v>
      </c>
      <c r="V195" s="996" t="s">
        <v>10278</v>
      </c>
      <c r="W195" s="992" t="s">
        <v>10106</v>
      </c>
    </row>
    <row r="196" spans="1:23" ht="14.5" customHeight="1">
      <c r="C196" s="987"/>
      <c r="D196" s="988" t="str">
        <f t="shared" si="14"/>
        <v/>
      </c>
      <c r="F196" s="988" t="str">
        <f t="shared" si="12"/>
        <v/>
      </c>
      <c r="G196" s="1095" t="str">
        <f t="shared" si="18"/>
        <v>0153011</v>
      </c>
      <c r="H196" s="1016" t="s">
        <v>5453</v>
      </c>
      <c r="I196" s="944" t="str">
        <f t="shared" si="13"/>
        <v>0153011199</v>
      </c>
      <c r="J196" s="991" t="s">
        <v>5671</v>
      </c>
      <c r="K196" s="890">
        <v>6011.5</v>
      </c>
      <c r="L196" s="890">
        <f>0.7+0</f>
        <v>0.7</v>
      </c>
      <c r="M196" s="890">
        <f>3131.6+1850.7</f>
        <v>4982.3</v>
      </c>
      <c r="N196" s="873"/>
      <c r="O196" s="873"/>
      <c r="P196" s="886"/>
      <c r="Q196" s="1162">
        <f t="shared" si="20"/>
        <v>1</v>
      </c>
      <c r="R196" s="882"/>
      <c r="S196" s="1269"/>
      <c r="T196" s="1254"/>
      <c r="U196" s="1010" t="s">
        <v>10314</v>
      </c>
      <c r="V196" s="996" t="s">
        <v>10278</v>
      </c>
      <c r="W196" s="992" t="s">
        <v>10315</v>
      </c>
    </row>
    <row r="197" spans="1:23" ht="14.5" customHeight="1">
      <c r="C197" s="987"/>
      <c r="D197" s="988" t="str">
        <f t="shared" si="14"/>
        <v/>
      </c>
      <c r="F197" s="988" t="str">
        <f t="shared" si="12"/>
        <v/>
      </c>
      <c r="G197" s="1095" t="str">
        <f t="shared" si="18"/>
        <v>0153011</v>
      </c>
      <c r="H197" s="1016" t="s">
        <v>5455</v>
      </c>
      <c r="I197" s="944" t="str">
        <f t="shared" si="13"/>
        <v>0153011201</v>
      </c>
      <c r="J197" s="991" t="s">
        <v>5672</v>
      </c>
      <c r="K197" s="890">
        <v>3613.5</v>
      </c>
      <c r="L197" s="890">
        <v>2.2000000000000002</v>
      </c>
      <c r="M197" s="890">
        <v>2017.1</v>
      </c>
      <c r="N197" s="873"/>
      <c r="O197" s="873"/>
      <c r="P197" s="886"/>
      <c r="Q197" s="1162">
        <f t="shared" si="20"/>
        <v>4</v>
      </c>
      <c r="R197" s="882"/>
      <c r="S197" s="1269"/>
      <c r="T197" s="1254"/>
      <c r="U197" s="996" t="s">
        <v>10316</v>
      </c>
      <c r="V197" s="996" t="s">
        <v>10278</v>
      </c>
      <c r="W197" s="992" t="s">
        <v>10317</v>
      </c>
    </row>
    <row r="198" spans="1:23" ht="14.5" customHeight="1">
      <c r="C198" s="987"/>
      <c r="D198" s="988" t="str">
        <f t="shared" si="14"/>
        <v/>
      </c>
      <c r="F198" s="988" t="str">
        <f>IF(E198="","",CONCATENATE(LEFT(E198,4),MID(E198,6,3)))</f>
        <v/>
      </c>
      <c r="G198" s="1095" t="str">
        <f t="shared" si="18"/>
        <v>0153011</v>
      </c>
      <c r="H198" s="1016" t="s">
        <v>5476</v>
      </c>
      <c r="I198" s="944" t="str">
        <f t="shared" si="13"/>
        <v>0153011301</v>
      </c>
      <c r="J198" s="991" t="s">
        <v>5673</v>
      </c>
      <c r="K198" s="890">
        <v>489.8</v>
      </c>
      <c r="L198" s="890">
        <v>0</v>
      </c>
      <c r="M198" s="890">
        <v>1030.0999999999999</v>
      </c>
      <c r="N198" s="873"/>
      <c r="O198" s="873"/>
      <c r="P198" s="886"/>
      <c r="Q198" s="1162">
        <f t="shared" si="20"/>
        <v>0</v>
      </c>
      <c r="R198" s="882"/>
      <c r="S198" s="1269"/>
      <c r="T198" s="1254"/>
      <c r="U198" s="996" t="s">
        <v>10129</v>
      </c>
      <c r="V198" s="996" t="s">
        <v>10278</v>
      </c>
      <c r="W198" s="992" t="s">
        <v>10318</v>
      </c>
    </row>
    <row r="199" spans="1:23" ht="14.5" customHeight="1">
      <c r="C199" s="987"/>
      <c r="D199" s="988" t="str">
        <f t="shared" si="14"/>
        <v/>
      </c>
      <c r="F199" s="988" t="str">
        <f>IF(E199="","",CONCATENATE(LEFT(E199,4),MID(E199,6,3)))</f>
        <v/>
      </c>
      <c r="G199" s="1095" t="str">
        <f t="shared" si="18"/>
        <v>0153011</v>
      </c>
      <c r="H199" s="1016" t="s">
        <v>5423</v>
      </c>
      <c r="I199" s="944" t="str">
        <f t="shared" si="13"/>
        <v>0153011302</v>
      </c>
      <c r="J199" s="991" t="s">
        <v>5674</v>
      </c>
      <c r="K199" s="890">
        <v>2179.1</v>
      </c>
      <c r="L199" s="890">
        <v>526</v>
      </c>
      <c r="M199" s="890">
        <v>83536.100000000006</v>
      </c>
      <c r="N199" s="873"/>
      <c r="O199" s="873"/>
      <c r="P199" s="886"/>
      <c r="Q199" s="1162">
        <f t="shared" si="20"/>
        <v>14</v>
      </c>
      <c r="R199" s="882"/>
      <c r="S199" s="1269"/>
      <c r="T199" s="1254"/>
      <c r="U199" s="996" t="s">
        <v>10145</v>
      </c>
      <c r="V199" s="996" t="s">
        <v>10278</v>
      </c>
      <c r="W199" s="992" t="s">
        <v>10106</v>
      </c>
    </row>
    <row r="200" spans="1:23" ht="14.5" customHeight="1">
      <c r="C200" s="987"/>
      <c r="D200" s="988" t="str">
        <f t="shared" si="14"/>
        <v/>
      </c>
      <c r="F200" s="988" t="str">
        <f>IF(E200="","",CONCATENATE(LEFT(E200,4),MID(E200,6,3)))</f>
        <v/>
      </c>
      <c r="G200" s="1095" t="str">
        <f t="shared" si="18"/>
        <v>0153011</v>
      </c>
      <c r="H200" s="1016" t="s">
        <v>5425</v>
      </c>
      <c r="I200" s="944" t="str">
        <f t="shared" si="13"/>
        <v>0153011303</v>
      </c>
      <c r="J200" s="991" t="s">
        <v>5675</v>
      </c>
      <c r="K200" s="890">
        <v>3775.4</v>
      </c>
      <c r="L200" s="890">
        <v>37.5</v>
      </c>
      <c r="M200" s="890">
        <v>13396.2</v>
      </c>
      <c r="N200" s="886"/>
      <c r="O200" s="886"/>
      <c r="P200" s="882"/>
      <c r="Q200" s="1162">
        <f t="shared" si="20"/>
        <v>11</v>
      </c>
      <c r="R200" s="882"/>
      <c r="S200" s="1269"/>
      <c r="T200" s="1254"/>
      <c r="U200" s="996" t="s">
        <v>10145</v>
      </c>
      <c r="V200" s="996" t="s">
        <v>10278</v>
      </c>
      <c r="W200" s="992" t="s">
        <v>10106</v>
      </c>
    </row>
    <row r="201" spans="1:23" ht="14.5" customHeight="1">
      <c r="C201" s="998"/>
      <c r="D201" s="999"/>
      <c r="E201" s="1002"/>
      <c r="F201" s="999"/>
      <c r="G201" s="1104" t="str">
        <f t="shared" si="18"/>
        <v>0153011</v>
      </c>
      <c r="H201" s="1005" t="s">
        <v>5676</v>
      </c>
      <c r="I201" s="1002" t="str">
        <f t="shared" si="13"/>
        <v>0153011399</v>
      </c>
      <c r="J201" s="978" t="s">
        <v>5677</v>
      </c>
      <c r="K201" s="872"/>
      <c r="L201" s="872"/>
      <c r="M201" s="872"/>
      <c r="N201" s="893"/>
      <c r="O201" s="893"/>
      <c r="P201" s="893"/>
      <c r="Q201" s="1177">
        <v>0</v>
      </c>
      <c r="R201" s="900"/>
      <c r="S201" s="1272"/>
      <c r="T201" s="900"/>
      <c r="U201" s="1006" t="s">
        <v>10129</v>
      </c>
      <c r="V201" s="1006"/>
      <c r="W201" s="1003" t="s">
        <v>10319</v>
      </c>
    </row>
    <row r="202" spans="1:23" ht="14.5" customHeight="1">
      <c r="A202" s="1034"/>
      <c r="B202" s="1034"/>
      <c r="C202" s="994" t="s">
        <v>5678</v>
      </c>
      <c r="D202" s="988" t="str">
        <f>IF(C202="","",CONCATENATE(LEFT(C202,4),MID(C202,6,2)))</f>
        <v>017101</v>
      </c>
      <c r="E202" s="989" t="s">
        <v>5679</v>
      </c>
      <c r="F202" s="988" t="str">
        <f>IF(E202="","",CONCATENATE(LEFT(E202,4),MID(E202,6,3)))</f>
        <v>0171011</v>
      </c>
      <c r="G202" s="1095" t="str">
        <f>IF(F202="",#REF!,F202)</f>
        <v>0171011</v>
      </c>
      <c r="J202" s="990" t="s">
        <v>5680</v>
      </c>
      <c r="K202" s="886"/>
      <c r="L202" s="886"/>
      <c r="M202" s="886"/>
      <c r="N202" s="886"/>
      <c r="O202" s="886"/>
      <c r="P202" s="896">
        <f>Q202</f>
        <v>23680</v>
      </c>
      <c r="Q202" s="1171">
        <f>SUM(Q203:Q254)</f>
        <v>23680</v>
      </c>
      <c r="R202" s="882"/>
      <c r="S202" s="1269"/>
      <c r="T202" s="1254"/>
      <c r="U202" s="996"/>
      <c r="V202" s="996"/>
      <c r="W202" s="992"/>
    </row>
    <row r="203" spans="1:23" ht="14.5" customHeight="1">
      <c r="A203" s="1034"/>
      <c r="B203" s="1034"/>
      <c r="C203" s="994"/>
      <c r="E203" s="989"/>
      <c r="F203" s="988" t="str">
        <f>IF(E203="","",CONCATENATE(LEFT(E203,4),MID(E203,6,3)))</f>
        <v/>
      </c>
      <c r="G203" s="1095" t="str">
        <f>IF(F203="",G202,F203)</f>
        <v>0171011</v>
      </c>
      <c r="H203" s="1016" t="s">
        <v>5637</v>
      </c>
      <c r="I203" s="944" t="str">
        <f t="shared" ref="I203:I268" si="21">IF(H203="","",CONCATENATE(G203,H203))</f>
        <v>0171011101</v>
      </c>
      <c r="J203" s="991" t="s">
        <v>5681</v>
      </c>
      <c r="K203" s="886"/>
      <c r="L203" s="886"/>
      <c r="M203" s="886"/>
      <c r="N203" s="886"/>
      <c r="O203" s="886"/>
      <c r="P203" s="882"/>
      <c r="Q203" s="1178">
        <v>4</v>
      </c>
      <c r="R203" s="882"/>
      <c r="S203" s="1269"/>
      <c r="T203" s="1254"/>
      <c r="U203" s="996" t="s">
        <v>10320</v>
      </c>
      <c r="V203" s="996" t="s">
        <v>10278</v>
      </c>
      <c r="W203" s="992"/>
    </row>
    <row r="204" spans="1:23" ht="14.5" customHeight="1">
      <c r="A204" s="1034"/>
      <c r="B204" s="1034"/>
      <c r="C204" s="994"/>
      <c r="E204" s="989"/>
      <c r="F204" s="988"/>
      <c r="G204" s="1095" t="str">
        <f t="shared" ref="G204:G254" si="22">IF(F204="",G203,F204)</f>
        <v>0171011</v>
      </c>
      <c r="H204" s="1016" t="s">
        <v>5657</v>
      </c>
      <c r="I204" s="944" t="str">
        <f t="shared" si="21"/>
        <v>0171011102</v>
      </c>
      <c r="J204" s="991" t="s">
        <v>5682</v>
      </c>
      <c r="K204" s="886"/>
      <c r="L204" s="886"/>
      <c r="M204" s="886"/>
      <c r="N204" s="886"/>
      <c r="O204" s="886"/>
      <c r="P204" s="882"/>
      <c r="Q204" s="1178">
        <v>0</v>
      </c>
      <c r="R204" s="882"/>
      <c r="S204" s="1269"/>
      <c r="T204" s="1254"/>
      <c r="U204" s="996" t="s">
        <v>10321</v>
      </c>
      <c r="V204" s="996" t="s">
        <v>10278</v>
      </c>
      <c r="W204" s="992"/>
    </row>
    <row r="205" spans="1:23" ht="14.5" customHeight="1">
      <c r="A205" s="1034"/>
      <c r="B205" s="1034"/>
      <c r="C205" s="994"/>
      <c r="E205" s="989"/>
      <c r="F205" s="988"/>
      <c r="G205" s="1095" t="str">
        <f t="shared" si="22"/>
        <v>0171011</v>
      </c>
      <c r="H205" s="1016" t="s">
        <v>5361</v>
      </c>
      <c r="I205" s="944" t="str">
        <f t="shared" si="21"/>
        <v>0171011103</v>
      </c>
      <c r="J205" s="991" t="s">
        <v>5683</v>
      </c>
      <c r="K205" s="886"/>
      <c r="L205" s="886"/>
      <c r="M205" s="886"/>
      <c r="N205" s="886"/>
      <c r="O205" s="886"/>
      <c r="P205" s="882"/>
      <c r="Q205" s="1178">
        <v>0</v>
      </c>
      <c r="R205" s="882"/>
      <c r="S205" s="1269"/>
      <c r="T205" s="1254"/>
      <c r="U205" s="996" t="s">
        <v>10145</v>
      </c>
      <c r="V205" s="996" t="s">
        <v>10278</v>
      </c>
      <c r="W205" s="992"/>
    </row>
    <row r="206" spans="1:23" ht="14.5" customHeight="1">
      <c r="A206" s="1034"/>
      <c r="B206" s="1034"/>
      <c r="C206" s="994"/>
      <c r="E206" s="989"/>
      <c r="F206" s="988"/>
      <c r="G206" s="1095" t="str">
        <f t="shared" si="22"/>
        <v>0171011</v>
      </c>
      <c r="H206" s="1016" t="s">
        <v>5363</v>
      </c>
      <c r="I206" s="944" t="str">
        <f t="shared" si="21"/>
        <v>0171011104</v>
      </c>
      <c r="J206" s="991" t="s">
        <v>5684</v>
      </c>
      <c r="K206" s="886"/>
      <c r="L206" s="886"/>
      <c r="M206" s="886"/>
      <c r="N206" s="886"/>
      <c r="O206" s="886"/>
      <c r="P206" s="882"/>
      <c r="Q206" s="1178">
        <v>1</v>
      </c>
      <c r="R206" s="882"/>
      <c r="S206" s="1269"/>
      <c r="T206" s="1254"/>
      <c r="U206" s="996" t="s">
        <v>10145</v>
      </c>
      <c r="V206" s="996" t="s">
        <v>10278</v>
      </c>
      <c r="W206" s="992"/>
    </row>
    <row r="207" spans="1:23" ht="14.5" customHeight="1">
      <c r="A207" s="1034"/>
      <c r="B207" s="1034"/>
      <c r="C207" s="994"/>
      <c r="E207" s="989"/>
      <c r="F207" s="988"/>
      <c r="G207" s="1095" t="str">
        <f t="shared" si="22"/>
        <v>0171011</v>
      </c>
      <c r="H207" s="1016" t="s">
        <v>5365</v>
      </c>
      <c r="I207" s="944" t="str">
        <f t="shared" si="21"/>
        <v>0171011105</v>
      </c>
      <c r="J207" s="991" t="s">
        <v>5685</v>
      </c>
      <c r="K207" s="886"/>
      <c r="L207" s="886"/>
      <c r="M207" s="886"/>
      <c r="N207" s="886"/>
      <c r="O207" s="886"/>
      <c r="P207" s="882"/>
      <c r="Q207" s="1178">
        <v>0</v>
      </c>
      <c r="R207" s="882"/>
      <c r="S207" s="1269"/>
      <c r="T207" s="1254"/>
      <c r="U207" s="996" t="s">
        <v>10145</v>
      </c>
      <c r="V207" s="996" t="s">
        <v>10278</v>
      </c>
      <c r="W207" s="992"/>
    </row>
    <row r="208" spans="1:23" ht="14.5" customHeight="1">
      <c r="A208" s="1034"/>
      <c r="B208" s="1034"/>
      <c r="C208" s="994"/>
      <c r="E208" s="989"/>
      <c r="F208" s="988"/>
      <c r="G208" s="1095" t="str">
        <f t="shared" si="22"/>
        <v>0171011</v>
      </c>
      <c r="H208" s="1016" t="s">
        <v>5367</v>
      </c>
      <c r="I208" s="944" t="str">
        <f t="shared" si="21"/>
        <v>0171011106</v>
      </c>
      <c r="J208" s="991" t="s">
        <v>5686</v>
      </c>
      <c r="K208" s="886"/>
      <c r="L208" s="886"/>
      <c r="M208" s="886"/>
      <c r="N208" s="886"/>
      <c r="O208" s="886"/>
      <c r="P208" s="882"/>
      <c r="Q208" s="1178">
        <v>17</v>
      </c>
      <c r="R208" s="882"/>
      <c r="S208" s="1269"/>
      <c r="T208" s="1254"/>
      <c r="U208" s="996" t="s">
        <v>10321</v>
      </c>
      <c r="V208" s="996" t="s">
        <v>10278</v>
      </c>
      <c r="W208" s="992"/>
    </row>
    <row r="209" spans="1:23" ht="14.5" customHeight="1">
      <c r="A209" s="1034"/>
      <c r="B209" s="1034"/>
      <c r="C209" s="994"/>
      <c r="E209" s="989"/>
      <c r="F209" s="988"/>
      <c r="G209" s="1095" t="str">
        <f t="shared" si="22"/>
        <v>0171011</v>
      </c>
      <c r="H209" s="1016" t="s">
        <v>5369</v>
      </c>
      <c r="I209" s="944" t="str">
        <f t="shared" si="21"/>
        <v>0171011107</v>
      </c>
      <c r="J209" s="991" t="s">
        <v>5687</v>
      </c>
      <c r="K209" s="886"/>
      <c r="L209" s="886"/>
      <c r="M209" s="886"/>
      <c r="N209" s="886"/>
      <c r="O209" s="886"/>
      <c r="P209" s="882"/>
      <c r="Q209" s="1178">
        <v>0</v>
      </c>
      <c r="R209" s="882"/>
      <c r="S209" s="1269"/>
      <c r="T209" s="1254"/>
      <c r="U209" s="996" t="s">
        <v>10145</v>
      </c>
      <c r="V209" s="996" t="s">
        <v>10278</v>
      </c>
      <c r="W209" s="992"/>
    </row>
    <row r="210" spans="1:23" ht="14.5" customHeight="1">
      <c r="A210" s="1034"/>
      <c r="B210" s="1034"/>
      <c r="C210" s="994"/>
      <c r="E210" s="989"/>
      <c r="F210" s="988"/>
      <c r="G210" s="1095" t="str">
        <f t="shared" si="22"/>
        <v>0171011</v>
      </c>
      <c r="H210" s="1016" t="s">
        <v>5371</v>
      </c>
      <c r="I210" s="944" t="str">
        <f t="shared" si="21"/>
        <v>0171011108</v>
      </c>
      <c r="J210" s="991" t="s">
        <v>5688</v>
      </c>
      <c r="K210" s="873"/>
      <c r="L210" s="873"/>
      <c r="M210" s="873"/>
      <c r="N210" s="886"/>
      <c r="O210" s="886"/>
      <c r="P210" s="882"/>
      <c r="Q210" s="1167">
        <v>5522</v>
      </c>
      <c r="R210" s="882"/>
      <c r="S210" s="1269"/>
      <c r="T210" s="1254"/>
      <c r="U210" s="996" t="s">
        <v>10145</v>
      </c>
      <c r="V210" s="996" t="s">
        <v>10278</v>
      </c>
      <c r="W210" s="992"/>
    </row>
    <row r="211" spans="1:23" ht="14.5" customHeight="1">
      <c r="A211" s="1034"/>
      <c r="B211" s="1034"/>
      <c r="C211" s="994"/>
      <c r="E211" s="989"/>
      <c r="F211" s="988"/>
      <c r="G211" s="1095" t="str">
        <f t="shared" si="22"/>
        <v>0171011</v>
      </c>
      <c r="H211" s="1016" t="s">
        <v>5373</v>
      </c>
      <c r="I211" s="944" t="str">
        <f t="shared" si="21"/>
        <v>0171011109</v>
      </c>
      <c r="J211" s="991" t="s">
        <v>5689</v>
      </c>
      <c r="K211" s="886"/>
      <c r="L211" s="886"/>
      <c r="M211" s="886"/>
      <c r="N211" s="886"/>
      <c r="O211" s="886"/>
      <c r="P211" s="882"/>
      <c r="Q211" s="1178">
        <v>487</v>
      </c>
      <c r="R211" s="882"/>
      <c r="S211" s="1269"/>
      <c r="T211" s="1254"/>
      <c r="U211" s="996" t="s">
        <v>10145</v>
      </c>
      <c r="V211" s="996" t="s">
        <v>10278</v>
      </c>
      <c r="W211" s="992"/>
    </row>
    <row r="212" spans="1:23" ht="14.5" customHeight="1">
      <c r="A212" s="1034"/>
      <c r="B212" s="1034"/>
      <c r="C212" s="994"/>
      <c r="E212" s="989"/>
      <c r="F212" s="988"/>
      <c r="G212" s="1095" t="str">
        <f t="shared" si="22"/>
        <v>0171011</v>
      </c>
      <c r="H212" s="1016" t="s">
        <v>5375</v>
      </c>
      <c r="I212" s="944" t="str">
        <f t="shared" si="21"/>
        <v>0171011110</v>
      </c>
      <c r="J212" s="991" t="s">
        <v>5690</v>
      </c>
      <c r="K212" s="886"/>
      <c r="L212" s="886"/>
      <c r="M212" s="886"/>
      <c r="N212" s="886"/>
      <c r="O212" s="886"/>
      <c r="P212" s="882"/>
      <c r="Q212" s="1178">
        <v>198</v>
      </c>
      <c r="R212" s="882"/>
      <c r="S212" s="1269"/>
      <c r="T212" s="1254"/>
      <c r="U212" s="996" t="s">
        <v>10145</v>
      </c>
      <c r="V212" s="996" t="s">
        <v>10278</v>
      </c>
      <c r="W212" s="992"/>
    </row>
    <row r="213" spans="1:23" ht="14.5" customHeight="1">
      <c r="A213" s="1034"/>
      <c r="B213" s="1034"/>
      <c r="C213" s="994"/>
      <c r="E213" s="989"/>
      <c r="F213" s="988"/>
      <c r="G213" s="1095" t="str">
        <f t="shared" si="22"/>
        <v>0171011</v>
      </c>
      <c r="H213" s="1016" t="s">
        <v>5377</v>
      </c>
      <c r="I213" s="944" t="str">
        <f t="shared" si="21"/>
        <v>0171011111</v>
      </c>
      <c r="J213" s="991" t="s">
        <v>5691</v>
      </c>
      <c r="K213" s="886"/>
      <c r="L213" s="886"/>
      <c r="M213" s="886"/>
      <c r="N213" s="886"/>
      <c r="O213" s="886"/>
      <c r="P213" s="882"/>
      <c r="Q213" s="1178">
        <v>0</v>
      </c>
      <c r="R213" s="882"/>
      <c r="S213" s="1269"/>
      <c r="T213" s="1254"/>
      <c r="U213" s="996" t="s">
        <v>10145</v>
      </c>
      <c r="V213" s="996" t="s">
        <v>10278</v>
      </c>
      <c r="W213" s="992"/>
    </row>
    <row r="214" spans="1:23" ht="14.5" customHeight="1">
      <c r="A214" s="1034"/>
      <c r="B214" s="1034"/>
      <c r="C214" s="994"/>
      <c r="E214" s="989"/>
      <c r="F214" s="988"/>
      <c r="G214" s="1095" t="str">
        <f t="shared" si="22"/>
        <v>0171011</v>
      </c>
      <c r="H214" s="1016" t="s">
        <v>5379</v>
      </c>
      <c r="I214" s="944" t="str">
        <f t="shared" si="21"/>
        <v>0171011112</v>
      </c>
      <c r="J214" s="991" t="s">
        <v>5692</v>
      </c>
      <c r="K214" s="886"/>
      <c r="L214" s="886"/>
      <c r="M214" s="886"/>
      <c r="N214" s="886"/>
      <c r="O214" s="886"/>
      <c r="P214" s="882"/>
      <c r="Q214" s="1178">
        <v>113</v>
      </c>
      <c r="R214" s="882"/>
      <c r="S214" s="1269"/>
      <c r="T214" s="1254"/>
      <c r="U214" s="996" t="s">
        <v>10145</v>
      </c>
      <c r="V214" s="996" t="s">
        <v>10278</v>
      </c>
      <c r="W214" s="992"/>
    </row>
    <row r="215" spans="1:23" ht="14.5" customHeight="1">
      <c r="A215" s="1034"/>
      <c r="B215" s="1034"/>
      <c r="C215" s="994"/>
      <c r="E215" s="989"/>
      <c r="F215" s="988"/>
      <c r="G215" s="1095" t="str">
        <f t="shared" si="22"/>
        <v>0171011</v>
      </c>
      <c r="H215" s="1016" t="s">
        <v>5693</v>
      </c>
      <c r="I215" s="944" t="str">
        <f t="shared" si="21"/>
        <v>0171011113</v>
      </c>
      <c r="J215" s="991" t="s">
        <v>5694</v>
      </c>
      <c r="K215" s="886"/>
      <c r="L215" s="886"/>
      <c r="M215" s="886"/>
      <c r="N215" s="886"/>
      <c r="O215" s="886"/>
      <c r="P215" s="882"/>
      <c r="Q215" s="1178">
        <v>1321</v>
      </c>
      <c r="R215" s="882"/>
      <c r="S215" s="1269"/>
      <c r="T215" s="1254"/>
      <c r="U215" s="996" t="s">
        <v>10145</v>
      </c>
      <c r="V215" s="996" t="s">
        <v>10278</v>
      </c>
      <c r="W215" s="992"/>
    </row>
    <row r="216" spans="1:23" ht="14.5" customHeight="1">
      <c r="A216" s="1034"/>
      <c r="B216" s="1034"/>
      <c r="C216" s="994"/>
      <c r="E216" s="989"/>
      <c r="F216" s="988"/>
      <c r="G216" s="1095" t="str">
        <f t="shared" si="22"/>
        <v>0171011</v>
      </c>
      <c r="H216" s="1016" t="s">
        <v>5695</v>
      </c>
      <c r="I216" s="944" t="str">
        <f t="shared" si="21"/>
        <v>0171011114</v>
      </c>
      <c r="J216" s="991" t="s">
        <v>5696</v>
      </c>
      <c r="K216" s="873"/>
      <c r="L216" s="873"/>
      <c r="M216" s="873"/>
      <c r="N216" s="886"/>
      <c r="O216" s="886"/>
      <c r="P216" s="882"/>
      <c r="Q216" s="1167">
        <v>34</v>
      </c>
      <c r="R216" s="882"/>
      <c r="S216" s="1269"/>
      <c r="T216" s="1254"/>
      <c r="U216" s="996" t="s">
        <v>10145</v>
      </c>
      <c r="V216" s="996" t="s">
        <v>10278</v>
      </c>
      <c r="W216" s="992"/>
    </row>
    <row r="217" spans="1:23" ht="14.5" customHeight="1">
      <c r="A217" s="1034"/>
      <c r="B217" s="1034"/>
      <c r="C217" s="994"/>
      <c r="E217" s="989"/>
      <c r="F217" s="988"/>
      <c r="G217" s="1095" t="str">
        <f t="shared" si="22"/>
        <v>0171011</v>
      </c>
      <c r="H217" s="1016" t="s">
        <v>5697</v>
      </c>
      <c r="I217" s="944" t="str">
        <f t="shared" si="21"/>
        <v>0171011115</v>
      </c>
      <c r="J217" s="991" t="s">
        <v>5698</v>
      </c>
      <c r="K217" s="886"/>
      <c r="L217" s="886"/>
      <c r="M217" s="886"/>
      <c r="N217" s="886"/>
      <c r="O217" s="886"/>
      <c r="P217" s="882"/>
      <c r="Q217" s="1178">
        <v>0</v>
      </c>
      <c r="R217" s="882"/>
      <c r="S217" s="1269"/>
      <c r="T217" s="1254"/>
      <c r="U217" s="996" t="s">
        <v>10145</v>
      </c>
      <c r="V217" s="996" t="s">
        <v>10278</v>
      </c>
      <c r="W217" s="992"/>
    </row>
    <row r="218" spans="1:23" ht="14.5" customHeight="1">
      <c r="A218" s="1034"/>
      <c r="B218" s="1034"/>
      <c r="C218" s="994"/>
      <c r="E218" s="989"/>
      <c r="F218" s="988"/>
      <c r="G218" s="1095" t="str">
        <f t="shared" si="22"/>
        <v>0171011</v>
      </c>
      <c r="H218" s="1016" t="s">
        <v>5699</v>
      </c>
      <c r="I218" s="944" t="str">
        <f t="shared" si="21"/>
        <v>0171011116</v>
      </c>
      <c r="J218" s="991" t="s">
        <v>5700</v>
      </c>
      <c r="K218" s="886"/>
      <c r="L218" s="886"/>
      <c r="M218" s="886"/>
      <c r="N218" s="886"/>
      <c r="O218" s="886"/>
      <c r="P218" s="882"/>
      <c r="Q218" s="1178">
        <v>0</v>
      </c>
      <c r="R218" s="882"/>
      <c r="S218" s="1269"/>
      <c r="T218" s="1254"/>
      <c r="U218" s="996" t="s">
        <v>10145</v>
      </c>
      <c r="V218" s="996" t="s">
        <v>10278</v>
      </c>
      <c r="W218" s="992"/>
    </row>
    <row r="219" spans="1:23" ht="14.5" customHeight="1">
      <c r="A219" s="1034"/>
      <c r="B219" s="1034"/>
      <c r="C219" s="994"/>
      <c r="E219" s="989"/>
      <c r="F219" s="988"/>
      <c r="G219" s="1095" t="str">
        <f t="shared" si="22"/>
        <v>0171011</v>
      </c>
      <c r="H219" s="1016" t="s">
        <v>5701</v>
      </c>
      <c r="I219" s="944" t="str">
        <f t="shared" si="21"/>
        <v>0171011117</v>
      </c>
      <c r="J219" s="991" t="s">
        <v>5702</v>
      </c>
      <c r="K219" s="886"/>
      <c r="L219" s="886"/>
      <c r="M219" s="886"/>
      <c r="N219" s="886"/>
      <c r="O219" s="886"/>
      <c r="P219" s="882"/>
      <c r="Q219" s="1178">
        <v>453</v>
      </c>
      <c r="R219" s="882"/>
      <c r="S219" s="1269"/>
      <c r="T219" s="1254"/>
      <c r="U219" s="996" t="s">
        <v>10145</v>
      </c>
      <c r="V219" s="996" t="s">
        <v>10278</v>
      </c>
      <c r="W219" s="992"/>
    </row>
    <row r="220" spans="1:23" ht="14.5" customHeight="1">
      <c r="A220" s="1034"/>
      <c r="B220" s="1034"/>
      <c r="C220" s="994"/>
      <c r="E220" s="989"/>
      <c r="F220" s="988"/>
      <c r="G220" s="1095" t="str">
        <f t="shared" si="22"/>
        <v>0171011</v>
      </c>
      <c r="H220" s="1016" t="s">
        <v>5703</v>
      </c>
      <c r="I220" s="944" t="str">
        <f t="shared" si="21"/>
        <v>0171011118</v>
      </c>
      <c r="J220" s="991" t="s">
        <v>5704</v>
      </c>
      <c r="K220" s="886"/>
      <c r="L220" s="886"/>
      <c r="M220" s="886"/>
      <c r="N220" s="886"/>
      <c r="O220" s="886"/>
      <c r="P220" s="882"/>
      <c r="Q220" s="1178">
        <v>51</v>
      </c>
      <c r="R220" s="882"/>
      <c r="S220" s="1269"/>
      <c r="T220" s="1254"/>
      <c r="U220" s="996" t="s">
        <v>10145</v>
      </c>
      <c r="V220" s="996" t="s">
        <v>10278</v>
      </c>
      <c r="W220" s="992"/>
    </row>
    <row r="221" spans="1:23" ht="14.5" customHeight="1">
      <c r="A221" s="1034"/>
      <c r="B221" s="1034"/>
      <c r="C221" s="994"/>
      <c r="E221" s="989"/>
      <c r="F221" s="988"/>
      <c r="G221" s="1095" t="str">
        <f t="shared" si="22"/>
        <v>0171011</v>
      </c>
      <c r="H221" s="1016" t="s">
        <v>5705</v>
      </c>
      <c r="I221" s="944" t="str">
        <f t="shared" si="21"/>
        <v>0171011119</v>
      </c>
      <c r="J221" s="991" t="s">
        <v>5706</v>
      </c>
      <c r="K221" s="886"/>
      <c r="L221" s="886"/>
      <c r="M221" s="886"/>
      <c r="N221" s="886"/>
      <c r="O221" s="886"/>
      <c r="P221" s="882"/>
      <c r="Q221" s="1178">
        <v>125</v>
      </c>
      <c r="R221" s="882"/>
      <c r="S221" s="1269"/>
      <c r="T221" s="1254"/>
      <c r="U221" s="996" t="s">
        <v>10145</v>
      </c>
      <c r="V221" s="996" t="s">
        <v>10278</v>
      </c>
      <c r="W221" s="992"/>
    </row>
    <row r="222" spans="1:23" ht="14.5" customHeight="1">
      <c r="A222" s="1034"/>
      <c r="B222" s="1034"/>
      <c r="C222" s="994"/>
      <c r="E222" s="989"/>
      <c r="F222" s="988"/>
      <c r="G222" s="1095" t="str">
        <f t="shared" si="22"/>
        <v>0171011</v>
      </c>
      <c r="H222" s="1016" t="s">
        <v>5707</v>
      </c>
      <c r="I222" s="944" t="str">
        <f t="shared" si="21"/>
        <v>0171011120</v>
      </c>
      <c r="J222" s="991" t="s">
        <v>5708</v>
      </c>
      <c r="K222" s="886"/>
      <c r="L222" s="886"/>
      <c r="M222" s="886"/>
      <c r="N222" s="886"/>
      <c r="O222" s="886"/>
      <c r="P222" s="882"/>
      <c r="Q222" s="1178">
        <v>139</v>
      </c>
      <c r="R222" s="882"/>
      <c r="S222" s="1269"/>
      <c r="T222" s="1254"/>
      <c r="U222" s="996" t="s">
        <v>10145</v>
      </c>
      <c r="V222" s="996" t="s">
        <v>10278</v>
      </c>
      <c r="W222" s="992"/>
    </row>
    <row r="223" spans="1:23" ht="14.5" customHeight="1">
      <c r="A223" s="1034"/>
      <c r="B223" s="1034"/>
      <c r="C223" s="994"/>
      <c r="E223" s="989"/>
      <c r="F223" s="988"/>
      <c r="G223" s="1095" t="str">
        <f t="shared" si="22"/>
        <v>0171011</v>
      </c>
      <c r="H223" s="1016" t="s">
        <v>5709</v>
      </c>
      <c r="I223" s="944" t="str">
        <f t="shared" si="21"/>
        <v>0171011121</v>
      </c>
      <c r="J223" s="991" t="s">
        <v>5710</v>
      </c>
      <c r="K223" s="886"/>
      <c r="L223" s="886"/>
      <c r="M223" s="886"/>
      <c r="N223" s="886"/>
      <c r="O223" s="886"/>
      <c r="P223" s="882"/>
      <c r="Q223" s="1178">
        <v>1251</v>
      </c>
      <c r="R223" s="882"/>
      <c r="S223" s="1269"/>
      <c r="T223" s="1254"/>
      <c r="U223" s="996" t="s">
        <v>10145</v>
      </c>
      <c r="V223" s="996" t="s">
        <v>10278</v>
      </c>
      <c r="W223" s="992"/>
    </row>
    <row r="224" spans="1:23" ht="14.5" customHeight="1">
      <c r="A224" s="1034"/>
      <c r="B224" s="1034"/>
      <c r="C224" s="994"/>
      <c r="E224" s="989"/>
      <c r="F224" s="988"/>
      <c r="G224" s="1095" t="str">
        <f t="shared" si="22"/>
        <v>0171011</v>
      </c>
      <c r="H224" s="1016" t="s">
        <v>5711</v>
      </c>
      <c r="I224" s="944" t="str">
        <f t="shared" si="21"/>
        <v>0171011122</v>
      </c>
      <c r="J224" s="991" t="s">
        <v>5712</v>
      </c>
      <c r="K224" s="886"/>
      <c r="L224" s="886"/>
      <c r="M224" s="886"/>
      <c r="N224" s="886"/>
      <c r="O224" s="886"/>
      <c r="P224" s="882"/>
      <c r="Q224" s="1178">
        <v>6</v>
      </c>
      <c r="R224" s="882"/>
      <c r="S224" s="1269"/>
      <c r="T224" s="1254"/>
      <c r="U224" s="996" t="s">
        <v>10145</v>
      </c>
      <c r="V224" s="996" t="s">
        <v>10278</v>
      </c>
      <c r="W224" s="992"/>
    </row>
    <row r="225" spans="1:23" ht="14.5" customHeight="1">
      <c r="A225" s="1034"/>
      <c r="B225" s="1034"/>
      <c r="C225" s="994"/>
      <c r="E225" s="989"/>
      <c r="F225" s="988"/>
      <c r="G225" s="1095" t="str">
        <f t="shared" si="22"/>
        <v>0171011</v>
      </c>
      <c r="H225" s="1016" t="s">
        <v>5713</v>
      </c>
      <c r="I225" s="944" t="str">
        <f t="shared" si="21"/>
        <v>0171011123</v>
      </c>
      <c r="J225" s="991" t="s">
        <v>5714</v>
      </c>
      <c r="K225" s="886"/>
      <c r="L225" s="886"/>
      <c r="M225" s="886"/>
      <c r="N225" s="886"/>
      <c r="O225" s="886"/>
      <c r="P225" s="882"/>
      <c r="Q225" s="1178">
        <v>461</v>
      </c>
      <c r="R225" s="882"/>
      <c r="S225" s="1269"/>
      <c r="T225" s="1254"/>
      <c r="U225" s="996" t="s">
        <v>10145</v>
      </c>
      <c r="V225" s="996" t="s">
        <v>10278</v>
      </c>
      <c r="W225" s="992"/>
    </row>
    <row r="226" spans="1:23" ht="14.5" customHeight="1">
      <c r="A226" s="1034"/>
      <c r="B226" s="1034"/>
      <c r="C226" s="994"/>
      <c r="E226" s="989"/>
      <c r="F226" s="988"/>
      <c r="G226" s="1095" t="str">
        <f t="shared" si="22"/>
        <v>0171011</v>
      </c>
      <c r="H226" s="1016" t="s">
        <v>5715</v>
      </c>
      <c r="I226" s="944" t="str">
        <f t="shared" si="21"/>
        <v>0171011124</v>
      </c>
      <c r="J226" s="991" t="s">
        <v>5716</v>
      </c>
      <c r="K226" s="886"/>
      <c r="L226" s="886"/>
      <c r="M226" s="886"/>
      <c r="N226" s="886"/>
      <c r="O226" s="886"/>
      <c r="P226" s="882"/>
      <c r="Q226" s="1178">
        <v>177</v>
      </c>
      <c r="R226" s="882"/>
      <c r="S226" s="1269"/>
      <c r="T226" s="1254"/>
      <c r="U226" s="996" t="s">
        <v>10145</v>
      </c>
      <c r="V226" s="996" t="s">
        <v>10278</v>
      </c>
      <c r="W226" s="992"/>
    </row>
    <row r="227" spans="1:23" ht="14.5" customHeight="1">
      <c r="A227" s="1034"/>
      <c r="B227" s="1034"/>
      <c r="C227" s="994"/>
      <c r="E227" s="989"/>
      <c r="F227" s="988"/>
      <c r="G227" s="1095" t="str">
        <f t="shared" si="22"/>
        <v>0171011</v>
      </c>
      <c r="H227" s="1016" t="s">
        <v>5717</v>
      </c>
      <c r="I227" s="944" t="str">
        <f t="shared" si="21"/>
        <v>0171011125</v>
      </c>
      <c r="J227" s="991" t="s">
        <v>5718</v>
      </c>
      <c r="K227" s="886"/>
      <c r="L227" s="886"/>
      <c r="M227" s="886"/>
      <c r="N227" s="886"/>
      <c r="O227" s="886"/>
      <c r="P227" s="882"/>
      <c r="Q227" s="1178">
        <v>281</v>
      </c>
      <c r="R227" s="882"/>
      <c r="S227" s="1269"/>
      <c r="T227" s="1254"/>
      <c r="U227" s="996" t="s">
        <v>10145</v>
      </c>
      <c r="V227" s="996" t="s">
        <v>10278</v>
      </c>
      <c r="W227" s="992"/>
    </row>
    <row r="228" spans="1:23" ht="14.5" customHeight="1">
      <c r="A228" s="1034"/>
      <c r="B228" s="1034"/>
      <c r="C228" s="994"/>
      <c r="E228" s="989"/>
      <c r="F228" s="988"/>
      <c r="G228" s="1095" t="str">
        <f t="shared" si="22"/>
        <v>0171011</v>
      </c>
      <c r="H228" s="1016" t="s">
        <v>5719</v>
      </c>
      <c r="I228" s="944" t="str">
        <f t="shared" si="21"/>
        <v>0171011126</v>
      </c>
      <c r="J228" s="991" t="s">
        <v>5720</v>
      </c>
      <c r="K228" s="886"/>
      <c r="L228" s="886"/>
      <c r="M228" s="886"/>
      <c r="N228" s="886"/>
      <c r="O228" s="886"/>
      <c r="P228" s="882"/>
      <c r="Q228" s="1178">
        <v>5</v>
      </c>
      <c r="R228" s="882"/>
      <c r="S228" s="1269"/>
      <c r="T228" s="1254"/>
      <c r="U228" s="996" t="s">
        <v>10145</v>
      </c>
      <c r="V228" s="996" t="s">
        <v>10278</v>
      </c>
      <c r="W228" s="992"/>
    </row>
    <row r="229" spans="1:23" ht="14.5" customHeight="1">
      <c r="A229" s="1034"/>
      <c r="B229" s="1034"/>
      <c r="C229" s="994"/>
      <c r="E229" s="989"/>
      <c r="F229" s="988"/>
      <c r="G229" s="1095" t="str">
        <f t="shared" si="22"/>
        <v>0171011</v>
      </c>
      <c r="H229" s="1016" t="s">
        <v>5721</v>
      </c>
      <c r="I229" s="944" t="str">
        <f t="shared" si="21"/>
        <v>0171011127</v>
      </c>
      <c r="J229" s="991" t="s">
        <v>10322</v>
      </c>
      <c r="K229" s="886"/>
      <c r="L229" s="886"/>
      <c r="M229" s="886"/>
      <c r="N229" s="886"/>
      <c r="O229" s="886"/>
      <c r="P229" s="882"/>
      <c r="Q229" s="1178">
        <v>28</v>
      </c>
      <c r="R229" s="882"/>
      <c r="S229" s="1269"/>
      <c r="T229" s="1254"/>
      <c r="U229" s="996" t="s">
        <v>10145</v>
      </c>
      <c r="V229" s="996" t="s">
        <v>10278</v>
      </c>
      <c r="W229" s="992"/>
    </row>
    <row r="230" spans="1:23" ht="14.5" customHeight="1">
      <c r="A230" s="1034"/>
      <c r="B230" s="1034"/>
      <c r="C230" s="994"/>
      <c r="E230" s="989"/>
      <c r="F230" s="988"/>
      <c r="G230" s="1095" t="str">
        <f t="shared" si="22"/>
        <v>0171011</v>
      </c>
      <c r="H230" s="1016" t="s">
        <v>5453</v>
      </c>
      <c r="I230" s="944" t="str">
        <f t="shared" si="21"/>
        <v>0171011199</v>
      </c>
      <c r="J230" s="991" t="s">
        <v>10323</v>
      </c>
      <c r="K230" s="886"/>
      <c r="L230" s="886"/>
      <c r="M230" s="886"/>
      <c r="N230" s="886"/>
      <c r="O230" s="886"/>
      <c r="P230" s="882"/>
      <c r="Q230" s="1178">
        <v>2004</v>
      </c>
      <c r="R230" s="882"/>
      <c r="S230" s="1269"/>
      <c r="T230" s="1254"/>
      <c r="U230" s="996" t="s">
        <v>10145</v>
      </c>
      <c r="V230" s="996" t="s">
        <v>10278</v>
      </c>
      <c r="W230" s="992"/>
    </row>
    <row r="231" spans="1:23" ht="14.5" customHeight="1">
      <c r="A231" s="1034"/>
      <c r="B231" s="1034"/>
      <c r="C231" s="994"/>
      <c r="E231" s="989"/>
      <c r="F231" s="988"/>
      <c r="G231" s="1095" t="str">
        <f t="shared" si="22"/>
        <v>0171011</v>
      </c>
      <c r="H231" s="1016" t="s">
        <v>5455</v>
      </c>
      <c r="I231" s="944" t="str">
        <f t="shared" si="21"/>
        <v>0171011201</v>
      </c>
      <c r="J231" s="991" t="s">
        <v>5724</v>
      </c>
      <c r="K231" s="886"/>
      <c r="L231" s="886"/>
      <c r="M231" s="886"/>
      <c r="N231" s="886"/>
      <c r="O231" s="886"/>
      <c r="P231" s="882"/>
      <c r="Q231" s="1178">
        <v>36</v>
      </c>
      <c r="R231" s="882"/>
      <c r="S231" s="1269"/>
      <c r="T231" s="1254"/>
      <c r="U231" s="996" t="s">
        <v>10145</v>
      </c>
      <c r="V231" s="996" t="s">
        <v>10278</v>
      </c>
      <c r="W231" s="992"/>
    </row>
    <row r="232" spans="1:23" ht="14.5" customHeight="1">
      <c r="A232" s="1034"/>
      <c r="B232" s="1034"/>
      <c r="C232" s="994"/>
      <c r="E232" s="989"/>
      <c r="F232" s="988"/>
      <c r="G232" s="1095" t="str">
        <f t="shared" si="22"/>
        <v>0171011</v>
      </c>
      <c r="H232" s="1016" t="s">
        <v>5385</v>
      </c>
      <c r="I232" s="944" t="str">
        <f t="shared" si="21"/>
        <v>0171011202</v>
      </c>
      <c r="J232" s="991" t="s">
        <v>10324</v>
      </c>
      <c r="K232" s="886"/>
      <c r="L232" s="886"/>
      <c r="M232" s="886"/>
      <c r="N232" s="886"/>
      <c r="O232" s="886"/>
      <c r="P232" s="882"/>
      <c r="Q232" s="1178">
        <v>29</v>
      </c>
      <c r="R232" s="882"/>
      <c r="S232" s="1269"/>
      <c r="T232" s="1254"/>
      <c r="U232" s="996" t="s">
        <v>10145</v>
      </c>
      <c r="V232" s="996" t="s">
        <v>10278</v>
      </c>
      <c r="W232" s="992"/>
    </row>
    <row r="233" spans="1:23" ht="14.5" customHeight="1">
      <c r="A233" s="1034"/>
      <c r="B233" s="1034"/>
      <c r="C233" s="994"/>
      <c r="E233" s="989"/>
      <c r="F233" s="988"/>
      <c r="G233" s="1095" t="str">
        <f t="shared" si="22"/>
        <v>0171011</v>
      </c>
      <c r="H233" s="1016" t="s">
        <v>5474</v>
      </c>
      <c r="I233" s="944" t="str">
        <f t="shared" si="21"/>
        <v>0171011299</v>
      </c>
      <c r="J233" s="991" t="s">
        <v>5726</v>
      </c>
      <c r="K233" s="886"/>
      <c r="L233" s="886"/>
      <c r="M233" s="886"/>
      <c r="N233" s="886"/>
      <c r="O233" s="886"/>
      <c r="P233" s="882"/>
      <c r="Q233" s="1178">
        <v>913</v>
      </c>
      <c r="R233" s="882"/>
      <c r="S233" s="1269"/>
      <c r="T233" s="1254"/>
      <c r="U233" s="996" t="s">
        <v>10145</v>
      </c>
      <c r="V233" s="996" t="s">
        <v>10278</v>
      </c>
      <c r="W233" s="992"/>
    </row>
    <row r="234" spans="1:23" ht="14.5" customHeight="1">
      <c r="A234" s="1034"/>
      <c r="B234" s="1034"/>
      <c r="C234" s="994"/>
      <c r="E234" s="989"/>
      <c r="F234" s="988"/>
      <c r="G234" s="1095" t="str">
        <f t="shared" si="22"/>
        <v>0171011</v>
      </c>
      <c r="H234" s="1016" t="s">
        <v>5476</v>
      </c>
      <c r="I234" s="944" t="str">
        <f t="shared" si="21"/>
        <v>0171011301</v>
      </c>
      <c r="J234" s="991" t="s">
        <v>5727</v>
      </c>
      <c r="K234" s="886"/>
      <c r="L234" s="886"/>
      <c r="M234" s="886"/>
      <c r="N234" s="886"/>
      <c r="O234" s="886"/>
      <c r="P234" s="882"/>
      <c r="Q234" s="1178">
        <v>5417</v>
      </c>
      <c r="R234" s="882"/>
      <c r="S234" s="1269"/>
      <c r="T234" s="1254"/>
      <c r="U234" s="996" t="s">
        <v>10145</v>
      </c>
      <c r="V234" s="996" t="s">
        <v>10278</v>
      </c>
      <c r="W234" s="992"/>
    </row>
    <row r="235" spans="1:23" ht="14.5" customHeight="1">
      <c r="A235" s="1034"/>
      <c r="B235" s="1034"/>
      <c r="C235" s="994"/>
      <c r="E235" s="989"/>
      <c r="F235" s="988"/>
      <c r="G235" s="1095" t="str">
        <f t="shared" si="22"/>
        <v>0171011</v>
      </c>
      <c r="H235" s="1016" t="s">
        <v>5423</v>
      </c>
      <c r="I235" s="944" t="str">
        <f t="shared" si="21"/>
        <v>0171011302</v>
      </c>
      <c r="J235" s="991" t="s">
        <v>5728</v>
      </c>
      <c r="K235" s="873"/>
      <c r="L235" s="873"/>
      <c r="M235" s="873"/>
      <c r="N235" s="886"/>
      <c r="O235" s="886"/>
      <c r="P235" s="882"/>
      <c r="Q235" s="1167">
        <v>1093</v>
      </c>
      <c r="R235" s="882"/>
      <c r="S235" s="1269"/>
      <c r="T235" s="1254"/>
      <c r="U235" s="996" t="s">
        <v>10145</v>
      </c>
      <c r="V235" s="996" t="s">
        <v>10278</v>
      </c>
      <c r="W235" s="992"/>
    </row>
    <row r="236" spans="1:23" ht="14.5" customHeight="1">
      <c r="A236" s="1034"/>
      <c r="B236" s="1034"/>
      <c r="C236" s="994"/>
      <c r="E236" s="989"/>
      <c r="F236" s="988"/>
      <c r="G236" s="1095" t="str">
        <f t="shared" si="22"/>
        <v>0171011</v>
      </c>
      <c r="H236" s="1016" t="s">
        <v>5425</v>
      </c>
      <c r="I236" s="944" t="str">
        <f t="shared" si="21"/>
        <v>0171011303</v>
      </c>
      <c r="J236" s="991" t="s">
        <v>5729</v>
      </c>
      <c r="K236" s="886"/>
      <c r="L236" s="886"/>
      <c r="M236" s="886"/>
      <c r="N236" s="886"/>
      <c r="O236" s="886"/>
      <c r="P236" s="882"/>
      <c r="Q236" s="1178">
        <v>68</v>
      </c>
      <c r="R236" s="882"/>
      <c r="S236" s="1269"/>
      <c r="T236" s="1254"/>
      <c r="U236" s="996" t="s">
        <v>10145</v>
      </c>
      <c r="V236" s="996" t="s">
        <v>10278</v>
      </c>
      <c r="W236" s="992"/>
    </row>
    <row r="237" spans="1:23" ht="14.5" customHeight="1">
      <c r="A237" s="1034"/>
      <c r="B237" s="1034"/>
      <c r="C237" s="994"/>
      <c r="E237" s="989"/>
      <c r="F237" s="988"/>
      <c r="G237" s="1095" t="str">
        <f t="shared" si="22"/>
        <v>0171011</v>
      </c>
      <c r="H237" s="1016" t="s">
        <v>5676</v>
      </c>
      <c r="I237" s="944" t="str">
        <f t="shared" si="21"/>
        <v>0171011399</v>
      </c>
      <c r="J237" s="991" t="s">
        <v>5730</v>
      </c>
      <c r="K237" s="886"/>
      <c r="L237" s="886"/>
      <c r="M237" s="886"/>
      <c r="N237" s="886"/>
      <c r="O237" s="886"/>
      <c r="P237" s="882"/>
      <c r="Q237" s="1178">
        <v>4</v>
      </c>
      <c r="R237" s="882"/>
      <c r="S237" s="1269"/>
      <c r="T237" s="1254"/>
      <c r="U237" s="996" t="s">
        <v>10145</v>
      </c>
      <c r="V237" s="996" t="s">
        <v>10278</v>
      </c>
      <c r="W237" s="992"/>
    </row>
    <row r="238" spans="1:23" ht="14.5" customHeight="1">
      <c r="A238" s="1034"/>
      <c r="B238" s="1034"/>
      <c r="C238" s="994"/>
      <c r="E238" s="989"/>
      <c r="F238" s="988"/>
      <c r="G238" s="1095" t="str">
        <f t="shared" si="22"/>
        <v>0171011</v>
      </c>
      <c r="H238" s="1016" t="s">
        <v>5605</v>
      </c>
      <c r="I238" s="944" t="str">
        <f t="shared" si="21"/>
        <v>0171011401</v>
      </c>
      <c r="J238" s="991" t="s">
        <v>5731</v>
      </c>
      <c r="K238" s="886"/>
      <c r="L238" s="886"/>
      <c r="M238" s="886"/>
      <c r="N238" s="886"/>
      <c r="O238" s="886"/>
      <c r="P238" s="882"/>
      <c r="Q238" s="1178">
        <v>75</v>
      </c>
      <c r="R238" s="882"/>
      <c r="S238" s="1269"/>
      <c r="T238" s="1254"/>
      <c r="U238" s="996" t="s">
        <v>10145</v>
      </c>
      <c r="V238" s="996" t="s">
        <v>10278</v>
      </c>
      <c r="W238" s="992"/>
    </row>
    <row r="239" spans="1:23" ht="14.5" customHeight="1">
      <c r="A239" s="1034"/>
      <c r="B239" s="1034"/>
      <c r="C239" s="994"/>
      <c r="E239" s="989"/>
      <c r="F239" s="988"/>
      <c r="G239" s="1095" t="str">
        <f t="shared" si="22"/>
        <v>0171011</v>
      </c>
      <c r="H239" s="1016" t="s">
        <v>5732</v>
      </c>
      <c r="I239" s="944" t="str">
        <f t="shared" si="21"/>
        <v>0171011402</v>
      </c>
      <c r="J239" s="991" t="s">
        <v>5733</v>
      </c>
      <c r="K239" s="886"/>
      <c r="L239" s="886"/>
      <c r="M239" s="886"/>
      <c r="N239" s="886"/>
      <c r="O239" s="886"/>
      <c r="P239" s="882"/>
      <c r="Q239" s="1178">
        <v>64</v>
      </c>
      <c r="R239" s="882"/>
      <c r="S239" s="1269"/>
      <c r="T239" s="1254"/>
      <c r="U239" s="996" t="s">
        <v>10145</v>
      </c>
      <c r="V239" s="996" t="s">
        <v>10278</v>
      </c>
      <c r="W239" s="992"/>
    </row>
    <row r="240" spans="1:23" ht="14.5" customHeight="1">
      <c r="A240" s="1034"/>
      <c r="B240" s="1034"/>
      <c r="C240" s="994"/>
      <c r="E240" s="989"/>
      <c r="F240" s="988"/>
      <c r="G240" s="1095" t="str">
        <f t="shared" si="22"/>
        <v>0171011</v>
      </c>
      <c r="H240" s="1016" t="s">
        <v>5734</v>
      </c>
      <c r="I240" s="944" t="str">
        <f t="shared" si="21"/>
        <v>0171011403</v>
      </c>
      <c r="J240" s="991" t="s">
        <v>5735</v>
      </c>
      <c r="K240" s="886"/>
      <c r="L240" s="886"/>
      <c r="M240" s="886"/>
      <c r="N240" s="886"/>
      <c r="O240" s="886"/>
      <c r="P240" s="882"/>
      <c r="Q240" s="1178">
        <v>0</v>
      </c>
      <c r="R240" s="882"/>
      <c r="S240" s="1269"/>
      <c r="T240" s="1254"/>
      <c r="U240" s="996" t="s">
        <v>10145</v>
      </c>
      <c r="V240" s="996" t="s">
        <v>10278</v>
      </c>
      <c r="W240" s="992"/>
    </row>
    <row r="241" spans="1:23" ht="14.5" customHeight="1">
      <c r="A241" s="1034"/>
      <c r="B241" s="1034"/>
      <c r="C241" s="994"/>
      <c r="E241" s="989"/>
      <c r="F241" s="988"/>
      <c r="G241" s="1095" t="str">
        <f t="shared" si="22"/>
        <v>0171011</v>
      </c>
      <c r="H241" s="1016" t="s">
        <v>5736</v>
      </c>
      <c r="I241" s="944" t="str">
        <f t="shared" si="21"/>
        <v>0171011404</v>
      </c>
      <c r="J241" s="991" t="s">
        <v>10325</v>
      </c>
      <c r="K241" s="886"/>
      <c r="L241" s="886"/>
      <c r="M241" s="886"/>
      <c r="N241" s="886"/>
      <c r="O241" s="886"/>
      <c r="P241" s="882"/>
      <c r="Q241" s="1178">
        <v>0</v>
      </c>
      <c r="R241" s="882"/>
      <c r="S241" s="1269"/>
      <c r="T241" s="1254"/>
      <c r="U241" s="996" t="s">
        <v>10145</v>
      </c>
      <c r="V241" s="996" t="s">
        <v>10278</v>
      </c>
      <c r="W241" s="992"/>
    </row>
    <row r="242" spans="1:23" ht="14.5" customHeight="1">
      <c r="A242" s="1034"/>
      <c r="B242" s="1034"/>
      <c r="C242" s="994"/>
      <c r="E242" s="989"/>
      <c r="F242" s="988"/>
      <c r="G242" s="1095" t="str">
        <f t="shared" si="22"/>
        <v>0171011</v>
      </c>
      <c r="H242" s="1016" t="s">
        <v>5738</v>
      </c>
      <c r="I242" s="944" t="str">
        <f t="shared" si="21"/>
        <v>0171011499</v>
      </c>
      <c r="J242" s="991" t="s">
        <v>10326</v>
      </c>
      <c r="K242" s="886"/>
      <c r="L242" s="886"/>
      <c r="M242" s="886"/>
      <c r="N242" s="886"/>
      <c r="O242" s="886"/>
      <c r="P242" s="882"/>
      <c r="Q242" s="1178">
        <v>96</v>
      </c>
      <c r="R242" s="882"/>
      <c r="S242" s="1269"/>
      <c r="T242" s="1254"/>
      <c r="U242" s="996" t="s">
        <v>10145</v>
      </c>
      <c r="V242" s="996" t="s">
        <v>10278</v>
      </c>
      <c r="W242" s="992"/>
    </row>
    <row r="243" spans="1:23" ht="14.5" customHeight="1">
      <c r="A243" s="1034"/>
      <c r="B243" s="1034"/>
      <c r="C243" s="994"/>
      <c r="E243" s="989"/>
      <c r="F243" s="988"/>
      <c r="G243" s="1095" t="str">
        <f t="shared" si="22"/>
        <v>0171011</v>
      </c>
      <c r="H243" s="1016" t="s">
        <v>5740</v>
      </c>
      <c r="I243" s="944" t="str">
        <f t="shared" si="21"/>
        <v>0171011501</v>
      </c>
      <c r="J243" s="991" t="s">
        <v>5741</v>
      </c>
      <c r="K243" s="886"/>
      <c r="L243" s="886"/>
      <c r="M243" s="886"/>
      <c r="N243" s="886"/>
      <c r="O243" s="886"/>
      <c r="P243" s="882"/>
      <c r="Q243" s="1178">
        <v>255</v>
      </c>
      <c r="R243" s="882"/>
      <c r="S243" s="1269"/>
      <c r="T243" s="1254"/>
      <c r="U243" s="996" t="s">
        <v>10145</v>
      </c>
      <c r="V243" s="996" t="s">
        <v>10278</v>
      </c>
      <c r="W243" s="992"/>
    </row>
    <row r="244" spans="1:23" ht="14.5" customHeight="1">
      <c r="A244" s="1034"/>
      <c r="B244" s="1034"/>
      <c r="C244" s="994"/>
      <c r="E244" s="989"/>
      <c r="F244" s="988"/>
      <c r="G244" s="1095" t="str">
        <f t="shared" si="22"/>
        <v>0171011</v>
      </c>
      <c r="H244" s="1016" t="s">
        <v>5742</v>
      </c>
      <c r="I244" s="944" t="str">
        <f t="shared" si="21"/>
        <v>0171011502</v>
      </c>
      <c r="J244" s="991" t="s">
        <v>5743</v>
      </c>
      <c r="K244" s="886"/>
      <c r="L244" s="886"/>
      <c r="M244" s="886"/>
      <c r="N244" s="886"/>
      <c r="O244" s="886"/>
      <c r="P244" s="882"/>
      <c r="Q244" s="1178">
        <v>0</v>
      </c>
      <c r="R244" s="882"/>
      <c r="S244" s="1269"/>
      <c r="T244" s="1254"/>
      <c r="U244" s="996" t="s">
        <v>10145</v>
      </c>
      <c r="V244" s="996" t="s">
        <v>10278</v>
      </c>
      <c r="W244" s="992"/>
    </row>
    <row r="245" spans="1:23" ht="14.5" customHeight="1">
      <c r="A245" s="1034"/>
      <c r="B245" s="1034"/>
      <c r="C245" s="994"/>
      <c r="E245" s="989"/>
      <c r="F245" s="988"/>
      <c r="G245" s="1095" t="str">
        <f t="shared" si="22"/>
        <v>0171011</v>
      </c>
      <c r="H245" s="1016" t="s">
        <v>5744</v>
      </c>
      <c r="I245" s="944" t="str">
        <f t="shared" si="21"/>
        <v>0171011599</v>
      </c>
      <c r="J245" s="991" t="s">
        <v>5745</v>
      </c>
      <c r="K245" s="886"/>
      <c r="L245" s="886"/>
      <c r="M245" s="886"/>
      <c r="N245" s="886"/>
      <c r="O245" s="886"/>
      <c r="P245" s="882"/>
      <c r="Q245" s="1178">
        <v>1369</v>
      </c>
      <c r="R245" s="882"/>
      <c r="S245" s="1269"/>
      <c r="T245" s="1254"/>
      <c r="U245" s="996" t="s">
        <v>10145</v>
      </c>
      <c r="V245" s="996" t="s">
        <v>10278</v>
      </c>
      <c r="W245" s="992"/>
    </row>
    <row r="246" spans="1:23" ht="14.5" customHeight="1">
      <c r="A246" s="1034"/>
      <c r="B246" s="1034"/>
      <c r="C246" s="994"/>
      <c r="E246" s="989"/>
      <c r="F246" s="988"/>
      <c r="G246" s="1095" t="str">
        <f t="shared" si="22"/>
        <v>0171011</v>
      </c>
      <c r="H246" s="1016" t="s">
        <v>5746</v>
      </c>
      <c r="I246" s="944" t="str">
        <f t="shared" si="21"/>
        <v>0171011601</v>
      </c>
      <c r="J246" s="991" t="s">
        <v>5747</v>
      </c>
      <c r="K246" s="886"/>
      <c r="L246" s="886"/>
      <c r="M246" s="886"/>
      <c r="N246" s="886"/>
      <c r="O246" s="886"/>
      <c r="P246" s="882"/>
      <c r="Q246" s="1178">
        <v>0</v>
      </c>
      <c r="R246" s="882"/>
      <c r="S246" s="1269"/>
      <c r="T246" s="1254"/>
      <c r="U246" s="996" t="s">
        <v>10145</v>
      </c>
      <c r="V246" s="996" t="s">
        <v>10278</v>
      </c>
      <c r="W246" s="992"/>
    </row>
    <row r="247" spans="1:23" ht="14.5" customHeight="1">
      <c r="A247" s="1034"/>
      <c r="B247" s="1034"/>
      <c r="C247" s="994"/>
      <c r="E247" s="989"/>
      <c r="F247" s="988"/>
      <c r="G247" s="1095" t="str">
        <f t="shared" si="22"/>
        <v>0171011</v>
      </c>
      <c r="H247" s="1016" t="s">
        <v>5748</v>
      </c>
      <c r="I247" s="944" t="str">
        <f t="shared" si="21"/>
        <v>0171011602</v>
      </c>
      <c r="J247" s="991" t="s">
        <v>5749</v>
      </c>
      <c r="K247" s="873"/>
      <c r="L247" s="873"/>
      <c r="M247" s="873"/>
      <c r="N247" s="886"/>
      <c r="O247" s="886"/>
      <c r="P247" s="882"/>
      <c r="Q247" s="1167">
        <v>1321</v>
      </c>
      <c r="R247" s="882"/>
      <c r="S247" s="1269"/>
      <c r="T247" s="1254"/>
      <c r="U247" s="996" t="s">
        <v>10145</v>
      </c>
      <c r="V247" s="996" t="s">
        <v>10278</v>
      </c>
      <c r="W247" s="992"/>
    </row>
    <row r="248" spans="1:23" ht="14.5" customHeight="1">
      <c r="A248" s="1034"/>
      <c r="B248" s="1034"/>
      <c r="C248" s="994"/>
      <c r="E248" s="989"/>
      <c r="F248" s="988"/>
      <c r="G248" s="1095" t="str">
        <f>IF(F248="",G246,F248)</f>
        <v>0171011</v>
      </c>
      <c r="H248" s="1016" t="s">
        <v>10327</v>
      </c>
      <c r="I248" s="944" t="str">
        <f>IF(H248="","",CONCATENATE(G248,H248))</f>
        <v>0171011603</v>
      </c>
      <c r="J248" s="991" t="s">
        <v>10328</v>
      </c>
      <c r="K248" s="886"/>
      <c r="L248" s="886"/>
      <c r="M248" s="886"/>
      <c r="N248" s="886"/>
      <c r="O248" s="886"/>
      <c r="P248" s="882"/>
      <c r="Q248" s="1178">
        <v>172</v>
      </c>
      <c r="R248" s="882"/>
      <c r="S248" s="1269"/>
      <c r="T248" s="1254"/>
      <c r="U248" s="996" t="s">
        <v>10145</v>
      </c>
      <c r="V248" s="996" t="s">
        <v>10278</v>
      </c>
      <c r="W248" s="992"/>
    </row>
    <row r="249" spans="1:23" ht="14.5" customHeight="1">
      <c r="A249" s="1034"/>
      <c r="B249" s="1034"/>
      <c r="C249" s="994"/>
      <c r="E249" s="989"/>
      <c r="F249" s="988"/>
      <c r="G249" s="1095" t="str">
        <f>IF(F249="",G247,F249)</f>
        <v>0171011</v>
      </c>
      <c r="H249" s="1016" t="s">
        <v>10329</v>
      </c>
      <c r="I249" s="944" t="str">
        <f t="shared" si="21"/>
        <v>0171011604</v>
      </c>
      <c r="J249" s="991" t="s">
        <v>5751</v>
      </c>
      <c r="K249" s="886"/>
      <c r="L249" s="886"/>
      <c r="M249" s="886"/>
      <c r="N249" s="886"/>
      <c r="O249" s="886"/>
      <c r="P249" s="882"/>
      <c r="Q249" s="1178">
        <v>39</v>
      </c>
      <c r="R249" s="882"/>
      <c r="S249" s="1269"/>
      <c r="T249" s="1254"/>
      <c r="U249" s="996" t="s">
        <v>10145</v>
      </c>
      <c r="V249" s="996" t="s">
        <v>10278</v>
      </c>
      <c r="W249" s="992"/>
    </row>
    <row r="250" spans="1:23" ht="14.5" customHeight="1">
      <c r="A250" s="1034"/>
      <c r="B250" s="1034"/>
      <c r="C250" s="994"/>
      <c r="E250" s="989"/>
      <c r="F250" s="988"/>
      <c r="G250" s="1095" t="str">
        <f t="shared" si="22"/>
        <v>0171011</v>
      </c>
      <c r="H250" s="1016" t="s">
        <v>10330</v>
      </c>
      <c r="I250" s="944" t="str">
        <f t="shared" si="21"/>
        <v>0171011605</v>
      </c>
      <c r="J250" s="991" t="s">
        <v>5753</v>
      </c>
      <c r="K250" s="886"/>
      <c r="L250" s="886"/>
      <c r="M250" s="886"/>
      <c r="N250" s="886"/>
      <c r="O250" s="886"/>
      <c r="P250" s="882"/>
      <c r="Q250" s="1178">
        <v>0</v>
      </c>
      <c r="R250" s="882"/>
      <c r="S250" s="1269"/>
      <c r="T250" s="1254"/>
      <c r="U250" s="996" t="s">
        <v>10145</v>
      </c>
      <c r="V250" s="996" t="s">
        <v>10278</v>
      </c>
      <c r="W250" s="992"/>
    </row>
    <row r="251" spans="1:23" ht="14.5" customHeight="1">
      <c r="C251" s="994"/>
      <c r="E251" s="989"/>
      <c r="F251" s="988"/>
      <c r="G251" s="1095" t="str">
        <f t="shared" si="22"/>
        <v>0171011</v>
      </c>
      <c r="H251" s="1016" t="s">
        <v>5754</v>
      </c>
      <c r="I251" s="944" t="str">
        <f t="shared" si="21"/>
        <v>0171011699</v>
      </c>
      <c r="J251" s="991" t="s">
        <v>5755</v>
      </c>
      <c r="K251" s="886"/>
      <c r="L251" s="886"/>
      <c r="M251" s="886"/>
      <c r="N251" s="886"/>
      <c r="O251" s="886"/>
      <c r="P251" s="882"/>
      <c r="Q251" s="1178">
        <v>7</v>
      </c>
      <c r="R251" s="882"/>
      <c r="S251" s="1269"/>
      <c r="T251" s="1254"/>
      <c r="U251" s="996" t="s">
        <v>10145</v>
      </c>
      <c r="V251" s="996" t="s">
        <v>10278</v>
      </c>
      <c r="W251" s="992"/>
    </row>
    <row r="252" spans="1:23" ht="14.5" customHeight="1">
      <c r="C252" s="994"/>
      <c r="E252" s="989"/>
      <c r="F252" s="988"/>
      <c r="G252" s="1095" t="str">
        <f t="shared" si="22"/>
        <v>0171011</v>
      </c>
      <c r="H252" s="1016" t="s">
        <v>5756</v>
      </c>
      <c r="I252" s="944" t="str">
        <f t="shared" si="21"/>
        <v>0171011701</v>
      </c>
      <c r="J252" s="991" t="s">
        <v>10331</v>
      </c>
      <c r="K252" s="886"/>
      <c r="L252" s="886"/>
      <c r="M252" s="886"/>
      <c r="N252" s="886"/>
      <c r="O252" s="886"/>
      <c r="P252" s="882"/>
      <c r="Q252" s="1178">
        <v>0</v>
      </c>
      <c r="R252" s="882"/>
      <c r="S252" s="1269"/>
      <c r="T252" s="1254"/>
      <c r="U252" s="996" t="s">
        <v>10145</v>
      </c>
      <c r="V252" s="996" t="s">
        <v>10278</v>
      </c>
      <c r="W252" s="992"/>
    </row>
    <row r="253" spans="1:23" ht="14.5" customHeight="1">
      <c r="C253" s="994"/>
      <c r="E253" s="989"/>
      <c r="F253" s="988"/>
      <c r="G253" s="1095" t="str">
        <f t="shared" si="22"/>
        <v>0171011</v>
      </c>
      <c r="H253" s="1016" t="s">
        <v>5758</v>
      </c>
      <c r="I253" s="944" t="str">
        <f t="shared" si="21"/>
        <v>0171011799</v>
      </c>
      <c r="J253" s="991" t="s">
        <v>10332</v>
      </c>
      <c r="K253" s="886"/>
      <c r="L253" s="886"/>
      <c r="M253" s="886"/>
      <c r="N253" s="886"/>
      <c r="O253" s="886"/>
      <c r="P253" s="882"/>
      <c r="Q253" s="1178">
        <v>44</v>
      </c>
      <c r="R253" s="882"/>
      <c r="S253" s="1269"/>
      <c r="T253" s="1254"/>
      <c r="U253" s="996" t="s">
        <v>10145</v>
      </c>
      <c r="V253" s="996" t="s">
        <v>10278</v>
      </c>
      <c r="W253" s="992"/>
    </row>
    <row r="254" spans="1:23" ht="14.5" customHeight="1">
      <c r="C254" s="1015"/>
      <c r="D254" s="999"/>
      <c r="E254" s="1000"/>
      <c r="F254" s="999"/>
      <c r="G254" s="1104" t="str">
        <f t="shared" si="22"/>
        <v>0171011</v>
      </c>
      <c r="H254" s="1005" t="s">
        <v>5607</v>
      </c>
      <c r="I254" s="1002" t="str">
        <f t="shared" si="21"/>
        <v>0171011801</v>
      </c>
      <c r="J254" s="978" t="s">
        <v>5760</v>
      </c>
      <c r="K254" s="893"/>
      <c r="L254" s="893"/>
      <c r="M254" s="893"/>
      <c r="N254" s="893"/>
      <c r="O254" s="893"/>
      <c r="P254" s="900"/>
      <c r="Q254" s="1179">
        <v>0</v>
      </c>
      <c r="R254" s="900"/>
      <c r="S254" s="1272"/>
      <c r="T254" s="900"/>
      <c r="U254" s="1006"/>
      <c r="V254" s="1006"/>
      <c r="W254" s="1003" t="s">
        <v>10333</v>
      </c>
    </row>
    <row r="255" spans="1:23" ht="14.5" customHeight="1">
      <c r="C255" s="994" t="s">
        <v>5761</v>
      </c>
      <c r="D255" s="988" t="str">
        <f t="shared" ref="D255:D262" si="23">IF(C255="","",CONCATENATE(LEFT(C255,4),MID(C255,6,2)))</f>
        <v>017102</v>
      </c>
      <c r="E255" s="989" t="s">
        <v>5762</v>
      </c>
      <c r="F255" s="988" t="str">
        <f t="shared" ref="F255:F262" si="24">IF(E255="","",CONCATENATE(LEFT(E255,4),MID(E255,6,3)))</f>
        <v>0171021</v>
      </c>
      <c r="G255" s="1095" t="str">
        <f>IF(F255="",#REF!,F255)</f>
        <v>0171021</v>
      </c>
      <c r="I255" s="944" t="str">
        <f t="shared" si="21"/>
        <v/>
      </c>
      <c r="J255" s="990" t="s">
        <v>88</v>
      </c>
      <c r="K255" s="873"/>
      <c r="L255" s="886"/>
      <c r="M255" s="886"/>
      <c r="N255" s="886"/>
      <c r="O255" s="886"/>
      <c r="P255" s="896">
        <f>Q255</f>
        <v>26004</v>
      </c>
      <c r="Q255" s="1171">
        <f>SUM(Q256:Q286)</f>
        <v>26004</v>
      </c>
      <c r="R255" s="882" t="s">
        <v>10334</v>
      </c>
      <c r="S255" s="1269"/>
      <c r="T255" s="1254"/>
      <c r="U255" s="996"/>
      <c r="V255" s="996"/>
      <c r="W255" s="992"/>
    </row>
    <row r="256" spans="1:23" ht="14.5" customHeight="1">
      <c r="C256" s="987"/>
      <c r="D256" s="988" t="str">
        <f t="shared" si="23"/>
        <v/>
      </c>
      <c r="F256" s="988" t="str">
        <f t="shared" si="24"/>
        <v/>
      </c>
      <c r="G256" s="1095" t="str">
        <f t="shared" ref="G256:G312" si="25">IF(F256="",G255,F256)</f>
        <v>0171021</v>
      </c>
      <c r="H256" s="1016" t="s">
        <v>5637</v>
      </c>
      <c r="I256" s="944" t="str">
        <f t="shared" si="21"/>
        <v>0171021101</v>
      </c>
      <c r="J256" s="991" t="s">
        <v>5763</v>
      </c>
      <c r="K256" s="890">
        <v>10089.200000000001</v>
      </c>
      <c r="L256" s="886"/>
      <c r="M256" s="886"/>
      <c r="N256" s="886"/>
      <c r="O256" s="886"/>
      <c r="P256" s="886"/>
      <c r="Q256" s="1167">
        <v>0</v>
      </c>
      <c r="R256" s="882"/>
      <c r="S256" s="1269"/>
      <c r="T256" s="1254"/>
      <c r="U256" s="996" t="s">
        <v>10320</v>
      </c>
      <c r="V256" s="996" t="s">
        <v>10278</v>
      </c>
      <c r="W256" s="992"/>
    </row>
    <row r="257" spans="1:23" ht="14.5" customHeight="1">
      <c r="C257" s="987"/>
      <c r="D257" s="988" t="str">
        <f t="shared" si="23"/>
        <v/>
      </c>
      <c r="F257" s="988" t="str">
        <f t="shared" si="24"/>
        <v/>
      </c>
      <c r="G257" s="1095" t="str">
        <f t="shared" si="25"/>
        <v>0171021</v>
      </c>
      <c r="H257" s="1016" t="s">
        <v>5657</v>
      </c>
      <c r="I257" s="944" t="str">
        <f t="shared" si="21"/>
        <v>0171021102</v>
      </c>
      <c r="J257" s="991" t="s">
        <v>10335</v>
      </c>
      <c r="K257" s="890">
        <v>106295.6</v>
      </c>
      <c r="L257" s="886"/>
      <c r="M257" s="886"/>
      <c r="N257" s="886"/>
      <c r="O257" s="886"/>
      <c r="P257" s="886"/>
      <c r="Q257" s="1167">
        <v>311</v>
      </c>
      <c r="R257" s="882"/>
      <c r="S257" s="1269"/>
      <c r="T257" s="1254"/>
      <c r="U257" s="996" t="s">
        <v>10145</v>
      </c>
      <c r="V257" s="996" t="s">
        <v>10278</v>
      </c>
      <c r="W257" s="992" t="s">
        <v>10336</v>
      </c>
    </row>
    <row r="258" spans="1:23" ht="14.5" customHeight="1">
      <c r="C258" s="987"/>
      <c r="D258" s="988" t="str">
        <f t="shared" si="23"/>
        <v/>
      </c>
      <c r="F258" s="988" t="str">
        <f t="shared" si="24"/>
        <v/>
      </c>
      <c r="G258" s="1095" t="str">
        <f t="shared" si="25"/>
        <v>0171021</v>
      </c>
      <c r="H258" s="1016" t="s">
        <v>5659</v>
      </c>
      <c r="I258" s="944" t="str">
        <f t="shared" si="21"/>
        <v>0171021103</v>
      </c>
      <c r="J258" s="991" t="s">
        <v>5765</v>
      </c>
      <c r="K258" s="890">
        <v>600.6</v>
      </c>
      <c r="L258" s="886"/>
      <c r="M258" s="886"/>
      <c r="N258" s="886"/>
      <c r="O258" s="886"/>
      <c r="P258" s="886"/>
      <c r="Q258" s="1167">
        <v>0</v>
      </c>
      <c r="R258" s="882"/>
      <c r="S258" s="1269"/>
      <c r="T258" s="1254"/>
      <c r="U258" s="996" t="s">
        <v>10145</v>
      </c>
      <c r="V258" s="996" t="s">
        <v>10278</v>
      </c>
      <c r="W258" s="992"/>
    </row>
    <row r="259" spans="1:23" ht="14.5" customHeight="1">
      <c r="C259" s="987"/>
      <c r="D259" s="988" t="str">
        <f t="shared" si="23"/>
        <v/>
      </c>
      <c r="F259" s="988" t="str">
        <f t="shared" si="24"/>
        <v/>
      </c>
      <c r="G259" s="1095" t="str">
        <f t="shared" si="25"/>
        <v>0171021</v>
      </c>
      <c r="H259" s="1016" t="s">
        <v>5363</v>
      </c>
      <c r="I259" s="944" t="str">
        <f t="shared" si="21"/>
        <v>0171021104</v>
      </c>
      <c r="J259" s="991" t="s">
        <v>5766</v>
      </c>
      <c r="K259" s="890">
        <v>6243.9</v>
      </c>
      <c r="L259" s="886"/>
      <c r="M259" s="886"/>
      <c r="N259" s="886"/>
      <c r="O259" s="886"/>
      <c r="P259" s="886"/>
      <c r="Q259" s="1167">
        <v>0</v>
      </c>
      <c r="R259" s="882"/>
      <c r="S259" s="1269"/>
      <c r="T259" s="1254"/>
      <c r="U259" s="996" t="s">
        <v>10145</v>
      </c>
      <c r="V259" s="996" t="s">
        <v>10278</v>
      </c>
      <c r="W259" s="992"/>
    </row>
    <row r="260" spans="1:23" ht="14.5" customHeight="1">
      <c r="C260" s="987"/>
      <c r="D260" s="988" t="str">
        <f t="shared" si="23"/>
        <v/>
      </c>
      <c r="F260" s="988" t="str">
        <f t="shared" si="24"/>
        <v/>
      </c>
      <c r="G260" s="1095" t="str">
        <f t="shared" si="25"/>
        <v>0171021</v>
      </c>
      <c r="H260" s="1016" t="s">
        <v>5365</v>
      </c>
      <c r="I260" s="944" t="str">
        <f t="shared" si="21"/>
        <v>0171021105</v>
      </c>
      <c r="J260" s="991" t="s">
        <v>10337</v>
      </c>
      <c r="K260" s="890">
        <v>44205</v>
      </c>
      <c r="L260" s="886"/>
      <c r="M260" s="886"/>
      <c r="N260" s="886"/>
      <c r="O260" s="886"/>
      <c r="P260" s="886"/>
      <c r="Q260" s="1167">
        <v>129</v>
      </c>
      <c r="R260" s="882"/>
      <c r="S260" s="1269"/>
      <c r="T260" s="1254"/>
      <c r="U260" s="996" t="s">
        <v>10145</v>
      </c>
      <c r="V260" s="996" t="s">
        <v>10278</v>
      </c>
      <c r="W260" s="992" t="s">
        <v>10336</v>
      </c>
    </row>
    <row r="261" spans="1:23" ht="14.5" customHeight="1">
      <c r="C261" s="987"/>
      <c r="D261" s="988" t="str">
        <f t="shared" si="23"/>
        <v/>
      </c>
      <c r="F261" s="988" t="str">
        <f t="shared" si="24"/>
        <v/>
      </c>
      <c r="G261" s="1095" t="str">
        <f t="shared" si="25"/>
        <v>0171021</v>
      </c>
      <c r="H261" s="1016" t="s">
        <v>5367</v>
      </c>
      <c r="I261" s="944" t="str">
        <f t="shared" si="21"/>
        <v>0171021106</v>
      </c>
      <c r="J261" s="991" t="s">
        <v>10338</v>
      </c>
      <c r="K261" s="890">
        <v>2571.1999999999998</v>
      </c>
      <c r="L261" s="886"/>
      <c r="M261" s="886"/>
      <c r="N261" s="886"/>
      <c r="O261" s="886"/>
      <c r="P261" s="886"/>
      <c r="Q261" s="1167">
        <v>0</v>
      </c>
      <c r="R261" s="882"/>
      <c r="S261" s="1269"/>
      <c r="T261" s="1254"/>
      <c r="U261" s="996" t="s">
        <v>10145</v>
      </c>
      <c r="V261" s="996" t="s">
        <v>10278</v>
      </c>
      <c r="W261" s="992"/>
    </row>
    <row r="262" spans="1:23" ht="14.5" customHeight="1">
      <c r="C262" s="987"/>
      <c r="D262" s="988" t="str">
        <f t="shared" si="23"/>
        <v/>
      </c>
      <c r="F262" s="988" t="str">
        <f t="shared" si="24"/>
        <v/>
      </c>
      <c r="G262" s="1095" t="str">
        <f t="shared" si="25"/>
        <v>0171021</v>
      </c>
      <c r="H262" s="1016" t="s">
        <v>5369</v>
      </c>
      <c r="I262" s="944" t="str">
        <f t="shared" si="21"/>
        <v>0171021107</v>
      </c>
      <c r="J262" s="991" t="s">
        <v>10339</v>
      </c>
      <c r="K262" s="890">
        <v>7254.6</v>
      </c>
      <c r="L262" s="886"/>
      <c r="M262" s="886"/>
      <c r="N262" s="886"/>
      <c r="O262" s="886"/>
      <c r="P262" s="886"/>
      <c r="Q262" s="1167">
        <v>285</v>
      </c>
      <c r="R262" s="882"/>
      <c r="S262" s="1269"/>
      <c r="T262" s="1254"/>
      <c r="U262" s="996" t="s">
        <v>10145</v>
      </c>
      <c r="V262" s="996" t="s">
        <v>10278</v>
      </c>
      <c r="W262" s="992"/>
    </row>
    <row r="263" spans="1:23" ht="14.5" customHeight="1">
      <c r="C263" s="987"/>
      <c r="F263" s="988"/>
      <c r="G263" s="1095" t="str">
        <f t="shared" si="25"/>
        <v>0171021</v>
      </c>
      <c r="H263" s="1016" t="s">
        <v>5770</v>
      </c>
      <c r="I263" s="944" t="str">
        <f t="shared" si="21"/>
        <v>0171021108</v>
      </c>
      <c r="J263" s="991" t="s">
        <v>5771</v>
      </c>
      <c r="K263" s="890">
        <v>46967.8</v>
      </c>
      <c r="L263" s="886"/>
      <c r="M263" s="886"/>
      <c r="N263" s="886"/>
      <c r="O263" s="886"/>
      <c r="P263" s="886"/>
      <c r="Q263" s="1167">
        <v>0</v>
      </c>
      <c r="R263" s="882"/>
      <c r="S263" s="1269"/>
      <c r="T263" s="1254"/>
      <c r="U263" s="996" t="s">
        <v>10145</v>
      </c>
      <c r="V263" s="996"/>
      <c r="W263" s="992"/>
    </row>
    <row r="264" spans="1:23" ht="14.5" customHeight="1">
      <c r="C264" s="987"/>
      <c r="F264" s="988"/>
      <c r="G264" s="1095" t="str">
        <f>IF(F264="",G262,F264)</f>
        <v>0171021</v>
      </c>
      <c r="H264" s="1016" t="s">
        <v>5453</v>
      </c>
      <c r="I264" s="944" t="str">
        <f t="shared" si="21"/>
        <v>0171021199</v>
      </c>
      <c r="J264" s="991" t="s">
        <v>10340</v>
      </c>
      <c r="K264" s="890">
        <v>3267.6</v>
      </c>
      <c r="L264" s="886"/>
      <c r="M264" s="886"/>
      <c r="N264" s="886"/>
      <c r="O264" s="886"/>
      <c r="P264" s="886"/>
      <c r="Q264" s="1167">
        <v>34</v>
      </c>
      <c r="R264" s="882"/>
      <c r="S264" s="1269"/>
      <c r="T264" s="1254"/>
      <c r="U264" s="996" t="s">
        <v>10145</v>
      </c>
      <c r="V264" s="996" t="s">
        <v>10278</v>
      </c>
      <c r="W264" s="992"/>
    </row>
    <row r="265" spans="1:23" ht="14.5" customHeight="1">
      <c r="C265" s="987"/>
      <c r="F265" s="988"/>
      <c r="G265" s="1095" t="str">
        <f t="shared" si="25"/>
        <v>0171021</v>
      </c>
      <c r="H265" s="1016" t="s">
        <v>5455</v>
      </c>
      <c r="I265" s="944" t="str">
        <f t="shared" si="21"/>
        <v>0171021201</v>
      </c>
      <c r="J265" s="991" t="s">
        <v>10341</v>
      </c>
      <c r="K265" s="890">
        <v>24128.400000000001</v>
      </c>
      <c r="L265" s="886"/>
      <c r="M265" s="886"/>
      <c r="N265" s="886"/>
      <c r="O265" s="886"/>
      <c r="P265" s="886"/>
      <c r="Q265" s="1167">
        <v>0</v>
      </c>
      <c r="R265" s="882"/>
      <c r="S265" s="1269"/>
      <c r="T265" s="1254"/>
      <c r="U265" s="996" t="s">
        <v>10145</v>
      </c>
      <c r="V265" s="996" t="s">
        <v>10278</v>
      </c>
      <c r="W265" s="992"/>
    </row>
    <row r="266" spans="1:23" ht="14.5" customHeight="1">
      <c r="C266" s="987"/>
      <c r="F266" s="988"/>
      <c r="G266" s="1095" t="str">
        <f t="shared" si="25"/>
        <v>0171021</v>
      </c>
      <c r="H266" s="1016" t="s">
        <v>5457</v>
      </c>
      <c r="I266" s="944" t="str">
        <f t="shared" si="21"/>
        <v>0171021202</v>
      </c>
      <c r="J266" s="991" t="s">
        <v>5774</v>
      </c>
      <c r="K266" s="890">
        <v>32375.8</v>
      </c>
      <c r="L266" s="886"/>
      <c r="M266" s="886"/>
      <c r="N266" s="886"/>
      <c r="O266" s="886"/>
      <c r="P266" s="886"/>
      <c r="Q266" s="1167">
        <v>2557</v>
      </c>
      <c r="R266" s="882"/>
      <c r="S266" s="1269"/>
      <c r="T266" s="1254"/>
      <c r="U266" s="996" t="s">
        <v>10145</v>
      </c>
      <c r="V266" s="996" t="s">
        <v>10278</v>
      </c>
      <c r="W266" s="992"/>
    </row>
    <row r="267" spans="1:23" ht="14.5" customHeight="1">
      <c r="A267" s="1034"/>
      <c r="B267" s="1034"/>
      <c r="C267" s="987"/>
      <c r="F267" s="988"/>
      <c r="G267" s="1095" t="str">
        <f t="shared" si="25"/>
        <v>0171021</v>
      </c>
      <c r="H267" s="1016" t="s">
        <v>5474</v>
      </c>
      <c r="I267" s="944" t="str">
        <f t="shared" si="21"/>
        <v>0171021299</v>
      </c>
      <c r="J267" s="991" t="s">
        <v>10342</v>
      </c>
      <c r="K267" s="890">
        <v>584.70000000000005</v>
      </c>
      <c r="L267" s="886"/>
      <c r="M267" s="886"/>
      <c r="N267" s="886"/>
      <c r="O267" s="886"/>
      <c r="P267" s="886"/>
      <c r="Q267" s="1167">
        <v>10</v>
      </c>
      <c r="R267" s="882"/>
      <c r="S267" s="1269"/>
      <c r="T267" s="1254"/>
      <c r="U267" s="996" t="s">
        <v>10145</v>
      </c>
      <c r="V267" s="996" t="s">
        <v>10278</v>
      </c>
      <c r="W267" s="992"/>
    </row>
    <row r="268" spans="1:23" ht="14.5" customHeight="1">
      <c r="A268" s="1034"/>
      <c r="B268" s="1034"/>
      <c r="C268" s="987"/>
      <c r="F268" s="988"/>
      <c r="G268" s="1095" t="str">
        <f t="shared" si="25"/>
        <v>0171021</v>
      </c>
      <c r="H268" s="1016" t="s">
        <v>5476</v>
      </c>
      <c r="I268" s="944" t="str">
        <f t="shared" si="21"/>
        <v>0171021301</v>
      </c>
      <c r="J268" s="991" t="s">
        <v>10343</v>
      </c>
      <c r="K268" s="890">
        <v>6326.7</v>
      </c>
      <c r="L268" s="886"/>
      <c r="M268" s="886"/>
      <c r="N268" s="886"/>
      <c r="O268" s="886"/>
      <c r="P268" s="886"/>
      <c r="Q268" s="1167">
        <v>19</v>
      </c>
      <c r="R268" s="882"/>
      <c r="S268" s="1269"/>
      <c r="T268" s="1254"/>
      <c r="U268" s="996" t="s">
        <v>10145</v>
      </c>
      <c r="V268" s="996" t="s">
        <v>10278</v>
      </c>
      <c r="W268" s="992" t="s">
        <v>10336</v>
      </c>
    </row>
    <row r="269" spans="1:23" ht="14.5" customHeight="1">
      <c r="A269" s="1034"/>
      <c r="B269" s="1034"/>
      <c r="C269" s="987"/>
      <c r="F269" s="988"/>
      <c r="G269" s="1095" t="str">
        <f t="shared" si="25"/>
        <v>0171021</v>
      </c>
      <c r="H269" s="1016" t="s">
        <v>5777</v>
      </c>
      <c r="I269" s="944" t="str">
        <f t="shared" ref="I269:I388" si="26">IF(H269="","",CONCATENATE(G269,H269))</f>
        <v>0171021302</v>
      </c>
      <c r="J269" s="991" t="s">
        <v>5778</v>
      </c>
      <c r="K269" s="890">
        <v>856.1</v>
      </c>
      <c r="L269" s="886"/>
      <c r="M269" s="886"/>
      <c r="N269" s="886"/>
      <c r="O269" s="886"/>
      <c r="P269" s="886"/>
      <c r="Q269" s="1167">
        <v>0</v>
      </c>
      <c r="R269" s="882"/>
      <c r="S269" s="1269"/>
      <c r="T269" s="1254"/>
      <c r="U269" s="996" t="s">
        <v>10145</v>
      </c>
      <c r="V269" s="996" t="s">
        <v>10278</v>
      </c>
      <c r="W269" s="992"/>
    </row>
    <row r="270" spans="1:23" ht="14.5" customHeight="1">
      <c r="A270" s="1034"/>
      <c r="B270" s="1034"/>
      <c r="C270" s="987"/>
      <c r="F270" s="988"/>
      <c r="G270" s="1095" t="str">
        <f t="shared" si="25"/>
        <v>0171021</v>
      </c>
      <c r="H270" s="1016" t="s">
        <v>5676</v>
      </c>
      <c r="I270" s="944" t="str">
        <f t="shared" si="26"/>
        <v>0171021399</v>
      </c>
      <c r="J270" s="991" t="s">
        <v>10344</v>
      </c>
      <c r="K270" s="890">
        <v>804.2</v>
      </c>
      <c r="L270" s="886"/>
      <c r="M270" s="886"/>
      <c r="N270" s="886"/>
      <c r="O270" s="886"/>
      <c r="P270" s="886"/>
      <c r="Q270" s="1167">
        <v>0</v>
      </c>
      <c r="R270" s="882"/>
      <c r="S270" s="1269"/>
      <c r="T270" s="1254"/>
      <c r="U270" s="996" t="s">
        <v>10145</v>
      </c>
      <c r="V270" s="996" t="s">
        <v>10278</v>
      </c>
      <c r="W270" s="992"/>
    </row>
    <row r="271" spans="1:23" ht="14.5" customHeight="1">
      <c r="A271" s="1034"/>
      <c r="B271" s="1034"/>
      <c r="C271" s="987"/>
      <c r="F271" s="988"/>
      <c r="G271" s="1095" t="str">
        <f t="shared" si="25"/>
        <v>0171021</v>
      </c>
      <c r="H271" s="1016" t="s">
        <v>5605</v>
      </c>
      <c r="I271" s="944" t="str">
        <f t="shared" si="26"/>
        <v>0171021401</v>
      </c>
      <c r="J271" s="991" t="s">
        <v>5780</v>
      </c>
      <c r="K271" s="890">
        <v>12725.2</v>
      </c>
      <c r="L271" s="886"/>
      <c r="M271" s="886"/>
      <c r="N271" s="886"/>
      <c r="O271" s="886"/>
      <c r="P271" s="886"/>
      <c r="Q271" s="1167">
        <v>0</v>
      </c>
      <c r="R271" s="882"/>
      <c r="S271" s="1269"/>
      <c r="T271" s="1254"/>
      <c r="U271" s="996" t="s">
        <v>10145</v>
      </c>
      <c r="V271" s="996" t="s">
        <v>10278</v>
      </c>
      <c r="W271" s="992"/>
    </row>
    <row r="272" spans="1:23" ht="14.5" customHeight="1">
      <c r="A272" s="1034"/>
      <c r="B272" s="1034"/>
      <c r="C272" s="987"/>
      <c r="F272" s="988"/>
      <c r="G272" s="1095" t="str">
        <f t="shared" si="25"/>
        <v>0171021</v>
      </c>
      <c r="H272" s="1016" t="s">
        <v>5740</v>
      </c>
      <c r="I272" s="944" t="str">
        <f t="shared" si="26"/>
        <v>0171021501</v>
      </c>
      <c r="J272" s="991" t="s">
        <v>10345</v>
      </c>
      <c r="K272" s="890">
        <v>9120.4</v>
      </c>
      <c r="L272" s="886"/>
      <c r="M272" s="886"/>
      <c r="N272" s="886"/>
      <c r="O272" s="886"/>
      <c r="P272" s="886"/>
      <c r="Q272" s="1167">
        <v>0</v>
      </c>
      <c r="R272" s="882"/>
      <c r="S272" s="1269"/>
      <c r="T272" s="1254"/>
      <c r="U272" s="996" t="s">
        <v>10145</v>
      </c>
      <c r="V272" s="996" t="s">
        <v>10278</v>
      </c>
      <c r="W272" s="992"/>
    </row>
    <row r="273" spans="1:23" ht="14.5" customHeight="1">
      <c r="A273" s="1034"/>
      <c r="B273" s="1034"/>
      <c r="C273" s="987"/>
      <c r="F273" s="988"/>
      <c r="G273" s="1095" t="str">
        <f t="shared" si="25"/>
        <v>0171021</v>
      </c>
      <c r="H273" s="1016" t="s">
        <v>5782</v>
      </c>
      <c r="I273" s="944" t="str">
        <f t="shared" si="26"/>
        <v>0171021502</v>
      </c>
      <c r="J273" s="991" t="s">
        <v>10346</v>
      </c>
      <c r="K273" s="890">
        <v>10606</v>
      </c>
      <c r="L273" s="886"/>
      <c r="M273" s="886"/>
      <c r="N273" s="886"/>
      <c r="O273" s="886"/>
      <c r="P273" s="886"/>
      <c r="Q273" s="1167">
        <v>366</v>
      </c>
      <c r="R273" s="882"/>
      <c r="S273" s="1269"/>
      <c r="T273" s="1254"/>
      <c r="U273" s="996" t="s">
        <v>10145</v>
      </c>
      <c r="V273" s="996" t="s">
        <v>10278</v>
      </c>
      <c r="W273" s="992"/>
    </row>
    <row r="274" spans="1:23" ht="14.5" customHeight="1">
      <c r="A274" s="1034"/>
      <c r="B274" s="1034"/>
      <c r="C274" s="987"/>
      <c r="F274" s="988"/>
      <c r="G274" s="1095" t="str">
        <f t="shared" si="25"/>
        <v>0171021</v>
      </c>
      <c r="H274" s="1016" t="s">
        <v>5784</v>
      </c>
      <c r="I274" s="944" t="str">
        <f t="shared" si="26"/>
        <v>0171021503</v>
      </c>
      <c r="J274" s="991" t="s">
        <v>10347</v>
      </c>
      <c r="K274" s="890">
        <v>104106.5</v>
      </c>
      <c r="L274" s="886"/>
      <c r="M274" s="886"/>
      <c r="N274" s="886"/>
      <c r="O274" s="886"/>
      <c r="P274" s="886"/>
      <c r="Q274" s="1167">
        <v>21466</v>
      </c>
      <c r="R274" s="882"/>
      <c r="S274" s="1269"/>
      <c r="T274" s="1254"/>
      <c r="U274" s="996" t="s">
        <v>10145</v>
      </c>
      <c r="V274" s="996" t="s">
        <v>10278</v>
      </c>
      <c r="W274" s="992"/>
    </row>
    <row r="275" spans="1:23" ht="14.5" customHeight="1">
      <c r="A275" s="1034"/>
      <c r="B275" s="1034"/>
      <c r="C275" s="987"/>
      <c r="F275" s="988"/>
      <c r="G275" s="1095" t="str">
        <f t="shared" si="25"/>
        <v>0171021</v>
      </c>
      <c r="H275" s="1016" t="s">
        <v>5786</v>
      </c>
      <c r="I275" s="944" t="str">
        <f t="shared" si="26"/>
        <v>0171021504</v>
      </c>
      <c r="J275" s="991" t="s">
        <v>5787</v>
      </c>
      <c r="K275" s="890">
        <v>4975.7</v>
      </c>
      <c r="L275" s="886"/>
      <c r="M275" s="886"/>
      <c r="N275" s="886"/>
      <c r="O275" s="886"/>
      <c r="P275" s="886"/>
      <c r="Q275" s="1167">
        <v>0</v>
      </c>
      <c r="R275" s="882"/>
      <c r="S275" s="1269"/>
      <c r="T275" s="1254"/>
      <c r="U275" s="996" t="s">
        <v>10145</v>
      </c>
      <c r="V275" s="996" t="s">
        <v>10278</v>
      </c>
      <c r="W275" s="992"/>
    </row>
    <row r="276" spans="1:23" ht="14.5" customHeight="1">
      <c r="A276" s="1034"/>
      <c r="B276" s="1034"/>
      <c r="C276" s="987"/>
      <c r="F276" s="988"/>
      <c r="G276" s="1095" t="str">
        <f t="shared" si="25"/>
        <v>0171021</v>
      </c>
      <c r="H276" s="1016" t="s">
        <v>5744</v>
      </c>
      <c r="I276" s="944" t="str">
        <f t="shared" si="26"/>
        <v>0171021599</v>
      </c>
      <c r="J276" s="991" t="s">
        <v>10348</v>
      </c>
      <c r="K276" s="890">
        <v>634.6</v>
      </c>
      <c r="L276" s="886"/>
      <c r="M276" s="886"/>
      <c r="N276" s="886"/>
      <c r="O276" s="886"/>
      <c r="P276" s="886"/>
      <c r="Q276" s="1167">
        <v>0</v>
      </c>
      <c r="R276" s="882"/>
      <c r="S276" s="1269"/>
      <c r="T276" s="1254"/>
      <c r="U276" s="996" t="s">
        <v>10145</v>
      </c>
      <c r="V276" s="996" t="s">
        <v>10278</v>
      </c>
      <c r="W276" s="992"/>
    </row>
    <row r="277" spans="1:23" ht="14.5" customHeight="1">
      <c r="A277" s="1034"/>
      <c r="B277" s="1034"/>
      <c r="C277" s="987"/>
      <c r="F277" s="988"/>
      <c r="G277" s="1095" t="str">
        <f t="shared" si="25"/>
        <v>0171021</v>
      </c>
      <c r="H277" s="1016" t="s">
        <v>5746</v>
      </c>
      <c r="I277" s="944" t="str">
        <f t="shared" si="26"/>
        <v>0171021601</v>
      </c>
      <c r="J277" s="991" t="s">
        <v>5789</v>
      </c>
      <c r="K277" s="890">
        <v>3395.3</v>
      </c>
      <c r="L277" s="886"/>
      <c r="M277" s="886"/>
      <c r="N277" s="886"/>
      <c r="O277" s="886"/>
      <c r="P277" s="886"/>
      <c r="Q277" s="1167">
        <v>0</v>
      </c>
      <c r="R277" s="882"/>
      <c r="S277" s="1269"/>
      <c r="T277" s="1254"/>
      <c r="U277" s="996" t="s">
        <v>10145</v>
      </c>
      <c r="V277" s="996" t="s">
        <v>10278</v>
      </c>
      <c r="W277" s="992"/>
    </row>
    <row r="278" spans="1:23" ht="14.5" customHeight="1">
      <c r="A278" s="1034"/>
      <c r="B278" s="1034"/>
      <c r="C278" s="987"/>
      <c r="F278" s="988"/>
      <c r="G278" s="1095" t="str">
        <f t="shared" si="25"/>
        <v>0171021</v>
      </c>
      <c r="H278" s="1016" t="s">
        <v>5748</v>
      </c>
      <c r="I278" s="944" t="str">
        <f t="shared" si="26"/>
        <v>0171021602</v>
      </c>
      <c r="J278" s="991" t="s">
        <v>5790</v>
      </c>
      <c r="K278" s="890">
        <v>3334.5</v>
      </c>
      <c r="L278" s="886"/>
      <c r="M278" s="886"/>
      <c r="N278" s="886"/>
      <c r="O278" s="886"/>
      <c r="P278" s="886"/>
      <c r="Q278" s="1167">
        <v>0</v>
      </c>
      <c r="R278" s="882"/>
      <c r="S278" s="1269"/>
      <c r="T278" s="1254"/>
      <c r="U278" s="996" t="s">
        <v>10145</v>
      </c>
      <c r="V278" s="996" t="s">
        <v>10278</v>
      </c>
      <c r="W278" s="992"/>
    </row>
    <row r="279" spans="1:23" ht="14.5" customHeight="1">
      <c r="A279" s="1034"/>
      <c r="B279" s="1034"/>
      <c r="C279" s="987"/>
      <c r="F279" s="988"/>
      <c r="G279" s="1095" t="str">
        <f t="shared" si="25"/>
        <v>0171021</v>
      </c>
      <c r="H279" s="1016" t="s">
        <v>5750</v>
      </c>
      <c r="I279" s="944" t="str">
        <f t="shared" si="26"/>
        <v>0171021603</v>
      </c>
      <c r="J279" s="991" t="s">
        <v>5791</v>
      </c>
      <c r="K279" s="890">
        <v>548.79999999999995</v>
      </c>
      <c r="L279" s="886"/>
      <c r="M279" s="886"/>
      <c r="N279" s="886"/>
      <c r="O279" s="886"/>
      <c r="P279" s="886"/>
      <c r="Q279" s="1167">
        <v>0</v>
      </c>
      <c r="R279" s="882"/>
      <c r="S279" s="1269"/>
      <c r="T279" s="1254"/>
      <c r="U279" s="996" t="s">
        <v>10145</v>
      </c>
      <c r="V279" s="996" t="s">
        <v>10278</v>
      </c>
      <c r="W279" s="992"/>
    </row>
    <row r="280" spans="1:23" ht="14.5" customHeight="1">
      <c r="A280" s="1034"/>
      <c r="B280" s="1034"/>
      <c r="C280" s="987"/>
      <c r="F280" s="988"/>
      <c r="G280" s="1095" t="str">
        <f t="shared" si="25"/>
        <v>0171021</v>
      </c>
      <c r="H280" s="1016" t="s">
        <v>5752</v>
      </c>
      <c r="I280" s="944" t="str">
        <f t="shared" si="26"/>
        <v>0171021604</v>
      </c>
      <c r="J280" s="991" t="s">
        <v>5792</v>
      </c>
      <c r="K280" s="890">
        <v>576.70000000000005</v>
      </c>
      <c r="L280" s="886"/>
      <c r="M280" s="886"/>
      <c r="N280" s="886"/>
      <c r="O280" s="886"/>
      <c r="P280" s="886"/>
      <c r="Q280" s="1167">
        <v>0</v>
      </c>
      <c r="R280" s="882"/>
      <c r="S280" s="1269"/>
      <c r="T280" s="1254"/>
      <c r="U280" s="996" t="s">
        <v>10145</v>
      </c>
      <c r="V280" s="996" t="s">
        <v>10278</v>
      </c>
      <c r="W280" s="992"/>
    </row>
    <row r="281" spans="1:23" ht="14.5" customHeight="1">
      <c r="A281" s="1034"/>
      <c r="B281" s="1034"/>
      <c r="C281" s="987"/>
      <c r="F281" s="988"/>
      <c r="G281" s="1095" t="str">
        <f t="shared" si="25"/>
        <v>0171021</v>
      </c>
      <c r="H281" s="1016" t="s">
        <v>5793</v>
      </c>
      <c r="I281" s="944" t="str">
        <f t="shared" si="26"/>
        <v>0171021605</v>
      </c>
      <c r="J281" s="991" t="s">
        <v>5794</v>
      </c>
      <c r="K281" s="890">
        <v>9774.9</v>
      </c>
      <c r="L281" s="886"/>
      <c r="M281" s="886"/>
      <c r="N281" s="886"/>
      <c r="O281" s="886"/>
      <c r="P281" s="886"/>
      <c r="Q281" s="1167">
        <v>0</v>
      </c>
      <c r="R281" s="882"/>
      <c r="S281" s="1269"/>
      <c r="T281" s="1254"/>
      <c r="U281" s="996" t="s">
        <v>10145</v>
      </c>
      <c r="V281" s="996" t="s">
        <v>10278</v>
      </c>
      <c r="W281" s="992"/>
    </row>
    <row r="282" spans="1:23" ht="14.5" customHeight="1">
      <c r="A282" s="1034"/>
      <c r="B282" s="1034"/>
      <c r="C282" s="987"/>
      <c r="F282" s="988"/>
      <c r="G282" s="1095" t="str">
        <f t="shared" si="25"/>
        <v>0171021</v>
      </c>
      <c r="H282" s="1016" t="s">
        <v>5795</v>
      </c>
      <c r="I282" s="944" t="str">
        <f t="shared" si="26"/>
        <v>0171021606</v>
      </c>
      <c r="J282" s="991" t="s">
        <v>5796</v>
      </c>
      <c r="K282" s="890">
        <v>632.6</v>
      </c>
      <c r="L282" s="886"/>
      <c r="M282" s="886"/>
      <c r="N282" s="886"/>
      <c r="O282" s="886"/>
      <c r="P282" s="886"/>
      <c r="Q282" s="1167">
        <v>0</v>
      </c>
      <c r="R282" s="882"/>
      <c r="S282" s="1269"/>
      <c r="T282" s="1254"/>
      <c r="U282" s="996" t="s">
        <v>10145</v>
      </c>
      <c r="V282" s="996" t="s">
        <v>10278</v>
      </c>
      <c r="W282" s="992"/>
    </row>
    <row r="283" spans="1:23" ht="14.5" customHeight="1">
      <c r="C283" s="987"/>
      <c r="F283" s="988"/>
      <c r="G283" s="1095" t="str">
        <f t="shared" si="25"/>
        <v>0171021</v>
      </c>
      <c r="H283" s="1016" t="s">
        <v>5797</v>
      </c>
      <c r="I283" s="944" t="str">
        <f t="shared" si="26"/>
        <v>0171021607</v>
      </c>
      <c r="J283" s="991" t="s">
        <v>5798</v>
      </c>
      <c r="K283" s="890">
        <v>271.39999999999998</v>
      </c>
      <c r="L283" s="886"/>
      <c r="M283" s="886"/>
      <c r="N283" s="886"/>
      <c r="O283" s="886"/>
      <c r="P283" s="886"/>
      <c r="Q283" s="1167">
        <v>0</v>
      </c>
      <c r="R283" s="882"/>
      <c r="S283" s="1269"/>
      <c r="T283" s="1254"/>
      <c r="U283" s="996" t="s">
        <v>10145</v>
      </c>
      <c r="V283" s="996" t="s">
        <v>10278</v>
      </c>
      <c r="W283" s="992"/>
    </row>
    <row r="284" spans="1:23" ht="14.5" customHeight="1">
      <c r="C284" s="987"/>
      <c r="F284" s="988"/>
      <c r="G284" s="1095" t="str">
        <f t="shared" si="25"/>
        <v>0171021</v>
      </c>
      <c r="H284" s="1016" t="s">
        <v>5799</v>
      </c>
      <c r="I284" s="944" t="str">
        <f t="shared" si="26"/>
        <v>0171021608</v>
      </c>
      <c r="J284" s="991" t="s">
        <v>5800</v>
      </c>
      <c r="K284" s="890">
        <v>80.8</v>
      </c>
      <c r="L284" s="886"/>
      <c r="M284" s="886"/>
      <c r="N284" s="886"/>
      <c r="O284" s="886"/>
      <c r="P284" s="886"/>
      <c r="Q284" s="1167">
        <v>0</v>
      </c>
      <c r="R284" s="882"/>
      <c r="S284" s="1269"/>
      <c r="T284" s="1254"/>
      <c r="U284" s="996" t="s">
        <v>10145</v>
      </c>
      <c r="V284" s="996" t="s">
        <v>10278</v>
      </c>
      <c r="W284" s="992"/>
    </row>
    <row r="285" spans="1:23" ht="14.5" customHeight="1">
      <c r="C285" s="987"/>
      <c r="F285" s="988"/>
      <c r="G285" s="1095" t="str">
        <f t="shared" si="25"/>
        <v>0171021</v>
      </c>
      <c r="H285" s="1016" t="s">
        <v>5801</v>
      </c>
      <c r="I285" s="944" t="str">
        <f t="shared" si="26"/>
        <v>0171021609</v>
      </c>
      <c r="J285" s="991" t="s">
        <v>5802</v>
      </c>
      <c r="K285" s="890">
        <v>471.9</v>
      </c>
      <c r="L285" s="886"/>
      <c r="M285" s="886"/>
      <c r="N285" s="886"/>
      <c r="O285" s="886"/>
      <c r="P285" s="886"/>
      <c r="Q285" s="1167">
        <v>27</v>
      </c>
      <c r="R285" s="882"/>
      <c r="S285" s="1269"/>
      <c r="T285" s="1254"/>
      <c r="U285" s="996" t="s">
        <v>10145</v>
      </c>
      <c r="V285" s="996" t="s">
        <v>10278</v>
      </c>
      <c r="W285" s="992" t="s">
        <v>10349</v>
      </c>
    </row>
    <row r="286" spans="1:23" ht="14.5" customHeight="1">
      <c r="C286" s="998"/>
      <c r="D286" s="999"/>
      <c r="E286" s="1002"/>
      <c r="F286" s="999"/>
      <c r="G286" s="1104" t="str">
        <f t="shared" si="25"/>
        <v>0171021</v>
      </c>
      <c r="H286" s="1005" t="s">
        <v>5756</v>
      </c>
      <c r="I286" s="1109" t="str">
        <f t="shared" si="26"/>
        <v>0171021701</v>
      </c>
      <c r="J286" s="978" t="s">
        <v>5803</v>
      </c>
      <c r="K286" s="895">
        <v>14407.4</v>
      </c>
      <c r="L286" s="893">
        <f>SUM(Q256:Q285)</f>
        <v>25204</v>
      </c>
      <c r="M286" s="893">
        <f>SUM(K256:K285)</f>
        <v>453826.70000000007</v>
      </c>
      <c r="N286" s="893"/>
      <c r="O286" s="893"/>
      <c r="P286" s="893"/>
      <c r="Q286" s="1170">
        <f>ROUND(K286*L286/M286,0)</f>
        <v>800</v>
      </c>
      <c r="R286" s="900"/>
      <c r="S286" s="1272"/>
      <c r="T286" s="900"/>
      <c r="U286" s="1006" t="s">
        <v>10350</v>
      </c>
      <c r="V286" s="1006"/>
      <c r="W286" s="1003" t="s">
        <v>10351</v>
      </c>
    </row>
    <row r="287" spans="1:23" ht="14.5" customHeight="1">
      <c r="C287" s="987"/>
      <c r="E287" s="989" t="s">
        <v>5804</v>
      </c>
      <c r="F287" s="1016" t="s">
        <v>5805</v>
      </c>
      <c r="G287" s="1095" t="str">
        <f>IF(F287="",G286,F287)</f>
        <v>0172010</v>
      </c>
      <c r="J287" s="990" t="s">
        <v>5806</v>
      </c>
      <c r="K287" s="873"/>
      <c r="L287" s="886"/>
      <c r="M287" s="886"/>
      <c r="N287" s="886"/>
      <c r="O287" s="886"/>
      <c r="P287" s="886"/>
      <c r="Q287" s="1161">
        <f>P288+P306</f>
        <v>1239</v>
      </c>
      <c r="R287" s="882"/>
      <c r="S287" s="1269"/>
      <c r="T287" s="1254"/>
      <c r="U287" s="996"/>
      <c r="V287" s="996"/>
      <c r="W287" s="992"/>
    </row>
    <row r="288" spans="1:23" ht="14.5" customHeight="1">
      <c r="C288" s="994" t="s">
        <v>5807</v>
      </c>
      <c r="D288" s="988" t="str">
        <f t="shared" ref="D288:D298" si="27">IF(C288="","",CONCATENATE(LEFT(C288,4),MID(C288,6,2)))</f>
        <v>017201</v>
      </c>
      <c r="I288" s="944" t="str">
        <f>IF(H288="","",CONCATENATE(G287,H288))</f>
        <v/>
      </c>
      <c r="J288" s="990" t="s">
        <v>5808</v>
      </c>
      <c r="K288" s="873"/>
      <c r="L288" s="886"/>
      <c r="M288" s="886"/>
      <c r="N288" s="886"/>
      <c r="O288" s="886"/>
      <c r="P288" s="896">
        <f>SUM(Q289:Q305)</f>
        <v>22</v>
      </c>
      <c r="Q288" s="1171"/>
      <c r="R288" s="882"/>
      <c r="S288" s="1269"/>
      <c r="T288" s="1254"/>
      <c r="U288" s="996"/>
      <c r="V288" s="996"/>
      <c r="W288" s="992" t="s">
        <v>10352</v>
      </c>
    </row>
    <row r="289" spans="1:23" ht="14.5" customHeight="1">
      <c r="C289" s="987"/>
      <c r="D289" s="988" t="str">
        <f t="shared" si="27"/>
        <v/>
      </c>
      <c r="F289" s="988" t="str">
        <f t="shared" ref="F289:F369" si="28">IF(E289="","",CONCATENATE(LEFT(E289,4),MID(E289,6,3)))</f>
        <v/>
      </c>
      <c r="G289" s="1095" t="str">
        <f>IF(F289="",G287,F289)</f>
        <v>0172010</v>
      </c>
      <c r="H289" s="1016" t="s">
        <v>5637</v>
      </c>
      <c r="I289" s="944" t="str">
        <f>IF(H289="","",CONCATENATE(G289,H289))</f>
        <v>0172010101</v>
      </c>
      <c r="J289" s="991" t="s">
        <v>10353</v>
      </c>
      <c r="K289" s="884">
        <v>1127.3</v>
      </c>
      <c r="L289" s="884">
        <v>0</v>
      </c>
      <c r="M289" s="884">
        <v>6609</v>
      </c>
      <c r="N289" s="882"/>
      <c r="O289" s="882"/>
      <c r="P289" s="882"/>
      <c r="Q289" s="1162">
        <f>ROUND(K289*L289/M289,0)</f>
        <v>0</v>
      </c>
      <c r="R289" s="882"/>
      <c r="S289" s="1269"/>
      <c r="T289" s="1254"/>
      <c r="U289" s="996" t="s">
        <v>10354</v>
      </c>
      <c r="V289" s="996"/>
      <c r="W289" s="992"/>
    </row>
    <row r="290" spans="1:23" ht="14.5" customHeight="1">
      <c r="C290" s="987"/>
      <c r="D290" s="988" t="str">
        <f t="shared" si="27"/>
        <v/>
      </c>
      <c r="F290" s="988" t="str">
        <f t="shared" si="28"/>
        <v/>
      </c>
      <c r="G290" s="1095" t="str">
        <f t="shared" ref="G290:G305" si="29">IF(F290="",G289,F290)</f>
        <v>0172010</v>
      </c>
      <c r="H290" s="1016" t="s">
        <v>5359</v>
      </c>
      <c r="I290" s="944" t="str">
        <f>IF(H290="","",CONCATENATE(G290,H290))</f>
        <v>0172010102</v>
      </c>
      <c r="J290" s="991" t="s">
        <v>10355</v>
      </c>
      <c r="K290" s="884">
        <v>99.7</v>
      </c>
      <c r="L290" s="884">
        <v>0</v>
      </c>
      <c r="M290" s="884">
        <v>683</v>
      </c>
      <c r="N290" s="882"/>
      <c r="O290" s="882"/>
      <c r="P290" s="882"/>
      <c r="Q290" s="1162">
        <f>ROUND(K290*L290/M290,0)</f>
        <v>0</v>
      </c>
      <c r="R290" s="882"/>
      <c r="S290" s="1269"/>
      <c r="T290" s="1254"/>
      <c r="U290" s="996" t="s">
        <v>10145</v>
      </c>
      <c r="V290" s="996"/>
      <c r="W290" s="992"/>
    </row>
    <row r="291" spans="1:23" ht="14.5" customHeight="1">
      <c r="C291" s="987"/>
      <c r="D291" s="988" t="str">
        <f t="shared" si="27"/>
        <v/>
      </c>
      <c r="F291" s="988" t="str">
        <f t="shared" si="28"/>
        <v/>
      </c>
      <c r="G291" s="1095" t="str">
        <f t="shared" si="29"/>
        <v>0172010</v>
      </c>
      <c r="H291" s="1016" t="s">
        <v>5361</v>
      </c>
      <c r="I291" s="944" t="str">
        <f t="shared" si="26"/>
        <v>0172010103</v>
      </c>
      <c r="J291" s="991" t="s">
        <v>10356</v>
      </c>
      <c r="K291" s="884">
        <v>8</v>
      </c>
      <c r="L291" s="884">
        <v>0</v>
      </c>
      <c r="M291" s="884">
        <v>12</v>
      </c>
      <c r="N291" s="882"/>
      <c r="O291" s="882"/>
      <c r="P291" s="882"/>
      <c r="Q291" s="1162">
        <f t="shared" ref="Q291:Q315" si="30">ROUND(K291*L291/M291,0)</f>
        <v>0</v>
      </c>
      <c r="R291" s="882"/>
      <c r="S291" s="1269"/>
      <c r="T291" s="1254"/>
      <c r="U291" s="996" t="s">
        <v>10145</v>
      </c>
      <c r="V291" s="996"/>
      <c r="W291" s="992"/>
    </row>
    <row r="292" spans="1:23" ht="14.5" customHeight="1">
      <c r="C292" s="987"/>
      <c r="D292" s="988" t="str">
        <f t="shared" si="27"/>
        <v/>
      </c>
      <c r="F292" s="988" t="str">
        <f t="shared" si="28"/>
        <v/>
      </c>
      <c r="G292" s="1095" t="str">
        <f t="shared" si="29"/>
        <v>0172010</v>
      </c>
      <c r="H292" s="1016" t="s">
        <v>5363</v>
      </c>
      <c r="I292" s="944" t="str">
        <f t="shared" si="26"/>
        <v>0172010104</v>
      </c>
      <c r="J292" s="991" t="s">
        <v>10357</v>
      </c>
      <c r="K292" s="884">
        <v>321.89999999999998</v>
      </c>
      <c r="L292" s="884">
        <v>1</v>
      </c>
      <c r="M292" s="884">
        <v>153</v>
      </c>
      <c r="N292" s="882"/>
      <c r="O292" s="882"/>
      <c r="P292" s="882"/>
      <c r="Q292" s="1162">
        <f t="shared" si="30"/>
        <v>2</v>
      </c>
      <c r="R292" s="882"/>
      <c r="S292" s="1269"/>
      <c r="T292" s="1254"/>
      <c r="U292" s="996" t="s">
        <v>10145</v>
      </c>
      <c r="V292" s="996"/>
      <c r="W292" s="992"/>
    </row>
    <row r="293" spans="1:23" ht="14.5" customHeight="1">
      <c r="C293" s="987"/>
      <c r="D293" s="988" t="str">
        <f t="shared" si="27"/>
        <v/>
      </c>
      <c r="F293" s="988" t="str">
        <f t="shared" si="28"/>
        <v/>
      </c>
      <c r="G293" s="1095" t="str">
        <f t="shared" si="29"/>
        <v>0172010</v>
      </c>
      <c r="H293" s="1016" t="s">
        <v>5365</v>
      </c>
      <c r="I293" s="944" t="str">
        <f t="shared" si="26"/>
        <v>0172010105</v>
      </c>
      <c r="J293" s="991" t="s">
        <v>5811</v>
      </c>
      <c r="K293" s="884">
        <v>489.4</v>
      </c>
      <c r="L293" s="884">
        <v>0</v>
      </c>
      <c r="M293" s="884">
        <v>935</v>
      </c>
      <c r="N293" s="882"/>
      <c r="O293" s="882"/>
      <c r="P293" s="882"/>
      <c r="Q293" s="1162">
        <f t="shared" si="30"/>
        <v>0</v>
      </c>
      <c r="R293" s="882"/>
      <c r="S293" s="1269"/>
      <c r="T293" s="1254"/>
      <c r="U293" s="996" t="s">
        <v>10145</v>
      </c>
      <c r="V293" s="996"/>
      <c r="W293" s="992"/>
    </row>
    <row r="294" spans="1:23" ht="14.5" customHeight="1">
      <c r="C294" s="987"/>
      <c r="D294" s="988" t="str">
        <f t="shared" si="27"/>
        <v/>
      </c>
      <c r="F294" s="988" t="str">
        <f t="shared" si="28"/>
        <v/>
      </c>
      <c r="G294" s="1095" t="str">
        <f t="shared" si="29"/>
        <v>0172010</v>
      </c>
      <c r="H294" s="1016" t="s">
        <v>5367</v>
      </c>
      <c r="I294" s="944" t="str">
        <f t="shared" si="26"/>
        <v>0172010106</v>
      </c>
      <c r="J294" s="991" t="s">
        <v>10358</v>
      </c>
      <c r="K294" s="884">
        <v>7385.5</v>
      </c>
      <c r="L294" s="884">
        <v>5</v>
      </c>
      <c r="M294" s="884">
        <v>2084</v>
      </c>
      <c r="N294" s="882"/>
      <c r="O294" s="882"/>
      <c r="P294" s="882"/>
      <c r="Q294" s="1162">
        <f t="shared" si="30"/>
        <v>18</v>
      </c>
      <c r="R294" s="882"/>
      <c r="S294" s="1269"/>
      <c r="T294" s="1254"/>
      <c r="U294" s="996" t="s">
        <v>10145</v>
      </c>
      <c r="V294" s="996"/>
      <c r="W294" s="992"/>
    </row>
    <row r="295" spans="1:23" ht="14.5" customHeight="1">
      <c r="C295" s="987"/>
      <c r="D295" s="988" t="str">
        <f t="shared" si="27"/>
        <v/>
      </c>
      <c r="F295" s="988" t="str">
        <f t="shared" si="28"/>
        <v/>
      </c>
      <c r="G295" s="1095" t="str">
        <f t="shared" si="29"/>
        <v>0172010</v>
      </c>
      <c r="H295" s="1016" t="s">
        <v>5369</v>
      </c>
      <c r="I295" s="944" t="str">
        <f t="shared" si="26"/>
        <v>0172010107</v>
      </c>
      <c r="J295" s="992" t="s">
        <v>5813</v>
      </c>
      <c r="K295" s="884">
        <v>476.4</v>
      </c>
      <c r="L295" s="884">
        <v>0</v>
      </c>
      <c r="M295" s="884">
        <v>507</v>
      </c>
      <c r="N295" s="882"/>
      <c r="O295" s="882"/>
      <c r="P295" s="882"/>
      <c r="Q295" s="1162">
        <f>ROUND(K295*L295/M295,0)</f>
        <v>0</v>
      </c>
      <c r="R295" s="882"/>
      <c r="S295" s="1269"/>
      <c r="T295" s="1254"/>
      <c r="U295" s="996" t="s">
        <v>10145</v>
      </c>
      <c r="V295" s="996"/>
      <c r="W295" s="992"/>
    </row>
    <row r="296" spans="1:23" ht="14.5" customHeight="1">
      <c r="C296" s="987"/>
      <c r="D296" s="988" t="str">
        <f t="shared" si="27"/>
        <v/>
      </c>
      <c r="F296" s="988" t="str">
        <f t="shared" si="28"/>
        <v/>
      </c>
      <c r="G296" s="1095" t="str">
        <f t="shared" si="29"/>
        <v>0172010</v>
      </c>
      <c r="H296" s="1016" t="s">
        <v>5371</v>
      </c>
      <c r="I296" s="944" t="str">
        <f t="shared" si="26"/>
        <v>0172010108</v>
      </c>
      <c r="J296" s="991" t="s">
        <v>10359</v>
      </c>
      <c r="K296" s="884">
        <v>81.7</v>
      </c>
      <c r="L296" s="884">
        <v>0</v>
      </c>
      <c r="M296" s="884">
        <v>162</v>
      </c>
      <c r="N296" s="882"/>
      <c r="O296" s="882"/>
      <c r="P296" s="882"/>
      <c r="Q296" s="1162">
        <f t="shared" si="30"/>
        <v>0</v>
      </c>
      <c r="R296" s="882"/>
      <c r="S296" s="1269"/>
      <c r="T296" s="1254"/>
      <c r="U296" s="996" t="s">
        <v>10145</v>
      </c>
      <c r="V296" s="996"/>
      <c r="W296" s="992"/>
    </row>
    <row r="297" spans="1:23" ht="14.5" customHeight="1">
      <c r="C297" s="987"/>
      <c r="D297" s="988" t="str">
        <f t="shared" si="27"/>
        <v/>
      </c>
      <c r="F297" s="988" t="str">
        <f t="shared" si="28"/>
        <v/>
      </c>
      <c r="G297" s="1095" t="str">
        <f t="shared" si="29"/>
        <v>0172010</v>
      </c>
      <c r="H297" s="1016" t="s">
        <v>5373</v>
      </c>
      <c r="I297" s="944" t="str">
        <f t="shared" si="26"/>
        <v>0172010109</v>
      </c>
      <c r="J297" s="991" t="s">
        <v>5815</v>
      </c>
      <c r="K297" s="884">
        <v>172.4</v>
      </c>
      <c r="L297" s="884">
        <v>0</v>
      </c>
      <c r="M297" s="884">
        <v>396</v>
      </c>
      <c r="N297" s="882"/>
      <c r="O297" s="882"/>
      <c r="P297" s="882"/>
      <c r="Q297" s="1162">
        <f t="shared" si="30"/>
        <v>0</v>
      </c>
      <c r="R297" s="882"/>
      <c r="S297" s="1269"/>
      <c r="T297" s="1254"/>
      <c r="U297" s="996" t="s">
        <v>10145</v>
      </c>
      <c r="V297" s="996"/>
      <c r="W297" s="992"/>
    </row>
    <row r="298" spans="1:23" ht="14.5" customHeight="1">
      <c r="C298" s="987"/>
      <c r="D298" s="988" t="str">
        <f t="shared" si="27"/>
        <v/>
      </c>
      <c r="F298" s="988" t="str">
        <f t="shared" si="28"/>
        <v/>
      </c>
      <c r="G298" s="1095" t="str">
        <f t="shared" si="29"/>
        <v>0172010</v>
      </c>
      <c r="H298" s="1016" t="s">
        <v>5375</v>
      </c>
      <c r="I298" s="944" t="str">
        <f t="shared" si="26"/>
        <v>0172010110</v>
      </c>
      <c r="J298" s="991" t="s">
        <v>5816</v>
      </c>
      <c r="K298" s="884">
        <v>90.7</v>
      </c>
      <c r="L298" s="884">
        <v>0</v>
      </c>
      <c r="M298" s="884">
        <v>181</v>
      </c>
      <c r="N298" s="882"/>
      <c r="O298" s="882"/>
      <c r="P298" s="882"/>
      <c r="Q298" s="1162">
        <f t="shared" si="30"/>
        <v>0</v>
      </c>
      <c r="R298" s="882"/>
      <c r="S298" s="1269"/>
      <c r="T298" s="1254"/>
      <c r="U298" s="996" t="s">
        <v>10145</v>
      </c>
      <c r="V298" s="996"/>
      <c r="W298" s="992"/>
    </row>
    <row r="299" spans="1:23" ht="14.5" customHeight="1">
      <c r="C299" s="987"/>
      <c r="F299" s="988"/>
      <c r="G299" s="1095" t="str">
        <f t="shared" si="29"/>
        <v>0172010</v>
      </c>
      <c r="H299" s="1016" t="s">
        <v>10360</v>
      </c>
      <c r="I299" s="944" t="str">
        <f>IF(H299="","",CONCATENATE(G299,H299))</f>
        <v>0172010111</v>
      </c>
      <c r="J299" s="991" t="s">
        <v>10361</v>
      </c>
      <c r="K299" s="884">
        <v>386.7</v>
      </c>
      <c r="L299" s="884">
        <v>0</v>
      </c>
      <c r="M299" s="884">
        <v>66</v>
      </c>
      <c r="N299" s="882"/>
      <c r="O299" s="882"/>
      <c r="P299" s="882"/>
      <c r="Q299" s="1162">
        <f t="shared" si="30"/>
        <v>0</v>
      </c>
      <c r="R299" s="882"/>
      <c r="S299" s="1269"/>
      <c r="T299" s="1254"/>
      <c r="U299" s="996" t="s">
        <v>10145</v>
      </c>
      <c r="V299" s="996"/>
      <c r="W299" s="992"/>
    </row>
    <row r="300" spans="1:23" ht="14.5" customHeight="1">
      <c r="C300" s="987"/>
      <c r="F300" s="988"/>
      <c r="G300" s="1095" t="str">
        <f t="shared" si="29"/>
        <v>0172010</v>
      </c>
      <c r="H300" s="1016" t="s">
        <v>10362</v>
      </c>
      <c r="I300" s="944" t="str">
        <f>IF(H300="","",CONCATENATE(G300,H300))</f>
        <v>0172010112</v>
      </c>
      <c r="J300" s="991" t="s">
        <v>10363</v>
      </c>
      <c r="K300" s="884">
        <v>59.8</v>
      </c>
      <c r="L300" s="884">
        <v>0</v>
      </c>
      <c r="M300" s="884">
        <v>95</v>
      </c>
      <c r="N300" s="882"/>
      <c r="O300" s="882"/>
      <c r="P300" s="882"/>
      <c r="Q300" s="1162">
        <f t="shared" si="30"/>
        <v>0</v>
      </c>
      <c r="R300" s="882"/>
      <c r="S300" s="1269"/>
      <c r="T300" s="1254"/>
      <c r="U300" s="996" t="s">
        <v>10145</v>
      </c>
      <c r="V300" s="996"/>
      <c r="W300" s="992"/>
    </row>
    <row r="301" spans="1:23" ht="14.5" customHeight="1">
      <c r="A301" s="1034"/>
      <c r="B301" s="1034"/>
      <c r="C301" s="987"/>
      <c r="D301" s="988" t="str">
        <f t="shared" ref="D301:D306" si="31">IF(C301="","",CONCATENATE(LEFT(C301,4),MID(C301,6,2)))</f>
        <v/>
      </c>
      <c r="F301" s="988" t="str">
        <f t="shared" si="28"/>
        <v/>
      </c>
      <c r="G301" s="1095" t="str">
        <f t="shared" si="29"/>
        <v>0172010</v>
      </c>
      <c r="H301" s="1016" t="s">
        <v>5453</v>
      </c>
      <c r="I301" s="944" t="str">
        <f t="shared" si="26"/>
        <v>0172010199</v>
      </c>
      <c r="J301" s="991" t="s">
        <v>10364</v>
      </c>
      <c r="K301" s="884">
        <v>188.4</v>
      </c>
      <c r="L301" s="884">
        <v>0</v>
      </c>
      <c r="M301" s="884">
        <v>606</v>
      </c>
      <c r="N301" s="882"/>
      <c r="O301" s="882"/>
      <c r="P301" s="882"/>
      <c r="Q301" s="1162">
        <f t="shared" si="30"/>
        <v>0</v>
      </c>
      <c r="R301" s="882"/>
      <c r="S301" s="1269"/>
      <c r="T301" s="1254"/>
      <c r="U301" s="996" t="s">
        <v>10145</v>
      </c>
      <c r="V301" s="996"/>
      <c r="W301" s="992"/>
    </row>
    <row r="302" spans="1:23" ht="14.5" customHeight="1">
      <c r="A302" s="1034"/>
      <c r="B302" s="1034"/>
      <c r="C302" s="987"/>
      <c r="D302" s="988" t="str">
        <f t="shared" si="31"/>
        <v/>
      </c>
      <c r="F302" s="988" t="str">
        <f t="shared" si="28"/>
        <v/>
      </c>
      <c r="G302" s="1095" t="str">
        <f t="shared" si="29"/>
        <v>0172010</v>
      </c>
      <c r="H302" s="1016" t="s">
        <v>5455</v>
      </c>
      <c r="I302" s="944" t="str">
        <f t="shared" si="26"/>
        <v>0172010201</v>
      </c>
      <c r="J302" s="991" t="s">
        <v>5819</v>
      </c>
      <c r="K302" s="884">
        <v>5118</v>
      </c>
      <c r="L302" s="884">
        <v>0</v>
      </c>
      <c r="M302" s="884">
        <v>8894</v>
      </c>
      <c r="N302" s="882"/>
      <c r="O302" s="882"/>
      <c r="P302" s="882"/>
      <c r="Q302" s="1162">
        <f t="shared" si="30"/>
        <v>0</v>
      </c>
      <c r="R302" s="882"/>
      <c r="S302" s="1269"/>
      <c r="T302" s="1254"/>
      <c r="U302" s="996" t="s">
        <v>10145</v>
      </c>
      <c r="V302" s="996"/>
      <c r="W302" s="992"/>
    </row>
    <row r="303" spans="1:23" ht="14.5" customHeight="1">
      <c r="A303" s="1034"/>
      <c r="B303" s="1034"/>
      <c r="C303" s="987"/>
      <c r="D303" s="988" t="str">
        <f t="shared" si="31"/>
        <v/>
      </c>
      <c r="F303" s="988" t="str">
        <f t="shared" si="28"/>
        <v/>
      </c>
      <c r="G303" s="1095" t="str">
        <f t="shared" si="29"/>
        <v>0172010</v>
      </c>
      <c r="H303" s="1016" t="s">
        <v>5474</v>
      </c>
      <c r="I303" s="944" t="str">
        <f t="shared" si="26"/>
        <v>0172010299</v>
      </c>
      <c r="J303" s="991" t="s">
        <v>10365</v>
      </c>
      <c r="K303" s="884">
        <v>2</v>
      </c>
      <c r="L303" s="884">
        <v>0</v>
      </c>
      <c r="M303" s="884">
        <v>4</v>
      </c>
      <c r="N303" s="882"/>
      <c r="O303" s="882"/>
      <c r="P303" s="882"/>
      <c r="Q303" s="1162">
        <f t="shared" si="30"/>
        <v>0</v>
      </c>
      <c r="R303" s="882"/>
      <c r="S303" s="1269"/>
      <c r="T303" s="1254"/>
      <c r="U303" s="996" t="s">
        <v>10145</v>
      </c>
      <c r="V303" s="996"/>
      <c r="W303" s="992"/>
    </row>
    <row r="304" spans="1:23" ht="14.5" customHeight="1">
      <c r="A304" s="1034"/>
      <c r="B304" s="1034"/>
      <c r="C304" s="987"/>
      <c r="D304" s="988" t="str">
        <f t="shared" si="31"/>
        <v/>
      </c>
      <c r="F304" s="988" t="str">
        <f t="shared" si="28"/>
        <v/>
      </c>
      <c r="G304" s="1095" t="str">
        <f t="shared" si="29"/>
        <v>0172010</v>
      </c>
      <c r="H304" s="1016" t="s">
        <v>5476</v>
      </c>
      <c r="I304" s="944" t="str">
        <f t="shared" si="26"/>
        <v>0172010301</v>
      </c>
      <c r="J304" s="991" t="s">
        <v>5821</v>
      </c>
      <c r="K304" s="884">
        <v>156.5</v>
      </c>
      <c r="L304" s="884">
        <v>0</v>
      </c>
      <c r="M304" s="884">
        <v>198</v>
      </c>
      <c r="N304" s="882"/>
      <c r="O304" s="882"/>
      <c r="P304" s="882"/>
      <c r="Q304" s="1162">
        <f t="shared" si="30"/>
        <v>0</v>
      </c>
      <c r="R304" s="882"/>
      <c r="S304" s="1269"/>
      <c r="T304" s="1254"/>
      <c r="U304" s="996" t="s">
        <v>10145</v>
      </c>
      <c r="V304" s="996"/>
      <c r="W304" s="992"/>
    </row>
    <row r="305" spans="1:23" ht="14.5" customHeight="1">
      <c r="A305" s="1034"/>
      <c r="B305" s="1034"/>
      <c r="C305" s="987"/>
      <c r="D305" s="988" t="str">
        <f t="shared" si="31"/>
        <v/>
      </c>
      <c r="F305" s="988" t="str">
        <f t="shared" si="28"/>
        <v/>
      </c>
      <c r="G305" s="1095" t="str">
        <f t="shared" si="29"/>
        <v>0172010</v>
      </c>
      <c r="H305" s="1016" t="s">
        <v>5676</v>
      </c>
      <c r="I305" s="944" t="str">
        <f t="shared" si="26"/>
        <v>0172010399</v>
      </c>
      <c r="J305" s="991" t="s">
        <v>5822</v>
      </c>
      <c r="K305" s="884">
        <v>271.10000000000002</v>
      </c>
      <c r="L305" s="884">
        <v>1</v>
      </c>
      <c r="M305" s="884">
        <v>160</v>
      </c>
      <c r="N305" s="882"/>
      <c r="O305" s="882"/>
      <c r="P305" s="882"/>
      <c r="Q305" s="1162">
        <f t="shared" si="30"/>
        <v>2</v>
      </c>
      <c r="R305" s="882"/>
      <c r="S305" s="1269"/>
      <c r="T305" s="1254"/>
      <c r="U305" s="996" t="s">
        <v>10145</v>
      </c>
      <c r="V305" s="996"/>
      <c r="W305" s="992"/>
    </row>
    <row r="306" spans="1:23" ht="14.5" customHeight="1">
      <c r="A306" s="1034"/>
      <c r="B306" s="1034"/>
      <c r="C306" s="994" t="s">
        <v>5823</v>
      </c>
      <c r="D306" s="988" t="str">
        <f t="shared" si="31"/>
        <v>017202</v>
      </c>
      <c r="F306" s="1016" t="s">
        <v>5824</v>
      </c>
      <c r="G306" s="1095" t="str">
        <f t="shared" si="25"/>
        <v>0172020</v>
      </c>
      <c r="J306" s="990" t="s">
        <v>5825</v>
      </c>
      <c r="K306" s="887"/>
      <c r="L306" s="887"/>
      <c r="M306" s="887"/>
      <c r="N306" s="882"/>
      <c r="O306" s="882"/>
      <c r="P306" s="906">
        <f>SUM(Q307:Q315)</f>
        <v>1217</v>
      </c>
      <c r="Q306" s="1171"/>
      <c r="R306" s="882"/>
      <c r="S306" s="1269"/>
      <c r="T306" s="1254"/>
      <c r="U306" s="996"/>
      <c r="V306" s="996"/>
      <c r="W306" s="992" t="s">
        <v>10366</v>
      </c>
    </row>
    <row r="307" spans="1:23" ht="14.5" customHeight="1">
      <c r="A307" s="1034"/>
      <c r="B307" s="1034"/>
      <c r="E307" s="989"/>
      <c r="F307" s="988" t="str">
        <f>IF(E307="","",CONCATENATE(LEFT(E307,4),MID(E307,6,3)))</f>
        <v/>
      </c>
      <c r="G307" s="1095" t="str">
        <f>IF(F307="",G306,F307)</f>
        <v>0172020</v>
      </c>
      <c r="H307" s="1016" t="s">
        <v>5637</v>
      </c>
      <c r="I307" s="944" t="str">
        <f t="shared" si="26"/>
        <v>0172020101</v>
      </c>
      <c r="J307" s="991" t="s">
        <v>5826</v>
      </c>
      <c r="K307" s="884">
        <v>6983.8</v>
      </c>
      <c r="L307" s="884">
        <v>29</v>
      </c>
      <c r="M307" s="884">
        <v>5884</v>
      </c>
      <c r="N307" s="882"/>
      <c r="O307" s="882"/>
      <c r="P307" s="882"/>
      <c r="Q307" s="1162">
        <f t="shared" si="30"/>
        <v>34</v>
      </c>
      <c r="R307" s="882"/>
      <c r="S307" s="1269"/>
      <c r="T307" s="1254"/>
      <c r="U307" s="996" t="s">
        <v>10367</v>
      </c>
      <c r="V307" s="996"/>
      <c r="W307" s="992"/>
    </row>
    <row r="308" spans="1:23" ht="14.5" customHeight="1">
      <c r="A308" s="1034"/>
      <c r="B308" s="1034"/>
      <c r="C308" s="987"/>
      <c r="F308" s="988" t="str">
        <f t="shared" si="28"/>
        <v/>
      </c>
      <c r="G308" s="1095" t="str">
        <f t="shared" si="25"/>
        <v>0172020</v>
      </c>
      <c r="H308" s="1016" t="s">
        <v>5359</v>
      </c>
      <c r="I308" s="944" t="str">
        <f t="shared" si="26"/>
        <v>0172020102</v>
      </c>
      <c r="J308" s="991" t="s">
        <v>10368</v>
      </c>
      <c r="K308" s="884">
        <v>6210.4</v>
      </c>
      <c r="L308" s="884">
        <v>2</v>
      </c>
      <c r="M308" s="884">
        <v>154</v>
      </c>
      <c r="N308" s="882"/>
      <c r="O308" s="882"/>
      <c r="P308" s="882"/>
      <c r="Q308" s="1162">
        <f t="shared" si="30"/>
        <v>81</v>
      </c>
      <c r="R308" s="882"/>
      <c r="S308" s="1269"/>
      <c r="T308" s="1254"/>
      <c r="U308" s="1010" t="s">
        <v>10369</v>
      </c>
      <c r="V308" s="996"/>
      <c r="W308" s="992"/>
    </row>
    <row r="309" spans="1:23" ht="14.5" customHeight="1">
      <c r="A309" s="1034"/>
      <c r="B309" s="1034"/>
      <c r="C309" s="987"/>
      <c r="F309" s="988" t="str">
        <f t="shared" si="28"/>
        <v/>
      </c>
      <c r="G309" s="1095" t="str">
        <f t="shared" si="25"/>
        <v>0172020</v>
      </c>
      <c r="H309" s="1016" t="s">
        <v>5361</v>
      </c>
      <c r="I309" s="944" t="str">
        <f t="shared" si="26"/>
        <v>0172020103</v>
      </c>
      <c r="J309" s="991" t="s">
        <v>10370</v>
      </c>
      <c r="K309" s="884">
        <v>1030.5999999999999</v>
      </c>
      <c r="L309" s="884">
        <v>0</v>
      </c>
      <c r="M309" s="884">
        <v>2247</v>
      </c>
      <c r="N309" s="882"/>
      <c r="O309" s="882"/>
      <c r="P309" s="882"/>
      <c r="Q309" s="1162">
        <f t="shared" si="30"/>
        <v>0</v>
      </c>
      <c r="R309" s="882"/>
      <c r="S309" s="1269"/>
      <c r="T309" s="1254"/>
      <c r="U309" s="996" t="s">
        <v>10367</v>
      </c>
      <c r="V309" s="996"/>
      <c r="W309" s="992"/>
    </row>
    <row r="310" spans="1:23" ht="14.5" customHeight="1">
      <c r="A310" s="1034"/>
      <c r="B310" s="1034"/>
      <c r="C310" s="987"/>
      <c r="F310" s="988" t="str">
        <f t="shared" si="28"/>
        <v/>
      </c>
      <c r="G310" s="1095" t="str">
        <f t="shared" si="25"/>
        <v>0172020</v>
      </c>
      <c r="H310" s="1016" t="s">
        <v>5363</v>
      </c>
      <c r="I310" s="944" t="str">
        <f t="shared" si="26"/>
        <v>0172020104</v>
      </c>
      <c r="J310" s="991" t="s">
        <v>10371</v>
      </c>
      <c r="K310" s="884">
        <v>65896</v>
      </c>
      <c r="L310" s="884">
        <v>4</v>
      </c>
      <c r="M310" s="884">
        <v>407</v>
      </c>
      <c r="N310" s="882"/>
      <c r="O310" s="882"/>
      <c r="P310" s="882"/>
      <c r="Q310" s="1162">
        <f t="shared" si="30"/>
        <v>648</v>
      </c>
      <c r="R310" s="882"/>
      <c r="S310" s="1269"/>
      <c r="T310" s="1254"/>
      <c r="U310" s="1010" t="s">
        <v>10369</v>
      </c>
      <c r="V310" s="996"/>
      <c r="W310" s="992"/>
    </row>
    <row r="311" spans="1:23" ht="14.5" customHeight="1">
      <c r="A311" s="1034"/>
      <c r="B311" s="1034"/>
      <c r="C311" s="987"/>
      <c r="F311" s="988" t="str">
        <f t="shared" si="28"/>
        <v/>
      </c>
      <c r="G311" s="1095" t="str">
        <f t="shared" si="25"/>
        <v>0172020</v>
      </c>
      <c r="H311" s="1016" t="s">
        <v>5453</v>
      </c>
      <c r="I311" s="944" t="str">
        <f t="shared" si="26"/>
        <v>0172020199</v>
      </c>
      <c r="J311" s="991" t="s">
        <v>5827</v>
      </c>
      <c r="K311" s="884">
        <v>4676.5</v>
      </c>
      <c r="L311" s="884">
        <v>0</v>
      </c>
      <c r="M311" s="884">
        <v>107</v>
      </c>
      <c r="N311" s="882"/>
      <c r="O311" s="882"/>
      <c r="P311" s="882"/>
      <c r="Q311" s="1162">
        <f t="shared" si="30"/>
        <v>0</v>
      </c>
      <c r="R311" s="882"/>
      <c r="S311" s="1269"/>
      <c r="T311" s="1254"/>
      <c r="U311" s="996" t="s">
        <v>10367</v>
      </c>
      <c r="V311" s="996"/>
      <c r="W311" s="992"/>
    </row>
    <row r="312" spans="1:23" ht="14.5" customHeight="1">
      <c r="A312" s="1034"/>
      <c r="B312" s="1034"/>
      <c r="C312" s="987"/>
      <c r="F312" s="988" t="str">
        <f t="shared" si="28"/>
        <v/>
      </c>
      <c r="G312" s="1095" t="str">
        <f t="shared" si="25"/>
        <v>0172020</v>
      </c>
      <c r="H312" s="1016" t="s">
        <v>5455</v>
      </c>
      <c r="I312" s="944" t="str">
        <f>IF(H312="","",CONCATENATE(G312,H312))</f>
        <v>0172020201</v>
      </c>
      <c r="J312" s="991" t="s">
        <v>5828</v>
      </c>
      <c r="K312" s="884">
        <v>21.9</v>
      </c>
      <c r="L312" s="884">
        <v>0</v>
      </c>
      <c r="M312" s="884">
        <v>10</v>
      </c>
      <c r="N312" s="882"/>
      <c r="O312" s="882"/>
      <c r="P312" s="882"/>
      <c r="Q312" s="1162">
        <f t="shared" si="30"/>
        <v>0</v>
      </c>
      <c r="R312" s="882"/>
      <c r="S312" s="1269"/>
      <c r="T312" s="1254"/>
      <c r="U312" s="1010" t="s">
        <v>10369</v>
      </c>
      <c r="V312" s="996"/>
      <c r="W312" s="992"/>
    </row>
    <row r="313" spans="1:23" ht="14.5" customHeight="1">
      <c r="A313" s="1034"/>
      <c r="B313" s="1034"/>
      <c r="C313" s="987"/>
      <c r="F313" s="988"/>
      <c r="G313" s="1095" t="str">
        <f>IF(F313="",G312,F313)</f>
        <v>0172020</v>
      </c>
      <c r="H313" s="1016" t="s">
        <v>5484</v>
      </c>
      <c r="I313" s="944" t="str">
        <f>IF(H313="","",CONCATENATE(G313,H313))</f>
        <v>0172020301</v>
      </c>
      <c r="J313" s="991" t="s">
        <v>10372</v>
      </c>
      <c r="K313" s="884">
        <v>8358.2000000000007</v>
      </c>
      <c r="L313" s="884">
        <v>131990</v>
      </c>
      <c r="M313" s="884">
        <v>2507793</v>
      </c>
      <c r="N313" s="882"/>
      <c r="O313" s="882"/>
      <c r="P313" s="882"/>
      <c r="Q313" s="1162">
        <f t="shared" si="30"/>
        <v>440</v>
      </c>
      <c r="R313" s="882"/>
      <c r="S313" s="1269"/>
      <c r="T313" s="1254"/>
      <c r="U313" s="996" t="s">
        <v>10373</v>
      </c>
      <c r="V313" s="996"/>
      <c r="W313" s="992"/>
    </row>
    <row r="314" spans="1:23" ht="14.5" customHeight="1">
      <c r="A314" s="1034"/>
      <c r="B314" s="1034"/>
      <c r="C314" s="987"/>
      <c r="F314" s="988"/>
      <c r="G314" s="1095" t="str">
        <f>IF(F314="",G313,F314)</f>
        <v>0172020</v>
      </c>
      <c r="H314" s="1016" t="s">
        <v>10176</v>
      </c>
      <c r="I314" s="944" t="str">
        <f>IF(H314="","",CONCATENATE(G314,H314))</f>
        <v>0172020399</v>
      </c>
      <c r="J314" s="991" t="s">
        <v>10374</v>
      </c>
      <c r="K314" s="884">
        <v>1345.5</v>
      </c>
      <c r="L314" s="884">
        <v>1</v>
      </c>
      <c r="M314" s="884">
        <v>332</v>
      </c>
      <c r="N314" s="882"/>
      <c r="O314" s="882"/>
      <c r="P314" s="882"/>
      <c r="Q314" s="1162">
        <f t="shared" si="30"/>
        <v>4</v>
      </c>
      <c r="R314" s="882"/>
      <c r="S314" s="1269"/>
      <c r="T314" s="1254"/>
      <c r="U314" s="1010" t="s">
        <v>10369</v>
      </c>
      <c r="V314" s="996"/>
      <c r="W314" s="992"/>
    </row>
    <row r="315" spans="1:23" ht="14.5" customHeight="1">
      <c r="A315" s="1034"/>
      <c r="B315" s="1034"/>
      <c r="C315" s="987"/>
      <c r="D315" s="988" t="str">
        <f>IF(C315="","",CONCATENATE(LEFT(C315,4),MID(C315,6,2)))</f>
        <v/>
      </c>
      <c r="F315" s="988" t="str">
        <f t="shared" si="28"/>
        <v/>
      </c>
      <c r="G315" s="1095" t="str">
        <f>IF(F315="",G314,F315)</f>
        <v>0172020</v>
      </c>
      <c r="H315" s="1016" t="s">
        <v>5605</v>
      </c>
      <c r="I315" s="1109" t="str">
        <f>IF(H315="","",CONCATENATE(G315,H315))</f>
        <v>0172020401</v>
      </c>
      <c r="J315" s="991" t="s">
        <v>10375</v>
      </c>
      <c r="K315" s="884">
        <v>2780.8</v>
      </c>
      <c r="L315" s="884">
        <v>1</v>
      </c>
      <c r="M315" s="884">
        <v>283</v>
      </c>
      <c r="N315" s="882"/>
      <c r="O315" s="882"/>
      <c r="P315" s="882"/>
      <c r="Q315" s="1162">
        <f t="shared" si="30"/>
        <v>10</v>
      </c>
      <c r="R315" s="882"/>
      <c r="S315" s="1269"/>
      <c r="T315" s="1254"/>
      <c r="U315" s="996" t="s">
        <v>10376</v>
      </c>
      <c r="V315" s="996"/>
      <c r="W315" s="992"/>
    </row>
    <row r="316" spans="1:23" ht="14.5" customHeight="1">
      <c r="C316" s="981" t="s">
        <v>5830</v>
      </c>
      <c r="D316" s="982" t="str">
        <f>IF(C316="","",CONCATENATE(LEFT(C316,4),MID(C316,6,2)))</f>
        <v>061101</v>
      </c>
      <c r="E316" s="983"/>
      <c r="F316" s="1017" t="str">
        <f t="shared" si="28"/>
        <v/>
      </c>
      <c r="G316" s="1101"/>
      <c r="H316" s="1102"/>
      <c r="I316" s="947" t="str">
        <f t="shared" si="26"/>
        <v/>
      </c>
      <c r="J316" s="984" t="s">
        <v>5831</v>
      </c>
      <c r="K316" s="897"/>
      <c r="L316" s="889"/>
      <c r="M316" s="889"/>
      <c r="N316" s="889"/>
      <c r="O316" s="889"/>
      <c r="P316" s="907">
        <f>SUM(Q317:Q325)</f>
        <v>0</v>
      </c>
      <c r="Q316" s="1160"/>
      <c r="R316" s="880"/>
      <c r="S316" s="1270"/>
      <c r="T316" s="880"/>
      <c r="U316" s="993"/>
      <c r="V316" s="993"/>
      <c r="W316" s="986"/>
    </row>
    <row r="317" spans="1:23" ht="14.5" customHeight="1">
      <c r="C317" s="994"/>
      <c r="D317" s="995" t="str">
        <f>IF(C317="","",CONCATENATE(LEFT(C317,4),MID(C317,6,2)))</f>
        <v/>
      </c>
      <c r="E317" s="989" t="s">
        <v>5832</v>
      </c>
      <c r="F317" s="988" t="str">
        <f t="shared" si="28"/>
        <v>0611011</v>
      </c>
      <c r="G317" s="1095" t="str">
        <f t="shared" ref="G317:G325" si="32">IF(F317="",G316,F317)</f>
        <v>0611011</v>
      </c>
      <c r="I317" s="944" t="str">
        <f t="shared" si="26"/>
        <v/>
      </c>
      <c r="J317" s="990" t="s">
        <v>10377</v>
      </c>
      <c r="K317" s="887"/>
      <c r="L317" s="882"/>
      <c r="M317" s="882"/>
      <c r="N317" s="882"/>
      <c r="O317" s="882"/>
      <c r="P317" s="882"/>
      <c r="Q317" s="1161">
        <f>SUM(Q318:Q319)</f>
        <v>0</v>
      </c>
      <c r="R317" s="882"/>
      <c r="S317" s="1269"/>
      <c r="T317" s="1254"/>
      <c r="U317" s="991" t="s">
        <v>10378</v>
      </c>
      <c r="V317" s="991"/>
      <c r="W317" s="992"/>
    </row>
    <row r="318" spans="1:23" ht="14.5" customHeight="1">
      <c r="C318" s="994"/>
      <c r="D318" s="995"/>
      <c r="E318" s="989"/>
      <c r="F318" s="988"/>
      <c r="G318" s="1095" t="str">
        <f>IF(F318="",G317,F318)</f>
        <v>0611011</v>
      </c>
      <c r="I318" s="944" t="str">
        <f t="shared" si="26"/>
        <v/>
      </c>
      <c r="J318" s="991" t="s">
        <v>10379</v>
      </c>
      <c r="K318" s="887"/>
      <c r="L318" s="882"/>
      <c r="M318" s="882"/>
      <c r="N318" s="882"/>
      <c r="O318" s="882"/>
      <c r="P318" s="882"/>
      <c r="Q318" s="1167">
        <v>0</v>
      </c>
      <c r="R318" s="882"/>
      <c r="S318" s="1269"/>
      <c r="T318" s="1254"/>
      <c r="U318" s="991"/>
      <c r="V318" s="991"/>
      <c r="W318" s="992" t="s">
        <v>10380</v>
      </c>
    </row>
    <row r="319" spans="1:23" ht="14.5" customHeight="1">
      <c r="C319" s="994"/>
      <c r="D319" s="995" t="str">
        <f>IF(C319="","",CONCATENATE(LEFT(C319,4),MID(C319,6,2)))</f>
        <v/>
      </c>
      <c r="E319" s="989"/>
      <c r="F319" s="988" t="str">
        <f>IF(E319="","",CONCATENATE(LEFT(E319,4),MID(E319,6,3)))</f>
        <v/>
      </c>
      <c r="G319" s="1095" t="str">
        <f>IF(F319="",G317,F319)</f>
        <v>0611011</v>
      </c>
      <c r="I319" s="944" t="str">
        <f t="shared" si="26"/>
        <v/>
      </c>
      <c r="J319" s="991" t="s">
        <v>10381</v>
      </c>
      <c r="K319" s="887"/>
      <c r="L319" s="882"/>
      <c r="M319" s="882"/>
      <c r="N319" s="882"/>
      <c r="O319" s="882"/>
      <c r="P319" s="882"/>
      <c r="Q319" s="1167">
        <v>0</v>
      </c>
      <c r="R319" s="882"/>
      <c r="S319" s="1269"/>
      <c r="T319" s="1254"/>
      <c r="U319" s="991"/>
      <c r="V319" s="991"/>
      <c r="W319" s="992" t="s">
        <v>10380</v>
      </c>
    </row>
    <row r="320" spans="1:23" ht="14.5" customHeight="1">
      <c r="C320" s="994"/>
      <c r="D320" s="995" t="str">
        <f>IF(C320="","",CONCATENATE(LEFT(C320,4),MID(C320,6,2)))</f>
        <v/>
      </c>
      <c r="E320" s="989" t="s">
        <v>5834</v>
      </c>
      <c r="F320" s="988" t="str">
        <f t="shared" si="28"/>
        <v>0611012</v>
      </c>
      <c r="G320" s="1095" t="str">
        <f t="shared" si="32"/>
        <v>0611012</v>
      </c>
      <c r="H320" s="1016" t="s">
        <v>7312</v>
      </c>
      <c r="I320" s="944" t="str">
        <f t="shared" si="26"/>
        <v>0611012001</v>
      </c>
      <c r="J320" s="990" t="s">
        <v>95</v>
      </c>
      <c r="K320" s="887"/>
      <c r="L320" s="882"/>
      <c r="M320" s="882"/>
      <c r="N320" s="882"/>
      <c r="O320" s="882"/>
      <c r="P320" s="882"/>
      <c r="Q320" s="1174">
        <v>0</v>
      </c>
      <c r="R320" s="882"/>
      <c r="S320" s="1269"/>
      <c r="T320" s="1254"/>
      <c r="U320" s="991" t="s">
        <v>10378</v>
      </c>
      <c r="V320" s="991"/>
      <c r="W320" s="992" t="s">
        <v>10380</v>
      </c>
    </row>
    <row r="321" spans="1:23" ht="14.5" customHeight="1">
      <c r="C321" s="994"/>
      <c r="D321" s="995" t="str">
        <f>IF(C321="","",CONCATENATE(LEFT(C321,4),MID(C321,6,2)))</f>
        <v/>
      </c>
      <c r="E321" s="989" t="s">
        <v>5835</v>
      </c>
      <c r="F321" s="988" t="str">
        <f>IF(E321="","",CONCATENATE(LEFT(E321,4),MID(E321,6,3)))</f>
        <v>0611013</v>
      </c>
      <c r="G321" s="1095" t="str">
        <f t="shared" si="32"/>
        <v>0611013</v>
      </c>
      <c r="I321" s="944" t="str">
        <f t="shared" si="26"/>
        <v/>
      </c>
      <c r="J321" s="990" t="s">
        <v>10382</v>
      </c>
      <c r="K321" s="887"/>
      <c r="L321" s="882"/>
      <c r="M321" s="882"/>
      <c r="N321" s="882"/>
      <c r="O321" s="882"/>
      <c r="P321" s="882"/>
      <c r="Q321" s="1161">
        <f>SUM(Q322:Q325)</f>
        <v>0</v>
      </c>
      <c r="R321" s="882"/>
      <c r="S321" s="1269"/>
      <c r="T321" s="1254"/>
      <c r="U321" s="991"/>
      <c r="V321" s="991"/>
      <c r="W321" s="992"/>
    </row>
    <row r="322" spans="1:23" ht="14.5" customHeight="1">
      <c r="C322" s="994"/>
      <c r="D322" s="995"/>
      <c r="E322" s="989"/>
      <c r="F322" s="988"/>
      <c r="G322" s="1095" t="str">
        <f>IF(F322="",G321,F322)</f>
        <v>0611013</v>
      </c>
      <c r="H322" s="1016" t="s">
        <v>7312</v>
      </c>
      <c r="I322" s="944" t="str">
        <f t="shared" si="26"/>
        <v>0611013001</v>
      </c>
      <c r="J322" s="991" t="s">
        <v>10383</v>
      </c>
      <c r="K322" s="887"/>
      <c r="L322" s="882"/>
      <c r="M322" s="882"/>
      <c r="N322" s="882"/>
      <c r="O322" s="882"/>
      <c r="P322" s="882"/>
      <c r="Q322" s="1167">
        <v>0</v>
      </c>
      <c r="R322" s="882"/>
      <c r="S322" s="1269"/>
      <c r="T322" s="1254"/>
      <c r="U322" s="991"/>
      <c r="V322" s="991"/>
      <c r="W322" s="992" t="s">
        <v>10380</v>
      </c>
    </row>
    <row r="323" spans="1:23" ht="14.5" customHeight="1">
      <c r="C323" s="994"/>
      <c r="D323" s="995" t="str">
        <f>IF(C323="","",CONCATENATE(LEFT(C323,4),MID(C323,6,2)))</f>
        <v/>
      </c>
      <c r="E323" s="989"/>
      <c r="F323" s="988" t="str">
        <f>IF(E323="","",CONCATENATE(LEFT(E323,4),MID(E323,6,3)))</f>
        <v/>
      </c>
      <c r="G323" s="1095" t="str">
        <f>IF(F323="",G321,F323)</f>
        <v>0611013</v>
      </c>
      <c r="H323" s="1016" t="s">
        <v>7203</v>
      </c>
      <c r="I323" s="944" t="str">
        <f t="shared" si="26"/>
        <v>0611013002</v>
      </c>
      <c r="J323" s="991" t="s">
        <v>10384</v>
      </c>
      <c r="K323" s="887"/>
      <c r="L323" s="882"/>
      <c r="M323" s="882"/>
      <c r="N323" s="882"/>
      <c r="O323" s="882"/>
      <c r="P323" s="882"/>
      <c r="Q323" s="1167">
        <v>0</v>
      </c>
      <c r="R323" s="882"/>
      <c r="S323" s="1269"/>
      <c r="T323" s="1254"/>
      <c r="U323" s="991"/>
      <c r="V323" s="991"/>
      <c r="W323" s="992" t="s">
        <v>10380</v>
      </c>
    </row>
    <row r="324" spans="1:23" ht="14.5" customHeight="1">
      <c r="C324" s="994"/>
      <c r="D324" s="995" t="str">
        <f>IF(C324="","",CONCATENATE(LEFT(C324,4),MID(C324,6,2)))</f>
        <v/>
      </c>
      <c r="E324" s="989"/>
      <c r="F324" s="988" t="str">
        <f>IF(E324="","",CONCATENATE(LEFT(E324,4),MID(E324,6,3)))</f>
        <v/>
      </c>
      <c r="G324" s="1095" t="str">
        <f t="shared" si="32"/>
        <v>0611013</v>
      </c>
      <c r="H324" s="1016" t="s">
        <v>7205</v>
      </c>
      <c r="I324" s="944" t="str">
        <f t="shared" si="26"/>
        <v>0611013003</v>
      </c>
      <c r="J324" s="991" t="s">
        <v>10385</v>
      </c>
      <c r="K324" s="887"/>
      <c r="L324" s="882"/>
      <c r="M324" s="882"/>
      <c r="N324" s="882"/>
      <c r="O324" s="882"/>
      <c r="P324" s="882"/>
      <c r="Q324" s="1167">
        <v>0</v>
      </c>
      <c r="R324" s="882"/>
      <c r="S324" s="1269"/>
      <c r="T324" s="1254"/>
      <c r="U324" s="991"/>
      <c r="V324" s="991"/>
      <c r="W324" s="992" t="s">
        <v>10380</v>
      </c>
    </row>
    <row r="325" spans="1:23" ht="14.5" customHeight="1">
      <c r="C325" s="1015"/>
      <c r="D325" s="1018" t="str">
        <f>IF(C325="","",CONCATENATE(LEFT(C325,4),MID(C325,6,2)))</f>
        <v/>
      </c>
      <c r="E325" s="1000"/>
      <c r="F325" s="999" t="str">
        <f t="shared" si="28"/>
        <v/>
      </c>
      <c r="G325" s="1104" t="str">
        <f t="shared" si="32"/>
        <v>0611013</v>
      </c>
      <c r="H325" s="1005" t="s">
        <v>7207</v>
      </c>
      <c r="I325" s="1002" t="str">
        <f t="shared" si="26"/>
        <v>0611013004</v>
      </c>
      <c r="J325" s="978" t="s">
        <v>10386</v>
      </c>
      <c r="K325" s="908"/>
      <c r="L325" s="900"/>
      <c r="M325" s="900"/>
      <c r="N325" s="900"/>
      <c r="O325" s="900"/>
      <c r="P325" s="900"/>
      <c r="Q325" s="1170">
        <v>0</v>
      </c>
      <c r="R325" s="900"/>
      <c r="S325" s="1272"/>
      <c r="T325" s="900"/>
      <c r="U325" s="978"/>
      <c r="V325" s="978"/>
      <c r="W325" s="1003" t="s">
        <v>10380</v>
      </c>
    </row>
    <row r="326" spans="1:23" ht="14.5" customHeight="1">
      <c r="C326" s="994" t="s">
        <v>5836</v>
      </c>
      <c r="D326" s="988" t="str">
        <f>IF(C326="","",CONCATENATE(LEFT(C326,4),MID(C326,6,2)))</f>
        <v>062101</v>
      </c>
      <c r="E326" s="989" t="s">
        <v>5837</v>
      </c>
      <c r="F326" s="988" t="str">
        <f t="shared" si="28"/>
        <v>0621011</v>
      </c>
      <c r="G326" s="1095" t="str">
        <f>IF(F326="",G325,F326)</f>
        <v>0621011</v>
      </c>
      <c r="I326" s="944" t="str">
        <f t="shared" si="26"/>
        <v/>
      </c>
      <c r="J326" s="990" t="s">
        <v>5838</v>
      </c>
      <c r="K326" s="886"/>
      <c r="L326" s="886"/>
      <c r="M326" s="886"/>
      <c r="N326" s="886"/>
      <c r="O326" s="886"/>
      <c r="P326" s="896">
        <f>Q326</f>
        <v>5766</v>
      </c>
      <c r="Q326" s="1180">
        <f>ROUND(SUM(Q327:Q334),0)</f>
        <v>5766</v>
      </c>
      <c r="R326" s="882"/>
      <c r="S326" s="1269"/>
      <c r="T326" s="1254"/>
      <c r="U326" s="996"/>
      <c r="V326" s="996"/>
      <c r="W326" s="992"/>
    </row>
    <row r="327" spans="1:23" ht="14.5" customHeight="1">
      <c r="C327" s="994"/>
      <c r="E327" s="989"/>
      <c r="F327" s="988"/>
      <c r="G327" s="1095" t="str">
        <f t="shared" ref="G327:G334" si="33">IF(F327="",G326,F327)</f>
        <v>0621011</v>
      </c>
      <c r="H327" s="1016" t="s">
        <v>7312</v>
      </c>
      <c r="I327" s="944" t="str">
        <f t="shared" si="26"/>
        <v>0621011001</v>
      </c>
      <c r="J327" s="991" t="s">
        <v>10387</v>
      </c>
      <c r="K327" s="886">
        <v>21235</v>
      </c>
      <c r="L327" s="886"/>
      <c r="M327" s="886">
        <v>20967.91</v>
      </c>
      <c r="N327" s="886"/>
      <c r="O327" s="886"/>
      <c r="P327" s="896"/>
      <c r="Q327" s="1167">
        <v>1332.77</v>
      </c>
      <c r="R327" s="882"/>
      <c r="S327" s="1269"/>
      <c r="T327" s="1254"/>
      <c r="U327" s="996" t="s">
        <v>10378</v>
      </c>
      <c r="V327" s="996"/>
      <c r="W327" s="992"/>
    </row>
    <row r="328" spans="1:23" ht="14.5" customHeight="1">
      <c r="C328" s="994"/>
      <c r="E328" s="989"/>
      <c r="F328" s="988"/>
      <c r="G328" s="1095" t="str">
        <f t="shared" si="33"/>
        <v>0621011</v>
      </c>
      <c r="H328" s="1016" t="s">
        <v>7203</v>
      </c>
      <c r="I328" s="944" t="str">
        <f t="shared" si="26"/>
        <v>0621011002</v>
      </c>
      <c r="J328" s="991" t="s">
        <v>10388</v>
      </c>
      <c r="K328" s="886">
        <v>1876.6</v>
      </c>
      <c r="L328" s="886"/>
      <c r="M328" s="886">
        <v>1875.73</v>
      </c>
      <c r="N328" s="886"/>
      <c r="O328" s="886"/>
      <c r="P328" s="896"/>
      <c r="Q328" s="1167">
        <v>276.3</v>
      </c>
      <c r="R328" s="882"/>
      <c r="S328" s="1269"/>
      <c r="T328" s="1254"/>
      <c r="U328" s="996" t="s">
        <v>10389</v>
      </c>
      <c r="V328" s="996"/>
      <c r="W328" s="992"/>
    </row>
    <row r="329" spans="1:23" ht="14.5" customHeight="1">
      <c r="C329" s="994"/>
      <c r="E329" s="989"/>
      <c r="F329" s="988"/>
      <c r="G329" s="1095" t="str">
        <f t="shared" si="33"/>
        <v>0621011</v>
      </c>
      <c r="H329" s="1016" t="s">
        <v>7205</v>
      </c>
      <c r="I329" s="944" t="str">
        <f t="shared" si="26"/>
        <v>0621011003</v>
      </c>
      <c r="J329" s="991" t="s">
        <v>10390</v>
      </c>
      <c r="K329" s="886">
        <v>16112.9</v>
      </c>
      <c r="L329" s="886"/>
      <c r="M329" s="886">
        <v>16054.64</v>
      </c>
      <c r="N329" s="886"/>
      <c r="O329" s="886"/>
      <c r="P329" s="896"/>
      <c r="Q329" s="1167">
        <v>466.81</v>
      </c>
      <c r="R329" s="882"/>
      <c r="S329" s="1269"/>
      <c r="T329" s="1254"/>
      <c r="U329" s="996" t="s">
        <v>10389</v>
      </c>
      <c r="V329" s="996"/>
      <c r="W329" s="992"/>
    </row>
    <row r="330" spans="1:23" ht="14.5" customHeight="1">
      <c r="C330" s="994"/>
      <c r="E330" s="989"/>
      <c r="F330" s="988"/>
      <c r="G330" s="1095" t="str">
        <f t="shared" si="33"/>
        <v>0621011</v>
      </c>
      <c r="H330" s="1016" t="s">
        <v>7207</v>
      </c>
      <c r="I330" s="944" t="str">
        <f t="shared" si="26"/>
        <v>0621011004</v>
      </c>
      <c r="J330" s="991" t="s">
        <v>10391</v>
      </c>
      <c r="K330" s="886">
        <v>2139.4</v>
      </c>
      <c r="L330" s="886"/>
      <c r="M330" s="886">
        <v>2081.13</v>
      </c>
      <c r="N330" s="886"/>
      <c r="O330" s="886"/>
      <c r="P330" s="896"/>
      <c r="Q330" s="1167">
        <v>0</v>
      </c>
      <c r="R330" s="882"/>
      <c r="S330" s="1269"/>
      <c r="T330" s="1254"/>
      <c r="U330" s="996" t="s">
        <v>10389</v>
      </c>
      <c r="V330" s="996"/>
      <c r="W330" s="992" t="s">
        <v>10380</v>
      </c>
    </row>
    <row r="331" spans="1:23" ht="14.5" customHeight="1">
      <c r="C331" s="994"/>
      <c r="E331" s="989"/>
      <c r="F331" s="988"/>
      <c r="G331" s="1095" t="str">
        <f t="shared" si="33"/>
        <v>0621011</v>
      </c>
      <c r="H331" s="1016" t="s">
        <v>10392</v>
      </c>
      <c r="I331" s="944" t="str">
        <f t="shared" si="26"/>
        <v>0621011005</v>
      </c>
      <c r="J331" s="991" t="s">
        <v>10393</v>
      </c>
      <c r="K331" s="886">
        <v>19880</v>
      </c>
      <c r="L331" s="886"/>
      <c r="M331" s="886">
        <v>19892.32</v>
      </c>
      <c r="N331" s="886"/>
      <c r="O331" s="886"/>
      <c r="P331" s="896"/>
      <c r="Q331" s="1167">
        <v>0</v>
      </c>
      <c r="R331" s="882"/>
      <c r="S331" s="1269"/>
      <c r="T331" s="1254"/>
      <c r="U331" s="996" t="s">
        <v>10389</v>
      </c>
      <c r="V331" s="996"/>
      <c r="W331" s="992" t="s">
        <v>10380</v>
      </c>
    </row>
    <row r="332" spans="1:23" ht="14.5" customHeight="1">
      <c r="C332" s="994"/>
      <c r="E332" s="989"/>
      <c r="F332" s="988"/>
      <c r="G332" s="1095" t="str">
        <f t="shared" si="33"/>
        <v>0621011</v>
      </c>
      <c r="H332" s="1016" t="s">
        <v>10394</v>
      </c>
      <c r="I332" s="944" t="str">
        <f t="shared" si="26"/>
        <v>0621011006</v>
      </c>
      <c r="J332" s="991" t="s">
        <v>10395</v>
      </c>
      <c r="K332" s="886">
        <v>3357.5</v>
      </c>
      <c r="L332" s="886"/>
      <c r="M332" s="886">
        <v>2598.77</v>
      </c>
      <c r="N332" s="886"/>
      <c r="O332" s="886"/>
      <c r="P332" s="896"/>
      <c r="Q332" s="1167">
        <v>0</v>
      </c>
      <c r="R332" s="882"/>
      <c r="S332" s="1269"/>
      <c r="T332" s="1254"/>
      <c r="U332" s="996" t="s">
        <v>10389</v>
      </c>
      <c r="V332" s="996"/>
      <c r="W332" s="992" t="s">
        <v>10380</v>
      </c>
    </row>
    <row r="333" spans="1:23" ht="14.5" customHeight="1">
      <c r="C333" s="994"/>
      <c r="E333" s="989"/>
      <c r="F333" s="988"/>
      <c r="G333" s="1095" t="str">
        <f t="shared" si="33"/>
        <v>0621011</v>
      </c>
      <c r="H333" s="1016" t="s">
        <v>10396</v>
      </c>
      <c r="I333" s="944" t="str">
        <f t="shared" si="26"/>
        <v>0621011007</v>
      </c>
      <c r="J333" s="991" t="s">
        <v>10397</v>
      </c>
      <c r="K333" s="886">
        <v>116997.9</v>
      </c>
      <c r="L333" s="886"/>
      <c r="M333" s="886">
        <v>114553.65</v>
      </c>
      <c r="N333" s="886"/>
      <c r="O333" s="886"/>
      <c r="P333" s="896"/>
      <c r="Q333" s="1167">
        <v>3119.14</v>
      </c>
      <c r="R333" s="882"/>
      <c r="S333" s="1269"/>
      <c r="T333" s="1254"/>
      <c r="U333" s="996" t="s">
        <v>10389</v>
      </c>
      <c r="V333" s="996"/>
      <c r="W333" s="992"/>
    </row>
    <row r="334" spans="1:23" ht="14.5" customHeight="1">
      <c r="C334" s="1015"/>
      <c r="D334" s="999"/>
      <c r="E334" s="1000"/>
      <c r="F334" s="999"/>
      <c r="G334" s="1104" t="str">
        <f t="shared" si="33"/>
        <v>0621011</v>
      </c>
      <c r="H334" s="1005" t="s">
        <v>10398</v>
      </c>
      <c r="I334" s="1002" t="str">
        <f t="shared" si="26"/>
        <v>0621011008</v>
      </c>
      <c r="J334" s="978" t="s">
        <v>10399</v>
      </c>
      <c r="K334" s="893">
        <v>26934.7</v>
      </c>
      <c r="L334" s="893"/>
      <c r="M334" s="893">
        <f>26750.64+34.89</f>
        <v>26785.53</v>
      </c>
      <c r="N334" s="893"/>
      <c r="O334" s="893"/>
      <c r="P334" s="888"/>
      <c r="Q334" s="1170">
        <v>570.99</v>
      </c>
      <c r="R334" s="900"/>
      <c r="S334" s="1272"/>
      <c r="T334" s="900"/>
      <c r="U334" s="1006" t="s">
        <v>10389</v>
      </c>
      <c r="V334" s="1006"/>
      <c r="W334" s="1003"/>
    </row>
    <row r="335" spans="1:23" ht="14.5" customHeight="1">
      <c r="C335" s="994" t="s">
        <v>5846</v>
      </c>
      <c r="D335" s="988" t="str">
        <f>IF(C335="","",CONCATENATE(LEFT(C335,4),MID(C335,6,2)))</f>
        <v>062909</v>
      </c>
      <c r="E335" s="989"/>
      <c r="F335" s="995" t="str">
        <f t="shared" si="28"/>
        <v/>
      </c>
      <c r="G335" s="1106"/>
      <c r="I335" s="944" t="str">
        <f t="shared" si="26"/>
        <v/>
      </c>
      <c r="J335" s="990" t="s">
        <v>5847</v>
      </c>
      <c r="K335" s="882"/>
      <c r="L335" s="882"/>
      <c r="M335" s="882"/>
      <c r="N335" s="882"/>
      <c r="O335" s="882"/>
      <c r="P335" s="906">
        <f>Q336+Q338+SUM(Q341:Q343)</f>
        <v>805</v>
      </c>
      <c r="Q335" s="1171"/>
      <c r="R335" s="882"/>
      <c r="S335" s="1269"/>
      <c r="T335" s="1254"/>
      <c r="U335" s="991"/>
      <c r="V335" s="991"/>
      <c r="W335" s="992"/>
    </row>
    <row r="336" spans="1:23" ht="14.5" customHeight="1">
      <c r="A336" s="1034"/>
      <c r="B336" s="1034"/>
      <c r="C336" s="994"/>
      <c r="D336" s="995" t="str">
        <f>IF(C336="","",CONCATENATE(LEFT(C336,4),MID(C336,6,2)))</f>
        <v/>
      </c>
      <c r="E336" s="989" t="s">
        <v>5848</v>
      </c>
      <c r="F336" s="988" t="str">
        <f t="shared" si="28"/>
        <v>0629091</v>
      </c>
      <c r="G336" s="1095" t="str">
        <f t="shared" ref="G336:G373" si="34">IF(F336="",G335,F336)</f>
        <v>0629091</v>
      </c>
      <c r="I336" s="944" t="str">
        <f t="shared" si="26"/>
        <v/>
      </c>
      <c r="J336" s="990" t="s">
        <v>10400</v>
      </c>
      <c r="K336" s="882"/>
      <c r="L336" s="882"/>
      <c r="M336" s="882"/>
      <c r="N336" s="882"/>
      <c r="O336" s="882"/>
      <c r="P336" s="882"/>
      <c r="Q336" s="1161">
        <f>ROUND(SUM(Q337),0)</f>
        <v>0</v>
      </c>
      <c r="R336" s="882"/>
      <c r="S336" s="1269"/>
      <c r="T336" s="1254"/>
      <c r="U336" s="991"/>
      <c r="V336" s="991"/>
      <c r="W336" s="992"/>
    </row>
    <row r="337" spans="1:23" ht="14.5" customHeight="1">
      <c r="A337" s="1034"/>
      <c r="B337" s="1034"/>
      <c r="C337" s="994"/>
      <c r="D337" s="995"/>
      <c r="E337" s="989"/>
      <c r="F337" s="988" t="str">
        <f t="shared" si="28"/>
        <v/>
      </c>
      <c r="G337" s="1095" t="str">
        <f t="shared" si="34"/>
        <v>0629091</v>
      </c>
      <c r="H337" s="1016" t="s">
        <v>7312</v>
      </c>
      <c r="I337" s="944" t="str">
        <f t="shared" si="26"/>
        <v>0629091001</v>
      </c>
      <c r="J337" s="991" t="s">
        <v>10401</v>
      </c>
      <c r="K337" s="882"/>
      <c r="L337" s="882"/>
      <c r="M337" s="882"/>
      <c r="N337" s="882"/>
      <c r="O337" s="882"/>
      <c r="P337" s="882"/>
      <c r="Q337" s="1167">
        <v>0</v>
      </c>
      <c r="R337" s="882"/>
      <c r="S337" s="1269"/>
      <c r="T337" s="1254"/>
      <c r="U337" s="991" t="s">
        <v>10378</v>
      </c>
      <c r="V337" s="996"/>
      <c r="W337" s="992" t="s">
        <v>10380</v>
      </c>
    </row>
    <row r="338" spans="1:23" ht="14.5" customHeight="1">
      <c r="A338" s="1034"/>
      <c r="B338" s="1034"/>
      <c r="C338" s="994"/>
      <c r="D338" s="995" t="str">
        <f>IF(C338="","",CONCATENATE(LEFT(C338,4),MID(C338,6,2)))</f>
        <v/>
      </c>
      <c r="E338" s="989" t="s">
        <v>5849</v>
      </c>
      <c r="F338" s="988" t="str">
        <f t="shared" si="28"/>
        <v>0629092</v>
      </c>
      <c r="G338" s="1095" t="str">
        <f t="shared" si="34"/>
        <v>0629092</v>
      </c>
      <c r="I338" s="944" t="str">
        <f t="shared" si="26"/>
        <v/>
      </c>
      <c r="J338" s="990" t="s">
        <v>10402</v>
      </c>
      <c r="K338" s="882"/>
      <c r="L338" s="882"/>
      <c r="M338" s="882"/>
      <c r="N338" s="882"/>
      <c r="O338" s="882"/>
      <c r="P338" s="882"/>
      <c r="Q338" s="1161">
        <f>ROUND(SUM(Q339:Q340),0)</f>
        <v>0</v>
      </c>
      <c r="R338" s="882"/>
      <c r="S338" s="1269"/>
      <c r="T338" s="1254"/>
      <c r="U338" s="991"/>
      <c r="V338" s="1006"/>
      <c r="W338" s="992"/>
    </row>
    <row r="339" spans="1:23" ht="14.5" customHeight="1">
      <c r="A339" s="1034"/>
      <c r="B339" s="1034"/>
      <c r="C339" s="994"/>
      <c r="D339" s="995"/>
      <c r="E339" s="989"/>
      <c r="F339" s="988" t="str">
        <f t="shared" si="28"/>
        <v/>
      </c>
      <c r="G339" s="1095" t="str">
        <f t="shared" si="34"/>
        <v>0629092</v>
      </c>
      <c r="H339" s="1016" t="s">
        <v>7312</v>
      </c>
      <c r="I339" s="944" t="str">
        <f t="shared" si="26"/>
        <v>0629092001</v>
      </c>
      <c r="J339" s="991" t="s">
        <v>10403</v>
      </c>
      <c r="K339" s="882"/>
      <c r="L339" s="882"/>
      <c r="M339" s="882"/>
      <c r="N339" s="882"/>
      <c r="O339" s="882"/>
      <c r="P339" s="882"/>
      <c r="Q339" s="1167">
        <v>0</v>
      </c>
      <c r="R339" s="882"/>
      <c r="S339" s="1269"/>
      <c r="T339" s="1254"/>
      <c r="U339" s="991" t="s">
        <v>10389</v>
      </c>
      <c r="V339" s="1006"/>
      <c r="W339" s="992" t="s">
        <v>10380</v>
      </c>
    </row>
    <row r="340" spans="1:23" ht="14.5" customHeight="1">
      <c r="A340" s="1034"/>
      <c r="B340" s="1034"/>
      <c r="C340" s="994"/>
      <c r="D340" s="995" t="str">
        <f>IF(C340="","",CONCATENATE(LEFT(C340,4),MID(C340,6,2)))</f>
        <v/>
      </c>
      <c r="E340" s="989"/>
      <c r="F340" s="988" t="str">
        <f t="shared" si="28"/>
        <v/>
      </c>
      <c r="G340" s="1095" t="str">
        <f t="shared" si="34"/>
        <v>0629092</v>
      </c>
      <c r="H340" s="1016" t="s">
        <v>7203</v>
      </c>
      <c r="I340" s="944" t="str">
        <f t="shared" si="26"/>
        <v>0629092002</v>
      </c>
      <c r="J340" s="991" t="s">
        <v>10404</v>
      </c>
      <c r="K340" s="882"/>
      <c r="L340" s="882"/>
      <c r="M340" s="882"/>
      <c r="N340" s="882"/>
      <c r="O340" s="882"/>
      <c r="P340" s="882"/>
      <c r="Q340" s="1167">
        <v>0</v>
      </c>
      <c r="R340" s="882"/>
      <c r="S340" s="1269"/>
      <c r="T340" s="1254"/>
      <c r="U340" s="991" t="s">
        <v>10389</v>
      </c>
      <c r="V340" s="1006"/>
      <c r="W340" s="992" t="s">
        <v>10380</v>
      </c>
    </row>
    <row r="341" spans="1:23" ht="14.5" customHeight="1">
      <c r="C341" s="994"/>
      <c r="D341" s="995" t="str">
        <f>IF(C341="","",CONCATENATE(LEFT(C341,4),MID(C341,6,2)))</f>
        <v/>
      </c>
      <c r="E341" s="989" t="s">
        <v>5850</v>
      </c>
      <c r="F341" s="988" t="str">
        <f t="shared" si="28"/>
        <v>0629093</v>
      </c>
      <c r="G341" s="1095" t="str">
        <f>IF(F341="",#REF!,F341)</f>
        <v>0629093</v>
      </c>
      <c r="H341" s="1016" t="s">
        <v>7312</v>
      </c>
      <c r="I341" s="944" t="str">
        <f t="shared" si="26"/>
        <v>0629093001</v>
      </c>
      <c r="J341" s="990" t="s">
        <v>107</v>
      </c>
      <c r="K341" s="882"/>
      <c r="L341" s="882"/>
      <c r="M341" s="882"/>
      <c r="N341" s="882"/>
      <c r="O341" s="882"/>
      <c r="P341" s="882"/>
      <c r="Q341" s="1174">
        <v>0</v>
      </c>
      <c r="R341" s="882"/>
      <c r="S341" s="1269"/>
      <c r="T341" s="1254"/>
      <c r="U341" s="991" t="s">
        <v>10389</v>
      </c>
      <c r="V341" s="991"/>
      <c r="W341" s="992" t="s">
        <v>10380</v>
      </c>
    </row>
    <row r="342" spans="1:23" ht="14.5" customHeight="1">
      <c r="C342" s="994"/>
      <c r="D342" s="995" t="str">
        <f>IF(C342="","",CONCATENATE(LEFT(C342,4),MID(C342,6,2)))</f>
        <v/>
      </c>
      <c r="E342" s="989" t="s">
        <v>5851</v>
      </c>
      <c r="F342" s="988" t="str">
        <f t="shared" si="28"/>
        <v>0629094</v>
      </c>
      <c r="G342" s="1095" t="str">
        <f t="shared" si="34"/>
        <v>0629094</v>
      </c>
      <c r="I342" s="944" t="str">
        <f t="shared" si="26"/>
        <v/>
      </c>
      <c r="J342" s="990" t="s">
        <v>5852</v>
      </c>
      <c r="K342" s="882">
        <v>25474</v>
      </c>
      <c r="L342" s="882"/>
      <c r="M342" s="882">
        <v>11966.76</v>
      </c>
      <c r="N342" s="882"/>
      <c r="O342" s="882"/>
      <c r="P342" s="882"/>
      <c r="Q342" s="1174">
        <v>747</v>
      </c>
      <c r="R342" s="882"/>
      <c r="S342" s="1269"/>
      <c r="T342" s="1254"/>
      <c r="U342" s="991" t="s">
        <v>10389</v>
      </c>
      <c r="V342" s="991"/>
      <c r="W342" s="992"/>
    </row>
    <row r="343" spans="1:23" ht="14.5" customHeight="1">
      <c r="C343" s="987"/>
      <c r="E343" s="989" t="s">
        <v>5853</v>
      </c>
      <c r="F343" s="988" t="str">
        <f t="shared" si="28"/>
        <v>0629099</v>
      </c>
      <c r="G343" s="1095" t="str">
        <f t="shared" si="34"/>
        <v>0629099</v>
      </c>
      <c r="I343" s="944" t="str">
        <f t="shared" si="26"/>
        <v/>
      </c>
      <c r="J343" s="990" t="s">
        <v>5854</v>
      </c>
      <c r="K343" s="873">
        <v>6629</v>
      </c>
      <c r="L343" s="886"/>
      <c r="M343" s="886">
        <v>6661.5</v>
      </c>
      <c r="N343" s="886"/>
      <c r="O343" s="886"/>
      <c r="P343" s="886"/>
      <c r="Q343" s="1174">
        <v>58</v>
      </c>
      <c r="R343" s="882"/>
      <c r="S343" s="1269"/>
      <c r="T343" s="1254"/>
      <c r="U343" s="996" t="s">
        <v>10122</v>
      </c>
      <c r="V343" s="996"/>
      <c r="W343" s="992"/>
    </row>
    <row r="344" spans="1:23" ht="14.5" customHeight="1">
      <c r="C344" s="981" t="s">
        <v>5855</v>
      </c>
      <c r="D344" s="982" t="str">
        <f t="shared" ref="D344:D407" si="35">IF(C344="","",CONCATENATE(LEFT(C344,4),MID(C344,6,2)))</f>
        <v>111101</v>
      </c>
      <c r="E344" s="983" t="s">
        <v>10405</v>
      </c>
      <c r="F344" s="982" t="str">
        <f t="shared" si="28"/>
        <v>1111011</v>
      </c>
      <c r="G344" s="1103" t="str">
        <f t="shared" si="34"/>
        <v>1111011</v>
      </c>
      <c r="H344" s="1102"/>
      <c r="I344" s="947" t="str">
        <f t="shared" si="26"/>
        <v/>
      </c>
      <c r="J344" s="984" t="s">
        <v>5856</v>
      </c>
      <c r="K344" s="889"/>
      <c r="L344" s="889"/>
      <c r="M344" s="889"/>
      <c r="N344" s="889"/>
      <c r="O344" s="889"/>
      <c r="P344" s="881">
        <f>Q344</f>
        <v>87996</v>
      </c>
      <c r="Q344" s="1160">
        <f>Q345+Q359+Q360+Q364+Q367</f>
        <v>87996</v>
      </c>
      <c r="R344" s="880"/>
      <c r="S344" s="1270"/>
      <c r="T344" s="880"/>
      <c r="U344" s="993"/>
      <c r="V344" s="993"/>
      <c r="W344" s="986"/>
    </row>
    <row r="345" spans="1:23" ht="14.5" customHeight="1">
      <c r="C345" s="994"/>
      <c r="D345" s="988" t="str">
        <f t="shared" si="35"/>
        <v/>
      </c>
      <c r="E345" s="989"/>
      <c r="F345" s="988" t="str">
        <f t="shared" si="28"/>
        <v/>
      </c>
      <c r="G345" s="1095" t="str">
        <f t="shared" si="34"/>
        <v>1111011</v>
      </c>
      <c r="I345" s="944" t="str">
        <f t="shared" si="26"/>
        <v/>
      </c>
      <c r="J345" s="991" t="s">
        <v>10406</v>
      </c>
      <c r="K345" s="886">
        <f>SUM(K346:K358)</f>
        <v>1028052.0000000001</v>
      </c>
      <c r="L345" s="886"/>
      <c r="M345" s="886"/>
      <c r="N345" s="886"/>
      <c r="O345" s="886"/>
      <c r="P345" s="886"/>
      <c r="Q345" s="1171">
        <f>SUM(Q346:Q358)</f>
        <v>70696</v>
      </c>
      <c r="R345" s="882" t="s">
        <v>10407</v>
      </c>
      <c r="S345" s="1269"/>
      <c r="T345" s="1254"/>
      <c r="U345" s="996" t="s">
        <v>10408</v>
      </c>
      <c r="V345" s="996"/>
      <c r="W345" s="992" t="s">
        <v>10409</v>
      </c>
    </row>
    <row r="346" spans="1:23" ht="14.5" customHeight="1">
      <c r="C346" s="987"/>
      <c r="D346" s="988" t="str">
        <f t="shared" si="35"/>
        <v/>
      </c>
      <c r="F346" s="988" t="str">
        <f t="shared" si="28"/>
        <v/>
      </c>
      <c r="G346" s="1095" t="str">
        <f>IF(F346="",G345,F346)</f>
        <v>1111011</v>
      </c>
      <c r="H346" s="1016" t="s">
        <v>575</v>
      </c>
      <c r="I346" s="944" t="str">
        <f t="shared" si="26"/>
        <v>1111011101</v>
      </c>
      <c r="J346" s="991" t="s">
        <v>5859</v>
      </c>
      <c r="K346" s="890">
        <v>240574.7</v>
      </c>
      <c r="L346" s="886"/>
      <c r="M346" s="886"/>
      <c r="N346" s="890">
        <v>9892.9</v>
      </c>
      <c r="O346" s="890">
        <f>ROUND(2511*1.136,0)</f>
        <v>2852</v>
      </c>
      <c r="P346" s="886"/>
      <c r="Q346" s="1162">
        <f>ROUND(N346*O346/1000,0)</f>
        <v>28215</v>
      </c>
      <c r="R346" s="882"/>
      <c r="S346" s="1269"/>
      <c r="T346" s="1254"/>
      <c r="U346" s="996"/>
      <c r="V346" s="996" t="s">
        <v>10278</v>
      </c>
      <c r="W346" s="992" t="s">
        <v>10410</v>
      </c>
    </row>
    <row r="347" spans="1:23" ht="14.5" customHeight="1">
      <c r="A347" s="1034"/>
      <c r="B347" s="1034"/>
      <c r="C347" s="987"/>
      <c r="D347" s="988" t="str">
        <f t="shared" si="35"/>
        <v/>
      </c>
      <c r="F347" s="988" t="str">
        <f t="shared" si="28"/>
        <v/>
      </c>
      <c r="G347" s="1095" t="str">
        <f t="shared" si="34"/>
        <v>1111011</v>
      </c>
      <c r="H347" s="1016" t="s">
        <v>5359</v>
      </c>
      <c r="I347" s="944" t="str">
        <f t="shared" si="26"/>
        <v>1111011102</v>
      </c>
      <c r="J347" s="991" t="s">
        <v>5860</v>
      </c>
      <c r="K347" s="890">
        <v>395796.5</v>
      </c>
      <c r="L347" s="886"/>
      <c r="M347" s="886"/>
      <c r="N347" s="890">
        <v>8234.1</v>
      </c>
      <c r="O347" s="890">
        <f>ROUND(2984*1.136,0)</f>
        <v>3390</v>
      </c>
      <c r="P347" s="886"/>
      <c r="Q347" s="1162">
        <f>ROUND(N347*O347/1000,0)</f>
        <v>27914</v>
      </c>
      <c r="R347" s="882"/>
      <c r="S347" s="1269"/>
      <c r="T347" s="1254"/>
      <c r="U347" s="996"/>
      <c r="V347" s="996" t="s">
        <v>10278</v>
      </c>
      <c r="W347" s="992" t="s">
        <v>10411</v>
      </c>
    </row>
    <row r="348" spans="1:23" ht="14.5" customHeight="1">
      <c r="A348" s="1034"/>
      <c r="B348" s="1034"/>
      <c r="C348" s="987"/>
      <c r="D348" s="988" t="str">
        <f t="shared" si="35"/>
        <v/>
      </c>
      <c r="F348" s="988" t="str">
        <f t="shared" si="28"/>
        <v/>
      </c>
      <c r="G348" s="1095" t="str">
        <f t="shared" si="34"/>
        <v>1111011</v>
      </c>
      <c r="H348" s="1016" t="s">
        <v>5361</v>
      </c>
      <c r="I348" s="944" t="str">
        <f t="shared" si="26"/>
        <v>1111011103</v>
      </c>
      <c r="J348" s="991" t="s">
        <v>5861</v>
      </c>
      <c r="K348" s="890">
        <v>106.8</v>
      </c>
      <c r="L348" s="886"/>
      <c r="M348" s="873"/>
      <c r="N348" s="890">
        <v>2.5</v>
      </c>
      <c r="O348" s="890">
        <f>ROUND(593*1.136,0)</f>
        <v>674</v>
      </c>
      <c r="P348" s="886"/>
      <c r="Q348" s="1162">
        <f>ROUND(N348*O348/1000,0)</f>
        <v>2</v>
      </c>
      <c r="R348" s="882"/>
      <c r="S348" s="1269"/>
      <c r="T348" s="1254"/>
      <c r="U348" s="996"/>
      <c r="V348" s="996" t="s">
        <v>10278</v>
      </c>
      <c r="W348" s="992" t="s">
        <v>10412</v>
      </c>
    </row>
    <row r="349" spans="1:23" ht="14.5" customHeight="1">
      <c r="A349" s="1034"/>
      <c r="B349" s="1034"/>
      <c r="C349" s="987"/>
      <c r="D349" s="988" t="str">
        <f t="shared" si="35"/>
        <v/>
      </c>
      <c r="F349" s="988" t="str">
        <f t="shared" si="28"/>
        <v/>
      </c>
      <c r="G349" s="1095" t="str">
        <f t="shared" si="34"/>
        <v>1111011</v>
      </c>
      <c r="H349" s="1016" t="s">
        <v>5383</v>
      </c>
      <c r="I349" s="944" t="str">
        <f t="shared" si="26"/>
        <v>1111011201</v>
      </c>
      <c r="J349" s="991" t="s">
        <v>5862</v>
      </c>
      <c r="K349" s="890">
        <v>53749.599999999999</v>
      </c>
      <c r="L349" s="886"/>
      <c r="M349" s="873"/>
      <c r="N349" s="890">
        <v>1222.9000000000001</v>
      </c>
      <c r="O349" s="890">
        <f>ROUND((731+605)/2*1.136,0)</f>
        <v>759</v>
      </c>
      <c r="P349" s="886"/>
      <c r="Q349" s="1162">
        <f>ROUND(N349*O349/1000,0)</f>
        <v>928</v>
      </c>
      <c r="R349" s="882"/>
      <c r="S349" s="1269"/>
      <c r="T349" s="1254"/>
      <c r="U349" s="996"/>
      <c r="V349" s="996" t="s">
        <v>10278</v>
      </c>
      <c r="W349" s="992" t="s">
        <v>10413</v>
      </c>
    </row>
    <row r="350" spans="1:23" ht="14.5" customHeight="1">
      <c r="A350" s="1034"/>
      <c r="B350" s="1034"/>
      <c r="C350" s="987"/>
      <c r="F350" s="988"/>
      <c r="G350" s="1095" t="str">
        <f t="shared" si="34"/>
        <v>1111011</v>
      </c>
      <c r="H350" s="1016" t="s">
        <v>5457</v>
      </c>
      <c r="I350" s="944" t="str">
        <f t="shared" si="26"/>
        <v>1111011202</v>
      </c>
      <c r="J350" s="991" t="s">
        <v>5863</v>
      </c>
      <c r="K350" s="890">
        <v>116998.3</v>
      </c>
      <c r="L350" s="886"/>
      <c r="M350" s="873"/>
      <c r="N350" s="890">
        <v>3550.9</v>
      </c>
      <c r="O350" s="890">
        <f>ROUND((1018+1074)/2*1.136,0)</f>
        <v>1188</v>
      </c>
      <c r="P350" s="886"/>
      <c r="Q350" s="1162">
        <f>ROUND(N350*O350/1000,0)</f>
        <v>4218</v>
      </c>
      <c r="R350" s="882"/>
      <c r="S350" s="1269"/>
      <c r="T350" s="1254"/>
      <c r="U350" s="996"/>
      <c r="V350" s="996" t="s">
        <v>10278</v>
      </c>
      <c r="W350" s="992" t="s">
        <v>10413</v>
      </c>
    </row>
    <row r="351" spans="1:23" ht="14.5" customHeight="1">
      <c r="A351" s="1034"/>
      <c r="B351" s="1034"/>
      <c r="C351" s="987"/>
      <c r="D351" s="988" t="str">
        <f t="shared" si="35"/>
        <v/>
      </c>
      <c r="F351" s="988" t="str">
        <f t="shared" si="28"/>
        <v/>
      </c>
      <c r="G351" s="1095" t="str">
        <f>IF(F351="",G349,F351)</f>
        <v>1111011</v>
      </c>
      <c r="H351" s="1016" t="s">
        <v>5387</v>
      </c>
      <c r="I351" s="944" t="str">
        <f t="shared" si="26"/>
        <v>1111011203</v>
      </c>
      <c r="J351" s="991" t="s">
        <v>5864</v>
      </c>
      <c r="K351" s="890">
        <v>94.8</v>
      </c>
      <c r="L351" s="886"/>
      <c r="M351" s="890">
        <v>102.9</v>
      </c>
      <c r="N351" s="890">
        <v>0.5</v>
      </c>
      <c r="O351" s="873"/>
      <c r="P351" s="886"/>
      <c r="Q351" s="1162">
        <f>ROUND(K351*N351/M351,0)</f>
        <v>0</v>
      </c>
      <c r="R351" s="882"/>
      <c r="S351" s="1269"/>
      <c r="T351" s="1254"/>
      <c r="U351" s="996"/>
      <c r="V351" s="996" t="s">
        <v>10278</v>
      </c>
      <c r="W351" s="992" t="s">
        <v>10414</v>
      </c>
    </row>
    <row r="352" spans="1:23" ht="14.5" customHeight="1">
      <c r="A352" s="1034"/>
      <c r="B352" s="1034"/>
      <c r="C352" s="987"/>
      <c r="D352" s="988" t="str">
        <f t="shared" si="35"/>
        <v/>
      </c>
      <c r="F352" s="988" t="str">
        <f t="shared" si="28"/>
        <v/>
      </c>
      <c r="G352" s="1095" t="str">
        <f t="shared" si="34"/>
        <v>1111011</v>
      </c>
      <c r="H352" s="1016" t="s">
        <v>5421</v>
      </c>
      <c r="I352" s="944" t="str">
        <f t="shared" si="26"/>
        <v>1111011301</v>
      </c>
      <c r="J352" s="991" t="s">
        <v>5865</v>
      </c>
      <c r="K352" s="890">
        <v>90243.199999999997</v>
      </c>
      <c r="L352" s="886"/>
      <c r="M352" s="873"/>
      <c r="N352" s="890">
        <v>2715.9</v>
      </c>
      <c r="O352" s="890">
        <f>ROUND(1684*1.226,0)</f>
        <v>2065</v>
      </c>
      <c r="P352" s="886"/>
      <c r="Q352" s="1162">
        <f>ROUND(N352*O352/1000,0)</f>
        <v>5608</v>
      </c>
      <c r="R352" s="882"/>
      <c r="S352" s="1269"/>
      <c r="T352" s="1254"/>
      <c r="U352" s="996"/>
      <c r="V352" s="996" t="s">
        <v>10278</v>
      </c>
      <c r="W352" s="992" t="s">
        <v>10415</v>
      </c>
    </row>
    <row r="353" spans="1:23" ht="14.5" customHeight="1">
      <c r="A353" s="1034"/>
      <c r="B353" s="1034"/>
      <c r="C353" s="987"/>
      <c r="D353" s="988" t="str">
        <f t="shared" si="35"/>
        <v/>
      </c>
      <c r="F353" s="988" t="str">
        <f t="shared" si="28"/>
        <v/>
      </c>
      <c r="G353" s="1095" t="str">
        <f t="shared" si="34"/>
        <v>1111011</v>
      </c>
      <c r="H353" s="1016" t="s">
        <v>5423</v>
      </c>
      <c r="I353" s="944" t="str">
        <f t="shared" si="26"/>
        <v>1111011302</v>
      </c>
      <c r="J353" s="991" t="s">
        <v>5866</v>
      </c>
      <c r="K353" s="890">
        <v>118906.8</v>
      </c>
      <c r="L353" s="886"/>
      <c r="M353" s="873"/>
      <c r="N353" s="890">
        <v>1963.5</v>
      </c>
      <c r="O353" s="890">
        <f>ROUND(1569*1.226,0)</f>
        <v>1924</v>
      </c>
      <c r="P353" s="886"/>
      <c r="Q353" s="1162">
        <f>ROUND(N353*O353/1000,0)</f>
        <v>3778</v>
      </c>
      <c r="R353" s="882"/>
      <c r="S353" s="1269"/>
      <c r="T353" s="1254"/>
      <c r="U353" s="996"/>
      <c r="V353" s="996" t="s">
        <v>10278</v>
      </c>
      <c r="W353" s="992" t="s">
        <v>10415</v>
      </c>
    </row>
    <row r="354" spans="1:23" ht="14.5" customHeight="1">
      <c r="A354" s="1034"/>
      <c r="B354" s="1034"/>
      <c r="C354" s="987"/>
      <c r="D354" s="988" t="str">
        <f t="shared" si="35"/>
        <v/>
      </c>
      <c r="F354" s="988" t="str">
        <f t="shared" si="28"/>
        <v/>
      </c>
      <c r="G354" s="1095" t="str">
        <f t="shared" si="34"/>
        <v>1111011</v>
      </c>
      <c r="H354" s="1016" t="s">
        <v>5867</v>
      </c>
      <c r="I354" s="944" t="str">
        <f t="shared" si="26"/>
        <v>1111011303</v>
      </c>
      <c r="J354" s="991" t="s">
        <v>5868</v>
      </c>
      <c r="K354" s="890">
        <v>18</v>
      </c>
      <c r="L354" s="886"/>
      <c r="M354" s="890">
        <v>19.3</v>
      </c>
      <c r="N354" s="890">
        <v>0</v>
      </c>
      <c r="O354" s="873"/>
      <c r="P354" s="886"/>
      <c r="Q354" s="1162">
        <f>ROUND(K354*N354/M354,0)</f>
        <v>0</v>
      </c>
      <c r="R354" s="882"/>
      <c r="S354" s="1269"/>
      <c r="T354" s="1254"/>
      <c r="U354" s="996"/>
      <c r="V354" s="996" t="s">
        <v>10278</v>
      </c>
      <c r="W354" s="992" t="s">
        <v>10416</v>
      </c>
    </row>
    <row r="355" spans="1:23" ht="14.5" customHeight="1">
      <c r="A355" s="1034"/>
      <c r="B355" s="1034"/>
      <c r="C355" s="987"/>
      <c r="F355" s="988"/>
      <c r="G355" s="1095" t="str">
        <f t="shared" si="34"/>
        <v>1111011</v>
      </c>
      <c r="H355" s="1016" t="s">
        <v>5605</v>
      </c>
      <c r="I355" s="944" t="str">
        <f t="shared" si="26"/>
        <v>1111011401</v>
      </c>
      <c r="J355" s="991" t="s">
        <v>5869</v>
      </c>
      <c r="K355" s="890">
        <v>347.4</v>
      </c>
      <c r="L355" s="886"/>
      <c r="M355" s="873"/>
      <c r="N355" s="890">
        <v>4.5</v>
      </c>
      <c r="O355" s="890">
        <f>ROUND(1340*1.136,0)</f>
        <v>1522</v>
      </c>
      <c r="P355" s="886"/>
      <c r="Q355" s="1162">
        <f>ROUND(N355*O355/1000,0)</f>
        <v>7</v>
      </c>
      <c r="R355" s="882"/>
      <c r="S355" s="1269"/>
      <c r="T355" s="1254"/>
      <c r="U355" s="996"/>
      <c r="V355" s="996" t="s">
        <v>10278</v>
      </c>
      <c r="W355" s="992" t="s">
        <v>10417</v>
      </c>
    </row>
    <row r="356" spans="1:23" ht="14.5" customHeight="1">
      <c r="A356" s="1034"/>
      <c r="B356" s="1034"/>
      <c r="C356" s="987"/>
      <c r="F356" s="988"/>
      <c r="G356" s="1095" t="str">
        <f t="shared" si="34"/>
        <v>1111011</v>
      </c>
      <c r="H356" s="1016" t="s">
        <v>5732</v>
      </c>
      <c r="I356" s="944" t="str">
        <f t="shared" si="26"/>
        <v>1111011402</v>
      </c>
      <c r="J356" s="991" t="s">
        <v>5870</v>
      </c>
      <c r="K356" s="890">
        <v>10827.6</v>
      </c>
      <c r="L356" s="886"/>
      <c r="M356" s="890">
        <v>6621.9</v>
      </c>
      <c r="N356" s="890">
        <v>13.9</v>
      </c>
      <c r="O356" s="873"/>
      <c r="P356" s="886"/>
      <c r="Q356" s="1162">
        <f>ROUND(K356*N356/M356,0)</f>
        <v>23</v>
      </c>
      <c r="R356" s="882"/>
      <c r="S356" s="1269"/>
      <c r="T356" s="1254"/>
      <c r="U356" s="996"/>
      <c r="V356" s="996" t="s">
        <v>10278</v>
      </c>
      <c r="W356" s="992" t="s">
        <v>10418</v>
      </c>
    </row>
    <row r="357" spans="1:23" ht="14.5" customHeight="1">
      <c r="A357" s="1034"/>
      <c r="B357" s="1034"/>
      <c r="C357" s="987"/>
      <c r="F357" s="988"/>
      <c r="G357" s="1095" t="str">
        <f t="shared" si="34"/>
        <v>1111011</v>
      </c>
      <c r="H357" s="1016" t="s">
        <v>5734</v>
      </c>
      <c r="I357" s="944" t="str">
        <f t="shared" si="26"/>
        <v>1111011403</v>
      </c>
      <c r="J357" s="991" t="s">
        <v>5871</v>
      </c>
      <c r="K357" s="890">
        <v>29.9</v>
      </c>
      <c r="L357" s="886"/>
      <c r="M357" s="890">
        <v>36.200000000000003</v>
      </c>
      <c r="N357" s="890">
        <v>0</v>
      </c>
      <c r="O357" s="873"/>
      <c r="P357" s="886"/>
      <c r="Q357" s="1162">
        <f>ROUND(K357*N357/M357,0)</f>
        <v>0</v>
      </c>
      <c r="R357" s="882"/>
      <c r="S357" s="1269"/>
      <c r="T357" s="1254"/>
      <c r="U357" s="996"/>
      <c r="V357" s="996" t="s">
        <v>10278</v>
      </c>
      <c r="W357" s="992" t="s">
        <v>10416</v>
      </c>
    </row>
    <row r="358" spans="1:23" ht="14.5" customHeight="1">
      <c r="A358" s="1034"/>
      <c r="B358" s="1034"/>
      <c r="C358" s="987"/>
      <c r="F358" s="988"/>
      <c r="G358" s="1095" t="str">
        <f t="shared" si="34"/>
        <v>1111011</v>
      </c>
      <c r="H358" s="1016" t="s">
        <v>5740</v>
      </c>
      <c r="I358" s="944" t="str">
        <f t="shared" si="26"/>
        <v>1111011501</v>
      </c>
      <c r="J358" s="991" t="s">
        <v>5872</v>
      </c>
      <c r="K358" s="890">
        <v>358.4</v>
      </c>
      <c r="L358" s="886"/>
      <c r="M358" s="890">
        <v>467.3</v>
      </c>
      <c r="N358" s="890">
        <v>4.3</v>
      </c>
      <c r="O358" s="873"/>
      <c r="P358" s="886"/>
      <c r="Q358" s="1162">
        <f>ROUND(K358*N358/M358,0)</f>
        <v>3</v>
      </c>
      <c r="R358" s="882"/>
      <c r="S358" s="1269"/>
      <c r="T358" s="1254"/>
      <c r="U358" s="996"/>
      <c r="V358" s="996" t="s">
        <v>10278</v>
      </c>
      <c r="W358" s="992" t="s">
        <v>10419</v>
      </c>
    </row>
    <row r="359" spans="1:23" ht="14.5" customHeight="1">
      <c r="A359" s="1034"/>
      <c r="B359" s="1034"/>
      <c r="C359" s="987"/>
      <c r="D359" s="988" t="str">
        <f t="shared" si="35"/>
        <v/>
      </c>
      <c r="E359" s="989"/>
      <c r="F359" s="988" t="str">
        <f t="shared" si="28"/>
        <v/>
      </c>
      <c r="G359" s="1095" t="str">
        <f>IF(F359="",G354,F359)</f>
        <v>1111011</v>
      </c>
      <c r="H359" s="1016" t="s">
        <v>5514</v>
      </c>
      <c r="I359" s="944" t="str">
        <f t="shared" si="26"/>
        <v>1111011601</v>
      </c>
      <c r="J359" s="991" t="s">
        <v>10420</v>
      </c>
      <c r="K359" s="890">
        <v>831788</v>
      </c>
      <c r="L359" s="886"/>
      <c r="M359" s="886"/>
      <c r="N359" s="890">
        <v>6323</v>
      </c>
      <c r="O359" s="890">
        <f>ROUND(552*1.162,0)</f>
        <v>641</v>
      </c>
      <c r="P359" s="886"/>
      <c r="Q359" s="1171">
        <f>ROUND(N359*O359/1000,0)</f>
        <v>4053</v>
      </c>
      <c r="R359" s="882" t="s">
        <v>10407</v>
      </c>
      <c r="S359" s="1269"/>
      <c r="T359" s="1254"/>
      <c r="U359" s="996" t="s">
        <v>10408</v>
      </c>
      <c r="V359" s="996" t="s">
        <v>10278</v>
      </c>
      <c r="W359" s="992" t="s">
        <v>10421</v>
      </c>
    </row>
    <row r="360" spans="1:23" ht="14.5" customHeight="1">
      <c r="A360" s="1034"/>
      <c r="B360" s="1034"/>
      <c r="C360" s="987"/>
      <c r="D360" s="988" t="str">
        <f t="shared" si="35"/>
        <v/>
      </c>
      <c r="E360" s="989"/>
      <c r="F360" s="988" t="str">
        <f t="shared" si="28"/>
        <v/>
      </c>
      <c r="G360" s="1095" t="str">
        <f t="shared" si="34"/>
        <v>1111011</v>
      </c>
      <c r="I360" s="944" t="str">
        <f t="shared" si="26"/>
        <v/>
      </c>
      <c r="J360" s="991" t="s">
        <v>10422</v>
      </c>
      <c r="K360" s="873"/>
      <c r="L360" s="886"/>
      <c r="M360" s="886"/>
      <c r="N360" s="886"/>
      <c r="O360" s="886"/>
      <c r="P360" s="886"/>
      <c r="Q360" s="1171">
        <f>ROUND(SUM(Q361:Q363),0)</f>
        <v>11653</v>
      </c>
      <c r="R360" s="1001" t="s">
        <v>10423</v>
      </c>
      <c r="S360" s="1271"/>
      <c r="T360" s="1255"/>
      <c r="U360" s="991"/>
      <c r="V360" s="996"/>
      <c r="W360" s="992"/>
    </row>
    <row r="361" spans="1:23" ht="14.5" customHeight="1">
      <c r="A361" s="1034"/>
      <c r="B361" s="1034"/>
      <c r="C361" s="987"/>
      <c r="D361" s="988" t="str">
        <f t="shared" si="35"/>
        <v/>
      </c>
      <c r="F361" s="988" t="str">
        <f t="shared" si="28"/>
        <v/>
      </c>
      <c r="G361" s="1095" t="str">
        <f t="shared" si="34"/>
        <v>1111011</v>
      </c>
      <c r="H361" s="1016" t="s">
        <v>6059</v>
      </c>
      <c r="I361" s="944" t="str">
        <f t="shared" si="26"/>
        <v>1111011701</v>
      </c>
      <c r="J361" s="991" t="s">
        <v>5876</v>
      </c>
      <c r="K361" s="873">
        <v>539380.9</v>
      </c>
      <c r="L361" s="886"/>
      <c r="M361" s="873">
        <v>605457.36</v>
      </c>
      <c r="N361" s="873"/>
      <c r="O361" s="886"/>
      <c r="P361" s="886"/>
      <c r="Q361" s="1167">
        <v>10696.86</v>
      </c>
      <c r="R361" s="882"/>
      <c r="S361" s="1269"/>
      <c r="T361" s="1254"/>
      <c r="U361" s="996" t="s">
        <v>10424</v>
      </c>
      <c r="V361" s="996" t="s">
        <v>10278</v>
      </c>
      <c r="W361" s="992" t="s">
        <v>10425</v>
      </c>
    </row>
    <row r="362" spans="1:23" ht="14.5" customHeight="1">
      <c r="A362" s="1034"/>
      <c r="B362" s="1034"/>
      <c r="C362" s="987"/>
      <c r="D362" s="988" t="str">
        <f t="shared" si="35"/>
        <v/>
      </c>
      <c r="F362" s="988" t="str">
        <f t="shared" si="28"/>
        <v/>
      </c>
      <c r="G362" s="1095" t="str">
        <f t="shared" si="34"/>
        <v>1111011</v>
      </c>
      <c r="H362" s="1016" t="s">
        <v>7416</v>
      </c>
      <c r="I362" s="944" t="str">
        <f t="shared" si="26"/>
        <v>1111011702</v>
      </c>
      <c r="J362" s="991" t="s">
        <v>5877</v>
      </c>
      <c r="K362" s="890">
        <v>1511.8</v>
      </c>
      <c r="L362" s="890">
        <v>4475721</v>
      </c>
      <c r="M362" s="890">
        <v>85135142</v>
      </c>
      <c r="N362" s="873"/>
      <c r="O362" s="886"/>
      <c r="P362" s="886"/>
      <c r="Q362" s="1162">
        <f>ROUND(K362*L362/M362,0)</f>
        <v>79</v>
      </c>
      <c r="R362" s="882"/>
      <c r="S362" s="1269"/>
      <c r="T362" s="1254"/>
      <c r="U362" s="1010" t="s">
        <v>10426</v>
      </c>
      <c r="V362" s="996" t="s">
        <v>10278</v>
      </c>
      <c r="W362" s="1009" t="s">
        <v>10427</v>
      </c>
    </row>
    <row r="363" spans="1:23" ht="14.5" customHeight="1">
      <c r="A363" s="1034"/>
      <c r="B363" s="1034"/>
      <c r="C363" s="987"/>
      <c r="F363" s="988"/>
      <c r="G363" s="1095" t="str">
        <f t="shared" si="34"/>
        <v>1111011</v>
      </c>
      <c r="H363" s="1016" t="s">
        <v>10428</v>
      </c>
      <c r="I363" s="944" t="str">
        <f t="shared" si="26"/>
        <v>1111011703</v>
      </c>
      <c r="J363" s="991" t="s">
        <v>5878</v>
      </c>
      <c r="K363" s="890">
        <v>16673.2</v>
      </c>
      <c r="L363" s="886">
        <f>L362</f>
        <v>4475721</v>
      </c>
      <c r="M363" s="873">
        <f>M362</f>
        <v>85135142</v>
      </c>
      <c r="N363" s="873"/>
      <c r="O363" s="886"/>
      <c r="P363" s="886"/>
      <c r="Q363" s="1162">
        <f>ROUND(K363*L363/M363,0)</f>
        <v>877</v>
      </c>
      <c r="R363" s="882"/>
      <c r="S363" s="1269"/>
      <c r="T363" s="1254"/>
      <c r="U363" s="996" t="s">
        <v>10129</v>
      </c>
      <c r="V363" s="996" t="s">
        <v>10278</v>
      </c>
      <c r="W363" s="992" t="s">
        <v>10203</v>
      </c>
    </row>
    <row r="364" spans="1:23" ht="14.5" customHeight="1">
      <c r="A364" s="1034"/>
      <c r="B364" s="1034"/>
      <c r="C364" s="987"/>
      <c r="D364" s="988" t="str">
        <f t="shared" si="35"/>
        <v/>
      </c>
      <c r="E364" s="989"/>
      <c r="F364" s="988" t="str">
        <f t="shared" si="28"/>
        <v/>
      </c>
      <c r="G364" s="1095" t="str">
        <f>IF(F364="",G363,F364)</f>
        <v>1111011</v>
      </c>
      <c r="I364" s="944" t="str">
        <f t="shared" si="26"/>
        <v/>
      </c>
      <c r="J364" s="991" t="s">
        <v>10429</v>
      </c>
      <c r="K364" s="873">
        <f>SUM(K365:K366)</f>
        <v>5706.6</v>
      </c>
      <c r="L364" s="886"/>
      <c r="M364" s="886"/>
      <c r="N364" s="886"/>
      <c r="O364" s="886"/>
      <c r="P364" s="886"/>
      <c r="Q364" s="1171">
        <f>SUM(Q365:Q366)</f>
        <v>0</v>
      </c>
      <c r="R364" s="882" t="s">
        <v>10430</v>
      </c>
      <c r="S364" s="1269"/>
      <c r="T364" s="1254"/>
      <c r="U364" s="996"/>
      <c r="V364" s="996"/>
      <c r="W364" s="992"/>
    </row>
    <row r="365" spans="1:23" ht="14.5" customHeight="1">
      <c r="A365" s="1034"/>
      <c r="B365" s="1034"/>
      <c r="C365" s="987"/>
      <c r="D365" s="988" t="str">
        <f t="shared" si="35"/>
        <v/>
      </c>
      <c r="F365" s="988" t="str">
        <f t="shared" si="28"/>
        <v/>
      </c>
      <c r="G365" s="1095" t="str">
        <f t="shared" si="34"/>
        <v>1111011</v>
      </c>
      <c r="H365" s="1016" t="s">
        <v>6221</v>
      </c>
      <c r="I365" s="944" t="str">
        <f t="shared" si="26"/>
        <v>1111011801</v>
      </c>
      <c r="J365" s="991" t="s">
        <v>5881</v>
      </c>
      <c r="K365" s="890">
        <v>2411.1999999999998</v>
      </c>
      <c r="L365" s="886"/>
      <c r="M365" s="890">
        <v>4025.3</v>
      </c>
      <c r="N365" s="890">
        <v>0.4</v>
      </c>
      <c r="O365" s="886"/>
      <c r="P365" s="886"/>
      <c r="Q365" s="1162">
        <f>ROUND(K365*N365/M365,0)</f>
        <v>0</v>
      </c>
      <c r="R365" s="882"/>
      <c r="S365" s="1269"/>
      <c r="T365" s="1254"/>
      <c r="U365" s="996" t="s">
        <v>10408</v>
      </c>
      <c r="V365" s="996" t="s">
        <v>10278</v>
      </c>
      <c r="W365" s="992" t="s">
        <v>10431</v>
      </c>
    </row>
    <row r="366" spans="1:23" ht="14.5" customHeight="1">
      <c r="A366" s="1034"/>
      <c r="B366" s="1034"/>
      <c r="C366" s="987"/>
      <c r="D366" s="988" t="str">
        <f t="shared" si="35"/>
        <v/>
      </c>
      <c r="F366" s="988" t="str">
        <f t="shared" si="28"/>
        <v/>
      </c>
      <c r="G366" s="1095" t="str">
        <f t="shared" si="34"/>
        <v>1111011</v>
      </c>
      <c r="H366" s="1016" t="s">
        <v>5353</v>
      </c>
      <c r="I366" s="944" t="str">
        <f t="shared" si="26"/>
        <v>1111011099</v>
      </c>
      <c r="J366" s="991" t="s">
        <v>5882</v>
      </c>
      <c r="K366" s="890">
        <v>3295.4</v>
      </c>
      <c r="L366" s="886"/>
      <c r="M366" s="873"/>
      <c r="N366" s="873"/>
      <c r="O366" s="886"/>
      <c r="P366" s="886"/>
      <c r="Q366" s="1167">
        <v>0</v>
      </c>
      <c r="R366" s="882"/>
      <c r="S366" s="1269"/>
      <c r="T366" s="1254"/>
      <c r="U366" s="996"/>
      <c r="V366" s="996" t="s">
        <v>10129</v>
      </c>
      <c r="W366" s="992" t="s">
        <v>10432</v>
      </c>
    </row>
    <row r="367" spans="1:23" ht="14.5" customHeight="1">
      <c r="A367" s="1034"/>
      <c r="B367" s="1034"/>
      <c r="C367" s="987"/>
      <c r="D367" s="988" t="str">
        <f t="shared" si="35"/>
        <v/>
      </c>
      <c r="E367" s="989"/>
      <c r="F367" s="988" t="str">
        <f t="shared" si="28"/>
        <v/>
      </c>
      <c r="G367" s="1095" t="str">
        <f t="shared" si="34"/>
        <v>1111011</v>
      </c>
      <c r="I367" s="944" t="str">
        <f t="shared" si="26"/>
        <v/>
      </c>
      <c r="J367" s="992" t="s">
        <v>10433</v>
      </c>
      <c r="K367" s="886"/>
      <c r="L367" s="886"/>
      <c r="M367" s="886"/>
      <c r="N367" s="886"/>
      <c r="O367" s="886"/>
      <c r="P367" s="886"/>
      <c r="Q367" s="1171">
        <f>SUM(Q368:Q374)</f>
        <v>1594</v>
      </c>
      <c r="R367" s="1001" t="s">
        <v>10434</v>
      </c>
      <c r="S367" s="1271"/>
      <c r="T367" s="1255"/>
      <c r="U367" s="996"/>
      <c r="V367" s="996"/>
      <c r="W367" s="992"/>
    </row>
    <row r="368" spans="1:23" ht="14.5" customHeight="1">
      <c r="A368" s="1034"/>
      <c r="B368" s="1034"/>
      <c r="C368" s="987"/>
      <c r="D368" s="988" t="str">
        <f t="shared" si="35"/>
        <v/>
      </c>
      <c r="F368" s="988" t="str">
        <f t="shared" si="28"/>
        <v/>
      </c>
      <c r="G368" s="1095" t="str">
        <f t="shared" si="34"/>
        <v>1111011</v>
      </c>
      <c r="H368" s="1016" t="s">
        <v>6012</v>
      </c>
      <c r="I368" s="944" t="str">
        <f t="shared" si="26"/>
        <v>1111011901</v>
      </c>
      <c r="J368" s="991" t="s">
        <v>5885</v>
      </c>
      <c r="K368" s="890">
        <v>732.2</v>
      </c>
      <c r="L368" s="890">
        <v>60230</v>
      </c>
      <c r="M368" s="890">
        <v>1047459</v>
      </c>
      <c r="N368" s="886"/>
      <c r="O368" s="886"/>
      <c r="P368" s="886"/>
      <c r="Q368" s="1162">
        <f t="shared" ref="Q368:Q374" si="36">ROUND(K368*L368/M368,0)</f>
        <v>42</v>
      </c>
      <c r="R368" s="882"/>
      <c r="S368" s="1269"/>
      <c r="T368" s="1254"/>
      <c r="U368" s="996" t="s">
        <v>10408</v>
      </c>
      <c r="V368" s="996" t="s">
        <v>10278</v>
      </c>
      <c r="W368" s="992" t="s">
        <v>10435</v>
      </c>
    </row>
    <row r="369" spans="1:23" ht="14.5" customHeight="1">
      <c r="A369" s="1034"/>
      <c r="B369" s="1034"/>
      <c r="C369" s="987"/>
      <c r="D369" s="988" t="str">
        <f t="shared" si="35"/>
        <v/>
      </c>
      <c r="F369" s="988" t="str">
        <f t="shared" si="28"/>
        <v/>
      </c>
      <c r="G369" s="1095" t="str">
        <f t="shared" si="34"/>
        <v>1111011</v>
      </c>
      <c r="H369" s="1016" t="s">
        <v>10436</v>
      </c>
      <c r="I369" s="944" t="str">
        <f t="shared" si="26"/>
        <v>1111011902</v>
      </c>
      <c r="J369" s="991" t="s">
        <v>10437</v>
      </c>
      <c r="K369" s="890">
        <v>0</v>
      </c>
      <c r="L369" s="890">
        <v>40</v>
      </c>
      <c r="M369" s="890">
        <v>4403</v>
      </c>
      <c r="N369" s="886"/>
      <c r="O369" s="886"/>
      <c r="P369" s="886"/>
      <c r="Q369" s="1162">
        <f t="shared" si="36"/>
        <v>0</v>
      </c>
      <c r="R369" s="882"/>
      <c r="S369" s="1269"/>
      <c r="T369" s="1254"/>
      <c r="U369" s="996" t="s">
        <v>10129</v>
      </c>
      <c r="V369" s="996" t="s">
        <v>10129</v>
      </c>
      <c r="W369" s="992" t="s">
        <v>10438</v>
      </c>
    </row>
    <row r="370" spans="1:23" ht="14.5" customHeight="1">
      <c r="A370" s="1034"/>
      <c r="B370" s="1034"/>
      <c r="C370" s="987"/>
      <c r="D370" s="988" t="str">
        <f t="shared" si="35"/>
        <v/>
      </c>
      <c r="F370" s="988" t="str">
        <f t="shared" ref="F370:F419" si="37">IF(E370="","",CONCATENATE(LEFT(E370,4),MID(E370,6,3)))</f>
        <v/>
      </c>
      <c r="G370" s="1095" t="str">
        <f t="shared" si="34"/>
        <v>1111011</v>
      </c>
      <c r="H370" s="1016" t="s">
        <v>10439</v>
      </c>
      <c r="I370" s="944" t="str">
        <f t="shared" si="26"/>
        <v>1111011903</v>
      </c>
      <c r="J370" s="991" t="s">
        <v>5887</v>
      </c>
      <c r="K370" s="890">
        <v>109.3</v>
      </c>
      <c r="L370" s="890">
        <v>80844</v>
      </c>
      <c r="M370" s="890">
        <v>16689638</v>
      </c>
      <c r="N370" s="886"/>
      <c r="O370" s="886"/>
      <c r="P370" s="886"/>
      <c r="Q370" s="1162">
        <f t="shared" si="36"/>
        <v>1</v>
      </c>
      <c r="R370" s="882"/>
      <c r="S370" s="1269"/>
      <c r="T370" s="1254"/>
      <c r="U370" s="996" t="s">
        <v>10129</v>
      </c>
      <c r="V370" s="996" t="s">
        <v>10129</v>
      </c>
      <c r="W370" s="992" t="s">
        <v>10440</v>
      </c>
    </row>
    <row r="371" spans="1:23" ht="14.5" customHeight="1">
      <c r="A371" s="1034"/>
      <c r="B371" s="1034"/>
      <c r="C371" s="987"/>
      <c r="D371" s="988" t="str">
        <f t="shared" si="35"/>
        <v/>
      </c>
      <c r="F371" s="988" t="str">
        <f t="shared" si="37"/>
        <v/>
      </c>
      <c r="G371" s="1095" t="str">
        <f t="shared" si="34"/>
        <v>1111011</v>
      </c>
      <c r="H371" s="1016" t="s">
        <v>10441</v>
      </c>
      <c r="I371" s="944" t="str">
        <f t="shared" si="26"/>
        <v>1111011904</v>
      </c>
      <c r="J371" s="991" t="s">
        <v>5888</v>
      </c>
      <c r="K371" s="890">
        <v>3</v>
      </c>
      <c r="L371" s="890">
        <v>1</v>
      </c>
      <c r="M371" s="890">
        <v>10291</v>
      </c>
      <c r="N371" s="886"/>
      <c r="O371" s="886"/>
      <c r="P371" s="886"/>
      <c r="Q371" s="1162">
        <f t="shared" si="36"/>
        <v>0</v>
      </c>
      <c r="R371" s="882"/>
      <c r="S371" s="1269"/>
      <c r="T371" s="1254"/>
      <c r="U371" s="996" t="s">
        <v>10129</v>
      </c>
      <c r="V371" s="996" t="s">
        <v>10129</v>
      </c>
      <c r="W371" s="992" t="s">
        <v>10442</v>
      </c>
    </row>
    <row r="372" spans="1:23" ht="14.5" customHeight="1">
      <c r="A372" s="1034"/>
      <c r="B372" s="1034"/>
      <c r="C372" s="987"/>
      <c r="D372" s="988" t="str">
        <f t="shared" si="35"/>
        <v/>
      </c>
      <c r="F372" s="988" t="str">
        <f t="shared" si="37"/>
        <v/>
      </c>
      <c r="G372" s="1095" t="str">
        <f t="shared" si="34"/>
        <v>1111011</v>
      </c>
      <c r="H372" s="1016" t="s">
        <v>10443</v>
      </c>
      <c r="I372" s="944" t="str">
        <f t="shared" si="26"/>
        <v>1111011A01</v>
      </c>
      <c r="J372" s="991" t="s">
        <v>5890</v>
      </c>
      <c r="K372" s="890">
        <v>23202</v>
      </c>
      <c r="L372" s="886">
        <f>+Q345+Q359+Q364</f>
        <v>74749</v>
      </c>
      <c r="M372" s="886">
        <f>+K345+K359+K364</f>
        <v>1865546.6</v>
      </c>
      <c r="N372" s="886"/>
      <c r="O372" s="886"/>
      <c r="P372" s="886"/>
      <c r="Q372" s="1162">
        <f t="shared" si="36"/>
        <v>930</v>
      </c>
      <c r="R372" s="882"/>
      <c r="S372" s="1269"/>
      <c r="T372" s="1254"/>
      <c r="U372" s="996"/>
      <c r="V372" s="996"/>
      <c r="W372" s="992" t="s">
        <v>10444</v>
      </c>
    </row>
    <row r="373" spans="1:23" ht="14.5" customHeight="1">
      <c r="A373" s="1034"/>
      <c r="B373" s="1034"/>
      <c r="C373" s="987"/>
      <c r="D373" s="988" t="str">
        <f t="shared" si="35"/>
        <v/>
      </c>
      <c r="F373" s="988" t="str">
        <f t="shared" si="37"/>
        <v/>
      </c>
      <c r="G373" s="1095" t="str">
        <f t="shared" si="34"/>
        <v>1111011</v>
      </c>
      <c r="H373" s="1016" t="s">
        <v>10445</v>
      </c>
      <c r="I373" s="944" t="str">
        <f t="shared" si="26"/>
        <v>1111011A02</v>
      </c>
      <c r="J373" s="991" t="s">
        <v>5892</v>
      </c>
      <c r="K373" s="890">
        <v>35827.199999999997</v>
      </c>
      <c r="L373" s="890">
        <v>12549199</v>
      </c>
      <c r="M373" s="890">
        <v>734891162</v>
      </c>
      <c r="N373" s="873"/>
      <c r="O373" s="886"/>
      <c r="P373" s="886"/>
      <c r="Q373" s="1162">
        <f>ROUND(K373*L373/M373,0)</f>
        <v>612</v>
      </c>
      <c r="R373" s="882"/>
      <c r="S373" s="1269"/>
      <c r="T373" s="1254"/>
      <c r="U373" s="996" t="s">
        <v>10426</v>
      </c>
      <c r="V373" s="996" t="s">
        <v>10446</v>
      </c>
      <c r="W373" s="992" t="s">
        <v>10447</v>
      </c>
    </row>
    <row r="374" spans="1:23" ht="14.5" customHeight="1">
      <c r="A374" s="1034"/>
      <c r="B374" s="1034"/>
      <c r="C374" s="998"/>
      <c r="D374" s="999" t="str">
        <f t="shared" si="35"/>
        <v/>
      </c>
      <c r="E374" s="1002"/>
      <c r="F374" s="999" t="str">
        <f t="shared" si="37"/>
        <v/>
      </c>
      <c r="G374" s="1104" t="str">
        <f>IF(F374="",G373,F374)</f>
        <v>1111011</v>
      </c>
      <c r="H374" s="1005" t="s">
        <v>10448</v>
      </c>
      <c r="I374" s="1002" t="str">
        <f t="shared" si="26"/>
        <v>1111011A99</v>
      </c>
      <c r="J374" s="978" t="s">
        <v>10449</v>
      </c>
      <c r="K374" s="895">
        <v>348.7</v>
      </c>
      <c r="L374" s="893">
        <f>SUM(Q368:Q373)</f>
        <v>1585</v>
      </c>
      <c r="M374" s="893">
        <f>SUM(K368:K373)</f>
        <v>59873.7</v>
      </c>
      <c r="N374" s="893"/>
      <c r="O374" s="893"/>
      <c r="P374" s="893"/>
      <c r="Q374" s="1176">
        <f t="shared" si="36"/>
        <v>9</v>
      </c>
      <c r="R374" s="900"/>
      <c r="S374" s="1272"/>
      <c r="T374" s="900"/>
      <c r="U374" s="1006" t="s">
        <v>10129</v>
      </c>
      <c r="V374" s="1006"/>
      <c r="W374" s="1003" t="s">
        <v>10450</v>
      </c>
    </row>
    <row r="375" spans="1:23" ht="14.5" customHeight="1">
      <c r="A375" s="1034"/>
      <c r="B375" s="1034"/>
      <c r="C375" s="994" t="s">
        <v>5895</v>
      </c>
      <c r="D375" s="988" t="str">
        <f t="shared" si="35"/>
        <v>111102</v>
      </c>
      <c r="E375" s="989" t="s">
        <v>5897</v>
      </c>
      <c r="F375" s="988" t="str">
        <f t="shared" si="37"/>
        <v>1111021</v>
      </c>
      <c r="G375" s="1095" t="str">
        <f>IF(F375="",G374,F375)</f>
        <v>1111021</v>
      </c>
      <c r="I375" s="944" t="str">
        <f t="shared" si="26"/>
        <v/>
      </c>
      <c r="J375" s="990" t="s">
        <v>5896</v>
      </c>
      <c r="K375" s="873"/>
      <c r="L375" s="886"/>
      <c r="M375" s="886"/>
      <c r="N375" s="886"/>
      <c r="O375" s="886"/>
      <c r="P375" s="896">
        <f>Q375</f>
        <v>130613</v>
      </c>
      <c r="Q375" s="1171">
        <f>ROUND(Q376+Q379,0)</f>
        <v>130613</v>
      </c>
      <c r="R375" s="882"/>
      <c r="S375" s="1269"/>
      <c r="T375" s="1254"/>
      <c r="U375" s="996"/>
      <c r="V375" s="996"/>
      <c r="W375" s="992"/>
    </row>
    <row r="376" spans="1:23" ht="14.5" customHeight="1">
      <c r="A376" s="1034"/>
      <c r="B376" s="1034"/>
      <c r="C376" s="987"/>
      <c r="D376" s="988" t="str">
        <f t="shared" si="35"/>
        <v/>
      </c>
      <c r="E376" s="989"/>
      <c r="F376" s="988" t="str">
        <f t="shared" si="37"/>
        <v/>
      </c>
      <c r="G376" s="1095" t="str">
        <f>IF(F376="",G375,F376)</f>
        <v>1111021</v>
      </c>
      <c r="I376" s="944" t="str">
        <f t="shared" si="26"/>
        <v/>
      </c>
      <c r="J376" s="991" t="s">
        <v>10451</v>
      </c>
      <c r="K376" s="886"/>
      <c r="L376" s="886"/>
      <c r="M376" s="886"/>
      <c r="N376" s="886"/>
      <c r="O376" s="886"/>
      <c r="P376" s="886"/>
      <c r="Q376" s="1162">
        <f>SUM(Q377:Q378)</f>
        <v>25776.17</v>
      </c>
      <c r="R376" s="1001" t="s">
        <v>10452</v>
      </c>
      <c r="S376" s="1271"/>
      <c r="T376" s="1255"/>
      <c r="U376" s="996" t="s">
        <v>10453</v>
      </c>
      <c r="V376" s="996"/>
      <c r="W376" s="992"/>
    </row>
    <row r="377" spans="1:23" ht="14.5" customHeight="1">
      <c r="A377" s="1034"/>
      <c r="B377" s="1034"/>
      <c r="C377" s="987"/>
      <c r="D377" s="988" t="str">
        <f t="shared" si="35"/>
        <v/>
      </c>
      <c r="F377" s="988" t="str">
        <f t="shared" si="37"/>
        <v/>
      </c>
      <c r="G377" s="1095" t="str">
        <f>IF(F377="",G376,F377)</f>
        <v>1111021</v>
      </c>
      <c r="H377" s="1016" t="s">
        <v>5534</v>
      </c>
      <c r="I377" s="944" t="str">
        <f t="shared" si="26"/>
        <v>1111021101</v>
      </c>
      <c r="J377" s="991" t="s">
        <v>10454</v>
      </c>
      <c r="K377" s="890">
        <v>573548</v>
      </c>
      <c r="L377" s="890">
        <v>160655</v>
      </c>
      <c r="M377" s="890">
        <v>3573828</v>
      </c>
      <c r="N377" s="886"/>
      <c r="O377" s="886"/>
      <c r="P377" s="886"/>
      <c r="Q377" s="1162">
        <f>ROUND(K377*L377/M377,0)</f>
        <v>25783</v>
      </c>
      <c r="R377" s="882"/>
      <c r="S377" s="1269"/>
      <c r="T377" s="1254"/>
      <c r="U377" s="996"/>
      <c r="V377" s="996" t="s">
        <v>10278</v>
      </c>
      <c r="W377" s="992" t="s">
        <v>10455</v>
      </c>
    </row>
    <row r="378" spans="1:23" ht="14.5" customHeight="1">
      <c r="A378" s="1034"/>
      <c r="B378" s="1034"/>
      <c r="C378" s="987"/>
      <c r="D378" s="988" t="str">
        <f t="shared" si="35"/>
        <v/>
      </c>
      <c r="F378" s="988" t="str">
        <f t="shared" si="37"/>
        <v/>
      </c>
      <c r="G378" s="1095" t="str">
        <f>IF(F378="",G377,F378)</f>
        <v>1111021</v>
      </c>
      <c r="H378" s="1016" t="s">
        <v>10456</v>
      </c>
      <c r="I378" s="944" t="str">
        <f t="shared" si="26"/>
        <v>1111021Y01</v>
      </c>
      <c r="J378" s="991" t="s">
        <v>10457</v>
      </c>
      <c r="K378" s="873"/>
      <c r="L378" s="873"/>
      <c r="M378" s="873"/>
      <c r="N378" s="886"/>
      <c r="O378" s="886"/>
      <c r="P378" s="886"/>
      <c r="Q378" s="1167">
        <v>-6.83</v>
      </c>
      <c r="R378" s="882"/>
      <c r="S378" s="1269"/>
      <c r="T378" s="1254"/>
      <c r="U378" s="996"/>
      <c r="V378" s="996" t="s">
        <v>10129</v>
      </c>
      <c r="W378" s="992" t="s">
        <v>10458</v>
      </c>
    </row>
    <row r="379" spans="1:23" ht="14.5" customHeight="1">
      <c r="A379" s="1034"/>
      <c r="B379" s="1034"/>
      <c r="C379" s="987"/>
      <c r="D379" s="988" t="str">
        <f t="shared" si="35"/>
        <v/>
      </c>
      <c r="E379" s="989"/>
      <c r="F379" s="988" t="str">
        <f t="shared" si="37"/>
        <v/>
      </c>
      <c r="G379" s="1095" t="str">
        <f t="shared" ref="G379:G387" si="38">IF(F379="",G378,F379)</f>
        <v>1111021</v>
      </c>
      <c r="I379" s="944" t="str">
        <f t="shared" si="26"/>
        <v/>
      </c>
      <c r="J379" s="991" t="s">
        <v>10459</v>
      </c>
      <c r="K379" s="873"/>
      <c r="L379" s="886"/>
      <c r="M379" s="886"/>
      <c r="N379" s="886"/>
      <c r="O379" s="886"/>
      <c r="P379" s="886"/>
      <c r="Q379" s="1162">
        <f>SUM(Q380:Q388)</f>
        <v>104836.82</v>
      </c>
      <c r="R379" s="1001" t="s">
        <v>10460</v>
      </c>
      <c r="S379" s="1271"/>
      <c r="T379" s="1255"/>
      <c r="U379" s="996"/>
      <c r="V379" s="996"/>
      <c r="W379" s="992"/>
    </row>
    <row r="380" spans="1:23" ht="14.5" customHeight="1">
      <c r="A380" s="1034"/>
      <c r="B380" s="1034"/>
      <c r="C380" s="987"/>
      <c r="D380" s="988" t="str">
        <f t="shared" si="35"/>
        <v/>
      </c>
      <c r="F380" s="988" t="str">
        <f t="shared" si="37"/>
        <v/>
      </c>
      <c r="G380" s="1095" t="str">
        <f t="shared" si="38"/>
        <v>1111021</v>
      </c>
      <c r="H380" s="1016" t="s">
        <v>5455</v>
      </c>
      <c r="I380" s="944" t="str">
        <f t="shared" si="26"/>
        <v>1111021201</v>
      </c>
      <c r="J380" s="991" t="s">
        <v>10461</v>
      </c>
      <c r="K380" s="890">
        <v>341658.1</v>
      </c>
      <c r="L380" s="890">
        <f>96629+0</f>
        <v>96629</v>
      </c>
      <c r="M380" s="890">
        <f>1135137+118957</f>
        <v>1254094</v>
      </c>
      <c r="N380" s="873"/>
      <c r="O380" s="873"/>
      <c r="P380" s="873"/>
      <c r="Q380" s="1165">
        <f>ROUND(K380*L380/M380,0)</f>
        <v>26325</v>
      </c>
      <c r="R380" s="887"/>
      <c r="S380" s="1273"/>
      <c r="T380" s="1256"/>
      <c r="U380" s="996" t="s">
        <v>10453</v>
      </c>
      <c r="V380" s="996"/>
      <c r="W380" s="992" t="s">
        <v>10462</v>
      </c>
    </row>
    <row r="381" spans="1:23" ht="14.5" customHeight="1">
      <c r="A381" s="1034"/>
      <c r="B381" s="1034"/>
      <c r="C381" s="987"/>
      <c r="F381" s="988"/>
      <c r="G381" s="1095" t="str">
        <f t="shared" si="38"/>
        <v>1111021</v>
      </c>
      <c r="H381" s="1016" t="s">
        <v>5844</v>
      </c>
      <c r="I381" s="944" t="str">
        <f t="shared" si="26"/>
        <v>1111021202</v>
      </c>
      <c r="J381" s="991" t="s">
        <v>10463</v>
      </c>
      <c r="K381" s="890">
        <v>155385.4</v>
      </c>
      <c r="L381" s="890">
        <v>0</v>
      </c>
      <c r="M381" s="890">
        <v>155435.79</v>
      </c>
      <c r="N381" s="873"/>
      <c r="O381" s="873"/>
      <c r="P381" s="873"/>
      <c r="Q381" s="1165">
        <f t="shared" ref="Q381:Q386" si="39">ROUND(K381*L381/M381,0)</f>
        <v>0</v>
      </c>
      <c r="R381" s="887"/>
      <c r="S381" s="1273"/>
      <c r="T381" s="1256"/>
      <c r="U381" s="996" t="s">
        <v>10424</v>
      </c>
      <c r="V381" s="996"/>
      <c r="W381" s="992" t="s">
        <v>10380</v>
      </c>
    </row>
    <row r="382" spans="1:23" ht="14.5" customHeight="1">
      <c r="A382" s="1034"/>
      <c r="B382" s="1034"/>
      <c r="C382" s="987"/>
      <c r="F382" s="988"/>
      <c r="G382" s="1095" t="str">
        <f t="shared" si="38"/>
        <v>1111021</v>
      </c>
      <c r="H382" s="1016" t="s">
        <v>7571</v>
      </c>
      <c r="I382" s="944" t="str">
        <f t="shared" si="26"/>
        <v>1111021203</v>
      </c>
      <c r="J382" s="991" t="s">
        <v>10464</v>
      </c>
      <c r="K382" s="890">
        <v>94665.1</v>
      </c>
      <c r="L382" s="890">
        <v>86.04</v>
      </c>
      <c r="M382" s="890">
        <v>94657.1</v>
      </c>
      <c r="N382" s="873"/>
      <c r="O382" s="873"/>
      <c r="P382" s="873"/>
      <c r="Q382" s="1165">
        <f t="shared" si="39"/>
        <v>86</v>
      </c>
      <c r="R382" s="887"/>
      <c r="S382" s="1273"/>
      <c r="T382" s="1256"/>
      <c r="U382" s="996" t="s">
        <v>10411</v>
      </c>
      <c r="V382" s="996"/>
      <c r="W382" s="992"/>
    </row>
    <row r="383" spans="1:23" ht="14.5" customHeight="1">
      <c r="A383" s="1034"/>
      <c r="B383" s="1034"/>
      <c r="C383" s="987"/>
      <c r="D383" s="988" t="str">
        <f t="shared" si="35"/>
        <v/>
      </c>
      <c r="F383" s="988" t="str">
        <f t="shared" si="37"/>
        <v/>
      </c>
      <c r="G383" s="1095" t="str">
        <f t="shared" si="38"/>
        <v>1111021</v>
      </c>
      <c r="H383" s="1016" t="s">
        <v>5389</v>
      </c>
      <c r="I383" s="944" t="str">
        <f t="shared" si="26"/>
        <v>1111021204</v>
      </c>
      <c r="J383" s="991" t="s">
        <v>10465</v>
      </c>
      <c r="K383" s="890">
        <v>255087.9</v>
      </c>
      <c r="L383" s="890">
        <v>50524.37</v>
      </c>
      <c r="M383" s="890">
        <v>251983.44</v>
      </c>
      <c r="N383" s="873"/>
      <c r="O383" s="873"/>
      <c r="P383" s="873"/>
      <c r="Q383" s="1165">
        <f t="shared" si="39"/>
        <v>51147</v>
      </c>
      <c r="R383" s="887"/>
      <c r="S383" s="1273"/>
      <c r="T383" s="1256"/>
      <c r="U383" s="996" t="s">
        <v>10411</v>
      </c>
      <c r="V383" s="996"/>
      <c r="W383" s="992" t="s">
        <v>10466</v>
      </c>
    </row>
    <row r="384" spans="1:23" ht="14.5" customHeight="1">
      <c r="A384" s="1034"/>
      <c r="B384" s="1034"/>
      <c r="C384" s="987"/>
      <c r="F384" s="988"/>
      <c r="G384" s="1095" t="str">
        <f t="shared" si="38"/>
        <v>1111021</v>
      </c>
      <c r="H384" s="1016" t="s">
        <v>7575</v>
      </c>
      <c r="I384" s="944" t="str">
        <f t="shared" si="26"/>
        <v>1111021205</v>
      </c>
      <c r="J384" s="991" t="s">
        <v>10467</v>
      </c>
      <c r="K384" s="890">
        <v>128759.9</v>
      </c>
      <c r="L384" s="890">
        <v>1453.26</v>
      </c>
      <c r="M384" s="890">
        <v>128624.44</v>
      </c>
      <c r="N384" s="873"/>
      <c r="O384" s="873"/>
      <c r="P384" s="873"/>
      <c r="Q384" s="1165">
        <f t="shared" si="39"/>
        <v>1455</v>
      </c>
      <c r="R384" s="887"/>
      <c r="S384" s="1273"/>
      <c r="T384" s="1256"/>
      <c r="U384" s="996" t="s">
        <v>10411</v>
      </c>
      <c r="V384" s="996"/>
      <c r="W384" s="992"/>
    </row>
    <row r="385" spans="1:23" ht="14.5" customHeight="1">
      <c r="A385" s="1034"/>
      <c r="B385" s="1034"/>
      <c r="C385" s="987"/>
      <c r="F385" s="988"/>
      <c r="G385" s="1095" t="str">
        <f t="shared" si="38"/>
        <v>1111021</v>
      </c>
      <c r="H385" s="1016" t="s">
        <v>10468</v>
      </c>
      <c r="I385" s="944" t="str">
        <f t="shared" si="26"/>
        <v>1111021206</v>
      </c>
      <c r="J385" s="991" t="s">
        <v>10469</v>
      </c>
      <c r="K385" s="890">
        <v>449900.4</v>
      </c>
      <c r="L385" s="890">
        <v>8402.19</v>
      </c>
      <c r="M385" s="890">
        <v>446759.9</v>
      </c>
      <c r="N385" s="873"/>
      <c r="O385" s="873"/>
      <c r="P385" s="873"/>
      <c r="Q385" s="1165">
        <f t="shared" si="39"/>
        <v>8461</v>
      </c>
      <c r="R385" s="887"/>
      <c r="S385" s="1273"/>
      <c r="T385" s="1256"/>
      <c r="U385" s="996" t="s">
        <v>10411</v>
      </c>
      <c r="V385" s="996"/>
      <c r="W385" s="992"/>
    </row>
    <row r="386" spans="1:23" ht="14.5" customHeight="1">
      <c r="A386" s="1034"/>
      <c r="B386" s="1034"/>
      <c r="C386" s="987"/>
      <c r="F386" s="988"/>
      <c r="G386" s="1095" t="str">
        <f t="shared" si="38"/>
        <v>1111021</v>
      </c>
      <c r="H386" s="1016" t="s">
        <v>10470</v>
      </c>
      <c r="I386" s="944" t="str">
        <f t="shared" si="26"/>
        <v>1111021207</v>
      </c>
      <c r="J386" s="991" t="s">
        <v>10471</v>
      </c>
      <c r="K386" s="890">
        <v>609283.69999999995</v>
      </c>
      <c r="L386" s="890">
        <v>16901.87</v>
      </c>
      <c r="M386" s="890">
        <v>608783.9</v>
      </c>
      <c r="N386" s="873"/>
      <c r="O386" s="873"/>
      <c r="P386" s="873"/>
      <c r="Q386" s="1165">
        <f t="shared" si="39"/>
        <v>16916</v>
      </c>
      <c r="R386" s="887"/>
      <c r="S386" s="1273"/>
      <c r="T386" s="1256"/>
      <c r="U386" s="996" t="s">
        <v>10411</v>
      </c>
      <c r="V386" s="996"/>
      <c r="W386" s="992"/>
    </row>
    <row r="387" spans="1:23" ht="14.5" customHeight="1">
      <c r="C387" s="987"/>
      <c r="F387" s="988"/>
      <c r="G387" s="1095" t="str">
        <f t="shared" si="38"/>
        <v>1111021</v>
      </c>
      <c r="H387" s="1016" t="s">
        <v>5476</v>
      </c>
      <c r="I387" s="944" t="str">
        <f t="shared" si="26"/>
        <v>1111021301</v>
      </c>
      <c r="J387" s="991" t="s">
        <v>10472</v>
      </c>
      <c r="K387" s="890">
        <v>20724.5</v>
      </c>
      <c r="L387" s="873">
        <f>L393</f>
        <v>31</v>
      </c>
      <c r="M387" s="873">
        <f>M393</f>
        <v>1353</v>
      </c>
      <c r="N387" s="886"/>
      <c r="O387" s="886"/>
      <c r="P387" s="886"/>
      <c r="Q387" s="1165">
        <f>ROUND(K387*L387/M387,0)</f>
        <v>475</v>
      </c>
      <c r="R387" s="882"/>
      <c r="S387" s="1269"/>
      <c r="T387" s="1254"/>
      <c r="U387" s="996" t="s">
        <v>10473</v>
      </c>
      <c r="V387" s="996" t="s">
        <v>10278</v>
      </c>
      <c r="W387" s="992" t="s">
        <v>10474</v>
      </c>
    </row>
    <row r="388" spans="1:23" ht="14.5" customHeight="1">
      <c r="A388" s="1110"/>
      <c r="B388" s="1110"/>
      <c r="C388" s="998"/>
      <c r="D388" s="999" t="str">
        <f t="shared" si="35"/>
        <v/>
      </c>
      <c r="E388" s="1002"/>
      <c r="F388" s="999" t="str">
        <f t="shared" si="37"/>
        <v/>
      </c>
      <c r="G388" s="1104" t="str">
        <f>IF(F388="",G385,F388)</f>
        <v>1111021</v>
      </c>
      <c r="H388" s="1005" t="s">
        <v>10475</v>
      </c>
      <c r="I388" s="1002" t="str">
        <f t="shared" si="26"/>
        <v>1111021Y02</v>
      </c>
      <c r="J388" s="978" t="s">
        <v>10476</v>
      </c>
      <c r="K388" s="872"/>
      <c r="L388" s="872"/>
      <c r="M388" s="872"/>
      <c r="N388" s="872"/>
      <c r="O388" s="872"/>
      <c r="P388" s="872"/>
      <c r="Q388" s="1177">
        <v>-28.18</v>
      </c>
      <c r="R388" s="887"/>
      <c r="S388" s="1273"/>
      <c r="T388" s="1256"/>
      <c r="U388" s="1006" t="s">
        <v>10477</v>
      </c>
      <c r="V388" s="996"/>
      <c r="W388" s="1003" t="s">
        <v>10478</v>
      </c>
    </row>
    <row r="389" spans="1:23" ht="14.5" customHeight="1">
      <c r="A389" s="1034"/>
      <c r="B389" s="1034"/>
      <c r="C389" s="994" t="s">
        <v>5919</v>
      </c>
      <c r="D389" s="988" t="str">
        <f>IF(C389="","",CONCATENATE(LEFT(C389,4),MID(C389,6,2)))</f>
        <v>111109</v>
      </c>
      <c r="E389" s="989" t="s">
        <v>5920</v>
      </c>
      <c r="F389" s="988" t="str">
        <f>IF(E389="","",CONCATENATE(LEFT(E389,4),MID(E389,6,3)))</f>
        <v>1111099</v>
      </c>
      <c r="G389" s="1095" t="str">
        <f>IF(F389="",G374,F389)</f>
        <v>1111099</v>
      </c>
      <c r="I389" s="944" t="str">
        <f t="shared" ref="I389:I417" si="40">IF(H389="","",CONCATENATE(G389,H389))</f>
        <v/>
      </c>
      <c r="J389" s="990" t="s">
        <v>124</v>
      </c>
      <c r="K389" s="886"/>
      <c r="L389" s="886"/>
      <c r="M389" s="886"/>
      <c r="N389" s="886"/>
      <c r="O389" s="886"/>
      <c r="P389" s="896">
        <f>Q389</f>
        <v>107047</v>
      </c>
      <c r="Q389" s="1171">
        <f>ROUND(SUM(Q390:Q394),0)</f>
        <v>107047</v>
      </c>
      <c r="R389" s="1001" t="s">
        <v>10479</v>
      </c>
      <c r="S389" s="1271"/>
      <c r="T389" s="1255"/>
      <c r="U389" s="996"/>
      <c r="V389" s="996"/>
      <c r="W389" s="992"/>
    </row>
    <row r="390" spans="1:23" ht="14.5" customHeight="1">
      <c r="A390" s="1034"/>
      <c r="B390" s="1034"/>
      <c r="C390" s="987"/>
      <c r="D390" s="988" t="str">
        <f>IF(C390="","",CONCATENATE(LEFT(C390,4),MID(C390,6,2)))</f>
        <v/>
      </c>
      <c r="F390" s="988" t="str">
        <f>IF(E390="","",CONCATENATE(LEFT(E390,4),MID(E390,6,3)))</f>
        <v/>
      </c>
      <c r="G390" s="1095" t="str">
        <f>IF(F390="",G389,F390)</f>
        <v>1111099</v>
      </c>
      <c r="H390" s="1016" t="s">
        <v>575</v>
      </c>
      <c r="I390" s="944" t="str">
        <f t="shared" si="40"/>
        <v>1111099101</v>
      </c>
      <c r="J390" s="991" t="s">
        <v>10480</v>
      </c>
      <c r="K390" s="873"/>
      <c r="L390" s="873"/>
      <c r="M390" s="873"/>
      <c r="N390" s="886"/>
      <c r="O390" s="886"/>
      <c r="P390" s="886"/>
      <c r="Q390" s="1167">
        <v>0</v>
      </c>
      <c r="R390" s="882"/>
      <c r="S390" s="1269"/>
      <c r="T390" s="1254"/>
      <c r="U390" s="996" t="s">
        <v>10481</v>
      </c>
      <c r="V390" s="996" t="s">
        <v>10482</v>
      </c>
      <c r="W390" s="992" t="s">
        <v>10483</v>
      </c>
    </row>
    <row r="391" spans="1:23" ht="14.5" customHeight="1">
      <c r="A391" s="1034"/>
      <c r="B391" s="1034"/>
      <c r="C391" s="987"/>
      <c r="D391" s="988" t="str">
        <f>IF(C391="","",CONCATENATE(LEFT(C391,4),MID(C391,6,2)))</f>
        <v/>
      </c>
      <c r="F391" s="988" t="str">
        <f>IF(E391="","",CONCATENATE(LEFT(E391,4),MID(E391,6,3)))</f>
        <v/>
      </c>
      <c r="G391" s="1095" t="str">
        <f>IF(F391="",G390,F391)</f>
        <v>1111099</v>
      </c>
      <c r="H391" s="1016" t="s">
        <v>6000</v>
      </c>
      <c r="I391" s="944" t="str">
        <f>IF(H391="","",CONCATENATE(G391,H391))</f>
        <v>1111099102</v>
      </c>
      <c r="J391" s="991" t="s">
        <v>10484</v>
      </c>
      <c r="K391" s="890">
        <v>996103.5</v>
      </c>
      <c r="L391" s="890">
        <v>82179.7</v>
      </c>
      <c r="M391" s="890">
        <v>978565.56</v>
      </c>
      <c r="N391" s="886"/>
      <c r="O391" s="886"/>
      <c r="P391" s="886"/>
      <c r="Q391" s="1162">
        <f>ROUND(K391*L391/M391,0)</f>
        <v>83653</v>
      </c>
      <c r="R391" s="882"/>
      <c r="S391" s="1269"/>
      <c r="T391" s="1254"/>
      <c r="U391" s="996" t="s">
        <v>10485</v>
      </c>
      <c r="V391" s="996" t="s">
        <v>10482</v>
      </c>
      <c r="W391" s="992" t="s">
        <v>10486</v>
      </c>
    </row>
    <row r="392" spans="1:23" ht="14.5" customHeight="1">
      <c r="A392" s="1034"/>
      <c r="B392" s="1034"/>
      <c r="C392" s="987"/>
      <c r="F392" s="988"/>
      <c r="G392" s="1095" t="str">
        <f>IF(F392="",G391,F392)</f>
        <v>1111099</v>
      </c>
      <c r="H392" s="1016" t="s">
        <v>5602</v>
      </c>
      <c r="I392" s="944" t="str">
        <f>IF(H392="","",CONCATENATE(G392,H392))</f>
        <v>1111099201</v>
      </c>
      <c r="J392" s="991" t="s">
        <v>10487</v>
      </c>
      <c r="K392" s="890">
        <v>440907.4</v>
      </c>
      <c r="L392" s="890">
        <v>21767.23</v>
      </c>
      <c r="M392" s="890">
        <v>435778.57</v>
      </c>
      <c r="N392" s="886"/>
      <c r="O392" s="886"/>
      <c r="P392" s="886"/>
      <c r="Q392" s="1165">
        <f>ROUND(K392*L392/M392,0)</f>
        <v>22023</v>
      </c>
      <c r="R392" s="882"/>
      <c r="S392" s="1269"/>
      <c r="T392" s="1254"/>
      <c r="U392" s="996" t="s">
        <v>10411</v>
      </c>
      <c r="V392" s="996"/>
      <c r="W392" s="992"/>
    </row>
    <row r="393" spans="1:23" ht="14.5" customHeight="1">
      <c r="A393" s="1034"/>
      <c r="B393" s="1034"/>
      <c r="C393" s="987"/>
      <c r="D393" s="988" t="str">
        <f>IF(C393="","",CONCATENATE(LEFT(C393,4),MID(C393,6,2)))</f>
        <v/>
      </c>
      <c r="F393" s="988" t="str">
        <f>IF(E393="","",CONCATENATE(LEFT(E393,4),MID(E393,6,3)))</f>
        <v/>
      </c>
      <c r="G393" s="1095" t="str">
        <f>IF(F393="",G391,F393)</f>
        <v>1111099</v>
      </c>
      <c r="H393" s="1016" t="s">
        <v>5484</v>
      </c>
      <c r="I393" s="944" t="str">
        <f t="shared" si="40"/>
        <v>1111099301</v>
      </c>
      <c r="J393" s="991" t="s">
        <v>10488</v>
      </c>
      <c r="K393" s="890">
        <v>59365.3</v>
      </c>
      <c r="L393" s="890">
        <v>31</v>
      </c>
      <c r="M393" s="890">
        <v>1353</v>
      </c>
      <c r="N393" s="886"/>
      <c r="O393" s="886"/>
      <c r="P393" s="886"/>
      <c r="Q393" s="1165">
        <f>ROUND(K393*L393/M393,0)</f>
        <v>1360</v>
      </c>
      <c r="R393" s="882"/>
      <c r="S393" s="1269"/>
      <c r="T393" s="1254"/>
      <c r="U393" s="996" t="s">
        <v>10473</v>
      </c>
      <c r="V393" s="996" t="s">
        <v>10278</v>
      </c>
      <c r="W393" s="992" t="s">
        <v>10489</v>
      </c>
    </row>
    <row r="394" spans="1:23" ht="14.5" customHeight="1">
      <c r="A394" s="1034"/>
      <c r="B394" s="1034"/>
      <c r="C394" s="998"/>
      <c r="D394" s="999"/>
      <c r="E394" s="1002"/>
      <c r="F394" s="999"/>
      <c r="G394" s="1104" t="str">
        <f>IF(F394="",G393,F394)</f>
        <v>1111099</v>
      </c>
      <c r="H394" s="1005" t="s">
        <v>10490</v>
      </c>
      <c r="I394" s="1109" t="str">
        <f t="shared" si="40"/>
        <v>1111099Y01</v>
      </c>
      <c r="J394" s="978" t="s">
        <v>10491</v>
      </c>
      <c r="K394" s="893"/>
      <c r="L394" s="872"/>
      <c r="M394" s="872"/>
      <c r="N394" s="893"/>
      <c r="O394" s="893"/>
      <c r="P394" s="893"/>
      <c r="Q394" s="1170">
        <v>10.62</v>
      </c>
      <c r="R394" s="900"/>
      <c r="S394" s="1272"/>
      <c r="T394" s="900"/>
      <c r="U394" s="1006" t="s">
        <v>10492</v>
      </c>
      <c r="V394" s="1006"/>
      <c r="W394" s="1003" t="s">
        <v>10493</v>
      </c>
    </row>
    <row r="395" spans="1:23" ht="14.5" customHeight="1">
      <c r="C395" s="981" t="s">
        <v>5926</v>
      </c>
      <c r="D395" s="982" t="str">
        <f t="shared" si="35"/>
        <v>111201</v>
      </c>
      <c r="E395" s="983" t="s">
        <v>5927</v>
      </c>
      <c r="F395" s="982" t="str">
        <f t="shared" si="37"/>
        <v>1112011</v>
      </c>
      <c r="G395" s="1103" t="str">
        <f>IF(F395="",G388,F395)</f>
        <v>1112011</v>
      </c>
      <c r="H395" s="1102"/>
      <c r="I395" s="947" t="str">
        <f t="shared" si="40"/>
        <v/>
      </c>
      <c r="J395" s="984" t="s">
        <v>126</v>
      </c>
      <c r="K395" s="889"/>
      <c r="L395" s="889"/>
      <c r="M395" s="889"/>
      <c r="N395" s="889"/>
      <c r="O395" s="889"/>
      <c r="P395" s="881">
        <f>Q395</f>
        <v>4918</v>
      </c>
      <c r="Q395" s="1160">
        <f>SUM(Q396:Q398)</f>
        <v>4918</v>
      </c>
      <c r="R395" s="1004" t="s">
        <v>10494</v>
      </c>
      <c r="S395" s="1274"/>
      <c r="T395" s="1004"/>
      <c r="U395" s="993"/>
      <c r="V395" s="993"/>
      <c r="W395" s="986"/>
    </row>
    <row r="396" spans="1:23" ht="14.5" customHeight="1">
      <c r="C396" s="987"/>
      <c r="D396" s="988" t="str">
        <f t="shared" si="35"/>
        <v/>
      </c>
      <c r="F396" s="988" t="str">
        <f t="shared" si="37"/>
        <v/>
      </c>
      <c r="G396" s="1095" t="str">
        <f t="shared" ref="G396:G408" si="41">IF(F396="",G395,F396)</f>
        <v>1112011</v>
      </c>
      <c r="H396" s="1016" t="s">
        <v>575</v>
      </c>
      <c r="I396" s="944" t="str">
        <f t="shared" si="40"/>
        <v>1112011101</v>
      </c>
      <c r="J396" s="991" t="s">
        <v>5928</v>
      </c>
      <c r="K396" s="890">
        <v>1009643.4</v>
      </c>
      <c r="L396" s="890">
        <v>3486</v>
      </c>
      <c r="M396" s="890">
        <v>1281265</v>
      </c>
      <c r="N396" s="886"/>
      <c r="O396" s="886"/>
      <c r="P396" s="886"/>
      <c r="Q396" s="1162">
        <f>ROUND(K396*L396/M396,0)</f>
        <v>2747</v>
      </c>
      <c r="R396" s="882"/>
      <c r="S396" s="1269"/>
      <c r="T396" s="1254"/>
      <c r="U396" s="996" t="s">
        <v>10495</v>
      </c>
      <c r="V396" s="996" t="s">
        <v>10278</v>
      </c>
      <c r="W396" s="992" t="s">
        <v>10496</v>
      </c>
    </row>
    <row r="397" spans="1:23" ht="14.5" customHeight="1">
      <c r="C397" s="987"/>
      <c r="D397" s="988" t="str">
        <f t="shared" si="35"/>
        <v/>
      </c>
      <c r="F397" s="988" t="str">
        <f t="shared" si="37"/>
        <v/>
      </c>
      <c r="G397" s="1095" t="str">
        <f t="shared" si="41"/>
        <v>1112011</v>
      </c>
      <c r="H397" s="1016" t="s">
        <v>5383</v>
      </c>
      <c r="I397" s="944" t="str">
        <f t="shared" si="40"/>
        <v>1112011201</v>
      </c>
      <c r="J397" s="991" t="s">
        <v>5929</v>
      </c>
      <c r="K397" s="890">
        <v>107353.60000000001</v>
      </c>
      <c r="L397" s="890">
        <v>2689</v>
      </c>
      <c r="M397" s="890">
        <v>133146</v>
      </c>
      <c r="N397" s="886"/>
      <c r="O397" s="886"/>
      <c r="P397" s="886"/>
      <c r="Q397" s="1162">
        <f>ROUND(K397*L397/M397,0)</f>
        <v>2168</v>
      </c>
      <c r="R397" s="882"/>
      <c r="S397" s="1269"/>
      <c r="T397" s="1254"/>
      <c r="U397" s="996" t="s">
        <v>10129</v>
      </c>
      <c r="V397" s="996" t="s">
        <v>10129</v>
      </c>
      <c r="W397" s="992" t="s">
        <v>10497</v>
      </c>
    </row>
    <row r="398" spans="1:23" ht="14.5" customHeight="1">
      <c r="C398" s="998"/>
      <c r="D398" s="999" t="str">
        <f t="shared" si="35"/>
        <v/>
      </c>
      <c r="E398" s="1002"/>
      <c r="F398" s="999" t="str">
        <f t="shared" si="37"/>
        <v/>
      </c>
      <c r="G398" s="1104" t="str">
        <f t="shared" si="41"/>
        <v>1112011</v>
      </c>
      <c r="H398" s="1005" t="s">
        <v>5421</v>
      </c>
      <c r="I398" s="1002" t="str">
        <f t="shared" si="40"/>
        <v>1112011301</v>
      </c>
      <c r="J398" s="978" t="s">
        <v>5930</v>
      </c>
      <c r="K398" s="895">
        <v>739</v>
      </c>
      <c r="L398" s="893">
        <f>SUM(Q396:Q397)</f>
        <v>4915</v>
      </c>
      <c r="M398" s="893">
        <f>SUM(K396:K397)</f>
        <v>1116997</v>
      </c>
      <c r="N398" s="893"/>
      <c r="O398" s="893"/>
      <c r="P398" s="893"/>
      <c r="Q398" s="1176">
        <f>ROUND(K398*L398/M398,0)</f>
        <v>3</v>
      </c>
      <c r="R398" s="900"/>
      <c r="S398" s="1272"/>
      <c r="T398" s="900"/>
      <c r="U398" s="1006"/>
      <c r="V398" s="1006"/>
      <c r="W398" s="1003" t="s">
        <v>10498</v>
      </c>
    </row>
    <row r="399" spans="1:23" ht="14.5" customHeight="1">
      <c r="C399" s="994" t="s">
        <v>5931</v>
      </c>
      <c r="D399" s="988" t="str">
        <f t="shared" si="35"/>
        <v>111202</v>
      </c>
      <c r="E399" s="989" t="s">
        <v>5932</v>
      </c>
      <c r="F399" s="988" t="str">
        <f t="shared" si="37"/>
        <v>1112021</v>
      </c>
      <c r="G399" s="1095" t="str">
        <f t="shared" si="41"/>
        <v>1112021</v>
      </c>
      <c r="I399" s="944" t="str">
        <f t="shared" si="40"/>
        <v/>
      </c>
      <c r="J399" s="990" t="s">
        <v>127</v>
      </c>
      <c r="K399" s="886"/>
      <c r="L399" s="886"/>
      <c r="M399" s="886"/>
      <c r="N399" s="886"/>
      <c r="O399" s="886"/>
      <c r="P399" s="896">
        <f>Q399</f>
        <v>12642</v>
      </c>
      <c r="Q399" s="1171">
        <f>ROUND(SUM(Q400:Q404),0)</f>
        <v>12642</v>
      </c>
      <c r="R399" s="1001" t="s">
        <v>10499</v>
      </c>
      <c r="S399" s="1271"/>
      <c r="T399" s="1255"/>
      <c r="U399" s="996"/>
      <c r="V399" s="996"/>
      <c r="W399" s="992"/>
    </row>
    <row r="400" spans="1:23" ht="14.5" customHeight="1">
      <c r="C400" s="987"/>
      <c r="D400" s="988" t="str">
        <f t="shared" si="35"/>
        <v/>
      </c>
      <c r="F400" s="988" t="str">
        <f t="shared" si="37"/>
        <v/>
      </c>
      <c r="G400" s="1095" t="str">
        <f t="shared" si="41"/>
        <v>1112021</v>
      </c>
      <c r="H400" s="1016" t="s">
        <v>575</v>
      </c>
      <c r="I400" s="944" t="str">
        <f t="shared" si="40"/>
        <v>1112021101</v>
      </c>
      <c r="J400" s="991" t="s">
        <v>5933</v>
      </c>
      <c r="K400" s="890">
        <v>346247.3</v>
      </c>
      <c r="L400" s="890">
        <f>5734+296</f>
        <v>6030</v>
      </c>
      <c r="M400" s="890">
        <f>134784+169955</f>
        <v>304739</v>
      </c>
      <c r="N400" s="886"/>
      <c r="O400" s="886"/>
      <c r="P400" s="886"/>
      <c r="Q400" s="1162">
        <f>ROUND(K400*L400/M400,0)</f>
        <v>6851</v>
      </c>
      <c r="R400" s="882"/>
      <c r="S400" s="1269"/>
      <c r="T400" s="1254"/>
      <c r="U400" s="996" t="s">
        <v>10495</v>
      </c>
      <c r="V400" s="996" t="s">
        <v>10278</v>
      </c>
      <c r="W400" s="992" t="s">
        <v>10500</v>
      </c>
    </row>
    <row r="401" spans="3:23" ht="14.5" customHeight="1">
      <c r="C401" s="987"/>
      <c r="D401" s="988" t="str">
        <f t="shared" si="35"/>
        <v/>
      </c>
      <c r="F401" s="988" t="str">
        <f t="shared" si="37"/>
        <v/>
      </c>
      <c r="G401" s="1095" t="str">
        <f t="shared" si="41"/>
        <v>1112021</v>
      </c>
      <c r="H401" s="1016" t="s">
        <v>5359</v>
      </c>
      <c r="I401" s="944" t="str">
        <f t="shared" si="40"/>
        <v>1112021102</v>
      </c>
      <c r="J401" s="991" t="s">
        <v>5934</v>
      </c>
      <c r="K401" s="890">
        <v>74577.899999999994</v>
      </c>
      <c r="L401" s="890">
        <f>37+4684</f>
        <v>4721</v>
      </c>
      <c r="M401" s="890">
        <f>6835+55191</f>
        <v>62026</v>
      </c>
      <c r="N401" s="886"/>
      <c r="O401" s="886"/>
      <c r="P401" s="886"/>
      <c r="Q401" s="1162">
        <f>ROUND(K401*L401/M401,0)</f>
        <v>5676</v>
      </c>
      <c r="R401" s="882"/>
      <c r="S401" s="1269"/>
      <c r="T401" s="1254"/>
      <c r="U401" s="996" t="s">
        <v>10495</v>
      </c>
      <c r="V401" s="996" t="s">
        <v>10129</v>
      </c>
      <c r="W401" s="992" t="s">
        <v>10501</v>
      </c>
    </row>
    <row r="402" spans="3:23" ht="14.5" customHeight="1">
      <c r="C402" s="987"/>
      <c r="D402" s="988" t="str">
        <f t="shared" si="35"/>
        <v/>
      </c>
      <c r="F402" s="988" t="str">
        <f t="shared" si="37"/>
        <v/>
      </c>
      <c r="G402" s="1095" t="str">
        <f t="shared" si="41"/>
        <v>1112021</v>
      </c>
      <c r="H402" s="1016" t="s">
        <v>5659</v>
      </c>
      <c r="I402" s="944" t="str">
        <f t="shared" si="40"/>
        <v>1112021103</v>
      </c>
      <c r="J402" s="991" t="s">
        <v>5935</v>
      </c>
      <c r="K402" s="890">
        <v>12172.9</v>
      </c>
      <c r="L402" s="890">
        <v>40</v>
      </c>
      <c r="M402" s="890">
        <v>11805</v>
      </c>
      <c r="N402" s="886"/>
      <c r="O402" s="886"/>
      <c r="P402" s="886"/>
      <c r="Q402" s="1162">
        <f>ROUND(K402*L402/M402,0)</f>
        <v>41</v>
      </c>
      <c r="R402" s="882"/>
      <c r="S402" s="1269"/>
      <c r="T402" s="1254"/>
      <c r="U402" s="996" t="s">
        <v>10502</v>
      </c>
      <c r="V402" s="996" t="s">
        <v>10129</v>
      </c>
      <c r="W402" s="992" t="s">
        <v>10503</v>
      </c>
    </row>
    <row r="403" spans="3:23" ht="14.5" customHeight="1">
      <c r="C403" s="987"/>
      <c r="D403" s="988" t="str">
        <f t="shared" si="35"/>
        <v/>
      </c>
      <c r="F403" s="988" t="str">
        <f t="shared" si="37"/>
        <v/>
      </c>
      <c r="G403" s="1095" t="str">
        <f t="shared" si="41"/>
        <v>1112021</v>
      </c>
      <c r="H403" s="1016" t="s">
        <v>5383</v>
      </c>
      <c r="I403" s="944" t="str">
        <f t="shared" si="40"/>
        <v>1112021201</v>
      </c>
      <c r="J403" s="991" t="s">
        <v>10504</v>
      </c>
      <c r="K403" s="890">
        <v>2731.9</v>
      </c>
      <c r="L403" s="886">
        <f>SUM(Q400:Q402)</f>
        <v>12568</v>
      </c>
      <c r="M403" s="886">
        <f>SUM(K400:K402)</f>
        <v>432998.1</v>
      </c>
      <c r="N403" s="886"/>
      <c r="O403" s="886"/>
      <c r="P403" s="886"/>
      <c r="Q403" s="1162">
        <f>ROUND(K403*L403/M403,0)</f>
        <v>79</v>
      </c>
      <c r="R403" s="882"/>
      <c r="S403" s="1269"/>
      <c r="T403" s="1254"/>
      <c r="U403" s="996"/>
      <c r="V403" s="996"/>
      <c r="W403" s="992" t="s">
        <v>10505</v>
      </c>
    </row>
    <row r="404" spans="3:23" ht="14.5" customHeight="1">
      <c r="C404" s="998"/>
      <c r="D404" s="999" t="str">
        <f t="shared" si="35"/>
        <v/>
      </c>
      <c r="E404" s="1002"/>
      <c r="F404" s="999" t="str">
        <f t="shared" si="37"/>
        <v/>
      </c>
      <c r="G404" s="1104" t="str">
        <f t="shared" si="41"/>
        <v>1112021</v>
      </c>
      <c r="H404" s="1005" t="s">
        <v>10456</v>
      </c>
      <c r="I404" s="1002" t="str">
        <f t="shared" si="40"/>
        <v>1112021Y01</v>
      </c>
      <c r="J404" s="978" t="s">
        <v>10506</v>
      </c>
      <c r="K404" s="893"/>
      <c r="L404" s="872"/>
      <c r="M404" s="872"/>
      <c r="N404" s="893"/>
      <c r="O404" s="893"/>
      <c r="P404" s="893"/>
      <c r="Q404" s="1170">
        <v>-4.59</v>
      </c>
      <c r="R404" s="900"/>
      <c r="S404" s="1272"/>
      <c r="T404" s="900"/>
      <c r="U404" s="1006" t="s">
        <v>10492</v>
      </c>
      <c r="V404" s="1006"/>
      <c r="W404" s="1003" t="s">
        <v>10507</v>
      </c>
    </row>
    <row r="405" spans="3:23" s="944" customFormat="1" ht="14.5" customHeight="1">
      <c r="C405" s="994" t="s">
        <v>5936</v>
      </c>
      <c r="D405" s="988" t="str">
        <f t="shared" si="35"/>
        <v>111203</v>
      </c>
      <c r="E405" s="989" t="s">
        <v>5937</v>
      </c>
      <c r="F405" s="988" t="str">
        <f t="shared" si="37"/>
        <v>1112031</v>
      </c>
      <c r="G405" s="1095" t="str">
        <f t="shared" si="41"/>
        <v>1112031</v>
      </c>
      <c r="H405" s="1016"/>
      <c r="I405" s="944" t="str">
        <f t="shared" si="40"/>
        <v/>
      </c>
      <c r="J405" s="990" t="s">
        <v>128</v>
      </c>
      <c r="K405" s="873"/>
      <c r="L405" s="873"/>
      <c r="M405" s="873"/>
      <c r="N405" s="873"/>
      <c r="O405" s="873"/>
      <c r="P405" s="883">
        <f>Q405</f>
        <v>896</v>
      </c>
      <c r="Q405" s="1161">
        <f>ROUND(SUM(Q406:Q408),0)</f>
        <v>896</v>
      </c>
      <c r="R405" s="887" t="s">
        <v>10508</v>
      </c>
      <c r="S405" s="1273"/>
      <c r="T405" s="1256"/>
      <c r="U405" s="996"/>
      <c r="V405" s="996"/>
      <c r="W405" s="992"/>
    </row>
    <row r="406" spans="3:23" s="944" customFormat="1" ht="14.5" customHeight="1">
      <c r="C406" s="987"/>
      <c r="D406" s="988" t="str">
        <f t="shared" si="35"/>
        <v/>
      </c>
      <c r="F406" s="988" t="str">
        <f t="shared" si="37"/>
        <v/>
      </c>
      <c r="G406" s="1095" t="str">
        <f t="shared" si="41"/>
        <v>1112031</v>
      </c>
      <c r="H406" s="1016" t="s">
        <v>575</v>
      </c>
      <c r="I406" s="944" t="str">
        <f t="shared" si="40"/>
        <v>1112031101</v>
      </c>
      <c r="J406" s="991" t="s">
        <v>5938</v>
      </c>
      <c r="K406" s="890">
        <v>102160.2</v>
      </c>
      <c r="L406" s="890">
        <f>0+0+895164</f>
        <v>895164</v>
      </c>
      <c r="M406" s="890">
        <f>93327346+68796+7740345</f>
        <v>101136487</v>
      </c>
      <c r="N406" s="873"/>
      <c r="O406" s="873"/>
      <c r="P406" s="873"/>
      <c r="Q406" s="1165">
        <f>ROUND(K406*L406/M406,0)</f>
        <v>904</v>
      </c>
      <c r="R406" s="887"/>
      <c r="S406" s="1273"/>
      <c r="T406" s="1256"/>
      <c r="U406" s="996" t="s">
        <v>10481</v>
      </c>
      <c r="V406" s="996"/>
      <c r="W406" s="992" t="s">
        <v>10509</v>
      </c>
    </row>
    <row r="407" spans="3:23" s="944" customFormat="1" ht="14.5" customHeight="1">
      <c r="C407" s="987"/>
      <c r="D407" s="988" t="str">
        <f t="shared" si="35"/>
        <v/>
      </c>
      <c r="F407" s="988" t="str">
        <f t="shared" si="37"/>
        <v/>
      </c>
      <c r="G407" s="1095" t="str">
        <f t="shared" si="41"/>
        <v>1112031</v>
      </c>
      <c r="H407" s="1016" t="s">
        <v>5383</v>
      </c>
      <c r="I407" s="944" t="str">
        <f t="shared" si="40"/>
        <v>1112031201</v>
      </c>
      <c r="J407" s="991" t="s">
        <v>10510</v>
      </c>
      <c r="K407" s="890">
        <v>120.8</v>
      </c>
      <c r="L407" s="873">
        <f>L406</f>
        <v>895164</v>
      </c>
      <c r="M407" s="873">
        <f>M406</f>
        <v>101136487</v>
      </c>
      <c r="N407" s="873"/>
      <c r="O407" s="873"/>
      <c r="P407" s="873"/>
      <c r="Q407" s="1165">
        <f>ROUND(K407*L407/M407,0)</f>
        <v>1</v>
      </c>
      <c r="R407" s="887"/>
      <c r="S407" s="1273"/>
      <c r="T407" s="1256"/>
      <c r="U407" s="996" t="s">
        <v>10122</v>
      </c>
      <c r="V407" s="996"/>
      <c r="W407" s="992" t="s">
        <v>10203</v>
      </c>
    </row>
    <row r="408" spans="3:23" s="944" customFormat="1" ht="14.5" customHeight="1">
      <c r="C408" s="998"/>
      <c r="D408" s="999"/>
      <c r="E408" s="1002"/>
      <c r="F408" s="999"/>
      <c r="G408" s="1104" t="str">
        <f t="shared" si="41"/>
        <v>1112031</v>
      </c>
      <c r="H408" s="1005" t="s">
        <v>10456</v>
      </c>
      <c r="I408" s="1109" t="str">
        <f t="shared" si="40"/>
        <v>1112031Y01</v>
      </c>
      <c r="J408" s="978" t="s">
        <v>10511</v>
      </c>
      <c r="K408" s="872"/>
      <c r="L408" s="872"/>
      <c r="M408" s="872"/>
      <c r="N408" s="872"/>
      <c r="O408" s="872"/>
      <c r="P408" s="872"/>
      <c r="Q408" s="1170">
        <v>-9</v>
      </c>
      <c r="R408" s="908"/>
      <c r="S408" s="1277"/>
      <c r="T408" s="908"/>
      <c r="U408" s="1006" t="s">
        <v>10492</v>
      </c>
      <c r="V408" s="1006"/>
      <c r="W408" s="1003" t="s">
        <v>10493</v>
      </c>
    </row>
    <row r="409" spans="3:23" ht="14.5" customHeight="1">
      <c r="C409" s="994" t="s">
        <v>5940</v>
      </c>
      <c r="D409" s="988" t="str">
        <f t="shared" ref="D409:D419" si="42">IF(C409="","",CONCATENATE(LEFT(C409,4),MID(C409,6,2)))</f>
        <v>111204</v>
      </c>
      <c r="E409" s="989" t="s">
        <v>5941</v>
      </c>
      <c r="F409" s="988" t="str">
        <f t="shared" si="37"/>
        <v>1112041</v>
      </c>
      <c r="G409" s="1095" t="str">
        <f>IF(F409="",G407,F409)</f>
        <v>1112041</v>
      </c>
      <c r="I409" s="944" t="str">
        <f t="shared" si="40"/>
        <v/>
      </c>
      <c r="J409" s="990" t="s">
        <v>130</v>
      </c>
      <c r="K409" s="896"/>
      <c r="L409" s="886"/>
      <c r="M409" s="886"/>
      <c r="N409" s="886"/>
      <c r="O409" s="886"/>
      <c r="P409" s="896">
        <f>Q409</f>
        <v>31701</v>
      </c>
      <c r="Q409" s="1161">
        <f>ROUND(SUM(Q410:Q413),0)</f>
        <v>31701</v>
      </c>
      <c r="R409" s="1001" t="s">
        <v>10512</v>
      </c>
      <c r="S409" s="1271"/>
      <c r="T409" s="1255"/>
      <c r="U409" s="996"/>
      <c r="V409" s="996"/>
      <c r="W409" s="992"/>
    </row>
    <row r="410" spans="3:23" ht="14.5" customHeight="1">
      <c r="C410" s="987"/>
      <c r="D410" s="988" t="str">
        <f>IF(C410="","",CONCATENATE(LEFT(C410,4),MID(C410,6,2)))</f>
        <v/>
      </c>
      <c r="F410" s="988" t="str">
        <f>IF(E410="","",CONCATENATE(LEFT(E410,4),MID(E410,6,3)))</f>
        <v/>
      </c>
      <c r="G410" s="1095" t="str">
        <f>IF(F410="",G409,F410)</f>
        <v>1112041</v>
      </c>
      <c r="H410" s="1016" t="s">
        <v>5534</v>
      </c>
      <c r="I410" s="944" t="str">
        <f>IF(H410="","",CONCATENATE(G410,H410))</f>
        <v>1112041101</v>
      </c>
      <c r="J410" s="991" t="s">
        <v>10513</v>
      </c>
      <c r="K410" s="890">
        <v>28036.5</v>
      </c>
      <c r="L410" s="890">
        <v>0</v>
      </c>
      <c r="M410" s="890">
        <v>59825</v>
      </c>
      <c r="N410" s="873"/>
      <c r="O410" s="873"/>
      <c r="P410" s="873"/>
      <c r="Q410" s="1165">
        <f>ROUND(K410*L410/M410,0)</f>
        <v>0</v>
      </c>
      <c r="R410" s="887"/>
      <c r="S410" s="1273"/>
      <c r="T410" s="1256"/>
      <c r="U410" s="996" t="s">
        <v>10495</v>
      </c>
      <c r="V410" s="996"/>
      <c r="W410" s="1009" t="s">
        <v>10514</v>
      </c>
    </row>
    <row r="411" spans="3:23" ht="14.5" customHeight="1">
      <c r="C411" s="987"/>
      <c r="D411" s="988" t="str">
        <f t="shared" si="42"/>
        <v/>
      </c>
      <c r="F411" s="988" t="str">
        <f t="shared" si="37"/>
        <v/>
      </c>
      <c r="G411" s="1095" t="str">
        <f>IF(F411="",G410,F411)</f>
        <v>1112041</v>
      </c>
      <c r="H411" s="1016" t="s">
        <v>6000</v>
      </c>
      <c r="I411" s="944" t="str">
        <f t="shared" si="40"/>
        <v>1112041102</v>
      </c>
      <c r="J411" s="991" t="s">
        <v>10515</v>
      </c>
      <c r="K411" s="890">
        <v>311382.90000000002</v>
      </c>
      <c r="L411" s="890">
        <v>44391</v>
      </c>
      <c r="M411" s="890">
        <v>440095</v>
      </c>
      <c r="N411" s="873"/>
      <c r="O411" s="873"/>
      <c r="P411" s="873"/>
      <c r="Q411" s="1165">
        <f>ROUND(K411*L411/M411,0)</f>
        <v>31408</v>
      </c>
      <c r="R411" s="887"/>
      <c r="S411" s="1273"/>
      <c r="T411" s="1256"/>
      <c r="U411" s="996" t="s">
        <v>10389</v>
      </c>
      <c r="V411" s="996"/>
      <c r="W411" s="992" t="s">
        <v>10516</v>
      </c>
    </row>
    <row r="412" spans="3:23" ht="14.5" customHeight="1">
      <c r="C412" s="987"/>
      <c r="D412" s="988" t="str">
        <f t="shared" si="42"/>
        <v/>
      </c>
      <c r="F412" s="988" t="str">
        <f t="shared" si="37"/>
        <v/>
      </c>
      <c r="G412" s="1095" t="str">
        <f>IF(F412="",G411,F412)</f>
        <v>1112041</v>
      </c>
      <c r="H412" s="1016" t="s">
        <v>5455</v>
      </c>
      <c r="I412" s="944" t="str">
        <f t="shared" si="40"/>
        <v>1112041201</v>
      </c>
      <c r="J412" s="991" t="s">
        <v>10517</v>
      </c>
      <c r="K412" s="890">
        <v>3305.6</v>
      </c>
      <c r="L412" s="873">
        <f>L410+L411</f>
        <v>44391</v>
      </c>
      <c r="M412" s="873">
        <f>M410+M411</f>
        <v>499920</v>
      </c>
      <c r="N412" s="873"/>
      <c r="O412" s="873"/>
      <c r="P412" s="873"/>
      <c r="Q412" s="1165">
        <f>ROUND(K412*L412/M412,0)</f>
        <v>294</v>
      </c>
      <c r="R412" s="887"/>
      <c r="S412" s="1273"/>
      <c r="T412" s="1256"/>
      <c r="U412" s="991" t="s">
        <v>10122</v>
      </c>
      <c r="V412" s="996"/>
      <c r="W412" s="1019" t="s">
        <v>10518</v>
      </c>
    </row>
    <row r="413" spans="3:23" ht="14.5" customHeight="1">
      <c r="C413" s="998"/>
      <c r="D413" s="999"/>
      <c r="E413" s="1002"/>
      <c r="F413" s="999"/>
      <c r="G413" s="1104" t="str">
        <f>IF(F413="",G412,F413)</f>
        <v>1112041</v>
      </c>
      <c r="H413" s="1005" t="s">
        <v>10490</v>
      </c>
      <c r="I413" s="1109" t="str">
        <f t="shared" si="40"/>
        <v>1112041Y01</v>
      </c>
      <c r="J413" s="978" t="s">
        <v>10519</v>
      </c>
      <c r="K413" s="872"/>
      <c r="L413" s="872"/>
      <c r="M413" s="872"/>
      <c r="N413" s="872"/>
      <c r="O413" s="872"/>
      <c r="P413" s="872"/>
      <c r="Q413" s="1170">
        <v>-1.29</v>
      </c>
      <c r="R413" s="908"/>
      <c r="S413" s="1277"/>
      <c r="T413" s="908"/>
      <c r="U413" s="1006" t="s">
        <v>10485</v>
      </c>
      <c r="V413" s="1006"/>
      <c r="W413" s="1003" t="s">
        <v>10520</v>
      </c>
    </row>
    <row r="414" spans="3:23" ht="14.5" customHeight="1">
      <c r="C414" s="994" t="s">
        <v>5943</v>
      </c>
      <c r="D414" s="988" t="str">
        <f t="shared" si="42"/>
        <v>111209</v>
      </c>
      <c r="E414" s="989" t="s">
        <v>5944</v>
      </c>
      <c r="F414" s="988" t="str">
        <f t="shared" si="37"/>
        <v>1112099</v>
      </c>
      <c r="G414" s="1095" t="str">
        <f>IF(F414="",G412,F414)</f>
        <v>1112099</v>
      </c>
      <c r="I414" s="944" t="str">
        <f t="shared" si="40"/>
        <v/>
      </c>
      <c r="J414" s="990" t="s">
        <v>131</v>
      </c>
      <c r="K414" s="896"/>
      <c r="L414" s="886"/>
      <c r="M414" s="886"/>
      <c r="N414" s="886"/>
      <c r="O414" s="886"/>
      <c r="P414" s="896">
        <f>Q414</f>
        <v>58974</v>
      </c>
      <c r="Q414" s="1161">
        <f>ROUND(SUM(Q415:Q419),0)</f>
        <v>58974</v>
      </c>
      <c r="R414" s="1001" t="s">
        <v>10521</v>
      </c>
      <c r="S414" s="1271"/>
      <c r="T414" s="1255"/>
      <c r="U414" s="996"/>
      <c r="V414" s="996"/>
      <c r="W414" s="992"/>
    </row>
    <row r="415" spans="3:23" ht="14.5" customHeight="1">
      <c r="C415" s="987"/>
      <c r="D415" s="988" t="str">
        <f t="shared" si="42"/>
        <v/>
      </c>
      <c r="F415" s="988" t="str">
        <f t="shared" si="37"/>
        <v/>
      </c>
      <c r="G415" s="1095" t="str">
        <f t="shared" ref="G415:G435" si="43">IF(F415="",G414,F415)</f>
        <v>1112099</v>
      </c>
      <c r="H415" s="1016" t="s">
        <v>575</v>
      </c>
      <c r="I415" s="944" t="str">
        <f t="shared" si="40"/>
        <v>1112099101</v>
      </c>
      <c r="J415" s="991" t="s">
        <v>10522</v>
      </c>
      <c r="K415" s="890">
        <v>5944.5</v>
      </c>
      <c r="L415" s="890">
        <v>0</v>
      </c>
      <c r="M415" s="890">
        <v>5773.08</v>
      </c>
      <c r="N415" s="873"/>
      <c r="O415" s="873"/>
      <c r="P415" s="873"/>
      <c r="Q415" s="1165">
        <f>ROUND(K415*L415/M415,0)</f>
        <v>0</v>
      </c>
      <c r="R415" s="887"/>
      <c r="S415" s="1273"/>
      <c r="T415" s="1256"/>
      <c r="U415" s="996" t="s">
        <v>10492</v>
      </c>
      <c r="V415" s="996"/>
      <c r="W415" s="992" t="s">
        <v>10380</v>
      </c>
    </row>
    <row r="416" spans="3:23" ht="14.5" customHeight="1">
      <c r="C416" s="987"/>
      <c r="D416" s="988" t="str">
        <f>IF(C416="","",CONCATENATE(LEFT(C416,4),MID(C416,6,2)))</f>
        <v/>
      </c>
      <c r="F416" s="988" t="str">
        <f>IF(E416="","",CONCATENATE(LEFT(E416,4),MID(E416,6,3)))</f>
        <v/>
      </c>
      <c r="G416" s="1095" t="str">
        <f>IF(F416="",G415,F416)</f>
        <v>1112099</v>
      </c>
      <c r="H416" s="1016" t="s">
        <v>6000</v>
      </c>
      <c r="I416" s="944" t="str">
        <f>IF(H416="","",CONCATENATE(G416,H416))</f>
        <v>1112099102</v>
      </c>
      <c r="J416" s="991" t="s">
        <v>5945</v>
      </c>
      <c r="K416" s="873">
        <v>315720.8</v>
      </c>
      <c r="L416" s="873"/>
      <c r="M416" s="873">
        <f>305076.77+14188.92</f>
        <v>319265.69</v>
      </c>
      <c r="N416" s="873"/>
      <c r="O416" s="873"/>
      <c r="P416" s="873"/>
      <c r="Q416" s="1167">
        <f>16033.96+670.07</f>
        <v>16704.03</v>
      </c>
      <c r="R416" s="887"/>
      <c r="S416" s="1273"/>
      <c r="T416" s="1256"/>
      <c r="U416" s="996" t="s">
        <v>10389</v>
      </c>
      <c r="V416" s="996"/>
      <c r="W416" s="992" t="s">
        <v>10523</v>
      </c>
    </row>
    <row r="417" spans="3:23" ht="14.5" customHeight="1">
      <c r="C417" s="987"/>
      <c r="D417" s="988" t="str">
        <f t="shared" si="42"/>
        <v/>
      </c>
      <c r="F417" s="988" t="str">
        <f t="shared" si="37"/>
        <v/>
      </c>
      <c r="G417" s="1095" t="str">
        <f>IF(F417="",G415,F417)</f>
        <v>1112099</v>
      </c>
      <c r="H417" s="1016" t="s">
        <v>5455</v>
      </c>
      <c r="I417" s="944" t="str">
        <f t="shared" si="40"/>
        <v>1112099201</v>
      </c>
      <c r="J417" s="991" t="s">
        <v>5946</v>
      </c>
      <c r="K417" s="890">
        <v>662685.69999999995</v>
      </c>
      <c r="L417" s="890">
        <f>53140.43+872.16</f>
        <v>54012.590000000004</v>
      </c>
      <c r="M417" s="890">
        <f>805052.54+38452.32</f>
        <v>843504.86</v>
      </c>
      <c r="N417" s="873"/>
      <c r="O417" s="873"/>
      <c r="P417" s="873"/>
      <c r="Q417" s="1165">
        <f>ROUND(K417*L417/M417,0)</f>
        <v>42434</v>
      </c>
      <c r="R417" s="887"/>
      <c r="S417" s="1273"/>
      <c r="T417" s="1256"/>
      <c r="U417" s="996" t="s">
        <v>10389</v>
      </c>
      <c r="V417" s="996"/>
      <c r="W417" s="992" t="s">
        <v>10524</v>
      </c>
    </row>
    <row r="418" spans="3:23" ht="14.5" customHeight="1">
      <c r="C418" s="987"/>
      <c r="D418" s="988" t="str">
        <f t="shared" si="42"/>
        <v/>
      </c>
      <c r="F418" s="988" t="str">
        <f t="shared" si="37"/>
        <v/>
      </c>
      <c r="G418" s="1095" t="str">
        <f t="shared" si="43"/>
        <v>1112099</v>
      </c>
      <c r="H418" s="1016" t="s">
        <v>5476</v>
      </c>
      <c r="I418" s="944" t="str">
        <f>IF(H418="","",CONCATENATE(G418,H418))</f>
        <v>1112099301</v>
      </c>
      <c r="J418" s="991" t="s">
        <v>10525</v>
      </c>
      <c r="K418" s="890">
        <v>933</v>
      </c>
      <c r="L418" s="890">
        <v>69441.820000000007</v>
      </c>
      <c r="M418" s="890">
        <v>1123399.17</v>
      </c>
      <c r="N418" s="873"/>
      <c r="O418" s="873"/>
      <c r="P418" s="873"/>
      <c r="Q418" s="1165">
        <f>ROUND(K418*L418/M418,0)</f>
        <v>58</v>
      </c>
      <c r="R418" s="887"/>
      <c r="S418" s="1273"/>
      <c r="T418" s="1256"/>
      <c r="U418" s="996" t="s">
        <v>10389</v>
      </c>
      <c r="V418" s="996"/>
      <c r="W418" s="992" t="s">
        <v>10526</v>
      </c>
    </row>
    <row r="419" spans="3:23" ht="14.5" customHeight="1">
      <c r="C419" s="998"/>
      <c r="D419" s="999" t="str">
        <f t="shared" si="42"/>
        <v/>
      </c>
      <c r="E419" s="1002"/>
      <c r="F419" s="999" t="str">
        <f t="shared" si="37"/>
        <v/>
      </c>
      <c r="G419" s="1104" t="str">
        <f t="shared" si="43"/>
        <v>1112099</v>
      </c>
      <c r="H419" s="1005" t="s">
        <v>10456</v>
      </c>
      <c r="I419" s="1002" t="str">
        <f>IF(H419="","",CONCATENATE(G419,H419))</f>
        <v>1112099Y01</v>
      </c>
      <c r="J419" s="978" t="s">
        <v>10519</v>
      </c>
      <c r="K419" s="872"/>
      <c r="L419" s="872"/>
      <c r="M419" s="872"/>
      <c r="N419" s="872"/>
      <c r="O419" s="872"/>
      <c r="P419" s="872"/>
      <c r="Q419" s="1170">
        <v>-221.72</v>
      </c>
      <c r="R419" s="908"/>
      <c r="S419" s="1277"/>
      <c r="T419" s="908"/>
      <c r="U419" s="1006" t="s">
        <v>10389</v>
      </c>
      <c r="V419" s="1006"/>
      <c r="W419" s="1003" t="s">
        <v>10527</v>
      </c>
    </row>
    <row r="420" spans="3:23" ht="14.5" customHeight="1">
      <c r="C420" s="994" t="s">
        <v>5948</v>
      </c>
      <c r="D420" s="988" t="str">
        <f>IF(C420="","",CONCATENATE(LEFT(C420,4),MID(C420,6,2)))</f>
        <v>111301</v>
      </c>
      <c r="E420" s="989" t="s">
        <v>5950</v>
      </c>
      <c r="F420" s="988" t="str">
        <f>IF(E420="","",CONCATENATE(LEFT(E420,4),MID(E420,6,3)))</f>
        <v>1113011</v>
      </c>
      <c r="G420" s="1095" t="str">
        <f t="shared" si="43"/>
        <v>1113011</v>
      </c>
      <c r="I420" s="944" t="str">
        <f>IF(H420="","",CONCATENATE(G420,H420))</f>
        <v/>
      </c>
      <c r="J420" s="990" t="s">
        <v>5949</v>
      </c>
      <c r="K420" s="886"/>
      <c r="L420" s="886"/>
      <c r="M420" s="886"/>
      <c r="N420" s="886"/>
      <c r="O420" s="886"/>
      <c r="P420" s="896">
        <f>Q420</f>
        <v>52644</v>
      </c>
      <c r="Q420" s="1171">
        <f>ROUND(Q421+Q422,0)</f>
        <v>52644</v>
      </c>
      <c r="R420" s="1001" t="s">
        <v>10528</v>
      </c>
      <c r="S420" s="1271"/>
      <c r="T420" s="1255"/>
      <c r="U420" s="996"/>
      <c r="V420" s="996"/>
      <c r="W420" s="992"/>
    </row>
    <row r="421" spans="3:23" ht="14.5" customHeight="1">
      <c r="C421" s="994"/>
      <c r="D421" s="995" t="str">
        <f>IF(C421="","",CONCATENATE(LEFT(C421,4),MID(C421,6,2)))</f>
        <v/>
      </c>
      <c r="E421" s="989"/>
      <c r="F421" s="988" t="str">
        <f>IF(E421="","",CONCATENATE(LEFT(E421,4),MID(E421,6,3)))</f>
        <v/>
      </c>
      <c r="G421" s="1095" t="str">
        <f t="shared" si="43"/>
        <v>1113011</v>
      </c>
      <c r="H421" s="1016" t="s">
        <v>5637</v>
      </c>
      <c r="I421" s="944" t="str">
        <f>IF(H421="","",CONCATENATE(G421,H421))</f>
        <v>1113011101</v>
      </c>
      <c r="J421" s="991" t="s">
        <v>10529</v>
      </c>
      <c r="K421" s="890">
        <v>1948835</v>
      </c>
      <c r="L421" s="890">
        <v>420</v>
      </c>
      <c r="M421" s="890">
        <v>16551</v>
      </c>
      <c r="N421" s="886"/>
      <c r="O421" s="886"/>
      <c r="P421" s="886"/>
      <c r="Q421" s="1165">
        <f>ROUND(K421*L421/M421,0)</f>
        <v>49454</v>
      </c>
      <c r="R421" s="882"/>
      <c r="S421" s="1269"/>
      <c r="T421" s="1254"/>
      <c r="U421" s="996" t="s">
        <v>10530</v>
      </c>
      <c r="V421" s="996"/>
      <c r="W421" s="992" t="s">
        <v>10531</v>
      </c>
    </row>
    <row r="422" spans="3:23" ht="14.5" customHeight="1">
      <c r="C422" s="987"/>
      <c r="D422" s="988" t="str">
        <f t="shared" ref="D422:D504" si="44">IF(C422="","",CONCATENATE(LEFT(C422,4),MID(C422,6,2)))</f>
        <v/>
      </c>
      <c r="E422" s="989"/>
      <c r="F422" s="988" t="str">
        <f t="shared" ref="F422:F504" si="45">IF(E422="","",CONCATENATE(LEFT(E422,4),MID(E422,6,3)))</f>
        <v/>
      </c>
      <c r="G422" s="1095" t="str">
        <f t="shared" si="43"/>
        <v>1113011</v>
      </c>
      <c r="I422" s="944" t="str">
        <f t="shared" ref="I422:I505" si="46">IF(H422="","",CONCATENATE(G422,H422))</f>
        <v/>
      </c>
      <c r="J422" s="991" t="s">
        <v>10532</v>
      </c>
      <c r="K422" s="886"/>
      <c r="L422" s="886"/>
      <c r="M422" s="886"/>
      <c r="N422" s="886"/>
      <c r="O422" s="886"/>
      <c r="P422" s="886"/>
      <c r="Q422" s="1165">
        <f>SUM(Q423:Q424)</f>
        <v>3189.72</v>
      </c>
      <c r="R422" s="1001" t="s">
        <v>10533</v>
      </c>
      <c r="S422" s="1271"/>
      <c r="T422" s="1255"/>
      <c r="U422" s="996" t="s">
        <v>10492</v>
      </c>
      <c r="V422" s="996"/>
      <c r="W422" s="992" t="s">
        <v>10534</v>
      </c>
    </row>
    <row r="423" spans="3:23" ht="14.5" customHeight="1">
      <c r="C423" s="987"/>
      <c r="D423" s="988" t="str">
        <f t="shared" si="44"/>
        <v/>
      </c>
      <c r="F423" s="988" t="str">
        <f t="shared" si="45"/>
        <v/>
      </c>
      <c r="G423" s="1095" t="str">
        <f t="shared" si="43"/>
        <v>1113011</v>
      </c>
      <c r="H423" s="1016" t="s">
        <v>5455</v>
      </c>
      <c r="I423" s="944" t="str">
        <f t="shared" si="46"/>
        <v>1113011201</v>
      </c>
      <c r="J423" s="991" t="s">
        <v>5952</v>
      </c>
      <c r="K423" s="873"/>
      <c r="L423" s="873"/>
      <c r="M423" s="873"/>
      <c r="N423" s="873"/>
      <c r="O423" s="873"/>
      <c r="P423" s="873"/>
      <c r="Q423" s="1167">
        <v>0</v>
      </c>
      <c r="R423" s="887"/>
      <c r="S423" s="1273"/>
      <c r="T423" s="1256"/>
      <c r="U423" s="996" t="s">
        <v>10389</v>
      </c>
      <c r="V423" s="996"/>
      <c r="W423" s="992" t="s">
        <v>10380</v>
      </c>
    </row>
    <row r="424" spans="3:23" ht="14.5" customHeight="1">
      <c r="C424" s="998"/>
      <c r="D424" s="999" t="str">
        <f t="shared" si="44"/>
        <v/>
      </c>
      <c r="E424" s="1002"/>
      <c r="F424" s="999" t="str">
        <f t="shared" si="45"/>
        <v/>
      </c>
      <c r="G424" s="1104" t="str">
        <f t="shared" si="43"/>
        <v>1113011</v>
      </c>
      <c r="H424" s="1005" t="s">
        <v>5457</v>
      </c>
      <c r="I424" s="1002" t="str">
        <f t="shared" si="46"/>
        <v>1113011202</v>
      </c>
      <c r="J424" s="978" t="s">
        <v>5953</v>
      </c>
      <c r="K424" s="872">
        <v>14997.6</v>
      </c>
      <c r="L424" s="872"/>
      <c r="M424" s="872">
        <v>15007.68</v>
      </c>
      <c r="N424" s="872"/>
      <c r="O424" s="872"/>
      <c r="P424" s="872"/>
      <c r="Q424" s="1170">
        <v>3189.72</v>
      </c>
      <c r="R424" s="908"/>
      <c r="S424" s="1277"/>
      <c r="T424" s="908"/>
      <c r="U424" s="1006" t="s">
        <v>10389</v>
      </c>
      <c r="V424" s="1006"/>
      <c r="W424" s="1003"/>
    </row>
    <row r="425" spans="3:23" ht="14.5" customHeight="1">
      <c r="C425" s="994" t="s">
        <v>5954</v>
      </c>
      <c r="D425" s="988" t="str">
        <f t="shared" si="44"/>
        <v>111302</v>
      </c>
      <c r="E425" s="989" t="s">
        <v>5956</v>
      </c>
      <c r="F425" s="988" t="str">
        <f t="shared" si="45"/>
        <v>1113021</v>
      </c>
      <c r="G425" s="1095" t="str">
        <f t="shared" si="43"/>
        <v>1113021</v>
      </c>
      <c r="I425" s="944" t="str">
        <f t="shared" si="46"/>
        <v/>
      </c>
      <c r="J425" s="990" t="s">
        <v>5955</v>
      </c>
      <c r="K425" s="886"/>
      <c r="L425" s="886"/>
      <c r="M425" s="886"/>
      <c r="N425" s="886"/>
      <c r="O425" s="886"/>
      <c r="P425" s="896">
        <f>Q425</f>
        <v>85124</v>
      </c>
      <c r="Q425" s="1171">
        <f>ROUND(Q426+Q427,0)</f>
        <v>85124</v>
      </c>
      <c r="R425" s="882"/>
      <c r="S425" s="1269"/>
      <c r="T425" s="1254"/>
      <c r="U425" s="996"/>
      <c r="V425" s="996"/>
      <c r="W425" s="992"/>
    </row>
    <row r="426" spans="3:23" ht="14.5" customHeight="1">
      <c r="C426" s="994"/>
      <c r="D426" s="995" t="str">
        <f t="shared" si="44"/>
        <v/>
      </c>
      <c r="E426" s="989"/>
      <c r="F426" s="988" t="str">
        <f>IF(E426="","",CONCATENATE(LEFT(E426,4),MID(E426,6,3)))</f>
        <v/>
      </c>
      <c r="G426" s="1095" t="str">
        <f t="shared" si="43"/>
        <v>1113021</v>
      </c>
      <c r="H426" s="1016" t="s">
        <v>5637</v>
      </c>
      <c r="I426" s="944" t="str">
        <f t="shared" si="46"/>
        <v>1113021101</v>
      </c>
      <c r="J426" s="991" t="s">
        <v>10535</v>
      </c>
      <c r="K426" s="890">
        <v>469526</v>
      </c>
      <c r="L426" s="890">
        <v>59130.36</v>
      </c>
      <c r="M426" s="890">
        <v>403814.02</v>
      </c>
      <c r="N426" s="886"/>
      <c r="O426" s="886"/>
      <c r="P426" s="886"/>
      <c r="Q426" s="1162">
        <f>ROUND(K426*L426/M426,0)</f>
        <v>68753</v>
      </c>
      <c r="R426" s="882" t="s">
        <v>10536</v>
      </c>
      <c r="S426" s="1269"/>
      <c r="T426" s="1254"/>
      <c r="U426" s="996" t="s">
        <v>10424</v>
      </c>
      <c r="V426" s="996"/>
      <c r="W426" s="992" t="s">
        <v>10537</v>
      </c>
    </row>
    <row r="427" spans="3:23" ht="14.5" customHeight="1">
      <c r="C427" s="987"/>
      <c r="D427" s="988" t="str">
        <f>IF(C427="","",CONCATENATE(LEFT(C427,4),MID(C427,6,2)))</f>
        <v/>
      </c>
      <c r="E427" s="989"/>
      <c r="F427" s="988" t="str">
        <f>IF(E427="","",CONCATENATE(LEFT(E427,4),MID(E427,6,3)))</f>
        <v/>
      </c>
      <c r="G427" s="1095" t="str">
        <f t="shared" si="43"/>
        <v>1113021</v>
      </c>
      <c r="I427" s="944" t="str">
        <f t="shared" si="46"/>
        <v/>
      </c>
      <c r="J427" s="991" t="s">
        <v>10538</v>
      </c>
      <c r="K427" s="886"/>
      <c r="L427" s="886"/>
      <c r="M427" s="886"/>
      <c r="N427" s="886"/>
      <c r="O427" s="886"/>
      <c r="P427" s="886"/>
      <c r="Q427" s="1165">
        <f>SUM(Q428:Q430)</f>
        <v>16370.9</v>
      </c>
      <c r="R427" s="1001" t="s">
        <v>10539</v>
      </c>
      <c r="S427" s="1271"/>
      <c r="T427" s="1255"/>
      <c r="U427" s="991" t="s">
        <v>10492</v>
      </c>
      <c r="V427" s="996"/>
      <c r="W427" s="992" t="s">
        <v>10540</v>
      </c>
    </row>
    <row r="428" spans="3:23" ht="14.5" customHeight="1">
      <c r="C428" s="987"/>
      <c r="E428" s="989"/>
      <c r="F428" s="988"/>
      <c r="G428" s="1095" t="str">
        <f t="shared" si="43"/>
        <v>1113021</v>
      </c>
      <c r="H428" s="1016" t="s">
        <v>5602</v>
      </c>
      <c r="I428" s="944" t="str">
        <f t="shared" si="46"/>
        <v>1113021201</v>
      </c>
      <c r="J428" s="991" t="s">
        <v>10541</v>
      </c>
      <c r="K428" s="886"/>
      <c r="L428" s="886"/>
      <c r="M428" s="886"/>
      <c r="N428" s="886"/>
      <c r="O428" s="886"/>
      <c r="P428" s="886"/>
      <c r="Q428" s="1167">
        <v>1990.24</v>
      </c>
      <c r="R428" s="1001"/>
      <c r="S428" s="1271"/>
      <c r="T428" s="1255"/>
      <c r="U428" s="991"/>
      <c r="V428" s="996"/>
      <c r="W428" s="992"/>
    </row>
    <row r="429" spans="3:23" ht="14.5" customHeight="1">
      <c r="C429" s="987"/>
      <c r="E429" s="989"/>
      <c r="F429" s="988"/>
      <c r="G429" s="1095" t="str">
        <f t="shared" si="43"/>
        <v>1113021</v>
      </c>
      <c r="H429" s="1016" t="s">
        <v>5844</v>
      </c>
      <c r="I429" s="944" t="str">
        <f t="shared" si="46"/>
        <v>1113021202</v>
      </c>
      <c r="J429" s="991" t="s">
        <v>10542</v>
      </c>
      <c r="K429" s="886"/>
      <c r="L429" s="886"/>
      <c r="M429" s="886"/>
      <c r="N429" s="886"/>
      <c r="O429" s="886"/>
      <c r="P429" s="886"/>
      <c r="Q429" s="1167">
        <v>36.840000000000003</v>
      </c>
      <c r="R429" s="1001"/>
      <c r="S429" s="1271"/>
      <c r="T429" s="1255"/>
      <c r="U429" s="991"/>
      <c r="V429" s="996"/>
      <c r="W429" s="992"/>
    </row>
    <row r="430" spans="3:23" ht="14.5" customHeight="1">
      <c r="C430" s="998"/>
      <c r="D430" s="999" t="str">
        <f t="shared" si="44"/>
        <v/>
      </c>
      <c r="E430" s="1000"/>
      <c r="F430" s="999" t="str">
        <f t="shared" si="45"/>
        <v/>
      </c>
      <c r="G430" s="1104" t="str">
        <f t="shared" si="43"/>
        <v>1113021</v>
      </c>
      <c r="H430" s="1005" t="s">
        <v>5387</v>
      </c>
      <c r="I430" s="1002" t="str">
        <f t="shared" si="46"/>
        <v>1113021203</v>
      </c>
      <c r="J430" s="978" t="s">
        <v>10543</v>
      </c>
      <c r="K430" s="893"/>
      <c r="L430" s="893"/>
      <c r="M430" s="893"/>
      <c r="N430" s="893"/>
      <c r="O430" s="893"/>
      <c r="P430" s="893"/>
      <c r="Q430" s="1170">
        <v>14343.82</v>
      </c>
      <c r="R430" s="1020" t="s">
        <v>10539</v>
      </c>
      <c r="S430" s="1278"/>
      <c r="T430" s="1020"/>
      <c r="U430" s="978"/>
      <c r="V430" s="1006"/>
      <c r="W430" s="1003"/>
    </row>
    <row r="431" spans="3:23" ht="14.5" customHeight="1">
      <c r="C431" s="994" t="s">
        <v>5958</v>
      </c>
      <c r="D431" s="988" t="str">
        <f t="shared" si="44"/>
        <v>111401</v>
      </c>
      <c r="E431" s="989" t="s">
        <v>5959</v>
      </c>
      <c r="F431" s="988" t="str">
        <f t="shared" si="45"/>
        <v>1114011</v>
      </c>
      <c r="G431" s="1095" t="str">
        <f t="shared" si="43"/>
        <v>1114011</v>
      </c>
      <c r="I431" s="944" t="str">
        <f t="shared" si="46"/>
        <v/>
      </c>
      <c r="J431" s="990" t="s">
        <v>139</v>
      </c>
      <c r="K431" s="886"/>
      <c r="L431" s="886"/>
      <c r="M431" s="886"/>
      <c r="N431" s="886"/>
      <c r="O431" s="886"/>
      <c r="P431" s="896">
        <f>Q431</f>
        <v>94017</v>
      </c>
      <c r="Q431" s="1171">
        <f>ROUND(SUM(Q432:Q437),0)</f>
        <v>94017</v>
      </c>
      <c r="R431" s="1001" t="s">
        <v>10544</v>
      </c>
      <c r="S431" s="1271"/>
      <c r="T431" s="1255"/>
      <c r="U431" s="996"/>
      <c r="V431" s="996"/>
      <c r="W431" s="992"/>
    </row>
    <row r="432" spans="3:23" ht="14.5" customHeight="1">
      <c r="C432" s="987"/>
      <c r="D432" s="988" t="str">
        <f t="shared" si="44"/>
        <v/>
      </c>
      <c r="F432" s="988" t="str">
        <f t="shared" si="45"/>
        <v/>
      </c>
      <c r="G432" s="1095" t="str">
        <f t="shared" si="43"/>
        <v>1114011</v>
      </c>
      <c r="H432" s="1016" t="s">
        <v>5637</v>
      </c>
      <c r="I432" s="944" t="str">
        <f t="shared" si="46"/>
        <v>1114011101</v>
      </c>
      <c r="J432" s="991" t="s">
        <v>10545</v>
      </c>
      <c r="K432" s="890">
        <v>453867.3</v>
      </c>
      <c r="L432" s="890">
        <v>56198.97</v>
      </c>
      <c r="M432" s="890">
        <v>452554.72</v>
      </c>
      <c r="N432" s="886"/>
      <c r="O432" s="886"/>
      <c r="P432" s="886"/>
      <c r="Q432" s="1165">
        <f>ROUND(K432*L432/M432,0)</f>
        <v>56362</v>
      </c>
      <c r="R432" s="882"/>
      <c r="S432" s="1269"/>
      <c r="T432" s="1254"/>
      <c r="U432" s="996" t="s">
        <v>10492</v>
      </c>
      <c r="V432" s="996"/>
      <c r="W432" s="1021" t="s">
        <v>10546</v>
      </c>
    </row>
    <row r="433" spans="1:23" ht="14.5" customHeight="1">
      <c r="C433" s="987"/>
      <c r="D433" s="988" t="str">
        <f>IF(C433="","",CONCATENATE(LEFT(C433,4),MID(C433,6,2)))</f>
        <v/>
      </c>
      <c r="F433" s="988" t="str">
        <f>IF(E433="","",CONCATENATE(LEFT(E433,4),MID(E433,6,3)))</f>
        <v/>
      </c>
      <c r="G433" s="1095" t="str">
        <f t="shared" si="43"/>
        <v>1114011</v>
      </c>
      <c r="H433" s="1016" t="s">
        <v>5657</v>
      </c>
      <c r="I433" s="944" t="str">
        <f>IF(H433="","",CONCATENATE(G433,H433))</f>
        <v>1114011102</v>
      </c>
      <c r="J433" s="991" t="s">
        <v>10547</v>
      </c>
      <c r="K433" s="890">
        <v>305035.2</v>
      </c>
      <c r="L433" s="890">
        <v>21569.45</v>
      </c>
      <c r="M433" s="890">
        <v>291045.99</v>
      </c>
      <c r="N433" s="886"/>
      <c r="O433" s="886"/>
      <c r="P433" s="886"/>
      <c r="Q433" s="1165">
        <f>ROUND(K433*L433/M433,0)</f>
        <v>22606</v>
      </c>
      <c r="R433" s="882"/>
      <c r="S433" s="1269"/>
      <c r="T433" s="1254"/>
      <c r="U433" s="996" t="s">
        <v>10492</v>
      </c>
      <c r="V433" s="996"/>
      <c r="W433" s="1021"/>
    </row>
    <row r="434" spans="1:23" ht="14.5" customHeight="1">
      <c r="C434" s="987"/>
      <c r="D434" s="988" t="str">
        <f>IF(C434="","",CONCATENATE(LEFT(C434,4),MID(C434,6,2)))</f>
        <v/>
      </c>
      <c r="F434" s="988" t="str">
        <f>IF(E434="","",CONCATENATE(LEFT(E434,4),MID(E434,6,3)))</f>
        <v/>
      </c>
      <c r="G434" s="1095" t="str">
        <f t="shared" si="43"/>
        <v>1114011</v>
      </c>
      <c r="H434" s="1016" t="s">
        <v>5659</v>
      </c>
      <c r="I434" s="944" t="str">
        <f>IF(H434="","",CONCATENATE(G434,H434))</f>
        <v>1114011103</v>
      </c>
      <c r="J434" s="991" t="s">
        <v>10548</v>
      </c>
      <c r="K434" s="890">
        <v>90196.3</v>
      </c>
      <c r="L434" s="890">
        <v>12666.77</v>
      </c>
      <c r="M434" s="890">
        <v>88578.43</v>
      </c>
      <c r="N434" s="886"/>
      <c r="O434" s="886"/>
      <c r="P434" s="886"/>
      <c r="Q434" s="1165">
        <f>ROUND(K434*L434/M434,0)</f>
        <v>12898</v>
      </c>
      <c r="R434" s="882"/>
      <c r="S434" s="1269"/>
      <c r="T434" s="1254"/>
      <c r="U434" s="996" t="s">
        <v>10492</v>
      </c>
      <c r="V434" s="996"/>
      <c r="W434" s="1021"/>
    </row>
    <row r="435" spans="1:23" ht="14.5" customHeight="1">
      <c r="C435" s="987"/>
      <c r="D435" s="988" t="str">
        <f>IF(C435="","",CONCATENATE(LEFT(C435,4),MID(C435,6,2)))</f>
        <v/>
      </c>
      <c r="F435" s="988" t="str">
        <f>IF(E435="","",CONCATENATE(LEFT(E435,4),MID(E435,6,3)))</f>
        <v/>
      </c>
      <c r="G435" s="1095" t="str">
        <f t="shared" si="43"/>
        <v>1114011</v>
      </c>
      <c r="H435" s="1016" t="s">
        <v>5661</v>
      </c>
      <c r="I435" s="944" t="str">
        <f>IF(H435="","",CONCATENATE(G435,H435))</f>
        <v>1114011104</v>
      </c>
      <c r="J435" s="991" t="s">
        <v>10549</v>
      </c>
      <c r="K435" s="890">
        <v>217344.1</v>
      </c>
      <c r="L435" s="890">
        <v>2031.78</v>
      </c>
      <c r="M435" s="890">
        <v>207324.07</v>
      </c>
      <c r="N435" s="886"/>
      <c r="O435" s="886"/>
      <c r="P435" s="886"/>
      <c r="Q435" s="1165">
        <f>ROUND(K435*L435/M435,0)</f>
        <v>2130</v>
      </c>
      <c r="R435" s="882"/>
      <c r="S435" s="1269"/>
      <c r="T435" s="1254"/>
      <c r="U435" s="996" t="s">
        <v>10492</v>
      </c>
      <c r="V435" s="996"/>
      <c r="W435" s="1021"/>
    </row>
    <row r="436" spans="1:23" ht="14.5" customHeight="1">
      <c r="C436" s="987"/>
      <c r="D436" s="988" t="str">
        <f t="shared" si="44"/>
        <v/>
      </c>
      <c r="F436" s="988" t="str">
        <f t="shared" si="45"/>
        <v/>
      </c>
      <c r="G436" s="1095" t="str">
        <f>IF(F436="",G432,F436)</f>
        <v>1114011</v>
      </c>
      <c r="H436" s="1016" t="s">
        <v>5663</v>
      </c>
      <c r="I436" s="944" t="str">
        <f t="shared" si="46"/>
        <v>1114011105</v>
      </c>
      <c r="J436" s="991" t="s">
        <v>10550</v>
      </c>
      <c r="K436" s="890">
        <v>1675.2</v>
      </c>
      <c r="L436" s="873">
        <f>L393</f>
        <v>31</v>
      </c>
      <c r="M436" s="873">
        <f>M393</f>
        <v>1353</v>
      </c>
      <c r="N436" s="886"/>
      <c r="O436" s="886"/>
      <c r="P436" s="886"/>
      <c r="Q436" s="1162">
        <f>ROUND(K436*L436/M436,0)</f>
        <v>38</v>
      </c>
      <c r="R436" s="882"/>
      <c r="S436" s="1269"/>
      <c r="T436" s="1254"/>
      <c r="U436" s="996" t="s">
        <v>10473</v>
      </c>
      <c r="V436" s="996"/>
      <c r="W436" s="992" t="s">
        <v>10551</v>
      </c>
    </row>
    <row r="437" spans="1:23" ht="14.5" customHeight="1">
      <c r="C437" s="998"/>
      <c r="D437" s="999" t="str">
        <f t="shared" si="44"/>
        <v/>
      </c>
      <c r="E437" s="1002"/>
      <c r="F437" s="999" t="str">
        <f t="shared" si="45"/>
        <v/>
      </c>
      <c r="G437" s="1104" t="str">
        <f t="shared" ref="G437:G448" si="47">IF(F437="",G436,F437)</f>
        <v>1114011</v>
      </c>
      <c r="H437" s="1005" t="s">
        <v>10490</v>
      </c>
      <c r="I437" s="1002" t="str">
        <f t="shared" si="46"/>
        <v>1114011Y01</v>
      </c>
      <c r="J437" s="978" t="s">
        <v>10552</v>
      </c>
      <c r="K437" s="872"/>
      <c r="L437" s="872"/>
      <c r="M437" s="872"/>
      <c r="N437" s="872"/>
      <c r="O437" s="872"/>
      <c r="P437" s="872"/>
      <c r="Q437" s="1170">
        <v>-16.850000000000001</v>
      </c>
      <c r="R437" s="908"/>
      <c r="S437" s="1277"/>
      <c r="T437" s="908"/>
      <c r="U437" s="1006" t="s">
        <v>10492</v>
      </c>
      <c r="V437" s="1006"/>
      <c r="W437" s="1003" t="s">
        <v>10493</v>
      </c>
    </row>
    <row r="438" spans="1:23" ht="14.5" customHeight="1">
      <c r="C438" s="994" t="s">
        <v>5961</v>
      </c>
      <c r="D438" s="988" t="str">
        <f t="shared" si="44"/>
        <v>111402</v>
      </c>
      <c r="E438" s="989" t="s">
        <v>5962</v>
      </c>
      <c r="F438" s="988" t="str">
        <f t="shared" si="45"/>
        <v>1114021</v>
      </c>
      <c r="G438" s="1095" t="str">
        <f>IF(F438="",#REF!,F438)</f>
        <v>1114021</v>
      </c>
      <c r="I438" s="944" t="str">
        <f t="shared" si="46"/>
        <v/>
      </c>
      <c r="J438" s="990" t="s">
        <v>140</v>
      </c>
      <c r="K438" s="886"/>
      <c r="L438" s="886"/>
      <c r="M438" s="886"/>
      <c r="N438" s="886"/>
      <c r="O438" s="886"/>
      <c r="P438" s="896">
        <f>Q438</f>
        <v>123848</v>
      </c>
      <c r="Q438" s="1171">
        <f>ROUND(SUM(Q439:Q444),0)</f>
        <v>123848</v>
      </c>
      <c r="R438" s="1001" t="s">
        <v>10553</v>
      </c>
      <c r="S438" s="1271"/>
      <c r="T438" s="1255"/>
      <c r="U438" s="996"/>
      <c r="V438" s="996"/>
      <c r="W438" s="992"/>
    </row>
    <row r="439" spans="1:23" ht="14.5" customHeight="1">
      <c r="C439" s="987"/>
      <c r="D439" s="988" t="str">
        <f t="shared" si="44"/>
        <v/>
      </c>
      <c r="F439" s="988" t="str">
        <f t="shared" si="45"/>
        <v/>
      </c>
      <c r="G439" s="1095" t="str">
        <f>IF(F439="",G438,F439)</f>
        <v>1114021</v>
      </c>
      <c r="H439" s="1016" t="s">
        <v>5637</v>
      </c>
      <c r="I439" s="944" t="str">
        <f t="shared" si="46"/>
        <v>1114021101</v>
      </c>
      <c r="J439" s="991" t="s">
        <v>10554</v>
      </c>
      <c r="K439" s="890">
        <v>315007.5</v>
      </c>
      <c r="L439" s="890">
        <v>21498.38</v>
      </c>
      <c r="M439" s="890">
        <v>313205.21000000002</v>
      </c>
      <c r="N439" s="873"/>
      <c r="O439" s="873"/>
      <c r="P439" s="873"/>
      <c r="Q439" s="1165">
        <f>ROUND(K439*L439/M439,0)</f>
        <v>21622</v>
      </c>
      <c r="R439" s="887"/>
      <c r="S439" s="1273"/>
      <c r="T439" s="1256"/>
      <c r="U439" s="996" t="s">
        <v>10424</v>
      </c>
      <c r="V439" s="996"/>
      <c r="W439" s="992"/>
    </row>
    <row r="440" spans="1:23" ht="14.5" customHeight="1">
      <c r="C440" s="987"/>
      <c r="F440" s="988"/>
      <c r="G440" s="1095" t="str">
        <f t="shared" si="47"/>
        <v>1114021</v>
      </c>
      <c r="H440" s="1016" t="s">
        <v>6000</v>
      </c>
      <c r="I440" s="944" t="str">
        <f t="shared" si="46"/>
        <v>1114021102</v>
      </c>
      <c r="J440" s="991" t="s">
        <v>10555</v>
      </c>
      <c r="K440" s="890">
        <v>933181.6</v>
      </c>
      <c r="L440" s="890">
        <v>55682.3</v>
      </c>
      <c r="M440" s="890">
        <v>929495.29</v>
      </c>
      <c r="N440" s="873"/>
      <c r="O440" s="873"/>
      <c r="P440" s="873"/>
      <c r="Q440" s="1165">
        <f>ROUND(K440*L440/M440,0)</f>
        <v>55903</v>
      </c>
      <c r="R440" s="887"/>
      <c r="S440" s="1273"/>
      <c r="T440" s="1256"/>
      <c r="U440" s="996"/>
      <c r="V440" s="996"/>
      <c r="W440" s="992"/>
    </row>
    <row r="441" spans="1:23" ht="14.5" customHeight="1">
      <c r="C441" s="987"/>
      <c r="F441" s="988"/>
      <c r="G441" s="1095" t="str">
        <f t="shared" si="47"/>
        <v>1114021</v>
      </c>
      <c r="H441" s="1016" t="s">
        <v>6002</v>
      </c>
      <c r="I441" s="944" t="str">
        <f t="shared" si="46"/>
        <v>1114021103</v>
      </c>
      <c r="J441" s="991" t="s">
        <v>10556</v>
      </c>
      <c r="K441" s="890">
        <v>284266.90000000002</v>
      </c>
      <c r="L441" s="890">
        <v>23053.73</v>
      </c>
      <c r="M441" s="890">
        <v>282746.77</v>
      </c>
      <c r="N441" s="873"/>
      <c r="O441" s="873"/>
      <c r="P441" s="873"/>
      <c r="Q441" s="1165">
        <f>ROUND(K441*L441/M441,0)</f>
        <v>23178</v>
      </c>
      <c r="R441" s="887"/>
      <c r="S441" s="1273"/>
      <c r="T441" s="1256"/>
      <c r="U441" s="996"/>
      <c r="V441" s="996"/>
      <c r="W441" s="992"/>
    </row>
    <row r="442" spans="1:23" ht="14.5" customHeight="1">
      <c r="C442" s="987"/>
      <c r="D442" s="988" t="str">
        <f t="shared" si="44"/>
        <v/>
      </c>
      <c r="F442" s="988" t="str">
        <f t="shared" si="45"/>
        <v/>
      </c>
      <c r="G442" s="1095" t="str">
        <f>IF(F442="",G439,F442)</f>
        <v>1114021</v>
      </c>
      <c r="H442" s="1016" t="s">
        <v>5661</v>
      </c>
      <c r="I442" s="944" t="str">
        <f t="shared" si="46"/>
        <v>1114021104</v>
      </c>
      <c r="J442" s="991" t="s">
        <v>10557</v>
      </c>
      <c r="K442" s="890">
        <v>562229</v>
      </c>
      <c r="L442" s="890">
        <v>11257.87</v>
      </c>
      <c r="M442" s="890">
        <v>274052.5</v>
      </c>
      <c r="N442" s="873"/>
      <c r="O442" s="873"/>
      <c r="P442" s="873"/>
      <c r="Q442" s="1165">
        <f>ROUND(K442*L442/M442,0)</f>
        <v>23096</v>
      </c>
      <c r="R442" s="887"/>
      <c r="S442" s="1273"/>
      <c r="T442" s="1256"/>
      <c r="U442" s="996" t="s">
        <v>10558</v>
      </c>
      <c r="V442" s="996"/>
      <c r="W442" s="992" t="s">
        <v>10559</v>
      </c>
    </row>
    <row r="443" spans="1:23" ht="14.5" customHeight="1">
      <c r="C443" s="987"/>
      <c r="D443" s="988" t="str">
        <f t="shared" si="44"/>
        <v/>
      </c>
      <c r="F443" s="988" t="str">
        <f t="shared" si="45"/>
        <v/>
      </c>
      <c r="G443" s="1095" t="str">
        <f>IF(F443="",G442,F443)</f>
        <v>1114021</v>
      </c>
      <c r="H443" s="1016" t="s">
        <v>5663</v>
      </c>
      <c r="I443" s="944" t="str">
        <f t="shared" si="46"/>
        <v>1114021105</v>
      </c>
      <c r="J443" s="991" t="s">
        <v>10560</v>
      </c>
      <c r="K443" s="890">
        <v>1677</v>
      </c>
      <c r="L443" s="873">
        <f>L393</f>
        <v>31</v>
      </c>
      <c r="M443" s="873">
        <f>M393</f>
        <v>1353</v>
      </c>
      <c r="N443" s="886"/>
      <c r="O443" s="886"/>
      <c r="P443" s="886"/>
      <c r="Q443" s="1162">
        <f>ROUND(K443*L443/M443,0)</f>
        <v>38</v>
      </c>
      <c r="R443" s="882"/>
      <c r="S443" s="1269"/>
      <c r="T443" s="1254"/>
      <c r="U443" s="996" t="s">
        <v>10473</v>
      </c>
      <c r="V443" s="996"/>
      <c r="W443" s="992" t="s">
        <v>10551</v>
      </c>
    </row>
    <row r="444" spans="1:23" ht="14.5" customHeight="1">
      <c r="C444" s="998"/>
      <c r="D444" s="999" t="str">
        <f t="shared" si="44"/>
        <v/>
      </c>
      <c r="E444" s="1002"/>
      <c r="F444" s="999" t="str">
        <f t="shared" si="45"/>
        <v/>
      </c>
      <c r="G444" s="1104" t="str">
        <f t="shared" si="47"/>
        <v>1114021</v>
      </c>
      <c r="H444" s="1005" t="s">
        <v>10490</v>
      </c>
      <c r="I444" s="1002" t="str">
        <f t="shared" si="46"/>
        <v>1114021Y01</v>
      </c>
      <c r="J444" s="978" t="s">
        <v>10561</v>
      </c>
      <c r="K444" s="872"/>
      <c r="L444" s="872"/>
      <c r="M444" s="872"/>
      <c r="N444" s="872"/>
      <c r="O444" s="872"/>
      <c r="P444" s="872"/>
      <c r="Q444" s="1170">
        <v>10.89</v>
      </c>
      <c r="R444" s="908"/>
      <c r="S444" s="1277"/>
      <c r="T444" s="908"/>
      <c r="U444" s="1006" t="s">
        <v>10492</v>
      </c>
      <c r="V444" s="1006"/>
      <c r="W444" s="1003" t="s">
        <v>10493</v>
      </c>
    </row>
    <row r="445" spans="1:23" ht="14.5" customHeight="1">
      <c r="A445" s="1034"/>
      <c r="B445" s="1034"/>
      <c r="C445" s="994" t="s">
        <v>5965</v>
      </c>
      <c r="D445" s="988" t="str">
        <f t="shared" si="44"/>
        <v>111403</v>
      </c>
      <c r="E445" s="989" t="s">
        <v>5966</v>
      </c>
      <c r="F445" s="988" t="str">
        <f t="shared" si="45"/>
        <v>1114031</v>
      </c>
      <c r="G445" s="1095" t="str">
        <f>IF(F445="",G444,F445)</f>
        <v>1114031</v>
      </c>
      <c r="I445" s="944" t="str">
        <f t="shared" si="46"/>
        <v/>
      </c>
      <c r="J445" s="990" t="s">
        <v>141</v>
      </c>
      <c r="K445" s="886"/>
      <c r="L445" s="886"/>
      <c r="M445" s="886"/>
      <c r="N445" s="886"/>
      <c r="O445" s="886"/>
      <c r="P445" s="896">
        <f>Q445</f>
        <v>137501</v>
      </c>
      <c r="Q445" s="1171">
        <f>ROUND(SUM(Q446:Q449),0)</f>
        <v>137501</v>
      </c>
      <c r="R445" s="1001" t="s">
        <v>10562</v>
      </c>
      <c r="S445" s="1271"/>
      <c r="T445" s="1255"/>
      <c r="U445" s="996"/>
      <c r="V445" s="996"/>
      <c r="W445" s="992"/>
    </row>
    <row r="446" spans="1:23" ht="14.5" customHeight="1">
      <c r="A446" s="1034"/>
      <c r="B446" s="1034"/>
      <c r="C446" s="987"/>
      <c r="D446" s="988" t="str">
        <f t="shared" si="44"/>
        <v/>
      </c>
      <c r="F446" s="988" t="str">
        <f t="shared" si="45"/>
        <v/>
      </c>
      <c r="G446" s="1095" t="str">
        <f t="shared" si="47"/>
        <v>1114031</v>
      </c>
      <c r="H446" s="1016" t="s">
        <v>575</v>
      </c>
      <c r="I446" s="944" t="str">
        <f t="shared" si="46"/>
        <v>1114031101</v>
      </c>
      <c r="J446" s="991" t="s">
        <v>5967</v>
      </c>
      <c r="K446" s="890">
        <v>2533981</v>
      </c>
      <c r="L446" s="890">
        <v>169870.03</v>
      </c>
      <c r="M446" s="890">
        <v>3498759.55</v>
      </c>
      <c r="N446" s="873"/>
      <c r="O446" s="873"/>
      <c r="P446" s="873"/>
      <c r="Q446" s="1165">
        <f>ROUND(K446*L446/M446,0)</f>
        <v>123029</v>
      </c>
      <c r="R446" s="887"/>
      <c r="S446" s="1273"/>
      <c r="T446" s="1256"/>
      <c r="U446" s="996" t="s">
        <v>10424</v>
      </c>
      <c r="V446" s="996"/>
      <c r="W446" s="992" t="s">
        <v>10563</v>
      </c>
    </row>
    <row r="447" spans="1:23" ht="14.5" customHeight="1">
      <c r="A447" s="1034"/>
      <c r="B447" s="1034"/>
      <c r="C447" s="987"/>
      <c r="F447" s="988"/>
      <c r="G447" s="1095" t="str">
        <f t="shared" si="47"/>
        <v>1114031</v>
      </c>
      <c r="H447" s="1016" t="s">
        <v>5746</v>
      </c>
      <c r="I447" s="944" t="str">
        <f t="shared" si="46"/>
        <v>1114031601</v>
      </c>
      <c r="J447" s="991" t="s">
        <v>5968</v>
      </c>
      <c r="K447" s="873">
        <v>730985.6</v>
      </c>
      <c r="L447" s="873"/>
      <c r="M447" s="873">
        <v>204862.16</v>
      </c>
      <c r="N447" s="873"/>
      <c r="O447" s="873"/>
      <c r="P447" s="873"/>
      <c r="Q447" s="1167">
        <v>13841.86</v>
      </c>
      <c r="R447" s="887"/>
      <c r="S447" s="1273"/>
      <c r="T447" s="1256"/>
      <c r="U447" s="996" t="s">
        <v>10558</v>
      </c>
      <c r="V447" s="996"/>
      <c r="W447" s="992" t="s">
        <v>10564</v>
      </c>
    </row>
    <row r="448" spans="1:23" ht="14.5" customHeight="1">
      <c r="A448" s="1034"/>
      <c r="B448" s="1034"/>
      <c r="C448" s="987"/>
      <c r="F448" s="988"/>
      <c r="G448" s="1095" t="str">
        <f t="shared" si="47"/>
        <v>1114031</v>
      </c>
      <c r="H448" s="1016" t="s">
        <v>5756</v>
      </c>
      <c r="I448" s="944" t="str">
        <f t="shared" si="46"/>
        <v>1114031701</v>
      </c>
      <c r="J448" s="991" t="s">
        <v>5916</v>
      </c>
      <c r="K448" s="890">
        <v>21464.5</v>
      </c>
      <c r="L448" s="873">
        <f>L393</f>
        <v>31</v>
      </c>
      <c r="M448" s="873">
        <f>M393</f>
        <v>1353</v>
      </c>
      <c r="N448" s="886"/>
      <c r="O448" s="886"/>
      <c r="P448" s="886"/>
      <c r="Q448" s="1162">
        <f>ROUND(K448*L448/M448,0)</f>
        <v>492</v>
      </c>
      <c r="R448" s="882"/>
      <c r="S448" s="1269"/>
      <c r="T448" s="1254"/>
      <c r="U448" s="996" t="s">
        <v>10473</v>
      </c>
      <c r="V448" s="996"/>
      <c r="W448" s="992" t="s">
        <v>10565</v>
      </c>
    </row>
    <row r="449" spans="1:23" ht="14.5" customHeight="1">
      <c r="A449" s="1034"/>
      <c r="B449" s="1034"/>
      <c r="C449" s="998"/>
      <c r="D449" s="999" t="str">
        <f t="shared" si="44"/>
        <v/>
      </c>
      <c r="E449" s="1002"/>
      <c r="F449" s="999" t="str">
        <f t="shared" si="45"/>
        <v/>
      </c>
      <c r="G449" s="1104" t="str">
        <f>IF(F449="",G448,F449)</f>
        <v>1114031</v>
      </c>
      <c r="H449" s="1005" t="s">
        <v>10456</v>
      </c>
      <c r="I449" s="1109" t="str">
        <f t="shared" si="46"/>
        <v>1114031Y01</v>
      </c>
      <c r="J449" s="978" t="s">
        <v>5939</v>
      </c>
      <c r="K449" s="872"/>
      <c r="L449" s="872"/>
      <c r="M449" s="872"/>
      <c r="N449" s="872"/>
      <c r="O449" s="872"/>
      <c r="P449" s="872"/>
      <c r="Q449" s="1170">
        <v>138.04</v>
      </c>
      <c r="R449" s="908"/>
      <c r="S449" s="1277"/>
      <c r="T449" s="908"/>
      <c r="U449" s="1006" t="s">
        <v>10424</v>
      </c>
      <c r="V449" s="1006"/>
      <c r="W449" s="1003"/>
    </row>
    <row r="450" spans="1:23" ht="14.5" customHeight="1">
      <c r="A450" s="1034"/>
      <c r="B450" s="1034"/>
      <c r="C450" s="994" t="s">
        <v>5969</v>
      </c>
      <c r="D450" s="988" t="str">
        <f t="shared" si="44"/>
        <v>111501</v>
      </c>
      <c r="E450" s="989" t="s">
        <v>5970</v>
      </c>
      <c r="F450" s="988" t="str">
        <f t="shared" si="45"/>
        <v>1115011</v>
      </c>
      <c r="G450" s="1095" t="str">
        <f>IF(F450="",G449,F450)</f>
        <v>1115011</v>
      </c>
      <c r="I450" s="944" t="str">
        <f t="shared" si="46"/>
        <v/>
      </c>
      <c r="J450" s="1013" t="s">
        <v>143</v>
      </c>
      <c r="K450" s="886"/>
      <c r="L450" s="886"/>
      <c r="M450" s="886"/>
      <c r="N450" s="886"/>
      <c r="O450" s="886"/>
      <c r="P450" s="896">
        <f>Q450</f>
        <v>47268</v>
      </c>
      <c r="Q450" s="1161">
        <f>ROUND(SUM(Q451:Q458),0)</f>
        <v>47268</v>
      </c>
      <c r="R450" s="1001" t="s">
        <v>10566</v>
      </c>
      <c r="S450" s="1271"/>
      <c r="T450" s="1255"/>
      <c r="U450" s="996"/>
      <c r="V450" s="996"/>
      <c r="W450" s="992"/>
    </row>
    <row r="451" spans="1:23" ht="14.5" customHeight="1">
      <c r="A451" s="1034"/>
      <c r="B451" s="1034"/>
      <c r="C451" s="987"/>
      <c r="D451" s="988" t="str">
        <f t="shared" si="44"/>
        <v/>
      </c>
      <c r="F451" s="988" t="str">
        <f t="shared" si="45"/>
        <v/>
      </c>
      <c r="G451" s="1095" t="str">
        <f>IF(F451="",G450,F451)</f>
        <v>1115011</v>
      </c>
      <c r="H451" s="1016" t="s">
        <v>575</v>
      </c>
      <c r="I451" s="944" t="str">
        <f t="shared" si="46"/>
        <v>1115011101</v>
      </c>
      <c r="J451" s="991" t="s">
        <v>10567</v>
      </c>
      <c r="K451" s="890">
        <v>52699.4</v>
      </c>
      <c r="L451" s="890">
        <f>33493+0+0</f>
        <v>33493</v>
      </c>
      <c r="M451" s="890">
        <f>32145228+4177061+6589187</f>
        <v>42911476</v>
      </c>
      <c r="N451" s="873"/>
      <c r="O451" s="873"/>
      <c r="P451" s="873"/>
      <c r="Q451" s="1165">
        <f>ROUND(K451*L451/M451,0)</f>
        <v>41</v>
      </c>
      <c r="R451" s="887"/>
      <c r="S451" s="1273"/>
      <c r="T451" s="1256"/>
      <c r="U451" s="996" t="s">
        <v>10481</v>
      </c>
      <c r="V451" s="996"/>
      <c r="W451" s="992" t="s">
        <v>10568</v>
      </c>
    </row>
    <row r="452" spans="1:23" ht="14.5" customHeight="1">
      <c r="A452" s="1034"/>
      <c r="B452" s="1034"/>
      <c r="C452" s="987"/>
      <c r="F452" s="988"/>
      <c r="G452" s="1095" t="str">
        <f t="shared" ref="G452:G458" si="48">IF(F452="",G451,F452)</f>
        <v>1115011</v>
      </c>
      <c r="H452" s="1016" t="s">
        <v>6000</v>
      </c>
      <c r="I452" s="944" t="str">
        <f t="shared" si="46"/>
        <v>1115011102</v>
      </c>
      <c r="J452" s="991" t="s">
        <v>10569</v>
      </c>
      <c r="K452" s="890">
        <v>35654.699999999997</v>
      </c>
      <c r="L452" s="890">
        <f>1734+0+0</f>
        <v>1734</v>
      </c>
      <c r="M452" s="890">
        <f>28791119+17888094+781681</f>
        <v>47460894</v>
      </c>
      <c r="N452" s="873"/>
      <c r="O452" s="873"/>
      <c r="P452" s="873"/>
      <c r="Q452" s="1165">
        <f>ROUND(K452*L452/M452,0)</f>
        <v>1</v>
      </c>
      <c r="R452" s="887"/>
      <c r="S452" s="1273"/>
      <c r="T452" s="1256"/>
      <c r="U452" s="996" t="s">
        <v>10481</v>
      </c>
      <c r="V452" s="996"/>
      <c r="W452" s="992" t="s">
        <v>10570</v>
      </c>
    </row>
    <row r="453" spans="1:23" ht="14.5" customHeight="1">
      <c r="A453" s="1034"/>
      <c r="B453" s="1034"/>
      <c r="C453" s="987"/>
      <c r="F453" s="988"/>
      <c r="G453" s="1095" t="str">
        <f t="shared" si="48"/>
        <v>1115011</v>
      </c>
      <c r="H453" s="1016" t="s">
        <v>6002</v>
      </c>
      <c r="I453" s="944" t="str">
        <f t="shared" si="46"/>
        <v>1115011103</v>
      </c>
      <c r="J453" s="991" t="s">
        <v>10571</v>
      </c>
      <c r="K453" s="890">
        <v>11484.7</v>
      </c>
      <c r="L453" s="890">
        <f>16267+0+10060835</f>
        <v>10077102</v>
      </c>
      <c r="M453" s="890">
        <f>157291+4124119+26830935</f>
        <v>31112345</v>
      </c>
      <c r="N453" s="873"/>
      <c r="O453" s="873"/>
      <c r="P453" s="873"/>
      <c r="Q453" s="1165">
        <f>ROUND(K453*L453/M453,0)</f>
        <v>3720</v>
      </c>
      <c r="R453" s="887"/>
      <c r="S453" s="1273"/>
      <c r="T453" s="1256"/>
      <c r="U453" s="996" t="s">
        <v>10481</v>
      </c>
      <c r="V453" s="996"/>
      <c r="W453" s="992" t="s">
        <v>10572</v>
      </c>
    </row>
    <row r="454" spans="1:23" ht="14.5" customHeight="1">
      <c r="C454" s="987"/>
      <c r="D454" s="988" t="str">
        <f t="shared" si="44"/>
        <v/>
      </c>
      <c r="F454" s="988" t="str">
        <f t="shared" si="45"/>
        <v/>
      </c>
      <c r="G454" s="1095" t="str">
        <f t="shared" si="48"/>
        <v>1115011</v>
      </c>
      <c r="H454" s="1016" t="s">
        <v>6146</v>
      </c>
      <c r="I454" s="944" t="str">
        <f t="shared" si="46"/>
        <v>1115011104</v>
      </c>
      <c r="J454" s="991" t="s">
        <v>5972</v>
      </c>
      <c r="K454" s="890">
        <v>60232.3</v>
      </c>
      <c r="L454" s="890">
        <v>0</v>
      </c>
      <c r="M454" s="890">
        <v>57357.279999999999</v>
      </c>
      <c r="N454" s="873"/>
      <c r="O454" s="873"/>
      <c r="P454" s="873"/>
      <c r="Q454" s="1165">
        <f>ROUND(K454*L454/M454,0)</f>
        <v>0</v>
      </c>
      <c r="R454" s="887"/>
      <c r="S454" s="1273"/>
      <c r="T454" s="1256"/>
      <c r="U454" s="996" t="s">
        <v>10424</v>
      </c>
      <c r="V454" s="996"/>
      <c r="W454" s="992" t="s">
        <v>10380</v>
      </c>
    </row>
    <row r="455" spans="1:23" ht="14.5" customHeight="1">
      <c r="C455" s="987"/>
      <c r="D455" s="988" t="str">
        <f t="shared" si="44"/>
        <v/>
      </c>
      <c r="F455" s="988" t="str">
        <f t="shared" si="45"/>
        <v/>
      </c>
      <c r="G455" s="1095" t="str">
        <f t="shared" si="48"/>
        <v>1115011</v>
      </c>
      <c r="H455" s="1016" t="s">
        <v>5453</v>
      </c>
      <c r="I455" s="944" t="str">
        <f t="shared" si="46"/>
        <v>1115011199</v>
      </c>
      <c r="J455" s="991" t="s">
        <v>5977</v>
      </c>
      <c r="K455" s="873">
        <v>244803.9</v>
      </c>
      <c r="L455" s="873"/>
      <c r="M455" s="873">
        <v>237010.76</v>
      </c>
      <c r="N455" s="873"/>
      <c r="O455" s="873"/>
      <c r="P455" s="873"/>
      <c r="Q455" s="1167">
        <v>35599.01</v>
      </c>
      <c r="R455" s="887"/>
      <c r="S455" s="1273"/>
      <c r="T455" s="1256"/>
      <c r="U455" s="996" t="s">
        <v>10122</v>
      </c>
      <c r="V455" s="996"/>
      <c r="W455" s="992" t="s">
        <v>10573</v>
      </c>
    </row>
    <row r="456" spans="1:23" ht="14.5" customHeight="1">
      <c r="C456" s="987"/>
      <c r="F456" s="988"/>
      <c r="G456" s="1095" t="str">
        <f t="shared" si="48"/>
        <v>1115011</v>
      </c>
      <c r="H456" s="1016" t="s">
        <v>5602</v>
      </c>
      <c r="I456" s="944" t="str">
        <f t="shared" si="46"/>
        <v>1115011201</v>
      </c>
      <c r="J456" s="991" t="s">
        <v>10574</v>
      </c>
      <c r="K456" s="890">
        <v>344159.2</v>
      </c>
      <c r="L456" s="890">
        <v>6457.99</v>
      </c>
      <c r="M456" s="890">
        <v>333554.76</v>
      </c>
      <c r="N456" s="873"/>
      <c r="O456" s="873"/>
      <c r="P456" s="873"/>
      <c r="Q456" s="1165">
        <f>ROUND(K456*L456/M456,0)</f>
        <v>6663</v>
      </c>
      <c r="R456" s="887"/>
      <c r="S456" s="1273"/>
      <c r="T456" s="1256"/>
      <c r="U456" s="996" t="s">
        <v>10122</v>
      </c>
      <c r="V456" s="996"/>
      <c r="W456" s="992"/>
    </row>
    <row r="457" spans="1:23" ht="14.5" customHeight="1">
      <c r="C457" s="987"/>
      <c r="D457" s="988" t="str">
        <f t="shared" si="44"/>
        <v/>
      </c>
      <c r="F457" s="988" t="str">
        <f t="shared" si="45"/>
        <v/>
      </c>
      <c r="G457" s="1095" t="str">
        <f t="shared" si="48"/>
        <v>1115011</v>
      </c>
      <c r="H457" s="1016" t="s">
        <v>5476</v>
      </c>
      <c r="I457" s="944" t="str">
        <f t="shared" si="46"/>
        <v>1115011301</v>
      </c>
      <c r="J457" s="991" t="s">
        <v>10575</v>
      </c>
      <c r="K457" s="890">
        <v>54036.9</v>
      </c>
      <c r="L457" s="873">
        <f>L393</f>
        <v>31</v>
      </c>
      <c r="M457" s="873">
        <f>M393</f>
        <v>1353</v>
      </c>
      <c r="N457" s="873"/>
      <c r="O457" s="873"/>
      <c r="P457" s="873"/>
      <c r="Q457" s="1165">
        <f>ROUND(K457*L457/M457,0)</f>
        <v>1238</v>
      </c>
      <c r="R457" s="887"/>
      <c r="S457" s="1273"/>
      <c r="T457" s="1256"/>
      <c r="U457" s="996" t="s">
        <v>10473</v>
      </c>
      <c r="V457" s="996"/>
      <c r="W457" s="992"/>
    </row>
    <row r="458" spans="1:23" ht="14.5" customHeight="1">
      <c r="C458" s="998"/>
      <c r="D458" s="999" t="str">
        <f t="shared" si="44"/>
        <v/>
      </c>
      <c r="E458" s="1002"/>
      <c r="F458" s="999" t="str">
        <f t="shared" si="45"/>
        <v/>
      </c>
      <c r="G458" s="1104" t="str">
        <f t="shared" si="48"/>
        <v>1115011</v>
      </c>
      <c r="H458" s="1005" t="s">
        <v>10490</v>
      </c>
      <c r="I458" s="1002" t="str">
        <f t="shared" si="46"/>
        <v>1115011Y01</v>
      </c>
      <c r="J458" s="978" t="s">
        <v>10576</v>
      </c>
      <c r="K458" s="872"/>
      <c r="L458" s="872"/>
      <c r="M458" s="872"/>
      <c r="N458" s="872"/>
      <c r="O458" s="872"/>
      <c r="P458" s="872"/>
      <c r="Q458" s="1170">
        <v>5.96</v>
      </c>
      <c r="R458" s="908"/>
      <c r="S458" s="1277"/>
      <c r="T458" s="908"/>
      <c r="U458" s="1006" t="s">
        <v>10424</v>
      </c>
      <c r="V458" s="1006"/>
      <c r="W458" s="1003"/>
    </row>
    <row r="459" spans="1:23" ht="14.5" customHeight="1">
      <c r="C459" s="994" t="s">
        <v>5978</v>
      </c>
      <c r="D459" s="988" t="str">
        <f t="shared" si="44"/>
        <v>111601</v>
      </c>
      <c r="E459" s="989" t="s">
        <v>5980</v>
      </c>
      <c r="F459" s="988" t="str">
        <f t="shared" si="45"/>
        <v>1116011</v>
      </c>
      <c r="G459" s="1095" t="str">
        <f>IF(F459="",G458,F459)</f>
        <v>1116011</v>
      </c>
      <c r="I459" s="944" t="str">
        <f t="shared" si="46"/>
        <v/>
      </c>
      <c r="J459" s="990" t="s">
        <v>5979</v>
      </c>
      <c r="K459" s="886"/>
      <c r="L459" s="886"/>
      <c r="M459" s="886"/>
      <c r="N459" s="886"/>
      <c r="O459" s="886"/>
      <c r="P459" s="896">
        <f>Q459</f>
        <v>33928</v>
      </c>
      <c r="Q459" s="1171">
        <f>ROUND(SUM(Q460:Q462),0)</f>
        <v>33928</v>
      </c>
      <c r="R459" s="882"/>
      <c r="S459" s="1269"/>
      <c r="T459" s="1254"/>
      <c r="U459" s="996"/>
      <c r="V459" s="996"/>
      <c r="W459" s="992"/>
    </row>
    <row r="460" spans="1:23" ht="14.5" customHeight="1">
      <c r="C460" s="994"/>
      <c r="D460" s="995" t="str">
        <f t="shared" si="44"/>
        <v/>
      </c>
      <c r="E460" s="989"/>
      <c r="F460" s="988" t="str">
        <f t="shared" si="45"/>
        <v/>
      </c>
      <c r="G460" s="1095" t="str">
        <f>IF(F460="",G459,F460)</f>
        <v>1116011</v>
      </c>
      <c r="I460" s="944" t="str">
        <f t="shared" si="46"/>
        <v/>
      </c>
      <c r="J460" s="990" t="s">
        <v>10577</v>
      </c>
      <c r="K460" s="890">
        <v>342888.1</v>
      </c>
      <c r="L460" s="890">
        <v>21150.38</v>
      </c>
      <c r="M460" s="890">
        <v>213672.5</v>
      </c>
      <c r="N460" s="886"/>
      <c r="O460" s="886"/>
      <c r="P460" s="886"/>
      <c r="Q460" s="1165">
        <f>ROUND(K460*L460/M460,0)</f>
        <v>33941</v>
      </c>
      <c r="R460" s="1001" t="s">
        <v>10578</v>
      </c>
      <c r="S460" s="1271"/>
      <c r="T460" s="1255"/>
      <c r="U460" s="996"/>
      <c r="V460" s="996"/>
      <c r="W460" s="992" t="s">
        <v>10579</v>
      </c>
    </row>
    <row r="461" spans="1:23" ht="14.5" customHeight="1">
      <c r="C461" s="994"/>
      <c r="D461" s="995"/>
      <c r="E461" s="989"/>
      <c r="F461" s="988"/>
      <c r="G461" s="1095" t="str">
        <f>IF(F461="",G460,F461)</f>
        <v>1116011</v>
      </c>
      <c r="H461" s="1016" t="s">
        <v>10490</v>
      </c>
      <c r="J461" s="991" t="s">
        <v>10580</v>
      </c>
      <c r="K461" s="873"/>
      <c r="L461" s="873"/>
      <c r="M461" s="873"/>
      <c r="N461" s="886"/>
      <c r="O461" s="886"/>
      <c r="P461" s="886"/>
      <c r="Q461" s="1167">
        <v>-13.79</v>
      </c>
      <c r="R461" s="1001"/>
      <c r="S461" s="1271"/>
      <c r="T461" s="1255"/>
      <c r="U461" s="996"/>
      <c r="V461" s="996"/>
      <c r="W461" s="992"/>
    </row>
    <row r="462" spans="1:23" ht="14.5" customHeight="1">
      <c r="C462" s="987"/>
      <c r="D462" s="988" t="str">
        <f t="shared" si="44"/>
        <v/>
      </c>
      <c r="E462" s="989"/>
      <c r="F462" s="988" t="str">
        <f t="shared" si="45"/>
        <v/>
      </c>
      <c r="G462" s="1095" t="str">
        <f>IF(F462="",G461,F462)</f>
        <v>1116011</v>
      </c>
      <c r="I462" s="944" t="str">
        <f t="shared" si="46"/>
        <v/>
      </c>
      <c r="J462" s="991" t="s">
        <v>10581</v>
      </c>
      <c r="K462" s="886"/>
      <c r="L462" s="886"/>
      <c r="M462" s="886"/>
      <c r="N462" s="886"/>
      <c r="O462" s="886"/>
      <c r="P462" s="886"/>
      <c r="Q462" s="1162">
        <f>SUM(Q463:Q465)</f>
        <v>1</v>
      </c>
      <c r="R462" s="882" t="s">
        <v>10582</v>
      </c>
      <c r="S462" s="1269"/>
      <c r="T462" s="1254"/>
      <c r="U462" s="996"/>
      <c r="V462" s="996"/>
      <c r="W462" s="992"/>
    </row>
    <row r="463" spans="1:23" ht="14.5" customHeight="1">
      <c r="C463" s="987"/>
      <c r="D463" s="988" t="str">
        <f t="shared" si="44"/>
        <v/>
      </c>
      <c r="F463" s="988" t="str">
        <f t="shared" si="45"/>
        <v/>
      </c>
      <c r="G463" s="1095" t="str">
        <f>IF(F463="",G462,F463)</f>
        <v>1116011</v>
      </c>
      <c r="H463" s="1016" t="s">
        <v>5484</v>
      </c>
      <c r="I463" s="944" t="str">
        <f t="shared" si="46"/>
        <v>1116011301</v>
      </c>
      <c r="J463" s="991" t="s">
        <v>5982</v>
      </c>
      <c r="K463" s="886"/>
      <c r="L463" s="886"/>
      <c r="M463" s="886"/>
      <c r="N463" s="886"/>
      <c r="O463" s="886"/>
      <c r="P463" s="886"/>
      <c r="Q463" s="1167">
        <v>0</v>
      </c>
      <c r="R463" s="882"/>
      <c r="S463" s="1269"/>
      <c r="T463" s="1254"/>
      <c r="U463" s="996"/>
      <c r="V463" s="996"/>
      <c r="W463" s="992" t="s">
        <v>10583</v>
      </c>
    </row>
    <row r="464" spans="1:23" ht="14.5" customHeight="1">
      <c r="C464" s="987"/>
      <c r="D464" s="988" t="str">
        <f t="shared" si="44"/>
        <v/>
      </c>
      <c r="F464" s="988" t="str">
        <f t="shared" si="45"/>
        <v/>
      </c>
      <c r="G464" s="1095" t="str">
        <f t="shared" ref="G464:G473" si="49">IF(F464="",G463,F464)</f>
        <v>1116011</v>
      </c>
      <c r="H464" s="1016" t="s">
        <v>5486</v>
      </c>
      <c r="I464" s="944" t="str">
        <f t="shared" si="46"/>
        <v>1116011401</v>
      </c>
      <c r="J464" s="991" t="s">
        <v>5983</v>
      </c>
      <c r="K464" s="890">
        <v>509.8</v>
      </c>
      <c r="L464" s="890">
        <v>47.33</v>
      </c>
      <c r="M464" s="890">
        <v>28406.57</v>
      </c>
      <c r="N464" s="886"/>
      <c r="O464" s="886"/>
      <c r="P464" s="886"/>
      <c r="Q464" s="1165">
        <f>ROUND(K464*L464/M464,0)</f>
        <v>1</v>
      </c>
      <c r="R464" s="882"/>
      <c r="S464" s="1269"/>
      <c r="T464" s="1254"/>
      <c r="U464" s="996"/>
      <c r="V464" s="996"/>
      <c r="W464" s="992" t="s">
        <v>10584</v>
      </c>
    </row>
    <row r="465" spans="3:23" ht="14.5" customHeight="1">
      <c r="C465" s="998"/>
      <c r="D465" s="999" t="str">
        <f t="shared" si="44"/>
        <v/>
      </c>
      <c r="E465" s="1002"/>
      <c r="F465" s="999" t="str">
        <f t="shared" si="45"/>
        <v/>
      </c>
      <c r="G465" s="1104" t="str">
        <f t="shared" si="49"/>
        <v>1116011</v>
      </c>
      <c r="H465" s="1005" t="s">
        <v>6210</v>
      </c>
      <c r="I465" s="1002" t="str">
        <f t="shared" si="46"/>
        <v>1116011402</v>
      </c>
      <c r="J465" s="978" t="s">
        <v>5984</v>
      </c>
      <c r="K465" s="893"/>
      <c r="L465" s="893"/>
      <c r="M465" s="893"/>
      <c r="N465" s="893"/>
      <c r="O465" s="893"/>
      <c r="P465" s="893"/>
      <c r="Q465" s="1170">
        <v>0</v>
      </c>
      <c r="R465" s="900"/>
      <c r="S465" s="1272"/>
      <c r="T465" s="900"/>
      <c r="U465" s="1006"/>
      <c r="V465" s="1006"/>
      <c r="W465" s="1003" t="s">
        <v>10585</v>
      </c>
    </row>
    <row r="466" spans="3:23" ht="14.5" customHeight="1">
      <c r="C466" s="994" t="s">
        <v>5985</v>
      </c>
      <c r="D466" s="988" t="str">
        <f t="shared" si="44"/>
        <v>111602</v>
      </c>
      <c r="E466" s="989" t="s">
        <v>5986</v>
      </c>
      <c r="F466" s="988" t="str">
        <f t="shared" si="45"/>
        <v>1116021</v>
      </c>
      <c r="G466" s="1095" t="str">
        <f>IF(F466="",G465,F466)</f>
        <v>1116021</v>
      </c>
      <c r="I466" s="944" t="str">
        <f t="shared" si="46"/>
        <v/>
      </c>
      <c r="J466" s="990" t="s">
        <v>147</v>
      </c>
      <c r="K466" s="896"/>
      <c r="L466" s="886"/>
      <c r="M466" s="886"/>
      <c r="N466" s="886"/>
      <c r="O466" s="886"/>
      <c r="P466" s="896">
        <f>Q466</f>
        <v>5204</v>
      </c>
      <c r="Q466" s="1171">
        <f>ROUND(SUM(Q467:Q469),0)</f>
        <v>5204</v>
      </c>
      <c r="R466" s="1001" t="s">
        <v>10586</v>
      </c>
      <c r="S466" s="1271"/>
      <c r="T466" s="1255"/>
      <c r="U466" s="996" t="s">
        <v>10587</v>
      </c>
      <c r="V466" s="996"/>
      <c r="W466" s="992"/>
    </row>
    <row r="467" spans="3:23" ht="14.5" customHeight="1">
      <c r="C467" s="987"/>
      <c r="D467" s="988" t="str">
        <f t="shared" si="44"/>
        <v/>
      </c>
      <c r="F467" s="988" t="str">
        <f t="shared" si="45"/>
        <v/>
      </c>
      <c r="G467" s="1095" t="str">
        <f t="shared" si="49"/>
        <v>1116021</v>
      </c>
      <c r="H467" s="1016" t="s">
        <v>5637</v>
      </c>
      <c r="I467" s="944" t="str">
        <f t="shared" si="46"/>
        <v>1116021101</v>
      </c>
      <c r="J467" s="991" t="s">
        <v>5987</v>
      </c>
      <c r="K467" s="890">
        <v>149271.5</v>
      </c>
      <c r="L467" s="890">
        <v>2347.84</v>
      </c>
      <c r="M467" s="890">
        <v>67447.710000000006</v>
      </c>
      <c r="N467" s="873"/>
      <c r="O467" s="873"/>
      <c r="P467" s="873"/>
      <c r="Q467" s="1181">
        <f>ROUND(K467*L467/M467,0)</f>
        <v>5196</v>
      </c>
      <c r="R467" s="887"/>
      <c r="S467" s="1273"/>
      <c r="T467" s="1256"/>
      <c r="U467" s="996"/>
      <c r="V467" s="996"/>
      <c r="W467" s="992" t="s">
        <v>10588</v>
      </c>
    </row>
    <row r="468" spans="3:23" ht="14.5" customHeight="1">
      <c r="C468" s="987"/>
      <c r="D468" s="988" t="str">
        <f t="shared" si="44"/>
        <v/>
      </c>
      <c r="F468" s="988" t="str">
        <f t="shared" si="45"/>
        <v/>
      </c>
      <c r="G468" s="1095" t="str">
        <f t="shared" si="49"/>
        <v>1116021</v>
      </c>
      <c r="H468" s="1016" t="s">
        <v>5383</v>
      </c>
      <c r="I468" s="944" t="str">
        <f t="shared" si="46"/>
        <v>1116021201</v>
      </c>
      <c r="J468" s="991" t="s">
        <v>5988</v>
      </c>
      <c r="K468" s="873"/>
      <c r="L468" s="873"/>
      <c r="M468" s="873"/>
      <c r="N468" s="873"/>
      <c r="O468" s="873"/>
      <c r="P468" s="873"/>
      <c r="Q468" s="1182">
        <v>0</v>
      </c>
      <c r="R468" s="887"/>
      <c r="S468" s="1273"/>
      <c r="T468" s="1256"/>
      <c r="U468" s="996"/>
      <c r="V468" s="996"/>
      <c r="W468" s="992" t="s">
        <v>10380</v>
      </c>
    </row>
    <row r="469" spans="3:23" ht="14.5" customHeight="1">
      <c r="C469" s="998"/>
      <c r="D469" s="999"/>
      <c r="E469" s="1002"/>
      <c r="F469" s="999"/>
      <c r="G469" s="1104" t="str">
        <f>IF(F469="",G468,F469)</f>
        <v>1116021</v>
      </c>
      <c r="H469" s="1005" t="s">
        <v>10490</v>
      </c>
      <c r="I469" s="1002" t="str">
        <f>IF(H469="","",CONCATENATE(G469,H469))</f>
        <v>1116021Y01</v>
      </c>
      <c r="J469" s="978" t="s">
        <v>10589</v>
      </c>
      <c r="K469" s="893"/>
      <c r="L469" s="872"/>
      <c r="M469" s="872"/>
      <c r="N469" s="893"/>
      <c r="O469" s="893"/>
      <c r="P469" s="893"/>
      <c r="Q469" s="1170">
        <v>7.69</v>
      </c>
      <c r="R469" s="908"/>
      <c r="S469" s="1277"/>
      <c r="T469" s="908"/>
      <c r="U469" s="1006"/>
      <c r="V469" s="1006"/>
      <c r="W469" s="1003" t="s">
        <v>10507</v>
      </c>
    </row>
    <row r="470" spans="3:23" ht="14.5" customHeight="1">
      <c r="C470" s="994" t="s">
        <v>5989</v>
      </c>
      <c r="D470" s="988" t="str">
        <f t="shared" si="44"/>
        <v>111603</v>
      </c>
      <c r="E470" s="989" t="s">
        <v>5990</v>
      </c>
      <c r="F470" s="988" t="str">
        <f t="shared" si="45"/>
        <v>1116031</v>
      </c>
      <c r="G470" s="1095" t="str">
        <f>IF(F470="",G468,F470)</f>
        <v>1116031</v>
      </c>
      <c r="I470" s="944" t="str">
        <f t="shared" si="46"/>
        <v/>
      </c>
      <c r="J470" s="990" t="s">
        <v>148</v>
      </c>
      <c r="K470" s="886"/>
      <c r="L470" s="886"/>
      <c r="M470" s="886"/>
      <c r="N470" s="886"/>
      <c r="O470" s="886"/>
      <c r="P470" s="896">
        <f>Q470</f>
        <v>16173</v>
      </c>
      <c r="Q470" s="1171">
        <f>ROUND(SUM(Q471:Q474),0)</f>
        <v>16173</v>
      </c>
      <c r="R470" s="882" t="s">
        <v>10590</v>
      </c>
      <c r="S470" s="1269"/>
      <c r="T470" s="1254"/>
      <c r="U470" s="996" t="s">
        <v>10424</v>
      </c>
      <c r="V470" s="996"/>
      <c r="W470" s="992"/>
    </row>
    <row r="471" spans="3:23" ht="14.5" customHeight="1">
      <c r="C471" s="987"/>
      <c r="D471" s="988" t="str">
        <f t="shared" si="44"/>
        <v/>
      </c>
      <c r="F471" s="988" t="str">
        <f t="shared" si="45"/>
        <v/>
      </c>
      <c r="G471" s="1095" t="str">
        <f t="shared" si="49"/>
        <v>1116031</v>
      </c>
      <c r="H471" s="1016" t="s">
        <v>5637</v>
      </c>
      <c r="I471" s="944" t="str">
        <f t="shared" si="46"/>
        <v>1116031101</v>
      </c>
      <c r="J471" s="991" t="s">
        <v>5991</v>
      </c>
      <c r="K471" s="890">
        <v>21992</v>
      </c>
      <c r="L471" s="890">
        <v>0</v>
      </c>
      <c r="M471" s="890">
        <v>17493.169999999998</v>
      </c>
      <c r="N471" s="873"/>
      <c r="O471" s="873"/>
      <c r="P471" s="873"/>
      <c r="Q471" s="1182">
        <v>0</v>
      </c>
      <c r="R471" s="887"/>
      <c r="S471" s="1273"/>
      <c r="T471" s="1256"/>
      <c r="U471" s="996"/>
      <c r="V471" s="996"/>
      <c r="W471" s="992" t="s">
        <v>10380</v>
      </c>
    </row>
    <row r="472" spans="3:23" ht="14.5" customHeight="1">
      <c r="C472" s="987"/>
      <c r="D472" s="988" t="str">
        <f t="shared" si="44"/>
        <v/>
      </c>
      <c r="F472" s="988" t="str">
        <f t="shared" si="45"/>
        <v/>
      </c>
      <c r="G472" s="1095" t="str">
        <f t="shared" si="49"/>
        <v>1116031</v>
      </c>
      <c r="H472" s="1016" t="s">
        <v>5383</v>
      </c>
      <c r="I472" s="944" t="str">
        <f t="shared" si="46"/>
        <v>1116031201</v>
      </c>
      <c r="J472" s="991" t="s">
        <v>5992</v>
      </c>
      <c r="K472" s="890">
        <v>46395.7</v>
      </c>
      <c r="L472" s="890">
        <v>0</v>
      </c>
      <c r="M472" s="890">
        <v>46104.71</v>
      </c>
      <c r="N472" s="873"/>
      <c r="O472" s="873"/>
      <c r="P472" s="873"/>
      <c r="Q472" s="1181">
        <f>ROUND(K472*L472/M472,0)</f>
        <v>0</v>
      </c>
      <c r="R472" s="887"/>
      <c r="S472" s="1273"/>
      <c r="T472" s="1256"/>
      <c r="U472" s="996"/>
      <c r="V472" s="996"/>
      <c r="W472" s="991" t="s">
        <v>10122</v>
      </c>
    </row>
    <row r="473" spans="3:23" ht="14.5" customHeight="1">
      <c r="C473" s="987"/>
      <c r="D473" s="988" t="str">
        <f t="shared" si="44"/>
        <v/>
      </c>
      <c r="F473" s="988" t="str">
        <f t="shared" si="45"/>
        <v/>
      </c>
      <c r="G473" s="1095" t="str">
        <f t="shared" si="49"/>
        <v>1116031</v>
      </c>
      <c r="H473" s="1016" t="s">
        <v>5421</v>
      </c>
      <c r="I473" s="944" t="str">
        <f t="shared" si="46"/>
        <v>1116031301</v>
      </c>
      <c r="J473" s="991" t="s">
        <v>5993</v>
      </c>
      <c r="K473" s="890">
        <v>78531.199999999997</v>
      </c>
      <c r="L473" s="890">
        <v>23527.62</v>
      </c>
      <c r="M473" s="890">
        <v>114199.18</v>
      </c>
      <c r="N473" s="873"/>
      <c r="O473" s="873"/>
      <c r="P473" s="873"/>
      <c r="Q473" s="1181">
        <f>ROUND(K473*L473/M473,0)</f>
        <v>16179</v>
      </c>
      <c r="R473" s="887"/>
      <c r="S473" s="1273"/>
      <c r="T473" s="1256"/>
      <c r="U473" s="996"/>
      <c r="V473" s="996"/>
      <c r="W473" s="992"/>
    </row>
    <row r="474" spans="3:23" ht="14.5" customHeight="1">
      <c r="C474" s="998"/>
      <c r="D474" s="999"/>
      <c r="E474" s="1002"/>
      <c r="F474" s="999"/>
      <c r="G474" s="1104" t="str">
        <f>IF(F474="",G473,F474)</f>
        <v>1116031</v>
      </c>
      <c r="H474" s="1005" t="s">
        <v>10490</v>
      </c>
      <c r="I474" s="1002" t="str">
        <f t="shared" si="46"/>
        <v>1116031Y01</v>
      </c>
      <c r="J474" s="978" t="s">
        <v>10591</v>
      </c>
      <c r="K474" s="872"/>
      <c r="L474" s="872"/>
      <c r="M474" s="872"/>
      <c r="N474" s="872"/>
      <c r="O474" s="872"/>
      <c r="P474" s="872"/>
      <c r="Q474" s="1170">
        <v>-6.31</v>
      </c>
      <c r="R474" s="908"/>
      <c r="S474" s="1277"/>
      <c r="T474" s="908"/>
      <c r="U474" s="1006"/>
      <c r="V474" s="1006"/>
      <c r="W474" s="1003" t="s">
        <v>10507</v>
      </c>
    </row>
    <row r="475" spans="3:23" ht="14.5" customHeight="1">
      <c r="C475" s="994" t="s">
        <v>5994</v>
      </c>
      <c r="D475" s="988" t="str">
        <f t="shared" si="44"/>
        <v>111604</v>
      </c>
      <c r="E475" s="989"/>
      <c r="F475" s="988" t="str">
        <f t="shared" si="45"/>
        <v/>
      </c>
      <c r="I475" s="944" t="str">
        <f t="shared" si="46"/>
        <v/>
      </c>
      <c r="J475" s="990" t="s">
        <v>5995</v>
      </c>
      <c r="K475" s="886"/>
      <c r="L475" s="886"/>
      <c r="M475" s="886"/>
      <c r="N475" s="886"/>
      <c r="O475" s="886"/>
      <c r="P475" s="896">
        <f>Q476+Q481+Q486+Q491</f>
        <v>113386</v>
      </c>
      <c r="Q475" s="1171"/>
      <c r="R475" s="882"/>
      <c r="S475" s="1269"/>
      <c r="T475" s="1254"/>
      <c r="U475" s="996"/>
      <c r="V475" s="996"/>
      <c r="W475" s="992"/>
    </row>
    <row r="476" spans="3:23" ht="14.5" customHeight="1">
      <c r="C476" s="994"/>
      <c r="D476" s="988" t="str">
        <f t="shared" si="44"/>
        <v/>
      </c>
      <c r="E476" s="989" t="s">
        <v>5996</v>
      </c>
      <c r="F476" s="988" t="str">
        <f t="shared" si="45"/>
        <v>1116041</v>
      </c>
      <c r="G476" s="1095" t="str">
        <f t="shared" ref="G476:G484" si="50">IF(F476="",G475,F476)</f>
        <v>1116041</v>
      </c>
      <c r="I476" s="944" t="str">
        <f t="shared" si="46"/>
        <v/>
      </c>
      <c r="J476" s="990" t="s">
        <v>149</v>
      </c>
      <c r="K476" s="873"/>
      <c r="L476" s="873"/>
      <c r="M476" s="873"/>
      <c r="N476" s="886"/>
      <c r="O476" s="886"/>
      <c r="P476" s="886"/>
      <c r="Q476" s="1180">
        <f>ROUND(SUM(Q477:Q480),0)</f>
        <v>47147</v>
      </c>
      <c r="R476" s="1001" t="s">
        <v>10592</v>
      </c>
      <c r="S476" s="1271"/>
      <c r="T476" s="1255"/>
      <c r="U476" s="996" t="s">
        <v>10587</v>
      </c>
      <c r="V476" s="996"/>
      <c r="W476" s="992"/>
    </row>
    <row r="477" spans="3:23" ht="14.5" customHeight="1">
      <c r="C477" s="994"/>
      <c r="E477" s="989"/>
      <c r="F477" s="988"/>
      <c r="G477" s="1095" t="str">
        <f t="shared" si="50"/>
        <v>1116041</v>
      </c>
      <c r="H477" s="1016" t="s">
        <v>5534</v>
      </c>
      <c r="I477" s="944" t="str">
        <f t="shared" si="46"/>
        <v>1116041101</v>
      </c>
      <c r="J477" s="991" t="s">
        <v>10593</v>
      </c>
      <c r="K477" s="890">
        <v>35873.800000000003</v>
      </c>
      <c r="L477" s="890">
        <v>9906.67</v>
      </c>
      <c r="M477" s="890">
        <v>35911.089999999997</v>
      </c>
      <c r="N477" s="886"/>
      <c r="O477" s="886"/>
      <c r="P477" s="886"/>
      <c r="Q477" s="1165">
        <f t="shared" ref="Q477:Q479" si="51">ROUND(K477*L477/M477,0)</f>
        <v>9896</v>
      </c>
      <c r="R477" s="1001"/>
      <c r="S477" s="1271"/>
      <c r="T477" s="1255"/>
      <c r="U477" s="996"/>
      <c r="V477" s="996"/>
      <c r="W477" s="992"/>
    </row>
    <row r="478" spans="3:23" ht="14.5" customHeight="1">
      <c r="C478" s="994"/>
      <c r="E478" s="989"/>
      <c r="F478" s="988"/>
      <c r="G478" s="1095" t="str">
        <f t="shared" si="50"/>
        <v>1116041</v>
      </c>
      <c r="H478" s="1016" t="s">
        <v>6000</v>
      </c>
      <c r="I478" s="944" t="str">
        <f t="shared" si="46"/>
        <v>1116041102</v>
      </c>
      <c r="J478" s="991" t="s">
        <v>10594</v>
      </c>
      <c r="K478" s="890">
        <v>184177</v>
      </c>
      <c r="L478" s="890">
        <v>23474.91</v>
      </c>
      <c r="M478" s="890">
        <v>184367.76</v>
      </c>
      <c r="N478" s="886"/>
      <c r="O478" s="886"/>
      <c r="P478" s="886"/>
      <c r="Q478" s="1165">
        <f t="shared" si="51"/>
        <v>23451</v>
      </c>
      <c r="R478" s="1001"/>
      <c r="S478" s="1271"/>
      <c r="T478" s="1255"/>
      <c r="U478" s="996"/>
      <c r="V478" s="996"/>
      <c r="W478" s="992"/>
    </row>
    <row r="479" spans="3:23" ht="14.5" customHeight="1">
      <c r="C479" s="994"/>
      <c r="E479" s="989"/>
      <c r="F479" s="988"/>
      <c r="G479" s="1095" t="str">
        <f t="shared" si="50"/>
        <v>1116041</v>
      </c>
      <c r="H479" s="1016" t="s">
        <v>10595</v>
      </c>
      <c r="I479" s="944" t="str">
        <f t="shared" si="46"/>
        <v>1116041199</v>
      </c>
      <c r="J479" s="991" t="s">
        <v>10596</v>
      </c>
      <c r="K479" s="890">
        <v>185869.2</v>
      </c>
      <c r="L479" s="890">
        <v>15655.77</v>
      </c>
      <c r="M479" s="890">
        <v>205604.01</v>
      </c>
      <c r="N479" s="886"/>
      <c r="O479" s="886"/>
      <c r="P479" s="886"/>
      <c r="Q479" s="1165">
        <f t="shared" si="51"/>
        <v>14153</v>
      </c>
      <c r="R479" s="1001"/>
      <c r="S479" s="1271"/>
      <c r="T479" s="1255"/>
      <c r="U479" s="996"/>
      <c r="V479" s="996"/>
      <c r="W479" s="992" t="s">
        <v>10597</v>
      </c>
    </row>
    <row r="480" spans="3:23" ht="14.5" customHeight="1">
      <c r="C480" s="994"/>
      <c r="E480" s="989"/>
      <c r="F480" s="988"/>
      <c r="G480" s="1095" t="str">
        <f t="shared" si="50"/>
        <v>1116041</v>
      </c>
      <c r="H480" s="1016" t="s">
        <v>10456</v>
      </c>
      <c r="I480" s="944" t="str">
        <f t="shared" si="46"/>
        <v>1116041Y01</v>
      </c>
      <c r="J480" s="991" t="s">
        <v>10598</v>
      </c>
      <c r="K480" s="873"/>
      <c r="L480" s="873"/>
      <c r="M480" s="873"/>
      <c r="N480" s="886"/>
      <c r="O480" s="886"/>
      <c r="P480" s="886"/>
      <c r="Q480" s="1167">
        <v>-352.69</v>
      </c>
      <c r="R480" s="1001"/>
      <c r="S480" s="1271"/>
      <c r="T480" s="1255"/>
      <c r="U480" s="996"/>
      <c r="V480" s="996"/>
      <c r="W480" s="992"/>
    </row>
    <row r="481" spans="3:23" ht="14.5" customHeight="1">
      <c r="C481" s="987"/>
      <c r="E481" s="989" t="s">
        <v>5997</v>
      </c>
      <c r="F481" s="988" t="str">
        <f t="shared" si="45"/>
        <v>1116042</v>
      </c>
      <c r="G481" s="1095" t="str">
        <f>IF(F481="",#REF!,F481)</f>
        <v>1116042</v>
      </c>
      <c r="J481" s="990" t="s">
        <v>5998</v>
      </c>
      <c r="K481" s="886"/>
      <c r="L481" s="873"/>
      <c r="M481" s="873"/>
      <c r="N481" s="886"/>
      <c r="O481" s="886"/>
      <c r="P481" s="886"/>
      <c r="Q481" s="1161">
        <f>ROUND(SUM(Q482:Q485),0)</f>
        <v>6142</v>
      </c>
      <c r="R481" s="887"/>
      <c r="S481" s="1273"/>
      <c r="T481" s="1256"/>
      <c r="U481" s="996" t="s">
        <v>10587</v>
      </c>
      <c r="V481" s="996"/>
      <c r="W481" s="992" t="s">
        <v>10599</v>
      </c>
    </row>
    <row r="482" spans="3:23" ht="14.5" customHeight="1">
      <c r="C482" s="987"/>
      <c r="F482" s="988" t="str">
        <f t="shared" si="45"/>
        <v/>
      </c>
      <c r="G482" s="1095" t="str">
        <f t="shared" si="50"/>
        <v>1116042</v>
      </c>
      <c r="H482" s="1016" t="s">
        <v>5534</v>
      </c>
      <c r="I482" s="944" t="str">
        <f t="shared" si="46"/>
        <v>1116042101</v>
      </c>
      <c r="J482" s="991" t="s">
        <v>5999</v>
      </c>
      <c r="K482" s="890">
        <v>10591.3</v>
      </c>
      <c r="L482" s="890">
        <v>3564.5</v>
      </c>
      <c r="M482" s="890">
        <v>10725.46</v>
      </c>
      <c r="N482" s="873"/>
      <c r="O482" s="873"/>
      <c r="P482" s="873"/>
      <c r="Q482" s="1181">
        <f>ROUND(K482*L482/M482,0)</f>
        <v>3520</v>
      </c>
      <c r="R482" s="887"/>
      <c r="S482" s="1273"/>
      <c r="T482" s="1256"/>
      <c r="U482" s="996"/>
      <c r="V482" s="996"/>
      <c r="W482" s="992"/>
    </row>
    <row r="483" spans="3:23" ht="14.5" customHeight="1">
      <c r="C483" s="987"/>
      <c r="F483" s="988" t="str">
        <f t="shared" si="45"/>
        <v/>
      </c>
      <c r="G483" s="1095" t="str">
        <f t="shared" si="50"/>
        <v>1116042</v>
      </c>
      <c r="H483" s="1016" t="s">
        <v>6000</v>
      </c>
      <c r="I483" s="944" t="str">
        <f t="shared" si="46"/>
        <v>1116042102</v>
      </c>
      <c r="J483" s="991" t="s">
        <v>6001</v>
      </c>
      <c r="K483" s="890">
        <v>12661.2</v>
      </c>
      <c r="L483" s="890">
        <v>1167.27</v>
      </c>
      <c r="M483" s="890">
        <v>12820.57</v>
      </c>
      <c r="N483" s="873"/>
      <c r="O483" s="873"/>
      <c r="P483" s="873"/>
      <c r="Q483" s="1181">
        <f>ROUND(K483*L483/M483,0)</f>
        <v>1153</v>
      </c>
      <c r="R483" s="887"/>
      <c r="S483" s="1273"/>
      <c r="T483" s="1256"/>
      <c r="U483" s="996"/>
      <c r="V483" s="996"/>
      <c r="W483" s="992"/>
    </row>
    <row r="484" spans="3:23" ht="14.5" customHeight="1">
      <c r="C484" s="987"/>
      <c r="F484" s="988" t="str">
        <f t="shared" si="45"/>
        <v/>
      </c>
      <c r="G484" s="1095" t="str">
        <f t="shared" si="50"/>
        <v>1116042</v>
      </c>
      <c r="H484" s="1016" t="s">
        <v>5453</v>
      </c>
      <c r="I484" s="944" t="str">
        <f t="shared" si="46"/>
        <v>1116042199</v>
      </c>
      <c r="J484" s="991" t="s">
        <v>10600</v>
      </c>
      <c r="K484" s="890">
        <v>19298.5</v>
      </c>
      <c r="L484" s="873">
        <f>L479</f>
        <v>15655.77</v>
      </c>
      <c r="M484" s="873">
        <f>M479</f>
        <v>205604.01</v>
      </c>
      <c r="N484" s="873"/>
      <c r="O484" s="873"/>
      <c r="P484" s="873"/>
      <c r="Q484" s="1181">
        <f>ROUND(K484*L484/M484,0)</f>
        <v>1469</v>
      </c>
      <c r="R484" s="887"/>
      <c r="S484" s="1273"/>
      <c r="T484" s="1256"/>
      <c r="U484" s="996"/>
      <c r="V484" s="996"/>
      <c r="W484" s="992" t="s">
        <v>10597</v>
      </c>
    </row>
    <row r="485" spans="3:23" ht="14.5" customHeight="1">
      <c r="C485" s="987"/>
      <c r="F485" s="988" t="str">
        <f t="shared" si="45"/>
        <v/>
      </c>
      <c r="G485" s="1095" t="str">
        <f>IF(F485="",G484,F485)</f>
        <v>1116042</v>
      </c>
      <c r="H485" s="1016" t="s">
        <v>10490</v>
      </c>
      <c r="I485" s="944" t="str">
        <f t="shared" si="46"/>
        <v>1116042Y01</v>
      </c>
      <c r="J485" s="991" t="s">
        <v>10601</v>
      </c>
      <c r="K485" s="886"/>
      <c r="L485" s="873"/>
      <c r="M485" s="873"/>
      <c r="N485" s="886"/>
      <c r="O485" s="886"/>
      <c r="P485" s="886"/>
      <c r="Q485" s="1167">
        <v>0.41</v>
      </c>
      <c r="R485" s="887"/>
      <c r="S485" s="1273"/>
      <c r="T485" s="1256"/>
      <c r="U485" s="996"/>
      <c r="V485" s="996"/>
      <c r="W485" s="992" t="s">
        <v>10599</v>
      </c>
    </row>
    <row r="486" spans="3:23" ht="14.5" customHeight="1">
      <c r="C486" s="987"/>
      <c r="D486" s="988" t="str">
        <f t="shared" si="44"/>
        <v/>
      </c>
      <c r="E486" s="989" t="s">
        <v>6005</v>
      </c>
      <c r="F486" s="988" t="str">
        <f t="shared" si="45"/>
        <v>1116043</v>
      </c>
      <c r="G486" s="1095" t="str">
        <f t="shared" ref="G486:G493" si="52">IF(F486="",G485,F486)</f>
        <v>1116043</v>
      </c>
      <c r="I486" s="944" t="str">
        <f t="shared" si="46"/>
        <v/>
      </c>
      <c r="J486" s="990" t="s">
        <v>153</v>
      </c>
      <c r="K486" s="873"/>
      <c r="L486" s="873"/>
      <c r="M486" s="873"/>
      <c r="N486" s="886"/>
      <c r="O486" s="886"/>
      <c r="P486" s="886"/>
      <c r="Q486" s="1180">
        <f>ROUND(SUM(Q487:Q490),0)</f>
        <v>50182</v>
      </c>
      <c r="R486" s="1001" t="s">
        <v>10602</v>
      </c>
      <c r="S486" s="1271"/>
      <c r="T486" s="1255"/>
      <c r="U486" s="996" t="s">
        <v>10587</v>
      </c>
      <c r="V486" s="996"/>
      <c r="W486" s="992"/>
    </row>
    <row r="487" spans="3:23" ht="14.5" customHeight="1">
      <c r="C487" s="987"/>
      <c r="E487" s="989"/>
      <c r="F487" s="988"/>
      <c r="G487" s="1095" t="str">
        <f t="shared" si="52"/>
        <v>1116043</v>
      </c>
      <c r="H487" s="1016" t="s">
        <v>5534</v>
      </c>
      <c r="I487" s="944" t="str">
        <f t="shared" si="46"/>
        <v>1116043101</v>
      </c>
      <c r="J487" s="991" t="s">
        <v>10603</v>
      </c>
      <c r="K487" s="890">
        <v>38838.699999999997</v>
      </c>
      <c r="L487" s="890">
        <v>9068.11</v>
      </c>
      <c r="M487" s="890">
        <v>38842.410000000003</v>
      </c>
      <c r="N487" s="886"/>
      <c r="O487" s="886"/>
      <c r="P487" s="886"/>
      <c r="Q487" s="1181">
        <f t="shared" ref="Q487:Q489" si="53">ROUND(K487*L487/M487,0)</f>
        <v>9067</v>
      </c>
      <c r="R487" s="1001"/>
      <c r="S487" s="1271"/>
      <c r="T487" s="1255"/>
      <c r="U487" s="996"/>
      <c r="V487" s="996"/>
      <c r="W487" s="992"/>
    </row>
    <row r="488" spans="3:23" ht="14.5" customHeight="1">
      <c r="C488" s="987"/>
      <c r="E488" s="989"/>
      <c r="F488" s="988"/>
      <c r="G488" s="1095" t="str">
        <f t="shared" si="52"/>
        <v>1116043</v>
      </c>
      <c r="H488" s="1016" t="s">
        <v>6000</v>
      </c>
      <c r="I488" s="944" t="str">
        <f t="shared" si="46"/>
        <v>1116043102</v>
      </c>
      <c r="J488" s="991" t="s">
        <v>10604</v>
      </c>
      <c r="K488" s="890">
        <v>85822.6</v>
      </c>
      <c r="L488" s="890">
        <v>27358.34</v>
      </c>
      <c r="M488" s="890">
        <v>85829.56</v>
      </c>
      <c r="N488" s="886"/>
      <c r="O488" s="886"/>
      <c r="P488" s="886"/>
      <c r="Q488" s="1181">
        <f t="shared" si="53"/>
        <v>27356</v>
      </c>
      <c r="R488" s="1001"/>
      <c r="S488" s="1271"/>
      <c r="T488" s="1255"/>
      <c r="U488" s="996"/>
      <c r="V488" s="996"/>
      <c r="W488" s="992"/>
    </row>
    <row r="489" spans="3:23" ht="14.5" customHeight="1">
      <c r="C489" s="987"/>
      <c r="E489" s="989"/>
      <c r="F489" s="988"/>
      <c r="G489" s="1095" t="str">
        <f t="shared" si="52"/>
        <v>1116043</v>
      </c>
      <c r="H489" s="1016" t="s">
        <v>10595</v>
      </c>
      <c r="I489" s="944" t="str">
        <f t="shared" si="46"/>
        <v>1116043199</v>
      </c>
      <c r="J489" s="991" t="s">
        <v>10605</v>
      </c>
      <c r="K489" s="890">
        <v>120351.7</v>
      </c>
      <c r="L489" s="890">
        <v>13810.88</v>
      </c>
      <c r="M489" s="890">
        <v>120361.92</v>
      </c>
      <c r="N489" s="886"/>
      <c r="O489" s="886"/>
      <c r="P489" s="886"/>
      <c r="Q489" s="1181">
        <f t="shared" si="53"/>
        <v>13810</v>
      </c>
      <c r="R489" s="1001"/>
      <c r="S489" s="1271"/>
      <c r="T489" s="1255"/>
      <c r="U489" s="996"/>
      <c r="V489" s="996"/>
      <c r="W489" s="992"/>
    </row>
    <row r="490" spans="3:23" ht="14.5" customHeight="1">
      <c r="C490" s="987"/>
      <c r="E490" s="989"/>
      <c r="F490" s="988"/>
      <c r="G490" s="1095" t="str">
        <f t="shared" si="52"/>
        <v>1116043</v>
      </c>
      <c r="H490" s="1016" t="s">
        <v>10456</v>
      </c>
      <c r="I490" s="944" t="str">
        <f t="shared" si="46"/>
        <v>1116043Y01</v>
      </c>
      <c r="J490" s="991" t="s">
        <v>10606</v>
      </c>
      <c r="K490" s="873"/>
      <c r="L490" s="873"/>
      <c r="M490" s="873"/>
      <c r="N490" s="886"/>
      <c r="O490" s="886"/>
      <c r="P490" s="886"/>
      <c r="Q490" s="1182">
        <v>-50.81</v>
      </c>
      <c r="R490" s="1001"/>
      <c r="S490" s="1271"/>
      <c r="T490" s="1255"/>
      <c r="U490" s="996"/>
      <c r="V490" s="996"/>
      <c r="W490" s="992" t="s">
        <v>10599</v>
      </c>
    </row>
    <row r="491" spans="3:23" ht="14.5" customHeight="1">
      <c r="C491" s="987"/>
      <c r="D491" s="988" t="str">
        <f t="shared" si="44"/>
        <v/>
      </c>
      <c r="E491" s="989" t="s">
        <v>6006</v>
      </c>
      <c r="F491" s="988" t="str">
        <f t="shared" si="45"/>
        <v>1116044</v>
      </c>
      <c r="G491" s="1095" t="str">
        <f t="shared" si="52"/>
        <v>1116044</v>
      </c>
      <c r="I491" s="944" t="str">
        <f t="shared" si="46"/>
        <v/>
      </c>
      <c r="J491" s="990" t="s">
        <v>155</v>
      </c>
      <c r="K491" s="873"/>
      <c r="L491" s="873"/>
      <c r="M491" s="873"/>
      <c r="N491" s="886"/>
      <c r="O491" s="886"/>
      <c r="P491" s="886"/>
      <c r="Q491" s="1180">
        <f>ROUND(SUM(Q492:Q493),0)</f>
        <v>9915</v>
      </c>
      <c r="R491" s="1001" t="s">
        <v>10607</v>
      </c>
      <c r="S491" s="1271"/>
      <c r="T491" s="1255"/>
      <c r="U491" s="996" t="s">
        <v>10587</v>
      </c>
      <c r="V491" s="996"/>
      <c r="W491" s="992"/>
    </row>
    <row r="492" spans="3:23" ht="14.5" customHeight="1">
      <c r="C492" s="987"/>
      <c r="E492" s="989"/>
      <c r="F492" s="988"/>
      <c r="G492" s="1095" t="str">
        <f t="shared" si="52"/>
        <v>1116044</v>
      </c>
      <c r="H492" s="1016" t="s">
        <v>5534</v>
      </c>
      <c r="I492" s="944" t="str">
        <f t="shared" si="46"/>
        <v>1116044101</v>
      </c>
      <c r="J492" s="991" t="s">
        <v>10608</v>
      </c>
      <c r="K492" s="890">
        <v>103407</v>
      </c>
      <c r="L492" s="890">
        <v>9967.8799999999992</v>
      </c>
      <c r="M492" s="890">
        <v>103411.13</v>
      </c>
      <c r="N492" s="886"/>
      <c r="O492" s="886"/>
      <c r="P492" s="886"/>
      <c r="Q492" s="1165">
        <f t="shared" ref="Q492" si="54">ROUND(K492*L492/M492,0)</f>
        <v>9967</v>
      </c>
      <c r="R492" s="1001"/>
      <c r="S492" s="1271"/>
      <c r="T492" s="1255"/>
      <c r="U492" s="996"/>
      <c r="V492" s="996"/>
      <c r="W492" s="992"/>
    </row>
    <row r="493" spans="3:23" ht="14.5" customHeight="1">
      <c r="C493" s="987"/>
      <c r="E493" s="989"/>
      <c r="F493" s="988"/>
      <c r="G493" s="1095" t="str">
        <f t="shared" si="52"/>
        <v>1116044</v>
      </c>
      <c r="H493" s="1016" t="s">
        <v>10456</v>
      </c>
      <c r="I493" s="944" t="str">
        <f t="shared" si="46"/>
        <v>1116044Y01</v>
      </c>
      <c r="J493" s="991" t="s">
        <v>10609</v>
      </c>
      <c r="K493" s="873"/>
      <c r="L493" s="873"/>
      <c r="M493" s="873"/>
      <c r="N493" s="886"/>
      <c r="O493" s="886"/>
      <c r="P493" s="886"/>
      <c r="Q493" s="1167">
        <v>-52.08</v>
      </c>
      <c r="R493" s="1001"/>
      <c r="S493" s="1271"/>
      <c r="T493" s="1255"/>
      <c r="U493" s="996"/>
      <c r="V493" s="996"/>
      <c r="W493" s="992" t="s">
        <v>10610</v>
      </c>
    </row>
    <row r="494" spans="3:23" ht="14.5" customHeight="1">
      <c r="C494" s="981" t="s">
        <v>6007</v>
      </c>
      <c r="D494" s="982" t="str">
        <f t="shared" si="44"/>
        <v>111605</v>
      </c>
      <c r="E494" s="983" t="s">
        <v>6008</v>
      </c>
      <c r="F494" s="982" t="str">
        <f t="shared" si="45"/>
        <v>1116051</v>
      </c>
      <c r="G494" s="1103" t="str">
        <f>IF(F494="",#REF!,F494)</f>
        <v>1116051</v>
      </c>
      <c r="H494" s="1102"/>
      <c r="I494" s="947" t="str">
        <f t="shared" si="46"/>
        <v/>
      </c>
      <c r="J494" s="984" t="s">
        <v>6009</v>
      </c>
      <c r="K494" s="897"/>
      <c r="L494" s="889"/>
      <c r="M494" s="889"/>
      <c r="N494" s="889"/>
      <c r="O494" s="889"/>
      <c r="P494" s="881">
        <f>Q494</f>
        <v>125633</v>
      </c>
      <c r="Q494" s="1160">
        <f>ROUND(SUM(Q495:R505),0)</f>
        <v>125633</v>
      </c>
      <c r="R494" s="1004" t="s">
        <v>10611</v>
      </c>
      <c r="S494" s="1274"/>
      <c r="T494" s="1004"/>
      <c r="U494" s="985" t="s">
        <v>10612</v>
      </c>
      <c r="V494" s="993"/>
      <c r="W494" s="986" t="s">
        <v>10613</v>
      </c>
    </row>
    <row r="495" spans="3:23" ht="14.5" customHeight="1">
      <c r="C495" s="987"/>
      <c r="D495" s="988" t="str">
        <f t="shared" si="44"/>
        <v/>
      </c>
      <c r="F495" s="988" t="str">
        <f t="shared" si="45"/>
        <v/>
      </c>
      <c r="G495" s="1095" t="str">
        <f t="shared" ref="G495:G528" si="55">IF(F495="",G494,F495)</f>
        <v>1116051</v>
      </c>
      <c r="H495" s="1016" t="s">
        <v>5534</v>
      </c>
      <c r="I495" s="944" t="str">
        <f t="shared" si="46"/>
        <v>1116051101</v>
      </c>
      <c r="J495" s="992" t="s">
        <v>10614</v>
      </c>
      <c r="K495" s="873">
        <v>146236.70000000001</v>
      </c>
      <c r="L495" s="873"/>
      <c r="M495" s="873">
        <v>141071.81</v>
      </c>
      <c r="N495" s="886"/>
      <c r="O495" s="886"/>
      <c r="P495" s="886"/>
      <c r="Q495" s="1167">
        <v>583.59</v>
      </c>
      <c r="R495" s="882"/>
      <c r="S495" s="1269"/>
      <c r="T495" s="1254"/>
      <c r="U495" s="996"/>
      <c r="V495" s="996"/>
      <c r="W495" s="992"/>
    </row>
    <row r="496" spans="3:23" ht="14.5" customHeight="1">
      <c r="C496" s="987"/>
      <c r="F496" s="988"/>
      <c r="G496" s="1095" t="str">
        <f t="shared" si="55"/>
        <v>1116051</v>
      </c>
      <c r="H496" s="1016" t="s">
        <v>5602</v>
      </c>
      <c r="I496" s="944" t="str">
        <f t="shared" si="46"/>
        <v>1116051201</v>
      </c>
      <c r="J496" s="992" t="s">
        <v>10615</v>
      </c>
      <c r="K496" s="873">
        <v>145744.4</v>
      </c>
      <c r="L496" s="873"/>
      <c r="M496" s="873">
        <v>140208.24</v>
      </c>
      <c r="N496" s="886"/>
      <c r="O496" s="886"/>
      <c r="P496" s="886"/>
      <c r="Q496" s="1167">
        <v>21047.15</v>
      </c>
      <c r="R496" s="882"/>
      <c r="S496" s="1269"/>
      <c r="T496" s="1254"/>
      <c r="U496" s="996"/>
      <c r="V496" s="996"/>
      <c r="W496" s="992"/>
    </row>
    <row r="497" spans="3:23" ht="14.5" customHeight="1">
      <c r="C497" s="987"/>
      <c r="F497" s="988"/>
      <c r="G497" s="1095" t="str">
        <f t="shared" si="55"/>
        <v>1116051</v>
      </c>
      <c r="H497" s="1016" t="s">
        <v>5484</v>
      </c>
      <c r="I497" s="944" t="str">
        <f t="shared" si="46"/>
        <v>1116051301</v>
      </c>
      <c r="J497" s="992" t="s">
        <v>10616</v>
      </c>
      <c r="K497" s="873">
        <v>44641.9</v>
      </c>
      <c r="L497" s="873"/>
      <c r="M497" s="873">
        <v>44507.41</v>
      </c>
      <c r="N497" s="886"/>
      <c r="O497" s="886"/>
      <c r="P497" s="886"/>
      <c r="Q497" s="1167">
        <v>6842.53</v>
      </c>
      <c r="R497" s="882"/>
      <c r="S497" s="1269"/>
      <c r="T497" s="1254"/>
      <c r="U497" s="996"/>
      <c r="V497" s="996"/>
      <c r="W497" s="992"/>
    </row>
    <row r="498" spans="3:23" ht="14.5" customHeight="1">
      <c r="C498" s="987"/>
      <c r="F498" s="988"/>
      <c r="G498" s="1095" t="str">
        <f t="shared" si="55"/>
        <v>1116051</v>
      </c>
      <c r="H498" s="1016" t="s">
        <v>6047</v>
      </c>
      <c r="I498" s="944" t="str">
        <f t="shared" si="46"/>
        <v>1116051302</v>
      </c>
      <c r="J498" s="992" t="s">
        <v>10617</v>
      </c>
      <c r="K498" s="873">
        <v>261013</v>
      </c>
      <c r="L498" s="873"/>
      <c r="M498" s="873">
        <v>260563.11</v>
      </c>
      <c r="N498" s="886"/>
      <c r="O498" s="886"/>
      <c r="P498" s="886"/>
      <c r="Q498" s="1167">
        <v>43995.67</v>
      </c>
      <c r="R498" s="882"/>
      <c r="S498" s="1269"/>
      <c r="T498" s="1254"/>
      <c r="U498" s="996"/>
      <c r="V498" s="996"/>
      <c r="W498" s="992"/>
    </row>
    <row r="499" spans="3:23" ht="14.5" customHeight="1">
      <c r="C499" s="987"/>
      <c r="F499" s="988"/>
      <c r="G499" s="1095" t="str">
        <f t="shared" si="55"/>
        <v>1116051</v>
      </c>
      <c r="H499" s="1016" t="s">
        <v>5486</v>
      </c>
      <c r="I499" s="944" t="str">
        <f t="shared" si="46"/>
        <v>1116051401</v>
      </c>
      <c r="J499" s="992" t="s">
        <v>10618</v>
      </c>
      <c r="K499" s="873">
        <v>54303</v>
      </c>
      <c r="L499" s="873"/>
      <c r="M499" s="873">
        <v>51592.45</v>
      </c>
      <c r="N499" s="886"/>
      <c r="O499" s="886"/>
      <c r="P499" s="886"/>
      <c r="Q499" s="1167">
        <v>2859.58</v>
      </c>
      <c r="R499" s="882"/>
      <c r="S499" s="1269"/>
      <c r="T499" s="1254"/>
      <c r="U499" s="996"/>
      <c r="V499" s="996"/>
      <c r="W499" s="992"/>
    </row>
    <row r="500" spans="3:23" ht="14.5" customHeight="1">
      <c r="C500" s="987"/>
      <c r="F500" s="988"/>
      <c r="G500" s="1095" t="str">
        <f t="shared" si="55"/>
        <v>1116051</v>
      </c>
      <c r="H500" s="1016" t="s">
        <v>5488</v>
      </c>
      <c r="I500" s="944" t="str">
        <f t="shared" si="46"/>
        <v>1116051501</v>
      </c>
      <c r="J500" s="992" t="s">
        <v>10619</v>
      </c>
      <c r="K500" s="873">
        <v>162321.79999999999</v>
      </c>
      <c r="L500" s="873"/>
      <c r="M500" s="873">
        <v>162228.95000000001</v>
      </c>
      <c r="N500" s="886"/>
      <c r="O500" s="886"/>
      <c r="P500" s="886"/>
      <c r="Q500" s="1167">
        <v>9248.92</v>
      </c>
      <c r="R500" s="882"/>
      <c r="S500" s="1269"/>
      <c r="T500" s="1254"/>
      <c r="U500" s="996"/>
      <c r="V500" s="996"/>
      <c r="W500" s="992"/>
    </row>
    <row r="501" spans="3:23" ht="14.5" customHeight="1">
      <c r="C501" s="987"/>
      <c r="F501" s="988"/>
      <c r="G501" s="1095" t="str">
        <f t="shared" si="55"/>
        <v>1116051</v>
      </c>
      <c r="H501" s="1016" t="s">
        <v>5490</v>
      </c>
      <c r="I501" s="944" t="str">
        <f t="shared" si="46"/>
        <v>1116051502</v>
      </c>
      <c r="J501" s="992" t="s">
        <v>10620</v>
      </c>
      <c r="K501" s="873">
        <v>104444.4</v>
      </c>
      <c r="L501" s="873"/>
      <c r="M501" s="873">
        <v>104344.78</v>
      </c>
      <c r="N501" s="886"/>
      <c r="O501" s="886"/>
      <c r="P501" s="886"/>
      <c r="Q501" s="1167">
        <v>3041.45</v>
      </c>
      <c r="R501" s="882"/>
      <c r="S501" s="1269"/>
      <c r="T501" s="1254"/>
      <c r="U501" s="996"/>
      <c r="V501" s="996"/>
      <c r="W501" s="992"/>
    </row>
    <row r="502" spans="3:23" ht="14.5" customHeight="1">
      <c r="C502" s="987"/>
      <c r="F502" s="988"/>
      <c r="G502" s="1095" t="str">
        <f t="shared" si="55"/>
        <v>1116051</v>
      </c>
      <c r="H502" s="1016" t="s">
        <v>5492</v>
      </c>
      <c r="I502" s="944" t="str">
        <f t="shared" si="46"/>
        <v>1116051503</v>
      </c>
      <c r="J502" s="992" t="s">
        <v>10621</v>
      </c>
      <c r="K502" s="873">
        <v>7031.1</v>
      </c>
      <c r="L502" s="873"/>
      <c r="M502" s="873">
        <v>7041.58</v>
      </c>
      <c r="N502" s="886"/>
      <c r="O502" s="886"/>
      <c r="P502" s="886"/>
      <c r="Q502" s="1167">
        <v>0</v>
      </c>
      <c r="R502" s="882"/>
      <c r="S502" s="1269"/>
      <c r="T502" s="1254"/>
      <c r="U502" s="996"/>
      <c r="V502" s="996"/>
      <c r="W502" s="992" t="s">
        <v>10380</v>
      </c>
    </row>
    <row r="503" spans="3:23" ht="14.5" customHeight="1">
      <c r="C503" s="987"/>
      <c r="F503" s="988"/>
      <c r="G503" s="1095" t="str">
        <f t="shared" si="55"/>
        <v>1116051</v>
      </c>
      <c r="H503" s="1016" t="s">
        <v>5512</v>
      </c>
      <c r="I503" s="944" t="str">
        <f t="shared" si="46"/>
        <v>1116051599</v>
      </c>
      <c r="J503" s="992" t="s">
        <v>10622</v>
      </c>
      <c r="K503" s="873">
        <v>890948.1</v>
      </c>
      <c r="L503" s="873"/>
      <c r="M503" s="873">
        <v>876142.8</v>
      </c>
      <c r="N503" s="886"/>
      <c r="O503" s="886"/>
      <c r="P503" s="886"/>
      <c r="Q503" s="1167">
        <v>37831.050000000003</v>
      </c>
      <c r="R503" s="882"/>
      <c r="S503" s="1269"/>
      <c r="T503" s="1254"/>
      <c r="U503" s="996"/>
      <c r="V503" s="996"/>
      <c r="W503" s="992"/>
    </row>
    <row r="504" spans="3:23" ht="14.5" customHeight="1">
      <c r="C504" s="987"/>
      <c r="D504" s="988" t="str">
        <f t="shared" si="44"/>
        <v/>
      </c>
      <c r="F504" s="988" t="str">
        <f t="shared" si="45"/>
        <v/>
      </c>
      <c r="G504" s="1095" t="str">
        <f>IF(F504="",G495,F504)</f>
        <v>1116051</v>
      </c>
      <c r="H504" s="1016" t="s">
        <v>5746</v>
      </c>
      <c r="I504" s="944" t="str">
        <f t="shared" si="46"/>
        <v>1116051601</v>
      </c>
      <c r="J504" s="991" t="s">
        <v>6011</v>
      </c>
      <c r="K504" s="890">
        <v>5419.6</v>
      </c>
      <c r="L504" s="873">
        <f>L393</f>
        <v>31</v>
      </c>
      <c r="M504" s="873">
        <f>M393</f>
        <v>1353</v>
      </c>
      <c r="N504" s="886"/>
      <c r="O504" s="886"/>
      <c r="P504" s="886"/>
      <c r="Q504" s="1162">
        <f>ROUND(K504*L504/M504,0)</f>
        <v>124</v>
      </c>
      <c r="R504" s="882"/>
      <c r="S504" s="1269"/>
      <c r="T504" s="1254"/>
      <c r="U504" s="996" t="s">
        <v>10473</v>
      </c>
      <c r="V504" s="996"/>
      <c r="W504" s="992" t="s">
        <v>10623</v>
      </c>
    </row>
    <row r="505" spans="3:23" ht="14.5" customHeight="1">
      <c r="C505" s="998"/>
      <c r="D505" s="999"/>
      <c r="E505" s="1002"/>
      <c r="F505" s="999"/>
      <c r="G505" s="1104" t="str">
        <f t="shared" si="55"/>
        <v>1116051</v>
      </c>
      <c r="H505" s="1005" t="s">
        <v>10456</v>
      </c>
      <c r="I505" s="1109" t="str">
        <f t="shared" si="46"/>
        <v>1116051Y01</v>
      </c>
      <c r="J505" s="978" t="s">
        <v>6013</v>
      </c>
      <c r="K505" s="872"/>
      <c r="L505" s="872"/>
      <c r="M505" s="872"/>
      <c r="N505" s="872"/>
      <c r="O505" s="872"/>
      <c r="P505" s="872"/>
      <c r="Q505" s="1170">
        <v>59.43</v>
      </c>
      <c r="R505" s="908"/>
      <c r="S505" s="1277"/>
      <c r="T505" s="908"/>
      <c r="U505" s="1006"/>
      <c r="V505" s="1006"/>
      <c r="W505" s="1003" t="s">
        <v>10610</v>
      </c>
    </row>
    <row r="506" spans="3:23" ht="14.5" customHeight="1">
      <c r="C506" s="994" t="s">
        <v>6014</v>
      </c>
      <c r="D506" s="988" t="str">
        <f t="shared" ref="D506:D529" si="56">IF(C506="","",CONCATENATE(LEFT(C506,4),MID(C506,6,2)))</f>
        <v>111901</v>
      </c>
      <c r="E506" s="989" t="s">
        <v>6015</v>
      </c>
      <c r="F506" s="988" t="str">
        <f t="shared" ref="F506:F529" si="57">IF(E506="","",CONCATENATE(LEFT(E506,4),MID(E506,6,3)))</f>
        <v>1119011</v>
      </c>
      <c r="G506" s="1095" t="str">
        <f>IF(F506="",G504,F506)</f>
        <v>1119011</v>
      </c>
      <c r="J506" s="990" t="s">
        <v>158</v>
      </c>
      <c r="K506" s="873"/>
      <c r="L506" s="873"/>
      <c r="M506" s="873"/>
      <c r="N506" s="886"/>
      <c r="O506" s="886"/>
      <c r="P506" s="896">
        <f>Q506</f>
        <v>19371</v>
      </c>
      <c r="Q506" s="1171">
        <f>ROUND(SUM(Q507:Q508),0)</f>
        <v>19371</v>
      </c>
      <c r="R506" s="882" t="s">
        <v>10624</v>
      </c>
      <c r="S506" s="1269"/>
      <c r="T506" s="1254"/>
      <c r="U506" s="991" t="s">
        <v>10424</v>
      </c>
      <c r="V506" s="996"/>
      <c r="W506" s="992"/>
    </row>
    <row r="507" spans="3:23" ht="14.5" customHeight="1">
      <c r="C507" s="994"/>
      <c r="E507" s="989"/>
      <c r="F507" s="988" t="str">
        <f t="shared" si="57"/>
        <v/>
      </c>
      <c r="G507" s="1095" t="str">
        <f t="shared" si="55"/>
        <v>1119011</v>
      </c>
      <c r="H507" s="1016" t="s">
        <v>5637</v>
      </c>
      <c r="I507" s="944" t="str">
        <f t="shared" ref="I507:I559" si="58">IF(H507="","",CONCATENATE(G507,H507))</f>
        <v>1119011101</v>
      </c>
      <c r="J507" s="991" t="s">
        <v>6016</v>
      </c>
      <c r="K507" s="890">
        <v>608354</v>
      </c>
      <c r="L507" s="890">
        <v>37440.53</v>
      </c>
      <c r="M507" s="890">
        <v>1175510.02</v>
      </c>
      <c r="N507" s="886"/>
      <c r="O507" s="886"/>
      <c r="P507" s="886"/>
      <c r="Q507" s="1162">
        <f>ROUND(K507*L507/M507,0)</f>
        <v>19376</v>
      </c>
      <c r="R507" s="882"/>
      <c r="S507" s="1269"/>
      <c r="T507" s="1254"/>
      <c r="U507" s="991"/>
      <c r="V507" s="996"/>
      <c r="W507" s="992" t="s">
        <v>10625</v>
      </c>
    </row>
    <row r="508" spans="3:23" ht="14.5" customHeight="1">
      <c r="C508" s="994"/>
      <c r="E508" s="989"/>
      <c r="F508" s="988"/>
      <c r="G508" s="1095" t="str">
        <f t="shared" si="55"/>
        <v>1119011</v>
      </c>
      <c r="H508" s="1016" t="s">
        <v>10490</v>
      </c>
      <c r="I508" s="944" t="str">
        <f t="shared" si="58"/>
        <v>1119011Y01</v>
      </c>
      <c r="J508" s="991" t="s">
        <v>6017</v>
      </c>
      <c r="K508" s="873"/>
      <c r="L508" s="873"/>
      <c r="M508" s="873"/>
      <c r="N508" s="886"/>
      <c r="O508" s="886"/>
      <c r="P508" s="886"/>
      <c r="Q508" s="1183">
        <v>-5.1100000000000003</v>
      </c>
      <c r="R508" s="882"/>
      <c r="S508" s="1269"/>
      <c r="T508" s="1254"/>
      <c r="U508" s="978"/>
      <c r="V508" s="996"/>
      <c r="W508" s="992" t="s">
        <v>10626</v>
      </c>
    </row>
    <row r="509" spans="3:23" s="944" customFormat="1" ht="14.5" customHeight="1">
      <c r="C509" s="981" t="s">
        <v>6018</v>
      </c>
      <c r="D509" s="982" t="str">
        <f t="shared" si="56"/>
        <v>111902</v>
      </c>
      <c r="E509" s="983" t="s">
        <v>6019</v>
      </c>
      <c r="F509" s="982" t="str">
        <f t="shared" si="57"/>
        <v>1119021</v>
      </c>
      <c r="G509" s="1103" t="str">
        <f>IF(F509="",G506,F509)</f>
        <v>1119021</v>
      </c>
      <c r="H509" s="1102"/>
      <c r="I509" s="947" t="str">
        <f t="shared" si="58"/>
        <v/>
      </c>
      <c r="J509" s="984" t="s">
        <v>159</v>
      </c>
      <c r="K509" s="897"/>
      <c r="L509" s="897"/>
      <c r="M509" s="897"/>
      <c r="N509" s="897"/>
      <c r="O509" s="897"/>
      <c r="P509" s="894">
        <f>Q509</f>
        <v>2397</v>
      </c>
      <c r="Q509" s="1169">
        <f>ROUND(SUM(Q510:Q511),0)</f>
        <v>2397</v>
      </c>
      <c r="R509" s="915"/>
      <c r="S509" s="1279"/>
      <c r="T509" s="915"/>
      <c r="U509" s="993"/>
      <c r="V509" s="993"/>
      <c r="W509" s="986"/>
    </row>
    <row r="510" spans="3:23" s="944" customFormat="1" ht="14.5" customHeight="1">
      <c r="C510" s="987"/>
      <c r="D510" s="988" t="str">
        <f t="shared" si="56"/>
        <v/>
      </c>
      <c r="F510" s="988" t="str">
        <f t="shared" si="57"/>
        <v/>
      </c>
      <c r="G510" s="1095" t="str">
        <f t="shared" si="55"/>
        <v>1119021</v>
      </c>
      <c r="H510" s="1016" t="s">
        <v>5637</v>
      </c>
      <c r="I510" s="944" t="str">
        <f t="shared" si="58"/>
        <v>1119021101</v>
      </c>
      <c r="J510" s="991" t="s">
        <v>6020</v>
      </c>
      <c r="K510" s="890">
        <v>242053</v>
      </c>
      <c r="L510" s="890">
        <v>3848326</v>
      </c>
      <c r="M510" s="890">
        <v>388746258</v>
      </c>
      <c r="N510" s="873"/>
      <c r="O510" s="873"/>
      <c r="P510" s="873"/>
      <c r="Q510" s="1162">
        <f>ROUND(K510*L510/M510,0)</f>
        <v>2396</v>
      </c>
      <c r="R510" s="887"/>
      <c r="S510" s="1273"/>
      <c r="T510" s="1256"/>
      <c r="U510" s="996" t="s">
        <v>10481</v>
      </c>
      <c r="V510" s="996"/>
      <c r="W510" s="992" t="s">
        <v>10627</v>
      </c>
    </row>
    <row r="511" spans="3:23" s="944" customFormat="1" ht="14.5" customHeight="1">
      <c r="C511" s="998"/>
      <c r="D511" s="999" t="str">
        <f t="shared" si="56"/>
        <v/>
      </c>
      <c r="E511" s="1002"/>
      <c r="F511" s="999" t="str">
        <f t="shared" si="57"/>
        <v/>
      </c>
      <c r="G511" s="1104" t="str">
        <f t="shared" si="55"/>
        <v>1119021</v>
      </c>
      <c r="H511" s="1005" t="s">
        <v>10490</v>
      </c>
      <c r="I511" s="1002" t="str">
        <f t="shared" si="58"/>
        <v>1119021Y01</v>
      </c>
      <c r="J511" s="978" t="s">
        <v>10628</v>
      </c>
      <c r="K511" s="872"/>
      <c r="L511" s="872"/>
      <c r="M511" s="872"/>
      <c r="N511" s="872"/>
      <c r="O511" s="872"/>
      <c r="P511" s="872"/>
      <c r="Q511" s="1173">
        <v>0.83</v>
      </c>
      <c r="R511" s="908"/>
      <c r="S511" s="1277"/>
      <c r="T511" s="908"/>
      <c r="U511" s="1006"/>
      <c r="V511" s="1006"/>
      <c r="W511" s="1003" t="s">
        <v>10626</v>
      </c>
    </row>
    <row r="512" spans="3:23" ht="14.5" customHeight="1">
      <c r="C512" s="994" t="s">
        <v>6021</v>
      </c>
      <c r="D512" s="988" t="str">
        <f t="shared" si="56"/>
        <v>111903</v>
      </c>
      <c r="E512" s="989" t="s">
        <v>6022</v>
      </c>
      <c r="F512" s="988" t="str">
        <f t="shared" si="57"/>
        <v>1119031</v>
      </c>
      <c r="G512" s="1095" t="str">
        <f t="shared" si="55"/>
        <v>1119031</v>
      </c>
      <c r="I512" s="944" t="str">
        <f t="shared" si="58"/>
        <v/>
      </c>
      <c r="J512" s="990" t="s">
        <v>160</v>
      </c>
      <c r="K512" s="886"/>
      <c r="L512" s="886"/>
      <c r="M512" s="886"/>
      <c r="N512" s="886"/>
      <c r="O512" s="886"/>
      <c r="P512" s="896">
        <f>Q512</f>
        <v>187124</v>
      </c>
      <c r="Q512" s="1171">
        <f>ROUND(SUM(Q513:Q517),0)</f>
        <v>187124</v>
      </c>
      <c r="R512" s="1001" t="s">
        <v>10629</v>
      </c>
      <c r="S512" s="1271"/>
      <c r="T512" s="1255"/>
      <c r="U512" s="996"/>
      <c r="V512" s="996"/>
      <c r="W512" s="992"/>
    </row>
    <row r="513" spans="3:23" ht="14.5" customHeight="1">
      <c r="C513" s="987"/>
      <c r="D513" s="988" t="str">
        <f t="shared" si="56"/>
        <v/>
      </c>
      <c r="F513" s="988" t="str">
        <f t="shared" si="57"/>
        <v/>
      </c>
      <c r="G513" s="1095" t="str">
        <f t="shared" si="55"/>
        <v>1119031</v>
      </c>
      <c r="H513" s="1016" t="s">
        <v>5637</v>
      </c>
      <c r="I513" s="944" t="str">
        <f t="shared" si="58"/>
        <v>1119031101</v>
      </c>
      <c r="J513" s="991" t="s">
        <v>10630</v>
      </c>
      <c r="K513" s="873">
        <v>1021390</v>
      </c>
      <c r="L513" s="873"/>
      <c r="M513" s="873">
        <v>1008917.65</v>
      </c>
      <c r="N513" s="873"/>
      <c r="O513" s="873"/>
      <c r="P513" s="873"/>
      <c r="Q513" s="1167">
        <v>79769.919999999998</v>
      </c>
      <c r="R513" s="887"/>
      <c r="S513" s="1273"/>
      <c r="T513" s="1256"/>
      <c r="U513" s="996" t="s">
        <v>10424</v>
      </c>
      <c r="V513" s="996"/>
      <c r="W513" s="992" t="s">
        <v>10520</v>
      </c>
    </row>
    <row r="514" spans="3:23" ht="14.5" customHeight="1">
      <c r="C514" s="987"/>
      <c r="D514" s="988" t="str">
        <f t="shared" si="56"/>
        <v/>
      </c>
      <c r="F514" s="988" t="str">
        <f t="shared" si="57"/>
        <v/>
      </c>
      <c r="G514" s="1095" t="str">
        <f t="shared" si="55"/>
        <v>1119031</v>
      </c>
      <c r="H514" s="1016" t="s">
        <v>5657</v>
      </c>
      <c r="I514" s="944" t="str">
        <f t="shared" si="58"/>
        <v>1119031102</v>
      </c>
      <c r="J514" s="991" t="s">
        <v>10631</v>
      </c>
      <c r="K514" s="873">
        <v>1127930</v>
      </c>
      <c r="L514" s="873"/>
      <c r="M514" s="873">
        <v>1121540.8400000001</v>
      </c>
      <c r="N514" s="873"/>
      <c r="O514" s="873"/>
      <c r="P514" s="873"/>
      <c r="Q514" s="1167">
        <v>43219.3</v>
      </c>
      <c r="R514" s="887"/>
      <c r="S514" s="1273"/>
      <c r="T514" s="1256"/>
      <c r="U514" s="996" t="s">
        <v>10122</v>
      </c>
      <c r="V514" s="996"/>
      <c r="W514" s="992" t="s">
        <v>10122</v>
      </c>
    </row>
    <row r="515" spans="3:23" ht="14.5" customHeight="1">
      <c r="C515" s="987"/>
      <c r="D515" s="988" t="str">
        <f t="shared" si="56"/>
        <v/>
      </c>
      <c r="F515" s="988" t="str">
        <f t="shared" si="57"/>
        <v/>
      </c>
      <c r="G515" s="1095" t="str">
        <f t="shared" si="55"/>
        <v>1119031</v>
      </c>
      <c r="H515" s="1016" t="s">
        <v>5659</v>
      </c>
      <c r="I515" s="944" t="str">
        <f t="shared" si="58"/>
        <v>1119031103</v>
      </c>
      <c r="J515" s="991" t="s">
        <v>10632</v>
      </c>
      <c r="K515" s="910">
        <v>461456</v>
      </c>
      <c r="L515" s="873"/>
      <c r="M515" s="910">
        <v>1209655.6499999999</v>
      </c>
      <c r="N515" s="873"/>
      <c r="O515" s="873"/>
      <c r="P515" s="873"/>
      <c r="Q515" s="1167">
        <v>63534.01</v>
      </c>
      <c r="R515" s="887"/>
      <c r="S515" s="1273"/>
      <c r="T515" s="1256"/>
      <c r="U515" s="996" t="s">
        <v>10558</v>
      </c>
      <c r="V515" s="996"/>
      <c r="W515" s="992" t="s">
        <v>10633</v>
      </c>
    </row>
    <row r="516" spans="3:23" ht="14.5" customHeight="1">
      <c r="C516" s="987"/>
      <c r="F516" s="988"/>
      <c r="G516" s="1095" t="str">
        <f>IF(F516="",G515,F516)</f>
        <v>1119031</v>
      </c>
      <c r="H516" s="1016" t="s">
        <v>5661</v>
      </c>
      <c r="I516" s="944" t="str">
        <f t="shared" si="58"/>
        <v>1119031104</v>
      </c>
      <c r="J516" s="991" t="s">
        <v>10634</v>
      </c>
      <c r="K516" s="890">
        <v>26764</v>
      </c>
      <c r="L516" s="873">
        <f>L393</f>
        <v>31</v>
      </c>
      <c r="M516" s="873">
        <f>M393</f>
        <v>1353</v>
      </c>
      <c r="N516" s="886"/>
      <c r="O516" s="886"/>
      <c r="P516" s="886"/>
      <c r="Q516" s="1162">
        <f>ROUND(K516*L516/M516,0)</f>
        <v>613</v>
      </c>
      <c r="R516" s="882"/>
      <c r="S516" s="1269"/>
      <c r="T516" s="1254"/>
      <c r="U516" s="996" t="s">
        <v>10473</v>
      </c>
      <c r="V516" s="996"/>
      <c r="W516" s="992" t="s">
        <v>10635</v>
      </c>
    </row>
    <row r="517" spans="3:23" ht="14.5" customHeight="1">
      <c r="C517" s="987"/>
      <c r="F517" s="988"/>
      <c r="G517" s="1095" t="str">
        <f t="shared" si="55"/>
        <v>1119031</v>
      </c>
      <c r="H517" s="1016" t="s">
        <v>10490</v>
      </c>
      <c r="I517" s="944" t="str">
        <f t="shared" si="58"/>
        <v>1119031Y01</v>
      </c>
      <c r="J517" s="991" t="s">
        <v>10636</v>
      </c>
      <c r="K517" s="873"/>
      <c r="L517" s="873"/>
      <c r="M517" s="873"/>
      <c r="N517" s="873"/>
      <c r="O517" s="873"/>
      <c r="P517" s="873"/>
      <c r="Q517" s="1181">
        <v>-11.91</v>
      </c>
      <c r="R517" s="887"/>
      <c r="S517" s="1273"/>
      <c r="T517" s="1256"/>
      <c r="U517" s="996"/>
      <c r="V517" s="996"/>
      <c r="W517" s="992" t="s">
        <v>10626</v>
      </c>
    </row>
    <row r="518" spans="3:23" ht="14.5" customHeight="1">
      <c r="C518" s="981" t="s">
        <v>6026</v>
      </c>
      <c r="D518" s="982" t="str">
        <f t="shared" si="56"/>
        <v>111909</v>
      </c>
      <c r="E518" s="983" t="s">
        <v>6027</v>
      </c>
      <c r="F518" s="982" t="str">
        <f t="shared" si="57"/>
        <v>1119099</v>
      </c>
      <c r="G518" s="1103" t="str">
        <f>IF(F518="",G1680,F518)</f>
        <v>1119099</v>
      </c>
      <c r="H518" s="1102"/>
      <c r="I518" s="947" t="str">
        <f t="shared" si="58"/>
        <v/>
      </c>
      <c r="J518" s="984" t="s">
        <v>161</v>
      </c>
      <c r="K518" s="889"/>
      <c r="L518" s="889"/>
      <c r="M518" s="889"/>
      <c r="N518" s="889"/>
      <c r="O518" s="889"/>
      <c r="P518" s="881">
        <f>Q518</f>
        <v>145893</v>
      </c>
      <c r="Q518" s="1184">
        <f>ROUND(SUM(Q519:R530),0)</f>
        <v>145893</v>
      </c>
      <c r="R518" s="1004" t="s">
        <v>10637</v>
      </c>
      <c r="S518" s="1274"/>
      <c r="T518" s="1004"/>
      <c r="U518" s="993"/>
      <c r="V518" s="993"/>
      <c r="W518" s="986"/>
    </row>
    <row r="519" spans="3:23" ht="14.5" customHeight="1">
      <c r="C519" s="987"/>
      <c r="D519" s="988" t="str">
        <f t="shared" si="56"/>
        <v/>
      </c>
      <c r="F519" s="988" t="str">
        <f t="shared" si="57"/>
        <v/>
      </c>
      <c r="G519" s="1095" t="str">
        <f t="shared" si="55"/>
        <v>1119099</v>
      </c>
      <c r="H519" s="1016" t="s">
        <v>575</v>
      </c>
      <c r="I519" s="944" t="str">
        <f t="shared" si="58"/>
        <v>1119099101</v>
      </c>
      <c r="J519" s="991" t="s">
        <v>10638</v>
      </c>
      <c r="K519" s="873">
        <v>297880.40000000002</v>
      </c>
      <c r="L519" s="873"/>
      <c r="M519" s="873">
        <v>288698.87</v>
      </c>
      <c r="N519" s="886"/>
      <c r="O519" s="886"/>
      <c r="P519" s="886"/>
      <c r="Q519" s="1167">
        <v>13466.51</v>
      </c>
      <c r="R519" s="882"/>
      <c r="S519" s="1269"/>
      <c r="T519" s="1254"/>
      <c r="U519" s="996" t="s">
        <v>10424</v>
      </c>
      <c r="V519" s="996"/>
      <c r="W519" s="992"/>
    </row>
    <row r="520" spans="3:23" ht="14.5" customHeight="1">
      <c r="C520" s="987"/>
      <c r="F520" s="988"/>
      <c r="G520" s="1095" t="str">
        <f t="shared" si="55"/>
        <v>1119099</v>
      </c>
      <c r="H520" s="1016" t="s">
        <v>5602</v>
      </c>
      <c r="I520" s="944" t="str">
        <f t="shared" si="58"/>
        <v>1119099201</v>
      </c>
      <c r="J520" s="991" t="s">
        <v>10639</v>
      </c>
      <c r="K520" s="873">
        <v>70088</v>
      </c>
      <c r="L520" s="873"/>
      <c r="M520" s="873">
        <v>64265.02</v>
      </c>
      <c r="N520" s="886"/>
      <c r="O520" s="886"/>
      <c r="P520" s="886"/>
      <c r="Q520" s="1167">
        <v>1813.31</v>
      </c>
      <c r="R520" s="882"/>
      <c r="S520" s="1269"/>
      <c r="T520" s="1254"/>
      <c r="U520" s="996"/>
      <c r="V520" s="996"/>
      <c r="W520" s="992"/>
    </row>
    <row r="521" spans="3:23" ht="14.5" customHeight="1">
      <c r="C521" s="987"/>
      <c r="F521" s="988"/>
      <c r="G521" s="1095" t="str">
        <f t="shared" si="55"/>
        <v>1119099</v>
      </c>
      <c r="H521" s="1016" t="s">
        <v>5484</v>
      </c>
      <c r="I521" s="944" t="str">
        <f t="shared" si="58"/>
        <v>1119099301</v>
      </c>
      <c r="J521" s="991" t="s">
        <v>10640</v>
      </c>
      <c r="K521" s="873">
        <v>11884.9</v>
      </c>
      <c r="L521" s="873"/>
      <c r="M521" s="873">
        <v>11911.48</v>
      </c>
      <c r="N521" s="886"/>
      <c r="O521" s="886"/>
      <c r="P521" s="886"/>
      <c r="Q521" s="1167">
        <v>4623.9799999999996</v>
      </c>
      <c r="R521" s="882"/>
      <c r="S521" s="1269"/>
      <c r="T521" s="1254"/>
      <c r="U521" s="996"/>
      <c r="V521" s="996"/>
      <c r="W521" s="992"/>
    </row>
    <row r="522" spans="3:23" ht="14.5" customHeight="1">
      <c r="C522" s="987"/>
      <c r="F522" s="988"/>
      <c r="G522" s="1095" t="str">
        <f t="shared" si="55"/>
        <v>1119099</v>
      </c>
      <c r="H522" s="1016" t="s">
        <v>6047</v>
      </c>
      <c r="I522" s="944" t="str">
        <f t="shared" si="58"/>
        <v>1119099302</v>
      </c>
      <c r="J522" s="991" t="s">
        <v>10641</v>
      </c>
      <c r="K522" s="873">
        <v>24971.1</v>
      </c>
      <c r="L522" s="873"/>
      <c r="M522" s="873">
        <v>24443.53</v>
      </c>
      <c r="N522" s="886"/>
      <c r="O522" s="886"/>
      <c r="P522" s="886"/>
      <c r="Q522" s="1167">
        <v>143.4</v>
      </c>
      <c r="R522" s="882"/>
      <c r="S522" s="1269"/>
      <c r="T522" s="1254"/>
      <c r="U522" s="996"/>
      <c r="V522" s="996"/>
      <c r="W522" s="992"/>
    </row>
    <row r="523" spans="3:23" ht="14.5" customHeight="1">
      <c r="C523" s="987"/>
      <c r="F523" s="988"/>
      <c r="G523" s="1095" t="str">
        <f t="shared" si="55"/>
        <v>1119099</v>
      </c>
      <c r="H523" s="1016" t="s">
        <v>10164</v>
      </c>
      <c r="I523" s="944" t="str">
        <f t="shared" si="58"/>
        <v>1119099303</v>
      </c>
      <c r="J523" s="991" t="s">
        <v>10642</v>
      </c>
      <c r="K523" s="873">
        <v>8720.7999999999993</v>
      </c>
      <c r="L523" s="873"/>
      <c r="M523" s="873">
        <v>7808.55</v>
      </c>
      <c r="N523" s="886"/>
      <c r="O523" s="886"/>
      <c r="P523" s="886"/>
      <c r="Q523" s="1167">
        <v>18.3</v>
      </c>
      <c r="R523" s="882"/>
      <c r="S523" s="1269"/>
      <c r="T523" s="1254"/>
      <c r="U523" s="996"/>
      <c r="V523" s="996"/>
      <c r="W523" s="992"/>
    </row>
    <row r="524" spans="3:23" ht="14.5" customHeight="1">
      <c r="C524" s="987"/>
      <c r="F524" s="988"/>
      <c r="G524" s="1095" t="str">
        <f t="shared" si="55"/>
        <v>1119099</v>
      </c>
      <c r="H524" s="1016" t="s">
        <v>10166</v>
      </c>
      <c r="I524" s="944" t="str">
        <f t="shared" si="58"/>
        <v>1119099304</v>
      </c>
      <c r="J524" s="991" t="s">
        <v>10643</v>
      </c>
      <c r="K524" s="873">
        <v>13374.6</v>
      </c>
      <c r="L524" s="873"/>
      <c r="M524" s="873">
        <v>12306.37</v>
      </c>
      <c r="N524" s="886"/>
      <c r="O524" s="886"/>
      <c r="P524" s="886"/>
      <c r="Q524" s="1167">
        <v>656.58</v>
      </c>
      <c r="R524" s="882"/>
      <c r="S524" s="1269"/>
      <c r="T524" s="1254"/>
      <c r="U524" s="996"/>
      <c r="V524" s="996"/>
      <c r="W524" s="992"/>
    </row>
    <row r="525" spans="3:23" ht="14.5" customHeight="1">
      <c r="C525" s="987"/>
      <c r="F525" s="988"/>
      <c r="G525" s="1095" t="str">
        <f t="shared" si="55"/>
        <v>1119099</v>
      </c>
      <c r="H525" s="1016" t="s">
        <v>10167</v>
      </c>
      <c r="I525" s="944" t="str">
        <f t="shared" si="58"/>
        <v>1119099305</v>
      </c>
      <c r="J525" s="991" t="s">
        <v>10644</v>
      </c>
      <c r="K525" s="873">
        <v>53991.4</v>
      </c>
      <c r="L525" s="873"/>
      <c r="M525" s="873">
        <v>53500.87</v>
      </c>
      <c r="N525" s="886"/>
      <c r="O525" s="886"/>
      <c r="P525" s="886"/>
      <c r="Q525" s="1167">
        <v>12023.26</v>
      </c>
      <c r="R525" s="882"/>
      <c r="S525" s="1269"/>
      <c r="T525" s="1254"/>
      <c r="U525" s="996"/>
      <c r="V525" s="996"/>
      <c r="W525" s="992"/>
    </row>
    <row r="526" spans="3:23" ht="14.5" customHeight="1">
      <c r="C526" s="987"/>
      <c r="F526" s="988"/>
      <c r="G526" s="1095" t="str">
        <f t="shared" si="55"/>
        <v>1119099</v>
      </c>
      <c r="H526" s="1016" t="s">
        <v>10168</v>
      </c>
      <c r="I526" s="944" t="str">
        <f t="shared" si="58"/>
        <v>1119099306</v>
      </c>
      <c r="J526" s="991" t="s">
        <v>10645</v>
      </c>
      <c r="K526" s="873">
        <v>43337.8</v>
      </c>
      <c r="L526" s="873"/>
      <c r="M526" s="873">
        <v>42511.24</v>
      </c>
      <c r="N526" s="886"/>
      <c r="O526" s="886"/>
      <c r="P526" s="886"/>
      <c r="Q526" s="1167">
        <v>12.29</v>
      </c>
      <c r="R526" s="882"/>
      <c r="S526" s="1269"/>
      <c r="T526" s="1254"/>
      <c r="U526" s="996"/>
      <c r="V526" s="996"/>
      <c r="W526" s="992"/>
    </row>
    <row r="527" spans="3:23" ht="14.5" customHeight="1">
      <c r="C527" s="987"/>
      <c r="F527" s="988"/>
      <c r="G527" s="1095" t="str">
        <f t="shared" si="55"/>
        <v>1119099</v>
      </c>
      <c r="H527" s="1016" t="s">
        <v>10170</v>
      </c>
      <c r="I527" s="944" t="str">
        <f t="shared" si="58"/>
        <v>1119099307</v>
      </c>
      <c r="J527" s="991" t="s">
        <v>10646</v>
      </c>
      <c r="K527" s="873">
        <v>369645.7</v>
      </c>
      <c r="L527" s="873"/>
      <c r="M527" s="873">
        <v>362476.86</v>
      </c>
      <c r="N527" s="886"/>
      <c r="O527" s="886"/>
      <c r="P527" s="886"/>
      <c r="Q527" s="1167">
        <v>14869.08</v>
      </c>
      <c r="R527" s="882"/>
      <c r="S527" s="1269"/>
      <c r="T527" s="1254"/>
      <c r="U527" s="996"/>
      <c r="V527" s="996"/>
      <c r="W527" s="992"/>
    </row>
    <row r="528" spans="3:23" ht="14.5" customHeight="1">
      <c r="C528" s="987"/>
      <c r="F528" s="988"/>
      <c r="G528" s="1095" t="str">
        <f t="shared" si="55"/>
        <v>1119099</v>
      </c>
      <c r="H528" s="1016" t="s">
        <v>10176</v>
      </c>
      <c r="I528" s="944" t="str">
        <f t="shared" si="58"/>
        <v>1119099399</v>
      </c>
      <c r="J528" s="991" t="s">
        <v>10647</v>
      </c>
      <c r="K528" s="873">
        <v>1913281.7</v>
      </c>
      <c r="L528" s="873"/>
      <c r="M528" s="873">
        <v>1892574.76</v>
      </c>
      <c r="N528" s="886"/>
      <c r="O528" s="886"/>
      <c r="P528" s="886"/>
      <c r="Q528" s="1167">
        <v>97503.14</v>
      </c>
      <c r="R528" s="882"/>
      <c r="S528" s="1269"/>
      <c r="T528" s="1254"/>
      <c r="U528" s="996"/>
      <c r="V528" s="996"/>
      <c r="W528" s="992"/>
    </row>
    <row r="529" spans="3:23" ht="14.5" customHeight="1">
      <c r="C529" s="987"/>
      <c r="D529" s="988" t="str">
        <f t="shared" si="56"/>
        <v/>
      </c>
      <c r="F529" s="988" t="str">
        <f t="shared" si="57"/>
        <v/>
      </c>
      <c r="G529" s="1095" t="str">
        <f>IF(F529="",G519,F529)</f>
        <v>1119099</v>
      </c>
      <c r="H529" s="1016" t="s">
        <v>5605</v>
      </c>
      <c r="I529" s="944" t="str">
        <f t="shared" si="58"/>
        <v>1119099401</v>
      </c>
      <c r="J529" s="991" t="s">
        <v>5916</v>
      </c>
      <c r="K529" s="890">
        <v>41184.5</v>
      </c>
      <c r="L529" s="873">
        <f>L393</f>
        <v>31</v>
      </c>
      <c r="M529" s="873">
        <f>M393</f>
        <v>1353</v>
      </c>
      <c r="N529" s="886"/>
      <c r="O529" s="886"/>
      <c r="P529" s="886"/>
      <c r="Q529" s="1162">
        <f>ROUND(K529*L529/M529,0)</f>
        <v>944</v>
      </c>
      <c r="R529" s="882"/>
      <c r="S529" s="1269"/>
      <c r="T529" s="1254"/>
      <c r="U529" s="996" t="s">
        <v>10473</v>
      </c>
      <c r="V529" s="996"/>
      <c r="W529" s="992" t="s">
        <v>10648</v>
      </c>
    </row>
    <row r="530" spans="3:23" ht="14.5" customHeight="1">
      <c r="C530" s="987"/>
      <c r="F530" s="988"/>
      <c r="G530" s="1095" t="str">
        <f>IF(F530="",G529,F530)</f>
        <v>1119099</v>
      </c>
      <c r="H530" s="1016" t="s">
        <v>10456</v>
      </c>
      <c r="I530" s="944" t="str">
        <f t="shared" si="58"/>
        <v>1119099Y01</v>
      </c>
      <c r="J530" s="991" t="s">
        <v>5939</v>
      </c>
      <c r="K530" s="873"/>
      <c r="L530" s="873"/>
      <c r="M530" s="873"/>
      <c r="N530" s="873"/>
      <c r="O530" s="873"/>
      <c r="P530" s="873"/>
      <c r="Q530" s="1167">
        <v>-180.37</v>
      </c>
      <c r="R530" s="887"/>
      <c r="S530" s="1273"/>
      <c r="T530" s="1256"/>
      <c r="U530" s="996"/>
      <c r="V530" s="996"/>
      <c r="W530" s="992" t="s">
        <v>10626</v>
      </c>
    </row>
    <row r="531" spans="3:23" ht="14.5" customHeight="1">
      <c r="C531" s="981" t="s">
        <v>6029</v>
      </c>
      <c r="D531" s="982" t="str">
        <f t="shared" ref="D531:D552" si="59">IF(C531="","",CONCATENATE(LEFT(C531,4),MID(C531,6,2)))</f>
        <v>112101</v>
      </c>
      <c r="E531" s="983" t="s">
        <v>6030</v>
      </c>
      <c r="F531" s="982" t="str">
        <f t="shared" ref="F531:F552" si="60">IF(E531="","",CONCATENATE(LEFT(E531,4),MID(E531,6,3)))</f>
        <v>1121011</v>
      </c>
      <c r="G531" s="1103" t="str">
        <f t="shared" ref="G531:G543" si="61">IF(F531="",G530,F531)</f>
        <v>1121011</v>
      </c>
      <c r="H531" s="1102"/>
      <c r="I531" s="947" t="str">
        <f>IF(H531="","",CONCATENATE(G531,H531))</f>
        <v/>
      </c>
      <c r="J531" s="984" t="s">
        <v>163</v>
      </c>
      <c r="K531" s="889"/>
      <c r="L531" s="889"/>
      <c r="M531" s="889"/>
      <c r="N531" s="889"/>
      <c r="O531" s="889"/>
      <c r="P531" s="881">
        <f>Q531</f>
        <v>64094</v>
      </c>
      <c r="Q531" s="1169">
        <f>ROUND(SUM(Q532:Q536),0)</f>
        <v>64094</v>
      </c>
      <c r="R531" s="880"/>
      <c r="S531" s="1270"/>
      <c r="T531" s="880"/>
      <c r="U531" s="993" t="s">
        <v>10424</v>
      </c>
      <c r="V531" s="1022"/>
      <c r="W531" s="986" t="s">
        <v>10649</v>
      </c>
    </row>
    <row r="532" spans="3:23" ht="14.5" customHeight="1">
      <c r="C532" s="994"/>
      <c r="E532" s="989"/>
      <c r="F532" s="988"/>
      <c r="G532" s="1095" t="str">
        <f t="shared" si="61"/>
        <v>1121011</v>
      </c>
      <c r="H532" s="1016" t="s">
        <v>5534</v>
      </c>
      <c r="I532" s="944" t="str">
        <f t="shared" si="58"/>
        <v>1121011101</v>
      </c>
      <c r="J532" s="991" t="s">
        <v>10650</v>
      </c>
      <c r="K532" s="910">
        <v>230488.7</v>
      </c>
      <c r="L532" s="873"/>
      <c r="M532" s="910">
        <v>342658.52</v>
      </c>
      <c r="N532" s="886"/>
      <c r="O532" s="886"/>
      <c r="P532" s="896"/>
      <c r="Q532" s="1167">
        <v>60888.83</v>
      </c>
      <c r="R532" s="882"/>
      <c r="S532" s="1269"/>
      <c r="T532" s="1254"/>
      <c r="U532" s="991"/>
      <c r="V532" s="996"/>
      <c r="W532" s="992"/>
    </row>
    <row r="533" spans="3:23" ht="14.5" customHeight="1">
      <c r="C533" s="994"/>
      <c r="E533" s="989"/>
      <c r="F533" s="988"/>
      <c r="G533" s="1095" t="str">
        <f t="shared" si="61"/>
        <v>1121011</v>
      </c>
      <c r="H533" s="1016" t="s">
        <v>6000</v>
      </c>
      <c r="I533" s="944" t="str">
        <f t="shared" si="58"/>
        <v>1121011102</v>
      </c>
      <c r="J533" s="991" t="s">
        <v>10651</v>
      </c>
      <c r="K533" s="910">
        <v>34186.400000000001</v>
      </c>
      <c r="L533" s="873"/>
      <c r="M533" s="910">
        <v>28713.599999999999</v>
      </c>
      <c r="N533" s="886"/>
      <c r="O533" s="886"/>
      <c r="P533" s="896"/>
      <c r="Q533" s="1167">
        <v>3730.93</v>
      </c>
      <c r="R533" s="882"/>
      <c r="S533" s="1269"/>
      <c r="T533" s="1254"/>
      <c r="U533" s="991"/>
      <c r="V533" s="996"/>
      <c r="W533" s="992"/>
    </row>
    <row r="534" spans="3:23" ht="14.5" customHeight="1">
      <c r="C534" s="994"/>
      <c r="E534" s="989"/>
      <c r="F534" s="988"/>
      <c r="G534" s="1095" t="str">
        <f t="shared" si="61"/>
        <v>1121011</v>
      </c>
      <c r="H534" s="1016" t="s">
        <v>6002</v>
      </c>
      <c r="I534" s="944" t="str">
        <f t="shared" si="58"/>
        <v>1121011103</v>
      </c>
      <c r="J534" s="991" t="s">
        <v>10652</v>
      </c>
      <c r="K534" s="890">
        <v>1361.9</v>
      </c>
      <c r="L534" s="890">
        <v>2187.44</v>
      </c>
      <c r="M534" s="890">
        <v>4481.59</v>
      </c>
      <c r="N534" s="886"/>
      <c r="O534" s="886"/>
      <c r="P534" s="896"/>
      <c r="Q534" s="1165">
        <f>ROUND(K534*L534/M534,0)</f>
        <v>665</v>
      </c>
      <c r="R534" s="882"/>
      <c r="S534" s="1269"/>
      <c r="T534" s="1254"/>
      <c r="U534" s="991"/>
      <c r="V534" s="996"/>
      <c r="W534" s="992" t="s">
        <v>10653</v>
      </c>
    </row>
    <row r="535" spans="3:23" ht="14.5" customHeight="1">
      <c r="C535" s="994"/>
      <c r="E535" s="989"/>
      <c r="F535" s="988"/>
      <c r="G535" s="1095" t="str">
        <f t="shared" si="61"/>
        <v>1121011</v>
      </c>
      <c r="H535" s="1016" t="s">
        <v>6146</v>
      </c>
      <c r="I535" s="944" t="str">
        <f t="shared" si="58"/>
        <v>1121011104</v>
      </c>
      <c r="J535" s="991" t="s">
        <v>10654</v>
      </c>
      <c r="K535" s="890">
        <v>2</v>
      </c>
      <c r="L535" s="886">
        <f>L533</f>
        <v>0</v>
      </c>
      <c r="M535" s="886">
        <f>M533</f>
        <v>28713.599999999999</v>
      </c>
      <c r="N535" s="886"/>
      <c r="O535" s="886"/>
      <c r="P535" s="896"/>
      <c r="Q535" s="1165">
        <f>ROUND(K535*L535/M535,0)</f>
        <v>0</v>
      </c>
      <c r="R535" s="882"/>
      <c r="S535" s="1269"/>
      <c r="T535" s="1254"/>
      <c r="U535" s="991"/>
      <c r="V535" s="996"/>
      <c r="W535" s="992" t="s">
        <v>10655</v>
      </c>
    </row>
    <row r="536" spans="3:23" ht="14.5" customHeight="1">
      <c r="C536" s="1015"/>
      <c r="D536" s="999"/>
      <c r="E536" s="1000"/>
      <c r="F536" s="999"/>
      <c r="G536" s="1104" t="str">
        <f t="shared" si="61"/>
        <v>1121011</v>
      </c>
      <c r="H536" s="1005" t="s">
        <v>10456</v>
      </c>
      <c r="I536" s="1002" t="str">
        <f t="shared" si="58"/>
        <v>1121011Y01</v>
      </c>
      <c r="J536" s="978" t="s">
        <v>10656</v>
      </c>
      <c r="K536" s="893"/>
      <c r="L536" s="893"/>
      <c r="M536" s="893"/>
      <c r="N536" s="893"/>
      <c r="O536" s="893"/>
      <c r="P536" s="888"/>
      <c r="Q536" s="1177">
        <v>-1190.6600000000001</v>
      </c>
      <c r="R536" s="882"/>
      <c r="S536" s="1269"/>
      <c r="T536" s="1254"/>
      <c r="U536" s="1006"/>
      <c r="V536" s="996"/>
      <c r="W536" s="1003" t="s">
        <v>10626</v>
      </c>
    </row>
    <row r="537" spans="3:23" ht="14.5" customHeight="1">
      <c r="C537" s="994" t="s">
        <v>6031</v>
      </c>
      <c r="D537" s="988" t="str">
        <f t="shared" si="59"/>
        <v>112102</v>
      </c>
      <c r="E537" s="989" t="s">
        <v>6032</v>
      </c>
      <c r="F537" s="988" t="str">
        <f t="shared" si="60"/>
        <v>1121021</v>
      </c>
      <c r="G537" s="1095" t="str">
        <f t="shared" si="61"/>
        <v>1121021</v>
      </c>
      <c r="I537" s="944" t="str">
        <f>IF(H537="","",CONCATENATE(G537,H537))</f>
        <v/>
      </c>
      <c r="J537" s="990" t="s">
        <v>6033</v>
      </c>
      <c r="K537" s="886"/>
      <c r="L537" s="886"/>
      <c r="M537" s="886"/>
      <c r="N537" s="886"/>
      <c r="O537" s="886"/>
      <c r="P537" s="896">
        <f>Q537</f>
        <v>47659</v>
      </c>
      <c r="Q537" s="1161">
        <f>ROUND(SUM(Q538:Q541),0)</f>
        <v>47659</v>
      </c>
      <c r="R537" s="882"/>
      <c r="S537" s="1269"/>
      <c r="T537" s="1254"/>
      <c r="U537" s="996" t="s">
        <v>10424</v>
      </c>
      <c r="V537" s="996"/>
      <c r="W537" s="992" t="s">
        <v>10657</v>
      </c>
    </row>
    <row r="538" spans="3:23" ht="14.5" customHeight="1">
      <c r="C538" s="994"/>
      <c r="E538" s="989"/>
      <c r="F538" s="988"/>
      <c r="G538" s="1095" t="str">
        <f t="shared" si="61"/>
        <v>1121021</v>
      </c>
      <c r="H538" s="1016" t="s">
        <v>5534</v>
      </c>
      <c r="I538" s="944" t="str">
        <f t="shared" si="58"/>
        <v>1121021101</v>
      </c>
      <c r="J538" s="991" t="s">
        <v>10658</v>
      </c>
      <c r="K538" s="886">
        <v>748122.1</v>
      </c>
      <c r="L538" s="886"/>
      <c r="M538" s="886">
        <v>813635.03</v>
      </c>
      <c r="N538" s="886"/>
      <c r="O538" s="886"/>
      <c r="P538" s="896"/>
      <c r="Q538" s="1167">
        <v>29177.69</v>
      </c>
      <c r="R538" s="882"/>
      <c r="S538" s="1269"/>
      <c r="T538" s="1254"/>
      <c r="U538" s="996"/>
      <c r="V538" s="996"/>
      <c r="W538" s="992"/>
    </row>
    <row r="539" spans="3:23" ht="14.5" customHeight="1">
      <c r="C539" s="994"/>
      <c r="E539" s="989"/>
      <c r="F539" s="988"/>
      <c r="G539" s="1095" t="str">
        <f t="shared" si="61"/>
        <v>1121021</v>
      </c>
      <c r="H539" s="1016" t="s">
        <v>6000</v>
      </c>
      <c r="I539" s="944" t="str">
        <f t="shared" si="58"/>
        <v>1121021102</v>
      </c>
      <c r="J539" s="991" t="s">
        <v>10659</v>
      </c>
      <c r="K539" s="890">
        <v>425</v>
      </c>
      <c r="L539" s="890">
        <v>29177.69</v>
      </c>
      <c r="M539" s="890">
        <v>813635.03</v>
      </c>
      <c r="N539" s="886"/>
      <c r="O539" s="886"/>
      <c r="P539" s="896"/>
      <c r="Q539" s="1165">
        <f>ROUND(K539*L539/M539,0)</f>
        <v>15</v>
      </c>
      <c r="R539" s="882"/>
      <c r="S539" s="1269"/>
      <c r="T539" s="1254"/>
      <c r="U539" s="996"/>
      <c r="V539" s="996"/>
      <c r="W539" s="992" t="s">
        <v>10660</v>
      </c>
    </row>
    <row r="540" spans="3:23" ht="14.5" customHeight="1">
      <c r="C540" s="994"/>
      <c r="E540" s="989"/>
      <c r="F540" s="988"/>
      <c r="G540" s="1095" t="str">
        <f t="shared" si="61"/>
        <v>1121021</v>
      </c>
      <c r="H540" s="1016" t="s">
        <v>6002</v>
      </c>
      <c r="I540" s="944" t="str">
        <f t="shared" si="58"/>
        <v>1121021103</v>
      </c>
      <c r="J540" s="991" t="s">
        <v>10661</v>
      </c>
      <c r="K540" s="886">
        <v>177750.9</v>
      </c>
      <c r="L540" s="886"/>
      <c r="M540" s="886"/>
      <c r="N540" s="886"/>
      <c r="O540" s="886"/>
      <c r="P540" s="896"/>
      <c r="Q540" s="1167">
        <v>18491.259999999998</v>
      </c>
      <c r="R540" s="882"/>
      <c r="S540" s="1269"/>
      <c r="T540" s="1254"/>
      <c r="U540" s="996"/>
      <c r="V540" s="996"/>
      <c r="W540" s="992"/>
    </row>
    <row r="541" spans="3:23" ht="14.5" customHeight="1">
      <c r="C541" s="994"/>
      <c r="E541" s="989"/>
      <c r="F541" s="988"/>
      <c r="G541" s="1095" t="str">
        <f t="shared" si="61"/>
        <v>1121021</v>
      </c>
      <c r="H541" s="1016" t="s">
        <v>10456</v>
      </c>
      <c r="I541" s="944" t="str">
        <f t="shared" si="58"/>
        <v>1121021Y01</v>
      </c>
      <c r="J541" s="991" t="s">
        <v>10662</v>
      </c>
      <c r="K541" s="886"/>
      <c r="L541" s="886"/>
      <c r="M541" s="886"/>
      <c r="N541" s="886"/>
      <c r="O541" s="886"/>
      <c r="P541" s="896"/>
      <c r="Q541" s="1167">
        <v>-25</v>
      </c>
      <c r="R541" s="882"/>
      <c r="S541" s="1269"/>
      <c r="T541" s="1254"/>
      <c r="U541" s="996"/>
      <c r="V541" s="996"/>
      <c r="W541" s="992" t="s">
        <v>10626</v>
      </c>
    </row>
    <row r="542" spans="3:23" ht="14.5" customHeight="1">
      <c r="C542" s="981" t="s">
        <v>6034</v>
      </c>
      <c r="D542" s="982" t="str">
        <f t="shared" si="59"/>
        <v>112103</v>
      </c>
      <c r="E542" s="983" t="s">
        <v>6035</v>
      </c>
      <c r="F542" s="982" t="str">
        <f t="shared" si="60"/>
        <v>1121031</v>
      </c>
      <c r="G542" s="1103" t="str">
        <f t="shared" si="61"/>
        <v>1121031</v>
      </c>
      <c r="H542" s="1102"/>
      <c r="I542" s="947" t="str">
        <f t="shared" si="58"/>
        <v/>
      </c>
      <c r="J542" s="984" t="s">
        <v>6036</v>
      </c>
      <c r="K542" s="889">
        <v>236222</v>
      </c>
      <c r="L542" s="889"/>
      <c r="M542" s="889">
        <v>289739.40000000002</v>
      </c>
      <c r="N542" s="889"/>
      <c r="O542" s="889"/>
      <c r="P542" s="881">
        <f>Q542</f>
        <v>1673</v>
      </c>
      <c r="Q542" s="1185">
        <v>1673</v>
      </c>
      <c r="R542" s="880"/>
      <c r="S542" s="1270"/>
      <c r="T542" s="880"/>
      <c r="U542" s="993" t="s">
        <v>10424</v>
      </c>
      <c r="V542" s="993"/>
      <c r="W542" s="986" t="s">
        <v>10663</v>
      </c>
    </row>
    <row r="543" spans="3:23" ht="14.5" customHeight="1">
      <c r="C543" s="981" t="s">
        <v>6037</v>
      </c>
      <c r="D543" s="982" t="str">
        <f t="shared" si="59"/>
        <v>112109</v>
      </c>
      <c r="E543" s="983" t="s">
        <v>6038</v>
      </c>
      <c r="F543" s="982" t="str">
        <f t="shared" si="60"/>
        <v>1121099</v>
      </c>
      <c r="G543" s="1103" t="str">
        <f t="shared" si="61"/>
        <v>1121099</v>
      </c>
      <c r="H543" s="1102"/>
      <c r="I543" s="947" t="str">
        <f t="shared" si="58"/>
        <v/>
      </c>
      <c r="J543" s="984" t="s">
        <v>166</v>
      </c>
      <c r="K543" s="889">
        <v>1562889.1</v>
      </c>
      <c r="L543" s="889"/>
      <c r="M543" s="889">
        <v>1411169.63</v>
      </c>
      <c r="N543" s="889"/>
      <c r="O543" s="889"/>
      <c r="P543" s="881">
        <f>Q543</f>
        <v>58894</v>
      </c>
      <c r="Q543" s="1185">
        <v>58894</v>
      </c>
      <c r="R543" s="880"/>
      <c r="S543" s="1270"/>
      <c r="T543" s="880"/>
      <c r="U543" s="993" t="s">
        <v>10424</v>
      </c>
      <c r="V543" s="993"/>
      <c r="W543" s="986" t="s">
        <v>10663</v>
      </c>
    </row>
    <row r="544" spans="3:23" ht="14.5" customHeight="1">
      <c r="C544" s="981" t="s">
        <v>6039</v>
      </c>
      <c r="D544" s="982" t="str">
        <f t="shared" si="59"/>
        <v>112901</v>
      </c>
      <c r="E544" s="983" t="s">
        <v>6040</v>
      </c>
      <c r="F544" s="982" t="str">
        <f t="shared" si="60"/>
        <v>1129011</v>
      </c>
      <c r="G544" s="1103" t="str">
        <f>IF(F544="",#REF!,F544)</f>
        <v>1129011</v>
      </c>
      <c r="H544" s="1102"/>
      <c r="I544" s="947" t="str">
        <f t="shared" si="58"/>
        <v/>
      </c>
      <c r="J544" s="984" t="s">
        <v>168</v>
      </c>
      <c r="K544" s="889"/>
      <c r="L544" s="889"/>
      <c r="M544" s="889"/>
      <c r="N544" s="889"/>
      <c r="O544" s="889"/>
      <c r="P544" s="881">
        <f>Q544</f>
        <v>53085</v>
      </c>
      <c r="Q544" s="1160">
        <f>ROUND(SUM(Q545:Q550),0)</f>
        <v>53085</v>
      </c>
      <c r="R544" s="880" t="s">
        <v>10664</v>
      </c>
      <c r="S544" s="1270"/>
      <c r="T544" s="880"/>
      <c r="U544" s="993"/>
      <c r="V544" s="993"/>
      <c r="W544" s="986"/>
    </row>
    <row r="545" spans="3:23" ht="14.5" customHeight="1">
      <c r="C545" s="987"/>
      <c r="D545" s="988" t="str">
        <f t="shared" si="59"/>
        <v/>
      </c>
      <c r="F545" s="988" t="str">
        <f t="shared" si="60"/>
        <v/>
      </c>
      <c r="G545" s="1095" t="str">
        <f>IF(F545="",G544,F545)</f>
        <v>1129011</v>
      </c>
      <c r="H545" s="1016" t="s">
        <v>575</v>
      </c>
      <c r="I545" s="944" t="str">
        <f t="shared" si="58"/>
        <v>1129011101</v>
      </c>
      <c r="J545" s="991" t="s">
        <v>10665</v>
      </c>
      <c r="K545" s="873">
        <v>74813.3</v>
      </c>
      <c r="L545" s="873"/>
      <c r="M545" s="873">
        <v>67990.289999999994</v>
      </c>
      <c r="N545" s="886"/>
      <c r="O545" s="886"/>
      <c r="P545" s="886"/>
      <c r="Q545" s="1167">
        <v>193.71</v>
      </c>
      <c r="R545" s="882"/>
      <c r="S545" s="1269"/>
      <c r="T545" s="1254"/>
      <c r="U545" s="996" t="s">
        <v>10424</v>
      </c>
      <c r="V545" s="996"/>
      <c r="W545" s="992" t="s">
        <v>10666</v>
      </c>
    </row>
    <row r="546" spans="3:23" ht="14.5" customHeight="1">
      <c r="C546" s="987"/>
      <c r="F546" s="988"/>
      <c r="G546" s="1095" t="str">
        <f t="shared" ref="G546:G548" si="62">IF(F546="",G545,F546)</f>
        <v>1129011</v>
      </c>
      <c r="H546" s="1016" t="s">
        <v>6000</v>
      </c>
      <c r="I546" s="944" t="str">
        <f t="shared" si="58"/>
        <v>1129011102</v>
      </c>
      <c r="J546" s="991" t="s">
        <v>10667</v>
      </c>
      <c r="K546" s="873">
        <v>203908.7</v>
      </c>
      <c r="L546" s="873"/>
      <c r="M546" s="873">
        <v>195860.68</v>
      </c>
      <c r="N546" s="886"/>
      <c r="O546" s="886"/>
      <c r="P546" s="886"/>
      <c r="Q546" s="1167">
        <v>6822.73</v>
      </c>
      <c r="R546" s="882"/>
      <c r="S546" s="1269"/>
      <c r="T546" s="1254"/>
      <c r="U546" s="996"/>
      <c r="V546" s="996"/>
      <c r="W546" s="992"/>
    </row>
    <row r="547" spans="3:23" ht="14.5" customHeight="1">
      <c r="C547" s="987"/>
      <c r="F547" s="988"/>
      <c r="G547" s="1095" t="str">
        <f t="shared" si="62"/>
        <v>1129011</v>
      </c>
      <c r="H547" s="1016" t="s">
        <v>6002</v>
      </c>
      <c r="I547" s="944" t="str">
        <f t="shared" si="58"/>
        <v>1129011103</v>
      </c>
      <c r="J547" s="991" t="s">
        <v>10668</v>
      </c>
      <c r="K547" s="873">
        <v>24334.3</v>
      </c>
      <c r="L547" s="873"/>
      <c r="M547" s="873">
        <v>24003.02</v>
      </c>
      <c r="N547" s="886"/>
      <c r="O547" s="886"/>
      <c r="P547" s="886"/>
      <c r="Q547" s="1167">
        <v>765.5</v>
      </c>
      <c r="R547" s="882"/>
      <c r="S547" s="1269"/>
      <c r="T547" s="1254"/>
      <c r="U547" s="996"/>
      <c r="V547" s="996"/>
      <c r="W547" s="992"/>
    </row>
    <row r="548" spans="3:23" ht="14.5" customHeight="1">
      <c r="C548" s="987"/>
      <c r="F548" s="988"/>
      <c r="G548" s="1095" t="str">
        <f t="shared" si="62"/>
        <v>1129011</v>
      </c>
      <c r="H548" s="1016" t="s">
        <v>5602</v>
      </c>
      <c r="I548" s="944" t="str">
        <f t="shared" si="58"/>
        <v>1129011201</v>
      </c>
      <c r="J548" s="991" t="s">
        <v>10669</v>
      </c>
      <c r="K548" s="873">
        <v>219765.8</v>
      </c>
      <c r="L548" s="873"/>
      <c r="M548" s="873">
        <v>219596.84</v>
      </c>
      <c r="N548" s="886"/>
      <c r="O548" s="886"/>
      <c r="P548" s="886"/>
      <c r="Q548" s="1167">
        <v>44212.98</v>
      </c>
      <c r="R548" s="882"/>
      <c r="S548" s="1269"/>
      <c r="T548" s="1254"/>
      <c r="U548" s="996"/>
      <c r="V548" s="996"/>
      <c r="W548" s="992"/>
    </row>
    <row r="549" spans="3:23" ht="14.5" customHeight="1">
      <c r="C549" s="987"/>
      <c r="D549" s="988" t="str">
        <f t="shared" si="59"/>
        <v/>
      </c>
      <c r="F549" s="988" t="str">
        <f t="shared" si="60"/>
        <v/>
      </c>
      <c r="G549" s="1095" t="str">
        <f>IF(F549="",G545,F549)</f>
        <v>1129011</v>
      </c>
      <c r="H549" s="1016" t="s">
        <v>5421</v>
      </c>
      <c r="I549" s="944" t="str">
        <f t="shared" si="58"/>
        <v>1129011301</v>
      </c>
      <c r="J549" s="991" t="s">
        <v>10670</v>
      </c>
      <c r="K549" s="890">
        <v>48539.9</v>
      </c>
      <c r="L549" s="873">
        <f>L393</f>
        <v>31</v>
      </c>
      <c r="M549" s="873">
        <f>M393</f>
        <v>1353</v>
      </c>
      <c r="N549" s="886"/>
      <c r="O549" s="886"/>
      <c r="P549" s="886"/>
      <c r="Q549" s="1162">
        <f>ROUND(K549*L549/M549,0)</f>
        <v>1112</v>
      </c>
      <c r="R549" s="882"/>
      <c r="S549" s="1269"/>
      <c r="T549" s="1254"/>
      <c r="U549" s="996" t="s">
        <v>10473</v>
      </c>
      <c r="V549" s="996"/>
      <c r="W549" s="992"/>
    </row>
    <row r="550" spans="3:23" ht="14.5" customHeight="1">
      <c r="C550" s="998"/>
      <c r="D550" s="999" t="str">
        <f t="shared" si="59"/>
        <v/>
      </c>
      <c r="E550" s="1002"/>
      <c r="F550" s="999" t="str">
        <f t="shared" si="60"/>
        <v/>
      </c>
      <c r="G550" s="1104" t="str">
        <f t="shared" ref="G550" si="63">IF(F550="",G549,F550)</f>
        <v>1129011</v>
      </c>
      <c r="H550" s="1005" t="s">
        <v>10490</v>
      </c>
      <c r="I550" s="1002" t="str">
        <f t="shared" si="58"/>
        <v>1129011Y01</v>
      </c>
      <c r="J550" s="978" t="s">
        <v>10671</v>
      </c>
      <c r="K550" s="872"/>
      <c r="L550" s="872"/>
      <c r="M550" s="872"/>
      <c r="N550" s="872"/>
      <c r="O550" s="872"/>
      <c r="P550" s="872"/>
      <c r="Q550" s="1173">
        <v>-21.97</v>
      </c>
      <c r="R550" s="908"/>
      <c r="S550" s="1277"/>
      <c r="T550" s="908"/>
      <c r="U550" s="1006"/>
      <c r="V550" s="1006"/>
      <c r="W550" s="1003" t="s">
        <v>10626</v>
      </c>
    </row>
    <row r="551" spans="3:23" ht="14.5" customHeight="1">
      <c r="C551" s="994" t="s">
        <v>6042</v>
      </c>
      <c r="D551" s="988" t="str">
        <f t="shared" si="59"/>
        <v>112902</v>
      </c>
      <c r="E551" s="989" t="s">
        <v>6043</v>
      </c>
      <c r="F551" s="988" t="str">
        <f t="shared" si="60"/>
        <v>1129021</v>
      </c>
      <c r="G551" s="1095" t="str">
        <f>IF(F551="",#REF!,F551)</f>
        <v>1129021</v>
      </c>
      <c r="I551" s="944" t="str">
        <f t="shared" si="58"/>
        <v/>
      </c>
      <c r="J551" s="990" t="s">
        <v>169</v>
      </c>
      <c r="K551" s="886"/>
      <c r="L551" s="886"/>
      <c r="M551" s="886"/>
      <c r="N551" s="886"/>
      <c r="O551" s="886"/>
      <c r="P551" s="896">
        <f>Q551</f>
        <v>210436</v>
      </c>
      <c r="Q551" s="1171">
        <f>ROUND(SUM(Q552:Q559),0)</f>
        <v>210436</v>
      </c>
      <c r="R551" s="1001" t="s">
        <v>10672</v>
      </c>
      <c r="S551" s="1271"/>
      <c r="T551" s="1255"/>
      <c r="U551" s="996" t="s">
        <v>10424</v>
      </c>
      <c r="V551" s="996"/>
      <c r="W551" s="992" t="s">
        <v>10673</v>
      </c>
    </row>
    <row r="552" spans="3:23" ht="14.5" customHeight="1">
      <c r="C552" s="987"/>
      <c r="D552" s="988" t="str">
        <f t="shared" si="59"/>
        <v/>
      </c>
      <c r="F552" s="988" t="str">
        <f t="shared" si="60"/>
        <v/>
      </c>
      <c r="G552" s="1095" t="str">
        <f>IF(F552="",G551,F552)</f>
        <v>1129021</v>
      </c>
      <c r="H552" s="1016" t="s">
        <v>5637</v>
      </c>
      <c r="I552" s="944" t="str">
        <f t="shared" si="58"/>
        <v>1129021101</v>
      </c>
      <c r="J552" s="991" t="s">
        <v>6044</v>
      </c>
      <c r="K552" s="873">
        <v>320076.3</v>
      </c>
      <c r="L552" s="873"/>
      <c r="M552" s="873">
        <v>319302.90000000002</v>
      </c>
      <c r="N552" s="873"/>
      <c r="O552" s="873"/>
      <c r="P552" s="873"/>
      <c r="Q552" s="1167">
        <v>29217.18</v>
      </c>
      <c r="R552" s="887"/>
      <c r="S552" s="1273">
        <f>S557</f>
        <v>4.308729295127554</v>
      </c>
      <c r="T552" s="1256">
        <f t="shared" ref="T552:T556" si="64">ROUND(Q552*S552/100,0)</f>
        <v>1259</v>
      </c>
      <c r="U552" s="996"/>
      <c r="V552" s="996"/>
      <c r="W552" s="992"/>
    </row>
    <row r="553" spans="3:23" ht="14.5" customHeight="1">
      <c r="C553" s="987"/>
      <c r="F553" s="988"/>
      <c r="G553" s="1095" t="str">
        <f t="shared" ref="G553:G559" si="65">IF(F553="",G552,F553)</f>
        <v>1129021</v>
      </c>
      <c r="H553" s="1016" t="s">
        <v>6000</v>
      </c>
      <c r="I553" s="944" t="str">
        <f t="shared" si="58"/>
        <v>1129021102</v>
      </c>
      <c r="J553" s="991" t="s">
        <v>10674</v>
      </c>
      <c r="K553" s="873">
        <v>368316</v>
      </c>
      <c r="L553" s="873"/>
      <c r="M553" s="873">
        <v>366013.55</v>
      </c>
      <c r="N553" s="873"/>
      <c r="O553" s="873"/>
      <c r="P553" s="873"/>
      <c r="Q553" s="1167">
        <v>6039.12</v>
      </c>
      <c r="R553" s="887"/>
      <c r="S553" s="1273">
        <f>S557</f>
        <v>4.308729295127554</v>
      </c>
      <c r="T553" s="1256">
        <f t="shared" si="64"/>
        <v>260</v>
      </c>
      <c r="U553" s="996"/>
      <c r="V553" s="996"/>
      <c r="W553" s="992"/>
    </row>
    <row r="554" spans="3:23" ht="14.5" customHeight="1">
      <c r="C554" s="987"/>
      <c r="F554" s="988"/>
      <c r="G554" s="1095" t="str">
        <f t="shared" si="65"/>
        <v>1129021</v>
      </c>
      <c r="H554" s="1016" t="s">
        <v>6002</v>
      </c>
      <c r="I554" s="944" t="str">
        <f t="shared" si="58"/>
        <v>1129021103</v>
      </c>
      <c r="J554" s="991" t="s">
        <v>10675</v>
      </c>
      <c r="K554" s="873">
        <v>347125</v>
      </c>
      <c r="L554" s="873"/>
      <c r="M554" s="873">
        <v>346673.1</v>
      </c>
      <c r="N554" s="873"/>
      <c r="O554" s="873"/>
      <c r="P554" s="873"/>
      <c r="Q554" s="1167">
        <v>41783.83</v>
      </c>
      <c r="R554" s="887"/>
      <c r="S554" s="1273">
        <f>S557</f>
        <v>4.308729295127554</v>
      </c>
      <c r="T554" s="1256">
        <f t="shared" si="64"/>
        <v>1800</v>
      </c>
      <c r="U554" s="996"/>
      <c r="V554" s="996"/>
      <c r="W554" s="992"/>
    </row>
    <row r="555" spans="3:23" ht="14.5" customHeight="1">
      <c r="C555" s="987"/>
      <c r="F555" s="988"/>
      <c r="G555" s="1095" t="str">
        <f t="shared" si="65"/>
        <v>1129021</v>
      </c>
      <c r="H555" s="1016" t="s">
        <v>5661</v>
      </c>
      <c r="I555" s="944" t="str">
        <f t="shared" si="58"/>
        <v>1129021104</v>
      </c>
      <c r="J555" s="991" t="s">
        <v>6049</v>
      </c>
      <c r="K555" s="873">
        <v>549601.69999999995</v>
      </c>
      <c r="L555" s="873"/>
      <c r="M555" s="873">
        <v>549393.73</v>
      </c>
      <c r="N555" s="873"/>
      <c r="O555" s="873"/>
      <c r="P555" s="873"/>
      <c r="Q555" s="1167">
        <v>57954.14</v>
      </c>
      <c r="R555" s="887"/>
      <c r="S555" s="1273">
        <f>S557</f>
        <v>4.308729295127554</v>
      </c>
      <c r="T555" s="1256">
        <f t="shared" si="64"/>
        <v>2497</v>
      </c>
      <c r="U555" s="996"/>
      <c r="V555" s="996"/>
      <c r="W555" s="992"/>
    </row>
    <row r="556" spans="3:23" ht="14.5" customHeight="1">
      <c r="C556" s="987"/>
      <c r="F556" s="988"/>
      <c r="G556" s="1095" t="str">
        <f t="shared" si="65"/>
        <v>1129021</v>
      </c>
      <c r="H556" s="1016" t="s">
        <v>5663</v>
      </c>
      <c r="I556" s="944" t="str">
        <f t="shared" si="58"/>
        <v>1129021105</v>
      </c>
      <c r="J556" s="991" t="s">
        <v>6053</v>
      </c>
      <c r="K556" s="873">
        <v>213960.1</v>
      </c>
      <c r="L556" s="873"/>
      <c r="M556" s="873">
        <v>210834.82</v>
      </c>
      <c r="N556" s="873"/>
      <c r="O556" s="873"/>
      <c r="P556" s="873"/>
      <c r="Q556" s="1167">
        <v>58438.400000000001</v>
      </c>
      <c r="R556" s="887"/>
      <c r="S556" s="1273">
        <f>S557</f>
        <v>4.308729295127554</v>
      </c>
      <c r="T556" s="1256">
        <f t="shared" si="64"/>
        <v>2518</v>
      </c>
      <c r="U556" s="996"/>
      <c r="V556" s="996"/>
      <c r="W556" s="992"/>
    </row>
    <row r="557" spans="3:23" ht="14.5" customHeight="1">
      <c r="C557" s="987"/>
      <c r="F557" s="988"/>
      <c r="G557" s="1095" t="str">
        <f t="shared" si="65"/>
        <v>1129021</v>
      </c>
      <c r="H557" s="1016" t="s">
        <v>5453</v>
      </c>
      <c r="I557" s="944" t="str">
        <f t="shared" si="58"/>
        <v>1129021199</v>
      </c>
      <c r="J557" s="1252" t="s">
        <v>10676</v>
      </c>
      <c r="K557" s="1210">
        <v>415482.6</v>
      </c>
      <c r="L557" s="1210"/>
      <c r="M557" s="1210">
        <v>412756.21</v>
      </c>
      <c r="N557" s="1210"/>
      <c r="O557" s="1210"/>
      <c r="P557" s="1210"/>
      <c r="Q557" s="1253">
        <v>16511.75</v>
      </c>
      <c r="R557" s="887"/>
      <c r="S557" s="1273">
        <f>'CT2015'!J527/'CT2015'!J518*100</f>
        <v>4.308729295127554</v>
      </c>
      <c r="T557" s="1256">
        <f>ROUND(Q557*S557/100,0)</f>
        <v>711</v>
      </c>
      <c r="U557" s="996"/>
      <c r="V557" s="996"/>
      <c r="W557" s="992" t="s">
        <v>10677</v>
      </c>
    </row>
    <row r="558" spans="3:23" ht="14.5" customHeight="1">
      <c r="C558" s="987"/>
      <c r="F558" s="988"/>
      <c r="G558" s="1095" t="str">
        <f t="shared" si="65"/>
        <v>1129021</v>
      </c>
      <c r="H558" s="1016" t="s">
        <v>5602</v>
      </c>
      <c r="I558" s="944" t="str">
        <f t="shared" si="58"/>
        <v>1129021201</v>
      </c>
      <c r="J558" s="991" t="s">
        <v>10678</v>
      </c>
      <c r="K558" s="890">
        <v>22115.4</v>
      </c>
      <c r="L558" s="873">
        <f>L393</f>
        <v>31</v>
      </c>
      <c r="M558" s="873">
        <f>M393</f>
        <v>1353</v>
      </c>
      <c r="N558" s="873"/>
      <c r="O558" s="873"/>
      <c r="P558" s="873"/>
      <c r="Q558" s="1165">
        <f>ROUND(K558*L558/M558,0)</f>
        <v>507</v>
      </c>
      <c r="R558" s="887"/>
      <c r="S558" s="1273"/>
      <c r="T558" s="1256"/>
      <c r="U558" s="996" t="s">
        <v>10473</v>
      </c>
      <c r="V558" s="996"/>
      <c r="W558" s="992"/>
    </row>
    <row r="559" spans="3:23" ht="14.5" customHeight="1">
      <c r="C559" s="987"/>
      <c r="D559" s="988" t="str">
        <f t="shared" ref="D559:D569" si="66">IF(C559="","",CONCATENATE(LEFT(C559,4),MID(C559,6,2)))</f>
        <v/>
      </c>
      <c r="F559" s="988" t="str">
        <f t="shared" ref="F559:F569" si="67">IF(E559="","",CONCATENATE(LEFT(E559,4),MID(E559,6,3)))</f>
        <v/>
      </c>
      <c r="G559" s="1095" t="str">
        <f t="shared" si="65"/>
        <v>1129021</v>
      </c>
      <c r="H559" s="1016" t="s">
        <v>10490</v>
      </c>
      <c r="I559" s="944" t="str">
        <f t="shared" si="58"/>
        <v>1129021Y01</v>
      </c>
      <c r="J559" s="991" t="s">
        <v>10679</v>
      </c>
      <c r="K559" s="873"/>
      <c r="L559" s="873"/>
      <c r="M559" s="873"/>
      <c r="N559" s="886"/>
      <c r="O559" s="886"/>
      <c r="P559" s="886"/>
      <c r="Q559" s="1167">
        <v>-15.39</v>
      </c>
      <c r="R559" s="882"/>
      <c r="S559" s="1269"/>
      <c r="T559" s="1254"/>
      <c r="U559" s="996"/>
      <c r="V559" s="996"/>
      <c r="W559" s="1003" t="s">
        <v>10626</v>
      </c>
    </row>
    <row r="560" spans="3:23" ht="14.5" customHeight="1">
      <c r="C560" s="1023" t="s">
        <v>6061</v>
      </c>
      <c r="D560" s="1024" t="str">
        <f t="shared" si="66"/>
        <v>112903</v>
      </c>
      <c r="E560" s="1025" t="s">
        <v>6062</v>
      </c>
      <c r="F560" s="1024" t="str">
        <f t="shared" si="67"/>
        <v>1129031</v>
      </c>
      <c r="G560" s="1111" t="str">
        <f>IF(F560="",#REF!,F560)</f>
        <v>1129031</v>
      </c>
      <c r="H560" s="1112" t="s">
        <v>5349</v>
      </c>
      <c r="I560" s="1113" t="str">
        <f>IF(H560="","",CONCATENATE(G560,H560))</f>
        <v>1129031001</v>
      </c>
      <c r="J560" s="1026" t="s">
        <v>170</v>
      </c>
      <c r="K560" s="912">
        <v>51696</v>
      </c>
      <c r="L560" s="913"/>
      <c r="M560" s="913">
        <v>51474.76</v>
      </c>
      <c r="N560" s="912"/>
      <c r="O560" s="912"/>
      <c r="P560" s="914">
        <f>Q560</f>
        <v>4517</v>
      </c>
      <c r="Q560" s="1186">
        <v>4517</v>
      </c>
      <c r="R560" s="929" t="s">
        <v>10680</v>
      </c>
      <c r="S560" s="1280"/>
      <c r="T560" s="929"/>
      <c r="U560" s="1022" t="s">
        <v>10424</v>
      </c>
      <c r="V560" s="1022"/>
      <c r="W560" s="1027" t="s">
        <v>10681</v>
      </c>
    </row>
    <row r="561" spans="3:23" ht="14.5" customHeight="1">
      <c r="C561" s="994" t="s">
        <v>6064</v>
      </c>
      <c r="D561" s="988" t="str">
        <f t="shared" si="66"/>
        <v>113101</v>
      </c>
      <c r="E561" s="989" t="s">
        <v>6065</v>
      </c>
      <c r="F561" s="988" t="str">
        <f t="shared" si="67"/>
        <v>1131011</v>
      </c>
      <c r="G561" s="1095" t="str">
        <f>IF(F561="",G560,F561)</f>
        <v>1131011</v>
      </c>
      <c r="I561" s="944" t="str">
        <f t="shared" ref="I561:I572" si="68">IF(H561="","",CONCATENATE(G561,H561))</f>
        <v/>
      </c>
      <c r="J561" s="990" t="s">
        <v>172</v>
      </c>
      <c r="K561" s="886"/>
      <c r="L561" s="886"/>
      <c r="M561" s="886"/>
      <c r="N561" s="886"/>
      <c r="O561" s="886"/>
      <c r="P561" s="896">
        <f>Q561</f>
        <v>46577</v>
      </c>
      <c r="Q561" s="1161">
        <f>ROUND(SUM(Q562:Q565),0)</f>
        <v>46577</v>
      </c>
      <c r="R561" s="1001" t="s">
        <v>10682</v>
      </c>
      <c r="S561" s="1271"/>
      <c r="T561" s="1255"/>
      <c r="U561" s="996" t="s">
        <v>10612</v>
      </c>
      <c r="V561" s="996"/>
      <c r="W561" s="992" t="s">
        <v>10683</v>
      </c>
    </row>
    <row r="562" spans="3:23" ht="14.5" customHeight="1">
      <c r="C562" s="994"/>
      <c r="E562" s="989"/>
      <c r="F562" s="988"/>
      <c r="G562" s="1095" t="str">
        <f t="shared" ref="G562:G565" si="69">IF(F562="",G561,F562)</f>
        <v>1131011</v>
      </c>
      <c r="H562" s="1016" t="s">
        <v>5534</v>
      </c>
      <c r="I562" s="944" t="str">
        <f t="shared" si="68"/>
        <v>1131011101</v>
      </c>
      <c r="J562" s="991" t="s">
        <v>10684</v>
      </c>
      <c r="K562" s="886">
        <v>1188479.6000000001</v>
      </c>
      <c r="L562" s="886"/>
      <c r="M562" s="886">
        <v>1181586.06</v>
      </c>
      <c r="N562" s="886"/>
      <c r="O562" s="886"/>
      <c r="P562" s="896"/>
      <c r="Q562" s="1167">
        <v>28416.42</v>
      </c>
      <c r="R562" s="1001"/>
      <c r="S562" s="1271"/>
      <c r="T562" s="1255"/>
      <c r="U562" s="996"/>
      <c r="V562" s="996"/>
      <c r="W562" s="992"/>
    </row>
    <row r="563" spans="3:23" ht="14.5" customHeight="1">
      <c r="C563" s="994"/>
      <c r="E563" s="989"/>
      <c r="F563" s="988"/>
      <c r="G563" s="1095" t="str">
        <f t="shared" si="69"/>
        <v>1131011</v>
      </c>
      <c r="H563" s="1016" t="s">
        <v>6000</v>
      </c>
      <c r="I563" s="944" t="str">
        <f t="shared" si="68"/>
        <v>1131011102</v>
      </c>
      <c r="J563" s="991" t="s">
        <v>10685</v>
      </c>
      <c r="K563" s="886">
        <v>117111.8</v>
      </c>
      <c r="L563" s="886"/>
      <c r="M563" s="886">
        <v>116419.24</v>
      </c>
      <c r="N563" s="886"/>
      <c r="O563" s="886"/>
      <c r="P563" s="896"/>
      <c r="Q563" s="1167">
        <v>16417.53</v>
      </c>
      <c r="R563" s="1001"/>
      <c r="S563" s="1271"/>
      <c r="T563" s="1255"/>
      <c r="U563" s="996"/>
      <c r="V563" s="996"/>
      <c r="W563" s="992"/>
    </row>
    <row r="564" spans="3:23" ht="14.5" customHeight="1">
      <c r="C564" s="994"/>
      <c r="E564" s="989"/>
      <c r="F564" s="988"/>
      <c r="G564" s="1095" t="str">
        <f t="shared" si="69"/>
        <v>1131011</v>
      </c>
      <c r="H564" s="1016" t="s">
        <v>6002</v>
      </c>
      <c r="I564" s="944" t="str">
        <f t="shared" si="68"/>
        <v>1131011103</v>
      </c>
      <c r="J564" s="991" t="s">
        <v>10686</v>
      </c>
      <c r="K564" s="886">
        <v>121279.6</v>
      </c>
      <c r="L564" s="886"/>
      <c r="M564" s="886">
        <v>117270.11</v>
      </c>
      <c r="N564" s="886"/>
      <c r="O564" s="886"/>
      <c r="P564" s="896"/>
      <c r="Q564" s="1167">
        <v>1714.56</v>
      </c>
      <c r="R564" s="1001"/>
      <c r="S564" s="1271"/>
      <c r="T564" s="1255"/>
      <c r="U564" s="996"/>
      <c r="V564" s="996"/>
      <c r="W564" s="992"/>
    </row>
    <row r="565" spans="3:23" ht="14.5" customHeight="1">
      <c r="C565" s="994"/>
      <c r="E565" s="989"/>
      <c r="F565" s="988"/>
      <c r="G565" s="1095" t="str">
        <f t="shared" si="69"/>
        <v>1131011</v>
      </c>
      <c r="H565" s="1016" t="s">
        <v>10456</v>
      </c>
      <c r="I565" s="944" t="str">
        <f t="shared" si="68"/>
        <v>1131011Y01</v>
      </c>
      <c r="J565" s="991" t="s">
        <v>10687</v>
      </c>
      <c r="K565" s="886"/>
      <c r="L565" s="886"/>
      <c r="M565" s="886"/>
      <c r="N565" s="886"/>
      <c r="O565" s="886"/>
      <c r="P565" s="896"/>
      <c r="Q565" s="1167">
        <v>28.5</v>
      </c>
      <c r="R565" s="1001"/>
      <c r="S565" s="1271"/>
      <c r="T565" s="1255"/>
      <c r="U565" s="996"/>
      <c r="V565" s="996"/>
      <c r="W565" s="992"/>
    </row>
    <row r="566" spans="3:23" ht="14.5" customHeight="1">
      <c r="C566" s="981" t="s">
        <v>6066</v>
      </c>
      <c r="D566" s="982" t="str">
        <f t="shared" si="66"/>
        <v>113102</v>
      </c>
      <c r="E566" s="983" t="s">
        <v>6067</v>
      </c>
      <c r="F566" s="982" t="str">
        <f t="shared" si="67"/>
        <v>1131021</v>
      </c>
      <c r="G566" s="1103" t="str">
        <f>IF(F566="",#REF!,F566)</f>
        <v>1131021</v>
      </c>
      <c r="H566" s="1102"/>
      <c r="I566" s="947" t="str">
        <f t="shared" si="68"/>
        <v/>
      </c>
      <c r="J566" s="984" t="s">
        <v>6068</v>
      </c>
      <c r="K566" s="889"/>
      <c r="L566" s="889"/>
      <c r="M566" s="889"/>
      <c r="N566" s="889"/>
      <c r="O566" s="889"/>
      <c r="P566" s="881">
        <f>Q566</f>
        <v>1785</v>
      </c>
      <c r="Q566" s="1160">
        <f>ROUND(SUM(Q567:Q568),0)</f>
        <v>1785</v>
      </c>
      <c r="R566" s="1004" t="s">
        <v>10688</v>
      </c>
      <c r="S566" s="1274"/>
      <c r="T566" s="1004"/>
      <c r="U566" s="993"/>
      <c r="V566" s="993"/>
      <c r="W566" s="986"/>
    </row>
    <row r="567" spans="3:23" ht="14.5" customHeight="1">
      <c r="C567" s="987"/>
      <c r="D567" s="988" t="str">
        <f t="shared" si="66"/>
        <v/>
      </c>
      <c r="F567" s="988" t="str">
        <f t="shared" si="67"/>
        <v/>
      </c>
      <c r="G567" s="1095" t="str">
        <f>IF(F567="",G566,F567)</f>
        <v>1131021</v>
      </c>
      <c r="H567" s="1016" t="s">
        <v>5637</v>
      </c>
      <c r="I567" s="944" t="str">
        <f t="shared" si="68"/>
        <v>1131021101</v>
      </c>
      <c r="J567" s="991" t="s">
        <v>6069</v>
      </c>
      <c r="K567" s="873">
        <v>70602</v>
      </c>
      <c r="L567" s="873"/>
      <c r="M567" s="873">
        <v>64302.68</v>
      </c>
      <c r="N567" s="886"/>
      <c r="O567" s="886"/>
      <c r="P567" s="886"/>
      <c r="Q567" s="1167">
        <v>1781.36</v>
      </c>
      <c r="R567" s="882"/>
      <c r="S567" s="1269"/>
      <c r="T567" s="1254"/>
      <c r="U567" s="996" t="s">
        <v>10689</v>
      </c>
      <c r="V567" s="996"/>
      <c r="W567" s="992" t="s">
        <v>10683</v>
      </c>
    </row>
    <row r="568" spans="3:23" ht="14.5" customHeight="1">
      <c r="C568" s="998"/>
      <c r="D568" s="999" t="str">
        <f t="shared" si="66"/>
        <v/>
      </c>
      <c r="E568" s="1002"/>
      <c r="F568" s="999" t="str">
        <f t="shared" si="67"/>
        <v/>
      </c>
      <c r="G568" s="1104" t="str">
        <f>IF(F568="",G567,F568)</f>
        <v>1131021</v>
      </c>
      <c r="H568" s="1005" t="s">
        <v>10456</v>
      </c>
      <c r="I568" s="1002" t="str">
        <f t="shared" si="68"/>
        <v>1131021Y01</v>
      </c>
      <c r="J568" s="978" t="s">
        <v>5925</v>
      </c>
      <c r="K568" s="872"/>
      <c r="L568" s="872"/>
      <c r="M568" s="872"/>
      <c r="N568" s="872"/>
      <c r="O568" s="872"/>
      <c r="P568" s="872"/>
      <c r="Q568" s="1173">
        <v>3.33</v>
      </c>
      <c r="R568" s="908"/>
      <c r="S568" s="1277"/>
      <c r="T568" s="908"/>
      <c r="U568" s="1006"/>
      <c r="V568" s="1006"/>
      <c r="W568" s="1003" t="s">
        <v>10626</v>
      </c>
    </row>
    <row r="569" spans="3:23" ht="14.5" customHeight="1">
      <c r="C569" s="981" t="s">
        <v>6070</v>
      </c>
      <c r="D569" s="982" t="str">
        <f t="shared" si="66"/>
        <v>114101</v>
      </c>
      <c r="E569" s="983" t="s">
        <v>6071</v>
      </c>
      <c r="F569" s="982" t="str">
        <f t="shared" si="67"/>
        <v>1141011</v>
      </c>
      <c r="G569" s="1103" t="str">
        <f>IF(F569="",G568,F569)</f>
        <v>1141011</v>
      </c>
      <c r="H569" s="1102"/>
      <c r="I569" s="947"/>
      <c r="J569" s="984" t="s">
        <v>175</v>
      </c>
      <c r="K569" s="889"/>
      <c r="L569" s="897"/>
      <c r="M569" s="897"/>
      <c r="N569" s="889"/>
      <c r="O569" s="889"/>
      <c r="P569" s="881">
        <f>Q569</f>
        <v>0</v>
      </c>
      <c r="Q569" s="1169">
        <f>SUM(Q570:Q571)</f>
        <v>0</v>
      </c>
      <c r="R569" s="880"/>
      <c r="S569" s="1270"/>
      <c r="T569" s="880"/>
      <c r="U569" s="993" t="s">
        <v>10424</v>
      </c>
      <c r="V569" s="993"/>
      <c r="W569" s="986" t="s">
        <v>10380</v>
      </c>
    </row>
    <row r="570" spans="3:23" ht="14.5" customHeight="1">
      <c r="C570" s="994"/>
      <c r="E570" s="989"/>
      <c r="F570" s="988"/>
      <c r="G570" s="1095" t="str">
        <f>IF(F570="",G569,F570)</f>
        <v>1141011</v>
      </c>
      <c r="H570" s="1016" t="s">
        <v>5534</v>
      </c>
      <c r="I570" s="1033" t="str">
        <f>IF(H570="","",CONCATENATE(G570,H570))</f>
        <v>1141011101</v>
      </c>
      <c r="J570" s="991" t="s">
        <v>6072</v>
      </c>
      <c r="K570" s="886"/>
      <c r="L570" s="873"/>
      <c r="M570" s="873"/>
      <c r="N570" s="886"/>
      <c r="O570" s="886"/>
      <c r="P570" s="886"/>
      <c r="Q570" s="1167">
        <v>0</v>
      </c>
      <c r="R570" s="882"/>
      <c r="S570" s="1269"/>
      <c r="T570" s="1254"/>
      <c r="U570" s="996"/>
      <c r="V570" s="996"/>
      <c r="W570" s="992"/>
    </row>
    <row r="571" spans="3:23" ht="14.5" customHeight="1">
      <c r="C571" s="1015"/>
      <c r="D571" s="999"/>
      <c r="E571" s="1000"/>
      <c r="F571" s="999"/>
      <c r="G571" s="1104" t="str">
        <f>IF(F571="",G570,F571)</f>
        <v>1141011</v>
      </c>
      <c r="H571" s="1005" t="s">
        <v>10456</v>
      </c>
      <c r="I571" s="1109" t="str">
        <f>IF(H571="","",CONCATENATE(G571,H571))</f>
        <v>1141011Y01</v>
      </c>
      <c r="J571" s="978" t="s">
        <v>6073</v>
      </c>
      <c r="K571" s="893"/>
      <c r="L571" s="872"/>
      <c r="M571" s="872"/>
      <c r="N571" s="893"/>
      <c r="O571" s="893"/>
      <c r="P571" s="893"/>
      <c r="Q571" s="1170">
        <v>0</v>
      </c>
      <c r="R571" s="900"/>
      <c r="S571" s="1272"/>
      <c r="T571" s="900"/>
      <c r="U571" s="1006"/>
      <c r="V571" s="1006"/>
      <c r="W571" s="1003"/>
    </row>
    <row r="572" spans="3:23" ht="14.5" customHeight="1">
      <c r="C572" s="994" t="s">
        <v>6074</v>
      </c>
      <c r="D572" s="988" t="str">
        <f t="shared" ref="D572:D597" si="70">IF(C572="","",CONCATENATE(LEFT(C572,4),MID(C572,6,2)))</f>
        <v>151101</v>
      </c>
      <c r="E572" s="989" t="s">
        <v>6075</v>
      </c>
      <c r="F572" s="988" t="str">
        <f t="shared" ref="F572:F597" si="71">IF(E572="","",CONCATENATE(LEFT(E572,4),MID(E572,6,3)))</f>
        <v>1511011</v>
      </c>
      <c r="G572" s="1095" t="str">
        <f>IF(F572="",G569,F572)</f>
        <v>1511011</v>
      </c>
      <c r="I572" s="944" t="str">
        <f t="shared" si="68"/>
        <v/>
      </c>
      <c r="J572" s="990" t="s">
        <v>6076</v>
      </c>
      <c r="K572" s="886">
        <v>79871.100000000006</v>
      </c>
      <c r="L572" s="886"/>
      <c r="M572" s="886">
        <v>80086.28</v>
      </c>
      <c r="N572" s="886"/>
      <c r="O572" s="886"/>
      <c r="P572" s="896">
        <f t="shared" ref="P572:P597" si="72">Q572</f>
        <v>6253</v>
      </c>
      <c r="Q572" s="1174">
        <v>6253</v>
      </c>
      <c r="R572" s="882"/>
      <c r="S572" s="1269"/>
      <c r="T572" s="1254"/>
      <c r="U572" s="996" t="s">
        <v>10424</v>
      </c>
      <c r="V572" s="996"/>
      <c r="W572" s="992" t="s">
        <v>10683</v>
      </c>
    </row>
    <row r="573" spans="3:23" ht="14.5" customHeight="1">
      <c r="C573" s="981" t="s">
        <v>6077</v>
      </c>
      <c r="D573" s="982" t="str">
        <f t="shared" si="70"/>
        <v>151201</v>
      </c>
      <c r="E573" s="983" t="s">
        <v>6078</v>
      </c>
      <c r="F573" s="982" t="str">
        <f t="shared" si="71"/>
        <v>1512011</v>
      </c>
      <c r="G573" s="1103" t="str">
        <f>IF(F573="",G572,F573)</f>
        <v>1512011</v>
      </c>
      <c r="H573" s="1102"/>
      <c r="I573" s="947" t="str">
        <f>IF(H573="","",CONCATENATE(G573,H573))</f>
        <v/>
      </c>
      <c r="J573" s="1028" t="s">
        <v>6079</v>
      </c>
      <c r="K573" s="897"/>
      <c r="L573" s="889"/>
      <c r="M573" s="889"/>
      <c r="N573" s="889"/>
      <c r="O573" s="889"/>
      <c r="P573" s="881">
        <f>Q573</f>
        <v>3061</v>
      </c>
      <c r="Q573" s="1169">
        <f>ROUND(SUM(Q574:Q576),0)</f>
        <v>3061</v>
      </c>
      <c r="R573" s="880"/>
      <c r="S573" s="1270"/>
      <c r="T573" s="880"/>
      <c r="U573" s="993" t="s">
        <v>10612</v>
      </c>
      <c r="V573" s="985"/>
      <c r="W573" s="986" t="s">
        <v>10690</v>
      </c>
    </row>
    <row r="574" spans="3:23" ht="14.5" customHeight="1">
      <c r="C574" s="994"/>
      <c r="E574" s="989"/>
      <c r="F574" s="988"/>
      <c r="G574" s="1095" t="str">
        <f t="shared" ref="G574:G576" si="73">IF(F574="",G573,F574)</f>
        <v>1512011</v>
      </c>
      <c r="I574" s="944" t="str">
        <f t="shared" ref="I574:I576" si="74">IF(H574="","",CONCATENATE(G574,H574))</f>
        <v/>
      </c>
      <c r="J574" s="992" t="s">
        <v>10691</v>
      </c>
      <c r="K574" s="873"/>
      <c r="L574" s="886"/>
      <c r="M574" s="886"/>
      <c r="N574" s="886"/>
      <c r="O574" s="886"/>
      <c r="P574" s="896"/>
      <c r="Q574" s="1167">
        <v>2785.56</v>
      </c>
      <c r="R574" s="882"/>
      <c r="S574" s="1269"/>
      <c r="T574" s="1254"/>
      <c r="U574" s="996" t="s">
        <v>10612</v>
      </c>
      <c r="V574" s="996"/>
      <c r="W574" s="992" t="s">
        <v>10690</v>
      </c>
    </row>
    <row r="575" spans="3:23" ht="14.5" customHeight="1">
      <c r="C575" s="994"/>
      <c r="E575" s="989"/>
      <c r="F575" s="988"/>
      <c r="G575" s="1095" t="str">
        <f t="shared" si="73"/>
        <v>1512011</v>
      </c>
      <c r="H575" s="1016" t="s">
        <v>5488</v>
      </c>
      <c r="I575" s="944" t="str">
        <f t="shared" si="74"/>
        <v>1512011501</v>
      </c>
      <c r="J575" s="992" t="s">
        <v>10692</v>
      </c>
      <c r="K575" s="873"/>
      <c r="L575" s="886"/>
      <c r="M575" s="886"/>
      <c r="N575" s="886"/>
      <c r="O575" s="886"/>
      <c r="P575" s="896"/>
      <c r="Q575" s="1167">
        <v>326.33</v>
      </c>
      <c r="R575" s="882"/>
      <c r="S575" s="1269"/>
      <c r="T575" s="1254"/>
      <c r="U575" s="996" t="s">
        <v>10693</v>
      </c>
      <c r="V575" s="996"/>
      <c r="W575" s="992" t="s">
        <v>10694</v>
      </c>
    </row>
    <row r="576" spans="3:23" ht="14.5" customHeight="1">
      <c r="C576" s="1015"/>
      <c r="D576" s="999"/>
      <c r="E576" s="1000"/>
      <c r="F576" s="999"/>
      <c r="G576" s="1104" t="str">
        <f t="shared" si="73"/>
        <v>1512011</v>
      </c>
      <c r="H576" s="1005" t="s">
        <v>10456</v>
      </c>
      <c r="I576" s="1002" t="str">
        <f t="shared" si="74"/>
        <v>1512011Y01</v>
      </c>
      <c r="J576" s="992" t="s">
        <v>10695</v>
      </c>
      <c r="K576" s="872"/>
      <c r="L576" s="893"/>
      <c r="M576" s="893"/>
      <c r="N576" s="893"/>
      <c r="O576" s="893"/>
      <c r="P576" s="888"/>
      <c r="Q576" s="1170">
        <v>-51.22</v>
      </c>
      <c r="R576" s="900"/>
      <c r="S576" s="1272"/>
      <c r="T576" s="900"/>
      <c r="U576" s="1006" t="s">
        <v>10612</v>
      </c>
      <c r="V576" s="1006"/>
      <c r="W576" s="1003" t="s">
        <v>10690</v>
      </c>
    </row>
    <row r="577" spans="3:23" ht="14.5" customHeight="1">
      <c r="C577" s="981" t="s">
        <v>6080</v>
      </c>
      <c r="D577" s="982" t="str">
        <f t="shared" si="70"/>
        <v>151202</v>
      </c>
      <c r="E577" s="983" t="s">
        <v>6081</v>
      </c>
      <c r="F577" s="982" t="str">
        <f t="shared" si="71"/>
        <v>1512021</v>
      </c>
      <c r="G577" s="1103" t="str">
        <f>IF(F577="",G573,F577)</f>
        <v>1512021</v>
      </c>
      <c r="H577" s="1102"/>
      <c r="I577" s="947" t="str">
        <f>IF(H577="","",CONCATENATE(G577,H577))</f>
        <v/>
      </c>
      <c r="J577" s="1028" t="s">
        <v>6082</v>
      </c>
      <c r="K577" s="897"/>
      <c r="L577" s="889"/>
      <c r="M577" s="889"/>
      <c r="N577" s="889"/>
      <c r="O577" s="889"/>
      <c r="P577" s="881">
        <f t="shared" si="72"/>
        <v>0</v>
      </c>
      <c r="Q577" s="1185">
        <v>0</v>
      </c>
      <c r="R577" s="880"/>
      <c r="S577" s="1270"/>
      <c r="T577" s="880"/>
      <c r="U577" s="993"/>
      <c r="V577" s="993"/>
      <c r="W577" s="986" t="s">
        <v>10696</v>
      </c>
    </row>
    <row r="578" spans="3:23" ht="14.5" customHeight="1">
      <c r="C578" s="994"/>
      <c r="E578" s="989"/>
      <c r="F578" s="988"/>
      <c r="G578" s="1095" t="str">
        <f t="shared" ref="G578" si="75">IF(F578="",G577,F578)</f>
        <v>1512021</v>
      </c>
      <c r="I578" s="944" t="str">
        <f t="shared" ref="I578:I581" si="76">IF(H578="","",CONCATENATE(G578,H578))</f>
        <v/>
      </c>
      <c r="J578" s="992" t="s">
        <v>10697</v>
      </c>
      <c r="K578" s="873"/>
      <c r="L578" s="886"/>
      <c r="M578" s="886"/>
      <c r="N578" s="886"/>
      <c r="O578" s="886"/>
      <c r="P578" s="896"/>
      <c r="Q578" s="1167">
        <v>10.14</v>
      </c>
      <c r="R578" s="882"/>
      <c r="S578" s="1269"/>
      <c r="T578" s="1254"/>
      <c r="U578" s="996" t="s">
        <v>10612</v>
      </c>
      <c r="V578" s="996"/>
      <c r="W578" s="992" t="s">
        <v>10690</v>
      </c>
    </row>
    <row r="579" spans="3:23" ht="14.5" customHeight="1">
      <c r="C579" s="994"/>
      <c r="E579" s="989"/>
      <c r="F579" s="988"/>
      <c r="G579" s="1095" t="str">
        <f>IF(F579="",G578,F579)</f>
        <v>1512021</v>
      </c>
      <c r="H579" s="1016" t="s">
        <v>5514</v>
      </c>
      <c r="I579" s="944" t="str">
        <f t="shared" si="76"/>
        <v>1512021601</v>
      </c>
      <c r="J579" s="992" t="s">
        <v>10698</v>
      </c>
      <c r="K579" s="873"/>
      <c r="L579" s="886"/>
      <c r="M579" s="886"/>
      <c r="N579" s="886"/>
      <c r="O579" s="886"/>
      <c r="P579" s="896"/>
      <c r="Q579" s="1167">
        <v>0</v>
      </c>
      <c r="R579" s="882"/>
      <c r="S579" s="1269"/>
      <c r="T579" s="1254"/>
      <c r="U579" s="996" t="s">
        <v>10693</v>
      </c>
      <c r="V579" s="996"/>
      <c r="W579" s="992" t="s">
        <v>10699</v>
      </c>
    </row>
    <row r="580" spans="3:23" ht="14.5" customHeight="1">
      <c r="C580" s="994"/>
      <c r="E580" s="989"/>
      <c r="F580" s="988"/>
      <c r="G580" s="1095" t="str">
        <f t="shared" ref="G580:G581" si="77">IF(F580="",G579,F580)</f>
        <v>1512021</v>
      </c>
      <c r="H580" s="1016" t="s">
        <v>10700</v>
      </c>
      <c r="I580" s="944" t="str">
        <f t="shared" si="76"/>
        <v>1512021602</v>
      </c>
      <c r="J580" s="992" t="s">
        <v>10701</v>
      </c>
      <c r="K580" s="873"/>
      <c r="L580" s="886"/>
      <c r="M580" s="886"/>
      <c r="N580" s="886"/>
      <c r="O580" s="886"/>
      <c r="P580" s="896"/>
      <c r="Q580" s="1167">
        <v>0</v>
      </c>
      <c r="R580" s="882"/>
      <c r="S580" s="1269"/>
      <c r="T580" s="1254"/>
      <c r="U580" s="996" t="s">
        <v>10389</v>
      </c>
      <c r="V580" s="996"/>
      <c r="W580" s="992" t="s">
        <v>10699</v>
      </c>
    </row>
    <row r="581" spans="3:23" ht="14.5" customHeight="1">
      <c r="C581" s="994"/>
      <c r="E581" s="989"/>
      <c r="F581" s="988"/>
      <c r="G581" s="1095" t="str">
        <f t="shared" si="77"/>
        <v>1512021</v>
      </c>
      <c r="H581" s="1016" t="s">
        <v>10327</v>
      </c>
      <c r="I581" s="944" t="str">
        <f t="shared" si="76"/>
        <v>1512021603</v>
      </c>
      <c r="J581" s="992" t="s">
        <v>10702</v>
      </c>
      <c r="K581" s="873"/>
      <c r="L581" s="886"/>
      <c r="M581" s="886"/>
      <c r="N581" s="886"/>
      <c r="O581" s="886"/>
      <c r="P581" s="896"/>
      <c r="Q581" s="1167">
        <v>8.2899999999999991</v>
      </c>
      <c r="R581" s="882"/>
      <c r="S581" s="1269"/>
      <c r="T581" s="1254"/>
      <c r="U581" s="996" t="s">
        <v>10389</v>
      </c>
      <c r="V581" s="996"/>
      <c r="W581" s="992" t="s">
        <v>10694</v>
      </c>
    </row>
    <row r="582" spans="3:23" ht="14.5" customHeight="1">
      <c r="C582" s="1015"/>
      <c r="D582" s="999"/>
      <c r="E582" s="1000"/>
      <c r="F582" s="999"/>
      <c r="G582" s="1104" t="str">
        <f>IF(F582="",G579,F582)</f>
        <v>1512021</v>
      </c>
      <c r="H582" s="1005" t="s">
        <v>10456</v>
      </c>
      <c r="I582" s="1002" t="str">
        <f>IF(H582="","",CONCATENATE(G582,H582))</f>
        <v>1512021Y01</v>
      </c>
      <c r="J582" s="992" t="s">
        <v>10695</v>
      </c>
      <c r="K582" s="872"/>
      <c r="L582" s="893"/>
      <c r="M582" s="893"/>
      <c r="N582" s="893"/>
      <c r="O582" s="893"/>
      <c r="P582" s="888"/>
      <c r="Q582" s="1170">
        <v>-51.22</v>
      </c>
      <c r="R582" s="900"/>
      <c r="S582" s="1272"/>
      <c r="T582" s="900"/>
      <c r="U582" s="1006" t="s">
        <v>10612</v>
      </c>
      <c r="V582" s="1006"/>
      <c r="W582" s="1003" t="s">
        <v>10690</v>
      </c>
    </row>
    <row r="583" spans="3:23" ht="14.5" customHeight="1">
      <c r="C583" s="981" t="s">
        <v>6083</v>
      </c>
      <c r="D583" s="982" t="str">
        <f t="shared" si="70"/>
        <v>151209</v>
      </c>
      <c r="E583" s="983" t="s">
        <v>6084</v>
      </c>
      <c r="F583" s="982" t="str">
        <f t="shared" si="71"/>
        <v>1512099</v>
      </c>
      <c r="G583" s="1103" t="str">
        <f>IF(F583="",G577,F583)</f>
        <v>1512099</v>
      </c>
      <c r="H583" s="1102"/>
      <c r="I583" s="947" t="str">
        <f>IF(H583="","",CONCATENATE(G583,H583))</f>
        <v/>
      </c>
      <c r="J583" s="1028" t="s">
        <v>6085</v>
      </c>
      <c r="K583" s="897"/>
      <c r="L583" s="889"/>
      <c r="M583" s="889"/>
      <c r="N583" s="889"/>
      <c r="O583" s="889"/>
      <c r="P583" s="881">
        <f t="shared" si="72"/>
        <v>8525</v>
      </c>
      <c r="Q583" s="1169">
        <f>ROUND(SUM(Q584:Q589),0)</f>
        <v>8525</v>
      </c>
      <c r="R583" s="880"/>
      <c r="S583" s="1270"/>
      <c r="T583" s="880"/>
      <c r="U583" s="993"/>
      <c r="V583" s="993"/>
      <c r="W583" s="986"/>
    </row>
    <row r="584" spans="3:23" ht="14.5" customHeight="1">
      <c r="C584" s="994"/>
      <c r="E584" s="989"/>
      <c r="F584" s="988"/>
      <c r="G584" s="1095" t="str">
        <f>IF(F584="",G583,F584)</f>
        <v>1512099</v>
      </c>
      <c r="H584" s="1114" t="s">
        <v>10703</v>
      </c>
      <c r="I584" s="944" t="str">
        <f t="shared" ref="I584:I596" si="78">IF(H584="","",CONCATENATE(G584,H584))</f>
        <v>1512099101～104</v>
      </c>
      <c r="J584" s="992" t="s">
        <v>10704</v>
      </c>
      <c r="K584" s="873"/>
      <c r="L584" s="886"/>
      <c r="M584" s="886"/>
      <c r="N584" s="886"/>
      <c r="O584" s="886"/>
      <c r="P584" s="896"/>
      <c r="Q584" s="1167">
        <v>9198.89</v>
      </c>
      <c r="R584" s="882"/>
      <c r="S584" s="1269"/>
      <c r="T584" s="1254"/>
      <c r="U584" s="996" t="s">
        <v>10587</v>
      </c>
      <c r="V584" s="996"/>
      <c r="W584" s="992" t="s">
        <v>10705</v>
      </c>
    </row>
    <row r="585" spans="3:23" ht="14.5" customHeight="1">
      <c r="C585" s="994"/>
      <c r="E585" s="989"/>
      <c r="F585" s="988"/>
      <c r="G585" s="1095" t="str">
        <f t="shared" ref="G585:G589" si="79">IF(F585="",G584,F585)</f>
        <v>1512099</v>
      </c>
      <c r="H585" s="1114" t="s">
        <v>10706</v>
      </c>
      <c r="I585" s="944" t="str">
        <f t="shared" si="78"/>
        <v>1512099201～202</v>
      </c>
      <c r="J585" s="992" t="s">
        <v>10707</v>
      </c>
      <c r="K585" s="873"/>
      <c r="L585" s="886"/>
      <c r="M585" s="886"/>
      <c r="N585" s="886"/>
      <c r="O585" s="886"/>
      <c r="P585" s="896"/>
      <c r="Q585" s="1167">
        <v>33.58</v>
      </c>
      <c r="R585" s="882"/>
      <c r="S585" s="1269"/>
      <c r="T585" s="1254"/>
      <c r="U585" s="996" t="s">
        <v>10389</v>
      </c>
      <c r="V585" s="996"/>
      <c r="W585" s="992" t="s">
        <v>10389</v>
      </c>
    </row>
    <row r="586" spans="3:23" ht="14.5" customHeight="1">
      <c r="C586" s="994"/>
      <c r="E586" s="989"/>
      <c r="F586" s="988"/>
      <c r="G586" s="1095" t="str">
        <f t="shared" si="79"/>
        <v>1512099</v>
      </c>
      <c r="H586" s="1016" t="s">
        <v>5484</v>
      </c>
      <c r="I586" s="944" t="str">
        <f t="shared" si="78"/>
        <v>1512099301</v>
      </c>
      <c r="J586" s="992" t="s">
        <v>10708</v>
      </c>
      <c r="K586" s="873"/>
      <c r="L586" s="886"/>
      <c r="M586" s="886"/>
      <c r="N586" s="886"/>
      <c r="O586" s="886"/>
      <c r="P586" s="896"/>
      <c r="Q586" s="1167">
        <v>113.35</v>
      </c>
      <c r="R586" s="882"/>
      <c r="S586" s="1269"/>
      <c r="T586" s="1254"/>
      <c r="U586" s="996" t="s">
        <v>10389</v>
      </c>
      <c r="V586" s="996"/>
      <c r="W586" s="992" t="s">
        <v>10389</v>
      </c>
    </row>
    <row r="587" spans="3:23" ht="14.5" customHeight="1">
      <c r="C587" s="994"/>
      <c r="E587" s="989"/>
      <c r="F587" s="988"/>
      <c r="G587" s="1095" t="str">
        <f t="shared" si="79"/>
        <v>1512099</v>
      </c>
      <c r="H587" s="1114" t="s">
        <v>10709</v>
      </c>
      <c r="I587" s="944" t="str">
        <f t="shared" si="78"/>
        <v>1512099401～402</v>
      </c>
      <c r="J587" s="992" t="s">
        <v>10710</v>
      </c>
      <c r="K587" s="873"/>
      <c r="L587" s="886"/>
      <c r="M587" s="886"/>
      <c r="N587" s="886"/>
      <c r="O587" s="886"/>
      <c r="P587" s="896"/>
      <c r="Q587" s="1167">
        <v>0</v>
      </c>
      <c r="R587" s="882"/>
      <c r="S587" s="1269"/>
      <c r="T587" s="1254"/>
      <c r="U587" s="996" t="s">
        <v>10389</v>
      </c>
      <c r="V587" s="996"/>
      <c r="W587" s="992" t="s">
        <v>10389</v>
      </c>
    </row>
    <row r="588" spans="3:23" ht="14.5" customHeight="1">
      <c r="C588" s="994"/>
      <c r="E588" s="989"/>
      <c r="F588" s="988"/>
      <c r="G588" s="1095" t="str">
        <f t="shared" si="79"/>
        <v>1512099</v>
      </c>
      <c r="H588" s="1114" t="s">
        <v>10711</v>
      </c>
      <c r="I588" s="944" t="str">
        <f t="shared" si="78"/>
        <v>1512099501～504</v>
      </c>
      <c r="J588" s="992" t="s">
        <v>10712</v>
      </c>
      <c r="K588" s="873"/>
      <c r="L588" s="886"/>
      <c r="M588" s="886"/>
      <c r="N588" s="886"/>
      <c r="O588" s="886"/>
      <c r="P588" s="896"/>
      <c r="Q588" s="1167">
        <v>-807.72</v>
      </c>
      <c r="R588" s="882"/>
      <c r="S588" s="1269"/>
      <c r="T588" s="1254"/>
      <c r="U588" s="996" t="s">
        <v>10693</v>
      </c>
      <c r="V588" s="996"/>
      <c r="W588" s="992" t="s">
        <v>10694</v>
      </c>
    </row>
    <row r="589" spans="3:23" ht="14.5" customHeight="1">
      <c r="C589" s="1015"/>
      <c r="D589" s="999"/>
      <c r="E589" s="1000"/>
      <c r="F589" s="999"/>
      <c r="G589" s="1104" t="str">
        <f t="shared" si="79"/>
        <v>1512099</v>
      </c>
      <c r="H589" s="1005" t="s">
        <v>10456</v>
      </c>
      <c r="I589" s="1002" t="str">
        <f t="shared" si="78"/>
        <v>1512099Y01</v>
      </c>
      <c r="J589" s="1003" t="s">
        <v>10713</v>
      </c>
      <c r="K589" s="872"/>
      <c r="L589" s="893"/>
      <c r="M589" s="893"/>
      <c r="N589" s="893"/>
      <c r="O589" s="893"/>
      <c r="P589" s="888"/>
      <c r="Q589" s="1170">
        <v>-13.4</v>
      </c>
      <c r="R589" s="900"/>
      <c r="S589" s="1272"/>
      <c r="T589" s="900"/>
      <c r="U589" s="1006" t="s">
        <v>10587</v>
      </c>
      <c r="V589" s="1006"/>
      <c r="W589" s="1003" t="s">
        <v>10705</v>
      </c>
    </row>
    <row r="590" spans="3:23" ht="14.5" customHeight="1">
      <c r="C590" s="981" t="s">
        <v>6086</v>
      </c>
      <c r="D590" s="982" t="str">
        <f t="shared" si="70"/>
        <v>151301</v>
      </c>
      <c r="E590" s="983" t="s">
        <v>6087</v>
      </c>
      <c r="F590" s="982" t="str">
        <f t="shared" si="71"/>
        <v>1513011</v>
      </c>
      <c r="G590" s="1103" t="str">
        <f>IF(F590="",G589,F590)</f>
        <v>1513011</v>
      </c>
      <c r="H590" s="1102"/>
      <c r="I590" s="947" t="str">
        <f>IF(H590="","",CONCATENATE(G590,H590))</f>
        <v/>
      </c>
      <c r="J590" s="984" t="s">
        <v>184</v>
      </c>
      <c r="K590" s="897"/>
      <c r="L590" s="889"/>
      <c r="M590" s="889"/>
      <c r="N590" s="889"/>
      <c r="O590" s="889"/>
      <c r="P590" s="881">
        <f t="shared" si="72"/>
        <v>633</v>
      </c>
      <c r="Q590" s="1169">
        <f>ROUND(SUM(Q591:Q596),0)</f>
        <v>633</v>
      </c>
      <c r="R590" s="880"/>
      <c r="S590" s="1270"/>
      <c r="T590" s="880"/>
      <c r="U590" s="993"/>
      <c r="V590" s="993"/>
      <c r="W590" s="986"/>
    </row>
    <row r="591" spans="3:23" ht="14.5" customHeight="1">
      <c r="C591" s="994"/>
      <c r="E591" s="989"/>
      <c r="F591" s="988"/>
      <c r="G591" s="1095" t="str">
        <f t="shared" ref="G591:G596" si="80">IF(F591="",G590,F591)</f>
        <v>1513011</v>
      </c>
      <c r="H591" s="1016" t="s">
        <v>5534</v>
      </c>
      <c r="I591" s="944" t="str">
        <f>IF(H591="","",CONCATENATE(G591,H591))</f>
        <v>1513011101</v>
      </c>
      <c r="J591" s="991" t="s">
        <v>10714</v>
      </c>
      <c r="K591" s="873"/>
      <c r="L591" s="886"/>
      <c r="M591" s="886"/>
      <c r="N591" s="886"/>
      <c r="O591" s="886"/>
      <c r="P591" s="896"/>
      <c r="Q591" s="1167">
        <v>0</v>
      </c>
      <c r="R591" s="882"/>
      <c r="S591" s="1269"/>
      <c r="T591" s="1254"/>
      <c r="U591" s="996" t="s">
        <v>10587</v>
      </c>
      <c r="V591" s="996"/>
      <c r="W591" s="992" t="s">
        <v>10705</v>
      </c>
    </row>
    <row r="592" spans="3:23" ht="14.5" customHeight="1">
      <c r="C592" s="994"/>
      <c r="E592" s="989"/>
      <c r="F592" s="988"/>
      <c r="G592" s="1095" t="str">
        <f t="shared" si="80"/>
        <v>1513011</v>
      </c>
      <c r="H592" s="1016" t="s">
        <v>6000</v>
      </c>
      <c r="I592" s="944" t="str">
        <f t="shared" si="78"/>
        <v>1513011102</v>
      </c>
      <c r="J592" s="991" t="s">
        <v>10715</v>
      </c>
      <c r="K592" s="873"/>
      <c r="L592" s="886"/>
      <c r="M592" s="886"/>
      <c r="N592" s="886"/>
      <c r="O592" s="886"/>
      <c r="P592" s="896"/>
      <c r="Q592" s="1167">
        <v>513.79999999999995</v>
      </c>
      <c r="R592" s="882"/>
      <c r="S592" s="1269"/>
      <c r="T592" s="1254"/>
      <c r="U592" s="996" t="s">
        <v>10389</v>
      </c>
      <c r="V592" s="996"/>
      <c r="W592" s="992" t="s">
        <v>10389</v>
      </c>
    </row>
    <row r="593" spans="3:23" ht="14.5" customHeight="1">
      <c r="C593" s="994"/>
      <c r="E593" s="989"/>
      <c r="F593" s="988"/>
      <c r="G593" s="1095" t="str">
        <f t="shared" si="80"/>
        <v>1513011</v>
      </c>
      <c r="H593" s="1016" t="s">
        <v>6002</v>
      </c>
      <c r="I593" s="944" t="str">
        <f t="shared" si="78"/>
        <v>1513011103</v>
      </c>
      <c r="J593" s="991" t="s">
        <v>10716</v>
      </c>
      <c r="K593" s="873"/>
      <c r="L593" s="886"/>
      <c r="M593" s="886"/>
      <c r="N593" s="886"/>
      <c r="O593" s="886"/>
      <c r="P593" s="896"/>
      <c r="Q593" s="1167">
        <v>0</v>
      </c>
      <c r="R593" s="882"/>
      <c r="S593" s="1269"/>
      <c r="T593" s="1254"/>
      <c r="U593" s="996" t="s">
        <v>10389</v>
      </c>
      <c r="V593" s="996"/>
      <c r="W593" s="992" t="s">
        <v>10389</v>
      </c>
    </row>
    <row r="594" spans="3:23" ht="14.5" customHeight="1">
      <c r="C594" s="994"/>
      <c r="E594" s="989"/>
      <c r="F594" s="988"/>
      <c r="G594" s="1095" t="str">
        <f t="shared" si="80"/>
        <v>1513011</v>
      </c>
      <c r="H594" s="1016" t="s">
        <v>5602</v>
      </c>
      <c r="I594" s="944" t="str">
        <f t="shared" si="78"/>
        <v>1513011201</v>
      </c>
      <c r="J594" s="991" t="s">
        <v>10717</v>
      </c>
      <c r="K594" s="873"/>
      <c r="L594" s="886"/>
      <c r="M594" s="886"/>
      <c r="N594" s="886"/>
      <c r="O594" s="886"/>
      <c r="P594" s="896"/>
      <c r="Q594" s="1167">
        <v>35.01</v>
      </c>
      <c r="R594" s="882"/>
      <c r="S594" s="1269"/>
      <c r="T594" s="1254"/>
      <c r="U594" s="996" t="s">
        <v>10389</v>
      </c>
      <c r="V594" s="996"/>
      <c r="W594" s="992" t="s">
        <v>10389</v>
      </c>
    </row>
    <row r="595" spans="3:23" ht="14.5" customHeight="1">
      <c r="C595" s="994"/>
      <c r="E595" s="989"/>
      <c r="F595" s="988"/>
      <c r="G595" s="1095" t="str">
        <f t="shared" si="80"/>
        <v>1513011</v>
      </c>
      <c r="H595" s="1016" t="s">
        <v>5484</v>
      </c>
      <c r="I595" s="944" t="str">
        <f t="shared" si="78"/>
        <v>1513011301</v>
      </c>
      <c r="J595" s="991" t="s">
        <v>10718</v>
      </c>
      <c r="K595" s="873"/>
      <c r="L595" s="886"/>
      <c r="M595" s="886"/>
      <c r="N595" s="886"/>
      <c r="O595" s="886"/>
      <c r="P595" s="896"/>
      <c r="Q595" s="1167">
        <v>83.99</v>
      </c>
      <c r="R595" s="882"/>
      <c r="S595" s="1269"/>
      <c r="T595" s="1254"/>
      <c r="U595" s="996" t="s">
        <v>10389</v>
      </c>
      <c r="V595" s="996"/>
      <c r="W595" s="992" t="s">
        <v>10389</v>
      </c>
    </row>
    <row r="596" spans="3:23" ht="14.5" customHeight="1">
      <c r="C596" s="994"/>
      <c r="E596" s="989"/>
      <c r="F596" s="988"/>
      <c r="G596" s="1095" t="str">
        <f t="shared" si="80"/>
        <v>1513011</v>
      </c>
      <c r="H596" s="1016" t="s">
        <v>10456</v>
      </c>
      <c r="I596" s="944" t="str">
        <f t="shared" si="78"/>
        <v>1513011Y01</v>
      </c>
      <c r="J596" s="991" t="s">
        <v>10695</v>
      </c>
      <c r="K596" s="873"/>
      <c r="L596" s="886"/>
      <c r="M596" s="886"/>
      <c r="N596" s="886"/>
      <c r="O596" s="886"/>
      <c r="P596" s="896"/>
      <c r="Q596" s="1167">
        <v>0.3</v>
      </c>
      <c r="R596" s="882"/>
      <c r="S596" s="1269"/>
      <c r="T596" s="1254"/>
      <c r="U596" s="996" t="s">
        <v>10389</v>
      </c>
      <c r="V596" s="996"/>
      <c r="W596" s="992" t="s">
        <v>10389</v>
      </c>
    </row>
    <row r="597" spans="3:23" ht="14.5" customHeight="1">
      <c r="C597" s="981" t="s">
        <v>6088</v>
      </c>
      <c r="D597" s="982" t="str">
        <f t="shared" si="70"/>
        <v>151401</v>
      </c>
      <c r="E597" s="983" t="s">
        <v>6089</v>
      </c>
      <c r="F597" s="982" t="str">
        <f t="shared" si="71"/>
        <v>1514011</v>
      </c>
      <c r="G597" s="1103" t="str">
        <f>IF(F597="",G590,F597)</f>
        <v>1514011</v>
      </c>
      <c r="H597" s="1102"/>
      <c r="I597" s="947" t="str">
        <f>IF(H597="","",CONCATENATE(G597,H597))</f>
        <v/>
      </c>
      <c r="J597" s="984" t="s">
        <v>186</v>
      </c>
      <c r="K597" s="897"/>
      <c r="L597" s="889"/>
      <c r="M597" s="889"/>
      <c r="N597" s="889"/>
      <c r="O597" s="889"/>
      <c r="P597" s="881">
        <f t="shared" si="72"/>
        <v>5460</v>
      </c>
      <c r="Q597" s="1169">
        <f>ROUND(SUM(Q598:Q605),0)</f>
        <v>5460</v>
      </c>
      <c r="R597" s="880"/>
      <c r="S597" s="1270"/>
      <c r="T597" s="880"/>
      <c r="U597" s="993"/>
      <c r="V597" s="993"/>
      <c r="W597" s="986"/>
    </row>
    <row r="598" spans="3:23" ht="14.5" customHeight="1">
      <c r="C598" s="994"/>
      <c r="D598" s="995"/>
      <c r="E598" s="989"/>
      <c r="F598" s="995"/>
      <c r="G598" s="1095" t="str">
        <f>IF(F598="",G597,F598)</f>
        <v>1514011</v>
      </c>
      <c r="H598" s="1016" t="s">
        <v>5534</v>
      </c>
      <c r="I598" s="944" t="str">
        <f t="shared" ref="I598:I627" si="81">IF(H598="","",CONCATENATE(G598,H598))</f>
        <v>1514011101</v>
      </c>
      <c r="J598" s="992" t="s">
        <v>6090</v>
      </c>
      <c r="K598" s="873"/>
      <c r="L598" s="886"/>
      <c r="M598" s="886"/>
      <c r="N598" s="886"/>
      <c r="O598" s="886"/>
      <c r="P598" s="886"/>
      <c r="Q598" s="1167">
        <v>0</v>
      </c>
      <c r="R598" s="882"/>
      <c r="S598" s="1269"/>
      <c r="T598" s="1254"/>
      <c r="U598" s="996" t="s">
        <v>10587</v>
      </c>
      <c r="V598" s="996"/>
      <c r="W598" s="992" t="s">
        <v>10380</v>
      </c>
    </row>
    <row r="599" spans="3:23" ht="14.5" customHeight="1">
      <c r="C599" s="994"/>
      <c r="D599" s="995"/>
      <c r="E599" s="989"/>
      <c r="F599" s="995"/>
      <c r="G599" s="1095" t="str">
        <f t="shared" ref="G599:G605" si="82">IF(F599="",G598,F599)</f>
        <v>1514011</v>
      </c>
      <c r="H599" s="1016" t="s">
        <v>6000</v>
      </c>
      <c r="I599" s="944" t="str">
        <f t="shared" si="81"/>
        <v>1514011102</v>
      </c>
      <c r="J599" s="992" t="s">
        <v>10719</v>
      </c>
      <c r="K599" s="873"/>
      <c r="L599" s="886"/>
      <c r="M599" s="886"/>
      <c r="N599" s="886"/>
      <c r="O599" s="886"/>
      <c r="P599" s="886"/>
      <c r="Q599" s="1167">
        <v>49.37</v>
      </c>
      <c r="R599" s="882"/>
      <c r="S599" s="1269"/>
      <c r="T599" s="1254"/>
      <c r="U599" s="996" t="s">
        <v>10389</v>
      </c>
      <c r="V599" s="996"/>
      <c r="W599" s="992" t="s">
        <v>10705</v>
      </c>
    </row>
    <row r="600" spans="3:23" ht="14.5" customHeight="1">
      <c r="C600" s="994"/>
      <c r="D600" s="995"/>
      <c r="E600" s="989"/>
      <c r="F600" s="995"/>
      <c r="G600" s="1095" t="str">
        <f t="shared" si="82"/>
        <v>1514011</v>
      </c>
      <c r="H600" s="1114" t="s">
        <v>10720</v>
      </c>
      <c r="I600" s="944" t="str">
        <f t="shared" si="81"/>
        <v>1514011103～109</v>
      </c>
      <c r="J600" s="992" t="s">
        <v>10721</v>
      </c>
      <c r="K600" s="873"/>
      <c r="L600" s="886"/>
      <c r="M600" s="886"/>
      <c r="N600" s="886"/>
      <c r="O600" s="886"/>
      <c r="P600" s="886"/>
      <c r="Q600" s="1167">
        <v>0</v>
      </c>
      <c r="R600" s="882"/>
      <c r="S600" s="1269"/>
      <c r="T600" s="1254"/>
      <c r="U600" s="996" t="s">
        <v>10389</v>
      </c>
      <c r="V600" s="996"/>
      <c r="W600" s="992" t="s">
        <v>10380</v>
      </c>
    </row>
    <row r="601" spans="3:23" ht="14.5" customHeight="1">
      <c r="C601" s="994"/>
      <c r="D601" s="995"/>
      <c r="E601" s="989"/>
      <c r="F601" s="995"/>
      <c r="G601" s="1095" t="str">
        <f t="shared" si="82"/>
        <v>1514011</v>
      </c>
      <c r="H601" s="1016" t="s">
        <v>10722</v>
      </c>
      <c r="I601" s="944" t="str">
        <f t="shared" si="81"/>
        <v>1514011110</v>
      </c>
      <c r="J601" s="992" t="s">
        <v>10723</v>
      </c>
      <c r="K601" s="873"/>
      <c r="L601" s="886"/>
      <c r="M601" s="886"/>
      <c r="N601" s="886"/>
      <c r="O601" s="886"/>
      <c r="P601" s="886"/>
      <c r="Q601" s="1167">
        <v>285.01</v>
      </c>
      <c r="R601" s="882"/>
      <c r="S601" s="1269"/>
      <c r="T601" s="1254"/>
      <c r="U601" s="996" t="s">
        <v>10389</v>
      </c>
      <c r="V601" s="996"/>
      <c r="W601" s="992"/>
    </row>
    <row r="602" spans="3:23" ht="14.5" customHeight="1">
      <c r="C602" s="994"/>
      <c r="D602" s="995"/>
      <c r="E602" s="989"/>
      <c r="F602" s="995"/>
      <c r="G602" s="1095" t="str">
        <f t="shared" si="82"/>
        <v>1514011</v>
      </c>
      <c r="H602" s="1016" t="s">
        <v>10360</v>
      </c>
      <c r="I602" s="944" t="str">
        <f t="shared" si="81"/>
        <v>1514011111</v>
      </c>
      <c r="J602" s="992" t="s">
        <v>10724</v>
      </c>
      <c r="K602" s="873"/>
      <c r="L602" s="886"/>
      <c r="M602" s="886"/>
      <c r="N602" s="886"/>
      <c r="O602" s="886"/>
      <c r="P602" s="886"/>
      <c r="Q602" s="1167">
        <v>27</v>
      </c>
      <c r="R602" s="882"/>
      <c r="S602" s="1269"/>
      <c r="T602" s="1254"/>
      <c r="U602" s="996" t="s">
        <v>10389</v>
      </c>
      <c r="V602" s="996"/>
      <c r="W602" s="992"/>
    </row>
    <row r="603" spans="3:23" ht="14.5" customHeight="1">
      <c r="C603" s="994"/>
      <c r="D603" s="995"/>
      <c r="E603" s="989"/>
      <c r="F603" s="995"/>
      <c r="G603" s="1095" t="str">
        <f t="shared" si="82"/>
        <v>1514011</v>
      </c>
      <c r="H603" s="1016" t="s">
        <v>10362</v>
      </c>
      <c r="I603" s="944" t="str">
        <f t="shared" si="81"/>
        <v>1514011112</v>
      </c>
      <c r="J603" s="992" t="s">
        <v>10725</v>
      </c>
      <c r="K603" s="873"/>
      <c r="L603" s="886"/>
      <c r="M603" s="886"/>
      <c r="N603" s="886"/>
      <c r="O603" s="886"/>
      <c r="P603" s="886"/>
      <c r="Q603" s="1167">
        <v>0</v>
      </c>
      <c r="R603" s="882"/>
      <c r="S603" s="1269"/>
      <c r="T603" s="1254"/>
      <c r="U603" s="996" t="s">
        <v>10389</v>
      </c>
      <c r="V603" s="996"/>
      <c r="W603" s="992" t="s">
        <v>10380</v>
      </c>
    </row>
    <row r="604" spans="3:23" ht="14.5" customHeight="1">
      <c r="C604" s="994"/>
      <c r="D604" s="995"/>
      <c r="E604" s="989"/>
      <c r="F604" s="995"/>
      <c r="G604" s="1095" t="str">
        <f t="shared" si="82"/>
        <v>1514011</v>
      </c>
      <c r="H604" s="1016" t="s">
        <v>10139</v>
      </c>
      <c r="I604" s="944" t="str">
        <f t="shared" si="81"/>
        <v>1514011113</v>
      </c>
      <c r="J604" s="992" t="s">
        <v>10726</v>
      </c>
      <c r="K604" s="873"/>
      <c r="L604" s="886"/>
      <c r="M604" s="886"/>
      <c r="N604" s="886"/>
      <c r="O604" s="886"/>
      <c r="P604" s="886"/>
      <c r="Q604" s="1167">
        <v>686.96</v>
      </c>
      <c r="R604" s="882"/>
      <c r="S604" s="1269"/>
      <c r="T604" s="1254"/>
      <c r="U604" s="996" t="s">
        <v>10389</v>
      </c>
      <c r="V604" s="996"/>
      <c r="W604" s="992"/>
    </row>
    <row r="605" spans="3:23" ht="14.5" customHeight="1">
      <c r="C605" s="994"/>
      <c r="D605" s="995"/>
      <c r="E605" s="989"/>
      <c r="F605" s="995"/>
      <c r="G605" s="1095" t="str">
        <f t="shared" si="82"/>
        <v>1514011</v>
      </c>
      <c r="I605" s="944" t="str">
        <f t="shared" si="81"/>
        <v/>
      </c>
      <c r="J605" s="991" t="s">
        <v>6100</v>
      </c>
      <c r="K605" s="873"/>
      <c r="L605" s="886"/>
      <c r="M605" s="886"/>
      <c r="N605" s="886"/>
      <c r="O605" s="886"/>
      <c r="P605" s="886"/>
      <c r="Q605" s="1167">
        <v>4412.07</v>
      </c>
      <c r="R605" s="882"/>
      <c r="S605" s="1269"/>
      <c r="T605" s="1254"/>
      <c r="U605" s="996" t="s">
        <v>10389</v>
      </c>
      <c r="V605" s="996"/>
      <c r="W605" s="992" t="s">
        <v>10727</v>
      </c>
    </row>
    <row r="606" spans="3:23" ht="14.5" customHeight="1">
      <c r="C606" s="981" t="s">
        <v>6101</v>
      </c>
      <c r="D606" s="982" t="str">
        <f t="shared" ref="D606:D629" si="83">IF(C606="","",CONCATENATE(LEFT(C606,4),MID(C606,6,2)))</f>
        <v>151909</v>
      </c>
      <c r="E606" s="983" t="s">
        <v>10728</v>
      </c>
      <c r="F606" s="982" t="str">
        <f t="shared" ref="F606:F639" si="84">IF(E606="","",CONCATENATE(LEFT(E606,4),MID(E606,6,3)))</f>
        <v>1519099</v>
      </c>
      <c r="G606" s="1103" t="str">
        <f>IF(F606="",G605,F606)</f>
        <v>1519099</v>
      </c>
      <c r="H606" s="1102"/>
      <c r="I606" s="947" t="str">
        <f t="shared" si="81"/>
        <v/>
      </c>
      <c r="J606" s="984" t="s">
        <v>6102</v>
      </c>
      <c r="K606" s="897"/>
      <c r="L606" s="897"/>
      <c r="M606" s="897"/>
      <c r="N606" s="889"/>
      <c r="O606" s="889"/>
      <c r="P606" s="881">
        <f>Q606</f>
        <v>14814</v>
      </c>
      <c r="Q606" s="1169">
        <f>ROUND(SUM(Q607:Q617),0)</f>
        <v>14814</v>
      </c>
      <c r="R606" s="880"/>
      <c r="S606" s="1270"/>
      <c r="T606" s="880"/>
      <c r="U606" s="993"/>
      <c r="V606" s="993"/>
      <c r="W606" s="986"/>
    </row>
    <row r="607" spans="3:23" ht="14.5" customHeight="1">
      <c r="C607" s="994"/>
      <c r="D607" s="988" t="str">
        <f t="shared" si="83"/>
        <v/>
      </c>
      <c r="E607" s="989"/>
      <c r="F607" s="988" t="str">
        <f t="shared" si="84"/>
        <v/>
      </c>
      <c r="G607" s="1095" t="str">
        <f>IF(F607="",G606,F607)</f>
        <v>1519099</v>
      </c>
      <c r="H607" s="1114" t="s">
        <v>10729</v>
      </c>
      <c r="I607" s="944" t="str">
        <f>IF(H607="","",CONCATENATE(G607,H607))</f>
        <v>1519099101～102</v>
      </c>
      <c r="J607" s="991" t="s">
        <v>10730</v>
      </c>
      <c r="K607" s="873"/>
      <c r="L607" s="886"/>
      <c r="M607" s="886"/>
      <c r="N607" s="886"/>
      <c r="O607" s="886"/>
      <c r="P607" s="886"/>
      <c r="Q607" s="1167">
        <v>413.77</v>
      </c>
      <c r="R607" s="882"/>
      <c r="S607" s="1269"/>
      <c r="T607" s="1254"/>
      <c r="U607" s="996" t="s">
        <v>10587</v>
      </c>
      <c r="V607" s="996"/>
      <c r="W607" s="992" t="s">
        <v>10683</v>
      </c>
    </row>
    <row r="608" spans="3:23" ht="14.5" customHeight="1">
      <c r="C608" s="994"/>
      <c r="E608" s="989"/>
      <c r="F608" s="988"/>
      <c r="G608" s="1095" t="str">
        <f t="shared" ref="G608:G616" si="85">IF(F608="",G607,F608)</f>
        <v>1519099</v>
      </c>
      <c r="H608" s="1114" t="s">
        <v>10731</v>
      </c>
      <c r="I608" s="944" t="str">
        <f t="shared" ref="I608:I616" si="86">IF(H608="","",CONCATENATE(G608,H608))</f>
        <v>1519099201～203</v>
      </c>
      <c r="J608" s="991" t="s">
        <v>10732</v>
      </c>
      <c r="K608" s="873"/>
      <c r="L608" s="886"/>
      <c r="M608" s="886"/>
      <c r="N608" s="886"/>
      <c r="O608" s="886"/>
      <c r="P608" s="886"/>
      <c r="Q608" s="1167">
        <v>133.69</v>
      </c>
      <c r="R608" s="882"/>
      <c r="S608" s="1269"/>
      <c r="T608" s="1254"/>
      <c r="U608" s="996" t="s">
        <v>10389</v>
      </c>
      <c r="V608" s="996"/>
      <c r="W608" s="992" t="s">
        <v>10389</v>
      </c>
    </row>
    <row r="609" spans="3:23" ht="14.5" customHeight="1">
      <c r="C609" s="994"/>
      <c r="E609" s="989"/>
      <c r="F609" s="988"/>
      <c r="G609" s="1095" t="str">
        <f t="shared" si="85"/>
        <v>1519099</v>
      </c>
      <c r="H609" s="1016" t="s">
        <v>5484</v>
      </c>
      <c r="I609" s="944" t="str">
        <f t="shared" si="86"/>
        <v>1519099301</v>
      </c>
      <c r="J609" s="991" t="s">
        <v>10733</v>
      </c>
      <c r="K609" s="873"/>
      <c r="L609" s="886"/>
      <c r="M609" s="886"/>
      <c r="N609" s="886"/>
      <c r="O609" s="886"/>
      <c r="P609" s="886"/>
      <c r="Q609" s="1167">
        <v>0</v>
      </c>
      <c r="R609" s="882"/>
      <c r="S609" s="1269"/>
      <c r="T609" s="1254"/>
      <c r="U609" s="996" t="s">
        <v>10389</v>
      </c>
      <c r="V609" s="996"/>
      <c r="W609" s="992" t="s">
        <v>10389</v>
      </c>
    </row>
    <row r="610" spans="3:23" ht="14.5" customHeight="1">
      <c r="C610" s="994"/>
      <c r="E610" s="989"/>
      <c r="F610" s="988"/>
      <c r="G610" s="1095" t="str">
        <f t="shared" si="85"/>
        <v>1519099</v>
      </c>
      <c r="H610" s="1016" t="s">
        <v>10490</v>
      </c>
      <c r="I610" s="944" t="str">
        <f t="shared" si="86"/>
        <v>1519099Y01</v>
      </c>
      <c r="J610" s="991" t="s">
        <v>10734</v>
      </c>
      <c r="K610" s="873"/>
      <c r="L610" s="886"/>
      <c r="M610" s="886"/>
      <c r="N610" s="886"/>
      <c r="O610" s="886"/>
      <c r="P610" s="886"/>
      <c r="Q610" s="1167">
        <v>8.18</v>
      </c>
      <c r="R610" s="882"/>
      <c r="S610" s="1269"/>
      <c r="T610" s="1254"/>
      <c r="U610" s="996" t="s">
        <v>10389</v>
      </c>
      <c r="V610" s="996"/>
      <c r="W610" s="992" t="s">
        <v>10389</v>
      </c>
    </row>
    <row r="611" spans="3:23" ht="14.5" customHeight="1">
      <c r="C611" s="994"/>
      <c r="E611" s="989"/>
      <c r="F611" s="988"/>
      <c r="G611" s="1095" t="str">
        <f t="shared" si="85"/>
        <v>1519099</v>
      </c>
      <c r="H611" s="1114" t="s">
        <v>10735</v>
      </c>
      <c r="I611" s="944" t="str">
        <f t="shared" si="86"/>
        <v>1519099401～404</v>
      </c>
      <c r="J611" s="991" t="s">
        <v>10736</v>
      </c>
      <c r="K611" s="873"/>
      <c r="L611" s="886"/>
      <c r="M611" s="886"/>
      <c r="N611" s="886"/>
      <c r="O611" s="886"/>
      <c r="P611" s="886"/>
      <c r="Q611" s="1167">
        <v>696.02</v>
      </c>
      <c r="R611" s="882"/>
      <c r="S611" s="1269"/>
      <c r="T611" s="1254"/>
      <c r="U611" s="996" t="s">
        <v>10389</v>
      </c>
      <c r="V611" s="996"/>
      <c r="W611" s="992" t="s">
        <v>10389</v>
      </c>
    </row>
    <row r="612" spans="3:23" ht="14.5" customHeight="1">
      <c r="C612" s="994"/>
      <c r="E612" s="989"/>
      <c r="F612" s="988"/>
      <c r="G612" s="1095" t="str">
        <f t="shared" si="85"/>
        <v>1519099</v>
      </c>
      <c r="H612" s="1016" t="s">
        <v>5488</v>
      </c>
      <c r="I612" s="944" t="str">
        <f t="shared" si="86"/>
        <v>1519099501</v>
      </c>
      <c r="J612" s="991" t="s">
        <v>10737</v>
      </c>
      <c r="K612" s="873"/>
      <c r="L612" s="886"/>
      <c r="M612" s="886"/>
      <c r="N612" s="886"/>
      <c r="O612" s="886"/>
      <c r="P612" s="886"/>
      <c r="Q612" s="1167">
        <v>66.180000000000007</v>
      </c>
      <c r="R612" s="882"/>
      <c r="S612" s="1269"/>
      <c r="T612" s="1254"/>
      <c r="U612" s="996" t="s">
        <v>10389</v>
      </c>
      <c r="V612" s="996"/>
      <c r="W612" s="992" t="s">
        <v>10389</v>
      </c>
    </row>
    <row r="613" spans="3:23" ht="14.5" customHeight="1">
      <c r="C613" s="994"/>
      <c r="E613" s="989"/>
      <c r="F613" s="988"/>
      <c r="G613" s="1095" t="str">
        <f t="shared" si="85"/>
        <v>1519099</v>
      </c>
      <c r="H613" s="1016" t="s">
        <v>5514</v>
      </c>
      <c r="I613" s="944" t="str">
        <f t="shared" si="86"/>
        <v>1519099601</v>
      </c>
      <c r="J613" s="991" t="s">
        <v>10738</v>
      </c>
      <c r="K613" s="873"/>
      <c r="L613" s="886"/>
      <c r="M613" s="886"/>
      <c r="N613" s="886"/>
      <c r="O613" s="886"/>
      <c r="P613" s="886"/>
      <c r="Q613" s="1167">
        <v>0</v>
      </c>
      <c r="R613" s="882"/>
      <c r="S613" s="1269"/>
      <c r="T613" s="1254"/>
      <c r="U613" s="996" t="s">
        <v>10389</v>
      </c>
      <c r="V613" s="996"/>
      <c r="W613" s="992" t="s">
        <v>10389</v>
      </c>
    </row>
    <row r="614" spans="3:23" ht="14.5" customHeight="1">
      <c r="C614" s="994"/>
      <c r="E614" s="989"/>
      <c r="F614" s="988"/>
      <c r="G614" s="1095" t="str">
        <f t="shared" si="85"/>
        <v>1519099</v>
      </c>
      <c r="H614" s="1114" t="s">
        <v>10739</v>
      </c>
      <c r="I614" s="944" t="str">
        <f t="shared" si="86"/>
        <v>1519099701～702</v>
      </c>
      <c r="J614" s="991" t="s">
        <v>10740</v>
      </c>
      <c r="K614" s="873"/>
      <c r="L614" s="886"/>
      <c r="M614" s="886"/>
      <c r="N614" s="886"/>
      <c r="O614" s="886"/>
      <c r="P614" s="886"/>
      <c r="Q614" s="1167">
        <v>12846.64</v>
      </c>
      <c r="R614" s="882"/>
      <c r="S614" s="1269"/>
      <c r="T614" s="1254"/>
      <c r="U614" s="996" t="s">
        <v>10389</v>
      </c>
      <c r="V614" s="996"/>
      <c r="W614" s="992" t="s">
        <v>10389</v>
      </c>
    </row>
    <row r="615" spans="3:23" ht="14.5" customHeight="1">
      <c r="C615" s="994"/>
      <c r="E615" s="989"/>
      <c r="F615" s="988"/>
      <c r="G615" s="1095" t="str">
        <f t="shared" si="85"/>
        <v>1519099</v>
      </c>
      <c r="H615" s="1016" t="s">
        <v>6221</v>
      </c>
      <c r="I615" s="944" t="str">
        <f t="shared" si="86"/>
        <v>1519099801</v>
      </c>
      <c r="J615" s="991" t="s">
        <v>10741</v>
      </c>
      <c r="K615" s="873"/>
      <c r="L615" s="886"/>
      <c r="M615" s="886"/>
      <c r="N615" s="886"/>
      <c r="O615" s="886"/>
      <c r="P615" s="886"/>
      <c r="Q615" s="1167">
        <v>192.7</v>
      </c>
      <c r="R615" s="882"/>
      <c r="S615" s="1269"/>
      <c r="T615" s="1254"/>
      <c r="U615" s="996" t="s">
        <v>10389</v>
      </c>
      <c r="V615" s="996"/>
      <c r="W615" s="992" t="s">
        <v>10389</v>
      </c>
    </row>
    <row r="616" spans="3:23" ht="14.5" customHeight="1">
      <c r="C616" s="994"/>
      <c r="E616" s="989"/>
      <c r="F616" s="988"/>
      <c r="G616" s="1095" t="str">
        <f t="shared" si="85"/>
        <v>1519099</v>
      </c>
      <c r="H616" s="1114" t="s">
        <v>10742</v>
      </c>
      <c r="I616" s="944" t="str">
        <f t="shared" si="86"/>
        <v>1519099901～903</v>
      </c>
      <c r="J616" s="991" t="s">
        <v>10743</v>
      </c>
      <c r="K616" s="873"/>
      <c r="L616" s="886"/>
      <c r="M616" s="886"/>
      <c r="N616" s="886"/>
      <c r="O616" s="886"/>
      <c r="P616" s="886"/>
      <c r="Q616" s="1167">
        <v>590.98</v>
      </c>
      <c r="R616" s="882"/>
      <c r="S616" s="1269"/>
      <c r="T616" s="1254"/>
      <c r="U616" s="996" t="s">
        <v>10389</v>
      </c>
      <c r="V616" s="996"/>
      <c r="W616" s="992" t="s">
        <v>10389</v>
      </c>
    </row>
    <row r="617" spans="3:23" ht="14.5" customHeight="1">
      <c r="C617" s="1015"/>
      <c r="D617" s="999" t="str">
        <f t="shared" si="83"/>
        <v/>
      </c>
      <c r="E617" s="1000"/>
      <c r="F617" s="999" t="str">
        <f t="shared" si="84"/>
        <v/>
      </c>
      <c r="G617" s="1104" t="str">
        <f>IF(F617="",G616,F617)</f>
        <v>1519099</v>
      </c>
      <c r="H617" s="1005" t="s">
        <v>10475</v>
      </c>
      <c r="I617" s="1002" t="str">
        <f t="shared" si="81"/>
        <v>1519099Y02</v>
      </c>
      <c r="J617" s="978" t="s">
        <v>10744</v>
      </c>
      <c r="K617" s="872"/>
      <c r="L617" s="893"/>
      <c r="M617" s="893"/>
      <c r="N617" s="893"/>
      <c r="O617" s="893"/>
      <c r="P617" s="893"/>
      <c r="Q617" s="1170">
        <v>-134.29</v>
      </c>
      <c r="R617" s="900"/>
      <c r="S617" s="1272"/>
      <c r="T617" s="900"/>
      <c r="U617" s="1006" t="s">
        <v>10389</v>
      </c>
      <c r="V617" s="1006"/>
      <c r="W617" s="1003" t="s">
        <v>10122</v>
      </c>
    </row>
    <row r="618" spans="3:23" ht="14.5" customHeight="1">
      <c r="C618" s="981" t="s">
        <v>6107</v>
      </c>
      <c r="D618" s="982" t="str">
        <f t="shared" si="83"/>
        <v>152101</v>
      </c>
      <c r="E618" s="983" t="s">
        <v>6108</v>
      </c>
      <c r="F618" s="982" t="str">
        <f t="shared" si="84"/>
        <v>1521011</v>
      </c>
      <c r="G618" s="1103" t="str">
        <f t="shared" ref="G618:G621" si="87">IF(F618="",G617,F618)</f>
        <v>1521011</v>
      </c>
      <c r="H618" s="1102"/>
      <c r="I618" s="947" t="str">
        <f t="shared" si="81"/>
        <v/>
      </c>
      <c r="J618" s="984" t="s">
        <v>191</v>
      </c>
      <c r="K618" s="915"/>
      <c r="L618" s="880"/>
      <c r="M618" s="880"/>
      <c r="N618" s="880"/>
      <c r="O618" s="880"/>
      <c r="P618" s="907">
        <f t="shared" ref="P618:P632" si="88">Q618</f>
        <v>8512</v>
      </c>
      <c r="Q618" s="1169">
        <f>ROUND(SUM(Q619:Q621),0)</f>
        <v>8512</v>
      </c>
      <c r="R618" s="880"/>
      <c r="S618" s="1290">
        <f>'CT2015'!K560</f>
        <v>5.2</v>
      </c>
      <c r="T618" s="880">
        <f>ROUND(Q618*S618/100,0)</f>
        <v>443</v>
      </c>
      <c r="U618" s="993"/>
      <c r="V618" s="993"/>
      <c r="W618" s="986"/>
    </row>
    <row r="619" spans="3:23" ht="14.5" customHeight="1">
      <c r="C619" s="994"/>
      <c r="E619" s="989"/>
      <c r="F619" s="988"/>
      <c r="G619" s="1095" t="str">
        <f t="shared" si="87"/>
        <v>1521011</v>
      </c>
      <c r="H619" s="1114" t="s">
        <v>10745</v>
      </c>
      <c r="I619" s="944" t="str">
        <f t="shared" si="81"/>
        <v>1521011101～703</v>
      </c>
      <c r="J619" s="992" t="s">
        <v>10746</v>
      </c>
      <c r="K619" s="873"/>
      <c r="L619" s="886"/>
      <c r="M619" s="886"/>
      <c r="N619" s="886"/>
      <c r="O619" s="886"/>
      <c r="P619" s="896"/>
      <c r="Q619" s="1167">
        <v>6641.03</v>
      </c>
      <c r="R619" s="882"/>
      <c r="S619" s="1269"/>
      <c r="T619" s="1254"/>
      <c r="U619" s="996" t="s">
        <v>10587</v>
      </c>
      <c r="V619" s="996"/>
      <c r="W619" s="992" t="s">
        <v>10705</v>
      </c>
    </row>
    <row r="620" spans="3:23" ht="14.5" customHeight="1">
      <c r="C620" s="994"/>
      <c r="E620" s="989"/>
      <c r="F620" s="988"/>
      <c r="G620" s="1095" t="str">
        <f t="shared" si="87"/>
        <v>1521011</v>
      </c>
      <c r="H620" s="1016" t="s">
        <v>6221</v>
      </c>
      <c r="I620" s="944" t="str">
        <f t="shared" si="81"/>
        <v>1521011801</v>
      </c>
      <c r="J620" s="991" t="s">
        <v>10692</v>
      </c>
      <c r="K620" s="873"/>
      <c r="L620" s="886"/>
      <c r="M620" s="886"/>
      <c r="N620" s="886"/>
      <c r="O620" s="886"/>
      <c r="P620" s="896"/>
      <c r="Q620" s="1167">
        <v>1848.78</v>
      </c>
      <c r="R620" s="882"/>
      <c r="S620" s="1269"/>
      <c r="T620" s="1254"/>
      <c r="U620" s="996" t="s">
        <v>10693</v>
      </c>
      <c r="V620" s="996"/>
      <c r="W620" s="992" t="s">
        <v>10694</v>
      </c>
    </row>
    <row r="621" spans="3:23" ht="14.5" customHeight="1">
      <c r="C621" s="1015"/>
      <c r="D621" s="999"/>
      <c r="E621" s="1000"/>
      <c r="F621" s="999"/>
      <c r="G621" s="1104" t="str">
        <f t="shared" si="87"/>
        <v>1521011</v>
      </c>
      <c r="H621" s="1005" t="s">
        <v>10747</v>
      </c>
      <c r="I621" s="1002" t="str">
        <f t="shared" si="81"/>
        <v>1521011Y01</v>
      </c>
      <c r="J621" s="978" t="s">
        <v>10748</v>
      </c>
      <c r="K621" s="872"/>
      <c r="L621" s="893"/>
      <c r="M621" s="893"/>
      <c r="N621" s="893"/>
      <c r="O621" s="893"/>
      <c r="P621" s="888"/>
      <c r="Q621" s="1170">
        <v>22.12</v>
      </c>
      <c r="R621" s="900"/>
      <c r="S621" s="1272"/>
      <c r="T621" s="900"/>
      <c r="U621" s="1006" t="s">
        <v>10587</v>
      </c>
      <c r="V621" s="1006"/>
      <c r="W621" s="1003" t="s">
        <v>10705</v>
      </c>
    </row>
    <row r="622" spans="3:23" ht="14.5" customHeight="1">
      <c r="C622" s="981" t="s">
        <v>6109</v>
      </c>
      <c r="D622" s="982" t="str">
        <f t="shared" si="83"/>
        <v>152102</v>
      </c>
      <c r="E622" s="983" t="s">
        <v>6110</v>
      </c>
      <c r="F622" s="982" t="str">
        <f t="shared" si="84"/>
        <v>1521021</v>
      </c>
      <c r="G622" s="1103" t="str">
        <f>IF(F622="",G618,F622)</f>
        <v>1521021</v>
      </c>
      <c r="H622" s="1102"/>
      <c r="I622" s="947" t="str">
        <f t="shared" si="81"/>
        <v/>
      </c>
      <c r="J622" s="984" t="s">
        <v>192</v>
      </c>
      <c r="K622" s="897"/>
      <c r="L622" s="897"/>
      <c r="M622" s="897"/>
      <c r="N622" s="889"/>
      <c r="O622" s="889"/>
      <c r="P622" s="881">
        <f t="shared" si="88"/>
        <v>8176</v>
      </c>
      <c r="Q622" s="1169">
        <f>ROUND(SUM(Q623:Q625),0)</f>
        <v>8176</v>
      </c>
      <c r="R622" s="880"/>
      <c r="S622" s="1290">
        <f>'CT2015'!K561</f>
        <v>5.2</v>
      </c>
      <c r="T622" s="880">
        <f>ROUND(Q622*S622/100,0)</f>
        <v>425</v>
      </c>
      <c r="U622" s="993"/>
      <c r="V622" s="993"/>
      <c r="W622" s="986"/>
    </row>
    <row r="623" spans="3:23" ht="14.5" customHeight="1">
      <c r="C623" s="994"/>
      <c r="E623" s="989"/>
      <c r="F623" s="988"/>
      <c r="G623" s="1095" t="str">
        <f>IF(F623="",G622,F623)</f>
        <v>1521021</v>
      </c>
      <c r="H623" s="1114" t="s">
        <v>10749</v>
      </c>
      <c r="I623" s="944" t="str">
        <f t="shared" si="81"/>
        <v>1521021101～701</v>
      </c>
      <c r="J623" s="991" t="s">
        <v>10750</v>
      </c>
      <c r="K623" s="873"/>
      <c r="L623" s="873"/>
      <c r="M623" s="873"/>
      <c r="N623" s="886"/>
      <c r="O623" s="886"/>
      <c r="P623" s="896"/>
      <c r="Q623" s="1167">
        <v>9788.93</v>
      </c>
      <c r="R623" s="882"/>
      <c r="S623" s="1269"/>
      <c r="T623" s="1254"/>
      <c r="U623" s="996" t="s">
        <v>10587</v>
      </c>
      <c r="V623" s="996"/>
      <c r="W623" s="992" t="s">
        <v>10705</v>
      </c>
    </row>
    <row r="624" spans="3:23" ht="14.5" customHeight="1">
      <c r="C624" s="994"/>
      <c r="E624" s="989"/>
      <c r="F624" s="988"/>
      <c r="G624" s="1095" t="str">
        <f t="shared" ref="G624:G625" si="89">IF(F624="",G623,F624)</f>
        <v>1521021</v>
      </c>
      <c r="H624" s="1016" t="s">
        <v>6221</v>
      </c>
      <c r="I624" s="944" t="str">
        <f t="shared" si="81"/>
        <v>1521021801</v>
      </c>
      <c r="J624" s="991" t="s">
        <v>10692</v>
      </c>
      <c r="K624" s="873"/>
      <c r="L624" s="873"/>
      <c r="M624" s="873"/>
      <c r="N624" s="886"/>
      <c r="O624" s="886"/>
      <c r="P624" s="896"/>
      <c r="Q624" s="1167">
        <v>-1546.25</v>
      </c>
      <c r="R624" s="882"/>
      <c r="S624" s="1269"/>
      <c r="T624" s="1254"/>
      <c r="U624" s="996" t="s">
        <v>10693</v>
      </c>
      <c r="V624" s="996"/>
      <c r="W624" s="992" t="s">
        <v>10694</v>
      </c>
    </row>
    <row r="625" spans="1:23" ht="14.5" customHeight="1">
      <c r="C625" s="1015"/>
      <c r="D625" s="999"/>
      <c r="E625" s="1000"/>
      <c r="F625" s="999"/>
      <c r="G625" s="1104" t="str">
        <f t="shared" si="89"/>
        <v>1521021</v>
      </c>
      <c r="H625" s="1005" t="s">
        <v>10456</v>
      </c>
      <c r="I625" s="1002" t="str">
        <f t="shared" si="81"/>
        <v>1521021Y01</v>
      </c>
      <c r="J625" s="978" t="s">
        <v>10695</v>
      </c>
      <c r="K625" s="872"/>
      <c r="L625" s="872"/>
      <c r="M625" s="872"/>
      <c r="N625" s="893"/>
      <c r="O625" s="893"/>
      <c r="P625" s="888"/>
      <c r="Q625" s="1170">
        <v>-66.23</v>
      </c>
      <c r="R625" s="900"/>
      <c r="S625" s="1272"/>
      <c r="T625" s="900"/>
      <c r="U625" s="1006" t="s">
        <v>10587</v>
      </c>
      <c r="V625" s="1006"/>
      <c r="W625" s="1003" t="s">
        <v>10705</v>
      </c>
    </row>
    <row r="626" spans="1:23" ht="14.5" customHeight="1">
      <c r="C626" s="1023" t="s">
        <v>6111</v>
      </c>
      <c r="D626" s="1024" t="str">
        <f t="shared" si="83"/>
        <v>152209</v>
      </c>
      <c r="E626" s="1025" t="s">
        <v>6112</v>
      </c>
      <c r="F626" s="1024" t="str">
        <f t="shared" si="84"/>
        <v>1522099</v>
      </c>
      <c r="G626" s="1111" t="str">
        <f>IF(F626="",G622,F626)</f>
        <v>1522099</v>
      </c>
      <c r="H626" s="1112"/>
      <c r="I626" s="1113" t="str">
        <f t="shared" si="81"/>
        <v/>
      </c>
      <c r="J626" s="1026" t="s">
        <v>194</v>
      </c>
      <c r="K626" s="913"/>
      <c r="L626" s="913"/>
      <c r="M626" s="913"/>
      <c r="N626" s="912"/>
      <c r="O626" s="912"/>
      <c r="P626" s="914">
        <f t="shared" si="88"/>
        <v>7442</v>
      </c>
      <c r="Q626" s="1186">
        <v>7442</v>
      </c>
      <c r="R626" s="929"/>
      <c r="S626" s="1289">
        <f>'CT2015'!K562</f>
        <v>5.2</v>
      </c>
      <c r="T626" s="880">
        <f>ROUND(Q626*S626/100,0)</f>
        <v>387</v>
      </c>
      <c r="U626" s="1022" t="s">
        <v>10612</v>
      </c>
      <c r="V626" s="1022"/>
      <c r="W626" s="1027" t="s">
        <v>10690</v>
      </c>
    </row>
    <row r="627" spans="1:23" ht="14.5" customHeight="1">
      <c r="C627" s="1023" t="s">
        <v>6113</v>
      </c>
      <c r="D627" s="1024" t="str">
        <f t="shared" si="83"/>
        <v>152901</v>
      </c>
      <c r="E627" s="1025" t="s">
        <v>6114</v>
      </c>
      <c r="F627" s="1024" t="str">
        <f t="shared" si="84"/>
        <v>1529011</v>
      </c>
      <c r="G627" s="1111" t="str">
        <f t="shared" ref="G627:G631" si="90">IF(F627="",G626,F627)</f>
        <v>1529011</v>
      </c>
      <c r="H627" s="1112"/>
      <c r="I627" s="1113" t="str">
        <f t="shared" si="81"/>
        <v/>
      </c>
      <c r="J627" s="1026" t="s">
        <v>196</v>
      </c>
      <c r="K627" s="913"/>
      <c r="L627" s="913"/>
      <c r="M627" s="913"/>
      <c r="N627" s="912"/>
      <c r="O627" s="912"/>
      <c r="P627" s="914">
        <f t="shared" si="88"/>
        <v>3112</v>
      </c>
      <c r="Q627" s="1186">
        <v>3112</v>
      </c>
      <c r="R627" s="929"/>
      <c r="S627" s="1280"/>
      <c r="T627" s="929"/>
      <c r="U627" s="1022" t="s">
        <v>10612</v>
      </c>
      <c r="V627" s="1022"/>
      <c r="W627" s="1027" t="s">
        <v>10690</v>
      </c>
    </row>
    <row r="628" spans="1:23" ht="14.5" customHeight="1">
      <c r="C628" s="1023" t="s">
        <v>6115</v>
      </c>
      <c r="D628" s="1024" t="str">
        <f t="shared" si="83"/>
        <v>152902</v>
      </c>
      <c r="E628" s="1025" t="s">
        <v>6116</v>
      </c>
      <c r="F628" s="1024" t="str">
        <f t="shared" si="84"/>
        <v>1529021</v>
      </c>
      <c r="G628" s="1111" t="str">
        <f t="shared" si="90"/>
        <v>1529021</v>
      </c>
      <c r="H628" s="1112"/>
      <c r="I628" s="1113"/>
      <c r="J628" s="1026" t="s">
        <v>6117</v>
      </c>
      <c r="K628" s="913"/>
      <c r="L628" s="913"/>
      <c r="M628" s="913"/>
      <c r="N628" s="912"/>
      <c r="O628" s="912"/>
      <c r="P628" s="914">
        <f t="shared" si="88"/>
        <v>8361</v>
      </c>
      <c r="Q628" s="1186">
        <v>8361</v>
      </c>
      <c r="R628" s="929"/>
      <c r="S628" s="1280"/>
      <c r="T628" s="929"/>
      <c r="U628" s="1022" t="s">
        <v>10612</v>
      </c>
      <c r="V628" s="1022"/>
      <c r="W628" s="1027" t="s">
        <v>10690</v>
      </c>
    </row>
    <row r="629" spans="1:23" ht="14.5" customHeight="1">
      <c r="C629" s="981" t="s">
        <v>6118</v>
      </c>
      <c r="D629" s="982" t="str">
        <f t="shared" si="83"/>
        <v>152909</v>
      </c>
      <c r="E629" s="983" t="s">
        <v>10751</v>
      </c>
      <c r="F629" s="982" t="str">
        <f t="shared" si="84"/>
        <v>1529099</v>
      </c>
      <c r="G629" s="1103" t="str">
        <f t="shared" si="90"/>
        <v>1529099</v>
      </c>
      <c r="H629" s="1102"/>
      <c r="I629" s="947" t="str">
        <f>IF(H629="","",CONCATENATE(G629,H629))</f>
        <v/>
      </c>
      <c r="J629" s="984" t="s">
        <v>6119</v>
      </c>
      <c r="K629" s="915"/>
      <c r="L629" s="880"/>
      <c r="M629" s="880"/>
      <c r="N629" s="880"/>
      <c r="O629" s="880"/>
      <c r="P629" s="907">
        <f>Q629</f>
        <v>8830</v>
      </c>
      <c r="Q629" s="1169">
        <f>ROUND(Q630+Q631,0)</f>
        <v>8830</v>
      </c>
      <c r="R629" s="880"/>
      <c r="S629" s="1270"/>
      <c r="T629" s="880"/>
      <c r="U629" s="993" t="s">
        <v>10612</v>
      </c>
      <c r="V629" s="993"/>
      <c r="W629" s="986" t="s">
        <v>10705</v>
      </c>
    </row>
    <row r="630" spans="1:23" ht="14.5" customHeight="1">
      <c r="C630" s="994"/>
      <c r="E630" s="989"/>
      <c r="F630" s="988" t="str">
        <f t="shared" si="84"/>
        <v/>
      </c>
      <c r="G630" s="1095" t="str">
        <f t="shared" si="90"/>
        <v>1529099</v>
      </c>
      <c r="J630" s="991" t="s">
        <v>10752</v>
      </c>
      <c r="K630" s="873"/>
      <c r="L630" s="886"/>
      <c r="M630" s="886"/>
      <c r="N630" s="886"/>
      <c r="O630" s="886"/>
      <c r="P630" s="886"/>
      <c r="Q630" s="1167">
        <v>620.74</v>
      </c>
      <c r="R630" s="882"/>
      <c r="S630" s="1269"/>
      <c r="T630" s="1254"/>
      <c r="U630" s="996"/>
      <c r="V630" s="996"/>
      <c r="W630" s="992"/>
    </row>
    <row r="631" spans="1:23" ht="14.5" customHeight="1">
      <c r="C631" s="994"/>
      <c r="E631" s="989"/>
      <c r="F631" s="988" t="str">
        <f t="shared" si="84"/>
        <v/>
      </c>
      <c r="G631" s="1095" t="str">
        <f t="shared" si="90"/>
        <v>1529099</v>
      </c>
      <c r="J631" s="991" t="s">
        <v>10753</v>
      </c>
      <c r="K631" s="873"/>
      <c r="L631" s="886"/>
      <c r="M631" s="886"/>
      <c r="N631" s="886"/>
      <c r="O631" s="886"/>
      <c r="P631" s="886"/>
      <c r="Q631" s="1167">
        <v>8209.2099999999991</v>
      </c>
      <c r="R631" s="882"/>
      <c r="S631" s="1269"/>
      <c r="T631" s="1254"/>
      <c r="U631" s="996"/>
      <c r="V631" s="996"/>
      <c r="W631" s="992" t="s">
        <v>10754</v>
      </c>
    </row>
    <row r="632" spans="1:23" ht="14.5" customHeight="1">
      <c r="C632" s="981" t="s">
        <v>6124</v>
      </c>
      <c r="D632" s="982" t="str">
        <f>IF(C632="","",CONCATENATE(LEFT(C632,4),MID(C632,6,2)))</f>
        <v>161101</v>
      </c>
      <c r="E632" s="983" t="s">
        <v>6125</v>
      </c>
      <c r="F632" s="982" t="str">
        <f t="shared" si="84"/>
        <v>1611011</v>
      </c>
      <c r="G632" s="1103" t="str">
        <f>IF(F632="",G629,F632)</f>
        <v>1611011</v>
      </c>
      <c r="H632" s="1102"/>
      <c r="I632" s="947" t="str">
        <f>IF(H632="","",CONCATENATE(G632,H632))</f>
        <v/>
      </c>
      <c r="J632" s="984" t="s">
        <v>10755</v>
      </c>
      <c r="K632" s="889"/>
      <c r="L632" s="889"/>
      <c r="M632" s="889"/>
      <c r="N632" s="889"/>
      <c r="O632" s="889"/>
      <c r="P632" s="881">
        <f t="shared" si="88"/>
        <v>15901</v>
      </c>
      <c r="Q632" s="1185">
        <v>15901</v>
      </c>
      <c r="R632" s="880" t="s">
        <v>10756</v>
      </c>
      <c r="S632" s="1270"/>
      <c r="T632" s="880"/>
      <c r="U632" s="993" t="s">
        <v>10587</v>
      </c>
      <c r="V632" s="993"/>
      <c r="W632" s="1027" t="s">
        <v>10757</v>
      </c>
    </row>
    <row r="633" spans="1:23" ht="14.5" customHeight="1">
      <c r="C633" s="1023" t="s">
        <v>6126</v>
      </c>
      <c r="D633" s="1024" t="str">
        <f t="shared" ref="D633:D639" si="91">IF(C633="","",CONCATENATE(LEFT(C633,4),MID(C633,6,2)))</f>
        <v>161102</v>
      </c>
      <c r="E633" s="1025" t="s">
        <v>6127</v>
      </c>
      <c r="F633" s="1024" t="str">
        <f t="shared" si="84"/>
        <v>1611021</v>
      </c>
      <c r="G633" s="1111" t="str">
        <f>IF(F633="",#REF!,F633)</f>
        <v>1611021</v>
      </c>
      <c r="H633" s="1112"/>
      <c r="I633" s="1113" t="str">
        <f t="shared" ref="I633:I648" si="92">IF(H633="","",CONCATENATE(G633,H633))</f>
        <v/>
      </c>
      <c r="J633" s="1026" t="s">
        <v>6128</v>
      </c>
      <c r="K633" s="912"/>
      <c r="L633" s="912"/>
      <c r="M633" s="912"/>
      <c r="N633" s="912"/>
      <c r="O633" s="912"/>
      <c r="P633" s="914">
        <f>Q633</f>
        <v>3213</v>
      </c>
      <c r="Q633" s="1186">
        <v>3213</v>
      </c>
      <c r="R633" s="1029" t="s">
        <v>10758</v>
      </c>
      <c r="S633" s="1281"/>
      <c r="T633" s="1029"/>
      <c r="U633" s="1022" t="s">
        <v>10587</v>
      </c>
      <c r="V633" s="1022"/>
      <c r="W633" s="1027" t="s">
        <v>10757</v>
      </c>
    </row>
    <row r="634" spans="1:23" ht="14.5" customHeight="1">
      <c r="A634" s="1110"/>
      <c r="B634" s="1110"/>
      <c r="C634" s="1015" t="s">
        <v>6129</v>
      </c>
      <c r="D634" s="999" t="str">
        <f t="shared" si="91"/>
        <v>161103</v>
      </c>
      <c r="E634" s="1000" t="s">
        <v>6130</v>
      </c>
      <c r="F634" s="999" t="str">
        <f t="shared" si="84"/>
        <v>1611031</v>
      </c>
      <c r="G634" s="1104" t="str">
        <f>IF(F634="",#REF!,F634)</f>
        <v>1611031</v>
      </c>
      <c r="H634" s="1005"/>
      <c r="I634" s="1002" t="str">
        <f t="shared" si="92"/>
        <v/>
      </c>
      <c r="J634" s="1030" t="s">
        <v>205</v>
      </c>
      <c r="K634" s="872"/>
      <c r="L634" s="872"/>
      <c r="M634" s="872"/>
      <c r="N634" s="893"/>
      <c r="O634" s="893"/>
      <c r="P634" s="888">
        <f>Q634</f>
        <v>2353</v>
      </c>
      <c r="Q634" s="1187">
        <v>2353</v>
      </c>
      <c r="R634" s="1020" t="s">
        <v>10759</v>
      </c>
      <c r="S634" s="1278"/>
      <c r="T634" s="1020"/>
      <c r="U634" s="1006" t="s">
        <v>10587</v>
      </c>
      <c r="V634" s="1006"/>
      <c r="W634" s="1003" t="s">
        <v>10760</v>
      </c>
    </row>
    <row r="635" spans="1:23" ht="14.5" customHeight="1">
      <c r="C635" s="994" t="s">
        <v>6131</v>
      </c>
      <c r="D635" s="988" t="str">
        <f t="shared" si="91"/>
        <v>161909</v>
      </c>
      <c r="E635" s="989" t="s">
        <v>10761</v>
      </c>
      <c r="F635" s="988" t="str">
        <f t="shared" si="84"/>
        <v>1619099</v>
      </c>
      <c r="G635" s="1095" t="str">
        <f>IF(F635="",#REF!,F635)</f>
        <v>1619099</v>
      </c>
      <c r="I635" s="944" t="str">
        <f t="shared" si="92"/>
        <v/>
      </c>
      <c r="J635" s="990" t="s">
        <v>6132</v>
      </c>
      <c r="K635" s="886"/>
      <c r="L635" s="886"/>
      <c r="M635" s="886"/>
      <c r="N635" s="886"/>
      <c r="O635" s="886"/>
      <c r="P635" s="896">
        <f>Q635</f>
        <v>22755</v>
      </c>
      <c r="Q635" s="1161">
        <f>ROUND(Q636+Q637,0)</f>
        <v>22755</v>
      </c>
      <c r="R635" s="882"/>
      <c r="S635" s="1269"/>
      <c r="T635" s="1254"/>
      <c r="U635" s="996"/>
      <c r="V635" s="996"/>
      <c r="W635" s="992"/>
    </row>
    <row r="636" spans="1:23" ht="14.5" customHeight="1">
      <c r="C636" s="987"/>
      <c r="D636" s="988" t="str">
        <f t="shared" si="91"/>
        <v/>
      </c>
      <c r="E636" s="989"/>
      <c r="F636" s="988" t="str">
        <f t="shared" si="84"/>
        <v/>
      </c>
      <c r="G636" s="1095" t="str">
        <f>IF(F636="",G635,F636)</f>
        <v>1619099</v>
      </c>
      <c r="I636" s="944" t="str">
        <f t="shared" si="92"/>
        <v/>
      </c>
      <c r="J636" s="991" t="s">
        <v>10762</v>
      </c>
      <c r="K636" s="873"/>
      <c r="L636" s="886"/>
      <c r="M636" s="886"/>
      <c r="N636" s="886"/>
      <c r="O636" s="886"/>
      <c r="P636" s="886"/>
      <c r="Q636" s="1167">
        <v>11026.74</v>
      </c>
      <c r="R636" s="882"/>
      <c r="S636" s="1269"/>
      <c r="T636" s="1254"/>
      <c r="U636" s="996" t="s">
        <v>10587</v>
      </c>
      <c r="V636" s="996"/>
      <c r="W636" s="992" t="s">
        <v>10763</v>
      </c>
    </row>
    <row r="637" spans="1:23" ht="14.5" customHeight="1">
      <c r="C637" s="987"/>
      <c r="D637" s="988" t="str">
        <f t="shared" si="91"/>
        <v/>
      </c>
      <c r="E637" s="989"/>
      <c r="F637" s="988" t="str">
        <f t="shared" si="84"/>
        <v/>
      </c>
      <c r="G637" s="1095" t="str">
        <f>IF(F637="",G636,F637)</f>
        <v>1619099</v>
      </c>
      <c r="I637" s="944" t="str">
        <f t="shared" si="92"/>
        <v/>
      </c>
      <c r="J637" s="991" t="s">
        <v>10764</v>
      </c>
      <c r="K637" s="873"/>
      <c r="L637" s="873"/>
      <c r="M637" s="873"/>
      <c r="N637" s="886"/>
      <c r="O637" s="886"/>
      <c r="P637" s="886"/>
      <c r="Q637" s="1167">
        <v>11728.49</v>
      </c>
      <c r="R637" s="882"/>
      <c r="S637" s="1269"/>
      <c r="T637" s="1254"/>
      <c r="U637" s="996" t="s">
        <v>10587</v>
      </c>
      <c r="V637" s="996"/>
      <c r="W637" s="992" t="s">
        <v>10763</v>
      </c>
    </row>
    <row r="638" spans="1:23" ht="14.5" customHeight="1">
      <c r="C638" s="1023" t="s">
        <v>6137</v>
      </c>
      <c r="D638" s="1024" t="str">
        <f t="shared" si="91"/>
        <v>162101</v>
      </c>
      <c r="E638" s="1025" t="s">
        <v>6138</v>
      </c>
      <c r="F638" s="1024" t="str">
        <f t="shared" si="84"/>
        <v>1621011</v>
      </c>
      <c r="G638" s="1111" t="str">
        <f>IF(F638="",G637,F638)</f>
        <v>1621011</v>
      </c>
      <c r="H638" s="1112"/>
      <c r="I638" s="1113" t="str">
        <f t="shared" si="92"/>
        <v/>
      </c>
      <c r="J638" s="1026" t="s">
        <v>6139</v>
      </c>
      <c r="K638" s="916"/>
      <c r="L638" s="913"/>
      <c r="M638" s="913"/>
      <c r="N638" s="912"/>
      <c r="O638" s="912"/>
      <c r="P638" s="914">
        <f>Q638</f>
        <v>19119</v>
      </c>
      <c r="Q638" s="1186">
        <v>19119</v>
      </c>
      <c r="R638" s="929"/>
      <c r="S638" s="1280"/>
      <c r="T638" s="929"/>
      <c r="U638" s="1031" t="s">
        <v>10587</v>
      </c>
      <c r="V638" s="1022"/>
      <c r="W638" s="1027" t="s">
        <v>10763</v>
      </c>
    </row>
    <row r="639" spans="1:23" ht="14.5" customHeight="1">
      <c r="C639" s="981" t="s">
        <v>6140</v>
      </c>
      <c r="D639" s="982" t="str">
        <f t="shared" si="91"/>
        <v>162102</v>
      </c>
      <c r="E639" s="983" t="s">
        <v>6141</v>
      </c>
      <c r="F639" s="982" t="str">
        <f t="shared" si="84"/>
        <v>1621021</v>
      </c>
      <c r="G639" s="1103" t="str">
        <f>IF(F639="",G649,F639)</f>
        <v>1621021</v>
      </c>
      <c r="H639" s="1102"/>
      <c r="I639" s="947" t="str">
        <f t="shared" si="92"/>
        <v/>
      </c>
      <c r="J639" s="984" t="s">
        <v>6142</v>
      </c>
      <c r="K639" s="897"/>
      <c r="L639" s="889"/>
      <c r="M639" s="889"/>
      <c r="N639" s="889"/>
      <c r="O639" s="889"/>
      <c r="P639" s="881">
        <f>Q639</f>
        <v>811</v>
      </c>
      <c r="Q639" s="1169">
        <f>ROUND(SUM(Q640:Q648),0)</f>
        <v>811</v>
      </c>
      <c r="R639" s="880"/>
      <c r="S639" s="1270"/>
      <c r="T639" s="880"/>
      <c r="U639" s="993"/>
      <c r="V639" s="993"/>
      <c r="W639" s="986" t="s">
        <v>10765</v>
      </c>
    </row>
    <row r="640" spans="1:23" ht="14.5" customHeight="1">
      <c r="C640" s="994"/>
      <c r="E640" s="989"/>
      <c r="F640" s="995"/>
      <c r="G640" s="1095" t="str">
        <f>IF(F640="",G639,F640)</f>
        <v>1621021</v>
      </c>
      <c r="H640" s="1016" t="s">
        <v>575</v>
      </c>
      <c r="I640" s="944" t="str">
        <f t="shared" si="92"/>
        <v>1621021101</v>
      </c>
      <c r="J640" s="991" t="s">
        <v>6143</v>
      </c>
      <c r="K640" s="873"/>
      <c r="L640" s="886"/>
      <c r="M640" s="886"/>
      <c r="N640" s="886"/>
      <c r="O640" s="886"/>
      <c r="P640" s="886"/>
      <c r="Q640" s="1167">
        <v>321</v>
      </c>
      <c r="R640" s="882"/>
      <c r="S640" s="1269"/>
      <c r="T640" s="1254"/>
      <c r="U640" s="996" t="s">
        <v>10766</v>
      </c>
      <c r="V640" s="996"/>
      <c r="W640" s="992"/>
    </row>
    <row r="641" spans="3:23" ht="14.5" customHeight="1">
      <c r="C641" s="994"/>
      <c r="D641" s="995"/>
      <c r="E641" s="989"/>
      <c r="F641" s="995"/>
      <c r="G641" s="1095" t="str">
        <f>IF(F641="",G640,F641)</f>
        <v>1621021</v>
      </c>
      <c r="H641" s="1016" t="s">
        <v>5359</v>
      </c>
      <c r="I641" s="944" t="str">
        <f t="shared" si="92"/>
        <v>1621021102</v>
      </c>
      <c r="J641" s="991" t="s">
        <v>6144</v>
      </c>
      <c r="K641" s="873"/>
      <c r="L641" s="886"/>
      <c r="M641" s="886"/>
      <c r="N641" s="886"/>
      <c r="O641" s="886"/>
      <c r="P641" s="886"/>
      <c r="Q641" s="1167">
        <v>0</v>
      </c>
      <c r="R641" s="882"/>
      <c r="S641" s="1269"/>
      <c r="T641" s="1254"/>
      <c r="U641" s="996" t="s">
        <v>10122</v>
      </c>
      <c r="V641" s="996"/>
      <c r="W641" s="992"/>
    </row>
    <row r="642" spans="3:23" ht="14.5" customHeight="1">
      <c r="C642" s="994"/>
      <c r="D642" s="995"/>
      <c r="E642" s="989"/>
      <c r="F642" s="995"/>
      <c r="G642" s="1095" t="str">
        <f t="shared" ref="G642:G648" si="93">IF(F642="",G641,F642)</f>
        <v>1621021</v>
      </c>
      <c r="H642" s="1016" t="s">
        <v>5361</v>
      </c>
      <c r="I642" s="944" t="str">
        <f t="shared" si="92"/>
        <v>1621021103</v>
      </c>
      <c r="J642" s="991" t="s">
        <v>6145</v>
      </c>
      <c r="K642" s="873"/>
      <c r="L642" s="886"/>
      <c r="M642" s="886"/>
      <c r="N642" s="886"/>
      <c r="O642" s="886"/>
      <c r="P642" s="886"/>
      <c r="Q642" s="1167">
        <v>10.38</v>
      </c>
      <c r="R642" s="882"/>
      <c r="S642" s="1269"/>
      <c r="T642" s="1254"/>
      <c r="U642" s="996" t="s">
        <v>10485</v>
      </c>
      <c r="V642" s="996"/>
      <c r="W642" s="992"/>
    </row>
    <row r="643" spans="3:23" ht="14.5" customHeight="1">
      <c r="C643" s="994"/>
      <c r="D643" s="995"/>
      <c r="E643" s="989"/>
      <c r="F643" s="995"/>
      <c r="G643" s="1095" t="str">
        <f t="shared" si="93"/>
        <v>1621021</v>
      </c>
      <c r="H643" s="1016" t="s">
        <v>6146</v>
      </c>
      <c r="I643" s="944" t="str">
        <f t="shared" si="92"/>
        <v>1621021104</v>
      </c>
      <c r="J643" s="991" t="s">
        <v>6147</v>
      </c>
      <c r="K643" s="873"/>
      <c r="L643" s="886"/>
      <c r="M643" s="886"/>
      <c r="N643" s="886"/>
      <c r="O643" s="886"/>
      <c r="P643" s="886"/>
      <c r="Q643" s="1167">
        <v>0</v>
      </c>
      <c r="R643" s="882"/>
      <c r="S643" s="1269"/>
      <c r="T643" s="1254"/>
      <c r="U643" s="996" t="s">
        <v>10766</v>
      </c>
      <c r="V643" s="996"/>
      <c r="W643" s="992"/>
    </row>
    <row r="644" spans="3:23" ht="14.5" customHeight="1">
      <c r="C644" s="994"/>
      <c r="D644" s="995"/>
      <c r="E644" s="989"/>
      <c r="F644" s="995"/>
      <c r="G644" s="1095" t="str">
        <f t="shared" si="93"/>
        <v>1621021</v>
      </c>
      <c r="H644" s="1016" t="s">
        <v>6148</v>
      </c>
      <c r="I644" s="944" t="str">
        <f t="shared" si="92"/>
        <v>1621021105</v>
      </c>
      <c r="J644" s="991" t="s">
        <v>6149</v>
      </c>
      <c r="K644" s="873"/>
      <c r="L644" s="886"/>
      <c r="M644" s="886"/>
      <c r="N644" s="886"/>
      <c r="O644" s="886"/>
      <c r="P644" s="886"/>
      <c r="Q644" s="1167">
        <v>0</v>
      </c>
      <c r="R644" s="882"/>
      <c r="S644" s="1269"/>
      <c r="T644" s="1254"/>
      <c r="U644" s="996" t="s">
        <v>10122</v>
      </c>
      <c r="V644" s="996"/>
      <c r="W644" s="992"/>
    </row>
    <row r="645" spans="3:23" ht="14.5" customHeight="1">
      <c r="C645" s="994"/>
      <c r="D645" s="995"/>
      <c r="E645" s="989"/>
      <c r="F645" s="995"/>
      <c r="G645" s="1095" t="str">
        <f t="shared" si="93"/>
        <v>1621021</v>
      </c>
      <c r="H645" s="1016" t="s">
        <v>6150</v>
      </c>
      <c r="I645" s="944" t="str">
        <f t="shared" si="92"/>
        <v>1621021106</v>
      </c>
      <c r="J645" s="991" t="s">
        <v>6151</v>
      </c>
      <c r="K645" s="873"/>
      <c r="L645" s="886"/>
      <c r="M645" s="886"/>
      <c r="N645" s="886"/>
      <c r="O645" s="886"/>
      <c r="P645" s="886"/>
      <c r="Q645" s="1167">
        <v>0</v>
      </c>
      <c r="R645" s="882"/>
      <c r="S645" s="1269"/>
      <c r="T645" s="1254"/>
      <c r="U645" s="996" t="s">
        <v>10122</v>
      </c>
      <c r="V645" s="996"/>
      <c r="W645" s="992"/>
    </row>
    <row r="646" spans="3:23" ht="14.5" customHeight="1">
      <c r="C646" s="994"/>
      <c r="D646" s="995"/>
      <c r="E646" s="989"/>
      <c r="F646" s="995"/>
      <c r="G646" s="1095" t="str">
        <f t="shared" si="93"/>
        <v>1621021</v>
      </c>
      <c r="H646" s="1016" t="s">
        <v>6152</v>
      </c>
      <c r="I646" s="944" t="str">
        <f t="shared" si="92"/>
        <v>1621021107</v>
      </c>
      <c r="J646" s="991" t="s">
        <v>6153</v>
      </c>
      <c r="K646" s="873"/>
      <c r="L646" s="886"/>
      <c r="M646" s="886"/>
      <c r="N646" s="886"/>
      <c r="O646" s="886"/>
      <c r="P646" s="886"/>
      <c r="Q646" s="1167">
        <v>480</v>
      </c>
      <c r="R646" s="882"/>
      <c r="S646" s="1269"/>
      <c r="T646" s="1254"/>
      <c r="U646" s="996" t="s">
        <v>10122</v>
      </c>
      <c r="V646" s="996"/>
      <c r="W646" s="992"/>
    </row>
    <row r="647" spans="3:23" ht="14.5" customHeight="1">
      <c r="C647" s="994"/>
      <c r="D647" s="995"/>
      <c r="E647" s="989"/>
      <c r="F647" s="995"/>
      <c r="G647" s="1095" t="str">
        <f t="shared" si="93"/>
        <v>1621021</v>
      </c>
      <c r="H647" s="1016" t="s">
        <v>5770</v>
      </c>
      <c r="I647" s="944" t="str">
        <f t="shared" si="92"/>
        <v>1621021108</v>
      </c>
      <c r="J647" s="991" t="s">
        <v>6154</v>
      </c>
      <c r="K647" s="873"/>
      <c r="L647" s="886"/>
      <c r="M647" s="886"/>
      <c r="N647" s="886"/>
      <c r="O647" s="886"/>
      <c r="P647" s="886"/>
      <c r="Q647" s="1167">
        <v>0</v>
      </c>
      <c r="R647" s="882"/>
      <c r="S647" s="1269"/>
      <c r="T647" s="1254"/>
      <c r="U647" s="996" t="s">
        <v>10122</v>
      </c>
      <c r="V647" s="996"/>
      <c r="W647" s="992"/>
    </row>
    <row r="648" spans="3:23" ht="14.5" customHeight="1">
      <c r="C648" s="994"/>
      <c r="D648" s="995"/>
      <c r="E648" s="989"/>
      <c r="F648" s="995"/>
      <c r="G648" s="1095" t="str">
        <f t="shared" si="93"/>
        <v>1621021</v>
      </c>
      <c r="H648" s="1016" t="s">
        <v>10456</v>
      </c>
      <c r="I648" s="1033" t="str">
        <f t="shared" si="92"/>
        <v>1621021Y01</v>
      </c>
      <c r="J648" s="991" t="s">
        <v>10767</v>
      </c>
      <c r="K648" s="873"/>
      <c r="L648" s="886"/>
      <c r="M648" s="886"/>
      <c r="N648" s="886"/>
      <c r="O648" s="886"/>
      <c r="P648" s="886"/>
      <c r="Q648" s="1167">
        <v>-0.32</v>
      </c>
      <c r="R648" s="882"/>
      <c r="S648" s="1269"/>
      <c r="T648" s="1254"/>
      <c r="U648" s="996" t="s">
        <v>10485</v>
      </c>
      <c r="V648" s="996"/>
      <c r="W648" s="992"/>
    </row>
    <row r="649" spans="3:23" ht="14.5" customHeight="1">
      <c r="C649" s="1023" t="s">
        <v>6156</v>
      </c>
      <c r="D649" s="1024" t="str">
        <f>IF(C649="","",CONCATENATE(LEFT(C649,4),MID(C649,6,2)))</f>
        <v>162103</v>
      </c>
      <c r="E649" s="1025" t="s">
        <v>6157</v>
      </c>
      <c r="F649" s="1024" t="str">
        <f>IF(E649="","",CONCATENATE(LEFT(E649,4),MID(E649,6,3)))</f>
        <v>1621031</v>
      </c>
      <c r="G649" s="1111" t="str">
        <f>IF(F649="",G638,F649)</f>
        <v>1621031</v>
      </c>
      <c r="H649" s="1112"/>
      <c r="I649" s="1113" t="str">
        <f>IF(H649="","",CONCATENATE(G649,H649))</f>
        <v/>
      </c>
      <c r="J649" s="1026" t="s">
        <v>212</v>
      </c>
      <c r="K649" s="916"/>
      <c r="L649" s="912"/>
      <c r="M649" s="912"/>
      <c r="N649" s="912"/>
      <c r="O649" s="912"/>
      <c r="P649" s="914">
        <f>Q649</f>
        <v>8560</v>
      </c>
      <c r="Q649" s="1186">
        <v>8560</v>
      </c>
      <c r="R649" s="929"/>
      <c r="S649" s="1280"/>
      <c r="T649" s="929"/>
      <c r="U649" s="1031" t="s">
        <v>10587</v>
      </c>
      <c r="V649" s="1022"/>
      <c r="W649" s="1027" t="s">
        <v>10763</v>
      </c>
    </row>
    <row r="650" spans="3:23" ht="14.5" customHeight="1">
      <c r="C650" s="1015" t="s">
        <v>6158</v>
      </c>
      <c r="D650" s="999" t="str">
        <f>IF(C650="","",CONCATENATE(LEFT(C650,4),MID(C650,6,2)))</f>
        <v>162109</v>
      </c>
      <c r="E650" s="1000" t="s">
        <v>6159</v>
      </c>
      <c r="F650" s="999" t="str">
        <f>IF(E650="","",CONCATENATE(LEFT(E650,4),MID(E650,6,3)))</f>
        <v>1621099</v>
      </c>
      <c r="G650" s="1111" t="str">
        <f>IF(F650="",G639,F650)</f>
        <v>1621099</v>
      </c>
      <c r="H650" s="1005"/>
      <c r="I650" s="1002"/>
      <c r="J650" s="1030" t="s">
        <v>6160</v>
      </c>
      <c r="K650" s="872"/>
      <c r="L650" s="893"/>
      <c r="M650" s="893"/>
      <c r="N650" s="893"/>
      <c r="O650" s="893"/>
      <c r="P650" s="914">
        <f>Q650</f>
        <v>7928</v>
      </c>
      <c r="Q650" s="1187">
        <v>7928</v>
      </c>
      <c r="R650" s="900"/>
      <c r="S650" s="1272"/>
      <c r="T650" s="900"/>
      <c r="U650" s="1006" t="s">
        <v>10587</v>
      </c>
      <c r="V650" s="1006"/>
      <c r="W650" s="1003" t="s">
        <v>10763</v>
      </c>
    </row>
    <row r="651" spans="3:23" ht="14.5" customHeight="1">
      <c r="C651" s="994" t="s">
        <v>6161</v>
      </c>
      <c r="D651" s="988" t="str">
        <f>IF(C651="","",CONCATENATE(LEFT(C651,4),MID(C651,6,2)))</f>
        <v>163101</v>
      </c>
      <c r="E651" s="989" t="s">
        <v>6162</v>
      </c>
      <c r="F651" s="988" t="str">
        <f>IF(E651="","",CONCATENATE(LEFT(E651,4),MID(E651,6,3)))</f>
        <v>1631011</v>
      </c>
      <c r="G651" s="1095" t="str">
        <f>IF(F651="",G639,F651)</f>
        <v>1631011</v>
      </c>
      <c r="I651" s="944" t="str">
        <f>IF(H651="","",CONCATENATE(G651,H651))</f>
        <v/>
      </c>
      <c r="J651" s="990" t="s">
        <v>215</v>
      </c>
      <c r="K651" s="873"/>
      <c r="L651" s="886"/>
      <c r="M651" s="886"/>
      <c r="N651" s="886"/>
      <c r="O651" s="886"/>
      <c r="P651" s="896">
        <f>Q651</f>
        <v>10730</v>
      </c>
      <c r="Q651" s="1161">
        <f>ROUND(SUM(Q652:Q659),0)</f>
        <v>10730</v>
      </c>
      <c r="R651" s="882"/>
      <c r="S651" s="1269"/>
      <c r="T651" s="1254"/>
      <c r="U651" s="996"/>
      <c r="V651" s="996"/>
      <c r="W651" s="992"/>
    </row>
    <row r="652" spans="3:23" ht="14.5" customHeight="1">
      <c r="C652" s="994"/>
      <c r="D652" s="995"/>
      <c r="E652" s="989"/>
      <c r="F652" s="995"/>
      <c r="G652" s="1095" t="str">
        <f>IF(F652="",G651,F652)</f>
        <v>1631011</v>
      </c>
      <c r="H652" s="1016" t="s">
        <v>5534</v>
      </c>
      <c r="I652" s="944" t="str">
        <f t="shared" ref="I652:I684" si="94">IF(H652="","",CONCATENATE(G652,H652))</f>
        <v>1631011101</v>
      </c>
      <c r="J652" s="991" t="s">
        <v>6163</v>
      </c>
      <c r="K652" s="873"/>
      <c r="L652" s="886"/>
      <c r="M652" s="886"/>
      <c r="N652" s="886"/>
      <c r="O652" s="886"/>
      <c r="P652" s="886"/>
      <c r="Q652" s="1167">
        <v>0</v>
      </c>
      <c r="R652" s="882"/>
      <c r="S652" s="1269"/>
      <c r="T652" s="1254"/>
      <c r="U652" s="996" t="s">
        <v>10766</v>
      </c>
      <c r="V652" s="996"/>
      <c r="W652" s="992"/>
    </row>
    <row r="653" spans="3:23" ht="14.5" customHeight="1">
      <c r="C653" s="994"/>
      <c r="D653" s="995"/>
      <c r="E653" s="989"/>
      <c r="F653" s="995"/>
      <c r="G653" s="1095" t="str">
        <f>IF(F653="",G652,F653)</f>
        <v>1631011</v>
      </c>
      <c r="H653" s="1016" t="s">
        <v>6000</v>
      </c>
      <c r="I653" s="944" t="str">
        <f t="shared" si="94"/>
        <v>1631011102</v>
      </c>
      <c r="J653" s="991" t="s">
        <v>6164</v>
      </c>
      <c r="K653" s="873"/>
      <c r="L653" s="886"/>
      <c r="M653" s="886"/>
      <c r="N653" s="886"/>
      <c r="O653" s="886"/>
      <c r="P653" s="886"/>
      <c r="Q653" s="1167">
        <v>0</v>
      </c>
      <c r="R653" s="882"/>
      <c r="S653" s="1269"/>
      <c r="T653" s="1254"/>
      <c r="U653" s="996" t="s">
        <v>10122</v>
      </c>
      <c r="V653" s="996"/>
      <c r="W653" s="992"/>
    </row>
    <row r="654" spans="3:23" ht="14.5" customHeight="1">
      <c r="C654" s="994"/>
      <c r="D654" s="995"/>
      <c r="E654" s="989"/>
      <c r="F654" s="995"/>
      <c r="G654" s="1095" t="str">
        <f t="shared" ref="G654:G659" si="95">IF(F654="",G653,F654)</f>
        <v>1631011</v>
      </c>
      <c r="H654" s="1016" t="s">
        <v>5361</v>
      </c>
      <c r="I654" s="944" t="str">
        <f t="shared" si="94"/>
        <v>1631011103</v>
      </c>
      <c r="J654" s="991" t="s">
        <v>6165</v>
      </c>
      <c r="K654" s="873"/>
      <c r="L654" s="886"/>
      <c r="M654" s="886"/>
      <c r="N654" s="886"/>
      <c r="O654" s="886"/>
      <c r="P654" s="886"/>
      <c r="Q654" s="1167">
        <v>10724</v>
      </c>
      <c r="R654" s="882"/>
      <c r="S654" s="1269"/>
      <c r="T654" s="1254"/>
      <c r="U654" s="996" t="s">
        <v>10122</v>
      </c>
      <c r="V654" s="996"/>
      <c r="W654" s="992"/>
    </row>
    <row r="655" spans="3:23" ht="14.5" customHeight="1">
      <c r="C655" s="994"/>
      <c r="D655" s="995"/>
      <c r="E655" s="989"/>
      <c r="F655" s="995"/>
      <c r="G655" s="1095" t="str">
        <f t="shared" si="95"/>
        <v>1631011</v>
      </c>
      <c r="H655" s="1016" t="s">
        <v>5363</v>
      </c>
      <c r="I655" s="944" t="str">
        <f t="shared" si="94"/>
        <v>1631011104</v>
      </c>
      <c r="J655" s="991" t="s">
        <v>6166</v>
      </c>
      <c r="K655" s="873"/>
      <c r="L655" s="886"/>
      <c r="M655" s="886"/>
      <c r="N655" s="886"/>
      <c r="O655" s="886"/>
      <c r="P655" s="886"/>
      <c r="Q655" s="1167">
        <v>0</v>
      </c>
      <c r="R655" s="882"/>
      <c r="S655" s="1269"/>
      <c r="T655" s="1254"/>
      <c r="U655" s="996" t="s">
        <v>10122</v>
      </c>
      <c r="V655" s="996"/>
      <c r="W655" s="992"/>
    </row>
    <row r="656" spans="3:23" ht="14.5" customHeight="1">
      <c r="C656" s="994"/>
      <c r="D656" s="995"/>
      <c r="E656" s="989"/>
      <c r="F656" s="995"/>
      <c r="G656" s="1095" t="str">
        <f t="shared" si="95"/>
        <v>1631011</v>
      </c>
      <c r="H656" s="1016" t="s">
        <v>5365</v>
      </c>
      <c r="I656" s="944" t="str">
        <f t="shared" si="94"/>
        <v>1631011105</v>
      </c>
      <c r="J656" s="991" t="s">
        <v>6167</v>
      </c>
      <c r="K656" s="873"/>
      <c r="L656" s="886"/>
      <c r="M656" s="886"/>
      <c r="N656" s="886"/>
      <c r="O656" s="886"/>
      <c r="P656" s="886"/>
      <c r="Q656" s="1167">
        <v>0</v>
      </c>
      <c r="R656" s="882"/>
      <c r="S656" s="1269"/>
      <c r="T656" s="1254"/>
      <c r="U656" s="996" t="s">
        <v>10122</v>
      </c>
      <c r="V656" s="996"/>
      <c r="W656" s="992"/>
    </row>
    <row r="657" spans="3:23" ht="14.5" customHeight="1">
      <c r="C657" s="994"/>
      <c r="D657" s="995"/>
      <c r="E657" s="989"/>
      <c r="F657" s="995"/>
      <c r="G657" s="1095" t="str">
        <f t="shared" si="95"/>
        <v>1631011</v>
      </c>
      <c r="H657" s="1016" t="s">
        <v>5367</v>
      </c>
      <c r="I657" s="944" t="str">
        <f t="shared" si="94"/>
        <v>1631011106</v>
      </c>
      <c r="J657" s="991" t="s">
        <v>6168</v>
      </c>
      <c r="K657" s="873"/>
      <c r="L657" s="886"/>
      <c r="M657" s="886"/>
      <c r="N657" s="886"/>
      <c r="O657" s="886"/>
      <c r="P657" s="886"/>
      <c r="Q657" s="1167">
        <v>0</v>
      </c>
      <c r="R657" s="882"/>
      <c r="S657" s="1269"/>
      <c r="T657" s="1254"/>
      <c r="U657" s="996" t="s">
        <v>10122</v>
      </c>
      <c r="V657" s="996"/>
      <c r="W657" s="992"/>
    </row>
    <row r="658" spans="3:23" ht="14.5" customHeight="1">
      <c r="C658" s="994"/>
      <c r="D658" s="995"/>
      <c r="E658" s="989"/>
      <c r="F658" s="995"/>
      <c r="G658" s="1095" t="str">
        <f t="shared" si="95"/>
        <v>1631011</v>
      </c>
      <c r="H658" s="1016" t="s">
        <v>5369</v>
      </c>
      <c r="I658" s="944" t="str">
        <f t="shared" si="94"/>
        <v>1631011107</v>
      </c>
      <c r="J658" s="991" t="s">
        <v>10768</v>
      </c>
      <c r="K658" s="873"/>
      <c r="L658" s="886"/>
      <c r="M658" s="886"/>
      <c r="N658" s="886"/>
      <c r="O658" s="886"/>
      <c r="P658" s="886"/>
      <c r="Q658" s="1167">
        <v>0</v>
      </c>
      <c r="R658" s="882"/>
      <c r="S658" s="1269"/>
      <c r="T658" s="1254"/>
      <c r="U658" s="996" t="s">
        <v>10122</v>
      </c>
      <c r="V658" s="996"/>
      <c r="W658" s="992"/>
    </row>
    <row r="659" spans="3:23" ht="14.5" customHeight="1">
      <c r="C659" s="994"/>
      <c r="D659" s="995"/>
      <c r="E659" s="989"/>
      <c r="F659" s="995"/>
      <c r="G659" s="1095" t="str">
        <f t="shared" si="95"/>
        <v>1631011</v>
      </c>
      <c r="H659" s="1016" t="s">
        <v>10456</v>
      </c>
      <c r="I659" s="944" t="str">
        <f t="shared" si="94"/>
        <v>1631011Y01</v>
      </c>
      <c r="J659" s="991" t="s">
        <v>10769</v>
      </c>
      <c r="K659" s="873"/>
      <c r="L659" s="886"/>
      <c r="M659" s="886"/>
      <c r="N659" s="886"/>
      <c r="O659" s="886"/>
      <c r="P659" s="886"/>
      <c r="Q659" s="1167">
        <v>5.75</v>
      </c>
      <c r="R659" s="882"/>
      <c r="S659" s="1269"/>
      <c r="T659" s="1254"/>
      <c r="U659" s="996" t="s">
        <v>10587</v>
      </c>
      <c r="V659" s="996"/>
      <c r="W659" s="992"/>
    </row>
    <row r="660" spans="3:23" ht="14.5" customHeight="1">
      <c r="C660" s="994"/>
      <c r="D660" s="995" t="str">
        <f>IF(C660="","",CONCATENATE(LEFT(C660,4),MID(C660,6,2)))</f>
        <v/>
      </c>
      <c r="E660" s="989" t="s">
        <v>6171</v>
      </c>
      <c r="F660" s="988" t="str">
        <f>IF(E660="","",CONCATENATE(LEFT(E660,4),MID(E660,6,3)))</f>
        <v>1631021</v>
      </c>
      <c r="G660" s="1095" t="str">
        <f>IF(F660="",G651,F660)</f>
        <v>1631021</v>
      </c>
      <c r="I660" s="944" t="str">
        <f t="shared" si="94"/>
        <v/>
      </c>
      <c r="J660" s="990" t="s">
        <v>217</v>
      </c>
      <c r="K660" s="873"/>
      <c r="L660" s="886"/>
      <c r="M660" s="886"/>
      <c r="N660" s="886"/>
      <c r="O660" s="886"/>
      <c r="P660" s="896"/>
      <c r="Q660" s="1174">
        <v>0</v>
      </c>
      <c r="R660" s="882"/>
      <c r="S660" s="1269"/>
      <c r="T660" s="1254"/>
      <c r="U660" s="996"/>
      <c r="V660" s="996"/>
      <c r="W660" s="992" t="s">
        <v>10770</v>
      </c>
    </row>
    <row r="661" spans="3:23" ht="14.5" customHeight="1">
      <c r="C661" s="1023" t="s">
        <v>6172</v>
      </c>
      <c r="D661" s="1024" t="str">
        <f>IF(C661="","",CONCATENATE(LEFT(C661,4),MID(C661,6,2)))</f>
        <v>163201</v>
      </c>
      <c r="E661" s="1025" t="s">
        <v>6173</v>
      </c>
      <c r="F661" s="1024" t="str">
        <f>IF(E661="","",CONCATENATE(LEFT(E661,4),MID(E661,6,3)))</f>
        <v>1632011</v>
      </c>
      <c r="G661" s="1111" t="str">
        <f t="shared" ref="G661:G678" si="96">IF(F661="",G660,F661)</f>
        <v>1632011</v>
      </c>
      <c r="H661" s="1112"/>
      <c r="I661" s="1113" t="str">
        <f t="shared" si="94"/>
        <v/>
      </c>
      <c r="J661" s="1026" t="s">
        <v>219</v>
      </c>
      <c r="K661" s="913"/>
      <c r="L661" s="912"/>
      <c r="M661" s="912"/>
      <c r="N661" s="912"/>
      <c r="O661" s="912"/>
      <c r="P661" s="914">
        <f>Q661</f>
        <v>33673</v>
      </c>
      <c r="Q661" s="1186">
        <v>33673</v>
      </c>
      <c r="R661" s="929"/>
      <c r="S661" s="1280"/>
      <c r="T661" s="929"/>
      <c r="U661" s="1022" t="s">
        <v>10587</v>
      </c>
      <c r="V661" s="1031" t="s">
        <v>10145</v>
      </c>
      <c r="W661" s="1027"/>
    </row>
    <row r="662" spans="3:23" ht="14.5" customHeight="1">
      <c r="C662" s="981" t="s">
        <v>6174</v>
      </c>
      <c r="D662" s="982" t="str">
        <f>IF(C662="","",CONCATENATE(LEFT(C662,4),MID(C662,6,2)))</f>
        <v>163202</v>
      </c>
      <c r="E662" s="983" t="s">
        <v>6175</v>
      </c>
      <c r="F662" s="982" t="str">
        <f>IF(E662="","",CONCATENATE(LEFT(E662,4),MID(E662,6,3)))</f>
        <v>1632021</v>
      </c>
      <c r="G662" s="1103" t="str">
        <f t="shared" si="96"/>
        <v>1632021</v>
      </c>
      <c r="H662" s="1102"/>
      <c r="I662" s="947" t="str">
        <f t="shared" si="94"/>
        <v/>
      </c>
      <c r="J662" s="984" t="s">
        <v>220</v>
      </c>
      <c r="K662" s="897"/>
      <c r="L662" s="897"/>
      <c r="M662" s="897"/>
      <c r="N662" s="889"/>
      <c r="O662" s="889"/>
      <c r="P662" s="881">
        <f>Q662</f>
        <v>45307</v>
      </c>
      <c r="Q662" s="1169">
        <f>ROUND(SUM(Q663:Q673),0)</f>
        <v>45307</v>
      </c>
      <c r="R662" s="880"/>
      <c r="S662" s="1270"/>
      <c r="T662" s="880"/>
      <c r="U662" s="985"/>
      <c r="V662" s="993"/>
      <c r="W662" s="986"/>
    </row>
    <row r="663" spans="3:23" ht="14.5" customHeight="1">
      <c r="C663" s="994"/>
      <c r="D663" s="995"/>
      <c r="E663" s="989"/>
      <c r="F663" s="995"/>
      <c r="G663" s="1095" t="str">
        <f t="shared" si="96"/>
        <v>1632021</v>
      </c>
      <c r="H663" s="1016" t="s">
        <v>5637</v>
      </c>
      <c r="I663" s="1033" t="str">
        <f t="shared" si="94"/>
        <v>1632021101</v>
      </c>
      <c r="J663" s="991" t="s">
        <v>6176</v>
      </c>
      <c r="K663" s="873"/>
      <c r="L663" s="873"/>
      <c r="M663" s="873"/>
      <c r="N663" s="873"/>
      <c r="O663" s="873"/>
      <c r="P663" s="873"/>
      <c r="Q663" s="1167">
        <v>12165</v>
      </c>
      <c r="R663" s="882"/>
      <c r="S663" s="1269"/>
      <c r="T663" s="1254"/>
      <c r="U663" s="991" t="s">
        <v>10766</v>
      </c>
      <c r="V663" s="996"/>
      <c r="W663" s="992"/>
    </row>
    <row r="664" spans="3:23" ht="14.5" customHeight="1">
      <c r="C664" s="994"/>
      <c r="D664" s="995"/>
      <c r="E664" s="989"/>
      <c r="F664" s="995"/>
      <c r="G664" s="1095" t="str">
        <f t="shared" si="96"/>
        <v>1632021</v>
      </c>
      <c r="H664" s="1016" t="s">
        <v>5657</v>
      </c>
      <c r="I664" s="1033" t="str">
        <f t="shared" si="94"/>
        <v>1632021102</v>
      </c>
      <c r="J664" s="991" t="s">
        <v>6177</v>
      </c>
      <c r="K664" s="873"/>
      <c r="L664" s="887"/>
      <c r="M664" s="887"/>
      <c r="N664" s="917"/>
      <c r="O664" s="917"/>
      <c r="P664" s="917"/>
      <c r="Q664" s="1188">
        <v>7207</v>
      </c>
      <c r="R664" s="1032"/>
      <c r="S664" s="1282"/>
      <c r="T664" s="1254"/>
      <c r="U664" s="991" t="s">
        <v>10122</v>
      </c>
      <c r="V664" s="1033"/>
      <c r="W664" s="992"/>
    </row>
    <row r="665" spans="3:23" ht="14.5" customHeight="1">
      <c r="C665" s="994"/>
      <c r="D665" s="995"/>
      <c r="E665" s="989"/>
      <c r="F665" s="995"/>
      <c r="G665" s="1095" t="str">
        <f t="shared" si="96"/>
        <v>1632021</v>
      </c>
      <c r="H665" s="1016" t="s">
        <v>5361</v>
      </c>
      <c r="I665" s="1033" t="str">
        <f t="shared" si="94"/>
        <v>1632021103</v>
      </c>
      <c r="J665" s="991" t="s">
        <v>6178</v>
      </c>
      <c r="K665" s="873"/>
      <c r="L665" s="887"/>
      <c r="M665" s="887"/>
      <c r="N665" s="917"/>
      <c r="O665" s="917"/>
      <c r="P665" s="917"/>
      <c r="Q665" s="1188">
        <v>1199</v>
      </c>
      <c r="R665" s="1032"/>
      <c r="S665" s="1282"/>
      <c r="T665" s="1254"/>
      <c r="U665" s="991" t="s">
        <v>10122</v>
      </c>
      <c r="V665" s="1033"/>
      <c r="W665" s="992"/>
    </row>
    <row r="666" spans="3:23" ht="14.5" customHeight="1">
      <c r="C666" s="994"/>
      <c r="D666" s="995"/>
      <c r="E666" s="989"/>
      <c r="F666" s="995"/>
      <c r="G666" s="1095" t="str">
        <f t="shared" si="96"/>
        <v>1632021</v>
      </c>
      <c r="H666" s="1016" t="s">
        <v>5363</v>
      </c>
      <c r="I666" s="1033" t="str">
        <f t="shared" si="94"/>
        <v>1632021104</v>
      </c>
      <c r="J666" s="991" t="s">
        <v>6179</v>
      </c>
      <c r="K666" s="873"/>
      <c r="L666" s="887"/>
      <c r="M666" s="887"/>
      <c r="N666" s="917"/>
      <c r="O666" s="917"/>
      <c r="P666" s="917"/>
      <c r="Q666" s="1188">
        <v>21451</v>
      </c>
      <c r="R666" s="1032"/>
      <c r="S666" s="1282"/>
      <c r="T666" s="1254"/>
      <c r="U666" s="991" t="s">
        <v>10122</v>
      </c>
      <c r="V666" s="1033"/>
      <c r="W666" s="992"/>
    </row>
    <row r="667" spans="3:23" ht="14.5" customHeight="1">
      <c r="C667" s="994"/>
      <c r="D667" s="995"/>
      <c r="E667" s="989"/>
      <c r="F667" s="995"/>
      <c r="G667" s="1095" t="str">
        <f t="shared" si="96"/>
        <v>1632021</v>
      </c>
      <c r="H667" s="1016" t="s">
        <v>5455</v>
      </c>
      <c r="I667" s="1033" t="str">
        <f t="shared" si="94"/>
        <v>1632021201</v>
      </c>
      <c r="J667" s="991" t="s">
        <v>6180</v>
      </c>
      <c r="K667" s="873"/>
      <c r="L667" s="887"/>
      <c r="M667" s="887"/>
      <c r="N667" s="917"/>
      <c r="O667" s="917"/>
      <c r="P667" s="917"/>
      <c r="Q667" s="1188">
        <v>0</v>
      </c>
      <c r="R667" s="1032"/>
      <c r="S667" s="1282"/>
      <c r="T667" s="1254"/>
      <c r="U667" s="991" t="s">
        <v>10122</v>
      </c>
      <c r="V667" s="1033"/>
      <c r="W667" s="992"/>
    </row>
    <row r="668" spans="3:23" ht="14.5" customHeight="1">
      <c r="C668" s="994"/>
      <c r="D668" s="995"/>
      <c r="E668" s="989"/>
      <c r="F668" s="995"/>
      <c r="G668" s="1095" t="str">
        <f t="shared" si="96"/>
        <v>1632021</v>
      </c>
      <c r="H668" s="1016" t="s">
        <v>5457</v>
      </c>
      <c r="I668" s="1033" t="str">
        <f t="shared" si="94"/>
        <v>1632021202</v>
      </c>
      <c r="J668" s="991" t="s">
        <v>6181</v>
      </c>
      <c r="K668" s="873"/>
      <c r="L668" s="887"/>
      <c r="M668" s="887"/>
      <c r="N668" s="917"/>
      <c r="O668" s="917"/>
      <c r="P668" s="917"/>
      <c r="Q668" s="1188">
        <v>0</v>
      </c>
      <c r="R668" s="1032"/>
      <c r="S668" s="1282"/>
      <c r="T668" s="1254"/>
      <c r="U668" s="991" t="s">
        <v>10122</v>
      </c>
      <c r="V668" s="1033"/>
      <c r="W668" s="992"/>
    </row>
    <row r="669" spans="3:23" ht="14.5" customHeight="1">
      <c r="C669" s="994"/>
      <c r="D669" s="995"/>
      <c r="E669" s="989"/>
      <c r="F669" s="995"/>
      <c r="G669" s="1095" t="str">
        <f t="shared" si="96"/>
        <v>1632021</v>
      </c>
      <c r="H669" s="1016" t="s">
        <v>5476</v>
      </c>
      <c r="I669" s="1033" t="str">
        <f t="shared" si="94"/>
        <v>1632021301</v>
      </c>
      <c r="J669" s="991" t="s">
        <v>6182</v>
      </c>
      <c r="K669" s="873"/>
      <c r="L669" s="887"/>
      <c r="M669" s="887"/>
      <c r="N669" s="917"/>
      <c r="O669" s="917"/>
      <c r="P669" s="917"/>
      <c r="Q669" s="1188">
        <v>0</v>
      </c>
      <c r="R669" s="1032"/>
      <c r="S669" s="1282"/>
      <c r="T669" s="1254"/>
      <c r="U669" s="991" t="s">
        <v>10122</v>
      </c>
      <c r="V669" s="1033"/>
      <c r="W669" s="992"/>
    </row>
    <row r="670" spans="3:23" ht="14.5" customHeight="1">
      <c r="C670" s="994"/>
      <c r="D670" s="995"/>
      <c r="E670" s="989"/>
      <c r="F670" s="995"/>
      <c r="G670" s="1095" t="str">
        <f t="shared" si="96"/>
        <v>1632021</v>
      </c>
      <c r="H670" s="1016" t="s">
        <v>5423</v>
      </c>
      <c r="I670" s="1033" t="str">
        <f t="shared" si="94"/>
        <v>1632021302</v>
      </c>
      <c r="J670" s="991" t="s">
        <v>6183</v>
      </c>
      <c r="K670" s="873"/>
      <c r="L670" s="887"/>
      <c r="M670" s="887"/>
      <c r="N670" s="917"/>
      <c r="O670" s="917"/>
      <c r="P670" s="917"/>
      <c r="Q670" s="1188">
        <v>0</v>
      </c>
      <c r="R670" s="1032"/>
      <c r="S670" s="1282"/>
      <c r="T670" s="1254"/>
      <c r="U670" s="991" t="s">
        <v>10122</v>
      </c>
      <c r="V670" s="1033"/>
      <c r="W670" s="992"/>
    </row>
    <row r="671" spans="3:23" ht="14.5" customHeight="1">
      <c r="C671" s="994"/>
      <c r="D671" s="995"/>
      <c r="E671" s="989"/>
      <c r="F671" s="995"/>
      <c r="G671" s="1095" t="str">
        <f t="shared" si="96"/>
        <v>1632021</v>
      </c>
      <c r="H671" s="1016" t="s">
        <v>5425</v>
      </c>
      <c r="I671" s="1033" t="str">
        <f t="shared" si="94"/>
        <v>1632021303</v>
      </c>
      <c r="J671" s="991" t="s">
        <v>6184</v>
      </c>
      <c r="K671" s="873"/>
      <c r="L671" s="887"/>
      <c r="M671" s="887"/>
      <c r="N671" s="917"/>
      <c r="O671" s="917"/>
      <c r="P671" s="917"/>
      <c r="Q671" s="1188">
        <v>3286</v>
      </c>
      <c r="R671" s="1032"/>
      <c r="S671" s="1282"/>
      <c r="T671" s="1254"/>
      <c r="U671" s="991" t="s">
        <v>10122</v>
      </c>
      <c r="V671" s="1033"/>
      <c r="W671" s="992"/>
    </row>
    <row r="672" spans="3:23" ht="14.5" customHeight="1">
      <c r="C672" s="994"/>
      <c r="D672" s="995"/>
      <c r="E672" s="989"/>
      <c r="F672" s="995"/>
      <c r="G672" s="1095" t="str">
        <f t="shared" si="96"/>
        <v>1632021</v>
      </c>
      <c r="H672" s="1016" t="s">
        <v>5427</v>
      </c>
      <c r="I672" s="1033" t="str">
        <f t="shared" si="94"/>
        <v>1632021304</v>
      </c>
      <c r="J672" s="991" t="s">
        <v>6185</v>
      </c>
      <c r="K672" s="873"/>
      <c r="L672" s="887"/>
      <c r="M672" s="887"/>
      <c r="N672" s="917"/>
      <c r="O672" s="917"/>
      <c r="P672" s="917"/>
      <c r="Q672" s="1188">
        <v>0</v>
      </c>
      <c r="R672" s="1032"/>
      <c r="S672" s="1282"/>
      <c r="T672" s="1254"/>
      <c r="U672" s="991" t="s">
        <v>10122</v>
      </c>
      <c r="V672" s="1033"/>
      <c r="W672" s="992"/>
    </row>
    <row r="673" spans="3:23" ht="14.5" customHeight="1">
      <c r="C673" s="1015"/>
      <c r="D673" s="1018"/>
      <c r="E673" s="1000"/>
      <c r="F673" s="1018"/>
      <c r="G673" s="1095" t="str">
        <f t="shared" si="96"/>
        <v>1632021</v>
      </c>
      <c r="H673" s="1005" t="s">
        <v>10490</v>
      </c>
      <c r="I673" s="1109" t="str">
        <f t="shared" si="94"/>
        <v>1632021Y01</v>
      </c>
      <c r="J673" s="978" t="s">
        <v>10771</v>
      </c>
      <c r="K673" s="872"/>
      <c r="L673" s="872"/>
      <c r="M673" s="872"/>
      <c r="N673" s="900"/>
      <c r="O673" s="918"/>
      <c r="P673" s="893"/>
      <c r="Q673" s="1170">
        <v>-1.49</v>
      </c>
      <c r="R673" s="900"/>
      <c r="S673" s="1269"/>
      <c r="T673" s="1254"/>
      <c r="U673" s="991" t="s">
        <v>10587</v>
      </c>
      <c r="V673" s="1006"/>
      <c r="W673" s="1003" t="s">
        <v>10478</v>
      </c>
    </row>
    <row r="674" spans="3:23" ht="14.5" customHeight="1">
      <c r="C674" s="981" t="s">
        <v>6186</v>
      </c>
      <c r="D674" s="982" t="str">
        <f>IF(C674="","",CONCATENATE(LEFT(C674,4),MID(C674,6,2)))</f>
        <v>163301</v>
      </c>
      <c r="E674" s="989" t="s">
        <v>6187</v>
      </c>
      <c r="F674" s="988" t="str">
        <f>IF(E674="","",CONCATENATE(LEFT(E674,4),MID(E674,6,3)))</f>
        <v>1633011</v>
      </c>
      <c r="G674" s="1103" t="str">
        <f>IF(F674="",G674,F674)</f>
        <v>1633011</v>
      </c>
      <c r="H674" s="1102"/>
      <c r="I674" s="1033" t="str">
        <f t="shared" si="94"/>
        <v/>
      </c>
      <c r="J674" s="984" t="s">
        <v>222</v>
      </c>
      <c r="K674" s="897"/>
      <c r="L674" s="889"/>
      <c r="M674" s="889"/>
      <c r="N674" s="889"/>
      <c r="O674" s="889"/>
      <c r="P674" s="881">
        <f>Q674</f>
        <v>39545</v>
      </c>
      <c r="Q674" s="1169">
        <f>ROUND(SUM(Q675:Q678),0)</f>
        <v>39545</v>
      </c>
      <c r="R674" s="880"/>
      <c r="S674" s="1270"/>
      <c r="T674" s="880"/>
      <c r="U674" s="985"/>
      <c r="V674" s="993"/>
      <c r="W674" s="986"/>
    </row>
    <row r="675" spans="3:23" ht="14.5" customHeight="1">
      <c r="C675" s="994"/>
      <c r="G675" s="1095" t="str">
        <f>IF(F675="",G674,F675)</f>
        <v>1633011</v>
      </c>
      <c r="H675" s="1016" t="s">
        <v>575</v>
      </c>
      <c r="I675" s="1033" t="str">
        <f>IF(H675="","",CONCATENATE(G675,H675))</f>
        <v>1633011101</v>
      </c>
      <c r="J675" s="991" t="s">
        <v>6188</v>
      </c>
      <c r="K675" s="873"/>
      <c r="L675" s="886"/>
      <c r="M675" s="886"/>
      <c r="N675" s="886"/>
      <c r="O675" s="886"/>
      <c r="P675" s="886"/>
      <c r="Q675" s="1167">
        <v>34801</v>
      </c>
      <c r="R675" s="882"/>
      <c r="S675" s="1269"/>
      <c r="T675" s="1254"/>
      <c r="U675" s="991" t="s">
        <v>10766</v>
      </c>
      <c r="V675" s="996"/>
      <c r="W675" s="992"/>
    </row>
    <row r="676" spans="3:23" ht="14.5" customHeight="1">
      <c r="C676" s="994"/>
      <c r="E676" s="989"/>
      <c r="F676" s="988"/>
      <c r="G676" s="1095" t="str">
        <f>IF(F676="",G675,F676)</f>
        <v>1633011</v>
      </c>
      <c r="H676" s="1016" t="s">
        <v>6000</v>
      </c>
      <c r="I676" s="1033" t="str">
        <f t="shared" si="94"/>
        <v>1633011102</v>
      </c>
      <c r="J676" s="991" t="s">
        <v>6189</v>
      </c>
      <c r="K676" s="873"/>
      <c r="L676" s="886"/>
      <c r="M676" s="886"/>
      <c r="N676" s="886"/>
      <c r="O676" s="886"/>
      <c r="P676" s="886"/>
      <c r="Q676" s="1167">
        <v>4740</v>
      </c>
      <c r="R676" s="882"/>
      <c r="S676" s="1269"/>
      <c r="T676" s="1254"/>
      <c r="U676" s="991" t="s">
        <v>10122</v>
      </c>
      <c r="V676" s="996"/>
      <c r="W676" s="992"/>
    </row>
    <row r="677" spans="3:23" ht="14.5" customHeight="1">
      <c r="C677" s="994"/>
      <c r="E677" s="1034"/>
      <c r="F677" s="1034"/>
      <c r="G677" s="1095" t="str">
        <f t="shared" si="96"/>
        <v>1633011</v>
      </c>
      <c r="H677" s="1016" t="s">
        <v>5659</v>
      </c>
      <c r="I677" s="1033" t="str">
        <f t="shared" si="94"/>
        <v>1633011103</v>
      </c>
      <c r="J677" s="991" t="s">
        <v>6190</v>
      </c>
      <c r="K677" s="873"/>
      <c r="L677" s="873"/>
      <c r="M677" s="873"/>
      <c r="N677" s="873"/>
      <c r="O677" s="873"/>
      <c r="P677" s="886"/>
      <c r="Q677" s="1182">
        <v>4</v>
      </c>
      <c r="R677" s="882"/>
      <c r="S677" s="1269"/>
      <c r="T677" s="1254"/>
      <c r="U677" s="991" t="s">
        <v>10122</v>
      </c>
      <c r="V677" s="996"/>
      <c r="W677" s="992"/>
    </row>
    <row r="678" spans="3:23" ht="14.5" customHeight="1">
      <c r="C678" s="1015"/>
      <c r="D678" s="999"/>
      <c r="E678" s="1000"/>
      <c r="F678" s="999" t="str">
        <f t="shared" ref="F678:F684" si="97">IF(E678="","",CONCATENATE(LEFT(E678,4),MID(E678,6,3)))</f>
        <v/>
      </c>
      <c r="G678" s="1095" t="str">
        <f t="shared" si="96"/>
        <v>1633011</v>
      </c>
      <c r="H678" s="1005" t="s">
        <v>10490</v>
      </c>
      <c r="I678" s="1109" t="str">
        <f t="shared" si="94"/>
        <v>1633011Y01</v>
      </c>
      <c r="J678" s="978" t="s">
        <v>6017</v>
      </c>
      <c r="K678" s="872"/>
      <c r="L678" s="893"/>
      <c r="M678" s="893"/>
      <c r="N678" s="893"/>
      <c r="O678" s="893"/>
      <c r="P678" s="893"/>
      <c r="Q678" s="1170">
        <v>0.44</v>
      </c>
      <c r="R678" s="900"/>
      <c r="S678" s="1272"/>
      <c r="T678" s="900"/>
      <c r="U678" s="1006" t="s">
        <v>10612</v>
      </c>
      <c r="V678" s="1006"/>
      <c r="W678" s="1003"/>
    </row>
    <row r="679" spans="3:23" ht="14.5" customHeight="1">
      <c r="C679" s="1023" t="s">
        <v>6191</v>
      </c>
      <c r="D679" s="1024" t="str">
        <f t="shared" ref="D679:D684" si="98">IF(C679="","",CONCATENATE(LEFT(C679,4),MID(C679,6,2)))</f>
        <v>163302</v>
      </c>
      <c r="E679" s="1025" t="s">
        <v>6192</v>
      </c>
      <c r="F679" s="1024" t="str">
        <f t="shared" si="97"/>
        <v>1633021</v>
      </c>
      <c r="G679" s="1111" t="str">
        <f>IF(F679="",G674,F679)</f>
        <v>1633021</v>
      </c>
      <c r="H679" s="1112"/>
      <c r="I679" s="1113" t="str">
        <f t="shared" si="94"/>
        <v/>
      </c>
      <c r="J679" s="1026" t="s">
        <v>223</v>
      </c>
      <c r="K679" s="913"/>
      <c r="L679" s="912"/>
      <c r="M679" s="912"/>
      <c r="N679" s="912"/>
      <c r="O679" s="912"/>
      <c r="P679" s="914">
        <f t="shared" ref="P679:P684" si="99">Q679</f>
        <v>30372</v>
      </c>
      <c r="Q679" s="1186">
        <v>30372</v>
      </c>
      <c r="R679" s="929"/>
      <c r="S679" s="1280"/>
      <c r="T679" s="929"/>
      <c r="U679" s="1022" t="s">
        <v>10587</v>
      </c>
      <c r="V679" s="1022"/>
      <c r="W679" s="1027" t="s">
        <v>10772</v>
      </c>
    </row>
    <row r="680" spans="3:23" ht="14.5" customHeight="1">
      <c r="C680" s="1023" t="s">
        <v>6193</v>
      </c>
      <c r="D680" s="1024" t="str">
        <f t="shared" si="98"/>
        <v>164101</v>
      </c>
      <c r="E680" s="1025" t="s">
        <v>6194</v>
      </c>
      <c r="F680" s="1024" t="str">
        <f t="shared" si="97"/>
        <v>1641011</v>
      </c>
      <c r="G680" s="1111" t="str">
        <f t="shared" ref="G680:G697" si="100">IF(F680="",G679,F680)</f>
        <v>1641011</v>
      </c>
      <c r="H680" s="1112"/>
      <c r="I680" s="1113" t="str">
        <f t="shared" si="94"/>
        <v/>
      </c>
      <c r="J680" s="1026" t="s">
        <v>225</v>
      </c>
      <c r="K680" s="913"/>
      <c r="L680" s="913"/>
      <c r="M680" s="913"/>
      <c r="N680" s="912"/>
      <c r="O680" s="912"/>
      <c r="P680" s="914">
        <f t="shared" si="99"/>
        <v>64902</v>
      </c>
      <c r="Q680" s="1186">
        <v>64902</v>
      </c>
      <c r="R680" s="929"/>
      <c r="S680" s="1280"/>
      <c r="T680" s="929"/>
      <c r="U680" s="1031" t="s">
        <v>10587</v>
      </c>
      <c r="V680" s="1022"/>
      <c r="W680" s="1027" t="s">
        <v>10772</v>
      </c>
    </row>
    <row r="681" spans="3:23" ht="14.5" customHeight="1">
      <c r="C681" s="1023" t="s">
        <v>6195</v>
      </c>
      <c r="D681" s="1024" t="str">
        <f t="shared" si="98"/>
        <v>164109</v>
      </c>
      <c r="E681" s="1025" t="s">
        <v>6196</v>
      </c>
      <c r="F681" s="1024" t="str">
        <f t="shared" si="97"/>
        <v>1641099</v>
      </c>
      <c r="G681" s="1111" t="str">
        <f t="shared" si="100"/>
        <v>1641099</v>
      </c>
      <c r="H681" s="1112"/>
      <c r="I681" s="1113" t="str">
        <f t="shared" si="94"/>
        <v/>
      </c>
      <c r="J681" s="1026" t="s">
        <v>226</v>
      </c>
      <c r="K681" s="913"/>
      <c r="L681" s="912"/>
      <c r="M681" s="912"/>
      <c r="N681" s="912"/>
      <c r="O681" s="912"/>
      <c r="P681" s="914">
        <f t="shared" si="99"/>
        <v>31218</v>
      </c>
      <c r="Q681" s="1186">
        <v>31218</v>
      </c>
      <c r="R681" s="929"/>
      <c r="S681" s="1280"/>
      <c r="T681" s="929"/>
      <c r="U681" s="1031" t="s">
        <v>10587</v>
      </c>
      <c r="V681" s="1022"/>
      <c r="W681" s="1027" t="s">
        <v>10772</v>
      </c>
    </row>
    <row r="682" spans="3:23" ht="14.5" customHeight="1">
      <c r="C682" s="1023" t="s">
        <v>6197</v>
      </c>
      <c r="D682" s="1024" t="str">
        <f t="shared" si="98"/>
        <v>164901</v>
      </c>
      <c r="E682" s="1025" t="s">
        <v>6198</v>
      </c>
      <c r="F682" s="1024" t="str">
        <f t="shared" si="97"/>
        <v>1649011</v>
      </c>
      <c r="G682" s="1111" t="str">
        <f t="shared" si="100"/>
        <v>1649011</v>
      </c>
      <c r="H682" s="1112"/>
      <c r="I682" s="1113" t="str">
        <f t="shared" si="94"/>
        <v/>
      </c>
      <c r="J682" s="1026" t="s">
        <v>228</v>
      </c>
      <c r="K682" s="913"/>
      <c r="L682" s="912"/>
      <c r="M682" s="912"/>
      <c r="N682" s="912"/>
      <c r="O682" s="912"/>
      <c r="P682" s="914">
        <f t="shared" si="99"/>
        <v>5190</v>
      </c>
      <c r="Q682" s="1186">
        <v>5190</v>
      </c>
      <c r="R682" s="929"/>
      <c r="S682" s="1280"/>
      <c r="T682" s="929"/>
      <c r="U682" s="1022" t="s">
        <v>10587</v>
      </c>
      <c r="V682" s="1022"/>
      <c r="W682" s="1027" t="s">
        <v>10772</v>
      </c>
    </row>
    <row r="683" spans="3:23" ht="14.5" customHeight="1">
      <c r="C683" s="1015" t="s">
        <v>6199</v>
      </c>
      <c r="D683" s="999" t="str">
        <f t="shared" si="98"/>
        <v>164909</v>
      </c>
      <c r="E683" s="1000" t="s">
        <v>6200</v>
      </c>
      <c r="F683" s="999" t="str">
        <f t="shared" si="97"/>
        <v>1649099</v>
      </c>
      <c r="G683" s="1104" t="str">
        <f t="shared" si="100"/>
        <v>1649099</v>
      </c>
      <c r="H683" s="1005"/>
      <c r="I683" s="1002" t="str">
        <f t="shared" si="94"/>
        <v/>
      </c>
      <c r="J683" s="1035" t="s">
        <v>6201</v>
      </c>
      <c r="K683" s="908"/>
      <c r="L683" s="900"/>
      <c r="M683" s="900"/>
      <c r="N683" s="900"/>
      <c r="O683" s="900"/>
      <c r="P683" s="919">
        <f t="shared" si="99"/>
        <v>31954</v>
      </c>
      <c r="Q683" s="1187">
        <v>31954</v>
      </c>
      <c r="R683" s="900"/>
      <c r="S683" s="1272"/>
      <c r="T683" s="900"/>
      <c r="U683" s="978" t="s">
        <v>10587</v>
      </c>
      <c r="V683" s="978"/>
      <c r="W683" s="1003" t="s">
        <v>10772</v>
      </c>
    </row>
    <row r="684" spans="3:23" ht="14.5" customHeight="1">
      <c r="C684" s="981" t="s">
        <v>6202</v>
      </c>
      <c r="D684" s="982" t="str">
        <f t="shared" si="98"/>
        <v>191101</v>
      </c>
      <c r="E684" s="983" t="s">
        <v>6203</v>
      </c>
      <c r="F684" s="982" t="str">
        <f t="shared" si="97"/>
        <v>1911011</v>
      </c>
      <c r="G684" s="1103" t="str">
        <f t="shared" si="100"/>
        <v>1911011</v>
      </c>
      <c r="H684" s="1102"/>
      <c r="I684" s="947" t="str">
        <f t="shared" si="94"/>
        <v/>
      </c>
      <c r="J684" s="984" t="s">
        <v>6204</v>
      </c>
      <c r="K684" s="873"/>
      <c r="L684" s="873"/>
      <c r="M684" s="873"/>
      <c r="N684" s="886"/>
      <c r="O684" s="886"/>
      <c r="P684" s="896">
        <f t="shared" si="99"/>
        <v>87780</v>
      </c>
      <c r="Q684" s="1161">
        <f>ROUND(SUM(Q685:Q698),0)</f>
        <v>87780</v>
      </c>
      <c r="R684" s="882"/>
      <c r="S684" s="1269"/>
      <c r="T684" s="1254"/>
      <c r="U684" s="991"/>
      <c r="V684" s="996"/>
      <c r="W684" s="992"/>
    </row>
    <row r="685" spans="3:23" ht="14.5" customHeight="1">
      <c r="C685" s="994"/>
      <c r="D685" s="995"/>
      <c r="E685" s="989"/>
      <c r="F685" s="995"/>
      <c r="G685" s="1095" t="str">
        <f t="shared" si="100"/>
        <v>1911011</v>
      </c>
      <c r="H685" s="1016" t="s">
        <v>575</v>
      </c>
      <c r="I685" s="944" t="str">
        <f>IF(H685="","",CONCATENATE(G685,H685))</f>
        <v>1911011101</v>
      </c>
      <c r="J685" s="991" t="s">
        <v>6205</v>
      </c>
      <c r="K685" s="873"/>
      <c r="L685" s="873"/>
      <c r="M685" s="873"/>
      <c r="N685" s="886"/>
      <c r="O685" s="886"/>
      <c r="P685" s="886"/>
      <c r="Q685" s="1167">
        <v>69311.91</v>
      </c>
      <c r="R685" s="882"/>
      <c r="S685" s="1269"/>
      <c r="T685" s="1254"/>
      <c r="U685" s="991" t="s">
        <v>10587</v>
      </c>
      <c r="V685" s="996"/>
      <c r="W685" s="992" t="s">
        <v>10772</v>
      </c>
    </row>
    <row r="686" spans="3:23" ht="14.5" customHeight="1">
      <c r="C686" s="994"/>
      <c r="D686" s="995"/>
      <c r="E686" s="989"/>
      <c r="F686" s="995"/>
      <c r="G686" s="1095" t="str">
        <f t="shared" si="100"/>
        <v>1911011</v>
      </c>
      <c r="H686" s="1016" t="s">
        <v>5602</v>
      </c>
      <c r="I686" s="944" t="str">
        <f t="shared" ref="I686:I716" si="101">IF(H686="","",CONCATENATE(G686,H686))</f>
        <v>1911011201</v>
      </c>
      <c r="J686" s="991" t="s">
        <v>6206</v>
      </c>
      <c r="K686" s="873"/>
      <c r="L686" s="873"/>
      <c r="M686" s="873"/>
      <c r="N686" s="886"/>
      <c r="O686" s="886"/>
      <c r="P686" s="886"/>
      <c r="Q686" s="1167">
        <v>5384.78</v>
      </c>
      <c r="R686" s="882"/>
      <c r="S686" s="1269"/>
      <c r="T686" s="1254"/>
      <c r="U686" s="991"/>
      <c r="V686" s="996"/>
      <c r="W686" s="992"/>
    </row>
    <row r="687" spans="3:23" ht="14.5" customHeight="1">
      <c r="C687" s="994"/>
      <c r="D687" s="995"/>
      <c r="E687" s="989"/>
      <c r="F687" s="995"/>
      <c r="G687" s="1095" t="str">
        <f t="shared" si="100"/>
        <v>1911011</v>
      </c>
      <c r="H687" s="1016" t="s">
        <v>5844</v>
      </c>
      <c r="I687" s="944" t="str">
        <f t="shared" si="101"/>
        <v>1911011202</v>
      </c>
      <c r="J687" s="991" t="s">
        <v>6207</v>
      </c>
      <c r="K687" s="873"/>
      <c r="L687" s="873"/>
      <c r="M687" s="873"/>
      <c r="N687" s="886"/>
      <c r="O687" s="886"/>
      <c r="P687" s="886"/>
      <c r="Q687" s="1167">
        <v>1619.79</v>
      </c>
      <c r="R687" s="882"/>
      <c r="S687" s="1269"/>
      <c r="T687" s="1254"/>
      <c r="U687" s="991"/>
      <c r="V687" s="996"/>
      <c r="W687" s="992"/>
    </row>
    <row r="688" spans="3:23" ht="14.5" customHeight="1">
      <c r="C688" s="994"/>
      <c r="D688" s="995"/>
      <c r="E688" s="989"/>
      <c r="F688" s="995"/>
      <c r="G688" s="1095" t="str">
        <f t="shared" si="100"/>
        <v>1911011</v>
      </c>
      <c r="H688" s="1016" t="s">
        <v>5484</v>
      </c>
      <c r="I688" s="944" t="str">
        <f t="shared" si="101"/>
        <v>1911011301</v>
      </c>
      <c r="J688" s="991" t="s">
        <v>6208</v>
      </c>
      <c r="K688" s="873"/>
      <c r="L688" s="873"/>
      <c r="M688" s="873"/>
      <c r="N688" s="886"/>
      <c r="O688" s="886"/>
      <c r="P688" s="886"/>
      <c r="Q688" s="1167">
        <v>6872.84</v>
      </c>
      <c r="R688" s="882"/>
      <c r="S688" s="1269"/>
      <c r="T688" s="1254"/>
      <c r="U688" s="991"/>
      <c r="V688" s="996"/>
      <c r="W688" s="992"/>
    </row>
    <row r="689" spans="1:23" ht="14.5" customHeight="1">
      <c r="C689" s="994"/>
      <c r="D689" s="995"/>
      <c r="E689" s="989"/>
      <c r="F689" s="995"/>
      <c r="G689" s="1095" t="str">
        <f t="shared" si="100"/>
        <v>1911011</v>
      </c>
      <c r="H689" s="1016" t="s">
        <v>5486</v>
      </c>
      <c r="I689" s="944" t="str">
        <f t="shared" si="101"/>
        <v>1911011401</v>
      </c>
      <c r="J689" s="991" t="s">
        <v>6209</v>
      </c>
      <c r="K689" s="873"/>
      <c r="L689" s="873"/>
      <c r="M689" s="873"/>
      <c r="N689" s="886"/>
      <c r="O689" s="886"/>
      <c r="P689" s="886"/>
      <c r="Q689" s="1167">
        <v>351.25</v>
      </c>
      <c r="R689" s="882"/>
      <c r="S689" s="1269"/>
      <c r="T689" s="1254"/>
      <c r="U689" s="991"/>
      <c r="V689" s="996"/>
      <c r="W689" s="992"/>
    </row>
    <row r="690" spans="1:23" ht="14.5" customHeight="1">
      <c r="C690" s="994"/>
      <c r="D690" s="995"/>
      <c r="E690" s="989"/>
      <c r="F690" s="995"/>
      <c r="G690" s="1095" t="str">
        <f t="shared" si="100"/>
        <v>1911011</v>
      </c>
      <c r="H690" s="1016" t="s">
        <v>6210</v>
      </c>
      <c r="I690" s="944" t="str">
        <f t="shared" si="101"/>
        <v>1911011402</v>
      </c>
      <c r="J690" s="991" t="s">
        <v>6211</v>
      </c>
      <c r="K690" s="873"/>
      <c r="L690" s="873"/>
      <c r="M690" s="873"/>
      <c r="N690" s="886"/>
      <c r="O690" s="886"/>
      <c r="P690" s="886"/>
      <c r="Q690" s="1167">
        <v>0</v>
      </c>
      <c r="R690" s="882"/>
      <c r="S690" s="1269"/>
      <c r="T690" s="1254"/>
      <c r="U690" s="991"/>
      <c r="V690" s="996"/>
      <c r="W690" s="992" t="s">
        <v>10380</v>
      </c>
    </row>
    <row r="691" spans="1:23" ht="14.5" customHeight="1">
      <c r="C691" s="994"/>
      <c r="D691" s="995"/>
      <c r="E691" s="989"/>
      <c r="F691" s="995"/>
      <c r="G691" s="1095" t="str">
        <f t="shared" si="100"/>
        <v>1911011</v>
      </c>
      <c r="H691" s="1016" t="s">
        <v>6212</v>
      </c>
      <c r="I691" s="944" t="str">
        <f t="shared" si="101"/>
        <v>1911011403</v>
      </c>
      <c r="J691" s="991" t="s">
        <v>6213</v>
      </c>
      <c r="K691" s="873"/>
      <c r="L691" s="873"/>
      <c r="M691" s="873"/>
      <c r="N691" s="886"/>
      <c r="O691" s="886"/>
      <c r="P691" s="886"/>
      <c r="Q691" s="1167">
        <v>0</v>
      </c>
      <c r="R691" s="882"/>
      <c r="S691" s="1269"/>
      <c r="T691" s="1254"/>
      <c r="U691" s="991"/>
      <c r="V691" s="996"/>
      <c r="W691" s="992" t="s">
        <v>10380</v>
      </c>
    </row>
    <row r="692" spans="1:23" ht="14.5" customHeight="1">
      <c r="C692" s="994"/>
      <c r="D692" s="995"/>
      <c r="E692" s="989"/>
      <c r="F692" s="995"/>
      <c r="G692" s="1095" t="str">
        <f t="shared" si="100"/>
        <v>1911011</v>
      </c>
      <c r="H692" s="1016" t="s">
        <v>6214</v>
      </c>
      <c r="I692" s="944" t="str">
        <f t="shared" si="101"/>
        <v>1911011404</v>
      </c>
      <c r="J692" s="991" t="s">
        <v>6215</v>
      </c>
      <c r="K692" s="873"/>
      <c r="L692" s="873"/>
      <c r="M692" s="873"/>
      <c r="N692" s="886"/>
      <c r="O692" s="886"/>
      <c r="P692" s="886"/>
      <c r="Q692" s="1167">
        <v>44.67</v>
      </c>
      <c r="R692" s="882"/>
      <c r="S692" s="1269"/>
      <c r="T692" s="1254"/>
      <c r="U692" s="991"/>
      <c r="V692" s="996"/>
      <c r="W692" s="992"/>
    </row>
    <row r="693" spans="1:23" ht="14.5" customHeight="1">
      <c r="C693" s="994"/>
      <c r="D693" s="995"/>
      <c r="E693" s="989"/>
      <c r="F693" s="995"/>
      <c r="G693" s="1095" t="str">
        <f t="shared" si="100"/>
        <v>1911011</v>
      </c>
      <c r="H693" s="1016" t="s">
        <v>6216</v>
      </c>
      <c r="I693" s="944" t="str">
        <f t="shared" si="101"/>
        <v>1911011405</v>
      </c>
      <c r="J693" s="991" t="s">
        <v>6217</v>
      </c>
      <c r="K693" s="873"/>
      <c r="L693" s="873"/>
      <c r="M693" s="873"/>
      <c r="N693" s="886"/>
      <c r="O693" s="886"/>
      <c r="P693" s="886"/>
      <c r="Q693" s="1167">
        <v>0</v>
      </c>
      <c r="R693" s="882"/>
      <c r="S693" s="1269"/>
      <c r="T693" s="1254"/>
      <c r="U693" s="991"/>
      <c r="V693" s="996"/>
      <c r="W693" s="992" t="s">
        <v>10380</v>
      </c>
    </row>
    <row r="694" spans="1:23" ht="14.5" customHeight="1">
      <c r="C694" s="994"/>
      <c r="D694" s="995"/>
      <c r="E694" s="989"/>
      <c r="F694" s="995"/>
      <c r="G694" s="1095" t="str">
        <f t="shared" si="100"/>
        <v>1911011</v>
      </c>
      <c r="H694" s="1016" t="s">
        <v>5488</v>
      </c>
      <c r="I694" s="944" t="str">
        <f t="shared" si="101"/>
        <v>1911011501</v>
      </c>
      <c r="J694" s="991" t="s">
        <v>6218</v>
      </c>
      <c r="K694" s="873"/>
      <c r="L694" s="873"/>
      <c r="M694" s="873"/>
      <c r="N694" s="886"/>
      <c r="O694" s="886"/>
      <c r="P694" s="886"/>
      <c r="Q694" s="1167">
        <v>3254.38</v>
      </c>
      <c r="R694" s="882"/>
      <c r="S694" s="1269"/>
      <c r="T694" s="1254"/>
      <c r="U694" s="991"/>
      <c r="V694" s="996"/>
      <c r="W694" s="992" t="s">
        <v>10727</v>
      </c>
    </row>
    <row r="695" spans="1:23" ht="14.5" customHeight="1">
      <c r="C695" s="994"/>
      <c r="D695" s="995"/>
      <c r="E695" s="989"/>
      <c r="F695" s="995"/>
      <c r="G695" s="1095" t="str">
        <f t="shared" si="100"/>
        <v>1911011</v>
      </c>
      <c r="H695" s="1016" t="s">
        <v>5514</v>
      </c>
      <c r="I695" s="944" t="str">
        <f t="shared" si="101"/>
        <v>1911011601</v>
      </c>
      <c r="J695" s="991" t="s">
        <v>6219</v>
      </c>
      <c r="K695" s="873"/>
      <c r="L695" s="873"/>
      <c r="M695" s="873"/>
      <c r="N695" s="886"/>
      <c r="O695" s="886"/>
      <c r="P695" s="886"/>
      <c r="Q695" s="1167">
        <v>856.19</v>
      </c>
      <c r="R695" s="882"/>
      <c r="S695" s="1269"/>
      <c r="T695" s="1254"/>
      <c r="U695" s="991"/>
      <c r="V695" s="996"/>
      <c r="W695" s="992" t="s">
        <v>10389</v>
      </c>
    </row>
    <row r="696" spans="1:23" ht="14.5" customHeight="1">
      <c r="C696" s="994"/>
      <c r="D696" s="995"/>
      <c r="E696" s="989"/>
      <c r="F696" s="995"/>
      <c r="G696" s="1095" t="str">
        <f t="shared" si="100"/>
        <v>1911011</v>
      </c>
      <c r="H696" s="1016" t="s">
        <v>6059</v>
      </c>
      <c r="I696" s="944" t="str">
        <f t="shared" si="101"/>
        <v>1911011701</v>
      </c>
      <c r="J696" s="991" t="s">
        <v>6220</v>
      </c>
      <c r="K696" s="873"/>
      <c r="L696" s="873"/>
      <c r="M696" s="873"/>
      <c r="N696" s="886"/>
      <c r="O696" s="886"/>
      <c r="P696" s="886"/>
      <c r="Q696" s="1167">
        <v>220.13</v>
      </c>
      <c r="R696" s="882"/>
      <c r="S696" s="1269"/>
      <c r="T696" s="1254"/>
      <c r="U696" s="991"/>
      <c r="V696" s="996"/>
      <c r="W696" s="992" t="s">
        <v>10389</v>
      </c>
    </row>
    <row r="697" spans="1:23" ht="14.5" customHeight="1">
      <c r="C697" s="994"/>
      <c r="D697" s="995"/>
      <c r="E697" s="989"/>
      <c r="F697" s="995"/>
      <c r="G697" s="1095" t="str">
        <f t="shared" si="100"/>
        <v>1911011</v>
      </c>
      <c r="H697" s="1016" t="s">
        <v>6221</v>
      </c>
      <c r="I697" s="944" t="str">
        <f t="shared" si="101"/>
        <v>1911011801</v>
      </c>
      <c r="J697" s="991" t="s">
        <v>6222</v>
      </c>
      <c r="K697" s="873"/>
      <c r="L697" s="873"/>
      <c r="M697" s="873"/>
      <c r="N697" s="886"/>
      <c r="O697" s="886"/>
      <c r="P697" s="886"/>
      <c r="Q697" s="1167">
        <v>0</v>
      </c>
      <c r="R697" s="882"/>
      <c r="S697" s="1269"/>
      <c r="T697" s="1254"/>
      <c r="U697" s="991"/>
      <c r="V697" s="996"/>
      <c r="W697" s="992" t="s">
        <v>10380</v>
      </c>
    </row>
    <row r="698" spans="1:23" ht="14.5" customHeight="1">
      <c r="C698" s="1015"/>
      <c r="D698" s="1018"/>
      <c r="E698" s="1000"/>
      <c r="F698" s="1018"/>
      <c r="G698" s="1104" t="str">
        <f>IF(F698="",G697,F698)</f>
        <v>1911011</v>
      </c>
      <c r="H698" s="1005" t="s">
        <v>10456</v>
      </c>
      <c r="I698" s="1109" t="str">
        <f t="shared" si="101"/>
        <v>1911011Y01</v>
      </c>
      <c r="J698" s="978" t="s">
        <v>5939</v>
      </c>
      <c r="K698" s="872"/>
      <c r="L698" s="872"/>
      <c r="M698" s="872"/>
      <c r="N698" s="893"/>
      <c r="O698" s="893"/>
      <c r="P698" s="893"/>
      <c r="Q698" s="1170">
        <v>-135.49</v>
      </c>
      <c r="R698" s="900"/>
      <c r="S698" s="1272"/>
      <c r="T698" s="900"/>
      <c r="U698" s="978"/>
      <c r="V698" s="1006"/>
      <c r="W698" s="1003"/>
    </row>
    <row r="699" spans="1:23" ht="14.5" customHeight="1">
      <c r="C699" s="1036" t="s">
        <v>6223</v>
      </c>
      <c r="D699" s="999" t="str">
        <f>IF(C699="","",CONCATENATE(LEFT(C699,4),MID(C699,6,2)))</f>
        <v>201101</v>
      </c>
      <c r="E699" s="1000" t="s">
        <v>6224</v>
      </c>
      <c r="F699" s="999" t="str">
        <f>IF(E699="","",CONCATENATE(LEFT(E699,4),MID(E699,6,3)))</f>
        <v>2011011</v>
      </c>
      <c r="G699" s="1104" t="str">
        <f>IF(F699="",G698,F699)</f>
        <v>2011011</v>
      </c>
      <c r="H699" s="1005"/>
      <c r="I699" s="1002" t="str">
        <f t="shared" si="101"/>
        <v/>
      </c>
      <c r="J699" s="1030" t="s">
        <v>234</v>
      </c>
      <c r="K699" s="893"/>
      <c r="L699" s="893"/>
      <c r="M699" s="893"/>
      <c r="N699" s="893"/>
      <c r="O699" s="893"/>
      <c r="P699" s="888">
        <f>Q699</f>
        <v>14277</v>
      </c>
      <c r="Q699" s="1187">
        <v>14277</v>
      </c>
      <c r="R699" s="900"/>
      <c r="S699" s="1272"/>
      <c r="T699" s="900"/>
      <c r="U699" s="978" t="s">
        <v>10424</v>
      </c>
      <c r="V699" s="1006"/>
      <c r="W699" s="1003" t="s">
        <v>10772</v>
      </c>
    </row>
    <row r="700" spans="1:23" ht="14.5" customHeight="1">
      <c r="C700" s="1037" t="s">
        <v>6225</v>
      </c>
      <c r="D700" s="988" t="str">
        <f>IF(C700="","",CONCATENATE(LEFT(C700,4),MID(C700,6,2)))</f>
        <v>202101</v>
      </c>
      <c r="E700" s="989" t="s">
        <v>10773</v>
      </c>
      <c r="F700" s="988" t="str">
        <f>IF(E700="","",CONCATENATE(LEFT(E700,4),MID(E700,6,3)))</f>
        <v>2021011</v>
      </c>
      <c r="G700" s="1095" t="str">
        <f>IF(F700="",G699,F700)</f>
        <v>2021011</v>
      </c>
      <c r="I700" s="944" t="str">
        <f t="shared" si="101"/>
        <v/>
      </c>
      <c r="J700" s="1038" t="s">
        <v>6226</v>
      </c>
      <c r="K700" s="873"/>
      <c r="L700" s="873"/>
      <c r="M700" s="873"/>
      <c r="N700" s="873"/>
      <c r="O700" s="873"/>
      <c r="P700" s="896">
        <f>Q700</f>
        <v>31022</v>
      </c>
      <c r="Q700" s="1171">
        <f>ROUND(Q701+Q704+Q707+Q708+Q711,0)</f>
        <v>31022</v>
      </c>
      <c r="R700" s="882"/>
      <c r="S700" s="1269"/>
      <c r="T700" s="1254"/>
      <c r="U700" s="996"/>
      <c r="V700" s="996"/>
      <c r="W700" s="992"/>
    </row>
    <row r="701" spans="1:23" ht="14.5" customHeight="1">
      <c r="C701" s="987"/>
      <c r="E701" s="989"/>
      <c r="F701" s="988"/>
      <c r="G701" s="1095" t="str">
        <f t="shared" ref="G701:G715" si="102">IF(F701="",G700,F701)</f>
        <v>2021011</v>
      </c>
      <c r="I701" s="944" t="str">
        <f t="shared" si="101"/>
        <v/>
      </c>
      <c r="J701" s="1039" t="s">
        <v>10774</v>
      </c>
      <c r="K701" s="873"/>
      <c r="L701" s="873"/>
      <c r="M701" s="873"/>
      <c r="N701" s="873"/>
      <c r="O701" s="873"/>
      <c r="P701" s="886"/>
      <c r="Q701" s="1165">
        <f>Q702+Q703</f>
        <v>12872.55</v>
      </c>
      <c r="R701" s="882"/>
      <c r="S701" s="1269"/>
      <c r="T701" s="1254"/>
      <c r="U701" s="996"/>
      <c r="V701" s="996"/>
      <c r="W701" s="992"/>
    </row>
    <row r="702" spans="1:23" ht="14.5" customHeight="1">
      <c r="A702" s="1034"/>
      <c r="B702" s="1034"/>
      <c r="C702" s="987"/>
      <c r="F702" s="988"/>
      <c r="G702" s="1095" t="str">
        <f t="shared" si="102"/>
        <v>2021011</v>
      </c>
      <c r="H702" s="1016" t="s">
        <v>5534</v>
      </c>
      <c r="I702" s="944" t="str">
        <f t="shared" si="101"/>
        <v>2021011101</v>
      </c>
      <c r="J702" s="1039" t="s">
        <v>10775</v>
      </c>
      <c r="K702" s="873"/>
      <c r="L702" s="873"/>
      <c r="M702" s="873"/>
      <c r="N702" s="873"/>
      <c r="O702" s="873"/>
      <c r="P702" s="886"/>
      <c r="Q702" s="1167">
        <v>12884</v>
      </c>
      <c r="R702" s="882"/>
      <c r="S702" s="1269"/>
      <c r="T702" s="1254"/>
      <c r="U702" s="996" t="s">
        <v>10766</v>
      </c>
      <c r="V702" s="996"/>
      <c r="W702" s="992"/>
    </row>
    <row r="703" spans="1:23" ht="14.5" customHeight="1">
      <c r="A703" s="1034"/>
      <c r="B703" s="1034"/>
      <c r="C703" s="987"/>
      <c r="F703" s="988"/>
      <c r="G703" s="1095" t="str">
        <f t="shared" si="102"/>
        <v>2021011</v>
      </c>
      <c r="H703" s="1016" t="s">
        <v>10456</v>
      </c>
      <c r="I703" s="944" t="str">
        <f t="shared" si="101"/>
        <v>2021011Y01</v>
      </c>
      <c r="J703" s="1039" t="s">
        <v>10776</v>
      </c>
      <c r="K703" s="873"/>
      <c r="L703" s="873"/>
      <c r="M703" s="873"/>
      <c r="N703" s="873"/>
      <c r="O703" s="873"/>
      <c r="P703" s="886"/>
      <c r="Q703" s="1167">
        <v>-11.45</v>
      </c>
      <c r="R703" s="882"/>
      <c r="S703" s="1269"/>
      <c r="T703" s="1254"/>
      <c r="U703" s="996" t="s">
        <v>10424</v>
      </c>
      <c r="V703" s="996"/>
      <c r="W703" s="992" t="s">
        <v>10777</v>
      </c>
    </row>
    <row r="704" spans="1:23" ht="14.5" customHeight="1">
      <c r="A704" s="1034"/>
      <c r="B704" s="1034"/>
      <c r="C704" s="987"/>
      <c r="D704" s="988" t="str">
        <f>IF(C704="","",CONCATENATE(LEFT(C704,4),MID(C704,6,2)))</f>
        <v/>
      </c>
      <c r="E704" s="989"/>
      <c r="F704" s="988" t="str">
        <f>IF(E704="","",CONCATENATE(LEFT(E704,4),MID(E704,6,3)))</f>
        <v/>
      </c>
      <c r="G704" s="1095" t="str">
        <f t="shared" si="102"/>
        <v>2021011</v>
      </c>
      <c r="I704" s="944" t="str">
        <f t="shared" si="101"/>
        <v/>
      </c>
      <c r="J704" s="1039" t="s">
        <v>10778</v>
      </c>
      <c r="K704" s="873"/>
      <c r="L704" s="873"/>
      <c r="M704" s="873"/>
      <c r="N704" s="873"/>
      <c r="O704" s="873"/>
      <c r="P704" s="886"/>
      <c r="Q704" s="1181">
        <f>SUM(Q705:Q706)</f>
        <v>1466.41</v>
      </c>
      <c r="R704" s="882"/>
      <c r="S704" s="1269"/>
      <c r="T704" s="1254"/>
      <c r="U704" s="996"/>
      <c r="V704" s="996"/>
      <c r="W704" s="992"/>
    </row>
    <row r="705" spans="1:23" ht="14.5" customHeight="1">
      <c r="A705" s="1034"/>
      <c r="B705" s="1034"/>
      <c r="C705" s="987"/>
      <c r="F705" s="988"/>
      <c r="G705" s="1095" t="str">
        <f t="shared" si="102"/>
        <v>2021011</v>
      </c>
      <c r="H705" s="1016" t="s">
        <v>5602</v>
      </c>
      <c r="I705" s="944" t="str">
        <f t="shared" si="101"/>
        <v>2021011201</v>
      </c>
      <c r="J705" s="1039" t="s">
        <v>6231</v>
      </c>
      <c r="K705" s="873"/>
      <c r="L705" s="873"/>
      <c r="M705" s="873"/>
      <c r="N705" s="873"/>
      <c r="O705" s="873"/>
      <c r="P705" s="886"/>
      <c r="Q705" s="1167">
        <v>1467</v>
      </c>
      <c r="R705" s="882"/>
      <c r="S705" s="1269"/>
      <c r="T705" s="1254"/>
      <c r="U705" s="996" t="s">
        <v>10766</v>
      </c>
      <c r="V705" s="996"/>
      <c r="W705" s="992"/>
    </row>
    <row r="706" spans="1:23" ht="14.5" customHeight="1">
      <c r="A706" s="1034"/>
      <c r="B706" s="1034"/>
      <c r="C706" s="987"/>
      <c r="F706" s="988"/>
      <c r="G706" s="1095" t="str">
        <f t="shared" si="102"/>
        <v>2021011</v>
      </c>
      <c r="H706" s="1016" t="s">
        <v>10475</v>
      </c>
      <c r="I706" s="944" t="str">
        <f t="shared" si="101"/>
        <v>2021011Y02</v>
      </c>
      <c r="J706" s="1039" t="s">
        <v>10779</v>
      </c>
      <c r="K706" s="873"/>
      <c r="L706" s="873"/>
      <c r="M706" s="873"/>
      <c r="N706" s="873"/>
      <c r="O706" s="873"/>
      <c r="P706" s="886"/>
      <c r="Q706" s="1167">
        <v>-0.59</v>
      </c>
      <c r="R706" s="882"/>
      <c r="S706" s="1269"/>
      <c r="T706" s="1254"/>
      <c r="U706" s="996" t="s">
        <v>10424</v>
      </c>
      <c r="V706" s="996"/>
      <c r="W706" s="992" t="s">
        <v>10777</v>
      </c>
    </row>
    <row r="707" spans="1:23" ht="14.5" customHeight="1">
      <c r="A707" s="1034"/>
      <c r="B707" s="1034"/>
      <c r="C707" s="987"/>
      <c r="F707" s="988"/>
      <c r="G707" s="1095" t="str">
        <f t="shared" si="102"/>
        <v>2021011</v>
      </c>
      <c r="H707" s="1016" t="s">
        <v>5484</v>
      </c>
      <c r="I707" s="944" t="str">
        <f t="shared" si="101"/>
        <v>2021011301</v>
      </c>
      <c r="J707" s="1039" t="s">
        <v>10780</v>
      </c>
      <c r="K707" s="873"/>
      <c r="L707" s="873"/>
      <c r="M707" s="873"/>
      <c r="N707" s="873"/>
      <c r="O707" s="873"/>
      <c r="P707" s="886"/>
      <c r="Q707" s="1167">
        <v>11435</v>
      </c>
      <c r="R707" s="882"/>
      <c r="S707" s="1269"/>
      <c r="T707" s="1254"/>
      <c r="U707" s="996" t="s">
        <v>10766</v>
      </c>
      <c r="V707" s="996"/>
      <c r="W707" s="992"/>
    </row>
    <row r="708" spans="1:23" ht="14.5" customHeight="1">
      <c r="A708" s="1034"/>
      <c r="B708" s="1034"/>
      <c r="C708" s="987"/>
      <c r="F708" s="988"/>
      <c r="G708" s="1095" t="str">
        <f t="shared" si="102"/>
        <v>2021011</v>
      </c>
      <c r="I708" s="944" t="str">
        <f t="shared" si="101"/>
        <v/>
      </c>
      <c r="J708" s="1039" t="s">
        <v>10781</v>
      </c>
      <c r="K708" s="873"/>
      <c r="L708" s="873"/>
      <c r="M708" s="873"/>
      <c r="N708" s="873"/>
      <c r="O708" s="873"/>
      <c r="P708" s="886"/>
      <c r="Q708" s="1165">
        <f>SUM(Q709:Q710)</f>
        <v>986</v>
      </c>
      <c r="R708" s="882"/>
      <c r="S708" s="1269"/>
      <c r="T708" s="1254"/>
      <c r="U708" s="996"/>
      <c r="V708" s="996"/>
      <c r="W708" s="992"/>
    </row>
    <row r="709" spans="1:23" ht="14.5" customHeight="1">
      <c r="A709" s="1034"/>
      <c r="B709" s="1034"/>
      <c r="C709" s="987"/>
      <c r="F709" s="988"/>
      <c r="G709" s="1095" t="str">
        <f t="shared" si="102"/>
        <v>2021011</v>
      </c>
      <c r="H709" s="1016" t="s">
        <v>5486</v>
      </c>
      <c r="I709" s="944" t="str">
        <f t="shared" si="101"/>
        <v>2021011401</v>
      </c>
      <c r="J709" s="1039" t="s">
        <v>10782</v>
      </c>
      <c r="K709" s="873"/>
      <c r="L709" s="873"/>
      <c r="M709" s="873"/>
      <c r="N709" s="873"/>
      <c r="O709" s="873"/>
      <c r="P709" s="886"/>
      <c r="Q709" s="1167">
        <v>434</v>
      </c>
      <c r="R709" s="882"/>
      <c r="S709" s="1269"/>
      <c r="T709" s="1254"/>
      <c r="U709" s="996" t="s">
        <v>10766</v>
      </c>
      <c r="V709" s="996"/>
      <c r="W709" s="992"/>
    </row>
    <row r="710" spans="1:23" ht="14.5" customHeight="1">
      <c r="A710" s="1034"/>
      <c r="B710" s="1034"/>
      <c r="C710" s="987"/>
      <c r="F710" s="988"/>
      <c r="G710" s="1095" t="str">
        <f t="shared" si="102"/>
        <v>2021011</v>
      </c>
      <c r="H710" s="1016" t="s">
        <v>6210</v>
      </c>
      <c r="I710" s="944" t="str">
        <f t="shared" si="101"/>
        <v>2021011402</v>
      </c>
      <c r="J710" s="1039" t="s">
        <v>10783</v>
      </c>
      <c r="K710" s="873"/>
      <c r="L710" s="873"/>
      <c r="M710" s="873"/>
      <c r="N710" s="873"/>
      <c r="O710" s="873"/>
      <c r="P710" s="886"/>
      <c r="Q710" s="1167">
        <v>552</v>
      </c>
      <c r="R710" s="882"/>
      <c r="S710" s="1269"/>
      <c r="T710" s="1254"/>
      <c r="U710" s="996" t="s">
        <v>10766</v>
      </c>
      <c r="V710" s="996"/>
      <c r="W710" s="992"/>
    </row>
    <row r="711" spans="1:23" ht="14.5" customHeight="1">
      <c r="A711" s="1034"/>
      <c r="B711" s="1034"/>
      <c r="C711" s="987"/>
      <c r="D711" s="988" t="str">
        <f>IF(C711="","",CONCATENATE(LEFT(C711,4),MID(C711,6,2)))</f>
        <v/>
      </c>
      <c r="E711" s="989"/>
      <c r="F711" s="988" t="str">
        <f>IF(E711="","",CONCATENATE(LEFT(E711,4),MID(E711,6,3)))</f>
        <v/>
      </c>
      <c r="G711" s="1095" t="str">
        <f t="shared" si="102"/>
        <v>2021011</v>
      </c>
      <c r="I711" s="944" t="str">
        <f t="shared" si="101"/>
        <v/>
      </c>
      <c r="J711" s="1039" t="s">
        <v>10784</v>
      </c>
      <c r="K711" s="873"/>
      <c r="L711" s="873"/>
      <c r="M711" s="873"/>
      <c r="N711" s="873"/>
      <c r="O711" s="873"/>
      <c r="P711" s="873"/>
      <c r="Q711" s="1165">
        <f>SUM(Q712:Q715)</f>
        <v>4262.3100000000004</v>
      </c>
      <c r="R711" s="887"/>
      <c r="S711" s="1273"/>
      <c r="T711" s="1256"/>
      <c r="U711" s="996" t="s">
        <v>10587</v>
      </c>
      <c r="V711" s="996"/>
      <c r="W711" s="992" t="s">
        <v>10772</v>
      </c>
    </row>
    <row r="712" spans="1:23" ht="14.5" customHeight="1">
      <c r="A712" s="1034"/>
      <c r="B712" s="1034"/>
      <c r="C712" s="987"/>
      <c r="E712" s="989"/>
      <c r="F712" s="988"/>
      <c r="G712" s="1095" t="str">
        <f t="shared" si="102"/>
        <v>2021011</v>
      </c>
      <c r="H712" s="1016" t="s">
        <v>5488</v>
      </c>
      <c r="I712" s="944" t="str">
        <f t="shared" si="101"/>
        <v>2021011501</v>
      </c>
      <c r="J712" s="1039" t="s">
        <v>10785</v>
      </c>
      <c r="K712" s="873"/>
      <c r="L712" s="873"/>
      <c r="M712" s="873"/>
      <c r="N712" s="873"/>
      <c r="O712" s="873"/>
      <c r="P712" s="873"/>
      <c r="Q712" s="1167">
        <v>1142.23</v>
      </c>
      <c r="R712" s="887"/>
      <c r="S712" s="1273"/>
      <c r="T712" s="1256"/>
      <c r="U712" s="996"/>
      <c r="V712" s="996"/>
      <c r="W712" s="992"/>
    </row>
    <row r="713" spans="1:23" ht="14.5" customHeight="1">
      <c r="A713" s="1034"/>
      <c r="B713" s="1034"/>
      <c r="C713" s="987"/>
      <c r="E713" s="989"/>
      <c r="F713" s="988"/>
      <c r="G713" s="1095" t="str">
        <f t="shared" si="102"/>
        <v>2021011</v>
      </c>
      <c r="H713" s="1016" t="s">
        <v>5490</v>
      </c>
      <c r="I713" s="944" t="str">
        <f t="shared" si="101"/>
        <v>2021011502</v>
      </c>
      <c r="J713" s="1039" t="s">
        <v>10786</v>
      </c>
      <c r="K713" s="873"/>
      <c r="L713" s="873"/>
      <c r="M713" s="873"/>
      <c r="N713" s="873"/>
      <c r="O713" s="873"/>
      <c r="P713" s="873"/>
      <c r="Q713" s="1167">
        <v>1889.23</v>
      </c>
      <c r="R713" s="887"/>
      <c r="S713" s="1273"/>
      <c r="T713" s="1256"/>
      <c r="U713" s="996"/>
      <c r="V713" s="996"/>
      <c r="W713" s="992"/>
    </row>
    <row r="714" spans="1:23" ht="14.5" customHeight="1">
      <c r="A714" s="1034"/>
      <c r="B714" s="1034"/>
      <c r="C714" s="987"/>
      <c r="E714" s="989"/>
      <c r="F714" s="988"/>
      <c r="G714" s="1095" t="str">
        <f t="shared" si="102"/>
        <v>2021011</v>
      </c>
      <c r="H714" s="1016" t="s">
        <v>5492</v>
      </c>
      <c r="I714" s="944" t="str">
        <f t="shared" si="101"/>
        <v>2021011503</v>
      </c>
      <c r="J714" s="1039" t="s">
        <v>10787</v>
      </c>
      <c r="K714" s="873"/>
      <c r="L714" s="873"/>
      <c r="M714" s="873"/>
      <c r="N714" s="873"/>
      <c r="O714" s="873"/>
      <c r="P714" s="873"/>
      <c r="Q714" s="1167">
        <v>1243.05</v>
      </c>
      <c r="R714" s="887"/>
      <c r="S714" s="1273"/>
      <c r="T714" s="1256"/>
      <c r="U714" s="996"/>
      <c r="V714" s="996"/>
      <c r="W714" s="992"/>
    </row>
    <row r="715" spans="1:23" ht="14.5" customHeight="1">
      <c r="A715" s="1034"/>
      <c r="B715" s="1034"/>
      <c r="C715" s="987"/>
      <c r="E715" s="989"/>
      <c r="F715" s="988"/>
      <c r="G715" s="1095" t="str">
        <f t="shared" si="102"/>
        <v>2021011</v>
      </c>
      <c r="H715" s="1016" t="s">
        <v>10788</v>
      </c>
      <c r="I715" s="944" t="str">
        <f t="shared" si="101"/>
        <v>2021011Y03</v>
      </c>
      <c r="J715" s="1039" t="s">
        <v>10789</v>
      </c>
      <c r="K715" s="873"/>
      <c r="L715" s="873"/>
      <c r="M715" s="873"/>
      <c r="N715" s="873"/>
      <c r="O715" s="873"/>
      <c r="P715" s="873"/>
      <c r="Q715" s="1167">
        <v>-12.2</v>
      </c>
      <c r="R715" s="887"/>
      <c r="S715" s="1273"/>
      <c r="T715" s="1256"/>
      <c r="U715" s="996" t="s">
        <v>10587</v>
      </c>
      <c r="V715" s="996"/>
      <c r="W715" s="992" t="s">
        <v>10772</v>
      </c>
    </row>
    <row r="716" spans="1:23" ht="14.5" customHeight="1">
      <c r="A716" s="1034"/>
      <c r="B716" s="1034"/>
      <c r="C716" s="1040" t="s">
        <v>6233</v>
      </c>
      <c r="D716" s="982" t="str">
        <f>IF(C716="","",CONCATENATE(LEFT(C716,4),MID(C716,6,2)))</f>
        <v>202901</v>
      </c>
      <c r="E716" s="983" t="s">
        <v>10790</v>
      </c>
      <c r="F716" s="982" t="str">
        <f>IF(E716="","",CONCATENATE(LEFT(E716,4),MID(E716,6,3)))</f>
        <v>2029011</v>
      </c>
      <c r="G716" s="1103" t="str">
        <f>IF(F716="",G711,F716)</f>
        <v>2029011</v>
      </c>
      <c r="H716" s="1102"/>
      <c r="I716" s="947" t="str">
        <f t="shared" si="101"/>
        <v/>
      </c>
      <c r="J716" s="1041" t="s">
        <v>6234</v>
      </c>
      <c r="K716" s="889"/>
      <c r="L716" s="889"/>
      <c r="M716" s="889"/>
      <c r="N716" s="889"/>
      <c r="O716" s="889"/>
      <c r="P716" s="881">
        <f>Q716</f>
        <v>7557</v>
      </c>
      <c r="Q716" s="1160">
        <f>ROUND(Q717+Q721+Q724,0)</f>
        <v>7557</v>
      </c>
      <c r="R716" s="880"/>
      <c r="S716" s="1270"/>
      <c r="T716" s="880"/>
      <c r="U716" s="993"/>
      <c r="V716" s="993"/>
      <c r="W716" s="986"/>
    </row>
    <row r="717" spans="1:23" ht="14.5" customHeight="1">
      <c r="A717" s="1034"/>
      <c r="B717" s="1034"/>
      <c r="C717" s="1037"/>
      <c r="D717" s="995"/>
      <c r="E717" s="989"/>
      <c r="F717" s="995"/>
      <c r="G717" s="1095" t="str">
        <f>IF(F717="",G716,F717)</f>
        <v>2029011</v>
      </c>
      <c r="J717" s="1039" t="s">
        <v>10791</v>
      </c>
      <c r="K717" s="886"/>
      <c r="L717" s="886"/>
      <c r="M717" s="886"/>
      <c r="N717" s="886"/>
      <c r="O717" s="886"/>
      <c r="P717" s="886"/>
      <c r="Q717" s="1162">
        <f>SUM(Q718:Q720)</f>
        <v>3499.85</v>
      </c>
      <c r="R717" s="882"/>
      <c r="S717" s="1269"/>
      <c r="T717" s="1254"/>
      <c r="U717" s="996"/>
      <c r="V717" s="996"/>
      <c r="W717" s="992"/>
    </row>
    <row r="718" spans="1:23" ht="14.5" customHeight="1">
      <c r="A718" s="1034"/>
      <c r="B718" s="1034"/>
      <c r="C718" s="987"/>
      <c r="D718" s="988" t="str">
        <f>IF(C718="","",CONCATENATE(LEFT(C718,4),MID(C718,6,2)))</f>
        <v/>
      </c>
      <c r="E718" s="989"/>
      <c r="F718" s="988" t="str">
        <f>IF(E718="","",CONCATENATE(LEFT(E718,4),MID(E718,6,3)))</f>
        <v/>
      </c>
      <c r="G718" s="1095" t="str">
        <f t="shared" ref="G718:G723" si="103">IF(F718="",G717,F718)</f>
        <v>2029011</v>
      </c>
      <c r="H718" s="1016" t="s">
        <v>5534</v>
      </c>
      <c r="I718" s="944" t="str">
        <f>IF(H718="","",CONCATENATE(G718,H718))</f>
        <v>2029011101</v>
      </c>
      <c r="J718" s="1039" t="s">
        <v>6237</v>
      </c>
      <c r="K718" s="886"/>
      <c r="L718" s="886"/>
      <c r="M718" s="886"/>
      <c r="N718" s="873"/>
      <c r="O718" s="873"/>
      <c r="P718" s="886"/>
      <c r="Q718" s="1182">
        <v>3559</v>
      </c>
      <c r="R718" s="882"/>
      <c r="S718" s="1269"/>
      <c r="T718" s="1254"/>
      <c r="U718" s="996" t="s">
        <v>10766</v>
      </c>
      <c r="V718" s="996"/>
      <c r="W718" s="992"/>
    </row>
    <row r="719" spans="1:23" ht="14.5" customHeight="1">
      <c r="A719" s="1034"/>
      <c r="B719" s="1034"/>
      <c r="C719" s="987"/>
      <c r="F719" s="988"/>
      <c r="G719" s="1095" t="str">
        <f t="shared" si="103"/>
        <v>2029011</v>
      </c>
      <c r="H719" s="1016" t="s">
        <v>6000</v>
      </c>
      <c r="J719" s="1039" t="s">
        <v>6238</v>
      </c>
      <c r="K719" s="886"/>
      <c r="L719" s="886"/>
      <c r="M719" s="886"/>
      <c r="N719" s="873"/>
      <c r="O719" s="873"/>
      <c r="P719" s="886"/>
      <c r="Q719" s="1167">
        <v>0</v>
      </c>
      <c r="R719" s="882"/>
      <c r="S719" s="1269"/>
      <c r="T719" s="1254"/>
      <c r="U719" s="996" t="s">
        <v>10122</v>
      </c>
      <c r="V719" s="996"/>
      <c r="W719" s="992"/>
    </row>
    <row r="720" spans="1:23" ht="14.5" customHeight="1">
      <c r="A720" s="1034"/>
      <c r="B720" s="1034"/>
      <c r="C720" s="987"/>
      <c r="F720" s="988"/>
      <c r="G720" s="1095" t="str">
        <f t="shared" si="103"/>
        <v>2029011</v>
      </c>
      <c r="H720" s="1016" t="s">
        <v>10490</v>
      </c>
      <c r="J720" s="1039" t="s">
        <v>6017</v>
      </c>
      <c r="K720" s="886"/>
      <c r="L720" s="886"/>
      <c r="M720" s="886"/>
      <c r="N720" s="886"/>
      <c r="O720" s="886"/>
      <c r="P720" s="886"/>
      <c r="Q720" s="1167">
        <v>-59.15</v>
      </c>
      <c r="R720" s="882"/>
      <c r="S720" s="1269"/>
      <c r="T720" s="1254"/>
      <c r="U720" s="996" t="s">
        <v>10424</v>
      </c>
      <c r="V720" s="996"/>
      <c r="W720" s="992" t="s">
        <v>10520</v>
      </c>
    </row>
    <row r="721" spans="1:23" ht="14.5" customHeight="1">
      <c r="A721" s="1034"/>
      <c r="B721" s="1034"/>
      <c r="C721" s="987"/>
      <c r="D721" s="988" t="str">
        <f>IF(C721="","",CONCATENATE(LEFT(C721,4),MID(C721,6,2)))</f>
        <v/>
      </c>
      <c r="E721" s="989"/>
      <c r="F721" s="988" t="str">
        <f>IF(E721="","",CONCATENATE(LEFT(E721,4),MID(E721,6,3)))</f>
        <v/>
      </c>
      <c r="G721" s="1095" t="str">
        <f t="shared" si="103"/>
        <v>2029011</v>
      </c>
      <c r="I721" s="944" t="str">
        <f>IF(H721="","",CONCATENATE(G721,H721))</f>
        <v/>
      </c>
      <c r="J721" s="1039" t="s">
        <v>10792</v>
      </c>
      <c r="K721" s="886"/>
      <c r="L721" s="886"/>
      <c r="M721" s="886"/>
      <c r="N721" s="886"/>
      <c r="O721" s="886"/>
      <c r="P721" s="886"/>
      <c r="Q721" s="1165">
        <f>SUM(Q722:Q723)</f>
        <v>1254.6300000000001</v>
      </c>
      <c r="R721" s="882"/>
      <c r="S721" s="1269"/>
      <c r="T721" s="1254"/>
      <c r="U721" s="996"/>
      <c r="V721" s="996"/>
      <c r="W721" s="992"/>
    </row>
    <row r="722" spans="1:23" ht="14.5" customHeight="1">
      <c r="A722" s="1034"/>
      <c r="B722" s="1034"/>
      <c r="C722" s="987"/>
      <c r="E722" s="989"/>
      <c r="F722" s="988"/>
      <c r="G722" s="1095" t="str">
        <f t="shared" si="103"/>
        <v>2029011</v>
      </c>
      <c r="H722" s="1016" t="s">
        <v>5602</v>
      </c>
      <c r="J722" s="1039" t="s">
        <v>6240</v>
      </c>
      <c r="K722" s="886"/>
      <c r="L722" s="886"/>
      <c r="M722" s="886"/>
      <c r="N722" s="886"/>
      <c r="O722" s="886"/>
      <c r="P722" s="886"/>
      <c r="Q722" s="1167">
        <v>1254.6300000000001</v>
      </c>
      <c r="R722" s="882"/>
      <c r="S722" s="1269"/>
      <c r="T722" s="1254"/>
      <c r="U722" s="996" t="s">
        <v>10424</v>
      </c>
      <c r="V722" s="996"/>
      <c r="W722" s="992" t="s">
        <v>10793</v>
      </c>
    </row>
    <row r="723" spans="1:23" ht="14.5" customHeight="1">
      <c r="A723" s="1034"/>
      <c r="B723" s="1034"/>
      <c r="C723" s="987"/>
      <c r="F723" s="988"/>
      <c r="G723" s="1095" t="str">
        <f t="shared" si="103"/>
        <v>2029011</v>
      </c>
      <c r="H723" s="1016" t="s">
        <v>10475</v>
      </c>
      <c r="J723" s="1039" t="s">
        <v>6017</v>
      </c>
      <c r="K723" s="886"/>
      <c r="L723" s="886"/>
      <c r="M723" s="886"/>
      <c r="N723" s="886"/>
      <c r="O723" s="886"/>
      <c r="P723" s="886"/>
      <c r="Q723" s="1167">
        <v>0</v>
      </c>
      <c r="R723" s="882"/>
      <c r="S723" s="1269"/>
      <c r="T723" s="1254"/>
      <c r="U723" s="996" t="s">
        <v>10424</v>
      </c>
      <c r="V723" s="996"/>
      <c r="W723" s="992" t="s">
        <v>10794</v>
      </c>
    </row>
    <row r="724" spans="1:23" ht="14.5" customHeight="1">
      <c r="A724" s="1034"/>
      <c r="B724" s="1034"/>
      <c r="C724" s="987"/>
      <c r="D724" s="988" t="str">
        <f t="shared" ref="D724:D731" si="104">IF(C724="","",CONCATENATE(LEFT(C724,4),MID(C724,6,2)))</f>
        <v/>
      </c>
      <c r="E724" s="989"/>
      <c r="F724" s="988" t="str">
        <f t="shared" ref="F724:F731" si="105">IF(E724="","",CONCATENATE(LEFT(E724,4),MID(E724,6,3)))</f>
        <v/>
      </c>
      <c r="G724" s="1095" t="str">
        <f>IF(F724="",G723,F724)</f>
        <v>2029011</v>
      </c>
      <c r="I724" s="944" t="str">
        <f t="shared" ref="I724:I757" si="106">IF(H724="","",CONCATENATE(G724,H724))</f>
        <v/>
      </c>
      <c r="J724" s="1039" t="s">
        <v>10795</v>
      </c>
      <c r="K724" s="873"/>
      <c r="L724" s="886"/>
      <c r="M724" s="886"/>
      <c r="N724" s="886"/>
      <c r="O724" s="886"/>
      <c r="P724" s="886"/>
      <c r="Q724" s="1167">
        <v>2802.25</v>
      </c>
      <c r="R724" s="882"/>
      <c r="S724" s="1269"/>
      <c r="T724" s="1254"/>
      <c r="U724" s="996" t="s">
        <v>10122</v>
      </c>
      <c r="V724" s="996"/>
      <c r="W724" s="992" t="s">
        <v>10520</v>
      </c>
    </row>
    <row r="725" spans="1:23" ht="14.5" customHeight="1">
      <c r="A725" s="1034"/>
      <c r="B725" s="1034"/>
      <c r="C725" s="1042" t="s">
        <v>6242</v>
      </c>
      <c r="D725" s="1024" t="str">
        <f t="shared" si="104"/>
        <v>202902</v>
      </c>
      <c r="E725" s="1025" t="s">
        <v>6243</v>
      </c>
      <c r="F725" s="1024" t="str">
        <f t="shared" si="105"/>
        <v>2029021</v>
      </c>
      <c r="G725" s="1111" t="str">
        <f>IF(F725="",G724,F725)</f>
        <v>2029021</v>
      </c>
      <c r="H725" s="1112"/>
      <c r="I725" s="1113" t="str">
        <f t="shared" si="106"/>
        <v/>
      </c>
      <c r="J725" s="1043" t="s">
        <v>6244</v>
      </c>
      <c r="K725" s="913"/>
      <c r="L725" s="912"/>
      <c r="M725" s="912"/>
      <c r="N725" s="912"/>
      <c r="O725" s="912"/>
      <c r="P725" s="914">
        <f>Q725</f>
        <v>20288</v>
      </c>
      <c r="Q725" s="1186">
        <v>20288</v>
      </c>
      <c r="R725" s="929"/>
      <c r="S725" s="1280"/>
      <c r="T725" s="929"/>
      <c r="U725" s="1022" t="s">
        <v>10424</v>
      </c>
      <c r="V725" s="1022"/>
      <c r="W725" s="1027" t="s">
        <v>10520</v>
      </c>
    </row>
    <row r="726" spans="1:23" ht="14.5" customHeight="1">
      <c r="C726" s="1037" t="s">
        <v>6245</v>
      </c>
      <c r="D726" s="988" t="str">
        <f t="shared" si="104"/>
        <v>202903</v>
      </c>
      <c r="E726" s="989"/>
      <c r="F726" s="988" t="str">
        <f t="shared" si="105"/>
        <v/>
      </c>
      <c r="I726" s="944" t="str">
        <f t="shared" si="106"/>
        <v/>
      </c>
      <c r="J726" s="990" t="s">
        <v>248</v>
      </c>
      <c r="K726" s="873"/>
      <c r="L726" s="886"/>
      <c r="M726" s="886"/>
      <c r="N726" s="886"/>
      <c r="O726" s="886"/>
      <c r="P726" s="896">
        <f>Q727+Q728</f>
        <v>10403</v>
      </c>
      <c r="Q726" s="1161"/>
      <c r="R726" s="882"/>
      <c r="S726" s="1269"/>
      <c r="T726" s="1254"/>
      <c r="U726" s="996" t="s">
        <v>10612</v>
      </c>
      <c r="V726" s="996"/>
      <c r="W726" s="992"/>
    </row>
    <row r="727" spans="1:23" ht="14.5" customHeight="1">
      <c r="C727" s="994"/>
      <c r="D727" s="988" t="str">
        <f t="shared" si="104"/>
        <v/>
      </c>
      <c r="E727" s="989" t="s">
        <v>6246</v>
      </c>
      <c r="F727" s="988" t="str">
        <f t="shared" si="105"/>
        <v>2029031</v>
      </c>
      <c r="G727" s="1095" t="str">
        <f>IF(F727="",G726,F727)</f>
        <v>2029031</v>
      </c>
      <c r="H727" s="1016" t="s">
        <v>36</v>
      </c>
      <c r="I727" s="944" t="str">
        <f t="shared" si="106"/>
        <v>2029031001</v>
      </c>
      <c r="J727" s="990" t="s">
        <v>6247</v>
      </c>
      <c r="K727" s="873"/>
      <c r="L727" s="873"/>
      <c r="M727" s="873"/>
      <c r="N727" s="873"/>
      <c r="O727" s="873"/>
      <c r="P727" s="873"/>
      <c r="Q727" s="1174">
        <v>0</v>
      </c>
      <c r="R727" s="887"/>
      <c r="S727" s="1273"/>
      <c r="T727" s="1256"/>
      <c r="U727" s="996"/>
      <c r="V727" s="996"/>
      <c r="W727" s="992" t="s">
        <v>10796</v>
      </c>
    </row>
    <row r="728" spans="1:23" ht="14.5" customHeight="1">
      <c r="C728" s="994"/>
      <c r="D728" s="988" t="str">
        <f t="shared" si="104"/>
        <v/>
      </c>
      <c r="E728" s="989" t="s">
        <v>6248</v>
      </c>
      <c r="F728" s="988" t="str">
        <f t="shared" si="105"/>
        <v>2029032</v>
      </c>
      <c r="G728" s="1095" t="str">
        <f>IF(F728="",G727,F728)</f>
        <v>2029032</v>
      </c>
      <c r="I728" s="944" t="str">
        <f t="shared" si="106"/>
        <v/>
      </c>
      <c r="J728" s="990" t="s">
        <v>248</v>
      </c>
      <c r="K728" s="873"/>
      <c r="L728" s="873"/>
      <c r="M728" s="873"/>
      <c r="N728" s="873"/>
      <c r="O728" s="873"/>
      <c r="P728" s="873"/>
      <c r="Q728" s="1161">
        <f>ROUND(SUM(Q729:Q730),0)</f>
        <v>10403</v>
      </c>
      <c r="R728" s="887"/>
      <c r="S728" s="1273"/>
      <c r="T728" s="1256"/>
      <c r="U728" s="996"/>
      <c r="V728" s="996"/>
      <c r="W728" s="992"/>
    </row>
    <row r="729" spans="1:23" ht="14.5" customHeight="1">
      <c r="C729" s="994"/>
      <c r="D729" s="988" t="str">
        <f t="shared" si="104"/>
        <v/>
      </c>
      <c r="E729" s="989"/>
      <c r="F729" s="988" t="str">
        <f t="shared" si="105"/>
        <v/>
      </c>
      <c r="G729" s="1095" t="str">
        <f>IF(F729="",G728,F729)</f>
        <v>2029032</v>
      </c>
      <c r="H729" s="1016" t="s">
        <v>5534</v>
      </c>
      <c r="I729" s="944" t="str">
        <f t="shared" si="106"/>
        <v>2029032101</v>
      </c>
      <c r="J729" s="991" t="s">
        <v>6249</v>
      </c>
      <c r="K729" s="873"/>
      <c r="L729" s="873"/>
      <c r="M729" s="873"/>
      <c r="N729" s="873"/>
      <c r="O729" s="873"/>
      <c r="P729" s="873"/>
      <c r="Q729" s="1167">
        <v>10405.31</v>
      </c>
      <c r="R729" s="887"/>
      <c r="S729" s="1273"/>
      <c r="T729" s="1256"/>
      <c r="U729" s="996"/>
      <c r="V729" s="996"/>
      <c r="W729" s="992" t="s">
        <v>10797</v>
      </c>
    </row>
    <row r="730" spans="1:23" ht="14.5" customHeight="1">
      <c r="C730" s="994"/>
      <c r="D730" s="988" t="str">
        <f t="shared" si="104"/>
        <v/>
      </c>
      <c r="E730" s="989"/>
      <c r="F730" s="988" t="str">
        <f t="shared" si="105"/>
        <v/>
      </c>
      <c r="G730" s="1095" t="str">
        <f>IF(F730="",G729,F730)</f>
        <v>2029032</v>
      </c>
      <c r="H730" s="1016" t="s">
        <v>10490</v>
      </c>
      <c r="I730" s="944" t="str">
        <f t="shared" si="106"/>
        <v>2029032Y01</v>
      </c>
      <c r="J730" s="991" t="s">
        <v>6155</v>
      </c>
      <c r="K730" s="873"/>
      <c r="L730" s="873"/>
      <c r="M730" s="873"/>
      <c r="N730" s="873"/>
      <c r="O730" s="873"/>
      <c r="P730" s="873"/>
      <c r="Q730" s="1167">
        <v>-2.14</v>
      </c>
      <c r="R730" s="887"/>
      <c r="S730" s="1273"/>
      <c r="T730" s="1256"/>
      <c r="U730" s="996"/>
      <c r="V730" s="996"/>
      <c r="W730" s="992"/>
    </row>
    <row r="731" spans="1:23" ht="14.5" customHeight="1">
      <c r="C731" s="1040" t="s">
        <v>6250</v>
      </c>
      <c r="D731" s="982" t="str">
        <f t="shared" si="104"/>
        <v>202909</v>
      </c>
      <c r="E731" s="983" t="s">
        <v>6251</v>
      </c>
      <c r="F731" s="982" t="str">
        <f t="shared" si="105"/>
        <v>2029099</v>
      </c>
      <c r="G731" s="1103" t="str">
        <f>IF(F731="",G730,F731)</f>
        <v>2029099</v>
      </c>
      <c r="H731" s="1102"/>
      <c r="I731" s="947" t="str">
        <f t="shared" si="106"/>
        <v/>
      </c>
      <c r="J731" s="984" t="s">
        <v>249</v>
      </c>
      <c r="K731" s="897"/>
      <c r="L731" s="897"/>
      <c r="M731" s="897"/>
      <c r="N731" s="889"/>
      <c r="O731" s="889"/>
      <c r="P731" s="881">
        <f>Q731</f>
        <v>103436</v>
      </c>
      <c r="Q731" s="1169">
        <f>ROUND(SUM(Q732:Q751),0)</f>
        <v>103436</v>
      </c>
      <c r="R731" s="880"/>
      <c r="S731" s="1270"/>
      <c r="T731" s="880"/>
      <c r="U731" s="985"/>
      <c r="V731" s="993"/>
      <c r="W731" s="986"/>
    </row>
    <row r="732" spans="1:23" ht="14.5" customHeight="1">
      <c r="C732" s="1037"/>
      <c r="D732" s="995"/>
      <c r="E732" s="989"/>
      <c r="F732" s="995"/>
      <c r="G732" s="1106" t="str">
        <f t="shared" ref="G732:G751" si="107">IF(F732="",G731,F732)</f>
        <v>2029099</v>
      </c>
      <c r="H732" s="1016" t="s">
        <v>5534</v>
      </c>
      <c r="I732" s="944" t="str">
        <f t="shared" si="106"/>
        <v>2029099101</v>
      </c>
      <c r="J732" s="991" t="s">
        <v>6252</v>
      </c>
      <c r="K732" s="873"/>
      <c r="L732" s="873"/>
      <c r="M732" s="873"/>
      <c r="N732" s="886"/>
      <c r="O732" s="886"/>
      <c r="P732" s="886"/>
      <c r="Q732" s="1167">
        <v>0</v>
      </c>
      <c r="R732" s="882"/>
      <c r="S732" s="1269"/>
      <c r="T732" s="1254"/>
      <c r="U732" s="996" t="s">
        <v>10766</v>
      </c>
      <c r="V732" s="996"/>
      <c r="W732" s="992"/>
    </row>
    <row r="733" spans="1:23" ht="14.5" customHeight="1">
      <c r="C733" s="1037"/>
      <c r="D733" s="995"/>
      <c r="E733" s="989"/>
      <c r="F733" s="995"/>
      <c r="G733" s="1106" t="str">
        <f t="shared" si="107"/>
        <v>2029099</v>
      </c>
      <c r="H733" s="1016" t="s">
        <v>5602</v>
      </c>
      <c r="I733" s="944" t="str">
        <f t="shared" si="106"/>
        <v>2029099201</v>
      </c>
      <c r="J733" s="991" t="s">
        <v>6253</v>
      </c>
      <c r="K733" s="873"/>
      <c r="L733" s="873"/>
      <c r="M733" s="873"/>
      <c r="N733" s="886"/>
      <c r="O733" s="886"/>
      <c r="P733" s="886"/>
      <c r="Q733" s="1167">
        <v>0</v>
      </c>
      <c r="R733" s="882"/>
      <c r="S733" s="1269"/>
      <c r="T733" s="1254"/>
      <c r="U733" s="996" t="s">
        <v>10122</v>
      </c>
      <c r="V733" s="996"/>
      <c r="W733" s="992"/>
    </row>
    <row r="734" spans="1:23" ht="14.5" customHeight="1">
      <c r="C734" s="1037"/>
      <c r="D734" s="995"/>
      <c r="E734" s="989"/>
      <c r="F734" s="995"/>
      <c r="G734" s="1106" t="str">
        <f t="shared" si="107"/>
        <v>2029099</v>
      </c>
      <c r="H734" s="1016" t="s">
        <v>5844</v>
      </c>
      <c r="I734" s="944" t="str">
        <f t="shared" si="106"/>
        <v>2029099202</v>
      </c>
      <c r="J734" s="991" t="s">
        <v>6254</v>
      </c>
      <c r="K734" s="873"/>
      <c r="L734" s="873"/>
      <c r="M734" s="873"/>
      <c r="N734" s="886"/>
      <c r="O734" s="886"/>
      <c r="P734" s="886"/>
      <c r="Q734" s="1167">
        <v>0</v>
      </c>
      <c r="R734" s="882"/>
      <c r="S734" s="1269"/>
      <c r="T734" s="1254"/>
      <c r="U734" s="996" t="s">
        <v>10424</v>
      </c>
      <c r="V734" s="996"/>
      <c r="W734" s="992" t="s">
        <v>10798</v>
      </c>
    </row>
    <row r="735" spans="1:23" ht="14.5" customHeight="1">
      <c r="C735" s="1037"/>
      <c r="D735" s="995"/>
      <c r="E735" s="989"/>
      <c r="F735" s="995"/>
      <c r="G735" s="1106" t="str">
        <f t="shared" si="107"/>
        <v>2029099</v>
      </c>
      <c r="H735" s="1016" t="s">
        <v>5484</v>
      </c>
      <c r="I735" s="944" t="str">
        <f t="shared" si="106"/>
        <v>2029099301</v>
      </c>
      <c r="J735" s="991" t="s">
        <v>6255</v>
      </c>
      <c r="K735" s="873"/>
      <c r="L735" s="873"/>
      <c r="M735" s="873"/>
      <c r="N735" s="886"/>
      <c r="O735" s="886"/>
      <c r="P735" s="886"/>
      <c r="Q735" s="1167">
        <v>0</v>
      </c>
      <c r="R735" s="882"/>
      <c r="S735" s="1269"/>
      <c r="T735" s="1254"/>
      <c r="U735" s="996" t="s">
        <v>10766</v>
      </c>
      <c r="V735" s="996"/>
      <c r="W735" s="992"/>
    </row>
    <row r="736" spans="1:23" ht="14.5" customHeight="1">
      <c r="C736" s="1037"/>
      <c r="D736" s="995"/>
      <c r="E736" s="989"/>
      <c r="F736" s="995"/>
      <c r="G736" s="1106" t="str">
        <f t="shared" si="107"/>
        <v>2029099</v>
      </c>
      <c r="H736" s="1016" t="s">
        <v>6047</v>
      </c>
      <c r="I736" s="944" t="str">
        <f t="shared" si="106"/>
        <v>2029099302</v>
      </c>
      <c r="J736" s="991" t="s">
        <v>6256</v>
      </c>
      <c r="K736" s="873"/>
      <c r="L736" s="873"/>
      <c r="M736" s="873"/>
      <c r="N736" s="886"/>
      <c r="O736" s="886"/>
      <c r="P736" s="886"/>
      <c r="Q736" s="1167">
        <v>95.52</v>
      </c>
      <c r="R736" s="882"/>
      <c r="S736" s="1269"/>
      <c r="T736" s="1254"/>
      <c r="U736" s="996" t="s">
        <v>10424</v>
      </c>
      <c r="V736" s="996"/>
      <c r="W736" s="992"/>
    </row>
    <row r="737" spans="3:23" ht="14.5" customHeight="1">
      <c r="C737" s="1037"/>
      <c r="D737" s="995"/>
      <c r="E737" s="989"/>
      <c r="F737" s="995"/>
      <c r="G737" s="1106" t="str">
        <f t="shared" si="107"/>
        <v>2029099</v>
      </c>
      <c r="H737" s="1016" t="s">
        <v>5486</v>
      </c>
      <c r="I737" s="944" t="str">
        <f t="shared" si="106"/>
        <v>2029099401</v>
      </c>
      <c r="J737" s="991" t="s">
        <v>6257</v>
      </c>
      <c r="K737" s="873"/>
      <c r="L737" s="873"/>
      <c r="M737" s="873"/>
      <c r="N737" s="886"/>
      <c r="O737" s="886"/>
      <c r="P737" s="886"/>
      <c r="Q737" s="1167">
        <v>0</v>
      </c>
      <c r="R737" s="882"/>
      <c r="S737" s="1269"/>
      <c r="T737" s="1254"/>
      <c r="U737" s="996" t="s">
        <v>10424</v>
      </c>
      <c r="V737" s="996"/>
      <c r="W737" s="992" t="s">
        <v>10798</v>
      </c>
    </row>
    <row r="738" spans="3:23" ht="14.5" customHeight="1">
      <c r="C738" s="1037"/>
      <c r="D738" s="995"/>
      <c r="E738" s="989"/>
      <c r="F738" s="995"/>
      <c r="G738" s="1106" t="str">
        <f t="shared" si="107"/>
        <v>2029099</v>
      </c>
      <c r="H738" s="1016" t="s">
        <v>5488</v>
      </c>
      <c r="I738" s="944" t="str">
        <f t="shared" si="106"/>
        <v>2029099501</v>
      </c>
      <c r="J738" s="991" t="s">
        <v>6258</v>
      </c>
      <c r="K738" s="873"/>
      <c r="L738" s="873"/>
      <c r="M738" s="873"/>
      <c r="N738" s="886"/>
      <c r="O738" s="886"/>
      <c r="P738" s="886"/>
      <c r="Q738" s="1167">
        <v>1040</v>
      </c>
      <c r="R738" s="882"/>
      <c r="S738" s="1269"/>
      <c r="T738" s="1254"/>
      <c r="U738" s="996" t="s">
        <v>10799</v>
      </c>
      <c r="V738" s="996"/>
      <c r="W738" s="992"/>
    </row>
    <row r="739" spans="3:23" ht="14.5" customHeight="1">
      <c r="C739" s="1037"/>
      <c r="D739" s="995"/>
      <c r="E739" s="989"/>
      <c r="F739" s="995"/>
      <c r="G739" s="1106" t="str">
        <f t="shared" si="107"/>
        <v>2029099</v>
      </c>
      <c r="H739" s="1016" t="s">
        <v>5490</v>
      </c>
      <c r="I739" s="944" t="str">
        <f t="shared" si="106"/>
        <v>2029099502</v>
      </c>
      <c r="J739" s="991" t="s">
        <v>6259</v>
      </c>
      <c r="K739" s="873"/>
      <c r="L739" s="873"/>
      <c r="M739" s="873"/>
      <c r="N739" s="886"/>
      <c r="O739" s="886"/>
      <c r="P739" s="886"/>
      <c r="Q739" s="1167">
        <v>0</v>
      </c>
      <c r="R739" s="882"/>
      <c r="S739" s="1269"/>
      <c r="T739" s="1254"/>
      <c r="U739" s="996" t="s">
        <v>10389</v>
      </c>
      <c r="V739" s="996"/>
      <c r="W739" s="992"/>
    </row>
    <row r="740" spans="3:23" ht="14.5" customHeight="1">
      <c r="C740" s="1037"/>
      <c r="D740" s="995"/>
      <c r="E740" s="989"/>
      <c r="F740" s="995"/>
      <c r="G740" s="1106" t="str">
        <f t="shared" si="107"/>
        <v>2029099</v>
      </c>
      <c r="H740" s="1016" t="s">
        <v>5514</v>
      </c>
      <c r="I740" s="944" t="str">
        <f t="shared" si="106"/>
        <v>2029099601</v>
      </c>
      <c r="J740" s="991" t="s">
        <v>6260</v>
      </c>
      <c r="K740" s="873"/>
      <c r="L740" s="873"/>
      <c r="M740" s="873"/>
      <c r="N740" s="886"/>
      <c r="O740" s="886"/>
      <c r="P740" s="886"/>
      <c r="Q740" s="1167">
        <v>24</v>
      </c>
      <c r="R740" s="882"/>
      <c r="S740" s="1269"/>
      <c r="T740" s="1254"/>
      <c r="U740" s="996" t="s">
        <v>10389</v>
      </c>
      <c r="V740" s="996"/>
      <c r="W740" s="992"/>
    </row>
    <row r="741" spans="3:23" ht="14.5" customHeight="1">
      <c r="C741" s="1037"/>
      <c r="D741" s="995"/>
      <c r="E741" s="989"/>
      <c r="F741" s="995"/>
      <c r="G741" s="1106" t="str">
        <f t="shared" si="107"/>
        <v>2029099</v>
      </c>
      <c r="H741" s="1016" t="s">
        <v>10700</v>
      </c>
      <c r="I741" s="944" t="str">
        <f t="shared" si="106"/>
        <v>2029099602</v>
      </c>
      <c r="J741" s="991" t="s">
        <v>6261</v>
      </c>
      <c r="K741" s="873"/>
      <c r="L741" s="873"/>
      <c r="M741" s="873"/>
      <c r="N741" s="886"/>
      <c r="O741" s="886"/>
      <c r="P741" s="886"/>
      <c r="Q741" s="1167">
        <v>0</v>
      </c>
      <c r="R741" s="882"/>
      <c r="S741" s="1269"/>
      <c r="T741" s="1254"/>
      <c r="U741" s="996" t="s">
        <v>10424</v>
      </c>
      <c r="V741" s="996"/>
      <c r="W741" s="992" t="s">
        <v>10798</v>
      </c>
    </row>
    <row r="742" spans="3:23" ht="14.5" customHeight="1">
      <c r="C742" s="1037"/>
      <c r="D742" s="995"/>
      <c r="E742" s="989"/>
      <c r="F742" s="995"/>
      <c r="G742" s="1106" t="str">
        <f t="shared" si="107"/>
        <v>2029099</v>
      </c>
      <c r="H742" s="1016" t="s">
        <v>10327</v>
      </c>
      <c r="I742" s="944" t="str">
        <f t="shared" si="106"/>
        <v>2029099603</v>
      </c>
      <c r="J742" s="991" t="s">
        <v>6263</v>
      </c>
      <c r="K742" s="873"/>
      <c r="L742" s="873"/>
      <c r="M742" s="873"/>
      <c r="N742" s="886"/>
      <c r="O742" s="886"/>
      <c r="P742" s="886"/>
      <c r="Q742" s="1167">
        <v>977.88</v>
      </c>
      <c r="R742" s="882"/>
      <c r="S742" s="1269"/>
      <c r="T742" s="1254"/>
      <c r="U742" s="996" t="s">
        <v>10122</v>
      </c>
      <c r="V742" s="996"/>
      <c r="W742" s="992"/>
    </row>
    <row r="743" spans="3:23" ht="14.5" customHeight="1">
      <c r="C743" s="1037"/>
      <c r="D743" s="995"/>
      <c r="E743" s="989"/>
      <c r="F743" s="995"/>
      <c r="G743" s="1106" t="str">
        <f t="shared" si="107"/>
        <v>2029099</v>
      </c>
      <c r="H743" s="1016" t="s">
        <v>10329</v>
      </c>
      <c r="I743" s="944" t="str">
        <f t="shared" si="106"/>
        <v>2029099604</v>
      </c>
      <c r="J743" s="991" t="s">
        <v>6264</v>
      </c>
      <c r="K743" s="873"/>
      <c r="L743" s="873"/>
      <c r="M743" s="873"/>
      <c r="N743" s="886"/>
      <c r="O743" s="886"/>
      <c r="P743" s="886"/>
      <c r="Q743" s="1167">
        <v>556</v>
      </c>
      <c r="R743" s="882"/>
      <c r="S743" s="1269"/>
      <c r="T743" s="1254"/>
      <c r="U743" s="996" t="s">
        <v>10799</v>
      </c>
      <c r="V743" s="996"/>
      <c r="W743" s="992"/>
    </row>
    <row r="744" spans="3:23" ht="14.5" customHeight="1">
      <c r="C744" s="1037"/>
      <c r="D744" s="995"/>
      <c r="E744" s="989"/>
      <c r="F744" s="995"/>
      <c r="G744" s="1106" t="str">
        <f t="shared" si="107"/>
        <v>2029099</v>
      </c>
      <c r="H744" s="1016" t="s">
        <v>10330</v>
      </c>
      <c r="I744" s="944" t="str">
        <f t="shared" si="106"/>
        <v>2029099605</v>
      </c>
      <c r="J744" s="991" t="s">
        <v>6265</v>
      </c>
      <c r="K744" s="873"/>
      <c r="L744" s="873"/>
      <c r="M744" s="873"/>
      <c r="N744" s="886"/>
      <c r="O744" s="886"/>
      <c r="P744" s="886"/>
      <c r="Q744" s="1167">
        <v>1966</v>
      </c>
      <c r="R744" s="882"/>
      <c r="S744" s="1269"/>
      <c r="T744" s="1254"/>
      <c r="U744" s="996" t="s">
        <v>10800</v>
      </c>
      <c r="V744" s="996"/>
      <c r="W744" s="992"/>
    </row>
    <row r="745" spans="3:23" ht="14.5" customHeight="1">
      <c r="C745" s="1037"/>
      <c r="D745" s="995"/>
      <c r="E745" s="989"/>
      <c r="F745" s="995"/>
      <c r="G745" s="1106" t="str">
        <f t="shared" si="107"/>
        <v>2029099</v>
      </c>
      <c r="H745" s="1016" t="s">
        <v>10801</v>
      </c>
      <c r="I745" s="944" t="str">
        <f t="shared" si="106"/>
        <v>2029099606</v>
      </c>
      <c r="J745" s="991" t="s">
        <v>6266</v>
      </c>
      <c r="K745" s="873"/>
      <c r="L745" s="873"/>
      <c r="M745" s="873"/>
      <c r="N745" s="886"/>
      <c r="O745" s="886"/>
      <c r="P745" s="886"/>
      <c r="Q745" s="1167">
        <v>0</v>
      </c>
      <c r="R745" s="882"/>
      <c r="S745" s="1269"/>
      <c r="T745" s="1254"/>
      <c r="U745" s="996" t="s">
        <v>10122</v>
      </c>
      <c r="V745" s="996"/>
      <c r="W745" s="992"/>
    </row>
    <row r="746" spans="3:23" ht="14.5" customHeight="1">
      <c r="C746" s="1037"/>
      <c r="D746" s="995"/>
      <c r="E746" s="989"/>
      <c r="F746" s="995"/>
      <c r="G746" s="1106" t="str">
        <f t="shared" si="107"/>
        <v>2029099</v>
      </c>
      <c r="H746" s="1016" t="s">
        <v>10802</v>
      </c>
      <c r="I746" s="944" t="str">
        <f t="shared" si="106"/>
        <v>2029099607</v>
      </c>
      <c r="J746" s="991" t="s">
        <v>6267</v>
      </c>
      <c r="K746" s="873"/>
      <c r="L746" s="873"/>
      <c r="M746" s="873"/>
      <c r="N746" s="886"/>
      <c r="O746" s="886"/>
      <c r="P746" s="886"/>
      <c r="Q746" s="1167">
        <v>0</v>
      </c>
      <c r="R746" s="882"/>
      <c r="S746" s="1269"/>
      <c r="T746" s="1254"/>
      <c r="U746" s="996" t="s">
        <v>10122</v>
      </c>
      <c r="V746" s="996"/>
      <c r="W746" s="992"/>
    </row>
    <row r="747" spans="3:23" ht="14.5" customHeight="1">
      <c r="C747" s="1037"/>
      <c r="D747" s="995"/>
      <c r="E747" s="989"/>
      <c r="F747" s="995"/>
      <c r="G747" s="1106" t="str">
        <f t="shared" si="107"/>
        <v>2029099</v>
      </c>
      <c r="H747" s="1016" t="s">
        <v>10803</v>
      </c>
      <c r="I747" s="944" t="str">
        <f t="shared" si="106"/>
        <v>2029099608</v>
      </c>
      <c r="J747" s="991" t="s">
        <v>6268</v>
      </c>
      <c r="K747" s="873"/>
      <c r="L747" s="873"/>
      <c r="M747" s="873"/>
      <c r="N747" s="886"/>
      <c r="O747" s="886"/>
      <c r="P747" s="886"/>
      <c r="Q747" s="1167">
        <v>0</v>
      </c>
      <c r="R747" s="882"/>
      <c r="S747" s="1269"/>
      <c r="T747" s="1254"/>
      <c r="U747" s="996" t="s">
        <v>10122</v>
      </c>
      <c r="V747" s="996"/>
      <c r="W747" s="992"/>
    </row>
    <row r="748" spans="3:23" ht="14.5" customHeight="1">
      <c r="C748" s="1037"/>
      <c r="D748" s="995"/>
      <c r="E748" s="989"/>
      <c r="F748" s="995"/>
      <c r="G748" s="1106" t="str">
        <f t="shared" si="107"/>
        <v>2029099</v>
      </c>
      <c r="H748" s="1016" t="s">
        <v>10804</v>
      </c>
      <c r="I748" s="944" t="str">
        <f t="shared" si="106"/>
        <v>2029099609</v>
      </c>
      <c r="J748" s="991" t="s">
        <v>6269</v>
      </c>
      <c r="K748" s="873"/>
      <c r="L748" s="873"/>
      <c r="M748" s="873"/>
      <c r="N748" s="886"/>
      <c r="O748" s="886"/>
      <c r="P748" s="886"/>
      <c r="Q748" s="1167">
        <v>0</v>
      </c>
      <c r="R748" s="882"/>
      <c r="S748" s="1269"/>
      <c r="T748" s="1254"/>
      <c r="U748" s="996" t="s">
        <v>10424</v>
      </c>
      <c r="V748" s="996"/>
      <c r="W748" s="992" t="s">
        <v>10798</v>
      </c>
    </row>
    <row r="749" spans="3:23" ht="14.5" customHeight="1">
      <c r="C749" s="1037"/>
      <c r="D749" s="995"/>
      <c r="E749" s="989"/>
      <c r="F749" s="995"/>
      <c r="G749" s="1106" t="str">
        <f t="shared" si="107"/>
        <v>2029099</v>
      </c>
      <c r="H749" s="1016" t="s">
        <v>10805</v>
      </c>
      <c r="I749" s="944" t="str">
        <f t="shared" si="106"/>
        <v>2029099610</v>
      </c>
      <c r="J749" s="991" t="s">
        <v>6270</v>
      </c>
      <c r="K749" s="873"/>
      <c r="L749" s="873"/>
      <c r="M749" s="873"/>
      <c r="N749" s="886"/>
      <c r="O749" s="886"/>
      <c r="P749" s="886"/>
      <c r="Q749" s="1167">
        <v>2055.2800000000002</v>
      </c>
      <c r="R749" s="882"/>
      <c r="S749" s="1269"/>
      <c r="T749" s="1254"/>
      <c r="U749" s="996" t="s">
        <v>10122</v>
      </c>
      <c r="V749" s="996"/>
      <c r="W749" s="992"/>
    </row>
    <row r="750" spans="3:23" ht="14.5" customHeight="1">
      <c r="C750" s="1037"/>
      <c r="D750" s="995"/>
      <c r="E750" s="989"/>
      <c r="F750" s="995"/>
      <c r="G750" s="1106" t="str">
        <f t="shared" si="107"/>
        <v>2029099</v>
      </c>
      <c r="H750" s="1016" t="s">
        <v>10806</v>
      </c>
      <c r="I750" s="944" t="str">
        <f t="shared" si="106"/>
        <v>2029099611</v>
      </c>
      <c r="J750" s="991" t="s">
        <v>6271</v>
      </c>
      <c r="K750" s="873"/>
      <c r="L750" s="873"/>
      <c r="M750" s="873"/>
      <c r="N750" s="886"/>
      <c r="O750" s="886"/>
      <c r="P750" s="886"/>
      <c r="Q750" s="1167">
        <f>99286.3-1966-0</f>
        <v>97320.3</v>
      </c>
      <c r="R750" s="882"/>
      <c r="S750" s="1269"/>
      <c r="T750" s="1254"/>
      <c r="U750" s="996" t="s">
        <v>10807</v>
      </c>
      <c r="V750" s="996"/>
      <c r="W750" s="992" t="s">
        <v>10808</v>
      </c>
    </row>
    <row r="751" spans="3:23" ht="14.5" customHeight="1">
      <c r="C751" s="1036"/>
      <c r="D751" s="1018"/>
      <c r="E751" s="1000"/>
      <c r="F751" s="1018"/>
      <c r="G751" s="1115" t="str">
        <f t="shared" si="107"/>
        <v>2029099</v>
      </c>
      <c r="H751" s="1005" t="s">
        <v>10456</v>
      </c>
      <c r="I751" s="1002" t="str">
        <f t="shared" si="106"/>
        <v>2029099Y01</v>
      </c>
      <c r="J751" s="978" t="s">
        <v>6155</v>
      </c>
      <c r="K751" s="872"/>
      <c r="L751" s="872"/>
      <c r="M751" s="872"/>
      <c r="N751" s="893"/>
      <c r="O751" s="893"/>
      <c r="P751" s="893"/>
      <c r="Q751" s="1170">
        <v>-598.83000000000004</v>
      </c>
      <c r="R751" s="900"/>
      <c r="S751" s="1272"/>
      <c r="T751" s="900"/>
      <c r="U751" s="1006" t="s">
        <v>10809</v>
      </c>
      <c r="V751" s="1006"/>
      <c r="W751" s="1003"/>
    </row>
    <row r="752" spans="3:23" ht="14.5" customHeight="1">
      <c r="C752" s="1037" t="s">
        <v>6272</v>
      </c>
      <c r="D752" s="988" t="str">
        <f t="shared" ref="D752:D757" si="108">IF(C752="","",CONCATENATE(LEFT(C752,4),MID(C752,6,2)))</f>
        <v>203101</v>
      </c>
      <c r="E752" s="989" t="s">
        <v>10810</v>
      </c>
      <c r="F752" s="988" t="str">
        <f t="shared" ref="F752:F757" si="109">IF(E752="","",CONCATENATE(LEFT(E752,4),MID(E752,6,3)))</f>
        <v>2031011</v>
      </c>
      <c r="G752" s="1095" t="str">
        <f>IF(F752="",G751,F752)</f>
        <v>2031011</v>
      </c>
      <c r="I752" s="944" t="str">
        <f t="shared" si="106"/>
        <v/>
      </c>
      <c r="J752" s="990" t="s">
        <v>6273</v>
      </c>
      <c r="K752" s="886"/>
      <c r="L752" s="886"/>
      <c r="M752" s="886"/>
      <c r="N752" s="886"/>
      <c r="O752" s="886"/>
      <c r="P752" s="896">
        <f>Q752</f>
        <v>0</v>
      </c>
      <c r="Q752" s="1171">
        <f>Q753+Q754+Q755+SUM(Q753:Q755)</f>
        <v>0</v>
      </c>
      <c r="R752" s="882"/>
      <c r="S752" s="1269"/>
      <c r="T752" s="1254"/>
      <c r="U752" s="996" t="s">
        <v>10807</v>
      </c>
      <c r="V752" s="996"/>
      <c r="W752" s="992" t="s">
        <v>10811</v>
      </c>
    </row>
    <row r="753" spans="1:23" ht="14.5" customHeight="1">
      <c r="C753" s="987"/>
      <c r="D753" s="988" t="str">
        <f t="shared" si="108"/>
        <v/>
      </c>
      <c r="E753" s="989"/>
      <c r="F753" s="988" t="str">
        <f t="shared" si="109"/>
        <v/>
      </c>
      <c r="G753" s="1095" t="str">
        <f>IF(F753="",G752,F753)</f>
        <v>2031011</v>
      </c>
      <c r="I753" s="944" t="str">
        <f t="shared" si="106"/>
        <v/>
      </c>
      <c r="J753" s="991" t="s">
        <v>10812</v>
      </c>
      <c r="K753" s="886"/>
      <c r="L753" s="886"/>
      <c r="M753" s="886"/>
      <c r="N753" s="886"/>
      <c r="O753" s="886"/>
      <c r="P753" s="886"/>
      <c r="Q753" s="1167">
        <v>0</v>
      </c>
      <c r="R753" s="882"/>
      <c r="S753" s="1269"/>
      <c r="T753" s="1254"/>
      <c r="U753" s="996"/>
      <c r="V753" s="996"/>
      <c r="W753" s="992"/>
    </row>
    <row r="754" spans="1:23" ht="14.5" customHeight="1">
      <c r="C754" s="987"/>
      <c r="D754" s="988" t="str">
        <f t="shared" si="108"/>
        <v/>
      </c>
      <c r="E754" s="989"/>
      <c r="F754" s="988" t="str">
        <f t="shared" si="109"/>
        <v/>
      </c>
      <c r="G754" s="1095" t="str">
        <f>IF(F754="",G753,F754)</f>
        <v>2031011</v>
      </c>
      <c r="I754" s="944" t="str">
        <f t="shared" si="106"/>
        <v/>
      </c>
      <c r="J754" s="991" t="s">
        <v>10813</v>
      </c>
      <c r="K754" s="886"/>
      <c r="L754" s="886"/>
      <c r="M754" s="886"/>
      <c r="N754" s="886"/>
      <c r="O754" s="886"/>
      <c r="P754" s="886"/>
      <c r="Q754" s="1167">
        <v>0</v>
      </c>
      <c r="R754" s="882"/>
      <c r="S754" s="1269"/>
      <c r="T754" s="1254"/>
      <c r="U754" s="996"/>
      <c r="V754" s="996"/>
      <c r="W754" s="992"/>
    </row>
    <row r="755" spans="1:23" ht="14.5" customHeight="1">
      <c r="C755" s="998"/>
      <c r="D755" s="999" t="str">
        <f t="shared" si="108"/>
        <v/>
      </c>
      <c r="E755" s="1000"/>
      <c r="F755" s="999" t="str">
        <f t="shared" si="109"/>
        <v/>
      </c>
      <c r="G755" s="1104" t="str">
        <f>IF(F755="",G754,F755)</f>
        <v>2031011</v>
      </c>
      <c r="H755" s="1005"/>
      <c r="I755" s="1002" t="str">
        <f t="shared" si="106"/>
        <v/>
      </c>
      <c r="J755" s="978" t="s">
        <v>10814</v>
      </c>
      <c r="K755" s="893"/>
      <c r="L755" s="893"/>
      <c r="M755" s="893"/>
      <c r="N755" s="893"/>
      <c r="O755" s="893"/>
      <c r="P755" s="893"/>
      <c r="Q755" s="1170">
        <v>0</v>
      </c>
      <c r="R755" s="900"/>
      <c r="S755" s="1272"/>
      <c r="T755" s="900"/>
      <c r="U755" s="1006"/>
      <c r="V755" s="1006"/>
      <c r="W755" s="1003"/>
    </row>
    <row r="756" spans="1:23" ht="14.5" customHeight="1">
      <c r="C756" s="1037" t="s">
        <v>6277</v>
      </c>
      <c r="D756" s="988" t="str">
        <f t="shared" si="108"/>
        <v>203102</v>
      </c>
      <c r="E756" s="989" t="s">
        <v>10815</v>
      </c>
      <c r="F756" s="988" t="str">
        <f t="shared" si="109"/>
        <v>2031021</v>
      </c>
      <c r="G756" s="1106" t="str">
        <f t="shared" ref="G756:G763" si="110">IF(F756="",G755,F756)</f>
        <v>2031021</v>
      </c>
      <c r="I756" s="944" t="str">
        <f t="shared" si="106"/>
        <v/>
      </c>
      <c r="J756" s="990" t="s">
        <v>6278</v>
      </c>
      <c r="K756" s="886"/>
      <c r="L756" s="886"/>
      <c r="M756" s="886"/>
      <c r="N756" s="886"/>
      <c r="O756" s="886"/>
      <c r="P756" s="896">
        <f>Q756</f>
        <v>3240</v>
      </c>
      <c r="Q756" s="1171">
        <f>ROUND(Q757+Q760+Q763+Q764,0)</f>
        <v>3240</v>
      </c>
      <c r="R756" s="882"/>
      <c r="S756" s="1269"/>
      <c r="T756" s="1254"/>
      <c r="U756" s="996"/>
      <c r="V756" s="996"/>
      <c r="W756" s="992"/>
    </row>
    <row r="757" spans="1:23" ht="14.5" customHeight="1">
      <c r="C757" s="987"/>
      <c r="D757" s="988" t="str">
        <f t="shared" si="108"/>
        <v/>
      </c>
      <c r="E757" s="989"/>
      <c r="F757" s="988" t="str">
        <f t="shared" si="109"/>
        <v/>
      </c>
      <c r="G757" s="1095" t="str">
        <f t="shared" si="110"/>
        <v>2031021</v>
      </c>
      <c r="I757" s="944" t="str">
        <f t="shared" si="106"/>
        <v/>
      </c>
      <c r="J757" s="991" t="s">
        <v>10816</v>
      </c>
      <c r="K757" s="886"/>
      <c r="L757" s="886"/>
      <c r="M757" s="886"/>
      <c r="N757" s="886"/>
      <c r="O757" s="886"/>
      <c r="P757" s="886"/>
      <c r="Q757" s="1165">
        <f>SUM(Q758:Q759)</f>
        <v>2974</v>
      </c>
      <c r="R757" s="882"/>
      <c r="S757" s="1269"/>
      <c r="T757" s="1254"/>
      <c r="U757" s="996"/>
      <c r="V757" s="996"/>
      <c r="W757" s="992"/>
    </row>
    <row r="758" spans="1:23" ht="14.5" customHeight="1">
      <c r="A758" s="1034"/>
      <c r="B758" s="1034"/>
      <c r="C758" s="987"/>
      <c r="E758" s="989"/>
      <c r="F758" s="988"/>
      <c r="G758" s="1095" t="str">
        <f t="shared" si="110"/>
        <v>2031021</v>
      </c>
      <c r="J758" s="991" t="s">
        <v>6280</v>
      </c>
      <c r="K758" s="886"/>
      <c r="L758" s="886"/>
      <c r="M758" s="886"/>
      <c r="N758" s="886"/>
      <c r="O758" s="886"/>
      <c r="P758" s="886"/>
      <c r="Q758" s="1167">
        <v>2974</v>
      </c>
      <c r="R758" s="882"/>
      <c r="S758" s="1269"/>
      <c r="T758" s="1254"/>
      <c r="U758" s="996" t="s">
        <v>10766</v>
      </c>
      <c r="V758" s="996"/>
      <c r="W758" s="992"/>
    </row>
    <row r="759" spans="1:23" ht="14.5" customHeight="1">
      <c r="A759" s="1034"/>
      <c r="B759" s="1034"/>
      <c r="C759" s="987"/>
      <c r="E759" s="989"/>
      <c r="F759" s="988"/>
      <c r="G759" s="1095" t="str">
        <f t="shared" si="110"/>
        <v>2031021</v>
      </c>
      <c r="J759" s="991" t="s">
        <v>5939</v>
      </c>
      <c r="K759" s="886"/>
      <c r="L759" s="886"/>
      <c r="M759" s="886"/>
      <c r="N759" s="886"/>
      <c r="O759" s="886"/>
      <c r="P759" s="886"/>
      <c r="Q759" s="1167">
        <v>0</v>
      </c>
      <c r="R759" s="882"/>
      <c r="S759" s="1269"/>
      <c r="T759" s="1254"/>
      <c r="U759" s="996" t="s">
        <v>10587</v>
      </c>
      <c r="V759" s="996"/>
      <c r="W759" s="992" t="s">
        <v>10817</v>
      </c>
    </row>
    <row r="760" spans="1:23" ht="14.5" customHeight="1">
      <c r="A760" s="1034"/>
      <c r="B760" s="1034"/>
      <c r="C760" s="987"/>
      <c r="D760" s="988" t="str">
        <f>IF(C760="","",CONCATENATE(LEFT(C760,4),MID(C760,6,2)))</f>
        <v/>
      </c>
      <c r="E760" s="989"/>
      <c r="F760" s="988" t="str">
        <f>IF(E760="","",CONCATENATE(LEFT(E760,4),MID(E760,6,3)))</f>
        <v/>
      </c>
      <c r="G760" s="1095" t="str">
        <f t="shared" si="110"/>
        <v>2031021</v>
      </c>
      <c r="I760" s="944" t="str">
        <f>IF(H760="","",CONCATENATE(G760,H760))</f>
        <v/>
      </c>
      <c r="J760" s="991" t="s">
        <v>10818</v>
      </c>
      <c r="K760" s="886"/>
      <c r="L760" s="873"/>
      <c r="M760" s="873"/>
      <c r="N760" s="886"/>
      <c r="O760" s="886"/>
      <c r="P760" s="886"/>
      <c r="Q760" s="1165">
        <f>SUM(Q761:Q762)</f>
        <v>266</v>
      </c>
      <c r="R760" s="882"/>
      <c r="S760" s="1269"/>
      <c r="T760" s="1254"/>
      <c r="U760" s="996"/>
      <c r="V760" s="996"/>
      <c r="W760" s="992"/>
    </row>
    <row r="761" spans="1:23" ht="14.5" customHeight="1">
      <c r="A761" s="1034"/>
      <c r="B761" s="1034"/>
      <c r="C761" s="987"/>
      <c r="E761" s="989"/>
      <c r="F761" s="988"/>
      <c r="G761" s="1095" t="str">
        <f t="shared" si="110"/>
        <v>2031021</v>
      </c>
      <c r="J761" s="991" t="s">
        <v>6282</v>
      </c>
      <c r="K761" s="886"/>
      <c r="L761" s="873"/>
      <c r="M761" s="873"/>
      <c r="N761" s="886"/>
      <c r="O761" s="886"/>
      <c r="P761" s="886"/>
      <c r="Q761" s="1167">
        <v>266</v>
      </c>
      <c r="R761" s="882"/>
      <c r="S761" s="1269"/>
      <c r="T761" s="1254"/>
      <c r="U761" s="996" t="s">
        <v>10766</v>
      </c>
      <c r="V761" s="996"/>
      <c r="W761" s="992"/>
    </row>
    <row r="762" spans="1:23" ht="14.5" customHeight="1">
      <c r="A762" s="1034"/>
      <c r="B762" s="1034"/>
      <c r="C762" s="987"/>
      <c r="E762" s="989"/>
      <c r="F762" s="988"/>
      <c r="G762" s="1095" t="str">
        <f t="shared" si="110"/>
        <v>2031021</v>
      </c>
      <c r="J762" s="991" t="s">
        <v>5939</v>
      </c>
      <c r="K762" s="886"/>
      <c r="L762" s="873"/>
      <c r="M762" s="873"/>
      <c r="N762" s="886"/>
      <c r="O762" s="886"/>
      <c r="P762" s="886"/>
      <c r="Q762" s="1167">
        <v>0</v>
      </c>
      <c r="R762" s="882"/>
      <c r="S762" s="1269"/>
      <c r="T762" s="1254"/>
      <c r="U762" s="996" t="s">
        <v>10587</v>
      </c>
      <c r="V762" s="996"/>
      <c r="W762" s="992" t="s">
        <v>10817</v>
      </c>
    </row>
    <row r="763" spans="1:23" ht="14.5" customHeight="1">
      <c r="A763" s="1034"/>
      <c r="B763" s="1034"/>
      <c r="C763" s="987"/>
      <c r="D763" s="988" t="str">
        <f>IF(C763="","",CONCATENATE(LEFT(C763,4),MID(C763,6,2)))</f>
        <v/>
      </c>
      <c r="E763" s="989"/>
      <c r="F763" s="988" t="str">
        <f>IF(E763="","",CONCATENATE(LEFT(E763,4),MID(E763,6,3)))</f>
        <v/>
      </c>
      <c r="G763" s="1095" t="str">
        <f t="shared" si="110"/>
        <v>2031021</v>
      </c>
      <c r="I763" s="944" t="str">
        <f>IF(H763="","",CONCATENATE(G763,H763))</f>
        <v/>
      </c>
      <c r="J763" s="991" t="s">
        <v>10819</v>
      </c>
      <c r="K763" s="886"/>
      <c r="L763" s="886"/>
      <c r="M763" s="886"/>
      <c r="N763" s="886"/>
      <c r="O763" s="886"/>
      <c r="P763" s="886"/>
      <c r="Q763" s="1167">
        <v>0</v>
      </c>
      <c r="R763" s="882"/>
      <c r="S763" s="1269"/>
      <c r="T763" s="1254"/>
      <c r="U763" s="996" t="s">
        <v>10820</v>
      </c>
      <c r="V763" s="996"/>
      <c r="W763" s="992" t="s">
        <v>10122</v>
      </c>
    </row>
    <row r="764" spans="1:23" ht="14.5" customHeight="1">
      <c r="A764" s="1034"/>
      <c r="B764" s="1034"/>
      <c r="C764" s="998"/>
      <c r="D764" s="999" t="str">
        <f>IF(C764="","",CONCATENATE(LEFT(C764,4),MID(C764,6,2)))</f>
        <v/>
      </c>
      <c r="E764" s="1000"/>
      <c r="F764" s="999" t="str">
        <f>IF(E764="","",CONCATENATE(LEFT(E764,4),MID(E764,6,3)))</f>
        <v/>
      </c>
      <c r="G764" s="1104" t="str">
        <f>IF(F764="",G763,F764)</f>
        <v>2031021</v>
      </c>
      <c r="H764" s="1005"/>
      <c r="I764" s="1002" t="str">
        <f>IF(H764="","",CONCATENATE(G764,H764))</f>
        <v/>
      </c>
      <c r="J764" s="1003" t="s">
        <v>10821</v>
      </c>
      <c r="K764" s="893"/>
      <c r="L764" s="893"/>
      <c r="M764" s="893"/>
      <c r="N764" s="893"/>
      <c r="O764" s="893"/>
      <c r="P764" s="893"/>
      <c r="Q764" s="1170">
        <v>0</v>
      </c>
      <c r="R764" s="900"/>
      <c r="S764" s="1272"/>
      <c r="T764" s="900"/>
      <c r="U764" s="1006" t="s">
        <v>10612</v>
      </c>
      <c r="V764" s="1006"/>
      <c r="W764" s="1003" t="s">
        <v>10122</v>
      </c>
    </row>
    <row r="765" spans="1:23" ht="14.5" customHeight="1">
      <c r="A765" s="1034"/>
      <c r="B765" s="1034"/>
      <c r="C765" s="1037" t="s">
        <v>6285</v>
      </c>
      <c r="D765" s="988" t="str">
        <f>IF(C765="","",CONCATENATE(LEFT(C765,4),MID(C765,6,2)))</f>
        <v>204101</v>
      </c>
      <c r="E765" s="989" t="s">
        <v>10822</v>
      </c>
      <c r="F765" s="988" t="str">
        <f>IF(E765="","",CONCATENATE(LEFT(E765,4),MID(E765,6,3)))</f>
        <v>2041011</v>
      </c>
      <c r="G765" s="1106" t="str">
        <f>IF(F765="",G764,F765)</f>
        <v>2041011</v>
      </c>
      <c r="I765" s="944" t="str">
        <f>IF(H765="","",CONCATENATE(G765,H765))</f>
        <v/>
      </c>
      <c r="J765" s="990" t="s">
        <v>6286</v>
      </c>
      <c r="K765" s="886"/>
      <c r="L765" s="886"/>
      <c r="M765" s="886"/>
      <c r="N765" s="886"/>
      <c r="O765" s="886"/>
      <c r="P765" s="896">
        <f>Q765</f>
        <v>73635</v>
      </c>
      <c r="Q765" s="1171">
        <f>ROUND(Q766+Q767+Q770+Q771+Q772+Q773,0)</f>
        <v>73635</v>
      </c>
      <c r="R765" s="882"/>
      <c r="S765" s="1269"/>
      <c r="T765" s="1254"/>
      <c r="U765" s="993"/>
      <c r="V765" s="985"/>
      <c r="W765" s="992"/>
    </row>
    <row r="766" spans="1:23" ht="14.5" customHeight="1">
      <c r="A766" s="1034"/>
      <c r="B766" s="1034"/>
      <c r="C766" s="987"/>
      <c r="D766" s="988" t="str">
        <f>IF(C766="","",CONCATENATE(LEFT(C766,4),MID(C766,6,2)))</f>
        <v/>
      </c>
      <c r="F766" s="988" t="str">
        <f>IF(E766="","",CONCATENATE(LEFT(E766,4),MID(E766,6,3)))</f>
        <v/>
      </c>
      <c r="G766" s="1095" t="str">
        <f>IF(F766="",G765,F766)</f>
        <v>2041011</v>
      </c>
      <c r="I766" s="944" t="str">
        <f>IF(H766="","",CONCATENATE(G766,H766))</f>
        <v/>
      </c>
      <c r="J766" s="991" t="s">
        <v>10823</v>
      </c>
      <c r="K766" s="886"/>
      <c r="L766" s="886"/>
      <c r="M766" s="886"/>
      <c r="N766" s="886"/>
      <c r="O766" s="886"/>
      <c r="P766" s="886"/>
      <c r="Q766" s="1167">
        <v>0</v>
      </c>
      <c r="R766" s="882"/>
      <c r="S766" s="1269"/>
      <c r="T766" s="1254"/>
      <c r="U766" s="996" t="s">
        <v>10820</v>
      </c>
      <c r="V766" s="996"/>
      <c r="W766" s="992" t="s">
        <v>10817</v>
      </c>
    </row>
    <row r="767" spans="1:23" ht="14.5" customHeight="1">
      <c r="A767" s="1034"/>
      <c r="B767" s="1034"/>
      <c r="C767" s="987"/>
      <c r="D767" s="988" t="str">
        <f>IF(C767="","",CONCATENATE(LEFT(C767,4),MID(C767,6,2)))</f>
        <v/>
      </c>
      <c r="E767" s="989"/>
      <c r="F767" s="988" t="str">
        <f>IF(E767="","",CONCATENATE(LEFT(E767,4),MID(E767,6,3)))</f>
        <v/>
      </c>
      <c r="G767" s="1095" t="str">
        <f t="shared" ref="G767:G784" si="111">IF(F767="",G766,F767)</f>
        <v>2041011</v>
      </c>
      <c r="I767" s="944" t="str">
        <f>IF(H767="","",CONCATENATE(G767,H767))</f>
        <v/>
      </c>
      <c r="J767" s="991" t="s">
        <v>10824</v>
      </c>
      <c r="K767" s="886"/>
      <c r="L767" s="886"/>
      <c r="M767" s="886"/>
      <c r="N767" s="886"/>
      <c r="O767" s="886"/>
      <c r="P767" s="886"/>
      <c r="Q767" s="1165">
        <f>SUM(Q768:Q769)</f>
        <v>26429</v>
      </c>
      <c r="R767" s="882"/>
      <c r="S767" s="1269"/>
      <c r="T767" s="1254"/>
      <c r="U767" s="996"/>
      <c r="V767" s="996"/>
      <c r="W767" s="992"/>
    </row>
    <row r="768" spans="1:23" ht="14.5" customHeight="1">
      <c r="A768" s="1034"/>
      <c r="B768" s="1034"/>
      <c r="C768" s="987"/>
      <c r="E768" s="989"/>
      <c r="F768" s="988"/>
      <c r="G768" s="1095" t="str">
        <f t="shared" si="111"/>
        <v>2041011</v>
      </c>
      <c r="J768" s="991" t="s">
        <v>6291</v>
      </c>
      <c r="K768" s="886"/>
      <c r="L768" s="886"/>
      <c r="M768" s="886"/>
      <c r="N768" s="890">
        <v>722603</v>
      </c>
      <c r="O768" s="890">
        <v>36575</v>
      </c>
      <c r="P768" s="886"/>
      <c r="Q768" s="1167">
        <f>ROUND(N768*O768/1000000,0)</f>
        <v>26429</v>
      </c>
      <c r="R768" s="882"/>
      <c r="S768" s="1269"/>
      <c r="T768" s="1254"/>
      <c r="U768" s="996" t="s">
        <v>10825</v>
      </c>
      <c r="V768" s="996"/>
      <c r="W768" s="992"/>
    </row>
    <row r="769" spans="1:23" ht="14.5" customHeight="1">
      <c r="A769" s="1034"/>
      <c r="B769" s="1034"/>
      <c r="C769" s="987"/>
      <c r="E769" s="989"/>
      <c r="F769" s="988"/>
      <c r="G769" s="1095" t="str">
        <f t="shared" si="111"/>
        <v>2041011</v>
      </c>
      <c r="J769" s="991" t="s">
        <v>6155</v>
      </c>
      <c r="K769" s="886"/>
      <c r="L769" s="886"/>
      <c r="M769" s="886"/>
      <c r="N769" s="886"/>
      <c r="O769" s="886"/>
      <c r="P769" s="886"/>
      <c r="Q769" s="1167">
        <v>0</v>
      </c>
      <c r="R769" s="882"/>
      <c r="S769" s="1269"/>
      <c r="T769" s="1254"/>
      <c r="U769" s="996" t="s">
        <v>10424</v>
      </c>
      <c r="V769" s="996"/>
      <c r="W769" s="992" t="s">
        <v>10817</v>
      </c>
    </row>
    <row r="770" spans="1:23" ht="14.5" customHeight="1">
      <c r="A770" s="1034"/>
      <c r="B770" s="1034"/>
      <c r="C770" s="987"/>
      <c r="D770" s="988" t="str">
        <f t="shared" ref="D770:D784" si="112">IF(C770="","",CONCATENATE(LEFT(C770,4),MID(C770,6,2)))</f>
        <v/>
      </c>
      <c r="E770" s="989"/>
      <c r="F770" s="988" t="str">
        <f t="shared" ref="F770:F784" si="113">IF(E770="","",CONCATENATE(LEFT(E770,4),MID(E770,6,3)))</f>
        <v/>
      </c>
      <c r="G770" s="1095" t="str">
        <f t="shared" si="111"/>
        <v>2041011</v>
      </c>
      <c r="I770" s="944" t="str">
        <f t="shared" ref="I770:I784" si="114">IF(H770="","",CONCATENATE(G770,H770))</f>
        <v/>
      </c>
      <c r="J770" s="991" t="s">
        <v>10826</v>
      </c>
      <c r="K770" s="886"/>
      <c r="L770" s="886"/>
      <c r="M770" s="886"/>
      <c r="N770" s="886"/>
      <c r="O770" s="886"/>
      <c r="P770" s="886"/>
      <c r="Q770" s="1167">
        <v>0</v>
      </c>
      <c r="R770" s="882"/>
      <c r="S770" s="1269"/>
      <c r="T770" s="1254"/>
      <c r="U770" s="996" t="s">
        <v>10820</v>
      </c>
      <c r="V770" s="996"/>
      <c r="W770" s="992" t="s">
        <v>10122</v>
      </c>
    </row>
    <row r="771" spans="1:23" ht="14.5" customHeight="1">
      <c r="C771" s="987"/>
      <c r="D771" s="988" t="str">
        <f t="shared" si="112"/>
        <v/>
      </c>
      <c r="E771" s="989"/>
      <c r="F771" s="988" t="str">
        <f t="shared" si="113"/>
        <v/>
      </c>
      <c r="G771" s="1095" t="str">
        <f t="shared" si="111"/>
        <v>2041011</v>
      </c>
      <c r="I771" s="944" t="str">
        <f t="shared" si="114"/>
        <v/>
      </c>
      <c r="J771" s="991" t="s">
        <v>10827</v>
      </c>
      <c r="K771" s="886"/>
      <c r="L771" s="886"/>
      <c r="M771" s="886"/>
      <c r="N771" s="886"/>
      <c r="O771" s="886"/>
      <c r="P771" s="886"/>
      <c r="Q771" s="1167">
        <v>0</v>
      </c>
      <c r="R771" s="882"/>
      <c r="S771" s="1269"/>
      <c r="T771" s="1254"/>
      <c r="U771" s="996" t="s">
        <v>10122</v>
      </c>
      <c r="V771" s="996"/>
      <c r="W771" s="992" t="s">
        <v>10122</v>
      </c>
    </row>
    <row r="772" spans="1:23" ht="14.5" customHeight="1">
      <c r="C772" s="987"/>
      <c r="D772" s="988" t="str">
        <f t="shared" si="112"/>
        <v/>
      </c>
      <c r="E772" s="989"/>
      <c r="F772" s="988" t="str">
        <f t="shared" si="113"/>
        <v/>
      </c>
      <c r="G772" s="1095" t="str">
        <f t="shared" si="111"/>
        <v>2041011</v>
      </c>
      <c r="I772" s="944" t="str">
        <f t="shared" si="114"/>
        <v/>
      </c>
      <c r="J772" s="991" t="s">
        <v>10828</v>
      </c>
      <c r="K772" s="886"/>
      <c r="L772" s="886"/>
      <c r="M772" s="886"/>
      <c r="N772" s="886"/>
      <c r="O772" s="886"/>
      <c r="P772" s="886"/>
      <c r="Q772" s="1167">
        <v>0</v>
      </c>
      <c r="R772" s="882"/>
      <c r="S772" s="1269"/>
      <c r="T772" s="1254"/>
      <c r="U772" s="996" t="s">
        <v>10122</v>
      </c>
      <c r="V772" s="996"/>
      <c r="W772" s="992" t="s">
        <v>10122</v>
      </c>
    </row>
    <row r="773" spans="1:23" ht="14.5" customHeight="1">
      <c r="C773" s="998"/>
      <c r="D773" s="999" t="str">
        <f t="shared" si="112"/>
        <v/>
      </c>
      <c r="E773" s="1000"/>
      <c r="F773" s="999" t="str">
        <f t="shared" si="113"/>
        <v/>
      </c>
      <c r="G773" s="1104" t="str">
        <f t="shared" si="111"/>
        <v>2041011</v>
      </c>
      <c r="H773" s="1005"/>
      <c r="I773" s="1002" t="str">
        <f t="shared" si="114"/>
        <v/>
      </c>
      <c r="J773" s="978" t="s">
        <v>10829</v>
      </c>
      <c r="K773" s="893"/>
      <c r="L773" s="893"/>
      <c r="M773" s="893"/>
      <c r="N773" s="893"/>
      <c r="O773" s="893"/>
      <c r="P773" s="893"/>
      <c r="Q773" s="1170">
        <f>113.95+47092.17</f>
        <v>47206.119999999995</v>
      </c>
      <c r="R773" s="900"/>
      <c r="S773" s="1272"/>
      <c r="T773" s="900"/>
      <c r="U773" s="1006" t="s">
        <v>10424</v>
      </c>
      <c r="V773" s="1006"/>
      <c r="W773" s="1003" t="s">
        <v>10830</v>
      </c>
    </row>
    <row r="774" spans="1:23" ht="14.5" customHeight="1">
      <c r="C774" s="1037" t="s">
        <v>6296</v>
      </c>
      <c r="D774" s="988" t="str">
        <f t="shared" si="112"/>
        <v>204102</v>
      </c>
      <c r="E774" s="989" t="s">
        <v>10831</v>
      </c>
      <c r="F774" s="988" t="str">
        <f t="shared" si="113"/>
        <v>2041021</v>
      </c>
      <c r="G774" s="1095" t="str">
        <f t="shared" si="111"/>
        <v>2041021</v>
      </c>
      <c r="I774" s="944" t="str">
        <f t="shared" si="114"/>
        <v/>
      </c>
      <c r="J774" s="990" t="s">
        <v>6297</v>
      </c>
      <c r="K774" s="886"/>
      <c r="L774" s="886"/>
      <c r="M774" s="886"/>
      <c r="N774" s="886"/>
      <c r="O774" s="886"/>
      <c r="P774" s="896">
        <f>Q774</f>
        <v>41858</v>
      </c>
      <c r="Q774" s="1171">
        <f>ROUND(Q775+Q780+Q781+Q782+Q783+Q784,0)</f>
        <v>41858</v>
      </c>
      <c r="R774" s="882"/>
      <c r="S774" s="1269"/>
      <c r="T774" s="1254"/>
      <c r="U774" s="996"/>
      <c r="V774" s="996"/>
      <c r="W774" s="992"/>
    </row>
    <row r="775" spans="1:23" ht="14.5" customHeight="1">
      <c r="C775" s="1037"/>
      <c r="D775" s="995"/>
      <c r="E775" s="989"/>
      <c r="F775" s="988" t="str">
        <f>IF(E775="","",CONCATENATE(LEFT(E775,4),MID(E775,6,3)))</f>
        <v/>
      </c>
      <c r="G775" s="1095" t="str">
        <f t="shared" si="111"/>
        <v>2041021</v>
      </c>
      <c r="I775" s="944" t="str">
        <f>IF(H775="","",CONCATENATE(G775,H775))</f>
        <v/>
      </c>
      <c r="J775" s="991" t="s">
        <v>10832</v>
      </c>
      <c r="K775" s="886"/>
      <c r="L775" s="873"/>
      <c r="M775" s="873"/>
      <c r="N775" s="886"/>
      <c r="O775" s="886"/>
      <c r="P775" s="886"/>
      <c r="Q775" s="1165">
        <f>SUM(Q776:Q779)</f>
        <v>39614.04</v>
      </c>
      <c r="R775" s="887"/>
      <c r="S775" s="1273"/>
      <c r="T775" s="1256"/>
      <c r="U775" s="991"/>
      <c r="V775" s="996"/>
      <c r="W775" s="992"/>
    </row>
    <row r="776" spans="1:23" ht="14.5" customHeight="1">
      <c r="C776" s="1044"/>
      <c r="E776" s="989"/>
      <c r="F776" s="988"/>
      <c r="G776" s="1095" t="str">
        <f t="shared" si="111"/>
        <v>2041021</v>
      </c>
      <c r="J776" s="991" t="s">
        <v>6300</v>
      </c>
      <c r="K776" s="886"/>
      <c r="L776" s="873"/>
      <c r="M776" s="873"/>
      <c r="N776" s="886"/>
      <c r="O776" s="886"/>
      <c r="P776" s="886"/>
      <c r="Q776" s="1167">
        <f>38802.84-Q778</f>
        <v>37515.839999999997</v>
      </c>
      <c r="R776" s="887"/>
      <c r="S776" s="1273"/>
      <c r="T776" s="1256"/>
      <c r="U776" s="991" t="s">
        <v>10424</v>
      </c>
      <c r="V776" s="996"/>
      <c r="W776" s="992" t="s">
        <v>10833</v>
      </c>
    </row>
    <row r="777" spans="1:23" ht="14.5" customHeight="1">
      <c r="C777" s="1044"/>
      <c r="E777" s="989"/>
      <c r="F777" s="988"/>
      <c r="G777" s="1095" t="str">
        <f t="shared" si="111"/>
        <v>2041021</v>
      </c>
      <c r="J777" s="991" t="s">
        <v>6301</v>
      </c>
      <c r="K777" s="886"/>
      <c r="L777" s="873"/>
      <c r="M777" s="873"/>
      <c r="N777" s="886"/>
      <c r="O777" s="886"/>
      <c r="P777" s="886"/>
      <c r="Q777" s="1167">
        <v>771.91</v>
      </c>
      <c r="R777" s="887"/>
      <c r="S777" s="1273"/>
      <c r="T777" s="1256"/>
      <c r="U777" s="996" t="s">
        <v>10122</v>
      </c>
      <c r="V777" s="996"/>
      <c r="W777" s="992" t="s">
        <v>10834</v>
      </c>
    </row>
    <row r="778" spans="1:23" ht="14.5" customHeight="1">
      <c r="C778" s="1044"/>
      <c r="E778" s="989"/>
      <c r="F778" s="988"/>
      <c r="G778" s="1095" t="str">
        <f t="shared" si="111"/>
        <v>2041021</v>
      </c>
      <c r="J778" s="991" t="s">
        <v>6302</v>
      </c>
      <c r="K778" s="886"/>
      <c r="L778" s="873"/>
      <c r="M778" s="873"/>
      <c r="N778" s="886"/>
      <c r="O778" s="886"/>
      <c r="P778" s="886"/>
      <c r="Q778" s="1167">
        <v>1287</v>
      </c>
      <c r="R778" s="887"/>
      <c r="S778" s="1273"/>
      <c r="T778" s="1256"/>
      <c r="U778" s="991" t="s">
        <v>10766</v>
      </c>
      <c r="V778" s="996"/>
      <c r="W778" s="992"/>
    </row>
    <row r="779" spans="1:23" ht="14.5" customHeight="1">
      <c r="C779" s="1044"/>
      <c r="E779" s="989"/>
      <c r="F779" s="988"/>
      <c r="G779" s="1095" t="str">
        <f t="shared" si="111"/>
        <v>2041021</v>
      </c>
      <c r="J779" s="991" t="s">
        <v>5939</v>
      </c>
      <c r="K779" s="886"/>
      <c r="L779" s="873"/>
      <c r="M779" s="873"/>
      <c r="N779" s="886"/>
      <c r="O779" s="886"/>
      <c r="P779" s="886"/>
      <c r="Q779" s="1182">
        <v>39.29</v>
      </c>
      <c r="R779" s="887"/>
      <c r="S779" s="1273"/>
      <c r="T779" s="1256"/>
      <c r="U779" s="991" t="s">
        <v>10587</v>
      </c>
      <c r="V779" s="996"/>
      <c r="W779" s="992"/>
    </row>
    <row r="780" spans="1:23" ht="14.5" customHeight="1">
      <c r="C780" s="987"/>
      <c r="D780" s="988" t="str">
        <f t="shared" si="112"/>
        <v/>
      </c>
      <c r="E780" s="989"/>
      <c r="F780" s="988" t="str">
        <f t="shared" si="113"/>
        <v/>
      </c>
      <c r="G780" s="1095" t="str">
        <f t="shared" si="111"/>
        <v>2041021</v>
      </c>
      <c r="I780" s="944" t="str">
        <f t="shared" si="114"/>
        <v/>
      </c>
      <c r="J780" s="991" t="s">
        <v>10835</v>
      </c>
      <c r="K780" s="886"/>
      <c r="L780" s="886"/>
      <c r="M780" s="886"/>
      <c r="N780" s="886"/>
      <c r="O780" s="886"/>
      <c r="P780" s="886"/>
      <c r="Q780" s="1167">
        <v>0</v>
      </c>
      <c r="R780" s="882"/>
      <c r="S780" s="1269"/>
      <c r="T780" s="1254"/>
      <c r="U780" s="991" t="s">
        <v>10820</v>
      </c>
      <c r="V780" s="996"/>
      <c r="W780" s="992" t="s">
        <v>10817</v>
      </c>
    </row>
    <row r="781" spans="1:23" ht="14.5" customHeight="1">
      <c r="C781" s="987"/>
      <c r="D781" s="988" t="str">
        <f t="shared" si="112"/>
        <v/>
      </c>
      <c r="E781" s="989"/>
      <c r="F781" s="988" t="str">
        <f t="shared" si="113"/>
        <v/>
      </c>
      <c r="G781" s="1095" t="str">
        <f t="shared" si="111"/>
        <v>2041021</v>
      </c>
      <c r="I781" s="944" t="str">
        <f t="shared" si="114"/>
        <v/>
      </c>
      <c r="J781" s="991" t="s">
        <v>10836</v>
      </c>
      <c r="K781" s="886"/>
      <c r="L781" s="886"/>
      <c r="M781" s="886"/>
      <c r="N781" s="886"/>
      <c r="O781" s="886"/>
      <c r="P781" s="886"/>
      <c r="Q781" s="1167">
        <v>0</v>
      </c>
      <c r="R781" s="882"/>
      <c r="S781" s="1269"/>
      <c r="T781" s="1254"/>
      <c r="U781" s="996" t="s">
        <v>10122</v>
      </c>
      <c r="V781" s="996"/>
      <c r="W781" s="992" t="s">
        <v>10122</v>
      </c>
    </row>
    <row r="782" spans="1:23" ht="14.5" customHeight="1">
      <c r="C782" s="987"/>
      <c r="D782" s="988" t="str">
        <f t="shared" si="112"/>
        <v/>
      </c>
      <c r="E782" s="989"/>
      <c r="F782" s="988" t="str">
        <f t="shared" si="113"/>
        <v/>
      </c>
      <c r="G782" s="1095" t="str">
        <f t="shared" si="111"/>
        <v>2041021</v>
      </c>
      <c r="I782" s="944" t="str">
        <f t="shared" si="114"/>
        <v/>
      </c>
      <c r="J782" s="991" t="s">
        <v>10837</v>
      </c>
      <c r="K782" s="886"/>
      <c r="L782" s="886"/>
      <c r="M782" s="886"/>
      <c r="N782" s="886"/>
      <c r="O782" s="886"/>
      <c r="P782" s="886"/>
      <c r="Q782" s="1167">
        <v>47.77</v>
      </c>
      <c r="R782" s="882"/>
      <c r="S782" s="1269"/>
      <c r="T782" s="1254"/>
      <c r="U782" s="996" t="s">
        <v>10122</v>
      </c>
      <c r="V782" s="996"/>
      <c r="W782" s="992"/>
    </row>
    <row r="783" spans="1:23" ht="14.5" customHeight="1">
      <c r="C783" s="987"/>
      <c r="D783" s="988" t="str">
        <f t="shared" si="112"/>
        <v/>
      </c>
      <c r="E783" s="989"/>
      <c r="F783" s="988" t="str">
        <f t="shared" si="113"/>
        <v/>
      </c>
      <c r="G783" s="1095" t="str">
        <f t="shared" si="111"/>
        <v>2041021</v>
      </c>
      <c r="I783" s="944" t="str">
        <f t="shared" si="114"/>
        <v/>
      </c>
      <c r="J783" s="991" t="s">
        <v>10838</v>
      </c>
      <c r="K783" s="886"/>
      <c r="L783" s="886"/>
      <c r="M783" s="886"/>
      <c r="N783" s="886"/>
      <c r="O783" s="886"/>
      <c r="P783" s="886"/>
      <c r="Q783" s="1167">
        <v>0</v>
      </c>
      <c r="R783" s="882"/>
      <c r="S783" s="1269"/>
      <c r="T783" s="1254"/>
      <c r="U783" s="996" t="s">
        <v>10122</v>
      </c>
      <c r="V783" s="996"/>
      <c r="W783" s="992" t="s">
        <v>10817</v>
      </c>
    </row>
    <row r="784" spans="1:23" ht="14.5" customHeight="1">
      <c r="C784" s="987"/>
      <c r="D784" s="988" t="str">
        <f t="shared" si="112"/>
        <v/>
      </c>
      <c r="E784" s="989"/>
      <c r="F784" s="988" t="str">
        <f t="shared" si="113"/>
        <v/>
      </c>
      <c r="G784" s="1095" t="str">
        <f t="shared" si="111"/>
        <v>2041021</v>
      </c>
      <c r="I784" s="944" t="str">
        <f t="shared" si="114"/>
        <v/>
      </c>
      <c r="J784" s="991" t="s">
        <v>10839</v>
      </c>
      <c r="K784" s="886"/>
      <c r="L784" s="886"/>
      <c r="M784" s="886"/>
      <c r="N784" s="886"/>
      <c r="O784" s="886"/>
      <c r="P784" s="886"/>
      <c r="Q784" s="1177">
        <v>2196.59</v>
      </c>
      <c r="R784" s="882"/>
      <c r="S784" s="1269"/>
      <c r="T784" s="1254"/>
      <c r="U784" s="1006" t="s">
        <v>10424</v>
      </c>
      <c r="V784" s="996"/>
      <c r="W784" s="992"/>
    </row>
    <row r="785" spans="3:23" ht="14.5" customHeight="1">
      <c r="C785" s="1040" t="s">
        <v>6308</v>
      </c>
      <c r="D785" s="982" t="str">
        <f>IF(C785="","",CONCATENATE(LEFT(C785,4),MID(C785,6,2)))</f>
        <v>204201</v>
      </c>
      <c r="E785" s="983" t="s">
        <v>6309</v>
      </c>
      <c r="F785" s="982" t="str">
        <f>IF(E785="","",CONCATENATE(LEFT(E785,4),MID(E785,6,3)))</f>
        <v>2042011</v>
      </c>
      <c r="G785" s="1103" t="str">
        <f>IF(F785="",G784,F785)</f>
        <v>2042011</v>
      </c>
      <c r="H785" s="1102"/>
      <c r="I785" s="947" t="str">
        <f>IF(H785="","",CONCATENATE(G785,H785))</f>
        <v/>
      </c>
      <c r="J785" s="984" t="s">
        <v>280</v>
      </c>
      <c r="K785" s="889"/>
      <c r="L785" s="897"/>
      <c r="M785" s="897"/>
      <c r="N785" s="897"/>
      <c r="O785" s="915"/>
      <c r="P785" s="881">
        <f>Q785</f>
        <v>9640</v>
      </c>
      <c r="Q785" s="1189">
        <v>9640</v>
      </c>
      <c r="R785" s="915"/>
      <c r="S785" s="1279"/>
      <c r="T785" s="915"/>
      <c r="U785" s="1031" t="s">
        <v>10424</v>
      </c>
      <c r="V785" s="993"/>
      <c r="W785" s="986"/>
    </row>
    <row r="786" spans="3:23" ht="14.5" customHeight="1">
      <c r="C786" s="1042" t="s">
        <v>6310</v>
      </c>
      <c r="D786" s="1024" t="str">
        <f>IF(C786="","",CONCATENATE(LEFT(C786,4),MID(C786,6,2)))</f>
        <v>204901</v>
      </c>
      <c r="E786" s="1025" t="s">
        <v>6311</v>
      </c>
      <c r="F786" s="1024" t="str">
        <f>IF(E786="","",CONCATENATE(LEFT(E786,4),MID(E786,6,3)))</f>
        <v>2049011</v>
      </c>
      <c r="G786" s="1111" t="str">
        <f>IF(F786="",G785,F786)</f>
        <v>2049011</v>
      </c>
      <c r="H786" s="1112"/>
      <c r="I786" s="1113" t="str">
        <f>IF(H786="","",CONCATENATE(G786,H786))</f>
        <v/>
      </c>
      <c r="J786" s="1026" t="s">
        <v>282</v>
      </c>
      <c r="K786" s="913"/>
      <c r="L786" s="913"/>
      <c r="M786" s="913"/>
      <c r="N786" s="912"/>
      <c r="O786" s="912"/>
      <c r="P786" s="914">
        <f>Q786</f>
        <v>0</v>
      </c>
      <c r="Q786" s="1186">
        <v>0</v>
      </c>
      <c r="R786" s="929"/>
      <c r="S786" s="1280"/>
      <c r="T786" s="929"/>
      <c r="U786" s="1031" t="s">
        <v>10587</v>
      </c>
      <c r="V786" s="1022"/>
      <c r="W786" s="1027" t="s">
        <v>10817</v>
      </c>
    </row>
    <row r="787" spans="3:23" ht="14.5" customHeight="1">
      <c r="C787" s="1042" t="s">
        <v>6312</v>
      </c>
      <c r="D787" s="1024" t="str">
        <f>IF(C787="","",CONCATENATE(LEFT(C787,4),MID(C787,6,2)))</f>
        <v>204902</v>
      </c>
      <c r="E787" s="1025" t="s">
        <v>6313</v>
      </c>
      <c r="F787" s="1024" t="str">
        <f>IF(E787="","",CONCATENATE(LEFT(E787,4),MID(E787,6,3)))</f>
        <v>2049021</v>
      </c>
      <c r="G787" s="1111" t="str">
        <f>IF(F787="",#REF!,F787)</f>
        <v>2049021</v>
      </c>
      <c r="H787" s="1112"/>
      <c r="I787" s="1113" t="str">
        <f>IF(H787="","",CONCATENATE(G787,H787))</f>
        <v/>
      </c>
      <c r="J787" s="1026" t="s">
        <v>283</v>
      </c>
      <c r="K787" s="913"/>
      <c r="L787" s="913"/>
      <c r="M787" s="913"/>
      <c r="N787" s="912"/>
      <c r="O787" s="912"/>
      <c r="P787" s="914">
        <f>Q787</f>
        <v>1661</v>
      </c>
      <c r="Q787" s="1186">
        <v>1661</v>
      </c>
      <c r="R787" s="929"/>
      <c r="S787" s="1280"/>
      <c r="T787" s="929"/>
      <c r="U787" s="1022" t="s">
        <v>10587</v>
      </c>
      <c r="V787" s="1022"/>
      <c r="W787" s="1027"/>
    </row>
    <row r="788" spans="3:23" ht="14.5" customHeight="1">
      <c r="C788" s="1042" t="s">
        <v>6314</v>
      </c>
      <c r="D788" s="1024" t="str">
        <f>IF(C788="","",CONCATENATE(LEFT(C788,4),MID(C788,6,2)))</f>
        <v>204909</v>
      </c>
      <c r="E788" s="1025" t="s">
        <v>6315</v>
      </c>
      <c r="F788" s="1024" t="str">
        <f>IF(E788="","",CONCATENATE(LEFT(E788,4),MID(E788,6,3)))</f>
        <v>2049099</v>
      </c>
      <c r="G788" s="1111" t="str">
        <f>IF(F788="",#REF!,F788)</f>
        <v>2049099</v>
      </c>
      <c r="H788" s="1112"/>
      <c r="I788" s="1113" t="str">
        <f>IF(H788="","",CONCATENATE(G788,H788))</f>
        <v/>
      </c>
      <c r="J788" s="1026" t="s">
        <v>284</v>
      </c>
      <c r="K788" s="913"/>
      <c r="L788" s="913"/>
      <c r="M788" s="913"/>
      <c r="N788" s="912"/>
      <c r="O788" s="912"/>
      <c r="P788" s="914">
        <f>Q788</f>
        <v>107972</v>
      </c>
      <c r="Q788" s="1186">
        <v>107972</v>
      </c>
      <c r="R788" s="929"/>
      <c r="S788" s="1280"/>
      <c r="T788" s="929"/>
      <c r="U788" s="1031" t="s">
        <v>10587</v>
      </c>
      <c r="V788" s="1022"/>
      <c r="W788" s="1027"/>
    </row>
    <row r="789" spans="3:23" ht="14.5" customHeight="1">
      <c r="C789" s="1040" t="s">
        <v>6316</v>
      </c>
      <c r="D789" s="982" t="str">
        <f>IF(C789="","",CONCATENATE(LEFT(C789,4),MID(C789,6,2)))</f>
        <v>205101</v>
      </c>
      <c r="E789" s="983" t="s">
        <v>6317</v>
      </c>
      <c r="F789" s="982" t="str">
        <f>IF(E789="","",CONCATENATE(LEFT(E789,4),MID(E789,6,3)))</f>
        <v>2051011</v>
      </c>
      <c r="G789" s="1103" t="str">
        <f>IF(F789="",G788,F789)</f>
        <v>2051011</v>
      </c>
      <c r="H789" s="1102"/>
      <c r="I789" s="947" t="str">
        <f>IF(H789="","",CONCATENATE(G789,H789))</f>
        <v/>
      </c>
      <c r="J789" s="984" t="s">
        <v>286</v>
      </c>
      <c r="K789" s="889"/>
      <c r="L789" s="889"/>
      <c r="M789" s="889"/>
      <c r="N789" s="889"/>
      <c r="O789" s="889"/>
      <c r="P789" s="881">
        <f>Q789</f>
        <v>22386</v>
      </c>
      <c r="Q789" s="1169">
        <f>ROUND(SUM(Q790:Q797),0)</f>
        <v>22386</v>
      </c>
      <c r="R789" s="880"/>
      <c r="S789" s="1270"/>
      <c r="T789" s="880"/>
      <c r="U789" s="993"/>
      <c r="V789" s="993"/>
      <c r="W789" s="986" t="s">
        <v>10840</v>
      </c>
    </row>
    <row r="790" spans="3:23" ht="14.5" customHeight="1">
      <c r="C790" s="1037"/>
      <c r="E790" s="989"/>
      <c r="F790" s="988"/>
      <c r="G790" s="1095" t="str">
        <f t="shared" ref="G790:G797" si="115">IF(F790="",G789,F790)</f>
        <v>2051011</v>
      </c>
      <c r="H790" s="1016" t="s">
        <v>10703</v>
      </c>
      <c r="I790" s="944" t="str">
        <f t="shared" ref="I790:I797" si="116">IF(H790="","",CONCATENATE(G790,H790))</f>
        <v>2051011101～104</v>
      </c>
      <c r="J790" s="991" t="s">
        <v>10841</v>
      </c>
      <c r="K790" s="886"/>
      <c r="L790" s="886"/>
      <c r="M790" s="886"/>
      <c r="N790" s="886"/>
      <c r="O790" s="886"/>
      <c r="P790" s="896"/>
      <c r="Q790" s="1167">
        <v>7318.24</v>
      </c>
      <c r="R790" s="882"/>
      <c r="S790" s="1269"/>
      <c r="T790" s="1254"/>
      <c r="U790" s="996" t="s">
        <v>10587</v>
      </c>
      <c r="V790" s="996"/>
      <c r="W790" s="992"/>
    </row>
    <row r="791" spans="3:23" ht="14.5" customHeight="1">
      <c r="C791" s="1037"/>
      <c r="E791" s="989"/>
      <c r="F791" s="988"/>
      <c r="G791" s="1095" t="str">
        <f t="shared" si="115"/>
        <v>2051011</v>
      </c>
      <c r="H791" s="1016" t="s">
        <v>5602</v>
      </c>
      <c r="I791" s="944" t="str">
        <f t="shared" si="116"/>
        <v>2051011201</v>
      </c>
      <c r="J791" s="991" t="s">
        <v>10842</v>
      </c>
      <c r="K791" s="886"/>
      <c r="L791" s="886"/>
      <c r="M791" s="886"/>
      <c r="N791" s="886"/>
      <c r="O791" s="886"/>
      <c r="P791" s="896"/>
      <c r="Q791" s="1167">
        <v>14</v>
      </c>
      <c r="R791" s="882"/>
      <c r="S791" s="1269"/>
      <c r="T791" s="1254"/>
      <c r="U791" s="996" t="s">
        <v>10766</v>
      </c>
      <c r="V791" s="996"/>
      <c r="W791" s="992"/>
    </row>
    <row r="792" spans="3:23" ht="14.5" customHeight="1">
      <c r="C792" s="1037"/>
      <c r="E792" s="989"/>
      <c r="F792" s="988"/>
      <c r="G792" s="1095" t="str">
        <f t="shared" si="115"/>
        <v>2051011</v>
      </c>
      <c r="H792" s="1016" t="s">
        <v>10843</v>
      </c>
      <c r="I792" s="944" t="str">
        <f t="shared" si="116"/>
        <v>2051011301～304</v>
      </c>
      <c r="J792" s="991" t="s">
        <v>10844</v>
      </c>
      <c r="K792" s="886"/>
      <c r="L792" s="886"/>
      <c r="M792" s="886"/>
      <c r="N792" s="886"/>
      <c r="O792" s="886"/>
      <c r="P792" s="896"/>
      <c r="Q792" s="1167">
        <v>292.77</v>
      </c>
      <c r="R792" s="882"/>
      <c r="S792" s="1269"/>
      <c r="T792" s="1254"/>
      <c r="U792" s="996" t="s">
        <v>10587</v>
      </c>
      <c r="V792" s="996"/>
      <c r="W792" s="992"/>
    </row>
    <row r="793" spans="3:23" ht="14.5" customHeight="1">
      <c r="C793" s="1037"/>
      <c r="E793" s="989"/>
      <c r="F793" s="988"/>
      <c r="G793" s="1095" t="str">
        <f t="shared" si="115"/>
        <v>2051011</v>
      </c>
      <c r="H793" s="1016" t="s">
        <v>10709</v>
      </c>
      <c r="I793" s="944" t="str">
        <f t="shared" si="116"/>
        <v>2051011401～402</v>
      </c>
      <c r="J793" s="991" t="s">
        <v>10845</v>
      </c>
      <c r="K793" s="886"/>
      <c r="L793" s="886"/>
      <c r="M793" s="886"/>
      <c r="N793" s="886"/>
      <c r="O793" s="886"/>
      <c r="P793" s="896"/>
      <c r="Q793" s="1167">
        <v>8464.86</v>
      </c>
      <c r="R793" s="882"/>
      <c r="S793" s="1269"/>
      <c r="T793" s="1254"/>
      <c r="U793" s="996" t="s">
        <v>10587</v>
      </c>
      <c r="V793" s="996"/>
      <c r="W793" s="992"/>
    </row>
    <row r="794" spans="3:23" ht="14.5" customHeight="1">
      <c r="C794" s="1037"/>
      <c r="E794" s="989"/>
      <c r="F794" s="988"/>
      <c r="G794" s="1095" t="str">
        <f t="shared" si="115"/>
        <v>2051011</v>
      </c>
      <c r="H794" s="1016" t="s">
        <v>5488</v>
      </c>
      <c r="I794" s="944" t="str">
        <f t="shared" si="116"/>
        <v>2051011501</v>
      </c>
      <c r="J794" s="991" t="s">
        <v>10846</v>
      </c>
      <c r="K794" s="886"/>
      <c r="L794" s="886"/>
      <c r="M794" s="886"/>
      <c r="N794" s="886"/>
      <c r="O794" s="886"/>
      <c r="P794" s="896"/>
      <c r="Q794" s="1167">
        <v>624</v>
      </c>
      <c r="R794" s="882"/>
      <c r="S794" s="1269"/>
      <c r="T794" s="1254"/>
      <c r="U794" s="996" t="s">
        <v>10766</v>
      </c>
      <c r="V794" s="996"/>
      <c r="W794" s="992"/>
    </row>
    <row r="795" spans="3:23" ht="14.5" customHeight="1">
      <c r="C795" s="1037"/>
      <c r="E795" s="989"/>
      <c r="F795" s="988"/>
      <c r="G795" s="1095" t="str">
        <f t="shared" si="115"/>
        <v>2051011</v>
      </c>
      <c r="H795" s="1016" t="s">
        <v>5514</v>
      </c>
      <c r="I795" s="944" t="str">
        <f t="shared" si="116"/>
        <v>2051011601</v>
      </c>
      <c r="J795" s="991" t="s">
        <v>10847</v>
      </c>
      <c r="K795" s="886"/>
      <c r="L795" s="886"/>
      <c r="M795" s="886"/>
      <c r="N795" s="886"/>
      <c r="O795" s="886"/>
      <c r="P795" s="896"/>
      <c r="Q795" s="1167">
        <v>5769.71</v>
      </c>
      <c r="R795" s="882"/>
      <c r="S795" s="1269"/>
      <c r="T795" s="1254"/>
      <c r="U795" s="996" t="s">
        <v>10587</v>
      </c>
      <c r="V795" s="996"/>
      <c r="W795" s="992"/>
    </row>
    <row r="796" spans="3:23" ht="14.5" customHeight="1">
      <c r="C796" s="1037"/>
      <c r="E796" s="989"/>
      <c r="F796" s="988"/>
      <c r="G796" s="1095" t="str">
        <f t="shared" si="115"/>
        <v>2051011</v>
      </c>
      <c r="H796" s="1016" t="s">
        <v>6059</v>
      </c>
      <c r="I796" s="944" t="str">
        <f t="shared" si="116"/>
        <v>2051011701</v>
      </c>
      <c r="J796" s="991" t="s">
        <v>10848</v>
      </c>
      <c r="K796" s="886"/>
      <c r="L796" s="886"/>
      <c r="M796" s="886"/>
      <c r="N796" s="886"/>
      <c r="O796" s="886"/>
      <c r="P796" s="896"/>
      <c r="Q796" s="1167">
        <v>0</v>
      </c>
      <c r="R796" s="882"/>
      <c r="S796" s="1269"/>
      <c r="T796" s="1254"/>
      <c r="U796" s="996" t="s">
        <v>10122</v>
      </c>
      <c r="V796" s="996"/>
      <c r="W796" s="992"/>
    </row>
    <row r="797" spans="3:23" ht="14.5" customHeight="1">
      <c r="C797" s="1037"/>
      <c r="E797" s="989"/>
      <c r="F797" s="988"/>
      <c r="G797" s="1095" t="str">
        <f t="shared" si="115"/>
        <v>2051011</v>
      </c>
      <c r="H797" s="1016" t="s">
        <v>10456</v>
      </c>
      <c r="I797" s="944" t="str">
        <f t="shared" si="116"/>
        <v>2051011Y01</v>
      </c>
      <c r="J797" s="991" t="s">
        <v>10849</v>
      </c>
      <c r="K797" s="886"/>
      <c r="L797" s="886"/>
      <c r="M797" s="886"/>
      <c r="N797" s="886"/>
      <c r="O797" s="886"/>
      <c r="P797" s="896"/>
      <c r="Q797" s="1182">
        <v>-97.27</v>
      </c>
      <c r="R797" s="882"/>
      <c r="S797" s="1269"/>
      <c r="T797" s="1254"/>
      <c r="U797" s="996" t="s">
        <v>10122</v>
      </c>
      <c r="V797" s="996"/>
      <c r="W797" s="992"/>
    </row>
    <row r="798" spans="3:23" ht="14.5" customHeight="1">
      <c r="C798" s="1037" t="s">
        <v>6329</v>
      </c>
      <c r="D798" s="988" t="str">
        <f>IF(C798="","",CONCATENATE(LEFT(C798,4),MID(C798,6,2)))</f>
        <v>205102</v>
      </c>
      <c r="E798" s="989" t="s">
        <v>10850</v>
      </c>
      <c r="F798" s="988" t="str">
        <f>IF(E798="","",CONCATENATE(LEFT(E798,4),MID(E798,6,3)))</f>
        <v>2051021</v>
      </c>
      <c r="G798" s="1095" t="str">
        <f>IF(F798="",#REF!,F798)</f>
        <v>2051021</v>
      </c>
      <c r="I798" s="944" t="str">
        <f>IF(H798="","",CONCATENATE(G798,H798))</f>
        <v/>
      </c>
      <c r="J798" s="990" t="s">
        <v>6330</v>
      </c>
      <c r="K798" s="886"/>
      <c r="L798" s="886"/>
      <c r="M798" s="886"/>
      <c r="N798" s="886"/>
      <c r="O798" s="886"/>
      <c r="P798" s="896">
        <f>Q798</f>
        <v>57631</v>
      </c>
      <c r="Q798" s="1171">
        <f>ROUND(Q799+Q800+Q801+Q802,0)</f>
        <v>57631</v>
      </c>
      <c r="R798" s="882"/>
      <c r="S798" s="1269"/>
      <c r="T798" s="1254"/>
      <c r="U798" s="996"/>
      <c r="V798" s="996"/>
      <c r="W798" s="992"/>
    </row>
    <row r="799" spans="3:23" ht="14.5" customHeight="1">
      <c r="C799" s="987"/>
      <c r="D799" s="988" t="str">
        <f>IF(C799="","",CONCATENATE(LEFT(C799,4),MID(C799,6,2)))</f>
        <v/>
      </c>
      <c r="E799" s="989"/>
      <c r="F799" s="988" t="str">
        <f>IF(E799="","",CONCATENATE(LEFT(E799,4),MID(E799,6,3)))</f>
        <v/>
      </c>
      <c r="G799" s="1095" t="str">
        <f>IF(F799="",G798,F799)</f>
        <v>2051021</v>
      </c>
      <c r="H799" s="1016" t="s">
        <v>10851</v>
      </c>
      <c r="I799" s="944" t="str">
        <f>IF(H799="","",CONCATENATE(G799,H799))</f>
        <v>2051021101～Y02</v>
      </c>
      <c r="J799" s="991" t="s">
        <v>10852</v>
      </c>
      <c r="K799" s="886"/>
      <c r="L799" s="886"/>
      <c r="M799" s="886"/>
      <c r="N799" s="873"/>
      <c r="O799" s="873"/>
      <c r="P799" s="886"/>
      <c r="Q799" s="1182">
        <v>567.94000000000005</v>
      </c>
      <c r="R799" s="882"/>
      <c r="S799" s="1269"/>
      <c r="T799" s="1254"/>
      <c r="U799" s="996" t="s">
        <v>10587</v>
      </c>
      <c r="V799" s="996"/>
      <c r="W799" s="992"/>
    </row>
    <row r="800" spans="3:23" ht="14.5" customHeight="1">
      <c r="C800" s="987"/>
      <c r="D800" s="988" t="str">
        <f>IF(C800="","",CONCATENATE(LEFT(C800,4),MID(C800,6,2)))</f>
        <v/>
      </c>
      <c r="E800" s="989"/>
      <c r="F800" s="988" t="str">
        <f>IF(E800="","",CONCATENATE(LEFT(E800,4),MID(E800,6,3)))</f>
        <v/>
      </c>
      <c r="G800" s="1095" t="str">
        <f t="shared" ref="G800:G806" si="117">IF(F800="",G799,F800)</f>
        <v>2051021</v>
      </c>
      <c r="H800" s="1016" t="s">
        <v>10853</v>
      </c>
      <c r="I800" s="944" t="str">
        <f>IF(H800="","",CONCATENATE(G800,H800))</f>
        <v>2051021301～Y03</v>
      </c>
      <c r="J800" s="991" t="s">
        <v>10854</v>
      </c>
      <c r="K800" s="886"/>
      <c r="L800" s="886"/>
      <c r="M800" s="886"/>
      <c r="N800" s="873"/>
      <c r="O800" s="873"/>
      <c r="P800" s="886"/>
      <c r="Q800" s="1182">
        <v>17149.810000000001</v>
      </c>
      <c r="R800" s="882"/>
      <c r="S800" s="1269"/>
      <c r="T800" s="1254"/>
      <c r="U800" s="996" t="s">
        <v>10122</v>
      </c>
      <c r="V800" s="996"/>
      <c r="W800" s="992" t="s">
        <v>10855</v>
      </c>
    </row>
    <row r="801" spans="3:25" ht="14.5" customHeight="1">
      <c r="C801" s="987"/>
      <c r="D801" s="988" t="str">
        <f>IF(C801="","",CONCATENATE(LEFT(C801,4),MID(C801,6,2)))</f>
        <v/>
      </c>
      <c r="E801" s="989"/>
      <c r="F801" s="988" t="str">
        <f>IF(E801="","",CONCATENATE(LEFT(E801,4),MID(E801,6,3)))</f>
        <v/>
      </c>
      <c r="G801" s="1095" t="str">
        <f t="shared" si="117"/>
        <v>2051021</v>
      </c>
      <c r="H801" s="1016" t="s">
        <v>5486</v>
      </c>
      <c r="I801" s="944" t="str">
        <f>IF(H801="","",CONCATENATE(G801,H801))</f>
        <v>2051021401</v>
      </c>
      <c r="J801" s="991" t="s">
        <v>10856</v>
      </c>
      <c r="K801" s="886"/>
      <c r="L801" s="886"/>
      <c r="M801" s="886"/>
      <c r="N801" s="873"/>
      <c r="O801" s="873"/>
      <c r="P801" s="886"/>
      <c r="Q801" s="1182">
        <v>937.63</v>
      </c>
      <c r="R801" s="882"/>
      <c r="S801" s="1269"/>
      <c r="T801" s="1254"/>
      <c r="U801" s="996" t="s">
        <v>10122</v>
      </c>
      <c r="V801" s="996"/>
      <c r="W801" s="992"/>
    </row>
    <row r="802" spans="3:25" ht="14.5" customHeight="1">
      <c r="C802" s="987"/>
      <c r="D802" s="988" t="str">
        <f>IF(C802="","",CONCATENATE(LEFT(C802,4),MID(C802,6,2)))</f>
        <v/>
      </c>
      <c r="E802" s="989"/>
      <c r="F802" s="988" t="str">
        <f>IF(E802="","",CONCATENATE(LEFT(E802,4),MID(E802,6,3)))</f>
        <v/>
      </c>
      <c r="G802" s="1095" t="str">
        <f t="shared" si="117"/>
        <v>2051021</v>
      </c>
      <c r="I802" s="944" t="str">
        <f>IF(H802="","",CONCATENATE(G802,H802))</f>
        <v/>
      </c>
      <c r="J802" s="991" t="s">
        <v>10857</v>
      </c>
      <c r="K802" s="886"/>
      <c r="L802" s="886"/>
      <c r="M802" s="886"/>
      <c r="N802" s="873"/>
      <c r="O802" s="873"/>
      <c r="P802" s="886"/>
      <c r="Q802" s="1181">
        <f>SUM(Q803:Q806)</f>
        <v>38975.32</v>
      </c>
      <c r="R802" s="882"/>
      <c r="S802" s="1269"/>
      <c r="T802" s="1254"/>
      <c r="U802" s="991"/>
      <c r="V802" s="996"/>
      <c r="W802" s="992"/>
      <c r="Y802" s="1034" t="s">
        <v>5312</v>
      </c>
    </row>
    <row r="803" spans="3:25" ht="14.5" customHeight="1">
      <c r="C803" s="987"/>
      <c r="F803" s="988"/>
      <c r="G803" s="1095" t="str">
        <f t="shared" si="117"/>
        <v>2051021</v>
      </c>
      <c r="H803" s="1016" t="s">
        <v>5488</v>
      </c>
      <c r="I803" s="944" t="str">
        <f t="shared" ref="I803:I806" si="118">IF(H803="","",CONCATENATE(G803,H803))</f>
        <v>2051021501</v>
      </c>
      <c r="J803" s="991" t="s">
        <v>6345</v>
      </c>
      <c r="K803" s="886"/>
      <c r="L803" s="886"/>
      <c r="M803" s="886"/>
      <c r="N803" s="873"/>
      <c r="O803" s="873"/>
      <c r="P803" s="886"/>
      <c r="Q803" s="1167">
        <v>27423</v>
      </c>
      <c r="R803" s="882"/>
      <c r="S803" s="1269"/>
      <c r="T803" s="1254"/>
      <c r="U803" s="996" t="s">
        <v>10799</v>
      </c>
      <c r="V803" s="996"/>
      <c r="W803" s="992"/>
    </row>
    <row r="804" spans="3:25" ht="14.5" customHeight="1">
      <c r="C804" s="987"/>
      <c r="F804" s="988"/>
      <c r="G804" s="1095" t="str">
        <f t="shared" si="117"/>
        <v>2051021</v>
      </c>
      <c r="H804" s="1016" t="s">
        <v>5490</v>
      </c>
      <c r="I804" s="944" t="str">
        <f t="shared" si="118"/>
        <v>2051021502</v>
      </c>
      <c r="J804" s="991" t="s">
        <v>6346</v>
      </c>
      <c r="K804" s="886"/>
      <c r="L804" s="886"/>
      <c r="M804" s="886"/>
      <c r="N804" s="873"/>
      <c r="O804" s="873"/>
      <c r="P804" s="886"/>
      <c r="Q804" s="1167">
        <v>1550</v>
      </c>
      <c r="R804" s="882"/>
      <c r="S804" s="1269"/>
      <c r="T804" s="1254"/>
      <c r="U804" s="996" t="s">
        <v>10122</v>
      </c>
      <c r="V804" s="996"/>
      <c r="W804" s="992"/>
    </row>
    <row r="805" spans="3:25" ht="14.5" customHeight="1">
      <c r="C805" s="987"/>
      <c r="F805" s="988"/>
      <c r="G805" s="1095" t="str">
        <f t="shared" si="117"/>
        <v>2051021</v>
      </c>
      <c r="H805" s="1016" t="s">
        <v>5492</v>
      </c>
      <c r="I805" s="944" t="str">
        <f t="shared" si="118"/>
        <v>2051021503</v>
      </c>
      <c r="J805" s="991" t="s">
        <v>6347</v>
      </c>
      <c r="K805" s="886"/>
      <c r="L805" s="886"/>
      <c r="M805" s="886"/>
      <c r="N805" s="873"/>
      <c r="O805" s="873"/>
      <c r="P805" s="886"/>
      <c r="Q805" s="1167">
        <v>10035</v>
      </c>
      <c r="R805" s="882"/>
      <c r="S805" s="1269"/>
      <c r="T805" s="1254"/>
      <c r="U805" s="996" t="s">
        <v>10122</v>
      </c>
      <c r="V805" s="996"/>
      <c r="W805" s="992"/>
    </row>
    <row r="806" spans="3:25" ht="14.5" customHeight="1">
      <c r="C806" s="987"/>
      <c r="F806" s="988"/>
      <c r="G806" s="1095" t="str">
        <f t="shared" si="117"/>
        <v>2051021</v>
      </c>
      <c r="H806" s="1016" t="s">
        <v>10858</v>
      </c>
      <c r="I806" s="944" t="str">
        <f t="shared" si="118"/>
        <v>2051021Y05</v>
      </c>
      <c r="J806" s="991" t="s">
        <v>6348</v>
      </c>
      <c r="K806" s="886"/>
      <c r="L806" s="886"/>
      <c r="M806" s="886"/>
      <c r="N806" s="873"/>
      <c r="O806" s="873"/>
      <c r="P806" s="886"/>
      <c r="Q806" s="1167">
        <v>-32.68</v>
      </c>
      <c r="R806" s="882"/>
      <c r="S806" s="1269"/>
      <c r="T806" s="1254"/>
      <c r="U806" s="978" t="s">
        <v>10612</v>
      </c>
      <c r="V806" s="996"/>
      <c r="W806" s="992"/>
    </row>
    <row r="807" spans="3:25" ht="14.5" customHeight="1">
      <c r="C807" s="1040" t="s">
        <v>6349</v>
      </c>
      <c r="D807" s="982" t="str">
        <f>IF(C807="","",CONCATENATE(LEFT(C807,4),MID(C807,6,2)))</f>
        <v>205103</v>
      </c>
      <c r="E807" s="983" t="s">
        <v>6350</v>
      </c>
      <c r="F807" s="982" t="str">
        <f>IF(E807="","",CONCATENATE(LEFT(E807,4),MID(E807,6,3)))</f>
        <v>2051031</v>
      </c>
      <c r="G807" s="1103" t="str">
        <f>IF(F807="",G802,F807)</f>
        <v>2051031</v>
      </c>
      <c r="H807" s="1102"/>
      <c r="I807" s="947" t="str">
        <f>IF(H807="","",CONCATENATE(G807,H807))</f>
        <v/>
      </c>
      <c r="J807" s="984" t="s">
        <v>295</v>
      </c>
      <c r="K807" s="889"/>
      <c r="L807" s="889"/>
      <c r="M807" s="889"/>
      <c r="N807" s="889"/>
      <c r="O807" s="889"/>
      <c r="P807" s="881">
        <f>Q807</f>
        <v>1828</v>
      </c>
      <c r="Q807" s="1169">
        <f>ROUND(Q808+Q809,0)</f>
        <v>1828</v>
      </c>
      <c r="R807" s="880"/>
      <c r="S807" s="1270"/>
      <c r="T807" s="880"/>
      <c r="U807" s="993"/>
      <c r="V807" s="993"/>
      <c r="W807" s="986"/>
    </row>
    <row r="808" spans="3:25" ht="14.5" customHeight="1">
      <c r="C808" s="1037"/>
      <c r="E808" s="989"/>
      <c r="F808" s="988"/>
      <c r="G808" s="1095" t="str">
        <f t="shared" ref="G808:G809" si="119">IF(F808="",G803,F808)</f>
        <v>2051021</v>
      </c>
      <c r="H808" s="1016" t="s">
        <v>10859</v>
      </c>
      <c r="I808" s="1033" t="str">
        <f t="shared" ref="I808:I819" si="120">IF(H808="","",CONCATENATE(G808,H808))</f>
        <v>2051021101～Y01</v>
      </c>
      <c r="J808" s="991" t="s">
        <v>6351</v>
      </c>
      <c r="K808" s="886"/>
      <c r="L808" s="886"/>
      <c r="M808" s="886"/>
      <c r="N808" s="873"/>
      <c r="O808" s="873"/>
      <c r="P808" s="886"/>
      <c r="Q808" s="1182">
        <v>1823.89</v>
      </c>
      <c r="R808" s="882"/>
      <c r="S808" s="1269"/>
      <c r="T808" s="1254"/>
      <c r="U808" s="996" t="s">
        <v>10424</v>
      </c>
      <c r="V808" s="996"/>
      <c r="W808" s="992"/>
    </row>
    <row r="809" spans="3:25" ht="14.5" customHeight="1">
      <c r="C809" s="1036"/>
      <c r="D809" s="999"/>
      <c r="E809" s="1000"/>
      <c r="F809" s="999"/>
      <c r="G809" s="1095" t="str">
        <f t="shared" si="119"/>
        <v>2051021</v>
      </c>
      <c r="H809" s="1005"/>
      <c r="I809" s="944" t="str">
        <f t="shared" si="120"/>
        <v/>
      </c>
      <c r="J809" s="978" t="s">
        <v>6155</v>
      </c>
      <c r="K809" s="893"/>
      <c r="L809" s="893"/>
      <c r="M809" s="893"/>
      <c r="N809" s="893"/>
      <c r="O809" s="893"/>
      <c r="P809" s="893"/>
      <c r="Q809" s="1170">
        <v>4.12</v>
      </c>
      <c r="R809" s="900"/>
      <c r="S809" s="1272"/>
      <c r="T809" s="900"/>
      <c r="U809" s="1006" t="s">
        <v>10389</v>
      </c>
      <c r="V809" s="1006"/>
      <c r="W809" s="1003"/>
    </row>
    <row r="810" spans="3:25" ht="14.5" customHeight="1">
      <c r="C810" s="1040" t="s">
        <v>6352</v>
      </c>
      <c r="D810" s="982" t="str">
        <f>IF(C810="","",CONCATENATE(LEFT(C810,4),MID(C810,6,2)))</f>
        <v>205109</v>
      </c>
      <c r="E810" s="983" t="s">
        <v>6353</v>
      </c>
      <c r="F810" s="982" t="str">
        <f>IF(E810="","",CONCATENATE(LEFT(E810,4),MID(E810,6,3)))</f>
        <v>2051099</v>
      </c>
      <c r="G810" s="1103" t="str">
        <f>IF(F810="",G807,F810)</f>
        <v>2051099</v>
      </c>
      <c r="H810" s="1102"/>
      <c r="I810" s="947" t="str">
        <f t="shared" si="120"/>
        <v/>
      </c>
      <c r="J810" s="984" t="s">
        <v>296</v>
      </c>
      <c r="K810" s="897"/>
      <c r="L810" s="897"/>
      <c r="M810" s="897"/>
      <c r="N810" s="889"/>
      <c r="O810" s="889"/>
      <c r="P810" s="881">
        <f>Q810</f>
        <v>24491</v>
      </c>
      <c r="Q810" s="1169">
        <f>ROUND(SUM(Q811:Q819),0)</f>
        <v>24491</v>
      </c>
      <c r="R810" s="880"/>
      <c r="S810" s="1270"/>
      <c r="T810" s="880"/>
      <c r="U810" s="985"/>
      <c r="V810" s="993"/>
      <c r="W810" s="986" t="s">
        <v>10860</v>
      </c>
    </row>
    <row r="811" spans="3:25" ht="14.5" customHeight="1">
      <c r="C811" s="1037"/>
      <c r="D811" s="995"/>
      <c r="E811" s="989"/>
      <c r="F811" s="988"/>
      <c r="G811" s="1095" t="str">
        <f>IF(F811="",G810,F811)</f>
        <v>2051099</v>
      </c>
      <c r="H811" s="1016" t="s">
        <v>5534</v>
      </c>
      <c r="I811" s="944" t="str">
        <f t="shared" si="120"/>
        <v>2051099101</v>
      </c>
      <c r="J811" s="991" t="s">
        <v>6354</v>
      </c>
      <c r="K811" s="873"/>
      <c r="L811" s="873"/>
      <c r="M811" s="873"/>
      <c r="N811" s="886"/>
      <c r="O811" s="886"/>
      <c r="P811" s="886"/>
      <c r="Q811" s="1167">
        <v>0</v>
      </c>
      <c r="R811" s="882"/>
      <c r="S811" s="1269"/>
      <c r="T811" s="1254"/>
      <c r="U811" s="991" t="s">
        <v>10766</v>
      </c>
      <c r="V811" s="996"/>
      <c r="W811" s="992" t="s">
        <v>10817</v>
      </c>
    </row>
    <row r="812" spans="3:25" ht="14.5" customHeight="1">
      <c r="C812" s="1037"/>
      <c r="D812" s="995"/>
      <c r="E812" s="989"/>
      <c r="F812" s="995"/>
      <c r="G812" s="1095" t="str">
        <f t="shared" ref="G812:G818" si="121">IF(F812="",G811,F812)</f>
        <v>2051099</v>
      </c>
      <c r="H812" s="1016" t="s">
        <v>6000</v>
      </c>
      <c r="I812" s="944" t="str">
        <f t="shared" si="120"/>
        <v>2051099102</v>
      </c>
      <c r="J812" s="991" t="s">
        <v>6355</v>
      </c>
      <c r="K812" s="873"/>
      <c r="L812" s="873"/>
      <c r="M812" s="873"/>
      <c r="N812" s="886"/>
      <c r="O812" s="886"/>
      <c r="P812" s="886"/>
      <c r="Q812" s="1167">
        <v>0</v>
      </c>
      <c r="R812" s="882"/>
      <c r="S812" s="1269"/>
      <c r="T812" s="1254"/>
      <c r="U812" s="991" t="s">
        <v>10122</v>
      </c>
      <c r="V812" s="996"/>
      <c r="W812" s="991" t="s">
        <v>10122</v>
      </c>
    </row>
    <row r="813" spans="3:25" ht="14.5" customHeight="1">
      <c r="C813" s="1037"/>
      <c r="D813" s="995"/>
      <c r="E813" s="989"/>
      <c r="F813" s="995"/>
      <c r="G813" s="1095" t="str">
        <f t="shared" si="121"/>
        <v>2051099</v>
      </c>
      <c r="H813" s="1016" t="s">
        <v>5602</v>
      </c>
      <c r="I813" s="944" t="str">
        <f t="shared" si="120"/>
        <v>2051099201</v>
      </c>
      <c r="J813" s="991" t="s">
        <v>6318</v>
      </c>
      <c r="K813" s="873"/>
      <c r="L813" s="873"/>
      <c r="M813" s="873"/>
      <c r="N813" s="886"/>
      <c r="O813" s="886"/>
      <c r="P813" s="886"/>
      <c r="Q813" s="1167">
        <v>0</v>
      </c>
      <c r="R813" s="882"/>
      <c r="S813" s="1269"/>
      <c r="T813" s="1254"/>
      <c r="U813" s="991" t="s">
        <v>10122</v>
      </c>
      <c r="V813" s="996"/>
      <c r="W813" s="991" t="s">
        <v>10122</v>
      </c>
    </row>
    <row r="814" spans="3:25" ht="14.5" customHeight="1">
      <c r="C814" s="1037"/>
      <c r="D814" s="995"/>
      <c r="E814" s="989"/>
      <c r="F814" s="995"/>
      <c r="G814" s="1095" t="str">
        <f t="shared" si="121"/>
        <v>2051099</v>
      </c>
      <c r="H814" s="1016" t="s">
        <v>5844</v>
      </c>
      <c r="I814" s="944" t="str">
        <f t="shared" si="120"/>
        <v>2051099202</v>
      </c>
      <c r="J814" s="991" t="s">
        <v>5894</v>
      </c>
      <c r="K814" s="873"/>
      <c r="L814" s="873"/>
      <c r="M814" s="873"/>
      <c r="N814" s="886"/>
      <c r="O814" s="886"/>
      <c r="P814" s="886"/>
      <c r="Q814" s="1167">
        <v>0</v>
      </c>
      <c r="R814" s="882"/>
      <c r="S814" s="1269"/>
      <c r="T814" s="1254"/>
      <c r="U814" s="991" t="s">
        <v>10122</v>
      </c>
      <c r="V814" s="996"/>
      <c r="W814" s="991" t="s">
        <v>10122</v>
      </c>
    </row>
    <row r="815" spans="3:25" ht="14.5" customHeight="1">
      <c r="C815" s="1037"/>
      <c r="D815" s="995"/>
      <c r="E815" s="989"/>
      <c r="F815" s="995"/>
      <c r="G815" s="1095" t="str">
        <f t="shared" si="121"/>
        <v>2051099</v>
      </c>
      <c r="H815" s="1016" t="s">
        <v>5484</v>
      </c>
      <c r="I815" s="944" t="str">
        <f t="shared" si="120"/>
        <v>2051099301</v>
      </c>
      <c r="J815" s="991" t="s">
        <v>6356</v>
      </c>
      <c r="K815" s="873"/>
      <c r="L815" s="873"/>
      <c r="M815" s="873"/>
      <c r="N815" s="886"/>
      <c r="O815" s="886"/>
      <c r="P815" s="886"/>
      <c r="Q815" s="1167">
        <v>0</v>
      </c>
      <c r="R815" s="882"/>
      <c r="S815" s="1269"/>
      <c r="T815" s="1254"/>
      <c r="U815" s="991" t="s">
        <v>10122</v>
      </c>
      <c r="V815" s="996"/>
      <c r="W815" s="991" t="s">
        <v>10122</v>
      </c>
    </row>
    <row r="816" spans="3:25" ht="14.5" customHeight="1">
      <c r="C816" s="1037"/>
      <c r="D816" s="995"/>
      <c r="E816" s="989"/>
      <c r="F816" s="995"/>
      <c r="G816" s="1095" t="str">
        <f t="shared" si="121"/>
        <v>2051099</v>
      </c>
      <c r="H816" s="1016" t="s">
        <v>5486</v>
      </c>
      <c r="I816" s="944" t="str">
        <f t="shared" si="120"/>
        <v>2051099401</v>
      </c>
      <c r="J816" s="991" t="s">
        <v>6357</v>
      </c>
      <c r="K816" s="873"/>
      <c r="L816" s="873"/>
      <c r="M816" s="873"/>
      <c r="N816" s="886"/>
      <c r="O816" s="886"/>
      <c r="P816" s="886"/>
      <c r="Q816" s="1167">
        <v>0</v>
      </c>
      <c r="R816" s="882"/>
      <c r="S816" s="1269"/>
      <c r="T816" s="1254"/>
      <c r="U816" s="991" t="s">
        <v>10122</v>
      </c>
      <c r="V816" s="996"/>
      <c r="W816" s="991" t="s">
        <v>10122</v>
      </c>
    </row>
    <row r="817" spans="3:23" ht="14.5" customHeight="1">
      <c r="C817" s="1037"/>
      <c r="D817" s="995"/>
      <c r="E817" s="989"/>
      <c r="F817" s="995"/>
      <c r="G817" s="1095" t="str">
        <f t="shared" si="121"/>
        <v>2051099</v>
      </c>
      <c r="H817" s="1016" t="s">
        <v>5488</v>
      </c>
      <c r="I817" s="944" t="str">
        <f t="shared" si="120"/>
        <v>2051099501</v>
      </c>
      <c r="J817" s="991" t="s">
        <v>6358</v>
      </c>
      <c r="K817" s="873"/>
      <c r="L817" s="873"/>
      <c r="M817" s="873"/>
      <c r="N817" s="886"/>
      <c r="O817" s="886"/>
      <c r="P817" s="886"/>
      <c r="Q817" s="1167">
        <v>0</v>
      </c>
      <c r="R817" s="882"/>
      <c r="S817" s="1269"/>
      <c r="T817" s="1254"/>
      <c r="U817" s="991" t="s">
        <v>10122</v>
      </c>
      <c r="V817" s="996"/>
      <c r="W817" s="991" t="s">
        <v>10122</v>
      </c>
    </row>
    <row r="818" spans="3:23" ht="14.5" customHeight="1">
      <c r="C818" s="1037"/>
      <c r="D818" s="995"/>
      <c r="E818" s="989"/>
      <c r="F818" s="995"/>
      <c r="G818" s="1095" t="str">
        <f t="shared" si="121"/>
        <v>2051099</v>
      </c>
      <c r="H818" s="1016" t="s">
        <v>5490</v>
      </c>
      <c r="I818" s="944" t="str">
        <f t="shared" si="120"/>
        <v>2051099502</v>
      </c>
      <c r="J818" s="991" t="s">
        <v>6359</v>
      </c>
      <c r="K818" s="873"/>
      <c r="L818" s="873"/>
      <c r="M818" s="873"/>
      <c r="N818" s="886"/>
      <c r="O818" s="886"/>
      <c r="P818" s="886"/>
      <c r="Q818" s="1167">
        <v>24191</v>
      </c>
      <c r="R818" s="882"/>
      <c r="S818" s="1269"/>
      <c r="T818" s="1254"/>
      <c r="U818" s="991" t="s">
        <v>10122</v>
      </c>
      <c r="V818" s="996"/>
      <c r="W818" s="991" t="s">
        <v>10122</v>
      </c>
    </row>
    <row r="819" spans="3:23" ht="14.5" customHeight="1">
      <c r="C819" s="1036"/>
      <c r="D819" s="1018"/>
      <c r="E819" s="1000"/>
      <c r="F819" s="1018"/>
      <c r="G819" s="1104" t="str">
        <f>IF(F819="",G818,F819)</f>
        <v>2051099</v>
      </c>
      <c r="H819" s="1005" t="s">
        <v>10456</v>
      </c>
      <c r="I819" s="1002" t="str">
        <f t="shared" si="120"/>
        <v>2051099Y01</v>
      </c>
      <c r="J819" s="978" t="s">
        <v>6155</v>
      </c>
      <c r="K819" s="872"/>
      <c r="L819" s="872"/>
      <c r="M819" s="872"/>
      <c r="N819" s="893"/>
      <c r="O819" s="893"/>
      <c r="P819" s="893"/>
      <c r="Q819" s="1170">
        <v>299.7</v>
      </c>
      <c r="R819" s="900"/>
      <c r="S819" s="1272"/>
      <c r="T819" s="900"/>
      <c r="U819" s="978" t="s">
        <v>10587</v>
      </c>
      <c r="V819" s="1006"/>
      <c r="W819" s="1003"/>
    </row>
    <row r="820" spans="3:23" ht="14.5" customHeight="1">
      <c r="C820" s="1040" t="s">
        <v>6360</v>
      </c>
      <c r="D820" s="982" t="str">
        <f>IF(C820="","",CONCATENATE(LEFT(C820,4),MID(C820,6,2)))</f>
        <v>206101</v>
      </c>
      <c r="E820" s="983" t="s">
        <v>10861</v>
      </c>
      <c r="F820" s="982" t="str">
        <f>IF(E820="","",CONCATENATE(LEFT(E820,4),MID(E820,6,3)))</f>
        <v>2061011</v>
      </c>
      <c r="G820" s="1103" t="str">
        <f t="shared" ref="G820:G830" si="122">IF(F820="",G819,F820)</f>
        <v>2061011</v>
      </c>
      <c r="H820" s="1102"/>
      <c r="I820" s="947" t="str">
        <f>IF(H820="","",CONCATENATE(G820,H820))</f>
        <v/>
      </c>
      <c r="J820" s="984" t="s">
        <v>6361</v>
      </c>
      <c r="K820" s="873"/>
      <c r="L820" s="873"/>
      <c r="M820" s="873"/>
      <c r="N820" s="886"/>
      <c r="O820" s="886"/>
      <c r="P820" s="896">
        <f>Q820</f>
        <v>53381</v>
      </c>
      <c r="Q820" s="1161">
        <f>ROUND(Q821+Q822,0)</f>
        <v>53381</v>
      </c>
      <c r="R820" s="882"/>
      <c r="S820" s="1269"/>
      <c r="T820" s="1254"/>
      <c r="U820" s="991"/>
      <c r="V820" s="996"/>
      <c r="W820" s="992"/>
    </row>
    <row r="821" spans="3:23" ht="14.5" customHeight="1">
      <c r="C821" s="1037"/>
      <c r="D821" s="995"/>
      <c r="E821" s="989"/>
      <c r="F821" s="988" t="str">
        <f>IF(E821="","",CONCATENATE(LEFT(E821,4),MID(E821,6,3)))</f>
        <v/>
      </c>
      <c r="G821" s="1095" t="str">
        <f t="shared" si="122"/>
        <v>2061011</v>
      </c>
      <c r="I821" s="944" t="str">
        <f>IF(H821="","",CONCATENATE(G821,H821))</f>
        <v/>
      </c>
      <c r="J821" s="991" t="s">
        <v>10862</v>
      </c>
      <c r="K821" s="873"/>
      <c r="L821" s="873"/>
      <c r="M821" s="873"/>
      <c r="N821" s="886"/>
      <c r="O821" s="886"/>
      <c r="P821" s="886"/>
      <c r="Q821" s="1167">
        <v>20391.84</v>
      </c>
      <c r="R821" s="882"/>
      <c r="S821" s="1269"/>
      <c r="T821" s="1254"/>
      <c r="U821" s="991" t="s">
        <v>10587</v>
      </c>
      <c r="V821" s="996"/>
      <c r="W821" s="992"/>
    </row>
    <row r="822" spans="3:23" ht="14.5" customHeight="1">
      <c r="C822" s="1037"/>
      <c r="D822" s="995"/>
      <c r="E822" s="989"/>
      <c r="F822" s="988" t="str">
        <f>IF(E822="","",CONCATENATE(LEFT(E822,4),MID(E822,6,3)))</f>
        <v/>
      </c>
      <c r="G822" s="1095" t="str">
        <f t="shared" si="122"/>
        <v>2061011</v>
      </c>
      <c r="I822" s="944" t="str">
        <f>IF(H822="","",CONCATENATE(G822,H822))</f>
        <v/>
      </c>
      <c r="J822" s="991" t="s">
        <v>10863</v>
      </c>
      <c r="K822" s="873"/>
      <c r="L822" s="873"/>
      <c r="M822" s="873"/>
      <c r="N822" s="886"/>
      <c r="O822" s="886"/>
      <c r="P822" s="886"/>
      <c r="Q822" s="1165">
        <f>SUM(Q823:Q830)</f>
        <v>32989.39</v>
      </c>
      <c r="R822" s="882"/>
      <c r="S822" s="1269"/>
      <c r="T822" s="1254"/>
      <c r="U822" s="996"/>
      <c r="V822" s="996"/>
      <c r="W822" s="992"/>
    </row>
    <row r="823" spans="3:23" ht="14.5" customHeight="1">
      <c r="C823" s="1037"/>
      <c r="D823" s="995"/>
      <c r="E823" s="989"/>
      <c r="F823" s="995"/>
      <c r="G823" s="1095" t="str">
        <f t="shared" si="122"/>
        <v>2061011</v>
      </c>
      <c r="H823" s="1016" t="s">
        <v>5602</v>
      </c>
      <c r="J823" s="991" t="s">
        <v>6366</v>
      </c>
      <c r="K823" s="873"/>
      <c r="L823" s="873"/>
      <c r="M823" s="873"/>
      <c r="N823" s="886"/>
      <c r="O823" s="886"/>
      <c r="P823" s="886"/>
      <c r="Q823" s="1167">
        <v>0</v>
      </c>
      <c r="R823" s="882"/>
      <c r="S823" s="1269"/>
      <c r="T823" s="1254"/>
      <c r="U823" s="996" t="s">
        <v>10587</v>
      </c>
      <c r="V823" s="996"/>
      <c r="W823" s="992" t="s">
        <v>10817</v>
      </c>
    </row>
    <row r="824" spans="3:23" ht="14.5" customHeight="1">
      <c r="C824" s="1037"/>
      <c r="D824" s="995"/>
      <c r="E824" s="989"/>
      <c r="F824" s="995"/>
      <c r="G824" s="1095" t="str">
        <f t="shared" si="122"/>
        <v>2061011</v>
      </c>
      <c r="H824" s="1016" t="s">
        <v>5844</v>
      </c>
      <c r="J824" s="991" t="s">
        <v>6367</v>
      </c>
      <c r="K824" s="873"/>
      <c r="L824" s="873"/>
      <c r="M824" s="873"/>
      <c r="N824" s="886"/>
      <c r="O824" s="886"/>
      <c r="P824" s="886"/>
      <c r="Q824" s="1167">
        <v>0</v>
      </c>
      <c r="R824" s="882"/>
      <c r="S824" s="1269"/>
      <c r="T824" s="1254"/>
      <c r="U824" s="996" t="s">
        <v>10122</v>
      </c>
      <c r="V824" s="996"/>
      <c r="W824" s="992" t="s">
        <v>10122</v>
      </c>
    </row>
    <row r="825" spans="3:23" ht="14.5" customHeight="1">
      <c r="C825" s="1037"/>
      <c r="D825" s="995"/>
      <c r="E825" s="989"/>
      <c r="F825" s="995"/>
      <c r="G825" s="1095" t="str">
        <f t="shared" si="122"/>
        <v>2061011</v>
      </c>
      <c r="H825" s="1016" t="s">
        <v>7571</v>
      </c>
      <c r="J825" s="991" t="s">
        <v>6368</v>
      </c>
      <c r="K825" s="873"/>
      <c r="L825" s="873"/>
      <c r="M825" s="873"/>
      <c r="N825" s="886"/>
      <c r="O825" s="886"/>
      <c r="P825" s="886"/>
      <c r="Q825" s="1167">
        <v>32.4</v>
      </c>
      <c r="R825" s="882"/>
      <c r="S825" s="1269"/>
      <c r="T825" s="1254"/>
      <c r="U825" s="996" t="s">
        <v>10122</v>
      </c>
      <c r="V825" s="996"/>
      <c r="W825" s="992"/>
    </row>
    <row r="826" spans="3:23" ht="14.5" customHeight="1">
      <c r="C826" s="1037"/>
      <c r="D826" s="995"/>
      <c r="E826" s="989"/>
      <c r="F826" s="995"/>
      <c r="G826" s="1095" t="str">
        <f t="shared" si="122"/>
        <v>2061011</v>
      </c>
      <c r="H826" s="1016" t="s">
        <v>7573</v>
      </c>
      <c r="J826" s="991" t="s">
        <v>6369</v>
      </c>
      <c r="K826" s="873"/>
      <c r="L826" s="873"/>
      <c r="M826" s="873"/>
      <c r="N826" s="886"/>
      <c r="O826" s="886"/>
      <c r="P826" s="886"/>
      <c r="Q826" s="1167">
        <v>28969.75</v>
      </c>
      <c r="R826" s="882"/>
      <c r="S826" s="1269"/>
      <c r="T826" s="1254"/>
      <c r="U826" s="996" t="s">
        <v>10122</v>
      </c>
      <c r="V826" s="996"/>
      <c r="W826" s="992"/>
    </row>
    <row r="827" spans="3:23" ht="14.5" customHeight="1">
      <c r="C827" s="1037"/>
      <c r="D827" s="995"/>
      <c r="E827" s="989"/>
      <c r="F827" s="995"/>
      <c r="G827" s="1095" t="str">
        <f t="shared" si="122"/>
        <v>2061011</v>
      </c>
      <c r="H827" s="1016" t="s">
        <v>7575</v>
      </c>
      <c r="J827" s="991" t="s">
        <v>6370</v>
      </c>
      <c r="K827" s="873"/>
      <c r="L827" s="873"/>
      <c r="M827" s="873"/>
      <c r="N827" s="886"/>
      <c r="O827" s="886"/>
      <c r="P827" s="886"/>
      <c r="Q827" s="1167">
        <v>0</v>
      </c>
      <c r="R827" s="882"/>
      <c r="S827" s="1269"/>
      <c r="T827" s="1254"/>
      <c r="U827" s="996" t="s">
        <v>10122</v>
      </c>
      <c r="V827" s="996"/>
      <c r="W827" s="992" t="s">
        <v>10817</v>
      </c>
    </row>
    <row r="828" spans="3:23" ht="14.5" customHeight="1">
      <c r="C828" s="1037"/>
      <c r="D828" s="995"/>
      <c r="E828" s="989"/>
      <c r="F828" s="995"/>
      <c r="G828" s="1095" t="str">
        <f t="shared" si="122"/>
        <v>2061011</v>
      </c>
      <c r="H828" s="1016" t="s">
        <v>10864</v>
      </c>
      <c r="J828" s="991" t="s">
        <v>6371</v>
      </c>
      <c r="K828" s="873"/>
      <c r="L828" s="873"/>
      <c r="M828" s="873"/>
      <c r="N828" s="886"/>
      <c r="O828" s="886"/>
      <c r="P828" s="886"/>
      <c r="Q828" s="1167">
        <v>3987.24</v>
      </c>
      <c r="R828" s="882"/>
      <c r="S828" s="1269"/>
      <c r="T828" s="1254"/>
      <c r="U828" s="996" t="s">
        <v>10122</v>
      </c>
      <c r="V828" s="996"/>
      <c r="W828" s="992"/>
    </row>
    <row r="829" spans="3:23" ht="14.5" customHeight="1">
      <c r="C829" s="1037"/>
      <c r="D829" s="995"/>
      <c r="E829" s="989"/>
      <c r="F829" s="995"/>
      <c r="G829" s="1095" t="str">
        <f t="shared" si="122"/>
        <v>2061011</v>
      </c>
      <c r="H829" s="1016" t="s">
        <v>10865</v>
      </c>
      <c r="J829" s="991" t="s">
        <v>6372</v>
      </c>
      <c r="K829" s="873"/>
      <c r="L829" s="873"/>
      <c r="M829" s="873"/>
      <c r="N829" s="886"/>
      <c r="O829" s="886"/>
      <c r="P829" s="886"/>
      <c r="Q829" s="1167">
        <v>0</v>
      </c>
      <c r="R829" s="882"/>
      <c r="S829" s="1269"/>
      <c r="T829" s="1254"/>
      <c r="U829" s="996" t="s">
        <v>10122</v>
      </c>
      <c r="V829" s="996"/>
      <c r="W829" s="992" t="s">
        <v>10817</v>
      </c>
    </row>
    <row r="830" spans="3:23" ht="14.5" customHeight="1">
      <c r="C830" s="1036"/>
      <c r="D830" s="1018"/>
      <c r="E830" s="1000"/>
      <c r="F830" s="1018"/>
      <c r="G830" s="1104" t="str">
        <f t="shared" si="122"/>
        <v>2061011</v>
      </c>
      <c r="H830" s="1005" t="s">
        <v>10475</v>
      </c>
      <c r="I830" s="1002"/>
      <c r="J830" s="1116" t="s">
        <v>5939</v>
      </c>
      <c r="K830" s="920"/>
      <c r="L830" s="920"/>
      <c r="M830" s="920"/>
      <c r="N830" s="920"/>
      <c r="O830" s="920"/>
      <c r="P830" s="920"/>
      <c r="Q830" s="1190"/>
      <c r="R830" s="900"/>
      <c r="S830" s="1272"/>
      <c r="T830" s="900"/>
      <c r="U830" s="1045"/>
      <c r="V830" s="1006"/>
      <c r="W830" s="1046" t="s">
        <v>10866</v>
      </c>
    </row>
    <row r="831" spans="3:23" ht="14.5" customHeight="1">
      <c r="C831" s="1037" t="s">
        <v>6373</v>
      </c>
      <c r="D831" s="988" t="str">
        <f t="shared" ref="D831:D837" si="123">IF(C831="","",CONCATENATE(LEFT(C831,4),MID(C831,6,2)))</f>
        <v>207101</v>
      </c>
      <c r="E831" s="989" t="s">
        <v>6374</v>
      </c>
      <c r="F831" s="988" t="str">
        <f t="shared" ref="F831:F839" si="124">IF(E831="","",CONCATENATE(LEFT(E831,4),MID(E831,6,3)))</f>
        <v>2071011</v>
      </c>
      <c r="G831" s="1095" t="str">
        <f>IF(F831="",G822,F831)</f>
        <v>2071011</v>
      </c>
      <c r="I831" s="944" t="str">
        <f t="shared" ref="I831:I837" si="125">IF(H831="","",CONCATENATE(G831,H831))</f>
        <v/>
      </c>
      <c r="J831" s="990" t="s">
        <v>301</v>
      </c>
      <c r="K831" s="886"/>
      <c r="L831" s="886"/>
      <c r="M831" s="886"/>
      <c r="N831" s="886"/>
      <c r="O831" s="886"/>
      <c r="P831" s="896">
        <f>Q831</f>
        <v>485809</v>
      </c>
      <c r="Q831" s="1161">
        <f>ROUND(SUM(Q832:Q835),0)</f>
        <v>485809</v>
      </c>
      <c r="R831" s="882"/>
      <c r="S831" s="1269"/>
      <c r="T831" s="1254"/>
      <c r="U831" s="996"/>
      <c r="V831" s="996"/>
      <c r="W831" s="992"/>
    </row>
    <row r="832" spans="3:23" ht="14.5" customHeight="1">
      <c r="C832" s="1044"/>
      <c r="D832" s="988" t="str">
        <f t="shared" si="123"/>
        <v/>
      </c>
      <c r="F832" s="988" t="str">
        <f t="shared" si="124"/>
        <v/>
      </c>
      <c r="G832" s="1095" t="str">
        <f>IF(F832="",G831,F832)</f>
        <v>2071011</v>
      </c>
      <c r="H832" s="1016" t="s">
        <v>575</v>
      </c>
      <c r="I832" s="944" t="str">
        <f t="shared" si="125"/>
        <v>2071011101</v>
      </c>
      <c r="J832" s="991" t="s">
        <v>6375</v>
      </c>
      <c r="K832" s="873">
        <v>9385377.1999999993</v>
      </c>
      <c r="L832" s="873"/>
      <c r="M832" s="873">
        <v>9263864.4639999997</v>
      </c>
      <c r="N832" s="873"/>
      <c r="O832" s="873"/>
      <c r="P832" s="873"/>
      <c r="Q832" s="1167">
        <v>449023.75799999997</v>
      </c>
      <c r="R832" s="887"/>
      <c r="S832" s="1287">
        <f>'CT2015'!K779</f>
        <v>0.9</v>
      </c>
      <c r="T832" s="1256">
        <f>ROUND(Q832*S832/100,0)</f>
        <v>4041</v>
      </c>
      <c r="U832" s="996" t="s">
        <v>10867</v>
      </c>
      <c r="V832" s="996"/>
      <c r="W832" s="992" t="s">
        <v>10868</v>
      </c>
    </row>
    <row r="833" spans="1:23" ht="14.5" customHeight="1">
      <c r="C833" s="1044"/>
      <c r="D833" s="988" t="str">
        <f t="shared" si="123"/>
        <v/>
      </c>
      <c r="F833" s="988" t="str">
        <f t="shared" si="124"/>
        <v/>
      </c>
      <c r="G833" s="1095" t="str">
        <f>IF(F833="",G832,F833)</f>
        <v>2071011</v>
      </c>
      <c r="H833" s="1016" t="s">
        <v>5455</v>
      </c>
      <c r="I833" s="944" t="str">
        <f t="shared" si="125"/>
        <v>2071011201</v>
      </c>
      <c r="J833" s="991" t="s">
        <v>6376</v>
      </c>
      <c r="K833" s="890">
        <v>429259</v>
      </c>
      <c r="L833" s="890">
        <v>687125.81</v>
      </c>
      <c r="M833" s="890">
        <v>7193109.1799999997</v>
      </c>
      <c r="N833" s="873"/>
      <c r="O833" s="873"/>
      <c r="P833" s="873"/>
      <c r="Q833" s="1165">
        <f>ROUND(K833*L833/M833,0)</f>
        <v>41005</v>
      </c>
      <c r="R833" s="887"/>
      <c r="S833" s="1287">
        <f>'CT2015'!K780</f>
        <v>0.9</v>
      </c>
      <c r="T833" s="1256">
        <f t="shared" ref="T833:T834" si="126">ROUND(Q833*S833/100,0)</f>
        <v>369</v>
      </c>
      <c r="U833" s="996" t="s">
        <v>10587</v>
      </c>
      <c r="V833" s="996"/>
      <c r="W833" s="992" t="s">
        <v>10869</v>
      </c>
    </row>
    <row r="834" spans="1:23" ht="14.5" customHeight="1">
      <c r="C834" s="1044"/>
      <c r="D834" s="988" t="str">
        <f t="shared" si="123"/>
        <v/>
      </c>
      <c r="F834" s="988" t="str">
        <f t="shared" si="124"/>
        <v/>
      </c>
      <c r="G834" s="1095" t="str">
        <f>IF(F834="",G833,F834)</f>
        <v>2071011</v>
      </c>
      <c r="H834" s="1016" t="s">
        <v>5421</v>
      </c>
      <c r="I834" s="944" t="str">
        <f t="shared" si="125"/>
        <v>2071011301</v>
      </c>
      <c r="J834" s="992" t="s">
        <v>6377</v>
      </c>
      <c r="K834" s="873"/>
      <c r="L834" s="873"/>
      <c r="M834" s="873"/>
      <c r="N834" s="873"/>
      <c r="O834" s="873"/>
      <c r="P834" s="873"/>
      <c r="Q834" s="1167">
        <v>1545.89</v>
      </c>
      <c r="R834" s="887"/>
      <c r="S834" s="1287">
        <f>'CT2015'!K781</f>
        <v>1.3</v>
      </c>
      <c r="T834" s="1256">
        <f t="shared" si="126"/>
        <v>20</v>
      </c>
      <c r="U834" s="996" t="s">
        <v>10389</v>
      </c>
      <c r="V834" s="996"/>
      <c r="W834" s="992" t="s">
        <v>10870</v>
      </c>
    </row>
    <row r="835" spans="1:23" ht="14.5" customHeight="1">
      <c r="C835" s="1044"/>
      <c r="D835" s="988" t="str">
        <f t="shared" si="123"/>
        <v/>
      </c>
      <c r="F835" s="988" t="str">
        <f t="shared" si="124"/>
        <v/>
      </c>
      <c r="G835" s="1095" t="str">
        <f>IF(F835="",G834,F835)</f>
        <v>2071011</v>
      </c>
      <c r="H835" s="1016" t="s">
        <v>10456</v>
      </c>
      <c r="I835" s="944" t="str">
        <f>IF(H835="","",CONCATENATE(G835,H835))</f>
        <v>2071011Y01</v>
      </c>
      <c r="J835" s="991" t="s">
        <v>6378</v>
      </c>
      <c r="K835" s="873"/>
      <c r="L835" s="873"/>
      <c r="M835" s="873"/>
      <c r="N835" s="873"/>
      <c r="O835" s="873"/>
      <c r="P835" s="873"/>
      <c r="Q835" s="1167">
        <v>-5766.03</v>
      </c>
      <c r="R835" s="887"/>
      <c r="S835" s="1273"/>
      <c r="T835" s="1256"/>
      <c r="U835" s="978" t="s">
        <v>10122</v>
      </c>
      <c r="V835" s="996"/>
      <c r="W835" s="992"/>
    </row>
    <row r="836" spans="1:23" ht="14.5" customHeight="1">
      <c r="C836" s="1040" t="s">
        <v>6379</v>
      </c>
      <c r="D836" s="982" t="str">
        <f t="shared" si="123"/>
        <v>208101</v>
      </c>
      <c r="E836" s="983"/>
      <c r="F836" s="1017" t="str">
        <f t="shared" si="124"/>
        <v/>
      </c>
      <c r="G836" s="1101"/>
      <c r="H836" s="1102"/>
      <c r="I836" s="947" t="str">
        <f t="shared" si="125"/>
        <v/>
      </c>
      <c r="J836" s="1028" t="s">
        <v>6380</v>
      </c>
      <c r="K836" s="889"/>
      <c r="L836" s="889"/>
      <c r="M836" s="889"/>
      <c r="N836" s="889"/>
      <c r="O836" s="889"/>
      <c r="P836" s="881">
        <f>Q837+Q838+Q839</f>
        <v>66580</v>
      </c>
      <c r="Q836" s="1160"/>
      <c r="R836" s="880"/>
      <c r="S836" s="1269"/>
      <c r="T836" s="1254"/>
      <c r="U836" s="991"/>
      <c r="V836" s="993"/>
      <c r="W836" s="986"/>
    </row>
    <row r="837" spans="1:23" ht="14.5" customHeight="1">
      <c r="A837" s="1034"/>
      <c r="B837" s="1034"/>
      <c r="C837" s="987"/>
      <c r="D837" s="988" t="str">
        <f t="shared" si="123"/>
        <v/>
      </c>
      <c r="E837" s="989" t="s">
        <v>6381</v>
      </c>
      <c r="F837" s="988" t="str">
        <f t="shared" si="124"/>
        <v>2081011</v>
      </c>
      <c r="G837" s="1095" t="str">
        <f>IF(F837="",G836,F837)</f>
        <v>2081011</v>
      </c>
      <c r="I837" s="944" t="str">
        <f t="shared" si="125"/>
        <v/>
      </c>
      <c r="J837" s="990" t="s">
        <v>6382</v>
      </c>
      <c r="K837" s="886"/>
      <c r="L837" s="873"/>
      <c r="M837" s="873"/>
      <c r="N837" s="886"/>
      <c r="O837" s="886"/>
      <c r="P837" s="886"/>
      <c r="Q837" s="1189">
        <v>25800</v>
      </c>
      <c r="R837" s="882"/>
      <c r="S837" s="1269"/>
      <c r="T837" s="1254"/>
      <c r="U837" s="991" t="s">
        <v>10424</v>
      </c>
      <c r="V837" s="991"/>
      <c r="W837" s="992"/>
    </row>
    <row r="838" spans="1:23" ht="14.5" customHeight="1">
      <c r="A838" s="1034"/>
      <c r="B838" s="1034"/>
      <c r="C838" s="987"/>
      <c r="E838" s="989" t="s">
        <v>6383</v>
      </c>
      <c r="F838" s="988" t="str">
        <f t="shared" si="124"/>
        <v>2081012</v>
      </c>
      <c r="G838" s="1095" t="str">
        <f>IF(F838="",G837,F838)</f>
        <v>2081012</v>
      </c>
      <c r="J838" s="990" t="s">
        <v>305</v>
      </c>
      <c r="K838" s="886"/>
      <c r="L838" s="873"/>
      <c r="M838" s="873"/>
      <c r="N838" s="886"/>
      <c r="O838" s="886"/>
      <c r="P838" s="886"/>
      <c r="Q838" s="1174">
        <v>30313</v>
      </c>
      <c r="R838" s="882"/>
      <c r="S838" s="1269"/>
      <c r="T838" s="1254"/>
      <c r="U838" s="991" t="s">
        <v>10424</v>
      </c>
      <c r="V838" s="991"/>
      <c r="W838" s="992" t="s">
        <v>10871</v>
      </c>
    </row>
    <row r="839" spans="1:23" ht="14.5" customHeight="1">
      <c r="A839" s="1034"/>
      <c r="B839" s="1034"/>
      <c r="C839" s="987"/>
      <c r="D839" s="988" t="str">
        <f t="shared" ref="D839:D937" si="127">IF(C839="","",CONCATENATE(LEFT(C839,4),MID(C839,6,2)))</f>
        <v/>
      </c>
      <c r="E839" s="989" t="s">
        <v>6384</v>
      </c>
      <c r="F839" s="988" t="str">
        <f t="shared" si="124"/>
        <v>2081013</v>
      </c>
      <c r="G839" s="1095" t="str">
        <f>IF(F839="",G838,F839)</f>
        <v>2081013</v>
      </c>
      <c r="I839" s="944" t="str">
        <f>IF(H839="","",CONCATENATE(G839,H839))</f>
        <v/>
      </c>
      <c r="J839" s="990" t="s">
        <v>306</v>
      </c>
      <c r="K839" s="886"/>
      <c r="L839" s="873"/>
      <c r="M839" s="873"/>
      <c r="N839" s="886"/>
      <c r="O839" s="886"/>
      <c r="P839" s="886"/>
      <c r="Q839" s="1161">
        <f>ROUND(SUM(Q840:Q854),0)</f>
        <v>10467</v>
      </c>
      <c r="R839" s="887"/>
      <c r="S839" s="1273"/>
      <c r="T839" s="1256"/>
      <c r="U839" s="996"/>
      <c r="V839" s="996"/>
      <c r="W839" s="992"/>
    </row>
    <row r="840" spans="1:23" ht="14.5" customHeight="1">
      <c r="A840" s="1034"/>
      <c r="B840" s="1034"/>
      <c r="C840" s="987"/>
      <c r="F840" s="988"/>
      <c r="G840" s="1095" t="str">
        <f t="shared" ref="G840:G854" si="128">IF(F840="",G839,F840)</f>
        <v>2081013</v>
      </c>
      <c r="H840" s="1016" t="s">
        <v>5534</v>
      </c>
      <c r="I840" s="1033" t="str">
        <f t="shared" ref="I840:I854" si="129">IF(H840="","",CONCATENATE(G840,H840))</f>
        <v>2081013101</v>
      </c>
      <c r="J840" s="1117" t="s">
        <v>6385</v>
      </c>
      <c r="K840" s="921"/>
      <c r="L840" s="873"/>
      <c r="M840" s="873"/>
      <c r="N840" s="886"/>
      <c r="O840" s="886"/>
      <c r="P840" s="886"/>
      <c r="Q840" s="1167">
        <v>783</v>
      </c>
      <c r="R840" s="887"/>
      <c r="S840" s="1273"/>
      <c r="T840" s="1256"/>
      <c r="U840" s="996" t="s">
        <v>10766</v>
      </c>
      <c r="V840" s="996"/>
      <c r="W840" s="992"/>
    </row>
    <row r="841" spans="1:23" ht="14.5" customHeight="1">
      <c r="A841" s="1034"/>
      <c r="B841" s="1034"/>
      <c r="C841" s="987"/>
      <c r="F841" s="988"/>
      <c r="G841" s="1095" t="str">
        <f t="shared" si="128"/>
        <v>2081013</v>
      </c>
      <c r="H841" s="1016" t="s">
        <v>6000</v>
      </c>
      <c r="I841" s="1033" t="str">
        <f t="shared" si="129"/>
        <v>2081013102</v>
      </c>
      <c r="J841" s="1117" t="s">
        <v>6386</v>
      </c>
      <c r="K841" s="921"/>
      <c r="L841" s="873"/>
      <c r="M841" s="873"/>
      <c r="N841" s="886"/>
      <c r="O841" s="886"/>
      <c r="P841" s="886"/>
      <c r="Q841" s="1167">
        <v>828</v>
      </c>
      <c r="R841" s="887"/>
      <c r="S841" s="1273"/>
      <c r="T841" s="1256"/>
      <c r="U841" s="996" t="s">
        <v>10122</v>
      </c>
      <c r="V841" s="996"/>
      <c r="W841" s="992"/>
    </row>
    <row r="842" spans="1:23" ht="14.5" customHeight="1">
      <c r="A842" s="1034"/>
      <c r="B842" s="1034"/>
      <c r="C842" s="987"/>
      <c r="F842" s="988"/>
      <c r="G842" s="1095" t="str">
        <f t="shared" si="128"/>
        <v>2081013</v>
      </c>
      <c r="H842" s="1016" t="s">
        <v>6002</v>
      </c>
      <c r="I842" s="1033" t="str">
        <f t="shared" si="129"/>
        <v>2081013103</v>
      </c>
      <c r="J842" s="1117" t="s">
        <v>6387</v>
      </c>
      <c r="K842" s="921"/>
      <c r="L842" s="873"/>
      <c r="M842" s="873"/>
      <c r="N842" s="886"/>
      <c r="O842" s="886"/>
      <c r="P842" s="886"/>
      <c r="Q842" s="1167">
        <v>165</v>
      </c>
      <c r="R842" s="887"/>
      <c r="S842" s="1273"/>
      <c r="T842" s="1256"/>
      <c r="U842" s="996" t="s">
        <v>10122</v>
      </c>
      <c r="V842" s="996"/>
      <c r="W842" s="992"/>
    </row>
    <row r="843" spans="1:23" ht="14.5" customHeight="1">
      <c r="A843" s="1034"/>
      <c r="B843" s="1034"/>
      <c r="C843" s="987"/>
      <c r="F843" s="988"/>
      <c r="G843" s="1095" t="str">
        <f t="shared" si="128"/>
        <v>2081013</v>
      </c>
      <c r="H843" s="1016" t="s">
        <v>6146</v>
      </c>
      <c r="I843" s="1033" t="str">
        <f t="shared" si="129"/>
        <v>2081013104</v>
      </c>
      <c r="J843" s="1117" t="s">
        <v>6388</v>
      </c>
      <c r="K843" s="921"/>
      <c r="L843" s="873"/>
      <c r="M843" s="873"/>
      <c r="N843" s="886"/>
      <c r="O843" s="886"/>
      <c r="P843" s="886"/>
      <c r="Q843" s="1167">
        <v>2275</v>
      </c>
      <c r="R843" s="887"/>
      <c r="S843" s="1273"/>
      <c r="T843" s="1256"/>
      <c r="U843" s="996" t="s">
        <v>10122</v>
      </c>
      <c r="V843" s="996"/>
      <c r="W843" s="992"/>
    </row>
    <row r="844" spans="1:23" ht="14.5" customHeight="1">
      <c r="A844" s="1034"/>
      <c r="B844" s="1034"/>
      <c r="C844" s="987"/>
      <c r="F844" s="988"/>
      <c r="G844" s="1095" t="str">
        <f t="shared" si="128"/>
        <v>2081013</v>
      </c>
      <c r="H844" s="1016" t="s">
        <v>5602</v>
      </c>
      <c r="I844" s="1033" t="str">
        <f t="shared" si="129"/>
        <v>2081013201</v>
      </c>
      <c r="J844" s="1033" t="s">
        <v>6389</v>
      </c>
      <c r="K844" s="921"/>
      <c r="L844" s="873"/>
      <c r="M844" s="873"/>
      <c r="N844" s="886"/>
      <c r="O844" s="886"/>
      <c r="P844" s="886"/>
      <c r="Q844" s="1167">
        <v>791</v>
      </c>
      <c r="R844" s="887"/>
      <c r="S844" s="1273"/>
      <c r="T844" s="1256"/>
      <c r="U844" s="996" t="s">
        <v>10122</v>
      </c>
      <c r="V844" s="996"/>
      <c r="W844" s="992"/>
    </row>
    <row r="845" spans="1:23" ht="14.5" customHeight="1">
      <c r="A845" s="1034"/>
      <c r="B845" s="1034"/>
      <c r="C845" s="987"/>
      <c r="F845" s="988"/>
      <c r="G845" s="1095" t="str">
        <f t="shared" si="128"/>
        <v>2081013</v>
      </c>
      <c r="H845" s="1016" t="s">
        <v>5484</v>
      </c>
      <c r="I845" s="1033" t="str">
        <f t="shared" si="129"/>
        <v>2081013301</v>
      </c>
      <c r="J845" s="1117" t="s">
        <v>6390</v>
      </c>
      <c r="K845" s="921"/>
      <c r="L845" s="873"/>
      <c r="M845" s="873"/>
      <c r="N845" s="886"/>
      <c r="O845" s="886"/>
      <c r="P845" s="886"/>
      <c r="Q845" s="1167">
        <v>81</v>
      </c>
      <c r="R845" s="887"/>
      <c r="S845" s="1273"/>
      <c r="T845" s="1256"/>
      <c r="U845" s="996" t="s">
        <v>10122</v>
      </c>
      <c r="V845" s="996"/>
      <c r="W845" s="992"/>
    </row>
    <row r="846" spans="1:23" ht="14.5" customHeight="1">
      <c r="A846" s="1034"/>
      <c r="B846" s="1034"/>
      <c r="C846" s="987"/>
      <c r="F846" s="988"/>
      <c r="G846" s="1095" t="str">
        <f t="shared" si="128"/>
        <v>2081013</v>
      </c>
      <c r="H846" s="1016" t="s">
        <v>6047</v>
      </c>
      <c r="I846" s="1033" t="str">
        <f t="shared" si="129"/>
        <v>2081013302</v>
      </c>
      <c r="J846" s="1117" t="s">
        <v>6391</v>
      </c>
      <c r="K846" s="921"/>
      <c r="L846" s="873"/>
      <c r="M846" s="873"/>
      <c r="N846" s="886"/>
      <c r="O846" s="886"/>
      <c r="P846" s="886"/>
      <c r="Q846" s="1167">
        <v>2</v>
      </c>
      <c r="R846" s="887"/>
      <c r="S846" s="1273"/>
      <c r="T846" s="1256"/>
      <c r="U846" s="996" t="s">
        <v>10122</v>
      </c>
      <c r="V846" s="996"/>
      <c r="W846" s="992"/>
    </row>
    <row r="847" spans="1:23" ht="14.5" customHeight="1">
      <c r="A847" s="1034"/>
      <c r="B847" s="1034"/>
      <c r="C847" s="987"/>
      <c r="F847" s="988"/>
      <c r="G847" s="1095" t="str">
        <f t="shared" si="128"/>
        <v>2081013</v>
      </c>
      <c r="H847" s="1016" t="s">
        <v>10164</v>
      </c>
      <c r="I847" s="1033" t="str">
        <f t="shared" si="129"/>
        <v>2081013303</v>
      </c>
      <c r="J847" s="1117" t="s">
        <v>6392</v>
      </c>
      <c r="K847" s="921"/>
      <c r="L847" s="873"/>
      <c r="M847" s="873"/>
      <c r="N847" s="886"/>
      <c r="O847" s="886"/>
      <c r="P847" s="886"/>
      <c r="Q847" s="1167">
        <v>140</v>
      </c>
      <c r="R847" s="887"/>
      <c r="S847" s="1273"/>
      <c r="T847" s="1256"/>
      <c r="U847" s="996" t="s">
        <v>10122</v>
      </c>
      <c r="V847" s="996"/>
      <c r="W847" s="992"/>
    </row>
    <row r="848" spans="1:23" ht="14.5" customHeight="1">
      <c r="A848" s="1034"/>
      <c r="B848" s="1034"/>
      <c r="C848" s="987"/>
      <c r="F848" s="988"/>
      <c r="G848" s="1095" t="str">
        <f t="shared" si="128"/>
        <v>2081013</v>
      </c>
      <c r="H848" s="1016" t="s">
        <v>10166</v>
      </c>
      <c r="I848" s="1033" t="str">
        <f t="shared" si="129"/>
        <v>2081013304</v>
      </c>
      <c r="J848" s="1117" t="s">
        <v>6393</v>
      </c>
      <c r="K848" s="921"/>
      <c r="L848" s="873"/>
      <c r="M848" s="873"/>
      <c r="N848" s="886"/>
      <c r="O848" s="886"/>
      <c r="P848" s="886"/>
      <c r="Q848" s="1167">
        <v>847</v>
      </c>
      <c r="R848" s="887"/>
      <c r="S848" s="1273"/>
      <c r="T848" s="1256"/>
      <c r="U848" s="996" t="s">
        <v>10122</v>
      </c>
      <c r="V848" s="996"/>
      <c r="W848" s="992"/>
    </row>
    <row r="849" spans="1:23" ht="14.5" customHeight="1">
      <c r="A849" s="1034"/>
      <c r="B849" s="1034"/>
      <c r="C849" s="987"/>
      <c r="F849" s="988"/>
      <c r="G849" s="1095" t="str">
        <f t="shared" si="128"/>
        <v>2081013</v>
      </c>
      <c r="H849" s="1016" t="s">
        <v>10167</v>
      </c>
      <c r="I849" s="1033" t="str">
        <f t="shared" si="129"/>
        <v>2081013305</v>
      </c>
      <c r="J849" s="1117" t="s">
        <v>6394</v>
      </c>
      <c r="K849" s="921"/>
      <c r="L849" s="873"/>
      <c r="M849" s="873"/>
      <c r="N849" s="886"/>
      <c r="O849" s="886"/>
      <c r="P849" s="886"/>
      <c r="Q849" s="1167">
        <v>716</v>
      </c>
      <c r="R849" s="887"/>
      <c r="S849" s="1273"/>
      <c r="T849" s="1256"/>
      <c r="U849" s="996" t="s">
        <v>10122</v>
      </c>
      <c r="V849" s="996"/>
      <c r="W849" s="992"/>
    </row>
    <row r="850" spans="1:23" ht="14.5" customHeight="1">
      <c r="A850" s="1034"/>
      <c r="B850" s="1034"/>
      <c r="C850" s="987"/>
      <c r="F850" s="988"/>
      <c r="G850" s="1095" t="str">
        <f t="shared" si="128"/>
        <v>2081013</v>
      </c>
      <c r="H850" s="1016" t="s">
        <v>10168</v>
      </c>
      <c r="I850" s="1033" t="str">
        <f t="shared" si="129"/>
        <v>2081013306</v>
      </c>
      <c r="J850" s="1117" t="s">
        <v>6395</v>
      </c>
      <c r="K850" s="921"/>
      <c r="L850" s="873"/>
      <c r="M850" s="873"/>
      <c r="N850" s="873"/>
      <c r="O850" s="873"/>
      <c r="P850" s="886"/>
      <c r="Q850" s="1182">
        <v>968</v>
      </c>
      <c r="R850" s="887"/>
      <c r="S850" s="1273"/>
      <c r="T850" s="1256"/>
      <c r="U850" s="996" t="s">
        <v>10122</v>
      </c>
      <c r="V850" s="996"/>
      <c r="W850" s="992"/>
    </row>
    <row r="851" spans="1:23" ht="14.5" customHeight="1">
      <c r="A851" s="1034"/>
      <c r="B851" s="1034"/>
      <c r="C851" s="987"/>
      <c r="F851" s="988"/>
      <c r="G851" s="1095" t="str">
        <f t="shared" si="128"/>
        <v>2081013</v>
      </c>
      <c r="H851" s="1016" t="s">
        <v>5486</v>
      </c>
      <c r="I851" s="1033" t="str">
        <f t="shared" si="129"/>
        <v>2081013401</v>
      </c>
      <c r="J851" s="1117" t="s">
        <v>6396</v>
      </c>
      <c r="K851" s="921"/>
      <c r="L851" s="873"/>
      <c r="M851" s="873"/>
      <c r="N851" s="873"/>
      <c r="O851" s="873"/>
      <c r="P851" s="886"/>
      <c r="Q851" s="1182">
        <v>3</v>
      </c>
      <c r="R851" s="887"/>
      <c r="S851" s="1273"/>
      <c r="T851" s="1256"/>
      <c r="U851" s="996" t="s">
        <v>10122</v>
      </c>
      <c r="V851" s="996"/>
      <c r="W851" s="992"/>
    </row>
    <row r="852" spans="1:23" ht="14.5" customHeight="1">
      <c r="A852" s="1034"/>
      <c r="B852" s="1034"/>
      <c r="C852" s="987"/>
      <c r="F852" s="988"/>
      <c r="G852" s="1095" t="str">
        <f t="shared" si="128"/>
        <v>2081013</v>
      </c>
      <c r="H852" s="1016" t="s">
        <v>5488</v>
      </c>
      <c r="I852" s="1033" t="str">
        <f t="shared" si="129"/>
        <v>2081013501</v>
      </c>
      <c r="J852" s="1117" t="s">
        <v>6397</v>
      </c>
      <c r="K852" s="921"/>
      <c r="L852" s="873"/>
      <c r="M852" s="873"/>
      <c r="N852" s="873"/>
      <c r="O852" s="873"/>
      <c r="P852" s="886"/>
      <c r="Q852" s="1182">
        <v>22</v>
      </c>
      <c r="R852" s="887"/>
      <c r="S852" s="1273"/>
      <c r="T852" s="1256"/>
      <c r="U852" s="996" t="s">
        <v>10122</v>
      </c>
      <c r="V852" s="996"/>
      <c r="W852" s="992"/>
    </row>
    <row r="853" spans="1:23" ht="14.5" customHeight="1">
      <c r="C853" s="987"/>
      <c r="F853" s="988"/>
      <c r="G853" s="1095" t="str">
        <f t="shared" si="128"/>
        <v>2081013</v>
      </c>
      <c r="H853" s="1016" t="s">
        <v>5514</v>
      </c>
      <c r="I853" s="1033" t="str">
        <f t="shared" si="129"/>
        <v>2081013601</v>
      </c>
      <c r="J853" s="1117" t="s">
        <v>6398</v>
      </c>
      <c r="K853" s="921"/>
      <c r="L853" s="873"/>
      <c r="M853" s="873"/>
      <c r="N853" s="873"/>
      <c r="O853" s="873"/>
      <c r="P853" s="886"/>
      <c r="Q853" s="1182">
        <v>2803</v>
      </c>
      <c r="R853" s="887"/>
      <c r="S853" s="1273"/>
      <c r="T853" s="1256"/>
      <c r="U853" s="996" t="s">
        <v>10122</v>
      </c>
      <c r="V853" s="996"/>
      <c r="W853" s="992"/>
    </row>
    <row r="854" spans="1:23" ht="14.5" customHeight="1">
      <c r="C854" s="998"/>
      <c r="D854" s="999"/>
      <c r="E854" s="1002"/>
      <c r="F854" s="999"/>
      <c r="G854" s="1104" t="str">
        <f t="shared" si="128"/>
        <v>2081013</v>
      </c>
      <c r="H854" s="1005" t="s">
        <v>10456</v>
      </c>
      <c r="I854" s="1109" t="str">
        <f t="shared" si="129"/>
        <v>2081013Y01</v>
      </c>
      <c r="J854" s="1109" t="s">
        <v>6155</v>
      </c>
      <c r="K854" s="918"/>
      <c r="L854" s="872"/>
      <c r="M854" s="872"/>
      <c r="N854" s="893"/>
      <c r="O854" s="893"/>
      <c r="P854" s="893"/>
      <c r="Q854" s="1170">
        <v>42.7</v>
      </c>
      <c r="R854" s="908"/>
      <c r="S854" s="1277"/>
      <c r="T854" s="908"/>
      <c r="U854" s="1006" t="s">
        <v>10612</v>
      </c>
      <c r="V854" s="1006"/>
      <c r="W854" s="1003"/>
    </row>
    <row r="855" spans="1:23" ht="14.5" customHeight="1">
      <c r="C855" s="994" t="s">
        <v>6399</v>
      </c>
      <c r="D855" s="988" t="str">
        <f t="shared" si="127"/>
        <v>208201</v>
      </c>
      <c r="E855" s="989" t="s">
        <v>6400</v>
      </c>
      <c r="F855" s="988" t="str">
        <f>IF(E855="","",CONCATENATE(LEFT(E855,4),MID(E855,6,3)))</f>
        <v>2082011</v>
      </c>
      <c r="G855" s="1095" t="str">
        <f>IF(F855="",G839,F855)</f>
        <v>2082011</v>
      </c>
      <c r="I855" s="1109" t="str">
        <f>IF(H855="","",CONCATENATE(G855,H855))</f>
        <v/>
      </c>
      <c r="J855" s="1047" t="s">
        <v>308</v>
      </c>
      <c r="K855" s="886"/>
      <c r="L855" s="886"/>
      <c r="M855" s="886"/>
      <c r="N855" s="886"/>
      <c r="O855" s="886"/>
      <c r="P855" s="919">
        <f>Q855</f>
        <v>123531</v>
      </c>
      <c r="Q855" s="1174">
        <v>123531</v>
      </c>
      <c r="R855" s="882"/>
      <c r="S855" s="1269"/>
      <c r="T855" s="1254"/>
      <c r="U855" s="1006" t="s">
        <v>10587</v>
      </c>
      <c r="V855" s="1006"/>
      <c r="W855" s="992"/>
    </row>
    <row r="856" spans="1:23" ht="14.5" customHeight="1">
      <c r="C856" s="1042" t="s">
        <v>6401</v>
      </c>
      <c r="D856" s="1024" t="str">
        <f t="shared" si="127"/>
        <v>208301</v>
      </c>
      <c r="E856" s="1025" t="s">
        <v>6402</v>
      </c>
      <c r="F856" s="1024" t="str">
        <f>IF(E856="","",CONCATENATE(LEFT(E856,4),MID(E856,6,3)))</f>
        <v>2083011</v>
      </c>
      <c r="G856" s="1111" t="str">
        <f>IF(F856="",G855,F856)</f>
        <v>2083011</v>
      </c>
      <c r="H856" s="1112"/>
      <c r="I856" s="1113" t="str">
        <f>IF(H856="","",CONCATENATE(G856,H856))</f>
        <v/>
      </c>
      <c r="J856" s="1026" t="s">
        <v>310</v>
      </c>
      <c r="K856" s="912"/>
      <c r="L856" s="912"/>
      <c r="M856" s="912"/>
      <c r="N856" s="912"/>
      <c r="O856" s="912"/>
      <c r="P856" s="922">
        <f>Q856</f>
        <v>169072</v>
      </c>
      <c r="Q856" s="1186">
        <v>169072</v>
      </c>
      <c r="R856" s="929"/>
      <c r="S856" s="1280"/>
      <c r="T856" s="929"/>
      <c r="U856" s="1022" t="s">
        <v>10612</v>
      </c>
      <c r="V856" s="1022"/>
      <c r="W856" s="1027"/>
    </row>
    <row r="857" spans="1:23" ht="14.5" customHeight="1">
      <c r="C857" s="1040" t="s">
        <v>6403</v>
      </c>
      <c r="D857" s="982" t="str">
        <f t="shared" si="127"/>
        <v>208302</v>
      </c>
      <c r="E857" s="983" t="s">
        <v>6404</v>
      </c>
      <c r="F857" s="982" t="str">
        <f>IF(E857="","",CONCATENATE(LEFT(E857,4),MID(E857,6,3)))</f>
        <v>2083021</v>
      </c>
      <c r="G857" s="1103" t="str">
        <f>IF(F857="",G856,F857)</f>
        <v>2083021</v>
      </c>
      <c r="H857" s="1102"/>
      <c r="I857" s="947" t="str">
        <f>IF(H857="","",CONCATENATE(G857,H857))</f>
        <v/>
      </c>
      <c r="J857" s="984" t="s">
        <v>6405</v>
      </c>
      <c r="K857" s="889"/>
      <c r="L857" s="889"/>
      <c r="M857" s="889"/>
      <c r="N857" s="889"/>
      <c r="O857" s="889"/>
      <c r="P857" s="907">
        <f>Q857</f>
        <v>13000</v>
      </c>
      <c r="Q857" s="1169">
        <f>ROUND(SUM(Q858:Q866),0)</f>
        <v>13000</v>
      </c>
      <c r="R857" s="880"/>
      <c r="S857" s="1270"/>
      <c r="T857" s="880"/>
      <c r="U857" s="993"/>
      <c r="V857" s="993"/>
      <c r="W857" s="986" t="s">
        <v>10872</v>
      </c>
    </row>
    <row r="858" spans="1:23" ht="14.5" customHeight="1">
      <c r="C858" s="1037"/>
      <c r="D858" s="995"/>
      <c r="E858" s="989"/>
      <c r="F858" s="995"/>
      <c r="G858" s="1106"/>
      <c r="H858" s="1016" t="s">
        <v>5534</v>
      </c>
      <c r="J858" s="991" t="s">
        <v>6406</v>
      </c>
      <c r="K858" s="886"/>
      <c r="L858" s="886"/>
      <c r="M858" s="886"/>
      <c r="N858" s="886"/>
      <c r="O858" s="886"/>
      <c r="P858" s="882"/>
      <c r="Q858" s="1167">
        <v>39</v>
      </c>
      <c r="R858" s="882"/>
      <c r="S858" s="1269"/>
      <c r="T858" s="1254"/>
      <c r="U858" s="996" t="s">
        <v>10766</v>
      </c>
      <c r="V858" s="996"/>
      <c r="W858" s="992"/>
    </row>
    <row r="859" spans="1:23" ht="14.5" customHeight="1">
      <c r="C859" s="1037"/>
      <c r="D859" s="995"/>
      <c r="E859" s="989"/>
      <c r="F859" s="995"/>
      <c r="G859" s="1106"/>
      <c r="H859" s="1016" t="s">
        <v>6000</v>
      </c>
      <c r="J859" s="991" t="s">
        <v>6407</v>
      </c>
      <c r="K859" s="886"/>
      <c r="L859" s="886"/>
      <c r="M859" s="886"/>
      <c r="N859" s="886"/>
      <c r="O859" s="886"/>
      <c r="P859" s="882"/>
      <c r="Q859" s="1167">
        <v>3735</v>
      </c>
      <c r="R859" s="882"/>
      <c r="S859" s="1269"/>
      <c r="T859" s="1254"/>
      <c r="U859" s="996" t="s">
        <v>10122</v>
      </c>
      <c r="V859" s="996"/>
      <c r="W859" s="992"/>
    </row>
    <row r="860" spans="1:23" ht="14.5" customHeight="1">
      <c r="C860" s="1037"/>
      <c r="D860" s="995"/>
      <c r="E860" s="989"/>
      <c r="F860" s="995"/>
      <c r="G860" s="1106"/>
      <c r="H860" s="1016" t="s">
        <v>6002</v>
      </c>
      <c r="J860" s="991" t="s">
        <v>6408</v>
      </c>
      <c r="K860" s="886"/>
      <c r="L860" s="886"/>
      <c r="M860" s="886"/>
      <c r="N860" s="886"/>
      <c r="O860" s="886"/>
      <c r="P860" s="882"/>
      <c r="Q860" s="1167">
        <v>0</v>
      </c>
      <c r="R860" s="882"/>
      <c r="S860" s="1269"/>
      <c r="T860" s="1254"/>
      <c r="U860" s="996" t="s">
        <v>10122</v>
      </c>
      <c r="V860" s="996"/>
      <c r="W860" s="992"/>
    </row>
    <row r="861" spans="1:23" ht="14.5" customHeight="1">
      <c r="C861" s="1037"/>
      <c r="D861" s="995"/>
      <c r="E861" s="989"/>
      <c r="F861" s="995"/>
      <c r="G861" s="1106"/>
      <c r="H861" s="1016" t="s">
        <v>6146</v>
      </c>
      <c r="J861" s="991" t="s">
        <v>6409</v>
      </c>
      <c r="K861" s="886"/>
      <c r="L861" s="886"/>
      <c r="M861" s="886"/>
      <c r="N861" s="886"/>
      <c r="O861" s="886"/>
      <c r="P861" s="882"/>
      <c r="Q861" s="1167">
        <v>5442</v>
      </c>
      <c r="R861" s="882"/>
      <c r="S861" s="1269"/>
      <c r="T861" s="1254"/>
      <c r="U861" s="996" t="s">
        <v>10122</v>
      </c>
      <c r="V861" s="996"/>
      <c r="W861" s="992"/>
    </row>
    <row r="862" spans="1:23" ht="14.5" customHeight="1">
      <c r="C862" s="1037"/>
      <c r="D862" s="995"/>
      <c r="E862" s="989"/>
      <c r="F862" s="995"/>
      <c r="G862" s="1106"/>
      <c r="H862" s="1016" t="s">
        <v>6148</v>
      </c>
      <c r="J862" s="991" t="s">
        <v>6410</v>
      </c>
      <c r="K862" s="886"/>
      <c r="L862" s="886"/>
      <c r="M862" s="886"/>
      <c r="N862" s="886"/>
      <c r="O862" s="886"/>
      <c r="P862" s="882"/>
      <c r="Q862" s="1167">
        <v>326</v>
      </c>
      <c r="R862" s="882"/>
      <c r="S862" s="1269"/>
      <c r="T862" s="1254"/>
      <c r="U862" s="996" t="s">
        <v>10122</v>
      </c>
      <c r="V862" s="996"/>
      <c r="W862" s="992"/>
    </row>
    <row r="863" spans="1:23" ht="14.5" customHeight="1">
      <c r="C863" s="1037"/>
      <c r="D863" s="995"/>
      <c r="E863" s="989"/>
      <c r="F863" s="995"/>
      <c r="G863" s="1106"/>
      <c r="H863" s="1016" t="s">
        <v>5602</v>
      </c>
      <c r="J863" s="991" t="s">
        <v>6411</v>
      </c>
      <c r="K863" s="886"/>
      <c r="L863" s="886"/>
      <c r="M863" s="886"/>
      <c r="N863" s="873"/>
      <c r="O863" s="873"/>
      <c r="P863" s="882"/>
      <c r="Q863" s="1182">
        <v>1627</v>
      </c>
      <c r="R863" s="882"/>
      <c r="S863" s="1269"/>
      <c r="T863" s="1254"/>
      <c r="U863" s="996" t="s">
        <v>10122</v>
      </c>
      <c r="V863" s="996"/>
      <c r="W863" s="992"/>
    </row>
    <row r="864" spans="1:23" ht="14.5" customHeight="1">
      <c r="C864" s="1037"/>
      <c r="D864" s="995"/>
      <c r="E864" s="989"/>
      <c r="F864" s="995"/>
      <c r="G864" s="1106"/>
      <c r="H864" s="1016" t="s">
        <v>5484</v>
      </c>
      <c r="J864" s="991" t="s">
        <v>6412</v>
      </c>
      <c r="K864" s="886"/>
      <c r="L864" s="886"/>
      <c r="M864" s="886"/>
      <c r="N864" s="873"/>
      <c r="O864" s="873"/>
      <c r="P864" s="882"/>
      <c r="Q864" s="1182">
        <f>ROUND(SUM(Q858:Q862)*0.024285,0)</f>
        <v>232</v>
      </c>
      <c r="R864" s="882"/>
      <c r="S864" s="1269"/>
      <c r="T864" s="1254"/>
      <c r="U864" s="996"/>
      <c r="V864" s="996"/>
      <c r="W864" s="992" t="s">
        <v>10873</v>
      </c>
    </row>
    <row r="865" spans="1:23" ht="14.5" customHeight="1">
      <c r="C865" s="1037"/>
      <c r="D865" s="995"/>
      <c r="E865" s="989"/>
      <c r="F865" s="995"/>
      <c r="G865" s="1106"/>
      <c r="H865" s="1016" t="s">
        <v>5486</v>
      </c>
      <c r="J865" s="991" t="s">
        <v>6413</v>
      </c>
      <c r="K865" s="886"/>
      <c r="L865" s="886"/>
      <c r="M865" s="886"/>
      <c r="N865" s="873"/>
      <c r="O865" s="873"/>
      <c r="P865" s="882"/>
      <c r="Q865" s="1182">
        <v>1614</v>
      </c>
      <c r="R865" s="882"/>
      <c r="S865" s="1269"/>
      <c r="T865" s="1254"/>
      <c r="U865" s="996" t="s">
        <v>10766</v>
      </c>
      <c r="V865" s="996"/>
      <c r="W865" s="992"/>
    </row>
    <row r="866" spans="1:23" ht="14.5" customHeight="1">
      <c r="C866" s="1037"/>
      <c r="D866" s="995"/>
      <c r="E866" s="989"/>
      <c r="F866" s="995"/>
      <c r="G866" s="1106"/>
      <c r="H866" s="1016" t="s">
        <v>10456</v>
      </c>
      <c r="J866" s="991" t="s">
        <v>5925</v>
      </c>
      <c r="K866" s="886"/>
      <c r="L866" s="886"/>
      <c r="M866" s="886"/>
      <c r="N866" s="886"/>
      <c r="O866" s="886"/>
      <c r="P866" s="882"/>
      <c r="Q866" s="1167">
        <v>-15.17</v>
      </c>
      <c r="R866" s="882"/>
      <c r="S866" s="1269"/>
      <c r="T866" s="1254"/>
      <c r="U866" s="996" t="s">
        <v>10612</v>
      </c>
      <c r="V866" s="996"/>
      <c r="W866" s="992" t="s">
        <v>10520</v>
      </c>
    </row>
    <row r="867" spans="1:23" ht="14.5" customHeight="1">
      <c r="C867" s="1040" t="s">
        <v>6414</v>
      </c>
      <c r="D867" s="982" t="str">
        <f t="shared" si="127"/>
        <v>208401</v>
      </c>
      <c r="E867" s="983" t="s">
        <v>6415</v>
      </c>
      <c r="F867" s="982" t="str">
        <f t="shared" ref="F867:F875" si="130">IF(E867="","",CONCATENATE(LEFT(E867,4),MID(E867,6,3)))</f>
        <v>2084011</v>
      </c>
      <c r="G867" s="1103" t="str">
        <f>IF(F867="",G873,F867)</f>
        <v>2084011</v>
      </c>
      <c r="H867" s="1102"/>
      <c r="I867" s="947" t="str">
        <f t="shared" ref="I867:I883" si="131">IF(H867="","",CONCATENATE(G867,H867))</f>
        <v/>
      </c>
      <c r="J867" s="984" t="s">
        <v>313</v>
      </c>
      <c r="K867" s="889"/>
      <c r="L867" s="889"/>
      <c r="M867" s="889"/>
      <c r="N867" s="889"/>
      <c r="O867" s="889"/>
      <c r="P867" s="881">
        <f>Q867</f>
        <v>6191</v>
      </c>
      <c r="Q867" s="1160">
        <f>ROUND(SUM(Q868:Q871),0)</f>
        <v>6191</v>
      </c>
      <c r="R867" s="880" t="s">
        <v>10874</v>
      </c>
      <c r="S867" s="1270"/>
      <c r="T867" s="880"/>
      <c r="U867" s="993" t="s">
        <v>10485</v>
      </c>
      <c r="V867" s="993"/>
      <c r="W867" s="986" t="s">
        <v>10777</v>
      </c>
    </row>
    <row r="868" spans="1:23" ht="14.5" customHeight="1">
      <c r="A868" s="1034"/>
      <c r="B868" s="1034"/>
      <c r="C868" s="1044"/>
      <c r="D868" s="988" t="str">
        <f t="shared" si="127"/>
        <v/>
      </c>
      <c r="F868" s="988" t="str">
        <f t="shared" si="130"/>
        <v/>
      </c>
      <c r="G868" s="1095" t="str">
        <f t="shared" ref="G868:G872" si="132">IF(F868="",G867,F868)</f>
        <v>2084011</v>
      </c>
      <c r="H868" s="1016" t="s">
        <v>575</v>
      </c>
      <c r="I868" s="944" t="str">
        <f t="shared" si="131"/>
        <v>2084011101</v>
      </c>
      <c r="J868" s="991" t="s">
        <v>6416</v>
      </c>
      <c r="K868" s="873"/>
      <c r="L868" s="873"/>
      <c r="M868" s="873"/>
      <c r="N868" s="886"/>
      <c r="O868" s="886"/>
      <c r="P868" s="886"/>
      <c r="Q868" s="1167">
        <v>501.31</v>
      </c>
      <c r="R868" s="882"/>
      <c r="S868" s="1269"/>
      <c r="T868" s="1254"/>
      <c r="U868" s="996"/>
      <c r="V868" s="996"/>
      <c r="W868" s="992"/>
    </row>
    <row r="869" spans="1:23" ht="14.5" customHeight="1">
      <c r="A869" s="1034"/>
      <c r="B869" s="1034"/>
      <c r="C869" s="1044"/>
      <c r="D869" s="988" t="str">
        <f t="shared" si="127"/>
        <v/>
      </c>
      <c r="F869" s="988" t="str">
        <f t="shared" si="130"/>
        <v/>
      </c>
      <c r="G869" s="1095" t="str">
        <f>IF(F869="",G868,F869)</f>
        <v>2084011</v>
      </c>
      <c r="H869" s="1016" t="s">
        <v>5359</v>
      </c>
      <c r="I869" s="944" t="str">
        <f t="shared" si="131"/>
        <v>2084011102</v>
      </c>
      <c r="J869" s="991" t="s">
        <v>6417</v>
      </c>
      <c r="K869" s="873"/>
      <c r="L869" s="873"/>
      <c r="M869" s="873"/>
      <c r="N869" s="886"/>
      <c r="O869" s="886"/>
      <c r="P869" s="886"/>
      <c r="Q869" s="1167">
        <v>1782.65</v>
      </c>
      <c r="R869" s="882"/>
      <c r="S869" s="1269"/>
      <c r="T869" s="1254"/>
      <c r="U869" s="996"/>
      <c r="V869" s="996"/>
      <c r="W869" s="992"/>
    </row>
    <row r="870" spans="1:23" ht="14.5" customHeight="1">
      <c r="A870" s="1034"/>
      <c r="B870" s="1034"/>
      <c r="C870" s="1044"/>
      <c r="D870" s="988" t="str">
        <f t="shared" si="127"/>
        <v/>
      </c>
      <c r="F870" s="988" t="str">
        <f t="shared" si="130"/>
        <v/>
      </c>
      <c r="G870" s="1095" t="str">
        <f t="shared" ref="G870:G871" si="133">IF(F870="",G869,F870)</f>
        <v>2084011</v>
      </c>
      <c r="H870" s="1016" t="s">
        <v>5381</v>
      </c>
      <c r="I870" s="944" t="str">
        <f t="shared" si="131"/>
        <v>2084011199</v>
      </c>
      <c r="J870" s="991" t="s">
        <v>10875</v>
      </c>
      <c r="K870" s="873"/>
      <c r="L870" s="873"/>
      <c r="M870" s="873"/>
      <c r="N870" s="886"/>
      <c r="O870" s="886"/>
      <c r="P870" s="886"/>
      <c r="Q870" s="1167">
        <v>3576.23</v>
      </c>
      <c r="R870" s="882"/>
      <c r="S870" s="1269"/>
      <c r="T870" s="1254"/>
      <c r="U870" s="996"/>
      <c r="V870" s="996"/>
      <c r="W870" s="992"/>
    </row>
    <row r="871" spans="1:23" ht="14.5" customHeight="1">
      <c r="A871" s="1034"/>
      <c r="B871" s="1034"/>
      <c r="C871" s="1044"/>
      <c r="D871" s="988" t="str">
        <f t="shared" si="127"/>
        <v/>
      </c>
      <c r="F871" s="988" t="str">
        <f t="shared" si="130"/>
        <v/>
      </c>
      <c r="G871" s="1095" t="str">
        <f t="shared" si="133"/>
        <v>2084011</v>
      </c>
      <c r="H871" s="1016" t="s">
        <v>10456</v>
      </c>
      <c r="I871" s="944" t="str">
        <f t="shared" si="131"/>
        <v>2084011Y01</v>
      </c>
      <c r="J871" s="991" t="s">
        <v>5925</v>
      </c>
      <c r="K871" s="886"/>
      <c r="L871" s="873"/>
      <c r="M871" s="873"/>
      <c r="N871" s="886"/>
      <c r="O871" s="886"/>
      <c r="P871" s="886"/>
      <c r="Q871" s="1167">
        <v>330.67</v>
      </c>
      <c r="R871" s="882"/>
      <c r="S871" s="1269"/>
      <c r="T871" s="1254"/>
      <c r="U871" s="1006"/>
      <c r="V871" s="996"/>
      <c r="W871" s="1003"/>
    </row>
    <row r="872" spans="1:23" ht="14.5" customHeight="1">
      <c r="A872" s="1034"/>
      <c r="B872" s="1034"/>
      <c r="C872" s="1042" t="s">
        <v>6423</v>
      </c>
      <c r="D872" s="1024" t="str">
        <f t="shared" si="127"/>
        <v>208901</v>
      </c>
      <c r="E872" s="1025" t="s">
        <v>6424</v>
      </c>
      <c r="F872" s="1024" t="str">
        <f t="shared" si="130"/>
        <v>2089011</v>
      </c>
      <c r="G872" s="1111" t="str">
        <f t="shared" si="132"/>
        <v>2089011</v>
      </c>
      <c r="H872" s="1112"/>
      <c r="I872" s="1113" t="str">
        <f t="shared" si="131"/>
        <v/>
      </c>
      <c r="J872" s="1026" t="s">
        <v>315</v>
      </c>
      <c r="K872" s="912"/>
      <c r="L872" s="912"/>
      <c r="M872" s="912"/>
      <c r="N872" s="912"/>
      <c r="O872" s="912"/>
      <c r="P872" s="914">
        <f>Q872</f>
        <v>23878</v>
      </c>
      <c r="Q872" s="1186">
        <v>23878</v>
      </c>
      <c r="R872" s="929"/>
      <c r="S872" s="1280"/>
      <c r="T872" s="929"/>
      <c r="U872" s="1022" t="s">
        <v>10689</v>
      </c>
      <c r="V872" s="1022"/>
      <c r="W872" s="1027" t="s">
        <v>10520</v>
      </c>
    </row>
    <row r="873" spans="1:23" ht="14.5" customHeight="1">
      <c r="C873" s="1042" t="s">
        <v>6425</v>
      </c>
      <c r="D873" s="1024" t="str">
        <f>IF(C873="","",CONCATENATE(LEFT(C873,4),MID(C873,6,2)))</f>
        <v>208902</v>
      </c>
      <c r="E873" s="1025" t="s">
        <v>6426</v>
      </c>
      <c r="F873" s="1024" t="str">
        <f>IF(E873="","",CONCATENATE(LEFT(E873,4),MID(E873,6,3)))</f>
        <v>2089021</v>
      </c>
      <c r="G873" s="1111" t="str">
        <f>IF(F873="",G857,F873)</f>
        <v>2089021</v>
      </c>
      <c r="H873" s="1112"/>
      <c r="I873" s="1113" t="str">
        <f>IF(H873="","",CONCATENATE(G873,H873))</f>
        <v/>
      </c>
      <c r="J873" s="1026" t="s">
        <v>316</v>
      </c>
      <c r="K873" s="912"/>
      <c r="L873" s="912"/>
      <c r="M873" s="912"/>
      <c r="N873" s="912"/>
      <c r="O873" s="912"/>
      <c r="P873" s="922">
        <f>Q873</f>
        <v>1622</v>
      </c>
      <c r="Q873" s="1186">
        <v>1622</v>
      </c>
      <c r="R873" s="929"/>
      <c r="S873" s="1280"/>
      <c r="T873" s="929"/>
      <c r="U873" s="1022" t="s">
        <v>10587</v>
      </c>
      <c r="V873" s="1022"/>
      <c r="W873" s="1027" t="s">
        <v>10876</v>
      </c>
    </row>
    <row r="874" spans="1:23" ht="14.5" customHeight="1">
      <c r="A874" s="1034"/>
      <c r="B874" s="1034"/>
      <c r="C874" s="1037" t="s">
        <v>6427</v>
      </c>
      <c r="D874" s="988" t="str">
        <f t="shared" si="127"/>
        <v>208909</v>
      </c>
      <c r="E874" s="989"/>
      <c r="F874" s="988" t="str">
        <f t="shared" si="130"/>
        <v/>
      </c>
      <c r="I874" s="944" t="str">
        <f t="shared" si="131"/>
        <v/>
      </c>
      <c r="J874" s="990" t="s">
        <v>6428</v>
      </c>
      <c r="K874" s="886"/>
      <c r="L874" s="886"/>
      <c r="M874" s="886"/>
      <c r="N874" s="886"/>
      <c r="O874" s="886"/>
      <c r="P874" s="896">
        <f>Q875+Q885</f>
        <v>233697</v>
      </c>
      <c r="Q874" s="1171"/>
      <c r="R874" s="882"/>
      <c r="S874" s="1269"/>
      <c r="T874" s="1254"/>
      <c r="U874" s="996"/>
      <c r="V874" s="996"/>
      <c r="W874" s="992"/>
    </row>
    <row r="875" spans="1:23" ht="14.5" customHeight="1">
      <c r="A875" s="1034"/>
      <c r="B875" s="1034"/>
      <c r="C875" s="1044"/>
      <c r="D875" s="988" t="str">
        <f t="shared" si="127"/>
        <v/>
      </c>
      <c r="E875" s="989" t="s">
        <v>6429</v>
      </c>
      <c r="F875" s="988" t="str">
        <f t="shared" si="130"/>
        <v>2089091</v>
      </c>
      <c r="G875" s="1095" t="str">
        <f>IF(F875="",G874,F875)</f>
        <v>2089091</v>
      </c>
      <c r="I875" s="944" t="str">
        <f t="shared" si="131"/>
        <v/>
      </c>
      <c r="J875" s="990" t="s">
        <v>317</v>
      </c>
      <c r="K875" s="886"/>
      <c r="L875" s="873"/>
      <c r="M875" s="873"/>
      <c r="N875" s="886"/>
      <c r="O875" s="886"/>
      <c r="P875" s="886"/>
      <c r="Q875" s="1171">
        <f>ROUND(SUM(Q876:Q884),0)</f>
        <v>19755</v>
      </c>
      <c r="R875" s="882"/>
      <c r="S875" s="1269"/>
      <c r="T875" s="1254"/>
      <c r="U875" s="996"/>
      <c r="V875" s="996"/>
      <c r="W875" s="992"/>
    </row>
    <row r="876" spans="1:23" ht="14.5" customHeight="1">
      <c r="A876" s="1034"/>
      <c r="B876" s="1034"/>
      <c r="C876" s="1044"/>
      <c r="F876" s="988"/>
      <c r="G876" s="1095" t="str">
        <f t="shared" ref="G876:G884" si="134">IF(F876="",G875,F876)</f>
        <v>2089091</v>
      </c>
      <c r="H876" s="1016" t="s">
        <v>5534</v>
      </c>
      <c r="I876" s="944" t="str">
        <f t="shared" si="131"/>
        <v>2089091101</v>
      </c>
      <c r="J876" s="991" t="s">
        <v>6430</v>
      </c>
      <c r="K876" s="886"/>
      <c r="L876" s="873"/>
      <c r="M876" s="873"/>
      <c r="N876" s="886"/>
      <c r="O876" s="886"/>
      <c r="P876" s="886"/>
      <c r="Q876" s="1167">
        <v>0</v>
      </c>
      <c r="R876" s="882"/>
      <c r="S876" s="1269"/>
      <c r="T876" s="1254"/>
      <c r="U876" s="996" t="s">
        <v>10766</v>
      </c>
      <c r="V876" s="996"/>
      <c r="W876" s="992"/>
    </row>
    <row r="877" spans="1:23" ht="14.5" customHeight="1">
      <c r="A877" s="1034"/>
      <c r="B877" s="1034"/>
      <c r="C877" s="1044"/>
      <c r="F877" s="988"/>
      <c r="G877" s="1095" t="str">
        <f t="shared" si="134"/>
        <v>2089091</v>
      </c>
      <c r="H877" s="1016" t="s">
        <v>6000</v>
      </c>
      <c r="I877" s="944" t="str">
        <f t="shared" si="131"/>
        <v>2089091102</v>
      </c>
      <c r="J877" s="991" t="s">
        <v>6435</v>
      </c>
      <c r="K877" s="886"/>
      <c r="L877" s="873"/>
      <c r="M877" s="873"/>
      <c r="N877" s="886"/>
      <c r="O877" s="886"/>
      <c r="P877" s="886"/>
      <c r="Q877" s="1167">
        <v>0</v>
      </c>
      <c r="R877" s="882"/>
      <c r="S877" s="1269"/>
      <c r="T877" s="1254"/>
      <c r="U877" s="996" t="s">
        <v>10122</v>
      </c>
      <c r="V877" s="996"/>
      <c r="W877" s="992"/>
    </row>
    <row r="878" spans="1:23" ht="14.5" customHeight="1">
      <c r="A878" s="1034"/>
      <c r="B878" s="1034"/>
      <c r="C878" s="1044"/>
      <c r="F878" s="988"/>
      <c r="G878" s="1095" t="str">
        <f t="shared" si="134"/>
        <v>2089091</v>
      </c>
      <c r="H878" s="1016" t="s">
        <v>6002</v>
      </c>
      <c r="I878" s="944" t="str">
        <f t="shared" si="131"/>
        <v>2089091103</v>
      </c>
      <c r="J878" s="991" t="s">
        <v>6431</v>
      </c>
      <c r="K878" s="886"/>
      <c r="L878" s="873"/>
      <c r="M878" s="873"/>
      <c r="N878" s="886"/>
      <c r="O878" s="886"/>
      <c r="P878" s="886"/>
      <c r="Q878" s="1167">
        <v>2117</v>
      </c>
      <c r="R878" s="882"/>
      <c r="S878" s="1269"/>
      <c r="T878" s="1254"/>
      <c r="U878" s="996" t="s">
        <v>10122</v>
      </c>
      <c r="V878" s="996"/>
      <c r="W878" s="992"/>
    </row>
    <row r="879" spans="1:23" ht="14.5" customHeight="1">
      <c r="A879" s="1034"/>
      <c r="B879" s="1034"/>
      <c r="C879" s="1044"/>
      <c r="F879" s="988"/>
      <c r="G879" s="1095" t="str">
        <f t="shared" si="134"/>
        <v>2089091</v>
      </c>
      <c r="H879" s="1016" t="s">
        <v>6146</v>
      </c>
      <c r="I879" s="944" t="str">
        <f t="shared" si="131"/>
        <v>2089091104</v>
      </c>
      <c r="J879" s="991" t="s">
        <v>6432</v>
      </c>
      <c r="K879" s="886"/>
      <c r="L879" s="873"/>
      <c r="M879" s="873"/>
      <c r="N879" s="886"/>
      <c r="O879" s="886"/>
      <c r="P879" s="886"/>
      <c r="Q879" s="1167">
        <v>0</v>
      </c>
      <c r="R879" s="882"/>
      <c r="S879" s="1269"/>
      <c r="T879" s="1254"/>
      <c r="U879" s="996" t="s">
        <v>10122</v>
      </c>
      <c r="V879" s="996"/>
      <c r="W879" s="992"/>
    </row>
    <row r="880" spans="1:23" ht="14.5" customHeight="1">
      <c r="A880" s="1034"/>
      <c r="B880" s="1034"/>
      <c r="C880" s="1044"/>
      <c r="F880" s="988"/>
      <c r="G880" s="1095" t="str">
        <f t="shared" si="134"/>
        <v>2089091</v>
      </c>
      <c r="H880" s="1016" t="s">
        <v>6148</v>
      </c>
      <c r="I880" s="944" t="str">
        <f t="shared" si="131"/>
        <v>2089091105</v>
      </c>
      <c r="J880" s="991" t="s">
        <v>6433</v>
      </c>
      <c r="K880" s="886"/>
      <c r="L880" s="873"/>
      <c r="M880" s="873"/>
      <c r="N880" s="886"/>
      <c r="O880" s="886"/>
      <c r="P880" s="886"/>
      <c r="Q880" s="1167">
        <v>0</v>
      </c>
      <c r="R880" s="882"/>
      <c r="S880" s="1269"/>
      <c r="T880" s="1254"/>
      <c r="U880" s="996" t="s">
        <v>10122</v>
      </c>
      <c r="V880" s="996"/>
      <c r="W880" s="992"/>
    </row>
    <row r="881" spans="1:23" ht="14.5" customHeight="1">
      <c r="A881" s="1034"/>
      <c r="B881" s="1034"/>
      <c r="C881" s="1044"/>
      <c r="F881" s="988"/>
      <c r="G881" s="1095" t="str">
        <f t="shared" si="134"/>
        <v>2089091</v>
      </c>
      <c r="H881" s="1016" t="s">
        <v>6150</v>
      </c>
      <c r="I881" s="944" t="str">
        <f t="shared" si="131"/>
        <v>2089091106</v>
      </c>
      <c r="J881" s="992" t="s">
        <v>6434</v>
      </c>
      <c r="K881" s="886"/>
      <c r="L881" s="873"/>
      <c r="M881" s="873"/>
      <c r="N881" s="886"/>
      <c r="O881" s="886"/>
      <c r="P881" s="886"/>
      <c r="Q881" s="1167">
        <v>0</v>
      </c>
      <c r="R881" s="882"/>
      <c r="S881" s="1269"/>
      <c r="T881" s="1254"/>
      <c r="U881" s="996" t="s">
        <v>10122</v>
      </c>
      <c r="V881" s="996"/>
      <c r="W881" s="992"/>
    </row>
    <row r="882" spans="1:23" ht="14.5" customHeight="1">
      <c r="A882" s="1034"/>
      <c r="B882" s="1034"/>
      <c r="C882" s="1044"/>
      <c r="F882" s="988"/>
      <c r="G882" s="1095" t="str">
        <f t="shared" si="134"/>
        <v>2089091</v>
      </c>
      <c r="H882" s="1016" t="s">
        <v>5602</v>
      </c>
      <c r="I882" s="944" t="str">
        <f t="shared" si="131"/>
        <v>2089091201</v>
      </c>
      <c r="J882" s="991" t="s">
        <v>6436</v>
      </c>
      <c r="K882" s="886"/>
      <c r="L882" s="873"/>
      <c r="M882" s="873"/>
      <c r="N882" s="886"/>
      <c r="O882" s="886"/>
      <c r="P882" s="886"/>
      <c r="Q882" s="1167">
        <v>15677</v>
      </c>
      <c r="R882" s="882"/>
      <c r="S882" s="1269"/>
      <c r="T882" s="1254"/>
      <c r="U882" s="996" t="s">
        <v>10122</v>
      </c>
      <c r="V882" s="996"/>
      <c r="W882" s="992" t="s">
        <v>10877</v>
      </c>
    </row>
    <row r="883" spans="1:23" ht="14.5" customHeight="1">
      <c r="A883" s="1034"/>
      <c r="B883" s="1034"/>
      <c r="C883" s="1044"/>
      <c r="F883" s="988"/>
      <c r="G883" s="1095" t="str">
        <f t="shared" si="134"/>
        <v>2089091</v>
      </c>
      <c r="H883" s="1016" t="s">
        <v>5844</v>
      </c>
      <c r="I883" s="944" t="str">
        <f t="shared" si="131"/>
        <v>2089091202</v>
      </c>
      <c r="J883" s="991" t="s">
        <v>6437</v>
      </c>
      <c r="K883" s="886"/>
      <c r="L883" s="873"/>
      <c r="M883" s="873"/>
      <c r="N883" s="886"/>
      <c r="O883" s="886"/>
      <c r="P883" s="886"/>
      <c r="Q883" s="1167">
        <v>1911</v>
      </c>
      <c r="R883" s="882"/>
      <c r="S883" s="1269"/>
      <c r="T883" s="1254"/>
      <c r="U883" s="996" t="s">
        <v>10122</v>
      </c>
      <c r="V883" s="996"/>
      <c r="W883" s="992"/>
    </row>
    <row r="884" spans="1:23" ht="14.5" customHeight="1">
      <c r="A884" s="1034"/>
      <c r="B884" s="1034"/>
      <c r="C884" s="987"/>
      <c r="D884" s="988" t="str">
        <f t="shared" si="127"/>
        <v/>
      </c>
      <c r="F884" s="988"/>
      <c r="G884" s="1095" t="str">
        <f t="shared" si="134"/>
        <v>2089091</v>
      </c>
      <c r="H884" s="1016" t="s">
        <v>10456</v>
      </c>
      <c r="I884" s="944" t="str">
        <f>IF(H884="","",CONCATENATE(G884,H884))</f>
        <v>2089091Y01</v>
      </c>
      <c r="J884" s="992" t="s">
        <v>6155</v>
      </c>
      <c r="K884" s="886"/>
      <c r="L884" s="873"/>
      <c r="M884" s="873"/>
      <c r="N884" s="886"/>
      <c r="O884" s="886"/>
      <c r="P884" s="886"/>
      <c r="Q884" s="1167">
        <v>50.19</v>
      </c>
      <c r="R884" s="882"/>
      <c r="S884" s="1269"/>
      <c r="T884" s="1254"/>
      <c r="U884" s="991" t="s">
        <v>10477</v>
      </c>
      <c r="V884" s="996"/>
      <c r="W884" s="992" t="s">
        <v>10520</v>
      </c>
    </row>
    <row r="885" spans="1:23" ht="14.5" customHeight="1">
      <c r="A885" s="1034"/>
      <c r="B885" s="1034"/>
      <c r="C885" s="987"/>
      <c r="E885" s="989" t="s">
        <v>6438</v>
      </c>
      <c r="F885" s="988" t="str">
        <f t="shared" ref="F885:F924" si="135">IF(E885="","",CONCATENATE(LEFT(E885,4),MID(E885,6,3)))</f>
        <v>2089099</v>
      </c>
      <c r="G885" s="1095" t="str">
        <f>IF(F885="",G884,F885)</f>
        <v>2089099</v>
      </c>
      <c r="J885" s="1013" t="s">
        <v>6439</v>
      </c>
      <c r="K885" s="886"/>
      <c r="L885" s="873"/>
      <c r="M885" s="873"/>
      <c r="N885" s="886"/>
      <c r="O885" s="886"/>
      <c r="P885" s="886"/>
      <c r="Q885" s="1187">
        <v>213942</v>
      </c>
      <c r="R885" s="900"/>
      <c r="S885" s="1272"/>
      <c r="T885" s="900"/>
      <c r="U885" s="1006" t="s">
        <v>10477</v>
      </c>
      <c r="V885" s="1006"/>
      <c r="W885" s="1003" t="s">
        <v>10772</v>
      </c>
    </row>
    <row r="886" spans="1:23" ht="14.5" customHeight="1">
      <c r="A886" s="1034"/>
      <c r="B886" s="1034"/>
      <c r="C886" s="1040" t="s">
        <v>6440</v>
      </c>
      <c r="D886" s="982" t="str">
        <f t="shared" si="127"/>
        <v>211101</v>
      </c>
      <c r="E886" s="983"/>
      <c r="F886" s="982" t="str">
        <f t="shared" si="135"/>
        <v/>
      </c>
      <c r="G886" s="1103"/>
      <c r="H886" s="1102"/>
      <c r="I886" s="947" t="str">
        <f t="shared" ref="I886:I925" si="136">IF(H886="","",CONCATENATE(G886,H886))</f>
        <v/>
      </c>
      <c r="J886" s="984" t="s">
        <v>6441</v>
      </c>
      <c r="K886" s="889"/>
      <c r="L886" s="889"/>
      <c r="M886" s="889"/>
      <c r="N886" s="889"/>
      <c r="O886" s="889"/>
      <c r="P886" s="881">
        <f>SUM(Q887:Q895)</f>
        <v>49906</v>
      </c>
      <c r="Q886" s="1160"/>
      <c r="R886" s="880"/>
      <c r="S886" s="1270"/>
      <c r="T886" s="880"/>
      <c r="U886" s="993"/>
      <c r="V886" s="993"/>
      <c r="W886" s="986"/>
    </row>
    <row r="887" spans="1:23" ht="14.5" customHeight="1">
      <c r="A887" s="1034"/>
      <c r="B887" s="1034"/>
      <c r="C887" s="987"/>
      <c r="D887" s="988" t="str">
        <f t="shared" si="127"/>
        <v/>
      </c>
      <c r="E887" s="989" t="s">
        <v>6442</v>
      </c>
      <c r="F887" s="988" t="str">
        <f t="shared" si="135"/>
        <v>2111011</v>
      </c>
      <c r="G887" s="1095" t="str">
        <f t="shared" ref="G887:G895" si="137">IF(F887="",G886,F887)</f>
        <v>2111011</v>
      </c>
      <c r="I887" s="944" t="str">
        <f t="shared" si="136"/>
        <v/>
      </c>
      <c r="J887" s="990" t="s">
        <v>6443</v>
      </c>
      <c r="K887" s="886"/>
      <c r="L887" s="886"/>
      <c r="M887" s="886"/>
      <c r="N887" s="886"/>
      <c r="O887" s="886"/>
      <c r="P887" s="886"/>
      <c r="Q887" s="1174">
        <v>0</v>
      </c>
      <c r="R887" s="882"/>
      <c r="S887" s="1269"/>
      <c r="T887" s="1254"/>
      <c r="U887" s="996" t="s">
        <v>10878</v>
      </c>
      <c r="V887" s="996"/>
      <c r="W887" s="992" t="s">
        <v>10879</v>
      </c>
    </row>
    <row r="888" spans="1:23" ht="14.5" customHeight="1">
      <c r="A888" s="1034"/>
      <c r="B888" s="1034"/>
      <c r="C888" s="987"/>
      <c r="D888" s="988" t="str">
        <f t="shared" si="127"/>
        <v/>
      </c>
      <c r="E888" s="989" t="s">
        <v>6444</v>
      </c>
      <c r="F888" s="988" t="str">
        <f t="shared" si="135"/>
        <v>2111012</v>
      </c>
      <c r="G888" s="1095" t="str">
        <f>IF(F888="",G887,F888)</f>
        <v>2111012</v>
      </c>
      <c r="I888" s="944" t="str">
        <f t="shared" si="136"/>
        <v/>
      </c>
      <c r="J888" s="990" t="s">
        <v>322</v>
      </c>
      <c r="K888" s="886"/>
      <c r="L888" s="886"/>
      <c r="M888" s="886"/>
      <c r="N888" s="886"/>
      <c r="O888" s="886"/>
      <c r="P888" s="886"/>
      <c r="Q888" s="1174">
        <v>0</v>
      </c>
      <c r="R888" s="882"/>
      <c r="S888" s="1269"/>
      <c r="T888" s="1254"/>
      <c r="U888" s="996" t="s">
        <v>10145</v>
      </c>
      <c r="V888" s="996"/>
      <c r="W888" s="992" t="s">
        <v>10122</v>
      </c>
    </row>
    <row r="889" spans="1:23" ht="14.5" customHeight="1">
      <c r="A889" s="1034"/>
      <c r="B889" s="1034"/>
      <c r="C889" s="987"/>
      <c r="D889" s="988" t="str">
        <f t="shared" si="127"/>
        <v/>
      </c>
      <c r="E889" s="989" t="s">
        <v>6445</v>
      </c>
      <c r="F889" s="988" t="str">
        <f t="shared" si="135"/>
        <v>2111013</v>
      </c>
      <c r="G889" s="1095" t="str">
        <f t="shared" si="137"/>
        <v>2111013</v>
      </c>
      <c r="I889" s="944" t="str">
        <f t="shared" si="136"/>
        <v/>
      </c>
      <c r="J889" s="990" t="s">
        <v>323</v>
      </c>
      <c r="K889" s="886"/>
      <c r="L889" s="886"/>
      <c r="M889" s="886"/>
      <c r="N889" s="886"/>
      <c r="O889" s="886"/>
      <c r="P889" s="886"/>
      <c r="Q889" s="1174">
        <v>0</v>
      </c>
      <c r="R889" s="882"/>
      <c r="S889" s="1269"/>
      <c r="T889" s="1254"/>
      <c r="U889" s="996" t="s">
        <v>10145</v>
      </c>
      <c r="V889" s="996"/>
      <c r="W889" s="992" t="s">
        <v>10122</v>
      </c>
    </row>
    <row r="890" spans="1:23" ht="14.5" customHeight="1">
      <c r="A890" s="1034"/>
      <c r="B890" s="1034"/>
      <c r="C890" s="987"/>
      <c r="D890" s="988" t="str">
        <f t="shared" si="127"/>
        <v/>
      </c>
      <c r="E890" s="989" t="s">
        <v>6446</v>
      </c>
      <c r="F890" s="988" t="str">
        <f t="shared" si="135"/>
        <v>2111014</v>
      </c>
      <c r="G890" s="1095" t="str">
        <f t="shared" si="137"/>
        <v>2111014</v>
      </c>
      <c r="I890" s="944" t="str">
        <f t="shared" si="136"/>
        <v/>
      </c>
      <c r="J890" s="990" t="s">
        <v>324</v>
      </c>
      <c r="K890" s="886"/>
      <c r="L890" s="886"/>
      <c r="M890" s="886"/>
      <c r="N890" s="886"/>
      <c r="O890" s="886"/>
      <c r="P890" s="886"/>
      <c r="Q890" s="1174">
        <v>0</v>
      </c>
      <c r="R890" s="882"/>
      <c r="S890" s="1269"/>
      <c r="T890" s="1254"/>
      <c r="U890" s="996" t="s">
        <v>10145</v>
      </c>
      <c r="V890" s="996"/>
      <c r="W890" s="992" t="s">
        <v>10122</v>
      </c>
    </row>
    <row r="891" spans="1:23" ht="14.5" customHeight="1">
      <c r="A891" s="1034"/>
      <c r="B891" s="1034"/>
      <c r="C891" s="987"/>
      <c r="D891" s="988" t="str">
        <f t="shared" si="127"/>
        <v/>
      </c>
      <c r="E891" s="989" t="s">
        <v>6447</v>
      </c>
      <c r="F891" s="988" t="str">
        <f t="shared" si="135"/>
        <v>2111015</v>
      </c>
      <c r="G891" s="1095" t="str">
        <f t="shared" si="137"/>
        <v>2111015</v>
      </c>
      <c r="I891" s="944" t="str">
        <f t="shared" si="136"/>
        <v/>
      </c>
      <c r="J891" s="990" t="s">
        <v>6448</v>
      </c>
      <c r="K891" s="886"/>
      <c r="L891" s="886"/>
      <c r="M891" s="886"/>
      <c r="N891" s="886"/>
      <c r="O891" s="886"/>
      <c r="P891" s="886"/>
      <c r="Q891" s="1174">
        <v>0</v>
      </c>
      <c r="R891" s="882"/>
      <c r="S891" s="1269"/>
      <c r="T891" s="1254"/>
      <c r="U891" s="996" t="s">
        <v>10145</v>
      </c>
      <c r="V891" s="996"/>
      <c r="W891" s="992" t="s">
        <v>10122</v>
      </c>
    </row>
    <row r="892" spans="1:23" ht="14.5" customHeight="1">
      <c r="A892" s="1034"/>
      <c r="B892" s="1034"/>
      <c r="C892" s="987"/>
      <c r="D892" s="988" t="str">
        <f t="shared" si="127"/>
        <v/>
      </c>
      <c r="E892" s="989" t="s">
        <v>6449</v>
      </c>
      <c r="F892" s="988" t="str">
        <f t="shared" si="135"/>
        <v>2111016</v>
      </c>
      <c r="G892" s="1095" t="str">
        <f t="shared" si="137"/>
        <v>2111016</v>
      </c>
      <c r="I892" s="944" t="str">
        <f t="shared" si="136"/>
        <v/>
      </c>
      <c r="J892" s="990" t="s">
        <v>326</v>
      </c>
      <c r="K892" s="886"/>
      <c r="L892" s="886"/>
      <c r="M892" s="886"/>
      <c r="N892" s="886"/>
      <c r="O892" s="886"/>
      <c r="P892" s="886"/>
      <c r="Q892" s="1174">
        <v>0</v>
      </c>
      <c r="R892" s="882"/>
      <c r="S892" s="1269"/>
      <c r="T892" s="1254"/>
      <c r="U892" s="996" t="s">
        <v>10145</v>
      </c>
      <c r="V892" s="996"/>
      <c r="W892" s="992" t="s">
        <v>10122</v>
      </c>
    </row>
    <row r="893" spans="1:23" ht="14.5" customHeight="1">
      <c r="A893" s="1034"/>
      <c r="B893" s="1034"/>
      <c r="C893" s="987"/>
      <c r="D893" s="988" t="str">
        <f t="shared" si="127"/>
        <v/>
      </c>
      <c r="E893" s="989" t="s">
        <v>6450</v>
      </c>
      <c r="F893" s="988" t="str">
        <f t="shared" si="135"/>
        <v>2111017</v>
      </c>
      <c r="G893" s="1095" t="str">
        <f t="shared" si="137"/>
        <v>2111017</v>
      </c>
      <c r="I893" s="944" t="str">
        <f t="shared" si="136"/>
        <v/>
      </c>
      <c r="J893" s="990" t="s">
        <v>328</v>
      </c>
      <c r="K893" s="886"/>
      <c r="L893" s="886"/>
      <c r="M893" s="886"/>
      <c r="N893" s="886"/>
      <c r="O893" s="886"/>
      <c r="P893" s="886"/>
      <c r="Q893" s="1174">
        <v>0</v>
      </c>
      <c r="R893" s="882"/>
      <c r="S893" s="1269"/>
      <c r="T893" s="1254"/>
      <c r="U893" s="996" t="s">
        <v>10145</v>
      </c>
      <c r="V893" s="996"/>
      <c r="W893" s="992" t="s">
        <v>10122</v>
      </c>
    </row>
    <row r="894" spans="1:23" ht="14.5" customHeight="1">
      <c r="A894" s="1034"/>
      <c r="B894" s="1034"/>
      <c r="C894" s="987"/>
      <c r="D894" s="988" t="str">
        <f t="shared" si="127"/>
        <v/>
      </c>
      <c r="E894" s="989" t="s">
        <v>6451</v>
      </c>
      <c r="F894" s="988" t="str">
        <f t="shared" si="135"/>
        <v>2111018</v>
      </c>
      <c r="G894" s="1095" t="str">
        <f t="shared" si="137"/>
        <v>2111018</v>
      </c>
      <c r="I894" s="944" t="str">
        <f t="shared" si="136"/>
        <v/>
      </c>
      <c r="J894" s="990" t="s">
        <v>330</v>
      </c>
      <c r="K894" s="886"/>
      <c r="L894" s="886"/>
      <c r="M894" s="886"/>
      <c r="N894" s="886"/>
      <c r="O894" s="886"/>
      <c r="P894" s="886"/>
      <c r="Q894" s="1174">
        <v>0</v>
      </c>
      <c r="R894" s="882"/>
      <c r="S894" s="1269"/>
      <c r="T894" s="1254"/>
      <c r="U894" s="996" t="s">
        <v>10145</v>
      </c>
      <c r="V894" s="996"/>
      <c r="W894" s="992" t="s">
        <v>10122</v>
      </c>
    </row>
    <row r="895" spans="1:23" ht="14.5" customHeight="1">
      <c r="A895" s="1034"/>
      <c r="B895" s="1034"/>
      <c r="C895" s="987"/>
      <c r="D895" s="988" t="str">
        <f t="shared" si="127"/>
        <v/>
      </c>
      <c r="E895" s="989" t="s">
        <v>6452</v>
      </c>
      <c r="F895" s="988" t="str">
        <f t="shared" si="135"/>
        <v>2111019</v>
      </c>
      <c r="G895" s="1095" t="str">
        <f t="shared" si="137"/>
        <v>2111019</v>
      </c>
      <c r="I895" s="944" t="str">
        <f t="shared" si="136"/>
        <v/>
      </c>
      <c r="J895" s="990" t="s">
        <v>331</v>
      </c>
      <c r="K895" s="886"/>
      <c r="L895" s="886"/>
      <c r="M895" s="886"/>
      <c r="N895" s="886"/>
      <c r="O895" s="886"/>
      <c r="P895" s="886"/>
      <c r="Q895" s="1174">
        <v>49906</v>
      </c>
      <c r="R895" s="882"/>
      <c r="S895" s="1269"/>
      <c r="T895" s="1254"/>
      <c r="U895" s="996" t="s">
        <v>10129</v>
      </c>
      <c r="V895" s="996"/>
      <c r="W895" s="992"/>
    </row>
    <row r="896" spans="1:23" ht="14.5" customHeight="1">
      <c r="A896" s="1034"/>
      <c r="B896" s="1034"/>
      <c r="C896" s="1040" t="s">
        <v>6453</v>
      </c>
      <c r="D896" s="982" t="str">
        <f t="shared" si="127"/>
        <v>212101</v>
      </c>
      <c r="E896" s="983"/>
      <c r="F896" s="1017" t="str">
        <f t="shared" si="135"/>
        <v/>
      </c>
      <c r="G896" s="1101"/>
      <c r="H896" s="1102"/>
      <c r="I896" s="947" t="str">
        <f t="shared" si="136"/>
        <v/>
      </c>
      <c r="J896" s="984" t="s">
        <v>6454</v>
      </c>
      <c r="K896" s="889"/>
      <c r="L896" s="889"/>
      <c r="M896" s="889"/>
      <c r="N896" s="889"/>
      <c r="O896" s="889"/>
      <c r="P896" s="881">
        <f>Q897+Q898</f>
        <v>69929</v>
      </c>
      <c r="Q896" s="1160"/>
      <c r="R896" s="880"/>
      <c r="S896" s="1270"/>
      <c r="T896" s="880"/>
      <c r="U896" s="993" t="s">
        <v>10485</v>
      </c>
      <c r="V896" s="993"/>
      <c r="W896" s="986"/>
    </row>
    <row r="897" spans="1:23" ht="14.5" customHeight="1">
      <c r="A897" s="1034"/>
      <c r="B897" s="1034"/>
      <c r="C897" s="987"/>
      <c r="D897" s="988" t="str">
        <f t="shared" si="127"/>
        <v/>
      </c>
      <c r="E897" s="989" t="s">
        <v>6455</v>
      </c>
      <c r="F897" s="988" t="str">
        <f t="shared" si="135"/>
        <v>2121011</v>
      </c>
      <c r="G897" s="1095" t="str">
        <f>IF(F897="",G896,F897)</f>
        <v>2121011</v>
      </c>
      <c r="I897" s="944" t="str">
        <f t="shared" si="136"/>
        <v/>
      </c>
      <c r="J897" s="990" t="s">
        <v>333</v>
      </c>
      <c r="K897" s="886"/>
      <c r="L897" s="873"/>
      <c r="M897" s="873"/>
      <c r="N897" s="886"/>
      <c r="O897" s="886"/>
      <c r="P897" s="886"/>
      <c r="Q897" s="1174">
        <v>53600</v>
      </c>
      <c r="R897" s="887"/>
      <c r="S897" s="1273"/>
      <c r="T897" s="1256"/>
      <c r="U897" s="996"/>
      <c r="V897" s="996"/>
      <c r="W897" s="992" t="s">
        <v>10880</v>
      </c>
    </row>
    <row r="898" spans="1:23" ht="14.5" customHeight="1">
      <c r="A898" s="1034"/>
      <c r="B898" s="1034"/>
      <c r="C898" s="998"/>
      <c r="D898" s="999" t="str">
        <f t="shared" si="127"/>
        <v/>
      </c>
      <c r="E898" s="1000" t="s">
        <v>6456</v>
      </c>
      <c r="F898" s="999" t="str">
        <f t="shared" si="135"/>
        <v>2121019</v>
      </c>
      <c r="G898" s="1104" t="str">
        <f>IF(F898="",G897,F898)</f>
        <v>2121019</v>
      </c>
      <c r="H898" s="1005"/>
      <c r="I898" s="1002" t="str">
        <f t="shared" si="136"/>
        <v/>
      </c>
      <c r="J898" s="1030" t="s">
        <v>334</v>
      </c>
      <c r="K898" s="893"/>
      <c r="L898" s="893"/>
      <c r="M898" s="893"/>
      <c r="N898" s="893"/>
      <c r="O898" s="893"/>
      <c r="P898" s="893"/>
      <c r="Q898" s="1187">
        <v>16329</v>
      </c>
      <c r="R898" s="908"/>
      <c r="S898" s="1277"/>
      <c r="T898" s="908"/>
      <c r="U898" s="1006"/>
      <c r="V898" s="1006"/>
      <c r="W898" s="992" t="s">
        <v>10122</v>
      </c>
    </row>
    <row r="899" spans="1:23" ht="14.5" customHeight="1">
      <c r="A899" s="1034"/>
      <c r="B899" s="1034"/>
      <c r="C899" s="1023" t="s">
        <v>6457</v>
      </c>
      <c r="D899" s="1024" t="str">
        <f t="shared" si="127"/>
        <v>212102</v>
      </c>
      <c r="E899" s="1025" t="s">
        <v>6458</v>
      </c>
      <c r="F899" s="1024" t="str">
        <f t="shared" si="135"/>
        <v>2121021</v>
      </c>
      <c r="G899" s="1111" t="str">
        <f>IF(F899="",G898,F899)</f>
        <v>2121021</v>
      </c>
      <c r="H899" s="1112"/>
      <c r="I899" s="1113" t="str">
        <f t="shared" si="136"/>
        <v/>
      </c>
      <c r="J899" s="1026" t="s">
        <v>335</v>
      </c>
      <c r="K899" s="912"/>
      <c r="L899" s="912"/>
      <c r="M899" s="912"/>
      <c r="N899" s="912"/>
      <c r="O899" s="912"/>
      <c r="P899" s="914">
        <f>Q899</f>
        <v>17407</v>
      </c>
      <c r="Q899" s="1186">
        <v>17407</v>
      </c>
      <c r="R899" s="929"/>
      <c r="S899" s="1280"/>
      <c r="T899" s="929"/>
      <c r="U899" s="1022" t="s">
        <v>10477</v>
      </c>
      <c r="V899" s="1022"/>
      <c r="W899" s="1027" t="s">
        <v>10880</v>
      </c>
    </row>
    <row r="900" spans="1:23" ht="14.5" customHeight="1">
      <c r="A900" s="1034"/>
      <c r="B900" s="1034"/>
      <c r="C900" s="1037" t="s">
        <v>6459</v>
      </c>
      <c r="D900" s="988" t="str">
        <f t="shared" si="127"/>
        <v>221101</v>
      </c>
      <c r="E900" s="989"/>
      <c r="F900" s="988" t="str">
        <f t="shared" si="135"/>
        <v/>
      </c>
      <c r="I900" s="944" t="str">
        <f t="shared" si="136"/>
        <v/>
      </c>
      <c r="J900" s="990" t="s">
        <v>6460</v>
      </c>
      <c r="K900" s="886"/>
      <c r="L900" s="886"/>
      <c r="M900" s="886"/>
      <c r="N900" s="886"/>
      <c r="O900" s="886"/>
      <c r="P900" s="896">
        <f>SUM(Q901:Q908)</f>
        <v>405758</v>
      </c>
      <c r="Q900" s="1171"/>
      <c r="R900" s="882"/>
      <c r="S900" s="1269"/>
      <c r="T900" s="1254"/>
      <c r="U900" s="996" t="s">
        <v>10485</v>
      </c>
      <c r="V900" s="996"/>
      <c r="W900" s="992" t="s">
        <v>10881</v>
      </c>
    </row>
    <row r="901" spans="1:23" ht="14.5" customHeight="1">
      <c r="A901" s="1034"/>
      <c r="B901" s="1034"/>
      <c r="C901" s="987"/>
      <c r="D901" s="988" t="str">
        <f t="shared" si="127"/>
        <v/>
      </c>
      <c r="E901" s="989" t="s">
        <v>6461</v>
      </c>
      <c r="F901" s="988" t="str">
        <f t="shared" si="135"/>
        <v>2211011</v>
      </c>
      <c r="G901" s="1095" t="str">
        <f t="shared" ref="G901:G909" si="138">IF(F901="",G900,F901)</f>
        <v>2211011</v>
      </c>
      <c r="I901" s="944" t="str">
        <f t="shared" si="136"/>
        <v/>
      </c>
      <c r="J901" s="1013" t="s">
        <v>337</v>
      </c>
      <c r="K901" s="886"/>
      <c r="L901" s="886"/>
      <c r="M901" s="886"/>
      <c r="N901" s="886"/>
      <c r="O901" s="886"/>
      <c r="P901" s="886"/>
      <c r="Q901" s="1167">
        <v>188001</v>
      </c>
      <c r="R901" s="882"/>
      <c r="S901" s="1269"/>
      <c r="T901" s="1254"/>
      <c r="U901" s="996"/>
      <c r="V901" s="996"/>
      <c r="W901" s="992"/>
    </row>
    <row r="902" spans="1:23" ht="14.5" customHeight="1">
      <c r="A902" s="1034"/>
      <c r="B902" s="1034"/>
      <c r="C902" s="987"/>
      <c r="D902" s="988" t="str">
        <f t="shared" si="127"/>
        <v/>
      </c>
      <c r="E902" s="989" t="s">
        <v>6462</v>
      </c>
      <c r="F902" s="988" t="str">
        <f t="shared" si="135"/>
        <v>2211012</v>
      </c>
      <c r="G902" s="1095" t="str">
        <f t="shared" si="138"/>
        <v>2211012</v>
      </c>
      <c r="I902" s="944" t="str">
        <f t="shared" si="136"/>
        <v/>
      </c>
      <c r="J902" s="990" t="s">
        <v>339</v>
      </c>
      <c r="K902" s="886"/>
      <c r="L902" s="873"/>
      <c r="M902" s="873"/>
      <c r="N902" s="886"/>
      <c r="O902" s="886"/>
      <c r="P902" s="886"/>
      <c r="Q902" s="1167">
        <v>47160</v>
      </c>
      <c r="R902" s="882"/>
      <c r="S902" s="1269"/>
      <c r="T902" s="1254"/>
      <c r="U902" s="991"/>
      <c r="V902" s="996"/>
      <c r="W902" s="992"/>
    </row>
    <row r="903" spans="1:23" ht="14.5" customHeight="1">
      <c r="A903" s="1034"/>
      <c r="B903" s="1034"/>
      <c r="C903" s="987"/>
      <c r="D903" s="988" t="str">
        <f t="shared" si="127"/>
        <v/>
      </c>
      <c r="E903" s="989" t="s">
        <v>6463</v>
      </c>
      <c r="F903" s="988" t="str">
        <f t="shared" si="135"/>
        <v>2211013</v>
      </c>
      <c r="G903" s="1095" t="str">
        <f t="shared" si="138"/>
        <v>2211013</v>
      </c>
      <c r="I903" s="944" t="str">
        <f t="shared" si="136"/>
        <v/>
      </c>
      <c r="J903" s="990" t="s">
        <v>340</v>
      </c>
      <c r="K903" s="886"/>
      <c r="L903" s="886"/>
      <c r="M903" s="886"/>
      <c r="N903" s="886"/>
      <c r="O903" s="886"/>
      <c r="P903" s="886"/>
      <c r="Q903" s="1167">
        <v>25742</v>
      </c>
      <c r="R903" s="882"/>
      <c r="S903" s="1269"/>
      <c r="T903" s="1254"/>
      <c r="U903" s="991"/>
      <c r="V903" s="996"/>
      <c r="W903" s="992"/>
    </row>
    <row r="904" spans="1:23" ht="14.5" customHeight="1">
      <c r="A904" s="1034"/>
      <c r="B904" s="1034"/>
      <c r="C904" s="987"/>
      <c r="D904" s="988" t="str">
        <f t="shared" si="127"/>
        <v/>
      </c>
      <c r="E904" s="989" t="s">
        <v>6464</v>
      </c>
      <c r="F904" s="988" t="str">
        <f t="shared" si="135"/>
        <v>2211014</v>
      </c>
      <c r="G904" s="1095" t="str">
        <f t="shared" si="138"/>
        <v>2211014</v>
      </c>
      <c r="I904" s="944" t="str">
        <f t="shared" si="136"/>
        <v/>
      </c>
      <c r="J904" s="990" t="s">
        <v>341</v>
      </c>
      <c r="K904" s="886"/>
      <c r="L904" s="886"/>
      <c r="M904" s="886"/>
      <c r="N904" s="886"/>
      <c r="O904" s="886"/>
      <c r="P904" s="886"/>
      <c r="Q904" s="1167">
        <v>49354</v>
      </c>
      <c r="R904" s="882"/>
      <c r="S904" s="1269"/>
      <c r="T904" s="1254"/>
      <c r="U904" s="991"/>
      <c r="V904" s="996"/>
      <c r="W904" s="992"/>
    </row>
    <row r="905" spans="1:23" ht="14.5" customHeight="1">
      <c r="A905" s="1034"/>
      <c r="B905" s="1034"/>
      <c r="C905" s="987"/>
      <c r="D905" s="988" t="str">
        <f t="shared" si="127"/>
        <v/>
      </c>
      <c r="E905" s="989" t="s">
        <v>6465</v>
      </c>
      <c r="F905" s="988" t="str">
        <f t="shared" si="135"/>
        <v>2211015</v>
      </c>
      <c r="G905" s="1095" t="str">
        <f t="shared" si="138"/>
        <v>2211015</v>
      </c>
      <c r="I905" s="944" t="str">
        <f t="shared" si="136"/>
        <v/>
      </c>
      <c r="J905" s="990" t="s">
        <v>342</v>
      </c>
      <c r="K905" s="886"/>
      <c r="L905" s="886"/>
      <c r="M905" s="886"/>
      <c r="N905" s="886"/>
      <c r="O905" s="886"/>
      <c r="P905" s="886"/>
      <c r="Q905" s="1167">
        <v>11418</v>
      </c>
      <c r="R905" s="882"/>
      <c r="S905" s="1269"/>
      <c r="T905" s="1254"/>
      <c r="U905" s="991"/>
      <c r="V905" s="996"/>
      <c r="W905" s="992"/>
    </row>
    <row r="906" spans="1:23" ht="14.5" customHeight="1">
      <c r="A906" s="1034"/>
      <c r="B906" s="1034"/>
      <c r="C906" s="987"/>
      <c r="D906" s="988" t="str">
        <f t="shared" si="127"/>
        <v/>
      </c>
      <c r="E906" s="989" t="s">
        <v>6466</v>
      </c>
      <c r="F906" s="988" t="str">
        <f t="shared" si="135"/>
        <v>2211016</v>
      </c>
      <c r="G906" s="1095" t="str">
        <f t="shared" si="138"/>
        <v>2211016</v>
      </c>
      <c r="I906" s="944" t="str">
        <f t="shared" si="136"/>
        <v/>
      </c>
      <c r="J906" s="990" t="s">
        <v>343</v>
      </c>
      <c r="K906" s="886"/>
      <c r="L906" s="886"/>
      <c r="M906" s="886"/>
      <c r="N906" s="886"/>
      <c r="O906" s="886"/>
      <c r="P906" s="886"/>
      <c r="Q906" s="1167">
        <v>51113</v>
      </c>
      <c r="R906" s="882"/>
      <c r="S906" s="1269"/>
      <c r="T906" s="1254"/>
      <c r="U906" s="991"/>
      <c r="V906" s="996"/>
      <c r="W906" s="992"/>
    </row>
    <row r="907" spans="1:23" ht="14.5" customHeight="1">
      <c r="A907" s="1034"/>
      <c r="B907" s="1034"/>
      <c r="C907" s="987"/>
      <c r="D907" s="988" t="str">
        <f t="shared" si="127"/>
        <v/>
      </c>
      <c r="E907" s="989" t="s">
        <v>6467</v>
      </c>
      <c r="F907" s="988" t="str">
        <f t="shared" si="135"/>
        <v>2211017</v>
      </c>
      <c r="G907" s="1095" t="str">
        <f t="shared" si="138"/>
        <v>2211017</v>
      </c>
      <c r="I907" s="944" t="str">
        <f t="shared" si="136"/>
        <v/>
      </c>
      <c r="J907" s="1013" t="s">
        <v>344</v>
      </c>
      <c r="K907" s="886"/>
      <c r="L907" s="886"/>
      <c r="M907" s="886"/>
      <c r="N907" s="886"/>
      <c r="O907" s="886"/>
      <c r="P907" s="886"/>
      <c r="Q907" s="1167">
        <v>6651</v>
      </c>
      <c r="R907" s="882"/>
      <c r="S907" s="1269"/>
      <c r="T907" s="1254"/>
      <c r="U907" s="991"/>
      <c r="V907" s="996"/>
      <c r="W907" s="992"/>
    </row>
    <row r="908" spans="1:23" ht="14.5" customHeight="1">
      <c r="A908" s="1034"/>
      <c r="B908" s="1034"/>
      <c r="C908" s="987"/>
      <c r="D908" s="988" t="str">
        <f t="shared" si="127"/>
        <v/>
      </c>
      <c r="E908" s="989" t="s">
        <v>6468</v>
      </c>
      <c r="F908" s="988" t="str">
        <f t="shared" si="135"/>
        <v>2211019</v>
      </c>
      <c r="G908" s="1095" t="str">
        <f t="shared" si="138"/>
        <v>2211019</v>
      </c>
      <c r="I908" s="944" t="str">
        <f t="shared" si="136"/>
        <v/>
      </c>
      <c r="J908" s="990" t="s">
        <v>345</v>
      </c>
      <c r="K908" s="886"/>
      <c r="L908" s="886"/>
      <c r="M908" s="886"/>
      <c r="N908" s="886"/>
      <c r="O908" s="886"/>
      <c r="P908" s="886"/>
      <c r="Q908" s="1167">
        <v>26319</v>
      </c>
      <c r="R908" s="882"/>
      <c r="S908" s="1269"/>
      <c r="T908" s="1254"/>
      <c r="U908" s="996"/>
      <c r="V908" s="996"/>
      <c r="W908" s="992"/>
    </row>
    <row r="909" spans="1:23" ht="14.5" customHeight="1">
      <c r="A909" s="1034"/>
      <c r="B909" s="1034"/>
      <c r="C909" s="1042" t="s">
        <v>6469</v>
      </c>
      <c r="D909" s="1024" t="str">
        <f t="shared" si="127"/>
        <v>222101</v>
      </c>
      <c r="E909" s="1025" t="s">
        <v>6470</v>
      </c>
      <c r="F909" s="1024" t="str">
        <f t="shared" si="135"/>
        <v>2221011</v>
      </c>
      <c r="G909" s="1111" t="str">
        <f t="shared" si="138"/>
        <v>2221011</v>
      </c>
      <c r="H909" s="1112"/>
      <c r="I909" s="1113" t="str">
        <f t="shared" si="136"/>
        <v/>
      </c>
      <c r="J909" s="1026" t="s">
        <v>347</v>
      </c>
      <c r="K909" s="912"/>
      <c r="L909" s="912"/>
      <c r="M909" s="912"/>
      <c r="N909" s="912"/>
      <c r="O909" s="912"/>
      <c r="P909" s="914">
        <f>Q909</f>
        <v>18686</v>
      </c>
      <c r="Q909" s="1186">
        <v>18686</v>
      </c>
      <c r="R909" s="929"/>
      <c r="S909" s="1280"/>
      <c r="T909" s="929"/>
      <c r="U909" s="1022" t="s">
        <v>10485</v>
      </c>
      <c r="V909" s="1022"/>
      <c r="W909" s="1027"/>
    </row>
    <row r="910" spans="1:23" ht="14.5" customHeight="1">
      <c r="A910" s="1034"/>
      <c r="B910" s="1034"/>
      <c r="C910" s="1040" t="s">
        <v>6471</v>
      </c>
      <c r="D910" s="982" t="str">
        <f t="shared" si="127"/>
        <v>222909</v>
      </c>
      <c r="E910" s="947"/>
      <c r="F910" s="982"/>
      <c r="G910" s="1103"/>
      <c r="H910" s="1102"/>
      <c r="I910" s="947" t="str">
        <f t="shared" si="136"/>
        <v/>
      </c>
      <c r="J910" s="984" t="s">
        <v>6472</v>
      </c>
      <c r="K910" s="889"/>
      <c r="L910" s="889"/>
      <c r="M910" s="889"/>
      <c r="N910" s="889"/>
      <c r="O910" s="889"/>
      <c r="P910" s="881">
        <f>Q911+Q912</f>
        <v>86607</v>
      </c>
      <c r="Q910" s="1169"/>
      <c r="R910" s="880"/>
      <c r="S910" s="1270"/>
      <c r="T910" s="880"/>
      <c r="U910" s="993"/>
      <c r="V910" s="993"/>
      <c r="W910" s="986"/>
    </row>
    <row r="911" spans="1:23" ht="14.5" customHeight="1">
      <c r="A911" s="1034"/>
      <c r="B911" s="1034"/>
      <c r="C911" s="1037"/>
      <c r="E911" s="989" t="s">
        <v>6473</v>
      </c>
      <c r="F911" s="988" t="str">
        <f t="shared" si="135"/>
        <v>2229091</v>
      </c>
      <c r="G911" s="1095" t="str">
        <f>IF(F911="",G909,F911)</f>
        <v>2229091</v>
      </c>
      <c r="I911" s="944" t="str">
        <f t="shared" si="136"/>
        <v/>
      </c>
      <c r="J911" s="990" t="s">
        <v>6474</v>
      </c>
      <c r="K911" s="886"/>
      <c r="L911" s="873"/>
      <c r="M911" s="873"/>
      <c r="N911" s="886"/>
      <c r="O911" s="886"/>
      <c r="P911" s="886"/>
      <c r="Q911" s="1174">
        <v>5594</v>
      </c>
      <c r="R911" s="882"/>
      <c r="S911" s="1287">
        <f>'CT2015'!K863</f>
        <v>0.3</v>
      </c>
      <c r="T911" s="1254">
        <f>ROUND(Q911*S911/100,0)</f>
        <v>17</v>
      </c>
      <c r="U911" s="996" t="s">
        <v>10485</v>
      </c>
      <c r="V911" s="996"/>
      <c r="W911" s="992"/>
    </row>
    <row r="912" spans="1:23" ht="14.5" customHeight="1">
      <c r="A912" s="1034"/>
      <c r="B912" s="1034"/>
      <c r="C912" s="1036"/>
      <c r="D912" s="999"/>
      <c r="E912" s="1000" t="s">
        <v>6475</v>
      </c>
      <c r="F912" s="999" t="str">
        <f t="shared" si="135"/>
        <v>2229099</v>
      </c>
      <c r="G912" s="1104" t="str">
        <f>IF(F912="",#REF!,F912)</f>
        <v>2229099</v>
      </c>
      <c r="H912" s="1005"/>
      <c r="I912" s="1002" t="str">
        <f t="shared" si="136"/>
        <v/>
      </c>
      <c r="J912" s="1030" t="s">
        <v>350</v>
      </c>
      <c r="K912" s="893"/>
      <c r="L912" s="872"/>
      <c r="M912" s="872"/>
      <c r="N912" s="893"/>
      <c r="O912" s="893"/>
      <c r="P912" s="893"/>
      <c r="Q912" s="1187">
        <v>81013</v>
      </c>
      <c r="R912" s="900"/>
      <c r="S912" s="1272"/>
      <c r="T912" s="900"/>
      <c r="U912" s="1006" t="s">
        <v>10485</v>
      </c>
      <c r="V912" s="1006"/>
      <c r="W912" s="1003"/>
    </row>
    <row r="913" spans="3:23" ht="14.5" customHeight="1">
      <c r="C913" s="1042" t="s">
        <v>6476</v>
      </c>
      <c r="D913" s="1024" t="str">
        <f t="shared" si="127"/>
        <v>231101</v>
      </c>
      <c r="E913" s="1025" t="s">
        <v>6477</v>
      </c>
      <c r="F913" s="1024" t="str">
        <f t="shared" si="135"/>
        <v>2311011</v>
      </c>
      <c r="G913" s="1111" t="str">
        <f>IF(F913="",G912,F913)</f>
        <v>2311011</v>
      </c>
      <c r="H913" s="1112"/>
      <c r="I913" s="1113" t="str">
        <f t="shared" si="136"/>
        <v/>
      </c>
      <c r="J913" s="1026" t="s">
        <v>352</v>
      </c>
      <c r="K913" s="912"/>
      <c r="L913" s="912"/>
      <c r="M913" s="912"/>
      <c r="N913" s="912"/>
      <c r="O913" s="912"/>
      <c r="P913" s="914">
        <f>Q913</f>
        <v>9955</v>
      </c>
      <c r="Q913" s="1186">
        <v>9955</v>
      </c>
      <c r="R913" s="929"/>
      <c r="S913" s="1289">
        <f>'CT2015'!K865</f>
        <v>5.2</v>
      </c>
      <c r="T913" s="1254">
        <f>ROUND(Q913*S913/100,0)</f>
        <v>518</v>
      </c>
      <c r="U913" s="1022" t="s">
        <v>10485</v>
      </c>
      <c r="V913" s="1022"/>
      <c r="W913" s="1027"/>
    </row>
    <row r="914" spans="3:23" ht="14.5" customHeight="1">
      <c r="C914" s="1040" t="s">
        <v>6478</v>
      </c>
      <c r="D914" s="982" t="str">
        <f t="shared" si="127"/>
        <v>231201</v>
      </c>
      <c r="E914" s="983" t="s">
        <v>10882</v>
      </c>
      <c r="F914" s="982" t="str">
        <f t="shared" si="135"/>
        <v>2312011</v>
      </c>
      <c r="G914" s="1103" t="str">
        <f t="shared" ref="G914:G919" si="139">IF(F914="",G913,F914)</f>
        <v>2312011</v>
      </c>
      <c r="H914" s="1102"/>
      <c r="I914" s="947" t="str">
        <f t="shared" si="136"/>
        <v/>
      </c>
      <c r="J914" s="984" t="s">
        <v>6479</v>
      </c>
      <c r="K914" s="889"/>
      <c r="L914" s="889"/>
      <c r="M914" s="889"/>
      <c r="N914" s="889"/>
      <c r="O914" s="889"/>
      <c r="P914" s="881">
        <f>Q914</f>
        <v>25251</v>
      </c>
      <c r="Q914" s="1169">
        <f>ROUND(Q915+Q916,0)</f>
        <v>25251</v>
      </c>
      <c r="R914" s="880"/>
      <c r="S914" s="1270"/>
      <c r="T914" s="880"/>
      <c r="U914" s="993"/>
      <c r="V914" s="993"/>
      <c r="W914" s="986"/>
    </row>
    <row r="915" spans="3:23" ht="14.5" customHeight="1">
      <c r="C915" s="1037"/>
      <c r="D915" s="995"/>
      <c r="E915" s="989"/>
      <c r="F915" s="988" t="str">
        <f t="shared" si="135"/>
        <v/>
      </c>
      <c r="G915" s="1095" t="str">
        <f t="shared" si="139"/>
        <v>2312011</v>
      </c>
      <c r="I915" s="944" t="str">
        <f t="shared" si="136"/>
        <v/>
      </c>
      <c r="J915" s="991" t="s">
        <v>10883</v>
      </c>
      <c r="K915" s="886"/>
      <c r="L915" s="886"/>
      <c r="M915" s="886"/>
      <c r="N915" s="886"/>
      <c r="O915" s="886"/>
      <c r="P915" s="886"/>
      <c r="Q915" s="1167">
        <v>8561.7000000000007</v>
      </c>
      <c r="R915" s="882"/>
      <c r="S915" s="1269"/>
      <c r="T915" s="1254"/>
      <c r="U915" s="996" t="s">
        <v>10485</v>
      </c>
      <c r="V915" s="996"/>
      <c r="W915" s="992"/>
    </row>
    <row r="916" spans="3:23" ht="14.5" customHeight="1">
      <c r="C916" s="1036"/>
      <c r="D916" s="1018"/>
      <c r="E916" s="1000"/>
      <c r="F916" s="999" t="str">
        <f t="shared" si="135"/>
        <v/>
      </c>
      <c r="G916" s="1104" t="str">
        <f t="shared" si="139"/>
        <v>2312011</v>
      </c>
      <c r="H916" s="1005"/>
      <c r="I916" s="1002" t="str">
        <f t="shared" si="136"/>
        <v/>
      </c>
      <c r="J916" s="1003" t="s">
        <v>10884</v>
      </c>
      <c r="K916" s="893"/>
      <c r="L916" s="893"/>
      <c r="M916" s="893"/>
      <c r="N916" s="893"/>
      <c r="O916" s="893"/>
      <c r="P916" s="893"/>
      <c r="Q916" s="1170">
        <v>16689.59</v>
      </c>
      <c r="R916" s="900"/>
      <c r="S916" s="1291">
        <f>'CT2015'!K868</f>
        <v>5.2</v>
      </c>
      <c r="T916" s="900">
        <f>ROUND(Q916*S916/100,0)</f>
        <v>868</v>
      </c>
      <c r="U916" s="1006" t="s">
        <v>10477</v>
      </c>
      <c r="V916" s="1006"/>
      <c r="W916" s="1003"/>
    </row>
    <row r="917" spans="3:23" ht="14.5" customHeight="1">
      <c r="C917" s="1037" t="s">
        <v>6483</v>
      </c>
      <c r="D917" s="988" t="str">
        <f t="shared" si="127"/>
        <v>251101</v>
      </c>
      <c r="E917" s="989" t="s">
        <v>10885</v>
      </c>
      <c r="F917" s="988" t="str">
        <f t="shared" si="135"/>
        <v>2511011</v>
      </c>
      <c r="G917" s="1095" t="str">
        <f t="shared" si="139"/>
        <v>2511011</v>
      </c>
      <c r="I917" s="944" t="str">
        <f t="shared" si="136"/>
        <v/>
      </c>
      <c r="J917" s="990" t="s">
        <v>6484</v>
      </c>
      <c r="K917" s="886"/>
      <c r="L917" s="886"/>
      <c r="M917" s="886"/>
      <c r="N917" s="886"/>
      <c r="O917" s="886"/>
      <c r="P917" s="896">
        <f>Q917</f>
        <v>40075</v>
      </c>
      <c r="Q917" s="1171">
        <f>ROUND(Q918+Q919,0)</f>
        <v>40075</v>
      </c>
      <c r="R917" s="882"/>
      <c r="S917" s="1269"/>
      <c r="T917" s="1254"/>
      <c r="U917" s="996"/>
      <c r="V917" s="996"/>
      <c r="W917" s="992"/>
    </row>
    <row r="918" spans="3:23" ht="14.5" customHeight="1">
      <c r="C918" s="987"/>
      <c r="D918" s="988" t="str">
        <f t="shared" si="127"/>
        <v/>
      </c>
      <c r="E918" s="989"/>
      <c r="F918" s="988" t="str">
        <f t="shared" si="135"/>
        <v/>
      </c>
      <c r="G918" s="1095" t="str">
        <f t="shared" si="139"/>
        <v>2511011</v>
      </c>
      <c r="I918" s="944" t="str">
        <f t="shared" si="136"/>
        <v/>
      </c>
      <c r="J918" s="991" t="s">
        <v>10886</v>
      </c>
      <c r="K918" s="886"/>
      <c r="L918" s="873"/>
      <c r="M918" s="873"/>
      <c r="N918" s="886"/>
      <c r="O918" s="886"/>
      <c r="P918" s="886"/>
      <c r="Q918" s="1167">
        <v>0</v>
      </c>
      <c r="R918" s="882"/>
      <c r="S918" s="1269"/>
      <c r="T918" s="1254"/>
      <c r="U918" s="996" t="s">
        <v>10485</v>
      </c>
      <c r="V918" s="996"/>
      <c r="W918" s="992" t="s">
        <v>10887</v>
      </c>
    </row>
    <row r="919" spans="3:23" ht="14.5" customHeight="1">
      <c r="C919" s="987"/>
      <c r="D919" s="988" t="str">
        <f t="shared" si="127"/>
        <v/>
      </c>
      <c r="E919" s="989"/>
      <c r="F919" s="988" t="str">
        <f t="shared" si="135"/>
        <v/>
      </c>
      <c r="G919" s="1095" t="str">
        <f t="shared" si="139"/>
        <v>2511011</v>
      </c>
      <c r="I919" s="944" t="str">
        <f t="shared" si="136"/>
        <v/>
      </c>
      <c r="J919" s="991" t="s">
        <v>10888</v>
      </c>
      <c r="K919" s="886"/>
      <c r="L919" s="886"/>
      <c r="M919" s="886"/>
      <c r="N919" s="886"/>
      <c r="O919" s="886"/>
      <c r="P919" s="886"/>
      <c r="Q919" s="1177">
        <v>40074.6</v>
      </c>
      <c r="R919" s="882"/>
      <c r="S919" s="1269"/>
      <c r="T919" s="1254"/>
      <c r="U919" s="991" t="s">
        <v>10485</v>
      </c>
      <c r="V919" s="991"/>
      <c r="W919" s="1003"/>
    </row>
    <row r="920" spans="3:23" ht="14.5" customHeight="1">
      <c r="C920" s="1042" t="s">
        <v>6487</v>
      </c>
      <c r="D920" s="1024" t="str">
        <f t="shared" si="127"/>
        <v>251102</v>
      </c>
      <c r="E920" s="1025" t="s">
        <v>6488</v>
      </c>
      <c r="F920" s="1024" t="str">
        <f t="shared" si="135"/>
        <v>2511021</v>
      </c>
      <c r="G920" s="1111" t="str">
        <f>IF(F920="",G919,F920)</f>
        <v>2511021</v>
      </c>
      <c r="H920" s="1112"/>
      <c r="I920" s="1113" t="str">
        <f t="shared" si="136"/>
        <v/>
      </c>
      <c r="J920" s="1026" t="s">
        <v>361</v>
      </c>
      <c r="K920" s="912"/>
      <c r="L920" s="913"/>
      <c r="M920" s="913"/>
      <c r="N920" s="912"/>
      <c r="O920" s="912"/>
      <c r="P920" s="914">
        <f>Q920</f>
        <v>890</v>
      </c>
      <c r="Q920" s="1187">
        <v>890</v>
      </c>
      <c r="R920" s="908"/>
      <c r="S920" s="1277"/>
      <c r="T920" s="908"/>
      <c r="U920" s="1022" t="s">
        <v>10485</v>
      </c>
      <c r="V920" s="1006"/>
      <c r="W920" s="1003"/>
    </row>
    <row r="921" spans="3:23" ht="14.5" customHeight="1">
      <c r="C921" s="1037" t="s">
        <v>6489</v>
      </c>
      <c r="D921" s="988" t="str">
        <f t="shared" si="127"/>
        <v>251109</v>
      </c>
      <c r="E921" s="989"/>
      <c r="F921" s="988" t="str">
        <f t="shared" si="135"/>
        <v/>
      </c>
      <c r="I921" s="944" t="str">
        <f t="shared" si="136"/>
        <v/>
      </c>
      <c r="J921" s="990" t="s">
        <v>6490</v>
      </c>
      <c r="K921" s="886"/>
      <c r="L921" s="886"/>
      <c r="M921" s="886"/>
      <c r="N921" s="886"/>
      <c r="O921" s="886"/>
      <c r="P921" s="896">
        <f>Q922+Q923</f>
        <v>37488</v>
      </c>
      <c r="Q921" s="1171"/>
      <c r="R921" s="882"/>
      <c r="S921" s="1269"/>
      <c r="T921" s="1254"/>
      <c r="U921" s="985" t="s">
        <v>10485</v>
      </c>
      <c r="V921" s="996"/>
      <c r="W921" s="992"/>
    </row>
    <row r="922" spans="3:23" ht="14.5" customHeight="1">
      <c r="C922" s="987"/>
      <c r="D922" s="988" t="str">
        <f t="shared" si="127"/>
        <v/>
      </c>
      <c r="E922" s="989" t="s">
        <v>6491</v>
      </c>
      <c r="F922" s="988" t="str">
        <f t="shared" si="135"/>
        <v>2511091</v>
      </c>
      <c r="G922" s="1095" t="str">
        <f>IF(F922="",G921,F922)</f>
        <v>2511091</v>
      </c>
      <c r="I922" s="944" t="str">
        <f t="shared" si="136"/>
        <v/>
      </c>
      <c r="J922" s="990" t="s">
        <v>362</v>
      </c>
      <c r="K922" s="886"/>
      <c r="L922" s="886"/>
      <c r="M922" s="886"/>
      <c r="N922" s="886"/>
      <c r="O922" s="886"/>
      <c r="P922" s="886"/>
      <c r="Q922" s="1174">
        <v>6828</v>
      </c>
      <c r="R922" s="882"/>
      <c r="S922" s="1269"/>
      <c r="T922" s="1254"/>
      <c r="U922" s="996"/>
      <c r="V922" s="996"/>
      <c r="W922" s="992"/>
    </row>
    <row r="923" spans="3:23" ht="14.5" customHeight="1">
      <c r="C923" s="998"/>
      <c r="D923" s="999" t="str">
        <f t="shared" si="127"/>
        <v/>
      </c>
      <c r="E923" s="1000" t="s">
        <v>6492</v>
      </c>
      <c r="F923" s="999" t="str">
        <f t="shared" si="135"/>
        <v>2511099</v>
      </c>
      <c r="G923" s="1104" t="str">
        <f>IF(F923="",G922,F923)</f>
        <v>2511099</v>
      </c>
      <c r="H923" s="1005"/>
      <c r="I923" s="1002" t="str">
        <f t="shared" si="136"/>
        <v/>
      </c>
      <c r="J923" s="1030" t="s">
        <v>6493</v>
      </c>
      <c r="K923" s="893"/>
      <c r="L923" s="872"/>
      <c r="M923" s="872"/>
      <c r="N923" s="893"/>
      <c r="O923" s="893"/>
      <c r="P923" s="893"/>
      <c r="Q923" s="1187">
        <v>30660</v>
      </c>
      <c r="R923" s="900"/>
      <c r="S923" s="1272"/>
      <c r="T923" s="900"/>
      <c r="U923" s="978"/>
      <c r="V923" s="1006"/>
      <c r="W923" s="1003"/>
    </row>
    <row r="924" spans="3:23" ht="14.5" customHeight="1">
      <c r="C924" s="1037" t="s">
        <v>6494</v>
      </c>
      <c r="D924" s="988" t="str">
        <f>IF(C924="","",CONCATENATE(LEFT(C924,4),MID(C924,6,2)))</f>
        <v>252101</v>
      </c>
      <c r="E924" s="989" t="s">
        <v>6495</v>
      </c>
      <c r="F924" s="988" t="str">
        <f t="shared" si="135"/>
        <v>2521011</v>
      </c>
      <c r="G924" s="1095" t="str">
        <f>IF(F924="",G923,F924)</f>
        <v>2521011</v>
      </c>
      <c r="I924" s="944" t="str">
        <f t="shared" si="136"/>
        <v/>
      </c>
      <c r="J924" s="990" t="s">
        <v>365</v>
      </c>
      <c r="K924" s="886"/>
      <c r="L924" s="873"/>
      <c r="M924" s="873"/>
      <c r="N924" s="886"/>
      <c r="O924" s="886"/>
      <c r="P924" s="896">
        <f>Q924</f>
        <v>16290</v>
      </c>
      <c r="Q924" s="1161">
        <f>ROUND(SUM(Q925:Q930),0)</f>
        <v>16290</v>
      </c>
      <c r="R924" s="882"/>
      <c r="S924" s="1269"/>
      <c r="T924" s="1254"/>
      <c r="U924" s="991"/>
      <c r="V924" s="996"/>
      <c r="W924" s="1048"/>
    </row>
    <row r="925" spans="3:23" ht="14.5" customHeight="1">
      <c r="C925" s="1037"/>
      <c r="D925" s="995"/>
      <c r="F925" s="988"/>
      <c r="G925" s="1095" t="str">
        <f t="shared" ref="G925:G930" si="140">IF(F925="",G924,F925)</f>
        <v>2521011</v>
      </c>
      <c r="H925" s="1016" t="s">
        <v>5534</v>
      </c>
      <c r="I925" s="944" t="str">
        <f t="shared" si="136"/>
        <v>2521011101</v>
      </c>
      <c r="J925" s="991" t="s">
        <v>10889</v>
      </c>
      <c r="K925" s="873"/>
      <c r="L925" s="873"/>
      <c r="M925" s="873"/>
      <c r="N925" s="886"/>
      <c r="O925" s="886"/>
      <c r="P925" s="886"/>
      <c r="Q925" s="1167">
        <v>12371</v>
      </c>
      <c r="R925" s="887"/>
      <c r="S925" s="1273"/>
      <c r="T925" s="1256"/>
      <c r="U925" s="996" t="s">
        <v>10766</v>
      </c>
      <c r="V925" s="996"/>
      <c r="W925" s="992"/>
    </row>
    <row r="926" spans="3:23" ht="14.5" customHeight="1">
      <c r="C926" s="1037"/>
      <c r="D926" s="995"/>
      <c r="F926" s="988"/>
      <c r="G926" s="1095" t="str">
        <f t="shared" si="140"/>
        <v>2521011</v>
      </c>
      <c r="H926" s="1016" t="s">
        <v>6000</v>
      </c>
      <c r="I926" s="944" t="str">
        <f>IF(H926="","",CONCATENATE(G926,H926))</f>
        <v>2521011102</v>
      </c>
      <c r="J926" s="991" t="s">
        <v>6497</v>
      </c>
      <c r="K926" s="873"/>
      <c r="L926" s="873"/>
      <c r="M926" s="873"/>
      <c r="N926" s="886"/>
      <c r="O926" s="886"/>
      <c r="P926" s="886"/>
      <c r="Q926" s="1167">
        <v>1232</v>
      </c>
      <c r="R926" s="887"/>
      <c r="S926" s="1273"/>
      <c r="T926" s="1256"/>
      <c r="U926" s="996" t="s">
        <v>10122</v>
      </c>
      <c r="V926" s="996"/>
      <c r="W926" s="992"/>
    </row>
    <row r="927" spans="3:23" ht="14.5" customHeight="1">
      <c r="C927" s="1037"/>
      <c r="D927" s="995"/>
      <c r="F927" s="988"/>
      <c r="G927" s="1095" t="str">
        <f t="shared" si="140"/>
        <v>2521011</v>
      </c>
      <c r="H927" s="1016" t="s">
        <v>6002</v>
      </c>
      <c r="I927" s="944" t="str">
        <f>IF(H927="","",CONCATENATE(G927,H927))</f>
        <v>2521011103</v>
      </c>
      <c r="J927" s="991" t="s">
        <v>6498</v>
      </c>
      <c r="K927" s="873"/>
      <c r="L927" s="873"/>
      <c r="M927" s="873"/>
      <c r="N927" s="886"/>
      <c r="O927" s="886"/>
      <c r="P927" s="886"/>
      <c r="Q927" s="1167">
        <v>2555</v>
      </c>
      <c r="R927" s="887"/>
      <c r="S927" s="1273"/>
      <c r="T927" s="1256"/>
      <c r="U927" s="996" t="s">
        <v>10122</v>
      </c>
      <c r="V927" s="996"/>
      <c r="W927" s="992"/>
    </row>
    <row r="928" spans="3:23" ht="14.5" customHeight="1">
      <c r="C928" s="1037"/>
      <c r="D928" s="995"/>
      <c r="F928" s="988"/>
      <c r="G928" s="1095" t="str">
        <f t="shared" si="140"/>
        <v>2521011</v>
      </c>
      <c r="H928" s="1016" t="s">
        <v>6146</v>
      </c>
      <c r="I928" s="944" t="str">
        <f>IF(H928="","",CONCATENATE(G928,H928))</f>
        <v>2521011104</v>
      </c>
      <c r="J928" s="991" t="s">
        <v>6499</v>
      </c>
      <c r="K928" s="873"/>
      <c r="L928" s="873"/>
      <c r="M928" s="873"/>
      <c r="N928" s="886"/>
      <c r="O928" s="886"/>
      <c r="P928" s="886"/>
      <c r="Q928" s="1167">
        <v>284</v>
      </c>
      <c r="R928" s="887"/>
      <c r="S928" s="1273"/>
      <c r="T928" s="1256"/>
      <c r="U928" s="996" t="s">
        <v>10122</v>
      </c>
      <c r="V928" s="996"/>
      <c r="W928" s="992"/>
    </row>
    <row r="929" spans="3:23" ht="14.5" customHeight="1">
      <c r="C929" s="1037"/>
      <c r="D929" s="995"/>
      <c r="F929" s="988"/>
      <c r="G929" s="1095" t="str">
        <f t="shared" si="140"/>
        <v>2521011</v>
      </c>
      <c r="H929" s="1016" t="s">
        <v>5602</v>
      </c>
      <c r="I929" s="944" t="str">
        <f>IF(H929="","",CONCATENATE(G929,H929))</f>
        <v>2521011201</v>
      </c>
      <c r="J929" s="991" t="s">
        <v>6500</v>
      </c>
      <c r="K929" s="873"/>
      <c r="L929" s="873"/>
      <c r="M929" s="873"/>
      <c r="N929" s="886"/>
      <c r="O929" s="886"/>
      <c r="P929" s="886"/>
      <c r="Q929" s="1167">
        <v>0</v>
      </c>
      <c r="R929" s="887"/>
      <c r="S929" s="1273"/>
      <c r="T929" s="1256"/>
      <c r="U929" s="996"/>
      <c r="V929" s="996"/>
      <c r="W929" s="1021" t="s">
        <v>10890</v>
      </c>
    </row>
    <row r="930" spans="3:23" ht="14.5" customHeight="1">
      <c r="C930" s="1036"/>
      <c r="D930" s="1018"/>
      <c r="E930" s="1000"/>
      <c r="F930" s="1018"/>
      <c r="G930" s="1104" t="str">
        <f t="shared" si="140"/>
        <v>2521011</v>
      </c>
      <c r="H930" s="1005"/>
      <c r="I930" s="1002" t="str">
        <f>IF(H930="","",CONCATENATE(G930,H930))</f>
        <v/>
      </c>
      <c r="J930" s="978" t="s">
        <v>6155</v>
      </c>
      <c r="K930" s="893"/>
      <c r="L930" s="872"/>
      <c r="M930" s="872"/>
      <c r="N930" s="893"/>
      <c r="O930" s="893"/>
      <c r="P930" s="893"/>
      <c r="Q930" s="1167">
        <v>-152</v>
      </c>
      <c r="R930" s="908"/>
      <c r="S930" s="1277"/>
      <c r="T930" s="908"/>
      <c r="U930" s="978" t="s">
        <v>10477</v>
      </c>
      <c r="V930" s="1006"/>
      <c r="W930" s="1003"/>
    </row>
    <row r="931" spans="3:23" ht="14.5" customHeight="1">
      <c r="C931" s="1042" t="s">
        <v>6501</v>
      </c>
      <c r="D931" s="1024" t="str">
        <f t="shared" si="127"/>
        <v>252102</v>
      </c>
      <c r="E931" s="1025" t="s">
        <v>6502</v>
      </c>
      <c r="F931" s="1024" t="str">
        <f t="shared" ref="F931:F942" si="141">IF(E931="","",CONCATENATE(LEFT(E931,4),MID(E931,6,3)))</f>
        <v>2521021</v>
      </c>
      <c r="G931" s="1111" t="str">
        <f>IF(F931="",#REF!,F931)</f>
        <v>2521021</v>
      </c>
      <c r="H931" s="1112"/>
      <c r="I931" s="1113" t="str">
        <f t="shared" ref="I931:I942" si="142">IF(H931="","",CONCATENATE(G931,H931))</f>
        <v/>
      </c>
      <c r="J931" s="1026" t="s">
        <v>367</v>
      </c>
      <c r="K931" s="912"/>
      <c r="L931" s="912"/>
      <c r="M931" s="912"/>
      <c r="N931" s="912"/>
      <c r="O931" s="912"/>
      <c r="P931" s="914">
        <f>Q931</f>
        <v>55469</v>
      </c>
      <c r="Q931" s="1186">
        <v>55469</v>
      </c>
      <c r="R931" s="929"/>
      <c r="S931" s="1280"/>
      <c r="T931" s="929"/>
      <c r="U931" s="1022" t="s">
        <v>10485</v>
      </c>
      <c r="V931" s="1022"/>
      <c r="W931" s="1027"/>
    </row>
    <row r="932" spans="3:23" ht="14.5" customHeight="1">
      <c r="C932" s="1042" t="s">
        <v>6503</v>
      </c>
      <c r="D932" s="1024" t="str">
        <f t="shared" si="127"/>
        <v>252103</v>
      </c>
      <c r="E932" s="1025" t="s">
        <v>6504</v>
      </c>
      <c r="F932" s="1024" t="str">
        <f t="shared" si="141"/>
        <v>2521031</v>
      </c>
      <c r="G932" s="1111" t="str">
        <f>IF(F932="",G931,F932)</f>
        <v>2521031</v>
      </c>
      <c r="H932" s="1112"/>
      <c r="I932" s="1113" t="str">
        <f t="shared" si="142"/>
        <v/>
      </c>
      <c r="J932" s="1026" t="s">
        <v>368</v>
      </c>
      <c r="K932" s="912"/>
      <c r="L932" s="912"/>
      <c r="M932" s="912"/>
      <c r="N932" s="912"/>
      <c r="O932" s="912"/>
      <c r="P932" s="914">
        <f>Q932</f>
        <v>41301</v>
      </c>
      <c r="Q932" s="1186">
        <v>41301</v>
      </c>
      <c r="R932" s="929"/>
      <c r="S932" s="1280"/>
      <c r="T932" s="929"/>
      <c r="U932" s="1022" t="s">
        <v>10485</v>
      </c>
      <c r="V932" s="1022"/>
      <c r="W932" s="1027"/>
    </row>
    <row r="933" spans="3:23" ht="14.5" customHeight="1">
      <c r="C933" s="1037" t="s">
        <v>6505</v>
      </c>
      <c r="D933" s="988" t="str">
        <f t="shared" si="127"/>
        <v>253101</v>
      </c>
      <c r="E933" s="989"/>
      <c r="F933" s="988" t="str">
        <f t="shared" si="141"/>
        <v/>
      </c>
      <c r="I933" s="944" t="str">
        <f t="shared" si="142"/>
        <v/>
      </c>
      <c r="J933" s="990" t="s">
        <v>6506</v>
      </c>
      <c r="K933" s="886"/>
      <c r="L933" s="886"/>
      <c r="M933" s="886"/>
      <c r="N933" s="886"/>
      <c r="O933" s="886"/>
      <c r="P933" s="896">
        <f>Q933</f>
        <v>6445</v>
      </c>
      <c r="Q933" s="1171">
        <f>ROUND(SUM(Q934:Q936),0)</f>
        <v>6445</v>
      </c>
      <c r="R933" s="882"/>
      <c r="S933" s="1269"/>
      <c r="T933" s="1254"/>
      <c r="U933" s="996" t="s">
        <v>10485</v>
      </c>
      <c r="V933" s="996"/>
      <c r="W933" s="992"/>
    </row>
    <row r="934" spans="3:23" ht="14.5" customHeight="1">
      <c r="C934" s="987"/>
      <c r="D934" s="988" t="str">
        <f t="shared" si="127"/>
        <v/>
      </c>
      <c r="E934" s="989" t="s">
        <v>6507</v>
      </c>
      <c r="F934" s="988" t="str">
        <f t="shared" si="141"/>
        <v>2531011</v>
      </c>
      <c r="G934" s="1095" t="str">
        <f t="shared" ref="G934:G941" si="143">IF(F934="",G933,F934)</f>
        <v>2531011</v>
      </c>
      <c r="I934" s="944" t="str">
        <f t="shared" si="142"/>
        <v/>
      </c>
      <c r="J934" s="990" t="s">
        <v>370</v>
      </c>
      <c r="K934" s="886"/>
      <c r="L934" s="886"/>
      <c r="M934" s="886"/>
      <c r="N934" s="886"/>
      <c r="O934" s="886"/>
      <c r="P934" s="886"/>
      <c r="Q934" s="1174">
        <v>6</v>
      </c>
      <c r="R934" s="882"/>
      <c r="S934" s="1269"/>
      <c r="T934" s="1254"/>
      <c r="U934" s="996"/>
      <c r="V934" s="996"/>
      <c r="W934" s="992"/>
    </row>
    <row r="935" spans="3:23" ht="14.5" customHeight="1">
      <c r="C935" s="987"/>
      <c r="D935" s="988" t="str">
        <f t="shared" si="127"/>
        <v/>
      </c>
      <c r="E935" s="989" t="s">
        <v>6508</v>
      </c>
      <c r="F935" s="988" t="str">
        <f t="shared" si="141"/>
        <v>2531012</v>
      </c>
      <c r="G935" s="1095" t="str">
        <f t="shared" si="143"/>
        <v>2531012</v>
      </c>
      <c r="I935" s="944" t="str">
        <f t="shared" si="142"/>
        <v/>
      </c>
      <c r="J935" s="990" t="s">
        <v>371</v>
      </c>
      <c r="K935" s="886"/>
      <c r="L935" s="886"/>
      <c r="M935" s="886"/>
      <c r="N935" s="886"/>
      <c r="O935" s="886"/>
      <c r="P935" s="886"/>
      <c r="Q935" s="1174">
        <v>6385</v>
      </c>
      <c r="R935" s="882"/>
      <c r="S935" s="1269"/>
      <c r="T935" s="1254"/>
      <c r="U935" s="996"/>
      <c r="V935" s="996"/>
      <c r="W935" s="992"/>
    </row>
    <row r="936" spans="3:23" ht="14.5" customHeight="1">
      <c r="C936" s="998"/>
      <c r="D936" s="999" t="str">
        <f t="shared" si="127"/>
        <v/>
      </c>
      <c r="E936" s="1000" t="s">
        <v>6509</v>
      </c>
      <c r="F936" s="999" t="str">
        <f t="shared" si="141"/>
        <v>2531013</v>
      </c>
      <c r="G936" s="1104" t="str">
        <f t="shared" si="143"/>
        <v>2531013</v>
      </c>
      <c r="I936" s="944" t="str">
        <f t="shared" si="142"/>
        <v/>
      </c>
      <c r="J936" s="990" t="s">
        <v>372</v>
      </c>
      <c r="K936" s="886"/>
      <c r="L936" s="886"/>
      <c r="M936" s="886"/>
      <c r="N936" s="886"/>
      <c r="O936" s="886"/>
      <c r="P936" s="886"/>
      <c r="Q936" s="1174">
        <v>54</v>
      </c>
      <c r="R936" s="882"/>
      <c r="S936" s="1269"/>
      <c r="T936" s="1254"/>
      <c r="U936" s="978"/>
      <c r="V936" s="996"/>
      <c r="W936" s="992"/>
    </row>
    <row r="937" spans="3:23" ht="14.5" customHeight="1">
      <c r="C937" s="1037" t="s">
        <v>6510</v>
      </c>
      <c r="D937" s="988" t="str">
        <f t="shared" si="127"/>
        <v>259101</v>
      </c>
      <c r="E937" s="989" t="s">
        <v>6511</v>
      </c>
      <c r="F937" s="988" t="str">
        <f t="shared" si="141"/>
        <v>2591011</v>
      </c>
      <c r="G937" s="1095" t="str">
        <f t="shared" si="143"/>
        <v>2591011</v>
      </c>
      <c r="H937" s="1112"/>
      <c r="I937" s="1113" t="str">
        <f t="shared" si="142"/>
        <v/>
      </c>
      <c r="J937" s="1026" t="s">
        <v>374</v>
      </c>
      <c r="K937" s="912"/>
      <c r="L937" s="912"/>
      <c r="M937" s="912"/>
      <c r="N937" s="912"/>
      <c r="O937" s="912"/>
      <c r="P937" s="914">
        <f t="shared" ref="P937:P942" si="144">Q937</f>
        <v>36279</v>
      </c>
      <c r="Q937" s="1186">
        <v>36279</v>
      </c>
      <c r="R937" s="929"/>
      <c r="S937" s="1280"/>
      <c r="T937" s="929"/>
      <c r="U937" s="1022" t="s">
        <v>10485</v>
      </c>
      <c r="V937" s="1022"/>
      <c r="W937" s="1027"/>
    </row>
    <row r="938" spans="3:23" ht="14.5" customHeight="1">
      <c r="C938" s="1042" t="s">
        <v>6512</v>
      </c>
      <c r="D938" s="1024" t="str">
        <f t="shared" ref="D938:D943" si="145">IF(C938="","",CONCATENATE(LEFT(C938,4),MID(C938,6,2)))</f>
        <v>259109</v>
      </c>
      <c r="E938" s="1025" t="s">
        <v>6513</v>
      </c>
      <c r="F938" s="1024" t="str">
        <f t="shared" si="141"/>
        <v>2591099</v>
      </c>
      <c r="G938" s="1111" t="str">
        <f t="shared" si="143"/>
        <v>2591099</v>
      </c>
      <c r="H938" s="1112"/>
      <c r="I938" s="1113" t="str">
        <f t="shared" si="142"/>
        <v/>
      </c>
      <c r="J938" s="1026" t="s">
        <v>375</v>
      </c>
      <c r="K938" s="912"/>
      <c r="L938" s="913"/>
      <c r="M938" s="913"/>
      <c r="N938" s="912"/>
      <c r="O938" s="912"/>
      <c r="P938" s="914">
        <f t="shared" si="144"/>
        <v>11242</v>
      </c>
      <c r="Q938" s="1187">
        <v>11242</v>
      </c>
      <c r="R938" s="908"/>
      <c r="S938" s="1277"/>
      <c r="T938" s="908"/>
      <c r="U938" s="1022" t="s">
        <v>10485</v>
      </c>
      <c r="V938" s="1022"/>
      <c r="W938" s="1027"/>
    </row>
    <row r="939" spans="3:23" ht="14.5" customHeight="1">
      <c r="C939" s="1037" t="s">
        <v>6514</v>
      </c>
      <c r="D939" s="988" t="str">
        <f t="shared" si="145"/>
        <v>259901</v>
      </c>
      <c r="E939" s="989" t="s">
        <v>6515</v>
      </c>
      <c r="F939" s="988" t="str">
        <f t="shared" si="141"/>
        <v>2599011</v>
      </c>
      <c r="G939" s="1095" t="str">
        <f t="shared" si="143"/>
        <v>2599011</v>
      </c>
      <c r="H939" s="1112"/>
      <c r="I939" s="1113" t="str">
        <f t="shared" si="142"/>
        <v/>
      </c>
      <c r="J939" s="1026" t="s">
        <v>377</v>
      </c>
      <c r="K939" s="912"/>
      <c r="L939" s="913"/>
      <c r="M939" s="913"/>
      <c r="N939" s="912"/>
      <c r="O939" s="912"/>
      <c r="P939" s="914">
        <f t="shared" si="144"/>
        <v>3768</v>
      </c>
      <c r="Q939" s="1187">
        <v>3768</v>
      </c>
      <c r="R939" s="929"/>
      <c r="S939" s="1280"/>
      <c r="T939" s="929"/>
      <c r="U939" s="1022" t="s">
        <v>10485</v>
      </c>
      <c r="V939" s="1022"/>
      <c r="W939" s="1027"/>
    </row>
    <row r="940" spans="3:23" ht="14.5" customHeight="1">
      <c r="C940" s="1042" t="s">
        <v>6516</v>
      </c>
      <c r="D940" s="1024" t="str">
        <f t="shared" si="145"/>
        <v>259902</v>
      </c>
      <c r="E940" s="1025" t="s">
        <v>6517</v>
      </c>
      <c r="F940" s="1024" t="str">
        <f t="shared" si="141"/>
        <v>2599021</v>
      </c>
      <c r="G940" s="1111" t="str">
        <f t="shared" si="143"/>
        <v>2599021</v>
      </c>
      <c r="H940" s="1112"/>
      <c r="I940" s="1113" t="str">
        <f t="shared" si="142"/>
        <v/>
      </c>
      <c r="J940" s="1026" t="s">
        <v>6518</v>
      </c>
      <c r="K940" s="912"/>
      <c r="L940" s="913"/>
      <c r="M940" s="913"/>
      <c r="N940" s="912"/>
      <c r="O940" s="912"/>
      <c r="P940" s="914">
        <f t="shared" si="144"/>
        <v>4661</v>
      </c>
      <c r="Q940" s="1187">
        <v>4661</v>
      </c>
      <c r="R940" s="929"/>
      <c r="S940" s="1280"/>
      <c r="T940" s="929"/>
      <c r="U940" s="1022" t="s">
        <v>10485</v>
      </c>
      <c r="V940" s="1022"/>
      <c r="W940" s="1027"/>
    </row>
    <row r="941" spans="3:23" ht="14.5" customHeight="1">
      <c r="C941" s="1037" t="s">
        <v>6519</v>
      </c>
      <c r="D941" s="988" t="str">
        <f t="shared" si="145"/>
        <v>259909</v>
      </c>
      <c r="E941" s="989" t="s">
        <v>6520</v>
      </c>
      <c r="F941" s="988" t="str">
        <f t="shared" si="141"/>
        <v>2599099</v>
      </c>
      <c r="G941" s="1095" t="str">
        <f t="shared" si="143"/>
        <v>2599099</v>
      </c>
      <c r="I941" s="944" t="str">
        <f t="shared" si="142"/>
        <v/>
      </c>
      <c r="J941" s="990" t="s">
        <v>379</v>
      </c>
      <c r="K941" s="886"/>
      <c r="L941" s="886"/>
      <c r="M941" s="886"/>
      <c r="N941" s="886"/>
      <c r="O941" s="886"/>
      <c r="P941" s="881">
        <f t="shared" si="144"/>
        <v>26655</v>
      </c>
      <c r="Q941" s="1191">
        <v>26655</v>
      </c>
      <c r="R941" s="882"/>
      <c r="S941" s="1269"/>
      <c r="T941" s="1254"/>
      <c r="U941" s="1022" t="s">
        <v>10485</v>
      </c>
      <c r="V941" s="996"/>
      <c r="W941" s="992"/>
    </row>
    <row r="942" spans="3:23" ht="14.5" customHeight="1">
      <c r="C942" s="1040" t="s">
        <v>6521</v>
      </c>
      <c r="D942" s="982" t="str">
        <f t="shared" si="145"/>
        <v>261101</v>
      </c>
      <c r="E942" s="1025" t="s">
        <v>6522</v>
      </c>
      <c r="F942" s="1024" t="str">
        <f t="shared" si="141"/>
        <v>2611011</v>
      </c>
      <c r="G942" s="1111" t="str">
        <f>IF(F942="",G941,F942)</f>
        <v>2611011</v>
      </c>
      <c r="H942" s="1102"/>
      <c r="I942" s="947" t="str">
        <f t="shared" si="142"/>
        <v/>
      </c>
      <c r="J942" s="984" t="s">
        <v>381</v>
      </c>
      <c r="K942" s="897"/>
      <c r="L942" s="897"/>
      <c r="M942" s="897"/>
      <c r="N942" s="923">
        <v>6150078</v>
      </c>
      <c r="O942" s="923">
        <v>34868</v>
      </c>
      <c r="P942" s="894">
        <f t="shared" si="144"/>
        <v>214441</v>
      </c>
      <c r="Q942" s="1171">
        <f>ROUND(N942*O942/1000000,0)</f>
        <v>214441</v>
      </c>
      <c r="R942" s="915"/>
      <c r="S942" s="1279"/>
      <c r="T942" s="915"/>
      <c r="U942" s="1031" t="s">
        <v>10424</v>
      </c>
      <c r="V942" s="993"/>
      <c r="W942" s="986" t="s">
        <v>10891</v>
      </c>
    </row>
    <row r="943" spans="3:23" ht="14.5" customHeight="1">
      <c r="C943" s="1040" t="s">
        <v>6523</v>
      </c>
      <c r="D943" s="982" t="str">
        <f t="shared" si="145"/>
        <v>261102</v>
      </c>
      <c r="E943" s="989" t="s">
        <v>6524</v>
      </c>
      <c r="F943" s="988" t="str">
        <f>IF(E943="","",CONCATENATE(LEFT(E943,4),MID(E943,6,3)))</f>
        <v>2611021</v>
      </c>
      <c r="G943" s="1095" t="str">
        <f t="shared" ref="G943:G972" si="146">IF(F943="",G942,F943)</f>
        <v>2611021</v>
      </c>
      <c r="H943" s="1102"/>
      <c r="I943" s="947" t="str">
        <f>IF(H943="","",CONCATENATE(G943,H943))</f>
        <v/>
      </c>
      <c r="J943" s="984" t="s">
        <v>383</v>
      </c>
      <c r="K943" s="889"/>
      <c r="L943" s="897"/>
      <c r="M943" s="897"/>
      <c r="N943" s="889"/>
      <c r="O943" s="889"/>
      <c r="P943" s="881">
        <f>Q943</f>
        <v>14004</v>
      </c>
      <c r="Q943" s="1192">
        <f>ROUND(SUM(Q944:Q947),0)</f>
        <v>14004</v>
      </c>
      <c r="R943" s="880"/>
      <c r="S943" s="1269"/>
      <c r="T943" s="1254"/>
      <c r="U943" s="996"/>
      <c r="V943" s="993"/>
      <c r="W943" s="986" t="s">
        <v>10892</v>
      </c>
    </row>
    <row r="944" spans="3:23" ht="14.5" customHeight="1">
      <c r="C944" s="1037"/>
      <c r="E944" s="989"/>
      <c r="F944" s="988"/>
      <c r="G944" s="1095" t="str">
        <f t="shared" si="146"/>
        <v>2611021</v>
      </c>
      <c r="H944" s="1016" t="s">
        <v>5534</v>
      </c>
      <c r="I944" s="944" t="str">
        <f t="shared" ref="I944:I959" si="147">IF(H944="","",CONCATENATE(G944,H944))</f>
        <v>2611021101</v>
      </c>
      <c r="J944" s="991" t="s">
        <v>10893</v>
      </c>
      <c r="K944" s="886"/>
      <c r="L944" s="873"/>
      <c r="M944" s="873"/>
      <c r="N944" s="886"/>
      <c r="O944" s="886"/>
      <c r="P944" s="896"/>
      <c r="Q944" s="1167">
        <v>3173.37</v>
      </c>
      <c r="R944" s="882"/>
      <c r="S944" s="1269"/>
      <c r="T944" s="1254"/>
      <c r="U944" s="996" t="s">
        <v>10485</v>
      </c>
      <c r="V944" s="996"/>
      <c r="W944" s="992"/>
    </row>
    <row r="945" spans="3:23" ht="14.5" customHeight="1">
      <c r="C945" s="1037"/>
      <c r="E945" s="989"/>
      <c r="F945" s="988"/>
      <c r="G945" s="1095" t="str">
        <f t="shared" si="146"/>
        <v>2611021</v>
      </c>
      <c r="H945" s="1016" t="s">
        <v>6000</v>
      </c>
      <c r="I945" s="944" t="str">
        <f t="shared" si="147"/>
        <v>2611021102</v>
      </c>
      <c r="J945" s="991" t="s">
        <v>10894</v>
      </c>
      <c r="K945" s="886"/>
      <c r="L945" s="873"/>
      <c r="M945" s="873"/>
      <c r="N945" s="886"/>
      <c r="O945" s="886"/>
      <c r="P945" s="896"/>
      <c r="Q945" s="1167">
        <v>0</v>
      </c>
      <c r="R945" s="882"/>
      <c r="S945" s="1269"/>
      <c r="T945" s="1254"/>
      <c r="U945" s="996" t="s">
        <v>10389</v>
      </c>
      <c r="V945" s="996"/>
      <c r="W945" s="992"/>
    </row>
    <row r="946" spans="3:23" ht="14.5" customHeight="1">
      <c r="C946" s="1037"/>
      <c r="E946" s="989"/>
      <c r="F946" s="988"/>
      <c r="G946" s="1095" t="str">
        <f t="shared" si="146"/>
        <v>2611021</v>
      </c>
      <c r="H946" s="1016" t="s">
        <v>6002</v>
      </c>
      <c r="I946" s="944" t="str">
        <f t="shared" si="147"/>
        <v>2611021103</v>
      </c>
      <c r="J946" s="991" t="s">
        <v>10895</v>
      </c>
      <c r="K946" s="886"/>
      <c r="L946" s="873"/>
      <c r="M946" s="873"/>
      <c r="N946" s="886"/>
      <c r="O946" s="886"/>
      <c r="P946" s="896"/>
      <c r="Q946" s="1167">
        <v>11040.73</v>
      </c>
      <c r="R946" s="882"/>
      <c r="S946" s="1269"/>
      <c r="T946" s="1254"/>
      <c r="U946" s="996" t="s">
        <v>10389</v>
      </c>
      <c r="V946" s="996"/>
      <c r="W946" s="992"/>
    </row>
    <row r="947" spans="3:23" ht="14.5" customHeight="1">
      <c r="C947" s="1036"/>
      <c r="D947" s="999"/>
      <c r="E947" s="1000"/>
      <c r="F947" s="999"/>
      <c r="G947" s="1104" t="str">
        <f t="shared" si="146"/>
        <v>2611021</v>
      </c>
      <c r="H947" s="1005" t="s">
        <v>10456</v>
      </c>
      <c r="I947" s="1002" t="str">
        <f t="shared" si="147"/>
        <v>2611021Y01</v>
      </c>
      <c r="J947" s="978" t="s">
        <v>10896</v>
      </c>
      <c r="K947" s="893"/>
      <c r="L947" s="872"/>
      <c r="M947" s="872"/>
      <c r="N947" s="893"/>
      <c r="O947" s="893"/>
      <c r="P947" s="888"/>
      <c r="Q947" s="1170">
        <v>-210.4</v>
      </c>
      <c r="R947" s="900"/>
      <c r="S947" s="1272"/>
      <c r="T947" s="900"/>
      <c r="U947" s="978" t="s">
        <v>10389</v>
      </c>
      <c r="V947" s="996"/>
      <c r="W947" s="992"/>
    </row>
    <row r="948" spans="3:23" ht="14.5" customHeight="1">
      <c r="C948" s="1037" t="s">
        <v>6531</v>
      </c>
      <c r="D948" s="988" t="str">
        <f>IF(C948="","",CONCATENATE(LEFT(C948,4),MID(C948,6,2)))</f>
        <v>261103</v>
      </c>
      <c r="E948" s="989" t="s">
        <v>6532</v>
      </c>
      <c r="F948" s="988" t="str">
        <f>IF(E948="","",CONCATENATE(LEFT(E948,4),MID(E948,6,3)))</f>
        <v>2611031</v>
      </c>
      <c r="G948" s="1095" t="str">
        <f>IF(F948="",#REF!,F948)</f>
        <v>2611031</v>
      </c>
      <c r="I948" s="944" t="str">
        <f>IF(H948="","",CONCATENATE(#REF!,H948))</f>
        <v/>
      </c>
      <c r="J948" s="990" t="s">
        <v>384</v>
      </c>
      <c r="K948" s="886">
        <f>SUM(K949:K951)</f>
        <v>3210301</v>
      </c>
      <c r="L948" s="886"/>
      <c r="M948" s="886"/>
      <c r="N948" s="886"/>
      <c r="O948" s="886"/>
      <c r="P948" s="883">
        <f>Q948</f>
        <v>340527</v>
      </c>
      <c r="Q948" s="1180">
        <f>ROUND(SUM(Q949:Q952),0)</f>
        <v>340527</v>
      </c>
      <c r="R948" s="882"/>
      <c r="S948" s="1269"/>
      <c r="T948" s="1254"/>
      <c r="U948" s="991"/>
      <c r="V948" s="993"/>
      <c r="W948" s="986"/>
    </row>
    <row r="949" spans="3:23" ht="14.5" customHeight="1">
      <c r="C949" s="1037"/>
      <c r="E949" s="1034"/>
      <c r="F949" s="1034"/>
      <c r="G949" s="1034" t="str">
        <f t="shared" si="146"/>
        <v>2611031</v>
      </c>
      <c r="H949" s="1016" t="s">
        <v>5534</v>
      </c>
      <c r="I949" s="944" t="str">
        <f t="shared" si="147"/>
        <v>2611031101</v>
      </c>
      <c r="J949" s="991" t="s">
        <v>6533</v>
      </c>
      <c r="K949" s="890">
        <v>2286932</v>
      </c>
      <c r="L949" s="890">
        <v>3993460</v>
      </c>
      <c r="M949" s="890">
        <v>50201557</v>
      </c>
      <c r="N949" s="886"/>
      <c r="O949" s="886"/>
      <c r="P949" s="873"/>
      <c r="Q949" s="1165">
        <f>ROUND(K949*L949/M949,0)</f>
        <v>181922</v>
      </c>
      <c r="R949" s="882"/>
      <c r="S949" s="1269"/>
      <c r="T949" s="1254"/>
      <c r="U949" s="996" t="s">
        <v>10766</v>
      </c>
      <c r="V949" s="996"/>
      <c r="W949" s="992" t="s">
        <v>10897</v>
      </c>
    </row>
    <row r="950" spans="3:23" ht="14.5" customHeight="1">
      <c r="C950" s="1037"/>
      <c r="E950" s="1034"/>
      <c r="F950" s="1034"/>
      <c r="G950" s="1034" t="str">
        <f t="shared" si="146"/>
        <v>2611031</v>
      </c>
      <c r="H950" s="1016" t="s">
        <v>5602</v>
      </c>
      <c r="I950" s="944" t="str">
        <f t="shared" si="147"/>
        <v>2611031201</v>
      </c>
      <c r="J950" s="991" t="s">
        <v>6534</v>
      </c>
      <c r="K950" s="890">
        <v>4998</v>
      </c>
      <c r="L950" s="890">
        <v>19862</v>
      </c>
      <c r="M950" s="890">
        <v>64121</v>
      </c>
      <c r="N950" s="886"/>
      <c r="O950" s="886"/>
      <c r="P950" s="873"/>
      <c r="Q950" s="1165">
        <f>ROUND(K950*L950/M950,0)</f>
        <v>1548</v>
      </c>
      <c r="R950" s="882"/>
      <c r="S950" s="1269"/>
      <c r="T950" s="1254"/>
      <c r="U950" s="996" t="s">
        <v>10122</v>
      </c>
      <c r="V950" s="996"/>
      <c r="W950" s="992" t="s">
        <v>10122</v>
      </c>
    </row>
    <row r="951" spans="3:23" ht="14.5" customHeight="1">
      <c r="C951" s="1037"/>
      <c r="E951" s="1034"/>
      <c r="F951" s="1034"/>
      <c r="G951" s="1034" t="str">
        <f t="shared" si="146"/>
        <v>2611031</v>
      </c>
      <c r="H951" s="1016" t="s">
        <v>5844</v>
      </c>
      <c r="I951" s="944" t="str">
        <f t="shared" si="147"/>
        <v>2611031202</v>
      </c>
      <c r="J951" s="991" t="s">
        <v>6535</v>
      </c>
      <c r="K951" s="890">
        <v>918371</v>
      </c>
      <c r="L951" s="890">
        <v>2014744</v>
      </c>
      <c r="M951" s="890">
        <v>11780936</v>
      </c>
      <c r="N951" s="886"/>
      <c r="O951" s="886"/>
      <c r="P951" s="873"/>
      <c r="Q951" s="1165">
        <f>ROUND(K951*L951/M951,0)</f>
        <v>157057</v>
      </c>
      <c r="R951" s="882"/>
      <c r="S951" s="1269"/>
      <c r="T951" s="1254"/>
      <c r="U951" s="1010" t="s">
        <v>10122</v>
      </c>
      <c r="V951" s="996"/>
      <c r="W951" s="992" t="s">
        <v>10122</v>
      </c>
    </row>
    <row r="952" spans="3:23" ht="14.5" customHeight="1">
      <c r="C952" s="1036"/>
      <c r="D952" s="999"/>
      <c r="E952" s="1000"/>
      <c r="F952" s="999"/>
      <c r="G952" s="1104" t="str">
        <f t="shared" si="146"/>
        <v>2611031</v>
      </c>
      <c r="H952" s="1005" t="s">
        <v>10456</v>
      </c>
      <c r="I952" s="1002" t="str">
        <f t="shared" si="147"/>
        <v>2611031Y01</v>
      </c>
      <c r="J952" s="978" t="s">
        <v>6155</v>
      </c>
      <c r="K952" s="893"/>
      <c r="L952" s="872"/>
      <c r="M952" s="872"/>
      <c r="N952" s="893"/>
      <c r="O952" s="893"/>
      <c r="P952" s="872"/>
      <c r="Q952" s="1170">
        <f>ROUND(-5.16*K948/(K948+K953)/100,0)</f>
        <v>0</v>
      </c>
      <c r="R952" s="900"/>
      <c r="S952" s="1272"/>
      <c r="T952" s="900"/>
      <c r="U952" s="1006" t="s">
        <v>10898</v>
      </c>
      <c r="V952" s="1006"/>
      <c r="W952" s="1003" t="s">
        <v>10899</v>
      </c>
    </row>
    <row r="953" spans="3:23" ht="14.5" customHeight="1">
      <c r="C953" s="1037" t="s">
        <v>6536</v>
      </c>
      <c r="D953" s="988" t="str">
        <f>IF(C953="","",CONCATENATE(LEFT(C953,4),MID(C953,6,2)))</f>
        <v>261104</v>
      </c>
      <c r="E953" s="989" t="s">
        <v>6537</v>
      </c>
      <c r="F953" s="988" t="str">
        <f>IF(E953="","",CONCATENATE(LEFT(E953,4),MID(E953,6,3)))</f>
        <v>2611041</v>
      </c>
      <c r="G953" s="1095" t="str">
        <f t="shared" si="146"/>
        <v>2611041</v>
      </c>
      <c r="I953" s="944" t="str">
        <f t="shared" si="147"/>
        <v/>
      </c>
      <c r="J953" s="990" t="s">
        <v>385</v>
      </c>
      <c r="K953" s="873">
        <f>SUM(K954:K958)</f>
        <v>1203235.0000000002</v>
      </c>
      <c r="L953" s="873"/>
      <c r="M953" s="873"/>
      <c r="N953" s="873"/>
      <c r="O953" s="873"/>
      <c r="P953" s="883">
        <f>Q953</f>
        <v>130965</v>
      </c>
      <c r="Q953" s="1180">
        <f>ROUND(SUM(Q954:Q959),0)</f>
        <v>130965</v>
      </c>
      <c r="R953" s="882"/>
      <c r="S953" s="1269"/>
      <c r="T953" s="1254"/>
      <c r="U953" s="996"/>
      <c r="V953" s="996"/>
      <c r="W953" s="992"/>
    </row>
    <row r="954" spans="3:23" ht="14.5" customHeight="1">
      <c r="C954" s="1037"/>
      <c r="D954" s="995"/>
      <c r="E954" s="989"/>
      <c r="F954" s="995"/>
      <c r="G954" s="1095" t="str">
        <f t="shared" si="146"/>
        <v>2611041</v>
      </c>
      <c r="H954" s="1016" t="s">
        <v>5534</v>
      </c>
      <c r="I954" s="944" t="str">
        <f t="shared" si="147"/>
        <v>2611041101</v>
      </c>
      <c r="J954" s="991" t="s">
        <v>6538</v>
      </c>
      <c r="K954" s="890">
        <v>750258</v>
      </c>
      <c r="L954" s="890">
        <v>931739</v>
      </c>
      <c r="M954" s="890">
        <v>15422423</v>
      </c>
      <c r="N954" s="873"/>
      <c r="O954" s="873"/>
      <c r="P954" s="873"/>
      <c r="Q954" s="1165">
        <f>ROUND(K954*L954/M954,0)</f>
        <v>45327</v>
      </c>
      <c r="R954" s="882"/>
      <c r="S954" s="1269"/>
      <c r="T954" s="1254"/>
      <c r="U954" s="996" t="s">
        <v>10766</v>
      </c>
      <c r="V954" s="996"/>
      <c r="W954" s="992"/>
    </row>
    <row r="955" spans="3:23" ht="14.5" customHeight="1">
      <c r="C955" s="1037"/>
      <c r="D955" s="995"/>
      <c r="E955" s="989"/>
      <c r="F955" s="995"/>
      <c r="G955" s="1095" t="str">
        <f t="shared" si="146"/>
        <v>2611041</v>
      </c>
      <c r="H955" s="1016" t="s">
        <v>5602</v>
      </c>
      <c r="I955" s="944" t="str">
        <f t="shared" si="147"/>
        <v>2611041201</v>
      </c>
      <c r="J955" s="991" t="s">
        <v>6534</v>
      </c>
      <c r="K955" s="890">
        <v>68475.100000000006</v>
      </c>
      <c r="L955" s="890">
        <v>215147</v>
      </c>
      <c r="M955" s="890">
        <v>856820</v>
      </c>
      <c r="N955" s="873"/>
      <c r="O955" s="873"/>
      <c r="P955" s="873"/>
      <c r="Q955" s="1165">
        <f>ROUND(K955*L955/M955,0)</f>
        <v>17194</v>
      </c>
      <c r="R955" s="882"/>
      <c r="S955" s="1269"/>
      <c r="T955" s="1254"/>
      <c r="U955" s="996" t="s">
        <v>10122</v>
      </c>
      <c r="V955" s="996"/>
      <c r="W955" s="992"/>
    </row>
    <row r="956" spans="3:23" ht="14.5" customHeight="1">
      <c r="C956" s="1037"/>
      <c r="D956" s="995"/>
      <c r="E956" s="989"/>
      <c r="F956" s="995"/>
      <c r="G956" s="1095" t="str">
        <f t="shared" si="146"/>
        <v>2611041</v>
      </c>
      <c r="H956" s="1016" t="s">
        <v>5844</v>
      </c>
      <c r="I956" s="944" t="str">
        <f t="shared" si="147"/>
        <v>2611041202</v>
      </c>
      <c r="J956" s="991" t="s">
        <v>6535</v>
      </c>
      <c r="K956" s="890">
        <v>365362</v>
      </c>
      <c r="L956" s="890">
        <v>844491</v>
      </c>
      <c r="M956" s="890">
        <v>4571743</v>
      </c>
      <c r="N956" s="873"/>
      <c r="O956" s="873"/>
      <c r="P956" s="873"/>
      <c r="Q956" s="1165">
        <f>ROUND(K956*L956/M956,0)</f>
        <v>67490</v>
      </c>
      <c r="R956" s="882"/>
      <c r="S956" s="1269"/>
      <c r="T956" s="1254"/>
      <c r="U956" s="1010" t="s">
        <v>10122</v>
      </c>
      <c r="V956" s="996"/>
      <c r="W956" s="992"/>
    </row>
    <row r="957" spans="3:23" ht="14.5" customHeight="1">
      <c r="C957" s="1037"/>
      <c r="D957" s="995"/>
      <c r="E957" s="989"/>
      <c r="F957" s="995"/>
      <c r="G957" s="1095" t="str">
        <f t="shared" si="146"/>
        <v>2611041</v>
      </c>
      <c r="H957" s="1016" t="s">
        <v>5484</v>
      </c>
      <c r="I957" s="944" t="str">
        <f t="shared" si="147"/>
        <v>2611041301</v>
      </c>
      <c r="J957" s="991" t="s">
        <v>6539</v>
      </c>
      <c r="K957" s="890">
        <v>6140.6</v>
      </c>
      <c r="L957" s="890">
        <v>8132</v>
      </c>
      <c r="M957" s="890">
        <v>126230</v>
      </c>
      <c r="N957" s="873"/>
      <c r="O957" s="873"/>
      <c r="P957" s="873"/>
      <c r="Q957" s="1165">
        <f>ROUND(K957*L957/M957,0)</f>
        <v>396</v>
      </c>
      <c r="R957" s="882"/>
      <c r="S957" s="1269"/>
      <c r="T957" s="1254"/>
      <c r="U957" s="996" t="s">
        <v>10122</v>
      </c>
      <c r="V957" s="996"/>
      <c r="W957" s="992"/>
    </row>
    <row r="958" spans="3:23" ht="14.5" customHeight="1">
      <c r="C958" s="1037"/>
      <c r="D958" s="995"/>
      <c r="E958" s="989"/>
      <c r="F958" s="995"/>
      <c r="G958" s="1095" t="str">
        <f t="shared" si="146"/>
        <v>2611041</v>
      </c>
      <c r="H958" s="1016" t="s">
        <v>5486</v>
      </c>
      <c r="I958" s="944" t="str">
        <f t="shared" si="147"/>
        <v>2611041401</v>
      </c>
      <c r="J958" s="991" t="s">
        <v>6540</v>
      </c>
      <c r="K958" s="890">
        <v>12999.3</v>
      </c>
      <c r="L958" s="890">
        <v>6978</v>
      </c>
      <c r="M958" s="890">
        <v>162655</v>
      </c>
      <c r="N958" s="873"/>
      <c r="O958" s="873"/>
      <c r="P958" s="873"/>
      <c r="Q958" s="1165">
        <f>ROUND(K958*L958/M958,0)</f>
        <v>558</v>
      </c>
      <c r="R958" s="882"/>
      <c r="S958" s="1269"/>
      <c r="T958" s="1254"/>
      <c r="U958" s="996" t="s">
        <v>10122</v>
      </c>
      <c r="V958" s="996"/>
      <c r="W958" s="992"/>
    </row>
    <row r="959" spans="3:23" ht="14.5" customHeight="1">
      <c r="C959" s="1036"/>
      <c r="D959" s="1018"/>
      <c r="E959" s="1000"/>
      <c r="F959" s="1018"/>
      <c r="G959" s="1104" t="str">
        <f t="shared" si="146"/>
        <v>2611041</v>
      </c>
      <c r="H959" s="1005" t="s">
        <v>10456</v>
      </c>
      <c r="I959" s="1002" t="str">
        <f t="shared" si="147"/>
        <v>2611041Y01</v>
      </c>
      <c r="J959" s="978" t="s">
        <v>6155</v>
      </c>
      <c r="K959" s="872"/>
      <c r="L959" s="872"/>
      <c r="M959" s="872"/>
      <c r="N959" s="872"/>
      <c r="O959" s="872"/>
      <c r="P959" s="872"/>
      <c r="Q959" s="1170">
        <f>ROUND(-5.16*K953/(K948+K953)/100,0)</f>
        <v>0</v>
      </c>
      <c r="R959" s="900"/>
      <c r="S959" s="1272"/>
      <c r="T959" s="900"/>
      <c r="U959" s="1006" t="s">
        <v>10485</v>
      </c>
      <c r="V959" s="1006"/>
      <c r="W959" s="1003"/>
    </row>
    <row r="960" spans="3:23" ht="14.5" customHeight="1">
      <c r="C960" s="998"/>
      <c r="D960" s="999" t="str">
        <f>IF(C960="","",CONCATENATE(LEFT(C960,4),MID(C960,6,2)))</f>
        <v/>
      </c>
      <c r="E960" s="1000" t="s">
        <v>6541</v>
      </c>
      <c r="F960" s="999" t="str">
        <f>IF(E960="","",CONCATENATE(LEFT(E960,4),MID(E960,6,3)))</f>
        <v>2612011</v>
      </c>
      <c r="G960" s="1104" t="str">
        <f>IF(F960="",G953,F960)</f>
        <v>2612011</v>
      </c>
      <c r="H960" s="1005"/>
      <c r="I960" s="1002" t="str">
        <f>IF(H960="","",CONCATENATE(G960,H960))</f>
        <v/>
      </c>
      <c r="J960" s="1030" t="s">
        <v>388</v>
      </c>
      <c r="K960" s="893"/>
      <c r="L960" s="893"/>
      <c r="M960" s="893"/>
      <c r="N960" s="893"/>
      <c r="O960" s="893"/>
      <c r="P960" s="872"/>
      <c r="Q960" s="1187">
        <v>0</v>
      </c>
      <c r="R960" s="900"/>
      <c r="S960" s="1272"/>
      <c r="T960" s="900"/>
      <c r="U960" s="1006"/>
      <c r="V960" s="1006"/>
      <c r="W960" s="1003" t="s">
        <v>10770</v>
      </c>
    </row>
    <row r="961" spans="1:23" ht="14.5" customHeight="1">
      <c r="C961" s="1037" t="s">
        <v>6542</v>
      </c>
      <c r="D961" s="988" t="str">
        <f>IF(C961="","",CONCATENATE(LEFT(C961,4),MID(C961,6,2)))</f>
        <v>262101</v>
      </c>
      <c r="E961" s="989" t="s">
        <v>10900</v>
      </c>
      <c r="F961" s="988" t="str">
        <f>IF(E961="","",CONCATENATE(LEFT(E961,4),MID(E961,6,3)))</f>
        <v>2621011</v>
      </c>
      <c r="G961" s="1095" t="str">
        <f t="shared" si="146"/>
        <v>2621011</v>
      </c>
      <c r="I961" s="944" t="str">
        <f>IF(H961="","",CONCATENATE(G961,H961))</f>
        <v/>
      </c>
      <c r="J961" s="990" t="s">
        <v>6543</v>
      </c>
      <c r="K961" s="886"/>
      <c r="L961" s="886"/>
      <c r="M961" s="886"/>
      <c r="N961" s="886"/>
      <c r="O961" s="886"/>
      <c r="P961" s="896">
        <f>Q961</f>
        <v>610949</v>
      </c>
      <c r="Q961" s="1160">
        <f>ROUND(Q962+Q968+Q972+Q977+Q981+Q994,0)</f>
        <v>610949</v>
      </c>
      <c r="R961" s="880"/>
      <c r="S961" s="1270"/>
      <c r="T961" s="880"/>
      <c r="U961" s="993"/>
      <c r="V961" s="993"/>
      <c r="W961" s="986"/>
    </row>
    <row r="962" spans="1:23" ht="14.5" customHeight="1">
      <c r="C962" s="987"/>
      <c r="D962" s="988" t="str">
        <f>IF(C962="","",CONCATENATE(LEFT(C962,4),MID(C962,6,2)))</f>
        <v/>
      </c>
      <c r="E962" s="989"/>
      <c r="F962" s="988" t="str">
        <f>IF(E962="","",CONCATENATE(LEFT(E962,4),MID(E962,6,3)))</f>
        <v/>
      </c>
      <c r="G962" s="1095" t="str">
        <f t="shared" si="146"/>
        <v>2621011</v>
      </c>
      <c r="I962" s="944" t="str">
        <f>IF(H962="","",CONCATENATE(G962,H962))</f>
        <v/>
      </c>
      <c r="J962" s="990" t="s">
        <v>10901</v>
      </c>
      <c r="K962" s="886"/>
      <c r="L962" s="873"/>
      <c r="M962" s="873"/>
      <c r="N962" s="886"/>
      <c r="O962" s="886"/>
      <c r="P962" s="886"/>
      <c r="Q962" s="1161">
        <f>SUM(Q963:Q967)</f>
        <v>61715.6</v>
      </c>
      <c r="R962" s="887"/>
      <c r="S962" s="1273"/>
      <c r="T962" s="1256"/>
      <c r="U962" s="996" t="s">
        <v>10820</v>
      </c>
      <c r="V962" s="996"/>
      <c r="W962" s="992"/>
    </row>
    <row r="963" spans="1:23" ht="14.5" customHeight="1">
      <c r="C963" s="987"/>
      <c r="F963" s="988"/>
      <c r="G963" s="1095" t="str">
        <f t="shared" si="146"/>
        <v>2621011</v>
      </c>
      <c r="H963" s="1016" t="s">
        <v>5534</v>
      </c>
      <c r="I963" s="944" t="str">
        <f t="shared" ref="I963:I972" si="148">IF(H963="","",CONCATENATE(G963,H963))</f>
        <v>2621011101</v>
      </c>
      <c r="J963" s="991" t="s">
        <v>6545</v>
      </c>
      <c r="K963" s="886"/>
      <c r="L963" s="873"/>
      <c r="M963" s="873"/>
      <c r="N963" s="890">
        <v>62730</v>
      </c>
      <c r="O963" s="890">
        <v>80000</v>
      </c>
      <c r="P963" s="886"/>
      <c r="Q963" s="1165">
        <f>ROUND(N963*O963/1000000,0)</f>
        <v>5018</v>
      </c>
      <c r="R963" s="887"/>
      <c r="S963" s="1273"/>
      <c r="T963" s="1256"/>
      <c r="U963" s="996" t="s">
        <v>10122</v>
      </c>
      <c r="V963" s="996"/>
      <c r="W963" s="992" t="s">
        <v>10902</v>
      </c>
    </row>
    <row r="964" spans="1:23" ht="14.5" customHeight="1">
      <c r="C964" s="987"/>
      <c r="F964" s="988"/>
      <c r="G964" s="1095" t="str">
        <f t="shared" si="146"/>
        <v>2621011</v>
      </c>
      <c r="H964" s="1016" t="s">
        <v>5602</v>
      </c>
      <c r="I964" s="944" t="str">
        <f t="shared" si="148"/>
        <v>2621011201</v>
      </c>
      <c r="J964" s="991" t="s">
        <v>6546</v>
      </c>
      <c r="K964" s="886"/>
      <c r="L964" s="873"/>
      <c r="M964" s="873"/>
      <c r="N964" s="890">
        <v>480448</v>
      </c>
      <c r="O964" s="890">
        <v>80000</v>
      </c>
      <c r="P964" s="886"/>
      <c r="Q964" s="1165">
        <f>ROUND(N964*O964/1000000,0)</f>
        <v>38436</v>
      </c>
      <c r="R964" s="887"/>
      <c r="S964" s="1273"/>
      <c r="T964" s="1256"/>
      <c r="U964" s="996" t="s">
        <v>10122</v>
      </c>
      <c r="V964" s="996"/>
      <c r="W964" s="992"/>
    </row>
    <row r="965" spans="1:23" ht="14.5" customHeight="1">
      <c r="C965" s="987"/>
      <c r="F965" s="988"/>
      <c r="G965" s="1095" t="str">
        <f t="shared" si="146"/>
        <v>2621011</v>
      </c>
      <c r="H965" s="1016" t="s">
        <v>5484</v>
      </c>
      <c r="I965" s="944" t="str">
        <f t="shared" si="148"/>
        <v>2621011301</v>
      </c>
      <c r="J965" s="991" t="s">
        <v>6547</v>
      </c>
      <c r="K965" s="886"/>
      <c r="L965" s="873"/>
      <c r="M965" s="873"/>
      <c r="N965" s="890">
        <v>157895</v>
      </c>
      <c r="O965" s="890">
        <v>80000</v>
      </c>
      <c r="P965" s="886"/>
      <c r="Q965" s="1165">
        <f>ROUND(N965*O965/1000000,0)</f>
        <v>12632</v>
      </c>
      <c r="R965" s="887"/>
      <c r="S965" s="1273"/>
      <c r="T965" s="1256"/>
      <c r="U965" s="996" t="s">
        <v>10122</v>
      </c>
      <c r="V965" s="996"/>
      <c r="W965" s="992"/>
    </row>
    <row r="966" spans="1:23" ht="14.5" customHeight="1">
      <c r="C966" s="987"/>
      <c r="F966" s="988"/>
      <c r="G966" s="1095" t="str">
        <f t="shared" si="146"/>
        <v>2621011</v>
      </c>
      <c r="H966" s="1016" t="s">
        <v>5486</v>
      </c>
      <c r="I966" s="944" t="str">
        <f t="shared" si="148"/>
        <v>2621011401</v>
      </c>
      <c r="J966" s="991" t="s">
        <v>6548</v>
      </c>
      <c r="K966" s="886"/>
      <c r="L966" s="873"/>
      <c r="M966" s="873"/>
      <c r="N966" s="890">
        <v>73790</v>
      </c>
      <c r="O966" s="890">
        <v>80000</v>
      </c>
      <c r="P966" s="886"/>
      <c r="Q966" s="1165">
        <f>ROUND(N966*O966/1000000,0)</f>
        <v>5903</v>
      </c>
      <c r="R966" s="887"/>
      <c r="S966" s="1273"/>
      <c r="T966" s="1256"/>
      <c r="U966" s="996" t="s">
        <v>10122</v>
      </c>
      <c r="V966" s="996"/>
      <c r="W966" s="992"/>
    </row>
    <row r="967" spans="1:23" ht="14.5" customHeight="1">
      <c r="C967" s="987"/>
      <c r="F967" s="988"/>
      <c r="G967" s="1095" t="str">
        <f t="shared" si="146"/>
        <v>2621011</v>
      </c>
      <c r="H967" s="1016" t="s">
        <v>10456</v>
      </c>
      <c r="I967" s="944" t="str">
        <f t="shared" si="148"/>
        <v>2621011Y01</v>
      </c>
      <c r="J967" s="991" t="s">
        <v>6155</v>
      </c>
      <c r="K967" s="886"/>
      <c r="L967" s="873"/>
      <c r="M967" s="873"/>
      <c r="N967" s="886"/>
      <c r="O967" s="886"/>
      <c r="P967" s="886"/>
      <c r="Q967" s="1167">
        <v>-273.39999999999998</v>
      </c>
      <c r="R967" s="887"/>
      <c r="S967" s="1273"/>
      <c r="T967" s="1256"/>
      <c r="U967" s="996" t="s">
        <v>10587</v>
      </c>
      <c r="V967" s="996"/>
      <c r="W967" s="992" t="s">
        <v>10880</v>
      </c>
    </row>
    <row r="968" spans="1:23" ht="14.5" customHeight="1">
      <c r="C968" s="987"/>
      <c r="D968" s="988" t="str">
        <f>IF(C968="","",CONCATENATE(LEFT(C968,4),MID(C968,6,2)))</f>
        <v/>
      </c>
      <c r="E968" s="989"/>
      <c r="F968" s="988" t="str">
        <f>IF(E968="","",CONCATENATE(LEFT(E968,4),MID(E968,6,3)))</f>
        <v/>
      </c>
      <c r="G968" s="1095" t="str">
        <f t="shared" si="146"/>
        <v>2621011</v>
      </c>
      <c r="I968" s="944" t="str">
        <f t="shared" si="148"/>
        <v/>
      </c>
      <c r="J968" s="990" t="s">
        <v>10903</v>
      </c>
      <c r="K968" s="886"/>
      <c r="L968" s="873"/>
      <c r="M968" s="873"/>
      <c r="N968" s="886"/>
      <c r="O968" s="886"/>
      <c r="P968" s="886"/>
      <c r="Q968" s="1161">
        <f>SUM(Q969:Q971)</f>
        <v>73256.100000000006</v>
      </c>
      <c r="R968" s="887"/>
      <c r="S968" s="1273"/>
      <c r="T968" s="1256"/>
      <c r="U968" s="996"/>
      <c r="V968" s="996"/>
      <c r="W968" s="992"/>
    </row>
    <row r="969" spans="1:23" ht="14.5" customHeight="1">
      <c r="C969" s="987"/>
      <c r="F969" s="988"/>
      <c r="G969" s="1095" t="str">
        <f t="shared" si="146"/>
        <v>2621011</v>
      </c>
      <c r="H969" s="1016" t="s">
        <v>5488</v>
      </c>
      <c r="I969" s="944" t="str">
        <f t="shared" si="148"/>
        <v>2621011501</v>
      </c>
      <c r="J969" s="991" t="s">
        <v>6550</v>
      </c>
      <c r="K969" s="886"/>
      <c r="L969" s="873"/>
      <c r="M969" s="873"/>
      <c r="N969" s="890">
        <v>947692</v>
      </c>
      <c r="O969" s="890">
        <v>80000</v>
      </c>
      <c r="P969" s="886"/>
      <c r="Q969" s="1165">
        <f>ROUND(N969*O969/1000000,0)</f>
        <v>75815</v>
      </c>
      <c r="R969" s="887"/>
      <c r="S969" s="1273"/>
      <c r="T969" s="1256"/>
      <c r="U969" s="996" t="s">
        <v>10820</v>
      </c>
      <c r="V969" s="996"/>
      <c r="W969" s="992" t="s">
        <v>10904</v>
      </c>
    </row>
    <row r="970" spans="1:23" ht="14.5" customHeight="1">
      <c r="C970" s="987"/>
      <c r="F970" s="988"/>
      <c r="G970" s="1095" t="str">
        <f t="shared" si="146"/>
        <v>2621011</v>
      </c>
      <c r="H970" s="1016" t="s">
        <v>5514</v>
      </c>
      <c r="I970" s="944" t="str">
        <f t="shared" si="148"/>
        <v>2621011601</v>
      </c>
      <c r="J970" s="991" t="s">
        <v>6551</v>
      </c>
      <c r="K970" s="886"/>
      <c r="L970" s="873"/>
      <c r="M970" s="873"/>
      <c r="N970" s="890">
        <v>2815</v>
      </c>
      <c r="O970" s="890">
        <v>70000</v>
      </c>
      <c r="P970" s="886"/>
      <c r="Q970" s="1165">
        <f>ROUND(N970*O970/1000000,0)</f>
        <v>197</v>
      </c>
      <c r="R970" s="887"/>
      <c r="S970" s="1273"/>
      <c r="T970" s="1256"/>
      <c r="U970" s="996" t="s">
        <v>10122</v>
      </c>
      <c r="V970" s="996"/>
      <c r="W970" s="992" t="s">
        <v>10122</v>
      </c>
    </row>
    <row r="971" spans="1:23" ht="14.5" customHeight="1">
      <c r="C971" s="987"/>
      <c r="F971" s="988"/>
      <c r="G971" s="1095" t="str">
        <f t="shared" si="146"/>
        <v>2621011</v>
      </c>
      <c r="H971" s="1016" t="s">
        <v>10475</v>
      </c>
      <c r="I971" s="944" t="str">
        <f t="shared" si="148"/>
        <v>2621011Y02</v>
      </c>
      <c r="J971" s="991" t="s">
        <v>6155</v>
      </c>
      <c r="K971" s="886"/>
      <c r="L971" s="886"/>
      <c r="M971" s="886"/>
      <c r="N971" s="886"/>
      <c r="O971" s="886"/>
      <c r="P971" s="886"/>
      <c r="Q971" s="1167">
        <v>-2755.9</v>
      </c>
      <c r="R971" s="887"/>
      <c r="S971" s="1273"/>
      <c r="T971" s="1256"/>
      <c r="U971" s="996" t="s">
        <v>10587</v>
      </c>
      <c r="V971" s="996"/>
      <c r="W971" s="992" t="s">
        <v>10880</v>
      </c>
    </row>
    <row r="972" spans="1:23" ht="14.5" customHeight="1">
      <c r="C972" s="987"/>
      <c r="D972" s="988" t="str">
        <f>IF(C972="","",CONCATENATE(LEFT(C972,4),MID(C972,6,2)))</f>
        <v/>
      </c>
      <c r="E972" s="989"/>
      <c r="F972" s="988" t="str">
        <f>IF(E972="","",CONCATENATE(LEFT(E972,4),MID(E972,6,3)))</f>
        <v/>
      </c>
      <c r="G972" s="1095" t="str">
        <f t="shared" si="146"/>
        <v>2621011</v>
      </c>
      <c r="I972" s="944" t="str">
        <f t="shared" si="148"/>
        <v/>
      </c>
      <c r="J972" s="990" t="s">
        <v>10905</v>
      </c>
      <c r="K972" s="890">
        <v>2109637.1</v>
      </c>
      <c r="L972" s="890">
        <v>77257.149999999994</v>
      </c>
      <c r="M972" s="890">
        <v>1226912.68</v>
      </c>
      <c r="N972" s="886"/>
      <c r="O972" s="886"/>
      <c r="P972" s="886"/>
      <c r="Q972" s="1171">
        <f>ROUND(K972*L972/M972,0)</f>
        <v>132841</v>
      </c>
      <c r="R972" s="887"/>
      <c r="S972" s="1273"/>
      <c r="T972" s="1256"/>
      <c r="U972" s="996"/>
      <c r="V972" s="996"/>
      <c r="W972" s="992" t="s">
        <v>10906</v>
      </c>
    </row>
    <row r="973" spans="1:23" s="1122" customFormat="1" ht="14.5" customHeight="1">
      <c r="A973" s="1118"/>
      <c r="B973" s="1118"/>
      <c r="C973" s="1049"/>
      <c r="D973" s="1050"/>
      <c r="E973" s="1051"/>
      <c r="F973" s="1050"/>
      <c r="G973" s="1119"/>
      <c r="H973" s="1120" t="s">
        <v>6059</v>
      </c>
      <c r="I973" s="1051"/>
      <c r="J973" s="1121" t="s">
        <v>6554</v>
      </c>
      <c r="K973" s="925"/>
      <c r="L973" s="925"/>
      <c r="M973" s="925"/>
      <c r="N973" s="925">
        <v>233620</v>
      </c>
      <c r="O973" s="925">
        <v>70000</v>
      </c>
      <c r="P973" s="925"/>
      <c r="Q973" s="1193">
        <f>ROUND(N973*O973/1000000,0)</f>
        <v>16353</v>
      </c>
      <c r="R973" s="928"/>
      <c r="S973" s="1283"/>
      <c r="T973" s="1060"/>
      <c r="U973" s="1052" t="s">
        <v>10820</v>
      </c>
      <c r="V973" s="1052"/>
      <c r="W973" s="1053" t="s">
        <v>10904</v>
      </c>
    </row>
    <row r="974" spans="1:23" s="1122" customFormat="1" ht="14.5" customHeight="1">
      <c r="A974" s="1118"/>
      <c r="B974" s="1118"/>
      <c r="C974" s="1049"/>
      <c r="D974" s="1050"/>
      <c r="E974" s="1051"/>
      <c r="F974" s="1050"/>
      <c r="G974" s="1119"/>
      <c r="H974" s="1120" t="s">
        <v>7416</v>
      </c>
      <c r="I974" s="1051"/>
      <c r="J974" s="1121" t="s">
        <v>6555</v>
      </c>
      <c r="K974" s="925"/>
      <c r="L974" s="925"/>
      <c r="M974" s="925"/>
      <c r="N974" s="925">
        <v>3185068</v>
      </c>
      <c r="O974" s="925">
        <v>70000</v>
      </c>
      <c r="P974" s="925"/>
      <c r="Q974" s="1193">
        <f>ROUND(N974*O974/1000000,0)</f>
        <v>222955</v>
      </c>
      <c r="R974" s="928"/>
      <c r="S974" s="1283"/>
      <c r="T974" s="1060"/>
      <c r="U974" s="1052" t="s">
        <v>10122</v>
      </c>
      <c r="V974" s="1052"/>
      <c r="W974" s="1053" t="s">
        <v>10122</v>
      </c>
    </row>
    <row r="975" spans="1:23" s="1122" customFormat="1" ht="14.5" customHeight="1">
      <c r="A975" s="1118"/>
      <c r="B975" s="1118"/>
      <c r="C975" s="1049"/>
      <c r="D975" s="1050"/>
      <c r="E975" s="1051"/>
      <c r="F975" s="1050"/>
      <c r="G975" s="1119"/>
      <c r="H975" s="1120" t="s">
        <v>10907</v>
      </c>
      <c r="I975" s="1051"/>
      <c r="J975" s="1121" t="s">
        <v>6556</v>
      </c>
      <c r="K975" s="925"/>
      <c r="L975" s="925"/>
      <c r="M975" s="925"/>
      <c r="N975" s="925">
        <v>725</v>
      </c>
      <c r="O975" s="925">
        <v>70000</v>
      </c>
      <c r="P975" s="925"/>
      <c r="Q975" s="1193">
        <f>ROUND(N975*O975/1000000,0)</f>
        <v>51</v>
      </c>
      <c r="R975" s="928"/>
      <c r="S975" s="1283"/>
      <c r="T975" s="1060"/>
      <c r="U975" s="1052" t="s">
        <v>10122</v>
      </c>
      <c r="V975" s="1052"/>
      <c r="W975" s="1053" t="s">
        <v>10122</v>
      </c>
    </row>
    <row r="976" spans="1:23" s="1122" customFormat="1" ht="14.5" customHeight="1">
      <c r="A976" s="1118"/>
      <c r="B976" s="1118"/>
      <c r="C976" s="1049"/>
      <c r="D976" s="1050"/>
      <c r="E976" s="1051"/>
      <c r="F976" s="1050"/>
      <c r="G976" s="1119"/>
      <c r="H976" s="1120" t="s">
        <v>10788</v>
      </c>
      <c r="I976" s="1051"/>
      <c r="J976" s="1121" t="s">
        <v>6155</v>
      </c>
      <c r="K976" s="925"/>
      <c r="L976" s="925"/>
      <c r="M976" s="925"/>
      <c r="N976" s="925"/>
      <c r="O976" s="925"/>
      <c r="P976" s="925"/>
      <c r="Q976" s="1193">
        <v>-1716.21</v>
      </c>
      <c r="R976" s="928"/>
      <c r="S976" s="1283"/>
      <c r="T976" s="1060"/>
      <c r="U976" s="1052" t="s">
        <v>10587</v>
      </c>
      <c r="V976" s="1052"/>
      <c r="W976" s="1053" t="s">
        <v>10880</v>
      </c>
    </row>
    <row r="977" spans="1:23" ht="14.5" customHeight="1">
      <c r="C977" s="987"/>
      <c r="D977" s="988" t="str">
        <f>IF(C977="","",CONCATENATE(LEFT(C977,4),MID(C977,6,2)))</f>
        <v/>
      </c>
      <c r="E977" s="989"/>
      <c r="F977" s="988" t="str">
        <f>IF(E977="","",CONCATENATE(LEFT(E977,4),MID(E977,6,3)))</f>
        <v/>
      </c>
      <c r="G977" s="1095" t="str">
        <f>IF(F977="",G972,F977)</f>
        <v>2621011</v>
      </c>
      <c r="I977" s="944" t="str">
        <f>IF(H977="","",CONCATENATE(G977,H977))</f>
        <v/>
      </c>
      <c r="J977" s="990" t="s">
        <v>10908</v>
      </c>
      <c r="K977" s="886"/>
      <c r="L977" s="873"/>
      <c r="M977" s="873"/>
      <c r="N977" s="886"/>
      <c r="O977" s="886"/>
      <c r="P977" s="886"/>
      <c r="Q977" s="1161">
        <f>SUM(Q978:Q980)</f>
        <v>3578.94</v>
      </c>
      <c r="R977" s="887"/>
      <c r="S977" s="1273"/>
      <c r="T977" s="1256"/>
      <c r="U977" s="996"/>
      <c r="V977" s="996"/>
      <c r="W977" s="992"/>
    </row>
    <row r="978" spans="1:23" ht="14.5" customHeight="1">
      <c r="A978" s="1034"/>
      <c r="B978" s="1034"/>
      <c r="C978" s="987"/>
      <c r="F978" s="988"/>
      <c r="G978" s="1095" t="str">
        <f t="shared" ref="G978:G994" si="149">IF(F978="",G977,F978)</f>
        <v>2621011</v>
      </c>
      <c r="H978" s="1016" t="s">
        <v>6221</v>
      </c>
      <c r="I978" s="944" t="str">
        <f t="shared" ref="I978:I994" si="150">IF(H978="","",CONCATENATE(G978,H978))</f>
        <v>2621011801</v>
      </c>
      <c r="J978" s="991" t="s">
        <v>6558</v>
      </c>
      <c r="K978" s="886"/>
      <c r="L978" s="873"/>
      <c r="M978" s="873"/>
      <c r="N978" s="890">
        <v>1677</v>
      </c>
      <c r="O978" s="890">
        <v>130000</v>
      </c>
      <c r="P978" s="886"/>
      <c r="Q978" s="1165">
        <f>ROUND(N978*O978/1000000,0)</f>
        <v>218</v>
      </c>
      <c r="R978" s="887"/>
      <c r="S978" s="1273"/>
      <c r="T978" s="1256"/>
      <c r="U978" s="996" t="s">
        <v>10820</v>
      </c>
      <c r="V978" s="996"/>
      <c r="W978" s="992" t="s">
        <v>10904</v>
      </c>
    </row>
    <row r="979" spans="1:23" ht="14.5" customHeight="1">
      <c r="A979" s="1034"/>
      <c r="B979" s="1034"/>
      <c r="C979" s="987"/>
      <c r="F979" s="988"/>
      <c r="G979" s="1095" t="str">
        <f t="shared" si="149"/>
        <v>2621011</v>
      </c>
      <c r="H979" s="1016" t="s">
        <v>10909</v>
      </c>
      <c r="I979" s="944" t="str">
        <f t="shared" si="150"/>
        <v>2621011802</v>
      </c>
      <c r="J979" s="991" t="s">
        <v>6559</v>
      </c>
      <c r="K979" s="886"/>
      <c r="L979" s="873"/>
      <c r="M979" s="873"/>
      <c r="N979" s="890">
        <v>25933</v>
      </c>
      <c r="O979" s="890">
        <v>130000</v>
      </c>
      <c r="P979" s="886"/>
      <c r="Q979" s="1165">
        <f>ROUND(N979*O979/1000000,0)</f>
        <v>3371</v>
      </c>
      <c r="R979" s="887"/>
      <c r="S979" s="1273"/>
      <c r="T979" s="1256"/>
      <c r="U979" s="996" t="s">
        <v>10122</v>
      </c>
      <c r="V979" s="996"/>
      <c r="W979" s="992" t="s">
        <v>10122</v>
      </c>
    </row>
    <row r="980" spans="1:23" ht="14.5" customHeight="1">
      <c r="A980" s="1034"/>
      <c r="B980" s="1034"/>
      <c r="C980" s="987"/>
      <c r="F980" s="988"/>
      <c r="G980" s="1095" t="str">
        <f t="shared" si="149"/>
        <v>2621011</v>
      </c>
      <c r="H980" s="1016" t="s">
        <v>10910</v>
      </c>
      <c r="I980" s="944" t="str">
        <f t="shared" si="150"/>
        <v>2621011Y04</v>
      </c>
      <c r="J980" s="991" t="s">
        <v>6155</v>
      </c>
      <c r="K980" s="886"/>
      <c r="L980" s="873"/>
      <c r="M980" s="873"/>
      <c r="N980" s="886"/>
      <c r="O980" s="886"/>
      <c r="P980" s="886"/>
      <c r="Q980" s="1167">
        <v>-10.06</v>
      </c>
      <c r="R980" s="887"/>
      <c r="S980" s="1273"/>
      <c r="T980" s="1256"/>
      <c r="U980" s="996" t="s">
        <v>10612</v>
      </c>
      <c r="V980" s="996"/>
      <c r="W980" s="992" t="s">
        <v>10880</v>
      </c>
    </row>
    <row r="981" spans="1:23" ht="14.5" customHeight="1">
      <c r="A981" s="1034"/>
      <c r="B981" s="1034"/>
      <c r="C981" s="987"/>
      <c r="D981" s="988" t="str">
        <f>IF(C981="","",CONCATENATE(LEFT(C981,4),MID(C981,6,2)))</f>
        <v/>
      </c>
      <c r="E981" s="989"/>
      <c r="F981" s="988" t="str">
        <f>IF(E981="","",CONCATENATE(LEFT(E981,4),MID(E981,6,3)))</f>
        <v/>
      </c>
      <c r="G981" s="1095" t="str">
        <f t="shared" si="149"/>
        <v>2621011</v>
      </c>
      <c r="I981" s="944" t="str">
        <f t="shared" si="150"/>
        <v/>
      </c>
      <c r="J981" s="990" t="s">
        <v>10911</v>
      </c>
      <c r="K981" s="886"/>
      <c r="L981" s="873"/>
      <c r="M981" s="873"/>
      <c r="N981" s="886"/>
      <c r="O981" s="886"/>
      <c r="P981" s="886"/>
      <c r="Q981" s="1161">
        <f>SUM(Q982:Q993)</f>
        <v>37447.199999999997</v>
      </c>
      <c r="R981" s="887"/>
      <c r="S981" s="1273"/>
      <c r="T981" s="1256"/>
      <c r="U981" s="996"/>
      <c r="V981" s="996"/>
      <c r="W981" s="992" t="s">
        <v>10912</v>
      </c>
    </row>
    <row r="982" spans="1:23" ht="14.5" customHeight="1">
      <c r="A982" s="1034"/>
      <c r="B982" s="1034"/>
      <c r="C982" s="987"/>
      <c r="F982" s="988"/>
      <c r="G982" s="1095" t="str">
        <f t="shared" si="149"/>
        <v>2621011</v>
      </c>
      <c r="H982" s="1016" t="s">
        <v>6012</v>
      </c>
      <c r="I982" s="944" t="str">
        <f t="shared" si="150"/>
        <v>2621011901</v>
      </c>
      <c r="J982" s="991" t="s">
        <v>6561</v>
      </c>
      <c r="K982" s="886"/>
      <c r="L982" s="873"/>
      <c r="M982" s="873"/>
      <c r="N982" s="890">
        <v>6644</v>
      </c>
      <c r="O982" s="890">
        <v>150000</v>
      </c>
      <c r="P982" s="886"/>
      <c r="Q982" s="1165">
        <f t="shared" ref="Q982:Q990" si="151">ROUND(N982*O982/1000000,0)</f>
        <v>997</v>
      </c>
      <c r="R982" s="887"/>
      <c r="S982" s="1273"/>
      <c r="T982" s="1256"/>
      <c r="U982" s="996" t="s">
        <v>10820</v>
      </c>
      <c r="V982" s="996"/>
      <c r="W982" s="992"/>
    </row>
    <row r="983" spans="1:23" ht="14.5" customHeight="1">
      <c r="A983" s="1034"/>
      <c r="B983" s="1034"/>
      <c r="C983" s="987"/>
      <c r="F983" s="988"/>
      <c r="G983" s="1095" t="str">
        <f t="shared" si="149"/>
        <v>2621011</v>
      </c>
      <c r="H983" s="1016" t="s">
        <v>10443</v>
      </c>
      <c r="I983" s="944" t="str">
        <f t="shared" si="150"/>
        <v>2621011A01</v>
      </c>
      <c r="J983" s="991" t="s">
        <v>6562</v>
      </c>
      <c r="K983" s="886"/>
      <c r="L983" s="873"/>
      <c r="M983" s="873"/>
      <c r="N983" s="890">
        <v>21054</v>
      </c>
      <c r="O983" s="890">
        <v>130000</v>
      </c>
      <c r="P983" s="886"/>
      <c r="Q983" s="1165">
        <f t="shared" si="151"/>
        <v>2737</v>
      </c>
      <c r="R983" s="887"/>
      <c r="S983" s="1273"/>
      <c r="T983" s="1256"/>
      <c r="U983" s="996" t="s">
        <v>10122</v>
      </c>
      <c r="V983" s="996"/>
      <c r="W983" s="992"/>
    </row>
    <row r="984" spans="1:23" ht="14.5" customHeight="1">
      <c r="A984" s="1034"/>
      <c r="B984" s="1034"/>
      <c r="C984" s="987"/>
      <c r="F984" s="988"/>
      <c r="G984" s="1095" t="str">
        <f t="shared" si="149"/>
        <v>2621011</v>
      </c>
      <c r="H984" s="1016" t="s">
        <v>10913</v>
      </c>
      <c r="I984" s="944" t="str">
        <f t="shared" si="150"/>
        <v>2621011B01</v>
      </c>
      <c r="J984" s="991" t="s">
        <v>6563</v>
      </c>
      <c r="K984" s="886"/>
      <c r="L984" s="873"/>
      <c r="M984" s="873"/>
      <c r="N984" s="890">
        <v>41098</v>
      </c>
      <c r="O984" s="890">
        <v>130000</v>
      </c>
      <c r="P984" s="886"/>
      <c r="Q984" s="1165">
        <f t="shared" si="151"/>
        <v>5343</v>
      </c>
      <c r="R984" s="887"/>
      <c r="S984" s="1273"/>
      <c r="T984" s="1256"/>
      <c r="U984" s="996" t="s">
        <v>10122</v>
      </c>
      <c r="V984" s="996"/>
      <c r="W984" s="992"/>
    </row>
    <row r="985" spans="1:23" ht="14.5" customHeight="1">
      <c r="A985" s="1034"/>
      <c r="B985" s="1034"/>
      <c r="C985" s="987"/>
      <c r="F985" s="988"/>
      <c r="G985" s="1095" t="str">
        <f t="shared" si="149"/>
        <v>2621011</v>
      </c>
      <c r="H985" s="1016" t="s">
        <v>10914</v>
      </c>
      <c r="I985" s="944" t="str">
        <f t="shared" si="150"/>
        <v>2621011C01</v>
      </c>
      <c r="J985" s="991" t="s">
        <v>6564</v>
      </c>
      <c r="K985" s="886"/>
      <c r="L985" s="873"/>
      <c r="M985" s="873"/>
      <c r="N985" s="890">
        <v>2</v>
      </c>
      <c r="O985" s="890">
        <v>180000</v>
      </c>
      <c r="P985" s="886"/>
      <c r="Q985" s="1165">
        <f t="shared" si="151"/>
        <v>0</v>
      </c>
      <c r="R985" s="887"/>
      <c r="S985" s="1273"/>
      <c r="T985" s="1256"/>
      <c r="U985" s="996" t="s">
        <v>10122</v>
      </c>
      <c r="V985" s="996"/>
      <c r="W985" s="992"/>
    </row>
    <row r="986" spans="1:23" ht="14.5" customHeight="1">
      <c r="A986" s="1034"/>
      <c r="B986" s="1034"/>
      <c r="C986" s="987"/>
      <c r="F986" s="988"/>
      <c r="G986" s="1095" t="str">
        <f t="shared" si="149"/>
        <v>2621011</v>
      </c>
      <c r="H986" s="1016" t="s">
        <v>10915</v>
      </c>
      <c r="I986" s="944" t="str">
        <f t="shared" si="150"/>
        <v>2621011D01</v>
      </c>
      <c r="J986" s="991" t="s">
        <v>6565</v>
      </c>
      <c r="K986" s="886"/>
      <c r="L986" s="873"/>
      <c r="M986" s="873"/>
      <c r="N986" s="890">
        <v>6394</v>
      </c>
      <c r="O986" s="890">
        <v>90000</v>
      </c>
      <c r="P986" s="886"/>
      <c r="Q986" s="1165">
        <f t="shared" si="151"/>
        <v>575</v>
      </c>
      <c r="R986" s="887"/>
      <c r="S986" s="1273"/>
      <c r="T986" s="1256"/>
      <c r="U986" s="996" t="s">
        <v>10122</v>
      </c>
      <c r="V986" s="996"/>
      <c r="W986" s="992"/>
    </row>
    <row r="987" spans="1:23" ht="14.5" customHeight="1">
      <c r="A987" s="1034"/>
      <c r="B987" s="1034"/>
      <c r="C987" s="987"/>
      <c r="F987" s="988"/>
      <c r="G987" s="1095" t="str">
        <f t="shared" si="149"/>
        <v>2621011</v>
      </c>
      <c r="H987" s="1016" t="s">
        <v>10916</v>
      </c>
      <c r="I987" s="944" t="str">
        <f t="shared" si="150"/>
        <v>2621011D02</v>
      </c>
      <c r="J987" s="991" t="s">
        <v>6566</v>
      </c>
      <c r="K987" s="886"/>
      <c r="L987" s="873"/>
      <c r="M987" s="873"/>
      <c r="N987" s="890">
        <v>9775</v>
      </c>
      <c r="O987" s="890">
        <v>90000</v>
      </c>
      <c r="P987" s="886"/>
      <c r="Q987" s="1165">
        <f t="shared" si="151"/>
        <v>880</v>
      </c>
      <c r="R987" s="887"/>
      <c r="S987" s="1273"/>
      <c r="T987" s="1256"/>
      <c r="U987" s="996" t="s">
        <v>10122</v>
      </c>
      <c r="V987" s="996"/>
      <c r="W987" s="992"/>
    </row>
    <row r="988" spans="1:23" ht="14.5" customHeight="1">
      <c r="A988" s="1034"/>
      <c r="B988" s="1034"/>
      <c r="C988" s="987"/>
      <c r="F988" s="988"/>
      <c r="G988" s="1095" t="str">
        <f t="shared" si="149"/>
        <v>2621011</v>
      </c>
      <c r="H988" s="1016" t="s">
        <v>10917</v>
      </c>
      <c r="I988" s="944" t="str">
        <f t="shared" si="150"/>
        <v>2621011E01</v>
      </c>
      <c r="J988" s="991" t="s">
        <v>6567</v>
      </c>
      <c r="K988" s="886"/>
      <c r="L988" s="873"/>
      <c r="M988" s="873"/>
      <c r="N988" s="890">
        <v>74759</v>
      </c>
      <c r="O988" s="890">
        <v>90000</v>
      </c>
      <c r="P988" s="886"/>
      <c r="Q988" s="1165">
        <f t="shared" si="151"/>
        <v>6728</v>
      </c>
      <c r="R988" s="887"/>
      <c r="S988" s="1273"/>
      <c r="T988" s="1256"/>
      <c r="U988" s="996" t="s">
        <v>10122</v>
      </c>
      <c r="V988" s="996"/>
      <c r="W988" s="992"/>
    </row>
    <row r="989" spans="1:23" ht="14.5" customHeight="1">
      <c r="A989" s="1034"/>
      <c r="B989" s="1034"/>
      <c r="C989" s="987"/>
      <c r="F989" s="988"/>
      <c r="G989" s="1095" t="str">
        <f t="shared" si="149"/>
        <v>2621011</v>
      </c>
      <c r="H989" s="1016" t="s">
        <v>10918</v>
      </c>
      <c r="I989" s="944" t="str">
        <f t="shared" si="150"/>
        <v>2621011E02</v>
      </c>
      <c r="J989" s="991" t="s">
        <v>6568</v>
      </c>
      <c r="K989" s="886"/>
      <c r="L989" s="873"/>
      <c r="M989" s="873"/>
      <c r="N989" s="890">
        <v>34149</v>
      </c>
      <c r="O989" s="890">
        <v>90000</v>
      </c>
      <c r="P989" s="886"/>
      <c r="Q989" s="1165">
        <f t="shared" si="151"/>
        <v>3073</v>
      </c>
      <c r="R989" s="887"/>
      <c r="S989" s="1273"/>
      <c r="T989" s="1256"/>
      <c r="U989" s="996" t="s">
        <v>10122</v>
      </c>
      <c r="V989" s="996"/>
      <c r="W989" s="992"/>
    </row>
    <row r="990" spans="1:23" ht="14.5" customHeight="1">
      <c r="A990" s="1034"/>
      <c r="B990" s="1034"/>
      <c r="C990" s="987"/>
      <c r="F990" s="988"/>
      <c r="G990" s="1095" t="str">
        <f t="shared" si="149"/>
        <v>2621011</v>
      </c>
      <c r="H990" s="1016" t="s">
        <v>10919</v>
      </c>
      <c r="I990" s="944" t="str">
        <f t="shared" si="150"/>
        <v>2621011E03</v>
      </c>
      <c r="J990" s="991" t="s">
        <v>6569</v>
      </c>
      <c r="K990" s="886"/>
      <c r="L990" s="873"/>
      <c r="M990" s="873"/>
      <c r="N990" s="890">
        <v>250766</v>
      </c>
      <c r="O990" s="890">
        <v>90000</v>
      </c>
      <c r="P990" s="886"/>
      <c r="Q990" s="1165">
        <f t="shared" si="151"/>
        <v>22569</v>
      </c>
      <c r="R990" s="887"/>
      <c r="S990" s="1273"/>
      <c r="T990" s="1256"/>
      <c r="U990" s="996" t="s">
        <v>10122</v>
      </c>
      <c r="V990" s="996"/>
      <c r="W990" s="992"/>
    </row>
    <row r="991" spans="1:23" ht="14.5" customHeight="1">
      <c r="A991" s="1034"/>
      <c r="B991" s="1034"/>
      <c r="C991" s="987"/>
      <c r="F991" s="988"/>
      <c r="G991" s="1095" t="str">
        <f t="shared" si="149"/>
        <v>2621011</v>
      </c>
      <c r="H991" s="1016" t="s">
        <v>10920</v>
      </c>
      <c r="I991" s="944" t="str">
        <f t="shared" si="150"/>
        <v>2621011F01</v>
      </c>
      <c r="J991" s="991" t="s">
        <v>6570</v>
      </c>
      <c r="K991" s="886"/>
      <c r="L991" s="873"/>
      <c r="M991" s="873"/>
      <c r="N991" s="886"/>
      <c r="O991" s="886"/>
      <c r="P991" s="886"/>
      <c r="Q991" s="1167">
        <v>0</v>
      </c>
      <c r="R991" s="887"/>
      <c r="S991" s="1273"/>
      <c r="T991" s="1256"/>
      <c r="U991" s="996"/>
      <c r="V991" s="996"/>
      <c r="W991" s="992" t="s">
        <v>10921</v>
      </c>
    </row>
    <row r="992" spans="1:23" ht="14.5" customHeight="1">
      <c r="A992" s="1034"/>
      <c r="B992" s="1034"/>
      <c r="C992" s="987"/>
      <c r="F992" s="988"/>
      <c r="G992" s="1095" t="str">
        <f t="shared" si="149"/>
        <v>2621011</v>
      </c>
      <c r="H992" s="1016" t="s">
        <v>10858</v>
      </c>
      <c r="I992" s="944" t="str">
        <f t="shared" si="150"/>
        <v>2621011Y05</v>
      </c>
      <c r="J992" s="991" t="s">
        <v>10922</v>
      </c>
      <c r="K992" s="886"/>
      <c r="L992" s="873"/>
      <c r="M992" s="873"/>
      <c r="N992" s="886"/>
      <c r="O992" s="886"/>
      <c r="P992" s="886"/>
      <c r="Q992" s="1167">
        <v>0</v>
      </c>
      <c r="R992" s="887"/>
      <c r="S992" s="1273"/>
      <c r="T992" s="1256"/>
      <c r="U992" s="996"/>
      <c r="V992" s="996"/>
      <c r="W992" s="992" t="s">
        <v>10921</v>
      </c>
    </row>
    <row r="993" spans="1:23" ht="14.5" customHeight="1">
      <c r="C993" s="987"/>
      <c r="F993" s="988"/>
      <c r="G993" s="1095" t="str">
        <f t="shared" si="149"/>
        <v>2621011</v>
      </c>
      <c r="H993" s="1016" t="s">
        <v>10923</v>
      </c>
      <c r="I993" s="944" t="str">
        <f t="shared" si="150"/>
        <v>2621011Y06</v>
      </c>
      <c r="J993" s="991" t="s">
        <v>10924</v>
      </c>
      <c r="K993" s="886"/>
      <c r="L993" s="873"/>
      <c r="M993" s="873"/>
      <c r="N993" s="886"/>
      <c r="O993" s="886"/>
      <c r="P993" s="886"/>
      <c r="Q993" s="1167">
        <v>-5454.8</v>
      </c>
      <c r="R993" s="887"/>
      <c r="S993" s="1273"/>
      <c r="T993" s="1256"/>
      <c r="U993" s="996" t="s">
        <v>10122</v>
      </c>
      <c r="V993" s="996"/>
      <c r="W993" s="992" t="s">
        <v>10925</v>
      </c>
    </row>
    <row r="994" spans="1:23" ht="14.5" customHeight="1">
      <c r="C994" s="987"/>
      <c r="D994" s="988" t="str">
        <f>IF(C994="","",CONCATENATE(LEFT(C994,4),MID(C994,6,2)))</f>
        <v/>
      </c>
      <c r="E994" s="989"/>
      <c r="F994" s="988" t="str">
        <f>IF(E994="","",CONCATENATE(LEFT(E994,4),MID(E994,6,3)))</f>
        <v/>
      </c>
      <c r="G994" s="1095" t="str">
        <f t="shared" si="149"/>
        <v>2621011</v>
      </c>
      <c r="I994" s="944" t="str">
        <f t="shared" si="150"/>
        <v/>
      </c>
      <c r="J994" s="990" t="s">
        <v>10926</v>
      </c>
      <c r="K994" s="890">
        <v>1952188.1</v>
      </c>
      <c r="L994" s="890">
        <v>238457.66</v>
      </c>
      <c r="M994" s="890">
        <v>1540877</v>
      </c>
      <c r="N994" s="886"/>
      <c r="O994" s="886"/>
      <c r="P994" s="886"/>
      <c r="Q994" s="1171">
        <f>ROUND(K994*L994/M994,0)</f>
        <v>302110</v>
      </c>
      <c r="R994" s="887"/>
      <c r="S994" s="1273"/>
      <c r="T994" s="1256"/>
      <c r="U994" s="991"/>
      <c r="V994" s="996"/>
      <c r="W994" s="992" t="s">
        <v>10927</v>
      </c>
    </row>
    <row r="995" spans="1:23" s="1122" customFormat="1" ht="14.5" customHeight="1">
      <c r="A995" s="1118"/>
      <c r="B995" s="1118"/>
      <c r="C995" s="1049"/>
      <c r="D995" s="1050"/>
      <c r="E995" s="1051"/>
      <c r="F995" s="1050"/>
      <c r="G995" s="1119"/>
      <c r="H995" s="1120" t="s">
        <v>10928</v>
      </c>
      <c r="I995" s="1051"/>
      <c r="J995" s="1121" t="s">
        <v>6574</v>
      </c>
      <c r="K995" s="925"/>
      <c r="L995" s="925"/>
      <c r="M995" s="925"/>
      <c r="N995" s="925">
        <v>1669</v>
      </c>
      <c r="O995" s="925">
        <v>360000</v>
      </c>
      <c r="P995" s="925"/>
      <c r="Q995" s="1193">
        <f t="shared" ref="Q995:Q1007" si="152">ROUND(N995*O995/1000000,0)</f>
        <v>601</v>
      </c>
      <c r="R995" s="928"/>
      <c r="S995" s="1283"/>
      <c r="T995" s="1060"/>
      <c r="U995" s="1052" t="s">
        <v>10820</v>
      </c>
      <c r="V995" s="1052"/>
      <c r="W995" s="1053"/>
    </row>
    <row r="996" spans="1:23" s="1122" customFormat="1" ht="14.5" customHeight="1">
      <c r="A996" s="1118"/>
      <c r="B996" s="1118"/>
      <c r="C996" s="1049"/>
      <c r="D996" s="1050"/>
      <c r="E996" s="1051"/>
      <c r="F996" s="1050"/>
      <c r="G996" s="1119"/>
      <c r="H996" s="1120" t="s">
        <v>10929</v>
      </c>
      <c r="I996" s="1051"/>
      <c r="J996" s="1121" t="s">
        <v>6575</v>
      </c>
      <c r="K996" s="925"/>
      <c r="L996" s="925"/>
      <c r="M996" s="925"/>
      <c r="N996" s="925">
        <v>11676</v>
      </c>
      <c r="O996" s="925">
        <v>360000</v>
      </c>
      <c r="P996" s="925"/>
      <c r="Q996" s="1193">
        <f>ROUND(N996*O996/1000000,0)</f>
        <v>4203</v>
      </c>
      <c r="R996" s="928"/>
      <c r="S996" s="1283"/>
      <c r="T996" s="1060"/>
      <c r="U996" s="1052" t="s">
        <v>10122</v>
      </c>
      <c r="V996" s="1052"/>
      <c r="W996" s="1053"/>
    </row>
    <row r="997" spans="1:23" s="1122" customFormat="1" ht="14.5" customHeight="1">
      <c r="A997" s="1118"/>
      <c r="B997" s="1118"/>
      <c r="C997" s="1049"/>
      <c r="D997" s="1050"/>
      <c r="E997" s="1051"/>
      <c r="F997" s="1050"/>
      <c r="G997" s="1119"/>
      <c r="H997" s="1120" t="s">
        <v>10930</v>
      </c>
      <c r="I997" s="1051"/>
      <c r="J997" s="1121" t="s">
        <v>6576</v>
      </c>
      <c r="K997" s="925"/>
      <c r="L997" s="925"/>
      <c r="M997" s="925"/>
      <c r="N997" s="925">
        <v>0</v>
      </c>
      <c r="O997" s="925">
        <v>360000</v>
      </c>
      <c r="P997" s="925"/>
      <c r="Q997" s="1193">
        <f t="shared" si="152"/>
        <v>0</v>
      </c>
      <c r="R997" s="928"/>
      <c r="S997" s="1283"/>
      <c r="T997" s="1060"/>
      <c r="U997" s="1052" t="s">
        <v>10122</v>
      </c>
      <c r="V997" s="1052"/>
      <c r="W997" s="1053"/>
    </row>
    <row r="998" spans="1:23" s="1122" customFormat="1" ht="14.5" customHeight="1">
      <c r="A998" s="1118"/>
      <c r="B998" s="1118"/>
      <c r="C998" s="1049"/>
      <c r="D998" s="1050"/>
      <c r="E998" s="1051"/>
      <c r="F998" s="1050"/>
      <c r="G998" s="1119"/>
      <c r="H998" s="1120" t="s">
        <v>10931</v>
      </c>
      <c r="I998" s="1051"/>
      <c r="J998" s="1121" t="s">
        <v>6577</v>
      </c>
      <c r="K998" s="925"/>
      <c r="L998" s="925"/>
      <c r="M998" s="925"/>
      <c r="N998" s="925">
        <v>103</v>
      </c>
      <c r="O998" s="925">
        <v>360000</v>
      </c>
      <c r="P998" s="925"/>
      <c r="Q998" s="1193">
        <f t="shared" si="152"/>
        <v>37</v>
      </c>
      <c r="R998" s="928"/>
      <c r="S998" s="1283"/>
      <c r="T998" s="1060"/>
      <c r="U998" s="1052" t="s">
        <v>10122</v>
      </c>
      <c r="V998" s="1052"/>
      <c r="W998" s="1053"/>
    </row>
    <row r="999" spans="1:23" s="1122" customFormat="1" ht="14.5" customHeight="1">
      <c r="A999" s="1118"/>
      <c r="B999" s="1118"/>
      <c r="C999" s="1049"/>
      <c r="D999" s="1050"/>
      <c r="E999" s="1051"/>
      <c r="F999" s="1050"/>
      <c r="G999" s="1119"/>
      <c r="H999" s="1120" t="s">
        <v>10932</v>
      </c>
      <c r="I999" s="1051"/>
      <c r="J999" s="1121" t="s">
        <v>6578</v>
      </c>
      <c r="K999" s="925"/>
      <c r="L999" s="925"/>
      <c r="M999" s="925"/>
      <c r="N999" s="925">
        <v>1335137</v>
      </c>
      <c r="O999" s="925">
        <v>120000</v>
      </c>
      <c r="P999" s="925"/>
      <c r="Q999" s="1193">
        <f t="shared" si="152"/>
        <v>160216</v>
      </c>
      <c r="R999" s="928"/>
      <c r="S999" s="1283"/>
      <c r="T999" s="1060"/>
      <c r="U999" s="1052" t="s">
        <v>10122</v>
      </c>
      <c r="V999" s="1052"/>
      <c r="W999" s="1053"/>
    </row>
    <row r="1000" spans="1:23" s="1122" customFormat="1" ht="14.5" customHeight="1">
      <c r="A1000" s="1118"/>
      <c r="B1000" s="1118"/>
      <c r="C1000" s="1049"/>
      <c r="D1000" s="1050"/>
      <c r="E1000" s="1051"/>
      <c r="F1000" s="1050"/>
      <c r="G1000" s="1119"/>
      <c r="H1000" s="1120" t="s">
        <v>10933</v>
      </c>
      <c r="I1000" s="1051"/>
      <c r="J1000" s="1121" t="s">
        <v>6579</v>
      </c>
      <c r="K1000" s="925"/>
      <c r="L1000" s="925"/>
      <c r="M1000" s="925"/>
      <c r="N1000" s="925">
        <v>822507</v>
      </c>
      <c r="O1000" s="925">
        <v>120000</v>
      </c>
      <c r="P1000" s="925"/>
      <c r="Q1000" s="1193">
        <f t="shared" si="152"/>
        <v>98701</v>
      </c>
      <c r="R1000" s="928"/>
      <c r="S1000" s="1283"/>
      <c r="T1000" s="1060"/>
      <c r="U1000" s="1052" t="s">
        <v>10122</v>
      </c>
      <c r="V1000" s="1052"/>
      <c r="W1000" s="1053"/>
    </row>
    <row r="1001" spans="1:23" s="1122" customFormat="1" ht="14.5" customHeight="1">
      <c r="A1001" s="1118"/>
      <c r="B1001" s="1118"/>
      <c r="C1001" s="1049"/>
      <c r="D1001" s="1050"/>
      <c r="E1001" s="1051"/>
      <c r="F1001" s="1050"/>
      <c r="G1001" s="1119"/>
      <c r="H1001" s="1120" t="s">
        <v>10934</v>
      </c>
      <c r="I1001" s="1051"/>
      <c r="J1001" s="1121" t="s">
        <v>6580</v>
      </c>
      <c r="K1001" s="925"/>
      <c r="L1001" s="925"/>
      <c r="M1001" s="925"/>
      <c r="N1001" s="925">
        <v>131536</v>
      </c>
      <c r="O1001" s="925">
        <v>120000</v>
      </c>
      <c r="P1001" s="925"/>
      <c r="Q1001" s="1193">
        <f t="shared" si="152"/>
        <v>15784</v>
      </c>
      <c r="R1001" s="928"/>
      <c r="S1001" s="1283"/>
      <c r="T1001" s="1060"/>
      <c r="U1001" s="1052" t="s">
        <v>10122</v>
      </c>
      <c r="V1001" s="1052"/>
      <c r="W1001" s="1053"/>
    </row>
    <row r="1002" spans="1:23" s="1122" customFormat="1" ht="14.5" customHeight="1">
      <c r="A1002" s="1118"/>
      <c r="B1002" s="1118"/>
      <c r="C1002" s="1049"/>
      <c r="D1002" s="1050"/>
      <c r="E1002" s="1051"/>
      <c r="F1002" s="1050"/>
      <c r="G1002" s="1119"/>
      <c r="H1002" s="1120" t="s">
        <v>10935</v>
      </c>
      <c r="I1002" s="1051"/>
      <c r="J1002" s="1121" t="s">
        <v>6581</v>
      </c>
      <c r="K1002" s="925"/>
      <c r="L1002" s="925"/>
      <c r="M1002" s="925"/>
      <c r="N1002" s="925">
        <v>602727</v>
      </c>
      <c r="O1002" s="925">
        <v>120000</v>
      </c>
      <c r="P1002" s="925"/>
      <c r="Q1002" s="1193">
        <f t="shared" si="152"/>
        <v>72327</v>
      </c>
      <c r="R1002" s="928"/>
      <c r="S1002" s="1283"/>
      <c r="T1002" s="1060"/>
      <c r="U1002" s="1052" t="s">
        <v>10122</v>
      </c>
      <c r="V1002" s="1052"/>
      <c r="W1002" s="1053"/>
    </row>
    <row r="1003" spans="1:23" s="1122" customFormat="1" ht="14.5" customHeight="1">
      <c r="A1003" s="1118"/>
      <c r="B1003" s="1118"/>
      <c r="C1003" s="1049"/>
      <c r="D1003" s="1050"/>
      <c r="E1003" s="1051"/>
      <c r="F1003" s="1050"/>
      <c r="G1003" s="1119"/>
      <c r="H1003" s="1120" t="s">
        <v>10936</v>
      </c>
      <c r="I1003" s="1051"/>
      <c r="J1003" s="1121" t="s">
        <v>6582</v>
      </c>
      <c r="K1003" s="925"/>
      <c r="L1003" s="925"/>
      <c r="M1003" s="925"/>
      <c r="N1003" s="925">
        <v>15476</v>
      </c>
      <c r="O1003" s="925">
        <v>120000</v>
      </c>
      <c r="P1003" s="925"/>
      <c r="Q1003" s="1193">
        <f t="shared" si="152"/>
        <v>1857</v>
      </c>
      <c r="R1003" s="928"/>
      <c r="S1003" s="1283"/>
      <c r="T1003" s="1060"/>
      <c r="U1003" s="1052" t="s">
        <v>10122</v>
      </c>
      <c r="V1003" s="1052"/>
      <c r="W1003" s="1053"/>
    </row>
    <row r="1004" spans="1:23" s="1122" customFormat="1" ht="14.5" customHeight="1">
      <c r="A1004" s="1118"/>
      <c r="B1004" s="1118"/>
      <c r="C1004" s="1049"/>
      <c r="D1004" s="1050"/>
      <c r="E1004" s="1051"/>
      <c r="F1004" s="1050"/>
      <c r="G1004" s="1119"/>
      <c r="H1004" s="1120" t="s">
        <v>10937</v>
      </c>
      <c r="I1004" s="1051"/>
      <c r="J1004" s="1121" t="s">
        <v>6583</v>
      </c>
      <c r="K1004" s="925"/>
      <c r="L1004" s="925"/>
      <c r="M1004" s="925"/>
      <c r="N1004" s="925">
        <v>67738</v>
      </c>
      <c r="O1004" s="925">
        <v>120000</v>
      </c>
      <c r="P1004" s="925"/>
      <c r="Q1004" s="1193">
        <f t="shared" si="152"/>
        <v>8129</v>
      </c>
      <c r="R1004" s="928"/>
      <c r="S1004" s="1283"/>
      <c r="T1004" s="1060"/>
      <c r="U1004" s="1052" t="s">
        <v>10122</v>
      </c>
      <c r="V1004" s="1052"/>
      <c r="W1004" s="1053"/>
    </row>
    <row r="1005" spans="1:23" s="1122" customFormat="1" ht="14.5" customHeight="1">
      <c r="A1005" s="1118"/>
      <c r="B1005" s="1118"/>
      <c r="C1005" s="1049"/>
      <c r="D1005" s="1050"/>
      <c r="E1005" s="1051"/>
      <c r="F1005" s="1050"/>
      <c r="G1005" s="1119"/>
      <c r="H1005" s="1120" t="s">
        <v>10938</v>
      </c>
      <c r="I1005" s="1051"/>
      <c r="J1005" s="1121" t="s">
        <v>6584</v>
      </c>
      <c r="K1005" s="925"/>
      <c r="L1005" s="925"/>
      <c r="M1005" s="925"/>
      <c r="N1005" s="925">
        <v>78225</v>
      </c>
      <c r="O1005" s="925">
        <v>120000</v>
      </c>
      <c r="P1005" s="925"/>
      <c r="Q1005" s="1193">
        <v>10348</v>
      </c>
      <c r="R1005" s="928"/>
      <c r="S1005" s="1283"/>
      <c r="T1005" s="1060"/>
      <c r="U1005" s="1052" t="s">
        <v>10122</v>
      </c>
      <c r="V1005" s="1052"/>
      <c r="W1005" s="1053" t="s">
        <v>10939</v>
      </c>
    </row>
    <row r="1006" spans="1:23" s="1122" customFormat="1" ht="14.5" customHeight="1">
      <c r="A1006" s="1118"/>
      <c r="B1006" s="1118"/>
      <c r="C1006" s="1049"/>
      <c r="D1006" s="1050"/>
      <c r="E1006" s="1051"/>
      <c r="F1006" s="1050"/>
      <c r="G1006" s="1119"/>
      <c r="H1006" s="1120" t="s">
        <v>10940</v>
      </c>
      <c r="I1006" s="1051"/>
      <c r="J1006" s="1121" t="s">
        <v>6585</v>
      </c>
      <c r="K1006" s="925"/>
      <c r="L1006" s="925"/>
      <c r="M1006" s="925"/>
      <c r="N1006" s="925">
        <v>147222</v>
      </c>
      <c r="O1006" s="925">
        <v>120000</v>
      </c>
      <c r="P1006" s="925"/>
      <c r="Q1006" s="1193">
        <f t="shared" si="152"/>
        <v>17667</v>
      </c>
      <c r="R1006" s="928"/>
      <c r="S1006" s="1283"/>
      <c r="T1006" s="1060"/>
      <c r="U1006" s="1052" t="s">
        <v>10122</v>
      </c>
      <c r="V1006" s="1052"/>
      <c r="W1006" s="1053"/>
    </row>
    <row r="1007" spans="1:23" s="1122" customFormat="1" ht="14.5" customHeight="1">
      <c r="A1007" s="1118"/>
      <c r="B1007" s="1118"/>
      <c r="C1007" s="1049"/>
      <c r="D1007" s="1050"/>
      <c r="E1007" s="1051"/>
      <c r="F1007" s="1050"/>
      <c r="G1007" s="1119"/>
      <c r="H1007" s="1120" t="s">
        <v>10941</v>
      </c>
      <c r="I1007" s="1051"/>
      <c r="J1007" s="1121" t="s">
        <v>6586</v>
      </c>
      <c r="K1007" s="925"/>
      <c r="L1007" s="925"/>
      <c r="M1007" s="925"/>
      <c r="N1007" s="925">
        <v>709371</v>
      </c>
      <c r="O1007" s="925">
        <v>120000</v>
      </c>
      <c r="P1007" s="925"/>
      <c r="Q1007" s="1193">
        <f t="shared" si="152"/>
        <v>85125</v>
      </c>
      <c r="R1007" s="928"/>
      <c r="S1007" s="1283"/>
      <c r="T1007" s="1060"/>
      <c r="U1007" s="1052" t="s">
        <v>10122</v>
      </c>
      <c r="V1007" s="1052"/>
      <c r="W1007" s="1053"/>
    </row>
    <row r="1008" spans="1:23" s="1122" customFormat="1" ht="14.5" customHeight="1">
      <c r="A1008" s="1118"/>
      <c r="B1008" s="1118"/>
      <c r="C1008" s="1049"/>
      <c r="D1008" s="1050"/>
      <c r="E1008" s="1051"/>
      <c r="F1008" s="1050"/>
      <c r="G1008" s="1119"/>
      <c r="H1008" s="1120" t="s">
        <v>10942</v>
      </c>
      <c r="I1008" s="1051"/>
      <c r="J1008" s="1121" t="s">
        <v>6587</v>
      </c>
      <c r="K1008" s="925"/>
      <c r="L1008" s="925"/>
      <c r="M1008" s="925"/>
      <c r="N1008" s="925"/>
      <c r="O1008" s="925"/>
      <c r="P1008" s="925"/>
      <c r="Q1008" s="1193">
        <v>2582</v>
      </c>
      <c r="R1008" s="928"/>
      <c r="S1008" s="1283"/>
      <c r="T1008" s="1060"/>
      <c r="U1008" s="1052" t="s">
        <v>10424</v>
      </c>
      <c r="V1008" s="1052"/>
      <c r="W1008" s="1053"/>
    </row>
    <row r="1009" spans="1:34" s="1122" customFormat="1" ht="14.5" customHeight="1">
      <c r="A1009" s="1118"/>
      <c r="B1009" s="1118"/>
      <c r="C1009" s="1049"/>
      <c r="D1009" s="1050"/>
      <c r="E1009" s="1051"/>
      <c r="F1009" s="1050"/>
      <c r="G1009" s="1119"/>
      <c r="H1009" s="1120" t="s">
        <v>10943</v>
      </c>
      <c r="I1009" s="1051"/>
      <c r="J1009" s="1121" t="s">
        <v>6588</v>
      </c>
      <c r="K1009" s="925"/>
      <c r="L1009" s="925"/>
      <c r="M1009" s="925"/>
      <c r="N1009" s="925"/>
      <c r="O1009" s="925"/>
      <c r="P1009" s="925"/>
      <c r="Q1009" s="1193">
        <v>0</v>
      </c>
      <c r="R1009" s="928"/>
      <c r="S1009" s="1283"/>
      <c r="T1009" s="1060"/>
      <c r="U1009" s="1052"/>
      <c r="V1009" s="1052"/>
      <c r="W1009" s="1053" t="s">
        <v>10944</v>
      </c>
    </row>
    <row r="1010" spans="1:34" s="1122" customFormat="1" ht="14.5" customHeight="1">
      <c r="A1010" s="1118"/>
      <c r="B1010" s="1118"/>
      <c r="C1010" s="1049"/>
      <c r="D1010" s="1050"/>
      <c r="E1010" s="1051"/>
      <c r="F1010" s="1050"/>
      <c r="G1010" s="1119"/>
      <c r="H1010" s="1120" t="s">
        <v>10945</v>
      </c>
      <c r="I1010" s="1051"/>
      <c r="J1010" s="1121" t="s">
        <v>6589</v>
      </c>
      <c r="K1010" s="925"/>
      <c r="L1010" s="925"/>
      <c r="M1010" s="925"/>
      <c r="N1010" s="925"/>
      <c r="O1010" s="925"/>
      <c r="P1010" s="925"/>
      <c r="Q1010" s="1193">
        <v>3883</v>
      </c>
      <c r="R1010" s="928"/>
      <c r="S1010" s="1283"/>
      <c r="T1010" s="1060"/>
      <c r="U1010" s="1052" t="s">
        <v>10424</v>
      </c>
      <c r="V1010" s="1052"/>
      <c r="W1010" s="1053"/>
    </row>
    <row r="1011" spans="1:34" s="1126" customFormat="1" ht="14.5" customHeight="1">
      <c r="A1011" s="1123"/>
      <c r="B1011" s="1123"/>
      <c r="C1011" s="1054"/>
      <c r="D1011" s="1055"/>
      <c r="E1011" s="1056"/>
      <c r="F1011" s="1055"/>
      <c r="G1011" s="1124"/>
      <c r="H1011" s="1125" t="s">
        <v>10946</v>
      </c>
      <c r="I1011" s="1056"/>
      <c r="J1011" s="1116" t="s">
        <v>6590</v>
      </c>
      <c r="K1011" s="920"/>
      <c r="L1011" s="920"/>
      <c r="M1011" s="920"/>
      <c r="N1011" s="920"/>
      <c r="O1011" s="920"/>
      <c r="P1011" s="920"/>
      <c r="Q1011" s="1190">
        <v>0</v>
      </c>
      <c r="R1011" s="1057"/>
      <c r="S1011" s="1284"/>
      <c r="T1011" s="1057"/>
      <c r="U1011" s="1045"/>
      <c r="V1011" s="1045"/>
      <c r="W1011" s="1058" t="s">
        <v>10944</v>
      </c>
    </row>
    <row r="1012" spans="1:34" ht="14.5" customHeight="1">
      <c r="C1012" s="1037" t="s">
        <v>6591</v>
      </c>
      <c r="D1012" s="988" t="str">
        <f>IF(C1012="","",CONCATENATE(LEFT(C1012,4),MID(C1012,6,2)))</f>
        <v>262102</v>
      </c>
      <c r="E1012" s="989" t="s">
        <v>6592</v>
      </c>
      <c r="F1012" s="988" t="str">
        <f>IF(E1012="","",CONCATENATE(LEFT(E1012,4),MID(E1012,6,3)))</f>
        <v>2621021</v>
      </c>
      <c r="G1012" s="1095" t="str">
        <f>IF(F1012="",G998,F1012)</f>
        <v>2621021</v>
      </c>
      <c r="J1012" s="990" t="s">
        <v>6593</v>
      </c>
      <c r="K1012" s="873"/>
      <c r="L1012" s="873"/>
      <c r="M1012" s="873"/>
      <c r="N1012" s="873"/>
      <c r="O1012" s="873"/>
      <c r="P1012" s="883">
        <f>Q1012</f>
        <v>0</v>
      </c>
      <c r="Q1012" s="1174">
        <v>0</v>
      </c>
      <c r="R1012" s="887"/>
      <c r="S1012" s="1273"/>
      <c r="T1012" s="1256"/>
      <c r="U1012" s="996"/>
      <c r="V1012" s="996"/>
      <c r="W1012" s="1010" t="s">
        <v>10947</v>
      </c>
      <c r="X1012" s="996"/>
      <c r="Y1012" s="996"/>
      <c r="Z1012" s="996"/>
      <c r="AA1012" s="996"/>
      <c r="AB1012" s="996"/>
      <c r="AC1012" s="1127"/>
      <c r="AD1012" s="1128"/>
      <c r="AE1012" s="1129"/>
      <c r="AF1012" s="1128"/>
      <c r="AG1012" s="1130"/>
      <c r="AH1012" s="1131"/>
    </row>
    <row r="1013" spans="1:34" s="1122" customFormat="1" ht="14.5" customHeight="1">
      <c r="A1013" s="1118"/>
      <c r="B1013" s="1118"/>
      <c r="C1013" s="1059"/>
      <c r="D1013" s="1050"/>
      <c r="E1013" s="1051"/>
      <c r="F1013" s="1050"/>
      <c r="G1013" s="1119"/>
      <c r="H1013" s="1120"/>
      <c r="I1013" s="1051"/>
      <c r="J1013" s="1132" t="s">
        <v>6594</v>
      </c>
      <c r="K1013" s="926"/>
      <c r="L1013" s="926"/>
      <c r="M1013" s="926"/>
      <c r="N1013" s="926"/>
      <c r="O1013" s="926"/>
      <c r="P1013" s="926"/>
      <c r="Q1013" s="1194"/>
      <c r="R1013" s="1060"/>
      <c r="S1013" s="1283"/>
      <c r="T1013" s="1060"/>
      <c r="U1013" s="1061"/>
      <c r="V1013" s="1061"/>
      <c r="W1013" s="1062"/>
    </row>
    <row r="1014" spans="1:34" s="1122" customFormat="1" ht="14.5" customHeight="1">
      <c r="A1014" s="1118"/>
      <c r="B1014" s="1118"/>
      <c r="C1014" s="1054"/>
      <c r="D1014" s="1055"/>
      <c r="E1014" s="1056"/>
      <c r="F1014" s="1055"/>
      <c r="G1014" s="1124"/>
      <c r="H1014" s="1125"/>
      <c r="I1014" s="1056"/>
      <c r="J1014" s="1116" t="s">
        <v>6595</v>
      </c>
      <c r="K1014" s="920"/>
      <c r="L1014" s="920"/>
      <c r="M1014" s="920"/>
      <c r="N1014" s="920"/>
      <c r="O1014" s="920"/>
      <c r="P1014" s="920"/>
      <c r="Q1014" s="1190"/>
      <c r="R1014" s="1057"/>
      <c r="S1014" s="1284"/>
      <c r="T1014" s="1057"/>
      <c r="U1014" s="1045"/>
      <c r="V1014" s="1045"/>
      <c r="W1014" s="1058"/>
    </row>
    <row r="1015" spans="1:34" ht="14.5" customHeight="1">
      <c r="C1015" s="1037" t="s">
        <v>6596</v>
      </c>
      <c r="D1015" s="988" t="str">
        <f>IF(C1015="","",CONCATENATE(LEFT(C1015,4),MID(C1015,6,2)))</f>
        <v>262201</v>
      </c>
      <c r="E1015" s="989" t="s">
        <v>10948</v>
      </c>
      <c r="F1015" s="988" t="str">
        <f>IF(E1015="","",CONCATENATE(LEFT(E1015,4),MID(E1015,6,3)))</f>
        <v>2622011</v>
      </c>
      <c r="G1015" s="1095" t="str">
        <f t="shared" ref="G1015:G1028" si="153">IF(F1015="",G1014,F1015)</f>
        <v>2622011</v>
      </c>
      <c r="I1015" s="944" t="str">
        <f>IF(H1015="","",CONCATENATE(G1015,H1015))</f>
        <v/>
      </c>
      <c r="J1015" s="990" t="s">
        <v>6597</v>
      </c>
      <c r="K1015" s="886"/>
      <c r="L1015" s="886"/>
      <c r="M1015" s="886"/>
      <c r="N1015" s="886"/>
      <c r="O1015" s="886"/>
      <c r="P1015" s="896">
        <f>Q1015</f>
        <v>147487</v>
      </c>
      <c r="Q1015" s="1171">
        <f>ROUND(Q1016+Q1024,0)</f>
        <v>147487</v>
      </c>
      <c r="R1015" s="882"/>
      <c r="S1015" s="1269"/>
      <c r="T1015" s="1254"/>
      <c r="U1015" s="996"/>
      <c r="V1015" s="996"/>
      <c r="W1015" s="992"/>
    </row>
    <row r="1016" spans="1:34" ht="14.5" customHeight="1">
      <c r="C1016" s="987"/>
      <c r="D1016" s="988" t="str">
        <f>IF(C1016="","",CONCATENATE(LEFT(C1016,4),MID(C1016,6,2)))</f>
        <v/>
      </c>
      <c r="E1016" s="989"/>
      <c r="F1016" s="988" t="str">
        <f>IF(E1016="","",CONCATENATE(LEFT(E1016,4),MID(E1016,6,3)))</f>
        <v/>
      </c>
      <c r="G1016" s="1095" t="str">
        <f>IF(F1016="",G1015,F1016)</f>
        <v>2622011</v>
      </c>
      <c r="I1016" s="944" t="str">
        <f>IF(H1016="","",CONCATENATE(G1016,H1016))</f>
        <v/>
      </c>
      <c r="J1016" s="991" t="s">
        <v>10949</v>
      </c>
      <c r="K1016" s="886"/>
      <c r="L1016" s="873"/>
      <c r="M1016" s="873"/>
      <c r="N1016" s="886"/>
      <c r="O1016" s="886"/>
      <c r="P1016" s="886"/>
      <c r="Q1016" s="1161">
        <f>SUM(Q1017:Q1023)</f>
        <v>41994.55</v>
      </c>
      <c r="R1016" s="882"/>
      <c r="S1016" s="1269"/>
      <c r="T1016" s="1254"/>
      <c r="U1016" s="996"/>
      <c r="V1016" s="996"/>
      <c r="W1016" s="992"/>
    </row>
    <row r="1017" spans="1:34" ht="14.5" customHeight="1">
      <c r="C1017" s="987"/>
      <c r="F1017" s="988"/>
      <c r="G1017" s="1095" t="str">
        <f t="shared" si="153"/>
        <v>2622011</v>
      </c>
      <c r="H1017" s="1016" t="s">
        <v>5534</v>
      </c>
      <c r="J1017" s="991" t="s">
        <v>6599</v>
      </c>
      <c r="K1017" s="886"/>
      <c r="L1017" s="873"/>
      <c r="M1017" s="873"/>
      <c r="N1017" s="890">
        <v>1309</v>
      </c>
      <c r="O1017" s="890">
        <v>130000</v>
      </c>
      <c r="P1017" s="886"/>
      <c r="Q1017" s="1165">
        <f t="shared" ref="Q1017:Q1022" si="154">ROUND(N1017*O1017/1000000,0)</f>
        <v>170</v>
      </c>
      <c r="R1017" s="882"/>
      <c r="S1017" s="1269"/>
      <c r="T1017" s="1254"/>
      <c r="U1017" s="996" t="s">
        <v>10820</v>
      </c>
      <c r="V1017" s="996"/>
      <c r="W1017" s="992"/>
    </row>
    <row r="1018" spans="1:34" ht="14.5" customHeight="1">
      <c r="C1018" s="987"/>
      <c r="F1018" s="988"/>
      <c r="G1018" s="1095" t="str">
        <f t="shared" si="153"/>
        <v>2622011</v>
      </c>
      <c r="H1018" s="1016" t="s">
        <v>6000</v>
      </c>
      <c r="J1018" s="991" t="s">
        <v>6600</v>
      </c>
      <c r="K1018" s="886"/>
      <c r="L1018" s="873"/>
      <c r="M1018" s="873"/>
      <c r="N1018" s="890">
        <v>0</v>
      </c>
      <c r="O1018" s="890">
        <v>130000</v>
      </c>
      <c r="P1018" s="886"/>
      <c r="Q1018" s="1165">
        <f t="shared" si="154"/>
        <v>0</v>
      </c>
      <c r="R1018" s="882"/>
      <c r="S1018" s="1269"/>
      <c r="T1018" s="1254"/>
      <c r="U1018" s="996" t="s">
        <v>10122</v>
      </c>
      <c r="V1018" s="996"/>
      <c r="W1018" s="992" t="s">
        <v>10950</v>
      </c>
    </row>
    <row r="1019" spans="1:34" ht="14.5" customHeight="1">
      <c r="C1019" s="987"/>
      <c r="F1019" s="988"/>
      <c r="G1019" s="1095" t="str">
        <f t="shared" si="153"/>
        <v>2622011</v>
      </c>
      <c r="H1019" s="1016" t="s">
        <v>6002</v>
      </c>
      <c r="J1019" s="991" t="s">
        <v>6601</v>
      </c>
      <c r="K1019" s="886"/>
      <c r="L1019" s="873"/>
      <c r="M1019" s="873"/>
      <c r="N1019" s="890">
        <v>230423</v>
      </c>
      <c r="O1019" s="890">
        <v>130000</v>
      </c>
      <c r="P1019" s="886"/>
      <c r="Q1019" s="1165">
        <f t="shared" si="154"/>
        <v>29955</v>
      </c>
      <c r="R1019" s="882"/>
      <c r="S1019" s="1269"/>
      <c r="T1019" s="1254"/>
      <c r="U1019" s="996" t="s">
        <v>10122</v>
      </c>
      <c r="V1019" s="996"/>
      <c r="W1019" s="992"/>
    </row>
    <row r="1020" spans="1:34" ht="14.5" customHeight="1">
      <c r="C1020" s="987"/>
      <c r="F1020" s="988"/>
      <c r="G1020" s="1095" t="str">
        <f t="shared" si="153"/>
        <v>2622011</v>
      </c>
      <c r="H1020" s="1016" t="s">
        <v>6146</v>
      </c>
      <c r="J1020" s="991" t="s">
        <v>6602</v>
      </c>
      <c r="K1020" s="886"/>
      <c r="L1020" s="873"/>
      <c r="M1020" s="873"/>
      <c r="N1020" s="890">
        <v>57356</v>
      </c>
      <c r="O1020" s="890">
        <v>130000</v>
      </c>
      <c r="P1020" s="886"/>
      <c r="Q1020" s="1165">
        <f t="shared" si="154"/>
        <v>7456</v>
      </c>
      <c r="R1020" s="882"/>
      <c r="S1020" s="1269"/>
      <c r="T1020" s="1254"/>
      <c r="U1020" s="996" t="s">
        <v>10122</v>
      </c>
      <c r="V1020" s="996"/>
      <c r="W1020" s="992"/>
    </row>
    <row r="1021" spans="1:34" ht="14.5" customHeight="1">
      <c r="C1021" s="987"/>
      <c r="F1021" s="988"/>
      <c r="G1021" s="1095" t="str">
        <f t="shared" si="153"/>
        <v>2622011</v>
      </c>
      <c r="H1021" s="1016" t="s">
        <v>5602</v>
      </c>
      <c r="J1021" s="991" t="s">
        <v>6603</v>
      </c>
      <c r="K1021" s="886"/>
      <c r="L1021" s="873"/>
      <c r="M1021" s="873"/>
      <c r="N1021" s="890">
        <v>13202</v>
      </c>
      <c r="O1021" s="890">
        <v>260000</v>
      </c>
      <c r="P1021" s="886"/>
      <c r="Q1021" s="1165">
        <f t="shared" si="154"/>
        <v>3433</v>
      </c>
      <c r="R1021" s="882"/>
      <c r="S1021" s="1269"/>
      <c r="T1021" s="1254"/>
      <c r="U1021" s="996" t="s">
        <v>10122</v>
      </c>
      <c r="V1021" s="996"/>
      <c r="W1021" s="992"/>
    </row>
    <row r="1022" spans="1:34" ht="14.5" customHeight="1">
      <c r="C1022" s="987"/>
      <c r="F1022" s="988"/>
      <c r="G1022" s="1095" t="str">
        <f t="shared" si="153"/>
        <v>2622011</v>
      </c>
      <c r="H1022" s="1016" t="s">
        <v>5484</v>
      </c>
      <c r="J1022" s="991" t="s">
        <v>6604</v>
      </c>
      <c r="K1022" s="886"/>
      <c r="L1022" s="873"/>
      <c r="M1022" s="873"/>
      <c r="N1022" s="890">
        <v>6335</v>
      </c>
      <c r="O1022" s="890">
        <v>160000</v>
      </c>
      <c r="P1022" s="886"/>
      <c r="Q1022" s="1165">
        <f t="shared" si="154"/>
        <v>1014</v>
      </c>
      <c r="R1022" s="882"/>
      <c r="S1022" s="1269"/>
      <c r="T1022" s="1254"/>
      <c r="U1022" s="996" t="s">
        <v>10122</v>
      </c>
      <c r="V1022" s="996"/>
      <c r="W1022" s="992" t="s">
        <v>10951</v>
      </c>
    </row>
    <row r="1023" spans="1:34" ht="14.5" customHeight="1">
      <c r="C1023" s="987"/>
      <c r="F1023" s="988"/>
      <c r="G1023" s="1095" t="str">
        <f t="shared" si="153"/>
        <v>2622011</v>
      </c>
      <c r="H1023" s="1016" t="s">
        <v>10456</v>
      </c>
      <c r="J1023" s="991" t="s">
        <v>6155</v>
      </c>
      <c r="K1023" s="886"/>
      <c r="L1023" s="873"/>
      <c r="M1023" s="873"/>
      <c r="N1023" s="886"/>
      <c r="O1023" s="886"/>
      <c r="P1023" s="886"/>
      <c r="Q1023" s="1167">
        <v>-33.450000000000003</v>
      </c>
      <c r="R1023" s="882"/>
      <c r="S1023" s="1269"/>
      <c r="T1023" s="1254"/>
      <c r="U1023" s="996" t="s">
        <v>10612</v>
      </c>
      <c r="V1023" s="996"/>
      <c r="W1023" s="992"/>
    </row>
    <row r="1024" spans="1:34" ht="14.5" customHeight="1">
      <c r="C1024" s="987"/>
      <c r="D1024" s="988" t="str">
        <f>IF(C1024="","",CONCATENATE(LEFT(C1024,4),MID(C1024,6,2)))</f>
        <v/>
      </c>
      <c r="E1024" s="989"/>
      <c r="F1024" s="988" t="str">
        <f>IF(E1024="","",CONCATENATE(LEFT(E1024,4),MID(E1024,6,3)))</f>
        <v/>
      </c>
      <c r="G1024" s="1095" t="str">
        <f t="shared" si="153"/>
        <v>2622011</v>
      </c>
      <c r="I1024" s="944" t="str">
        <f>IF(H1024="","",CONCATENATE(G1024,H1024))</f>
        <v/>
      </c>
      <c r="J1024" s="991" t="s">
        <v>10952</v>
      </c>
      <c r="K1024" s="886"/>
      <c r="L1024" s="873"/>
      <c r="M1024" s="873"/>
      <c r="N1024" s="886"/>
      <c r="O1024" s="886"/>
      <c r="P1024" s="886"/>
      <c r="Q1024" s="1180">
        <f>SUM(Q1025:Q1029)</f>
        <v>105492.4</v>
      </c>
      <c r="R1024" s="882"/>
      <c r="S1024" s="1269"/>
      <c r="T1024" s="1254"/>
      <c r="U1024" s="996"/>
      <c r="V1024" s="996"/>
      <c r="W1024" s="992"/>
    </row>
    <row r="1025" spans="3:23" ht="14.5" customHeight="1">
      <c r="C1025" s="987"/>
      <c r="F1025" s="988"/>
      <c r="G1025" s="1095" t="str">
        <f t="shared" si="153"/>
        <v>2622011</v>
      </c>
      <c r="H1025" s="1016" t="s">
        <v>5486</v>
      </c>
      <c r="J1025" s="991" t="s">
        <v>6599</v>
      </c>
      <c r="K1025" s="886"/>
      <c r="L1025" s="873"/>
      <c r="M1025" s="873"/>
      <c r="N1025" s="873"/>
      <c r="O1025" s="873"/>
      <c r="P1025" s="886"/>
      <c r="Q1025" s="1165">
        <v>0</v>
      </c>
      <c r="R1025" s="882"/>
      <c r="S1025" s="1269"/>
      <c r="T1025" s="1254"/>
      <c r="U1025" s="996"/>
      <c r="V1025" s="996"/>
      <c r="W1025" s="992"/>
    </row>
    <row r="1026" spans="3:23" ht="14.5" customHeight="1">
      <c r="C1026" s="987"/>
      <c r="F1026" s="988"/>
      <c r="G1026" s="1095" t="str">
        <f t="shared" si="153"/>
        <v>2622011</v>
      </c>
      <c r="H1026" s="1016" t="s">
        <v>6210</v>
      </c>
      <c r="J1026" s="991" t="s">
        <v>6601</v>
      </c>
      <c r="K1026" s="886"/>
      <c r="L1026" s="873"/>
      <c r="M1026" s="873"/>
      <c r="N1026" s="873"/>
      <c r="O1026" s="873"/>
      <c r="P1026" s="886"/>
      <c r="Q1026" s="1165">
        <v>0</v>
      </c>
      <c r="R1026" s="882"/>
      <c r="S1026" s="1269"/>
      <c r="T1026" s="1254"/>
      <c r="U1026" s="996"/>
      <c r="V1026" s="996"/>
      <c r="W1026" s="992"/>
    </row>
    <row r="1027" spans="3:23" ht="14.5" customHeight="1">
      <c r="C1027" s="987"/>
      <c r="F1027" s="988"/>
      <c r="G1027" s="1095" t="str">
        <f t="shared" si="153"/>
        <v>2622011</v>
      </c>
      <c r="H1027" s="1016" t="s">
        <v>6212</v>
      </c>
      <c r="J1027" s="991" t="s">
        <v>6602</v>
      </c>
      <c r="K1027" s="886"/>
      <c r="L1027" s="873"/>
      <c r="M1027" s="873"/>
      <c r="N1027" s="890">
        <v>157512</v>
      </c>
      <c r="O1027" s="890">
        <v>460000</v>
      </c>
      <c r="P1027" s="886"/>
      <c r="Q1027" s="1165">
        <f>ROUND(N1027*O1027/1000000,0)</f>
        <v>72456</v>
      </c>
      <c r="R1027" s="882"/>
      <c r="S1027" s="1269"/>
      <c r="T1027" s="1254"/>
      <c r="U1027" s="996" t="s">
        <v>10820</v>
      </c>
      <c r="V1027" s="996"/>
      <c r="W1027" s="992"/>
    </row>
    <row r="1028" spans="3:23" ht="14.5" customHeight="1">
      <c r="C1028" s="987"/>
      <c r="F1028" s="988"/>
      <c r="G1028" s="1095" t="str">
        <f t="shared" si="153"/>
        <v>2622011</v>
      </c>
      <c r="H1028" s="1016" t="s">
        <v>5488</v>
      </c>
      <c r="J1028" s="991" t="s">
        <v>6606</v>
      </c>
      <c r="K1028" s="886"/>
      <c r="L1028" s="873"/>
      <c r="M1028" s="873"/>
      <c r="N1028" s="890">
        <v>53963</v>
      </c>
      <c r="O1028" s="890">
        <v>650000</v>
      </c>
      <c r="P1028" s="886"/>
      <c r="Q1028" s="1165">
        <f>ROUND(N1028*O1028/1000000,0)</f>
        <v>35076</v>
      </c>
      <c r="R1028" s="882"/>
      <c r="S1028" s="1269"/>
      <c r="T1028" s="1254"/>
      <c r="U1028" s="996" t="s">
        <v>10122</v>
      </c>
      <c r="V1028" s="996"/>
      <c r="W1028" s="992"/>
    </row>
    <row r="1029" spans="3:23" ht="14.5" customHeight="1">
      <c r="C1029" s="998"/>
      <c r="D1029" s="999"/>
      <c r="E1029" s="1002"/>
      <c r="F1029" s="999"/>
      <c r="G1029" s="1104" t="str">
        <f>IF(F1029="",G1028,F1029)</f>
        <v>2622011</v>
      </c>
      <c r="H1029" s="1005" t="s">
        <v>10475</v>
      </c>
      <c r="I1029" s="1002"/>
      <c r="J1029" s="978" t="s">
        <v>6155</v>
      </c>
      <c r="K1029" s="893"/>
      <c r="L1029" s="872"/>
      <c r="M1029" s="872"/>
      <c r="N1029" s="893"/>
      <c r="O1029" s="893"/>
      <c r="P1029" s="893"/>
      <c r="Q1029" s="1170">
        <v>-2039.6</v>
      </c>
      <c r="R1029" s="900"/>
      <c r="S1029" s="1272"/>
      <c r="T1029" s="900"/>
      <c r="U1029" s="1006" t="s">
        <v>10587</v>
      </c>
      <c r="V1029" s="1006"/>
      <c r="W1029" s="1003"/>
    </row>
    <row r="1030" spans="3:23" ht="14.5" customHeight="1">
      <c r="C1030" s="1037" t="s">
        <v>6607</v>
      </c>
      <c r="D1030" s="988" t="str">
        <f>IF(C1030="","",CONCATENATE(LEFT(C1030,4),MID(C1030,6,2)))</f>
        <v>262301</v>
      </c>
      <c r="E1030" s="989" t="s">
        <v>10953</v>
      </c>
      <c r="F1030" s="995" t="str">
        <f>IF(E1030="","",CONCATENATE(LEFT(E1030,4),MID(E1030,6,3)))</f>
        <v>2623011</v>
      </c>
      <c r="G1030" s="1095" t="str">
        <f t="shared" ref="G1030:G1054" si="155">IF(F1030="",G1029,F1030)</f>
        <v>2623011</v>
      </c>
      <c r="I1030" s="944" t="str">
        <f>IF(H1030="","",CONCATENATE(G1030,H1030))</f>
        <v/>
      </c>
      <c r="J1030" s="990" t="s">
        <v>6608</v>
      </c>
      <c r="K1030" s="886"/>
      <c r="L1030" s="886"/>
      <c r="M1030" s="886"/>
      <c r="N1030" s="886"/>
      <c r="O1030" s="886"/>
      <c r="P1030" s="896">
        <f>Q1030</f>
        <v>334251</v>
      </c>
      <c r="Q1030" s="1171">
        <f>ROUND(Q1031+Q1044,0)</f>
        <v>334251</v>
      </c>
      <c r="R1030" s="882"/>
      <c r="S1030" s="1269"/>
      <c r="T1030" s="1254"/>
      <c r="U1030" s="996"/>
      <c r="V1030" s="996"/>
      <c r="W1030" s="992"/>
    </row>
    <row r="1031" spans="3:23" ht="14.5" customHeight="1">
      <c r="C1031" s="987"/>
      <c r="D1031" s="988" t="str">
        <f>IF(C1031="","",CONCATENATE(LEFT(C1031,4),MID(C1031,6,2)))</f>
        <v/>
      </c>
      <c r="E1031" s="989"/>
      <c r="F1031" s="988" t="str">
        <f>IF(E1031="","",CONCATENATE(LEFT(E1031,4),MID(E1031,6,3)))</f>
        <v/>
      </c>
      <c r="G1031" s="1095" t="str">
        <f t="shared" si="155"/>
        <v>2623011</v>
      </c>
      <c r="I1031" s="944" t="str">
        <f>IF(H1031="","",CONCATENATE(G1031,H1031))</f>
        <v/>
      </c>
      <c r="J1031" s="991" t="s">
        <v>10954</v>
      </c>
      <c r="K1031" s="886"/>
      <c r="L1031" s="873"/>
      <c r="M1031" s="873"/>
      <c r="N1031" s="886"/>
      <c r="O1031" s="886"/>
      <c r="P1031" s="886"/>
      <c r="Q1031" s="1180">
        <f>SUM(Q1032:Q1043)</f>
        <v>222331.12</v>
      </c>
      <c r="R1031" s="873"/>
      <c r="S1031" s="1273"/>
      <c r="T1031" s="1256"/>
      <c r="U1031" s="873"/>
      <c r="V1031" s="996"/>
      <c r="W1031" s="992"/>
    </row>
    <row r="1032" spans="3:23" ht="14.5" customHeight="1">
      <c r="C1032" s="987"/>
      <c r="F1032" s="988"/>
      <c r="G1032" s="1095" t="str">
        <f t="shared" si="155"/>
        <v>2623011</v>
      </c>
      <c r="H1032" s="1016" t="s">
        <v>5534</v>
      </c>
      <c r="J1032" s="991" t="s">
        <v>6611</v>
      </c>
      <c r="K1032" s="886"/>
      <c r="L1032" s="873"/>
      <c r="M1032" s="873"/>
      <c r="N1032" s="890">
        <v>8230</v>
      </c>
      <c r="O1032" s="890">
        <v>170000</v>
      </c>
      <c r="P1032" s="886"/>
      <c r="Q1032" s="1165">
        <f t="shared" ref="Q1032:Q1042" si="156">ROUND(N1032*O1032/1000000,0)</f>
        <v>1399</v>
      </c>
      <c r="R1032" s="873"/>
      <c r="S1032" s="1273"/>
      <c r="T1032" s="1256"/>
      <c r="U1032" s="996" t="s">
        <v>10820</v>
      </c>
      <c r="V1032" s="996"/>
      <c r="W1032" s="992" t="s">
        <v>10955</v>
      </c>
    </row>
    <row r="1033" spans="3:23" ht="14.5" customHeight="1">
      <c r="C1033" s="987"/>
      <c r="F1033" s="988"/>
      <c r="G1033" s="1095" t="str">
        <f t="shared" si="155"/>
        <v>2623011</v>
      </c>
      <c r="H1033" s="1016" t="s">
        <v>6000</v>
      </c>
      <c r="J1033" s="991" t="s">
        <v>6612</v>
      </c>
      <c r="K1033" s="886"/>
      <c r="L1033" s="873"/>
      <c r="M1033" s="873"/>
      <c r="N1033" s="890">
        <v>1743154</v>
      </c>
      <c r="O1033" s="890">
        <v>80000</v>
      </c>
      <c r="P1033" s="886"/>
      <c r="Q1033" s="1165">
        <f t="shared" si="156"/>
        <v>139452</v>
      </c>
      <c r="R1033" s="873"/>
      <c r="S1033" s="1273"/>
      <c r="T1033" s="1256"/>
      <c r="U1033" s="996" t="s">
        <v>10122</v>
      </c>
      <c r="V1033" s="996"/>
      <c r="W1033" s="992"/>
    </row>
    <row r="1034" spans="3:23" ht="14.5" customHeight="1">
      <c r="C1034" s="987"/>
      <c r="F1034" s="988"/>
      <c r="G1034" s="1095" t="str">
        <f t="shared" si="155"/>
        <v>2623011</v>
      </c>
      <c r="H1034" s="1016" t="s">
        <v>6002</v>
      </c>
      <c r="J1034" s="991" t="s">
        <v>6613</v>
      </c>
      <c r="K1034" s="886"/>
      <c r="L1034" s="873"/>
      <c r="M1034" s="873"/>
      <c r="N1034" s="873"/>
      <c r="O1034" s="873"/>
      <c r="P1034" s="886"/>
      <c r="Q1034" s="1165">
        <v>0</v>
      </c>
      <c r="R1034" s="873"/>
      <c r="S1034" s="1273"/>
      <c r="T1034" s="1256"/>
      <c r="U1034" s="996" t="s">
        <v>10122</v>
      </c>
      <c r="V1034" s="996"/>
      <c r="W1034" s="992" t="s">
        <v>10956</v>
      </c>
    </row>
    <row r="1035" spans="3:23" ht="14.5" customHeight="1">
      <c r="C1035" s="987"/>
      <c r="F1035" s="988"/>
      <c r="G1035" s="1095" t="str">
        <f t="shared" si="155"/>
        <v>2623011</v>
      </c>
      <c r="H1035" s="1016" t="s">
        <v>6146</v>
      </c>
      <c r="J1035" s="991" t="s">
        <v>6614</v>
      </c>
      <c r="K1035" s="886"/>
      <c r="L1035" s="873"/>
      <c r="M1035" s="873"/>
      <c r="N1035" s="890">
        <v>202883</v>
      </c>
      <c r="O1035" s="890">
        <v>170000</v>
      </c>
      <c r="P1035" s="886"/>
      <c r="Q1035" s="1165">
        <f t="shared" si="156"/>
        <v>34490</v>
      </c>
      <c r="R1035" s="873"/>
      <c r="S1035" s="1273"/>
      <c r="T1035" s="1256"/>
      <c r="U1035" s="996" t="s">
        <v>10122</v>
      </c>
      <c r="V1035" s="996"/>
      <c r="W1035" s="992"/>
    </row>
    <row r="1036" spans="3:23" ht="14.5" customHeight="1">
      <c r="C1036" s="987"/>
      <c r="F1036" s="988"/>
      <c r="G1036" s="1095" t="str">
        <f t="shared" si="155"/>
        <v>2623011</v>
      </c>
      <c r="H1036" s="1016" t="s">
        <v>6148</v>
      </c>
      <c r="J1036" s="991" t="s">
        <v>6615</v>
      </c>
      <c r="K1036" s="886"/>
      <c r="L1036" s="873"/>
      <c r="M1036" s="873"/>
      <c r="N1036" s="890">
        <v>0</v>
      </c>
      <c r="O1036" s="890">
        <v>130000</v>
      </c>
      <c r="P1036" s="886"/>
      <c r="Q1036" s="1165">
        <f t="shared" si="156"/>
        <v>0</v>
      </c>
      <c r="R1036" s="873"/>
      <c r="S1036" s="1273"/>
      <c r="T1036" s="1256"/>
      <c r="U1036" s="996" t="s">
        <v>10122</v>
      </c>
      <c r="V1036" s="996"/>
      <c r="W1036" s="992"/>
    </row>
    <row r="1037" spans="3:23" ht="14.5" customHeight="1">
      <c r="C1037" s="987"/>
      <c r="F1037" s="988"/>
      <c r="G1037" s="1095" t="str">
        <f t="shared" si="155"/>
        <v>2623011</v>
      </c>
      <c r="H1037" s="1016" t="s">
        <v>6150</v>
      </c>
      <c r="J1037" s="991" t="s">
        <v>6616</v>
      </c>
      <c r="K1037" s="886"/>
      <c r="L1037" s="873"/>
      <c r="M1037" s="873"/>
      <c r="N1037" s="890">
        <v>33184</v>
      </c>
      <c r="O1037" s="890">
        <v>290000</v>
      </c>
      <c r="P1037" s="886"/>
      <c r="Q1037" s="1165">
        <f t="shared" si="156"/>
        <v>9623</v>
      </c>
      <c r="R1037" s="873"/>
      <c r="S1037" s="1273"/>
      <c r="T1037" s="1256"/>
      <c r="U1037" s="996" t="s">
        <v>10122</v>
      </c>
      <c r="V1037" s="996"/>
      <c r="W1037" s="992" t="s">
        <v>10957</v>
      </c>
    </row>
    <row r="1038" spans="3:23" ht="14.5" customHeight="1">
      <c r="C1038" s="987"/>
      <c r="F1038" s="988"/>
      <c r="G1038" s="1095" t="str">
        <f t="shared" si="155"/>
        <v>2623011</v>
      </c>
      <c r="H1038" s="1016" t="s">
        <v>6152</v>
      </c>
      <c r="J1038" s="991" t="s">
        <v>6617</v>
      </c>
      <c r="K1038" s="886"/>
      <c r="L1038" s="873"/>
      <c r="M1038" s="873"/>
      <c r="N1038" s="890">
        <v>0</v>
      </c>
      <c r="O1038" s="890">
        <v>290000</v>
      </c>
      <c r="P1038" s="886"/>
      <c r="Q1038" s="1165">
        <f t="shared" si="156"/>
        <v>0</v>
      </c>
      <c r="R1038" s="873"/>
      <c r="S1038" s="1273"/>
      <c r="T1038" s="1256"/>
      <c r="U1038" s="996" t="s">
        <v>10122</v>
      </c>
      <c r="V1038" s="996"/>
      <c r="W1038" s="992"/>
    </row>
    <row r="1039" spans="3:23" ht="14.5" customHeight="1">
      <c r="C1039" s="987"/>
      <c r="F1039" s="988"/>
      <c r="G1039" s="1095" t="str">
        <f t="shared" si="155"/>
        <v>2623011</v>
      </c>
      <c r="H1039" s="1016" t="s">
        <v>5770</v>
      </c>
      <c r="J1039" s="991" t="s">
        <v>6618</v>
      </c>
      <c r="K1039" s="886"/>
      <c r="L1039" s="873"/>
      <c r="M1039" s="873"/>
      <c r="N1039" s="890">
        <v>110347</v>
      </c>
      <c r="O1039" s="890">
        <v>290000</v>
      </c>
      <c r="P1039" s="886"/>
      <c r="Q1039" s="1165">
        <f t="shared" si="156"/>
        <v>32001</v>
      </c>
      <c r="R1039" s="873"/>
      <c r="S1039" s="1273"/>
      <c r="T1039" s="1256"/>
      <c r="U1039" s="996" t="s">
        <v>10122</v>
      </c>
      <c r="V1039" s="996"/>
      <c r="W1039" s="992"/>
    </row>
    <row r="1040" spans="3:23" ht="14.5" customHeight="1">
      <c r="C1040" s="987"/>
      <c r="F1040" s="988"/>
      <c r="G1040" s="1095" t="str">
        <f t="shared" si="155"/>
        <v>2623011</v>
      </c>
      <c r="H1040" s="1016" t="s">
        <v>10958</v>
      </c>
      <c r="J1040" s="991" t="s">
        <v>6619</v>
      </c>
      <c r="K1040" s="886"/>
      <c r="L1040" s="873"/>
      <c r="M1040" s="873"/>
      <c r="N1040" s="890">
        <v>0</v>
      </c>
      <c r="O1040" s="890">
        <v>290000</v>
      </c>
      <c r="P1040" s="886"/>
      <c r="Q1040" s="1165">
        <f t="shared" si="156"/>
        <v>0</v>
      </c>
      <c r="R1040" s="873"/>
      <c r="S1040" s="1273"/>
      <c r="T1040" s="1256"/>
      <c r="U1040" s="996" t="s">
        <v>10122</v>
      </c>
      <c r="V1040" s="996"/>
      <c r="W1040" s="992"/>
    </row>
    <row r="1041" spans="1:23" ht="14.5" customHeight="1">
      <c r="C1041" s="987"/>
      <c r="F1041" s="988"/>
      <c r="G1041" s="1095" t="str">
        <f t="shared" si="155"/>
        <v>2623011</v>
      </c>
      <c r="H1041" s="1016" t="s">
        <v>5602</v>
      </c>
      <c r="J1041" s="991" t="s">
        <v>6620</v>
      </c>
      <c r="K1041" s="886"/>
      <c r="L1041" s="873"/>
      <c r="M1041" s="873"/>
      <c r="N1041" s="873"/>
      <c r="O1041" s="873"/>
      <c r="P1041" s="886"/>
      <c r="Q1041" s="1165">
        <v>0</v>
      </c>
      <c r="R1041" s="873"/>
      <c r="S1041" s="1273"/>
      <c r="T1041" s="1256"/>
      <c r="U1041" s="996" t="s">
        <v>10122</v>
      </c>
      <c r="V1041" s="996"/>
      <c r="W1041" s="992"/>
    </row>
    <row r="1042" spans="1:23" ht="14.5" customHeight="1">
      <c r="C1042" s="987"/>
      <c r="F1042" s="988"/>
      <c r="G1042" s="1095" t="str">
        <f t="shared" si="155"/>
        <v>2623011</v>
      </c>
      <c r="H1042" s="1016" t="s">
        <v>5844</v>
      </c>
      <c r="J1042" s="991" t="s">
        <v>6621</v>
      </c>
      <c r="K1042" s="886"/>
      <c r="L1042" s="873"/>
      <c r="M1042" s="873"/>
      <c r="N1042" s="890">
        <v>56462</v>
      </c>
      <c r="O1042" s="890">
        <v>120000</v>
      </c>
      <c r="P1042" s="886"/>
      <c r="Q1042" s="1165">
        <f t="shared" si="156"/>
        <v>6775</v>
      </c>
      <c r="R1042" s="873"/>
      <c r="S1042" s="1273"/>
      <c r="T1042" s="1256"/>
      <c r="U1042" s="996" t="s">
        <v>10122</v>
      </c>
      <c r="V1042" s="996"/>
      <c r="W1042" s="992"/>
    </row>
    <row r="1043" spans="1:23" ht="14.5" customHeight="1">
      <c r="C1043" s="987"/>
      <c r="F1043" s="988"/>
      <c r="G1043" s="1095" t="str">
        <f t="shared" si="155"/>
        <v>2623011</v>
      </c>
      <c r="H1043" s="1016" t="s">
        <v>10456</v>
      </c>
      <c r="J1043" s="991" t="s">
        <v>6155</v>
      </c>
      <c r="K1043" s="886"/>
      <c r="L1043" s="886"/>
      <c r="M1043" s="886"/>
      <c r="N1043" s="886"/>
      <c r="O1043" s="886"/>
      <c r="P1043" s="886"/>
      <c r="Q1043" s="1167">
        <v>-1408.88</v>
      </c>
      <c r="R1043" s="887"/>
      <c r="S1043" s="1273"/>
      <c r="T1043" s="1256"/>
      <c r="U1043" s="996" t="s">
        <v>10612</v>
      </c>
      <c r="V1043" s="996"/>
      <c r="W1043" s="992"/>
    </row>
    <row r="1044" spans="1:23" ht="14.5" customHeight="1">
      <c r="C1044" s="987"/>
      <c r="D1044" s="988" t="str">
        <f>IF(C1044="","",CONCATENATE(LEFT(C1044,4),MID(C1044,6,2)))</f>
        <v/>
      </c>
      <c r="E1044" s="989"/>
      <c r="F1044" s="988" t="str">
        <f>IF(E1044="","",CONCATENATE(LEFT(E1044,4),MID(E1044,6,3)))</f>
        <v/>
      </c>
      <c r="G1044" s="1095" t="str">
        <f t="shared" si="155"/>
        <v>2623011</v>
      </c>
      <c r="I1044" s="944" t="str">
        <f>IF(H1044="","",CONCATENATE(G1044,H1044))</f>
        <v/>
      </c>
      <c r="J1044" s="991" t="s">
        <v>10959</v>
      </c>
      <c r="K1044" s="886"/>
      <c r="L1044" s="873"/>
      <c r="M1044" s="873"/>
      <c r="N1044" s="886"/>
      <c r="O1044" s="886"/>
      <c r="P1044" s="886"/>
      <c r="Q1044" s="1180">
        <f>SUM(Q1045:Q1054)</f>
        <v>111919.4</v>
      </c>
      <c r="R1044" s="873"/>
      <c r="S1044" s="1273"/>
      <c r="T1044" s="1256"/>
      <c r="U1044" s="873"/>
      <c r="V1044" s="996"/>
      <c r="W1044" s="992"/>
    </row>
    <row r="1045" spans="1:23" ht="14.5" customHeight="1">
      <c r="C1045" s="987"/>
      <c r="F1045" s="988"/>
      <c r="G1045" s="1095" t="str">
        <f t="shared" si="155"/>
        <v>2623011</v>
      </c>
      <c r="H1045" s="1016" t="s">
        <v>5484</v>
      </c>
      <c r="J1045" s="991" t="s">
        <v>6611</v>
      </c>
      <c r="K1045" s="886"/>
      <c r="L1045" s="873"/>
      <c r="M1045" s="873"/>
      <c r="N1045" s="890">
        <v>14865</v>
      </c>
      <c r="O1045" s="890">
        <v>260000</v>
      </c>
      <c r="P1045" s="886"/>
      <c r="Q1045" s="1165">
        <f t="shared" ref="Q1045:Q1053" si="157">ROUND(N1045*O1045/1000000,0)</f>
        <v>3865</v>
      </c>
      <c r="R1045" s="873"/>
      <c r="S1045" s="1273"/>
      <c r="T1045" s="1256"/>
      <c r="U1045" s="996" t="s">
        <v>10820</v>
      </c>
      <c r="V1045" s="996"/>
      <c r="W1045" s="992"/>
    </row>
    <row r="1046" spans="1:23" ht="14.5" customHeight="1">
      <c r="C1046" s="987"/>
      <c r="F1046" s="988"/>
      <c r="G1046" s="1095" t="str">
        <f t="shared" si="155"/>
        <v>2623011</v>
      </c>
      <c r="H1046" s="1016" t="s">
        <v>6047</v>
      </c>
      <c r="J1046" s="991" t="s">
        <v>6612</v>
      </c>
      <c r="K1046" s="886"/>
      <c r="L1046" s="873"/>
      <c r="M1046" s="873"/>
      <c r="N1046" s="890">
        <v>260361</v>
      </c>
      <c r="O1046" s="890">
        <v>340000</v>
      </c>
      <c r="P1046" s="886"/>
      <c r="Q1046" s="1165">
        <f t="shared" si="157"/>
        <v>88523</v>
      </c>
      <c r="R1046" s="873"/>
      <c r="S1046" s="1273"/>
      <c r="T1046" s="1256"/>
      <c r="U1046" s="996" t="s">
        <v>10122</v>
      </c>
      <c r="V1046" s="996"/>
      <c r="W1046" s="992"/>
    </row>
    <row r="1047" spans="1:23" ht="14.5" customHeight="1">
      <c r="C1047" s="987"/>
      <c r="F1047" s="988"/>
      <c r="G1047" s="1095" t="str">
        <f t="shared" si="155"/>
        <v>2623011</v>
      </c>
      <c r="H1047" s="1016" t="s">
        <v>10164</v>
      </c>
      <c r="J1047" s="991" t="s">
        <v>6613</v>
      </c>
      <c r="K1047" s="886"/>
      <c r="L1047" s="873"/>
      <c r="M1047" s="873"/>
      <c r="N1047" s="890">
        <v>824</v>
      </c>
      <c r="O1047" s="890">
        <v>360000</v>
      </c>
      <c r="P1047" s="886"/>
      <c r="Q1047" s="1165">
        <f t="shared" si="157"/>
        <v>297</v>
      </c>
      <c r="R1047" s="873"/>
      <c r="S1047" s="1273"/>
      <c r="T1047" s="1256"/>
      <c r="U1047" s="996" t="s">
        <v>10122</v>
      </c>
      <c r="V1047" s="996"/>
      <c r="W1047" s="992"/>
    </row>
    <row r="1048" spans="1:23" ht="14.5" customHeight="1">
      <c r="C1048" s="987"/>
      <c r="F1048" s="988"/>
      <c r="G1048" s="1095" t="str">
        <f t="shared" si="155"/>
        <v>2623011</v>
      </c>
      <c r="H1048" s="1016" t="s">
        <v>10166</v>
      </c>
      <c r="J1048" s="991" t="s">
        <v>6615</v>
      </c>
      <c r="K1048" s="886"/>
      <c r="L1048" s="873"/>
      <c r="M1048" s="873"/>
      <c r="N1048" s="890">
        <v>5464</v>
      </c>
      <c r="O1048" s="890">
        <v>140000</v>
      </c>
      <c r="P1048" s="886"/>
      <c r="Q1048" s="1165">
        <f t="shared" si="157"/>
        <v>765</v>
      </c>
      <c r="R1048" s="873"/>
      <c r="S1048" s="1273"/>
      <c r="T1048" s="1256"/>
      <c r="U1048" s="996" t="s">
        <v>10122</v>
      </c>
      <c r="V1048" s="996"/>
      <c r="W1048" s="992"/>
    </row>
    <row r="1049" spans="1:23" ht="14.5" customHeight="1">
      <c r="C1049" s="987"/>
      <c r="F1049" s="988"/>
      <c r="G1049" s="1095" t="str">
        <f t="shared" si="155"/>
        <v>2623011</v>
      </c>
      <c r="H1049" s="1016" t="s">
        <v>10167</v>
      </c>
      <c r="J1049" s="991" t="s">
        <v>6624</v>
      </c>
      <c r="K1049" s="886"/>
      <c r="L1049" s="873"/>
      <c r="M1049" s="873"/>
      <c r="N1049" s="890">
        <v>37442</v>
      </c>
      <c r="O1049" s="890">
        <v>330000</v>
      </c>
      <c r="P1049" s="886"/>
      <c r="Q1049" s="1165">
        <f t="shared" si="157"/>
        <v>12356</v>
      </c>
      <c r="R1049" s="873"/>
      <c r="S1049" s="1273"/>
      <c r="T1049" s="1256"/>
      <c r="U1049" s="996" t="s">
        <v>10122</v>
      </c>
      <c r="V1049" s="996"/>
      <c r="W1049" s="992" t="s">
        <v>10960</v>
      </c>
    </row>
    <row r="1050" spans="1:23" ht="14.5" customHeight="1">
      <c r="C1050" s="987"/>
      <c r="F1050" s="988"/>
      <c r="G1050" s="1095" t="str">
        <f t="shared" si="155"/>
        <v>2623011</v>
      </c>
      <c r="H1050" s="1016" t="s">
        <v>10168</v>
      </c>
      <c r="J1050" s="991" t="s">
        <v>6625</v>
      </c>
      <c r="K1050" s="886"/>
      <c r="L1050" s="873"/>
      <c r="M1050" s="873"/>
      <c r="N1050" s="890">
        <v>16956</v>
      </c>
      <c r="O1050" s="890">
        <v>330000</v>
      </c>
      <c r="P1050" s="886"/>
      <c r="Q1050" s="1165">
        <f t="shared" si="157"/>
        <v>5595</v>
      </c>
      <c r="R1050" s="873"/>
      <c r="S1050" s="1273"/>
      <c r="T1050" s="1256"/>
      <c r="U1050" s="996" t="s">
        <v>10122</v>
      </c>
      <c r="V1050" s="996"/>
      <c r="W1050" s="992" t="s">
        <v>10122</v>
      </c>
    </row>
    <row r="1051" spans="1:23" ht="14.5" customHeight="1">
      <c r="C1051" s="987"/>
      <c r="F1051" s="988"/>
      <c r="G1051" s="1095" t="str">
        <f t="shared" si="155"/>
        <v>2623011</v>
      </c>
      <c r="H1051" s="1016" t="s">
        <v>10170</v>
      </c>
      <c r="J1051" s="991" t="s">
        <v>6626</v>
      </c>
      <c r="K1051" s="886"/>
      <c r="L1051" s="873"/>
      <c r="M1051" s="873"/>
      <c r="N1051" s="890">
        <v>172</v>
      </c>
      <c r="O1051" s="890">
        <v>330000</v>
      </c>
      <c r="P1051" s="886"/>
      <c r="Q1051" s="1165">
        <f t="shared" si="157"/>
        <v>57</v>
      </c>
      <c r="R1051" s="873"/>
      <c r="S1051" s="1273"/>
      <c r="T1051" s="1256"/>
      <c r="U1051" s="996" t="s">
        <v>10122</v>
      </c>
      <c r="V1051" s="996"/>
      <c r="W1051" s="992" t="s">
        <v>10122</v>
      </c>
    </row>
    <row r="1052" spans="1:23" ht="14.5" customHeight="1">
      <c r="C1052" s="987"/>
      <c r="F1052" s="988"/>
      <c r="G1052" s="1095" t="str">
        <f t="shared" si="155"/>
        <v>2623011</v>
      </c>
      <c r="H1052" s="1016" t="s">
        <v>10171</v>
      </c>
      <c r="J1052" s="991" t="s">
        <v>6617</v>
      </c>
      <c r="K1052" s="886"/>
      <c r="L1052" s="873"/>
      <c r="M1052" s="873"/>
      <c r="N1052" s="890">
        <v>0</v>
      </c>
      <c r="O1052" s="890">
        <v>330000</v>
      </c>
      <c r="P1052" s="886"/>
      <c r="Q1052" s="1165">
        <f t="shared" si="157"/>
        <v>0</v>
      </c>
      <c r="R1052" s="873"/>
      <c r="S1052" s="1273"/>
      <c r="T1052" s="1256"/>
      <c r="U1052" s="996" t="s">
        <v>10122</v>
      </c>
      <c r="V1052" s="996"/>
      <c r="W1052" s="992" t="s">
        <v>10950</v>
      </c>
    </row>
    <row r="1053" spans="1:23" ht="14.5" customHeight="1">
      <c r="C1053" s="987"/>
      <c r="F1053" s="988"/>
      <c r="G1053" s="1095" t="str">
        <f t="shared" si="155"/>
        <v>2623011</v>
      </c>
      <c r="H1053" s="1016" t="s">
        <v>10172</v>
      </c>
      <c r="J1053" s="991" t="s">
        <v>6627</v>
      </c>
      <c r="K1053" s="886"/>
      <c r="L1053" s="873"/>
      <c r="M1053" s="873"/>
      <c r="N1053" s="890">
        <v>2618</v>
      </c>
      <c r="O1053" s="890">
        <v>330000</v>
      </c>
      <c r="P1053" s="886"/>
      <c r="Q1053" s="1165">
        <f t="shared" si="157"/>
        <v>864</v>
      </c>
      <c r="R1053" s="873"/>
      <c r="S1053" s="1273"/>
      <c r="T1053" s="1256"/>
      <c r="U1053" s="996" t="s">
        <v>10122</v>
      </c>
      <c r="V1053" s="996"/>
      <c r="W1053" s="992" t="s">
        <v>10960</v>
      </c>
    </row>
    <row r="1054" spans="1:23" ht="14.5" customHeight="1">
      <c r="C1054" s="987"/>
      <c r="F1054" s="988"/>
      <c r="G1054" s="1095" t="str">
        <f t="shared" si="155"/>
        <v>2623011</v>
      </c>
      <c r="H1054" s="1016" t="s">
        <v>10475</v>
      </c>
      <c r="J1054" s="991" t="s">
        <v>6155</v>
      </c>
      <c r="K1054" s="886"/>
      <c r="L1054" s="873"/>
      <c r="M1054" s="873"/>
      <c r="N1054" s="886"/>
      <c r="O1054" s="886"/>
      <c r="P1054" s="886"/>
      <c r="Q1054" s="1167">
        <v>-402.6</v>
      </c>
      <c r="R1054" s="887"/>
      <c r="S1054" s="1273"/>
      <c r="T1054" s="1256"/>
      <c r="U1054" s="996" t="s">
        <v>10612</v>
      </c>
      <c r="V1054" s="996"/>
      <c r="W1054" s="992"/>
    </row>
    <row r="1055" spans="1:23" ht="14.5" customHeight="1">
      <c r="A1055" s="1133"/>
      <c r="B1055" s="1133"/>
      <c r="C1055" s="1040" t="s">
        <v>6628</v>
      </c>
      <c r="D1055" s="982" t="str">
        <f>IF(C1055="","",CONCATENATE(LEFT(C1055,4),MID(C1055,6,2)))</f>
        <v>262302</v>
      </c>
      <c r="E1055" s="983" t="s">
        <v>6629</v>
      </c>
      <c r="F1055" s="982" t="str">
        <f>IF(E1055="","",CONCATENATE(LEFT(E1055,4),MID(E1055,6,3)))</f>
        <v>2623021</v>
      </c>
      <c r="G1055" s="1103" t="str">
        <f>IF(F1055="",G1054,F1055)</f>
        <v>2623021</v>
      </c>
      <c r="H1055" s="1102"/>
      <c r="I1055" s="947" t="str">
        <f>IF(H1055="","",CONCATENATE(G1055,H1055))</f>
        <v/>
      </c>
      <c r="J1055" s="984" t="s">
        <v>403</v>
      </c>
      <c r="K1055" s="889"/>
      <c r="L1055" s="889"/>
      <c r="M1055" s="889"/>
      <c r="N1055" s="889"/>
      <c r="O1055" s="889"/>
      <c r="P1055" s="881">
        <f>Q1055</f>
        <v>145152</v>
      </c>
      <c r="Q1055" s="1169">
        <f>ROUND(SUM(Q1056:Q1063),0)</f>
        <v>145152</v>
      </c>
      <c r="R1055" s="880"/>
      <c r="S1055" s="1270"/>
      <c r="T1055" s="880"/>
      <c r="U1055" s="993"/>
      <c r="V1055" s="993"/>
      <c r="W1055" s="986"/>
    </row>
    <row r="1056" spans="1:23" ht="14.5" customHeight="1">
      <c r="C1056" s="1037"/>
      <c r="E1056" s="989"/>
      <c r="F1056" s="988"/>
      <c r="G1056" s="1095" t="str">
        <f>IF(F1056="",G1055,F1056)</f>
        <v>2623021</v>
      </c>
      <c r="H1056" s="1016" t="s">
        <v>5534</v>
      </c>
      <c r="J1056" s="991" t="s">
        <v>6630</v>
      </c>
      <c r="K1056" s="886"/>
      <c r="L1056" s="886"/>
      <c r="M1056" s="886"/>
      <c r="N1056" s="890">
        <v>64079</v>
      </c>
      <c r="O1056" s="890">
        <v>150000</v>
      </c>
      <c r="P1056" s="886"/>
      <c r="Q1056" s="1165">
        <f>ROUND(N1056*O1056/1000000,0)</f>
        <v>9612</v>
      </c>
      <c r="R1056" s="882"/>
      <c r="S1056" s="1269"/>
      <c r="T1056" s="1254"/>
      <c r="U1056" s="996" t="s">
        <v>10820</v>
      </c>
      <c r="V1056" s="996"/>
      <c r="W1056" s="992"/>
    </row>
    <row r="1057" spans="3:23" ht="14.5" customHeight="1">
      <c r="C1057" s="1037"/>
      <c r="E1057" s="989"/>
      <c r="F1057" s="988"/>
      <c r="G1057" s="1095" t="str">
        <f t="shared" ref="G1057:G1062" si="158">IF(F1057="",G1056,F1057)</f>
        <v>2623021</v>
      </c>
      <c r="H1057" s="1016" t="s">
        <v>6000</v>
      </c>
      <c r="J1057" s="991" t="s">
        <v>6631</v>
      </c>
      <c r="K1057" s="886"/>
      <c r="L1057" s="886"/>
      <c r="M1057" s="886"/>
      <c r="N1057" s="890">
        <v>0</v>
      </c>
      <c r="O1057" s="890"/>
      <c r="P1057" s="886"/>
      <c r="Q1057" s="1165">
        <v>0</v>
      </c>
      <c r="R1057" s="882"/>
      <c r="S1057" s="1269"/>
      <c r="T1057" s="1254"/>
      <c r="U1057" s="996" t="s">
        <v>10122</v>
      </c>
      <c r="V1057" s="996"/>
      <c r="W1057" s="992"/>
    </row>
    <row r="1058" spans="3:23" ht="14.5" customHeight="1">
      <c r="C1058" s="1037"/>
      <c r="E1058" s="989"/>
      <c r="F1058" s="988"/>
      <c r="G1058" s="1095" t="str">
        <f t="shared" si="158"/>
        <v>2623021</v>
      </c>
      <c r="H1058" s="1016" t="s">
        <v>6002</v>
      </c>
      <c r="J1058" s="991" t="s">
        <v>6632</v>
      </c>
      <c r="K1058" s="886"/>
      <c r="L1058" s="886"/>
      <c r="M1058" s="886"/>
      <c r="N1058" s="890">
        <v>722387</v>
      </c>
      <c r="O1058" s="890">
        <v>100000</v>
      </c>
      <c r="P1058" s="886"/>
      <c r="Q1058" s="1165">
        <f>ROUND(N1058*O1058/1000000,0)</f>
        <v>72239</v>
      </c>
      <c r="R1058" s="882"/>
      <c r="S1058" s="1269"/>
      <c r="T1058" s="1254"/>
      <c r="U1058" s="996" t="s">
        <v>10122</v>
      </c>
      <c r="V1058" s="996"/>
      <c r="W1058" s="992"/>
    </row>
    <row r="1059" spans="3:23" ht="14.5" customHeight="1">
      <c r="C1059" s="1037"/>
      <c r="E1059" s="989"/>
      <c r="F1059" s="988"/>
      <c r="G1059" s="1095" t="str">
        <f t="shared" si="158"/>
        <v>2623021</v>
      </c>
      <c r="H1059" s="1016" t="s">
        <v>6146</v>
      </c>
      <c r="J1059" s="991" t="s">
        <v>6633</v>
      </c>
      <c r="K1059" s="886"/>
      <c r="L1059" s="886"/>
      <c r="M1059" s="886"/>
      <c r="N1059" s="890">
        <v>515010</v>
      </c>
      <c r="O1059" s="890">
        <v>100000</v>
      </c>
      <c r="P1059" s="886"/>
      <c r="Q1059" s="1165">
        <f>ROUND(N1059*O1059/1000000,0)</f>
        <v>51501</v>
      </c>
      <c r="R1059" s="882"/>
      <c r="S1059" s="1269"/>
      <c r="T1059" s="1254"/>
      <c r="U1059" s="996" t="s">
        <v>10122</v>
      </c>
      <c r="V1059" s="996"/>
      <c r="W1059" s="992"/>
    </row>
    <row r="1060" spans="3:23" ht="14.5" customHeight="1">
      <c r="C1060" s="1037"/>
      <c r="E1060" s="989"/>
      <c r="F1060" s="988"/>
      <c r="G1060" s="1095" t="str">
        <f t="shared" si="158"/>
        <v>2623021</v>
      </c>
      <c r="H1060" s="1016" t="s">
        <v>6148</v>
      </c>
      <c r="J1060" s="991" t="s">
        <v>6634</v>
      </c>
      <c r="K1060" s="886"/>
      <c r="L1060" s="886"/>
      <c r="M1060" s="886"/>
      <c r="N1060" s="890">
        <v>51985</v>
      </c>
      <c r="O1060" s="890">
        <v>120000</v>
      </c>
      <c r="P1060" s="886"/>
      <c r="Q1060" s="1165">
        <f>ROUND(N1060*O1060/1000000,0)</f>
        <v>6238</v>
      </c>
      <c r="R1060" s="882"/>
      <c r="S1060" s="1269"/>
      <c r="T1060" s="1254"/>
      <c r="U1060" s="996" t="s">
        <v>10122</v>
      </c>
      <c r="V1060" s="996"/>
      <c r="W1060" s="992" t="s">
        <v>10961</v>
      </c>
    </row>
    <row r="1061" spans="3:23" ht="14.5" customHeight="1">
      <c r="C1061" s="1037"/>
      <c r="E1061" s="989"/>
      <c r="F1061" s="988"/>
      <c r="G1061" s="1095" t="str">
        <f t="shared" si="158"/>
        <v>2623021</v>
      </c>
      <c r="H1061" s="1016" t="s">
        <v>6150</v>
      </c>
      <c r="J1061" s="991" t="s">
        <v>6635</v>
      </c>
      <c r="K1061" s="886"/>
      <c r="L1061" s="886"/>
      <c r="M1061" s="886"/>
      <c r="N1061" s="890">
        <v>25860</v>
      </c>
      <c r="O1061" s="890">
        <v>200000</v>
      </c>
      <c r="P1061" s="886"/>
      <c r="Q1061" s="1165">
        <f>ROUND(N1061*O1061/1000000,0)</f>
        <v>5172</v>
      </c>
      <c r="R1061" s="882"/>
      <c r="S1061" s="1269"/>
      <c r="T1061" s="1254"/>
      <c r="U1061" s="996" t="s">
        <v>10122</v>
      </c>
      <c r="V1061" s="996"/>
      <c r="W1061" s="992"/>
    </row>
    <row r="1062" spans="3:23" ht="14.5" customHeight="1">
      <c r="C1062" s="1037"/>
      <c r="E1062" s="989"/>
      <c r="F1062" s="988"/>
      <c r="G1062" s="1095" t="str">
        <f t="shared" si="158"/>
        <v>2623021</v>
      </c>
      <c r="H1062" s="1016" t="s">
        <v>6152</v>
      </c>
      <c r="J1062" s="991" t="s">
        <v>6636</v>
      </c>
      <c r="K1062" s="886"/>
      <c r="L1062" s="873"/>
      <c r="M1062" s="873"/>
      <c r="N1062" s="890">
        <v>10678</v>
      </c>
      <c r="O1062" s="890">
        <v>300000</v>
      </c>
      <c r="P1062" s="886"/>
      <c r="Q1062" s="1165">
        <f>ROUND(N1062*O1062/1000000,0)</f>
        <v>3203</v>
      </c>
      <c r="R1062" s="882"/>
      <c r="S1062" s="1269"/>
      <c r="T1062" s="1254"/>
      <c r="U1062" s="996" t="s">
        <v>10122</v>
      </c>
      <c r="V1062" s="996"/>
      <c r="W1062" s="992"/>
    </row>
    <row r="1063" spans="3:23" ht="14.5" customHeight="1">
      <c r="C1063" s="1036"/>
      <c r="D1063" s="999"/>
      <c r="E1063" s="1000"/>
      <c r="F1063" s="999"/>
      <c r="G1063" s="1104" t="str">
        <f>IF(F1063="",G1062,F1063)</f>
        <v>2623021</v>
      </c>
      <c r="H1063" s="1005" t="s">
        <v>10456</v>
      </c>
      <c r="I1063" s="1002"/>
      <c r="J1063" s="978" t="s">
        <v>6155</v>
      </c>
      <c r="K1063" s="893"/>
      <c r="L1063" s="893"/>
      <c r="M1063" s="893"/>
      <c r="N1063" s="893"/>
      <c r="O1063" s="893"/>
      <c r="P1063" s="893"/>
      <c r="Q1063" s="1170">
        <v>-2813.41</v>
      </c>
      <c r="R1063" s="900"/>
      <c r="S1063" s="1272"/>
      <c r="T1063" s="900"/>
      <c r="U1063" s="1006" t="s">
        <v>10612</v>
      </c>
      <c r="V1063" s="1006"/>
      <c r="W1063" s="1003"/>
    </row>
    <row r="1064" spans="3:23" ht="14.5" customHeight="1">
      <c r="C1064" s="1037" t="s">
        <v>6637</v>
      </c>
      <c r="D1064" s="988" t="str">
        <f>IF(C1064="","",CONCATENATE(LEFT(C1064,4),MID(C1064,6,2)))</f>
        <v>263101</v>
      </c>
      <c r="E1064" s="989" t="s">
        <v>10962</v>
      </c>
      <c r="F1064" s="988" t="str">
        <f>IF(E1064="","",CONCATENATE(LEFT(E1064,4),MID(E1064,6,3)))</f>
        <v>2631011</v>
      </c>
      <c r="G1064" s="1095" t="str">
        <f>IF(F1064="",G1063,F1064)</f>
        <v>2631011</v>
      </c>
      <c r="I1064" s="944" t="str">
        <f>IF(H1064="","",CONCATENATE(G1064,H1064))</f>
        <v/>
      </c>
      <c r="J1064" s="990" t="s">
        <v>6638</v>
      </c>
      <c r="K1064" s="886"/>
      <c r="L1064" s="886"/>
      <c r="M1064" s="886"/>
      <c r="N1064" s="886"/>
      <c r="O1064" s="886"/>
      <c r="P1064" s="896">
        <f>Q1064</f>
        <v>60105</v>
      </c>
      <c r="Q1064" s="1171">
        <f>ROUND(Q1065+Q1069,0)</f>
        <v>60105</v>
      </c>
      <c r="R1064" s="882"/>
      <c r="S1064" s="1269"/>
      <c r="T1064" s="1254"/>
      <c r="U1064" s="996"/>
      <c r="V1064" s="996"/>
      <c r="W1064" s="992"/>
    </row>
    <row r="1065" spans="3:23" ht="14.5" customHeight="1">
      <c r="C1065" s="987"/>
      <c r="D1065" s="988" t="str">
        <f>IF(C1065="","",CONCATENATE(LEFT(C1065,4),MID(C1065,6,2)))</f>
        <v/>
      </c>
      <c r="E1065" s="989"/>
      <c r="F1065" s="988" t="str">
        <f>IF(E1065="","",CONCATENATE(LEFT(E1065,4),MID(E1065,6,3)))</f>
        <v/>
      </c>
      <c r="G1065" s="1095" t="str">
        <f>IF(F1065="",G1064,F1065)</f>
        <v>2631011</v>
      </c>
      <c r="I1065" s="944" t="str">
        <f>IF(H1065="","",CONCATENATE(G1065,H1065))</f>
        <v/>
      </c>
      <c r="J1065" s="991" t="s">
        <v>10963</v>
      </c>
      <c r="K1065" s="886"/>
      <c r="L1065" s="873"/>
      <c r="M1065" s="873"/>
      <c r="N1065" s="886"/>
      <c r="O1065" s="886"/>
      <c r="P1065" s="886"/>
      <c r="Q1065" s="1180">
        <f>SUM(Q1066:Q1068)</f>
        <v>53474.58</v>
      </c>
      <c r="R1065" s="882"/>
      <c r="S1065" s="1269"/>
      <c r="T1065" s="1254"/>
      <c r="U1065" s="996"/>
      <c r="V1065" s="996"/>
      <c r="W1065" s="992"/>
    </row>
    <row r="1066" spans="3:23" ht="14.5" customHeight="1">
      <c r="C1066" s="987"/>
      <c r="F1066" s="988"/>
      <c r="G1066" s="1095" t="str">
        <f t="shared" ref="G1066:G1071" si="159">IF(F1066="",G1065,F1066)</f>
        <v>2631011</v>
      </c>
      <c r="H1066" s="1016" t="s">
        <v>5534</v>
      </c>
      <c r="J1066" s="991" t="s">
        <v>6641</v>
      </c>
      <c r="K1066" s="890">
        <v>34615.300000000003</v>
      </c>
      <c r="L1066" s="890">
        <v>12917</v>
      </c>
      <c r="M1066" s="890">
        <v>107749</v>
      </c>
      <c r="N1066" s="873"/>
      <c r="O1066" s="873"/>
      <c r="P1066" s="886"/>
      <c r="Q1066" s="1181">
        <f>ROUND(K1066*L1066/M1066,0)</f>
        <v>4150</v>
      </c>
      <c r="R1066" s="882"/>
      <c r="S1066" s="1269"/>
      <c r="T1066" s="1254"/>
      <c r="U1066" s="996" t="s">
        <v>10766</v>
      </c>
      <c r="V1066" s="996"/>
      <c r="W1066" s="992" t="s">
        <v>10964</v>
      </c>
    </row>
    <row r="1067" spans="3:23" ht="14.5" customHeight="1">
      <c r="C1067" s="987"/>
      <c r="F1067" s="988"/>
      <c r="G1067" s="1095" t="str">
        <f t="shared" si="159"/>
        <v>2631011</v>
      </c>
      <c r="H1067" s="1016" t="s">
        <v>6000</v>
      </c>
      <c r="J1067" s="991" t="s">
        <v>6642</v>
      </c>
      <c r="K1067" s="890">
        <v>195716.7</v>
      </c>
      <c r="L1067" s="890">
        <v>88509</v>
      </c>
      <c r="M1067" s="890">
        <v>346487</v>
      </c>
      <c r="N1067" s="873"/>
      <c r="O1067" s="873"/>
      <c r="P1067" s="886"/>
      <c r="Q1067" s="1181">
        <f>ROUND(K1067*L1067/M1067,0)</f>
        <v>49995</v>
      </c>
      <c r="R1067" s="882"/>
      <c r="S1067" s="1269"/>
      <c r="T1067" s="1254"/>
      <c r="U1067" s="996" t="s">
        <v>10122</v>
      </c>
      <c r="V1067" s="996"/>
      <c r="W1067" s="992" t="s">
        <v>10122</v>
      </c>
    </row>
    <row r="1068" spans="3:23" ht="14.5" customHeight="1">
      <c r="C1068" s="987"/>
      <c r="F1068" s="988"/>
      <c r="G1068" s="1095" t="str">
        <f t="shared" si="159"/>
        <v>2631011</v>
      </c>
      <c r="H1068" s="1016" t="s">
        <v>10456</v>
      </c>
      <c r="J1068" s="991" t="s">
        <v>6155</v>
      </c>
      <c r="K1068" s="886"/>
      <c r="L1068" s="886"/>
      <c r="M1068" s="886"/>
      <c r="N1068" s="886"/>
      <c r="O1068" s="886"/>
      <c r="P1068" s="886"/>
      <c r="Q1068" s="1167">
        <v>-670.42</v>
      </c>
      <c r="R1068" s="882"/>
      <c r="S1068" s="1269"/>
      <c r="T1068" s="1254"/>
      <c r="U1068" s="996" t="s">
        <v>10587</v>
      </c>
      <c r="V1068" s="996"/>
      <c r="W1068" s="992" t="s">
        <v>10880</v>
      </c>
    </row>
    <row r="1069" spans="3:23" ht="14.5" customHeight="1">
      <c r="C1069" s="987"/>
      <c r="D1069" s="988" t="str">
        <f>IF(C1069="","",CONCATENATE(LEFT(C1069,4),MID(C1069,6,2)))</f>
        <v/>
      </c>
      <c r="E1069" s="989"/>
      <c r="F1069" s="988" t="str">
        <f>IF(E1069="","",CONCATENATE(LEFT(E1069,4),MID(E1069,6,3)))</f>
        <v/>
      </c>
      <c r="G1069" s="1095" t="str">
        <f t="shared" si="159"/>
        <v>2631011</v>
      </c>
      <c r="I1069" s="944" t="str">
        <f>IF(H1069="","",CONCATENATE(G1069,H1069))</f>
        <v/>
      </c>
      <c r="J1069" s="991" t="s">
        <v>10965</v>
      </c>
      <c r="K1069" s="886"/>
      <c r="L1069" s="873"/>
      <c r="M1069" s="873"/>
      <c r="N1069" s="886"/>
      <c r="O1069" s="886"/>
      <c r="P1069" s="886"/>
      <c r="Q1069" s="1180">
        <f>SUM(Q1070:Q1072)</f>
        <v>6630.91</v>
      </c>
      <c r="R1069" s="882"/>
      <c r="S1069" s="1269"/>
      <c r="T1069" s="1254"/>
      <c r="U1069" s="996"/>
      <c r="V1069" s="996"/>
      <c r="W1069" s="992"/>
    </row>
    <row r="1070" spans="3:23" ht="14.5" customHeight="1">
      <c r="C1070" s="987"/>
      <c r="F1070" s="988"/>
      <c r="G1070" s="1095" t="str">
        <f t="shared" si="159"/>
        <v>2631011</v>
      </c>
      <c r="H1070" s="1016" t="s">
        <v>5602</v>
      </c>
      <c r="J1070" s="991" t="s">
        <v>6641</v>
      </c>
      <c r="K1070" s="890">
        <v>32563</v>
      </c>
      <c r="L1070" s="890">
        <v>4946</v>
      </c>
      <c r="M1070" s="890">
        <v>72594</v>
      </c>
      <c r="N1070" s="886"/>
      <c r="O1070" s="886"/>
      <c r="P1070" s="886"/>
      <c r="Q1070" s="1181">
        <f>ROUND(K1070*L1070/M1070,0)</f>
        <v>2219</v>
      </c>
      <c r="R1070" s="882"/>
      <c r="S1070" s="1269"/>
      <c r="T1070" s="1254"/>
      <c r="U1070" s="996" t="s">
        <v>10766</v>
      </c>
      <c r="V1070" s="996"/>
      <c r="W1070" s="992" t="s">
        <v>10964</v>
      </c>
    </row>
    <row r="1071" spans="3:23" ht="14.5" customHeight="1">
      <c r="C1071" s="987"/>
      <c r="F1071" s="988"/>
      <c r="G1071" s="1095" t="str">
        <f t="shared" si="159"/>
        <v>2631011</v>
      </c>
      <c r="H1071" s="1016" t="s">
        <v>5844</v>
      </c>
      <c r="J1071" s="991" t="s">
        <v>6642</v>
      </c>
      <c r="K1071" s="890">
        <v>95494</v>
      </c>
      <c r="L1071" s="890">
        <v>3233</v>
      </c>
      <c r="M1071" s="890">
        <v>70211</v>
      </c>
      <c r="N1071" s="886"/>
      <c r="O1071" s="886"/>
      <c r="P1071" s="886"/>
      <c r="Q1071" s="1181">
        <f>ROUND(K1071*L1071/M1071,0)</f>
        <v>4397</v>
      </c>
      <c r="R1071" s="882"/>
      <c r="S1071" s="1269"/>
      <c r="T1071" s="1254"/>
      <c r="U1071" s="996" t="s">
        <v>10122</v>
      </c>
      <c r="V1071" s="996"/>
      <c r="W1071" s="992" t="s">
        <v>10122</v>
      </c>
    </row>
    <row r="1072" spans="3:23" ht="14.5" customHeight="1">
      <c r="C1072" s="987"/>
      <c r="F1072" s="988"/>
      <c r="G1072" s="1095" t="str">
        <f>IF(F1072="",G1071,F1072)</f>
        <v>2631011</v>
      </c>
      <c r="H1072" s="1016" t="s">
        <v>10475</v>
      </c>
      <c r="J1072" s="991" t="s">
        <v>6155</v>
      </c>
      <c r="K1072" s="886"/>
      <c r="L1072" s="886"/>
      <c r="M1072" s="886"/>
      <c r="N1072" s="886"/>
      <c r="O1072" s="886"/>
      <c r="P1072" s="886"/>
      <c r="Q1072" s="1167">
        <v>14.91</v>
      </c>
      <c r="R1072" s="882"/>
      <c r="S1072" s="1269"/>
      <c r="T1072" s="1254"/>
      <c r="U1072" s="996" t="s">
        <v>10587</v>
      </c>
      <c r="V1072" s="996"/>
      <c r="W1072" s="992" t="s">
        <v>10880</v>
      </c>
    </row>
    <row r="1073" spans="3:23" ht="14.5" customHeight="1">
      <c r="C1073" s="1040" t="s">
        <v>6644</v>
      </c>
      <c r="D1073" s="982" t="str">
        <f>IF(C1073="","",CONCATENATE(LEFT(C1073,4),MID(C1073,6,2)))</f>
        <v>263102</v>
      </c>
      <c r="E1073" s="983" t="s">
        <v>6645</v>
      </c>
      <c r="F1073" s="982" t="str">
        <f>IF(E1073="","",CONCATENATE(LEFT(E1073,4),MID(E1073,6,3)))</f>
        <v>2631021</v>
      </c>
      <c r="G1073" s="1103" t="str">
        <f>IF(F1073="",G1069,F1073)</f>
        <v>2631021</v>
      </c>
      <c r="H1073" s="1102"/>
      <c r="I1073" s="947" t="str">
        <f>IF(H1073="","",CONCATENATE(G1073,H1073))</f>
        <v/>
      </c>
      <c r="J1073" s="984" t="s">
        <v>407</v>
      </c>
      <c r="K1073" s="889"/>
      <c r="L1073" s="889"/>
      <c r="M1073" s="889"/>
      <c r="N1073" s="889"/>
      <c r="O1073" s="889"/>
      <c r="P1073" s="881">
        <f>Q1073</f>
        <v>13907</v>
      </c>
      <c r="Q1073" s="1169">
        <f>ROUND(SUM(Q1074:Q1075),0)</f>
        <v>13907</v>
      </c>
      <c r="R1073" s="880"/>
      <c r="S1073" s="1270"/>
      <c r="T1073" s="880"/>
      <c r="U1073" s="993"/>
      <c r="V1073" s="993"/>
      <c r="W1073" s="986"/>
    </row>
    <row r="1074" spans="3:23" ht="14.5" customHeight="1">
      <c r="C1074" s="1037"/>
      <c r="E1074" s="989"/>
      <c r="F1074" s="995"/>
      <c r="G1074" s="1106" t="s">
        <v>6646</v>
      </c>
      <c r="H1074" s="1016" t="s">
        <v>5534</v>
      </c>
      <c r="J1074" s="991" t="s">
        <v>6647</v>
      </c>
      <c r="K1074" s="886"/>
      <c r="L1074" s="873"/>
      <c r="M1074" s="873"/>
      <c r="N1074" s="890">
        <v>64270</v>
      </c>
      <c r="O1074" s="890">
        <v>220000</v>
      </c>
      <c r="P1074" s="886"/>
      <c r="Q1074" s="1165">
        <f>ROUND(N1074*O1074/1000000,0)</f>
        <v>14139</v>
      </c>
      <c r="R1074" s="882"/>
      <c r="S1074" s="1269"/>
      <c r="T1074" s="1254"/>
      <c r="U1074" s="996" t="s">
        <v>10820</v>
      </c>
      <c r="V1074" s="996"/>
      <c r="W1074" s="992"/>
    </row>
    <row r="1075" spans="3:23" ht="14.5" customHeight="1">
      <c r="C1075" s="1036"/>
      <c r="D1075" s="999"/>
      <c r="E1075" s="1000"/>
      <c r="F1075" s="1018"/>
      <c r="G1075" s="1115"/>
      <c r="H1075" s="1005" t="s">
        <v>10456</v>
      </c>
      <c r="I1075" s="1002"/>
      <c r="J1075" s="978" t="s">
        <v>6155</v>
      </c>
      <c r="K1075" s="893"/>
      <c r="L1075" s="893"/>
      <c r="M1075" s="893"/>
      <c r="N1075" s="893"/>
      <c r="O1075" s="893"/>
      <c r="P1075" s="893"/>
      <c r="Q1075" s="1170">
        <v>-232.35</v>
      </c>
      <c r="R1075" s="900"/>
      <c r="S1075" s="1272"/>
      <c r="T1075" s="900"/>
      <c r="U1075" s="978" t="s">
        <v>10587</v>
      </c>
      <c r="V1075" s="1006"/>
      <c r="W1075" s="1003" t="s">
        <v>10880</v>
      </c>
    </row>
    <row r="1076" spans="3:23" ht="14.5" customHeight="1">
      <c r="C1076" s="1037" t="s">
        <v>6648</v>
      </c>
      <c r="D1076" s="988" t="str">
        <f>IF(C1076="","",CONCATENATE(LEFT(C1076,4),MID(C1076,6,2)))</f>
        <v>263103</v>
      </c>
      <c r="E1076" s="989" t="s">
        <v>10966</v>
      </c>
      <c r="F1076" s="988" t="str">
        <f>IF(E1076="","",CONCATENATE(LEFT(E1076,4),MID(E1076,6,3)))</f>
        <v>2631031</v>
      </c>
      <c r="G1076" s="1095" t="str">
        <f>IF(F1076="",G1075,F1076)</f>
        <v>2631031</v>
      </c>
      <c r="I1076" s="944" t="str">
        <f>IF(H1076="","",CONCATENATE(G1076,H1076))</f>
        <v/>
      </c>
      <c r="J1076" s="990" t="s">
        <v>6649</v>
      </c>
      <c r="K1076" s="886"/>
      <c r="L1076" s="886"/>
      <c r="M1076" s="886"/>
      <c r="N1076" s="886"/>
      <c r="O1076" s="886"/>
      <c r="P1076" s="896">
        <f>Q1076</f>
        <v>47444</v>
      </c>
      <c r="Q1076" s="1171">
        <f>ROUND(Q1077+Q1078,0)</f>
        <v>47444</v>
      </c>
      <c r="R1076" s="882"/>
      <c r="S1076" s="1269"/>
      <c r="T1076" s="1254"/>
      <c r="U1076" s="996"/>
      <c r="V1076" s="996"/>
      <c r="W1076" s="992"/>
    </row>
    <row r="1077" spans="3:23" ht="14.5" customHeight="1">
      <c r="C1077" s="987"/>
      <c r="D1077" s="988" t="str">
        <f>IF(C1077="","",CONCATENATE(LEFT(C1077,4),MID(C1077,6,2)))</f>
        <v/>
      </c>
      <c r="E1077" s="989"/>
      <c r="F1077" s="988" t="str">
        <f>IF(E1077="","",CONCATENATE(LEFT(E1077,4),MID(E1077,6,3)))</f>
        <v/>
      </c>
      <c r="G1077" s="1095" t="str">
        <f>IF(F1077="",G1076,F1077)</f>
        <v>2631031</v>
      </c>
      <c r="I1077" s="944" t="str">
        <f>IF(H1077="","",CONCATENATE(G1077,H1077))</f>
        <v/>
      </c>
      <c r="J1077" s="991" t="s">
        <v>10967</v>
      </c>
      <c r="K1077" s="886"/>
      <c r="L1077" s="886"/>
      <c r="M1077" s="886"/>
      <c r="N1077" s="886"/>
      <c r="O1077" s="886"/>
      <c r="P1077" s="886"/>
      <c r="Q1077" s="1174">
        <v>18948.97</v>
      </c>
      <c r="R1077" s="882"/>
      <c r="S1077" s="1269"/>
      <c r="T1077" s="1254"/>
      <c r="U1077" s="996" t="s">
        <v>10424</v>
      </c>
      <c r="V1077" s="996"/>
      <c r="W1077" s="992" t="s">
        <v>10880</v>
      </c>
    </row>
    <row r="1078" spans="3:23" ht="14.5" customHeight="1">
      <c r="C1078" s="987"/>
      <c r="D1078" s="988" t="str">
        <f>IF(C1078="","",CONCATENATE(LEFT(C1078,4),MID(C1078,6,2)))</f>
        <v/>
      </c>
      <c r="E1078" s="989"/>
      <c r="F1078" s="988" t="str">
        <f>IF(E1078="","",CONCATENATE(LEFT(E1078,4),MID(E1078,6,3)))</f>
        <v/>
      </c>
      <c r="G1078" s="1095" t="str">
        <f>IF(F1078="",G1077,F1078)</f>
        <v>2631031</v>
      </c>
      <c r="I1078" s="944" t="str">
        <f>IF(H1078="","",CONCATENATE(G1078,H1078))</f>
        <v/>
      </c>
      <c r="J1078" s="991" t="s">
        <v>10968</v>
      </c>
      <c r="K1078" s="882"/>
      <c r="L1078" s="882"/>
      <c r="N1078" s="873"/>
      <c r="O1078" s="873"/>
      <c r="P1078" s="886"/>
      <c r="Q1078" s="1180">
        <f>SUM(Q1079:Q1090)</f>
        <v>28495.22</v>
      </c>
      <c r="R1078" s="882"/>
      <c r="S1078" s="1269"/>
      <c r="T1078" s="1254"/>
      <c r="U1078" s="996"/>
      <c r="V1078" s="996"/>
      <c r="W1078" s="992"/>
    </row>
    <row r="1079" spans="3:23" ht="14.5" customHeight="1">
      <c r="C1079" s="987"/>
      <c r="F1079" s="988"/>
      <c r="G1079" s="1095" t="str">
        <f t="shared" ref="G1079:G1088" si="160">IF(F1079="",G1078,F1079)</f>
        <v>2631031</v>
      </c>
      <c r="H1079" s="1016" t="s">
        <v>5514</v>
      </c>
      <c r="J1079" s="991" t="s">
        <v>6652</v>
      </c>
      <c r="K1079" s="886"/>
      <c r="L1079" s="882"/>
      <c r="N1079" s="873"/>
      <c r="O1079" s="873"/>
      <c r="P1079" s="886"/>
      <c r="Q1079" s="1167">
        <v>4070</v>
      </c>
      <c r="R1079" s="882"/>
      <c r="S1079" s="1269"/>
      <c r="T1079" s="1254"/>
      <c r="U1079" s="996" t="s">
        <v>10766</v>
      </c>
      <c r="V1079" s="996"/>
      <c r="W1079" s="992"/>
    </row>
    <row r="1080" spans="3:23" ht="14.5" customHeight="1">
      <c r="C1080" s="987"/>
      <c r="F1080" s="988"/>
      <c r="G1080" s="1095" t="str">
        <f t="shared" si="160"/>
        <v>2631031</v>
      </c>
      <c r="H1080" s="1016" t="s">
        <v>10700</v>
      </c>
      <c r="J1080" s="991" t="s">
        <v>6653</v>
      </c>
      <c r="K1080" s="886"/>
      <c r="L1080" s="882"/>
      <c r="N1080" s="873"/>
      <c r="O1080" s="873"/>
      <c r="P1080" s="886"/>
      <c r="Q1080" s="1167">
        <v>15596</v>
      </c>
      <c r="R1080" s="882"/>
      <c r="S1080" s="1269"/>
      <c r="T1080" s="1254"/>
      <c r="U1080" s="996" t="s">
        <v>10122</v>
      </c>
      <c r="V1080" s="996"/>
      <c r="W1080" s="992"/>
    </row>
    <row r="1081" spans="3:23" ht="14.5" customHeight="1">
      <c r="C1081" s="987"/>
      <c r="F1081" s="988"/>
      <c r="G1081" s="1095" t="str">
        <f t="shared" si="160"/>
        <v>2631031</v>
      </c>
      <c r="H1081" s="1016" t="s">
        <v>10327</v>
      </c>
      <c r="J1081" s="991" t="s">
        <v>6566</v>
      </c>
      <c r="K1081" s="886"/>
      <c r="L1081" s="882"/>
      <c r="N1081" s="873"/>
      <c r="O1081" s="873"/>
      <c r="P1081" s="886"/>
      <c r="Q1081" s="1167">
        <v>4922</v>
      </c>
      <c r="R1081" s="882"/>
      <c r="S1081" s="1269"/>
      <c r="T1081" s="1254"/>
      <c r="U1081" s="996" t="s">
        <v>10122</v>
      </c>
      <c r="V1081" s="996"/>
      <c r="W1081" s="992"/>
    </row>
    <row r="1082" spans="3:23" ht="14.5" customHeight="1">
      <c r="C1082" s="987"/>
      <c r="F1082" s="988"/>
      <c r="G1082" s="1095" t="str">
        <f t="shared" si="160"/>
        <v>2631031</v>
      </c>
      <c r="H1082" s="1016" t="s">
        <v>6059</v>
      </c>
      <c r="J1082" s="991" t="s">
        <v>6652</v>
      </c>
      <c r="K1082" s="886"/>
      <c r="L1082" s="882"/>
      <c r="N1082" s="873"/>
      <c r="O1082" s="873"/>
      <c r="P1082" s="886"/>
      <c r="Q1082" s="1167">
        <v>300</v>
      </c>
      <c r="R1082" s="882"/>
      <c r="S1082" s="1269"/>
      <c r="T1082" s="1254"/>
      <c r="U1082" s="996" t="s">
        <v>10122</v>
      </c>
      <c r="V1082" s="996"/>
      <c r="W1082" s="992"/>
    </row>
    <row r="1083" spans="3:23" ht="14.5" customHeight="1">
      <c r="C1083" s="987"/>
      <c r="F1083" s="988"/>
      <c r="G1083" s="1095" t="str">
        <f t="shared" si="160"/>
        <v>2631031</v>
      </c>
      <c r="H1083" s="1016" t="s">
        <v>7416</v>
      </c>
      <c r="J1083" s="991" t="s">
        <v>6654</v>
      </c>
      <c r="K1083" s="886"/>
      <c r="L1083" s="882"/>
      <c r="N1083" s="873"/>
      <c r="O1083" s="873"/>
      <c r="P1083" s="886"/>
      <c r="Q1083" s="1167">
        <v>2363</v>
      </c>
      <c r="R1083" s="882"/>
      <c r="S1083" s="1269"/>
      <c r="T1083" s="1254"/>
      <c r="U1083" s="996" t="s">
        <v>10122</v>
      </c>
      <c r="V1083" s="996"/>
      <c r="W1083" s="992"/>
    </row>
    <row r="1084" spans="3:23" ht="14.5" customHeight="1">
      <c r="C1084" s="987"/>
      <c r="F1084" s="988"/>
      <c r="G1084" s="1095" t="str">
        <f t="shared" si="160"/>
        <v>2631031</v>
      </c>
      <c r="H1084" s="1016" t="s">
        <v>10907</v>
      </c>
      <c r="J1084" s="991" t="s">
        <v>6566</v>
      </c>
      <c r="K1084" s="886"/>
      <c r="L1084" s="882"/>
      <c r="N1084" s="873"/>
      <c r="O1084" s="873"/>
      <c r="P1084" s="886"/>
      <c r="Q1084" s="1167">
        <v>31</v>
      </c>
      <c r="R1084" s="882"/>
      <c r="S1084" s="1269"/>
      <c r="T1084" s="1254"/>
      <c r="U1084" s="996" t="s">
        <v>10122</v>
      </c>
      <c r="V1084" s="996"/>
      <c r="W1084" s="992"/>
    </row>
    <row r="1085" spans="3:23" ht="14.5" customHeight="1">
      <c r="C1085" s="987"/>
      <c r="F1085" s="988"/>
      <c r="G1085" s="1095" t="str">
        <f t="shared" si="160"/>
        <v>2631031</v>
      </c>
      <c r="H1085" s="1016" t="s">
        <v>6221</v>
      </c>
      <c r="J1085" s="991" t="s">
        <v>6652</v>
      </c>
      <c r="K1085" s="886"/>
      <c r="L1085" s="882"/>
      <c r="N1085" s="873"/>
      <c r="O1085" s="873"/>
      <c r="P1085" s="886"/>
      <c r="Q1085" s="1167">
        <v>0</v>
      </c>
      <c r="R1085" s="882"/>
      <c r="S1085" s="1269"/>
      <c r="T1085" s="1254"/>
      <c r="U1085" s="996" t="s">
        <v>10122</v>
      </c>
      <c r="V1085" s="996"/>
      <c r="W1085" s="992"/>
    </row>
    <row r="1086" spans="3:23" ht="14.5" customHeight="1">
      <c r="C1086" s="987"/>
      <c r="F1086" s="988"/>
      <c r="G1086" s="1095" t="str">
        <f t="shared" si="160"/>
        <v>2631031</v>
      </c>
      <c r="H1086" s="1016" t="s">
        <v>10909</v>
      </c>
      <c r="J1086" s="991" t="s">
        <v>6653</v>
      </c>
      <c r="K1086" s="886"/>
      <c r="L1086" s="882"/>
      <c r="N1086" s="873"/>
      <c r="O1086" s="873"/>
      <c r="P1086" s="886"/>
      <c r="Q1086" s="1167">
        <v>0</v>
      </c>
      <c r="R1086" s="882"/>
      <c r="S1086" s="1269"/>
      <c r="T1086" s="1254"/>
      <c r="U1086" s="996" t="s">
        <v>10122</v>
      </c>
      <c r="V1086" s="996"/>
      <c r="W1086" s="992"/>
    </row>
    <row r="1087" spans="3:23" ht="14.5" customHeight="1">
      <c r="C1087" s="987"/>
      <c r="F1087" s="988"/>
      <c r="G1087" s="1095" t="str">
        <f t="shared" si="160"/>
        <v>2631031</v>
      </c>
      <c r="H1087" s="1016" t="s">
        <v>10969</v>
      </c>
      <c r="J1087" s="991" t="s">
        <v>6566</v>
      </c>
      <c r="K1087" s="886"/>
      <c r="L1087" s="882"/>
      <c r="N1087" s="873"/>
      <c r="O1087" s="873"/>
      <c r="P1087" s="886"/>
      <c r="Q1087" s="1167">
        <v>0</v>
      </c>
      <c r="R1087" s="882"/>
      <c r="S1087" s="1269"/>
      <c r="T1087" s="1254"/>
      <c r="U1087" s="996" t="s">
        <v>10122</v>
      </c>
      <c r="V1087" s="996"/>
      <c r="W1087" s="992"/>
    </row>
    <row r="1088" spans="3:23" ht="14.5" customHeight="1">
      <c r="C1088" s="987"/>
      <c r="F1088" s="988"/>
      <c r="G1088" s="1095" t="str">
        <f t="shared" si="160"/>
        <v>2631031</v>
      </c>
      <c r="H1088" s="1016" t="s">
        <v>6012</v>
      </c>
      <c r="J1088" s="991" t="s">
        <v>6653</v>
      </c>
      <c r="K1088" s="886"/>
      <c r="L1088" s="882"/>
      <c r="N1088" s="873"/>
      <c r="O1088" s="873"/>
      <c r="P1088" s="886"/>
      <c r="Q1088" s="1167">
        <v>1182</v>
      </c>
      <c r="R1088" s="882"/>
      <c r="S1088" s="1269"/>
      <c r="T1088" s="1254"/>
      <c r="U1088" s="996" t="s">
        <v>10122</v>
      </c>
      <c r="V1088" s="996"/>
      <c r="W1088" s="992"/>
    </row>
    <row r="1089" spans="3:23" ht="14.5" customHeight="1">
      <c r="C1089" s="987"/>
      <c r="F1089" s="988"/>
      <c r="G1089" s="1095" t="str">
        <f>IF(F1089="",G1088,F1089)</f>
        <v>2631031</v>
      </c>
      <c r="H1089" s="1016" t="s">
        <v>10436</v>
      </c>
      <c r="J1089" s="991" t="s">
        <v>6566</v>
      </c>
      <c r="K1089" s="886"/>
      <c r="L1089" s="882"/>
      <c r="N1089" s="873"/>
      <c r="O1089" s="873"/>
      <c r="P1089" s="886"/>
      <c r="Q1089" s="1167">
        <v>0</v>
      </c>
      <c r="R1089" s="882"/>
      <c r="S1089" s="1269"/>
      <c r="T1089" s="1254"/>
      <c r="U1089" s="996" t="s">
        <v>10122</v>
      </c>
      <c r="V1089" s="996"/>
      <c r="W1089" s="992"/>
    </row>
    <row r="1090" spans="3:23" ht="14.5" customHeight="1">
      <c r="C1090" s="987"/>
      <c r="F1090" s="988"/>
      <c r="G1090" s="1095" t="str">
        <f>IF(F1090="",G1089,F1090)</f>
        <v>2631031</v>
      </c>
      <c r="H1090" s="1016" t="s">
        <v>10475</v>
      </c>
      <c r="J1090" s="991" t="s">
        <v>10970</v>
      </c>
      <c r="K1090" s="886"/>
      <c r="L1090" s="886"/>
      <c r="M1090" s="886"/>
      <c r="N1090" s="886"/>
      <c r="O1090" s="886"/>
      <c r="P1090" s="886"/>
      <c r="Q1090" s="1167">
        <v>31.22</v>
      </c>
      <c r="R1090" s="882"/>
      <c r="S1090" s="1269"/>
      <c r="T1090" s="1254"/>
      <c r="U1090" s="978" t="s">
        <v>10587</v>
      </c>
      <c r="V1090" s="996"/>
      <c r="W1090" s="992" t="s">
        <v>10880</v>
      </c>
    </row>
    <row r="1091" spans="3:23" ht="14.5" customHeight="1">
      <c r="C1091" s="1042" t="s">
        <v>6655</v>
      </c>
      <c r="D1091" s="1024" t="str">
        <f t="shared" ref="D1091:D1098" si="161">IF(C1091="","",CONCATENATE(LEFT(C1091,4),MID(C1091,6,2)))</f>
        <v>269901</v>
      </c>
      <c r="E1091" s="1025" t="s">
        <v>6656</v>
      </c>
      <c r="F1091" s="1024" t="str">
        <f t="shared" ref="F1091:F1098" si="162">IF(E1091="","",CONCATENATE(LEFT(E1091,4),MID(E1091,6,3)))</f>
        <v>2699011</v>
      </c>
      <c r="G1091" s="1111" t="str">
        <f>IF(F1091="",G1078,F1091)</f>
        <v>2699011</v>
      </c>
      <c r="H1091" s="1112"/>
      <c r="I1091" s="1113" t="str">
        <f t="shared" ref="I1091:I1106" si="163">IF(H1091="","",CONCATENATE(G1091,H1091))</f>
        <v/>
      </c>
      <c r="J1091" s="1026" t="s">
        <v>411</v>
      </c>
      <c r="K1091" s="912"/>
      <c r="L1091" s="913"/>
      <c r="M1091" s="913"/>
      <c r="N1091" s="912"/>
      <c r="O1091" s="912"/>
      <c r="P1091" s="914">
        <f t="shared" ref="P1091:P1096" si="164">Q1091</f>
        <v>73458</v>
      </c>
      <c r="Q1091" s="1186">
        <v>73458</v>
      </c>
      <c r="R1091" s="929"/>
      <c r="S1091" s="1280"/>
      <c r="T1091" s="929"/>
      <c r="U1091" s="1031" t="s">
        <v>10587</v>
      </c>
      <c r="V1091" s="1022"/>
      <c r="W1091" s="1027" t="s">
        <v>10880</v>
      </c>
    </row>
    <row r="1092" spans="3:23" ht="14.5" customHeight="1">
      <c r="C1092" s="1042" t="s">
        <v>6657</v>
      </c>
      <c r="D1092" s="1024" t="str">
        <f t="shared" si="161"/>
        <v>269909</v>
      </c>
      <c r="E1092" s="1025" t="s">
        <v>6658</v>
      </c>
      <c r="F1092" s="1024" t="str">
        <f t="shared" si="162"/>
        <v>2699099</v>
      </c>
      <c r="G1092" s="1111" t="str">
        <f t="shared" ref="G1092:G1097" si="165">IF(F1092="",G1091,F1092)</f>
        <v>2699099</v>
      </c>
      <c r="H1092" s="1112"/>
      <c r="I1092" s="1113" t="str">
        <f t="shared" si="163"/>
        <v/>
      </c>
      <c r="J1092" s="1026" t="s">
        <v>412</v>
      </c>
      <c r="K1092" s="913"/>
      <c r="L1092" s="913"/>
      <c r="M1092" s="913"/>
      <c r="N1092" s="912"/>
      <c r="O1092" s="912"/>
      <c r="P1092" s="914">
        <f t="shared" si="164"/>
        <v>32163</v>
      </c>
      <c r="Q1092" s="1186">
        <v>32163</v>
      </c>
      <c r="R1092" s="929"/>
      <c r="S1092" s="1280"/>
      <c r="T1092" s="929"/>
      <c r="U1092" s="1031" t="s">
        <v>10587</v>
      </c>
      <c r="V1092" s="1022"/>
      <c r="W1092" s="1027" t="s">
        <v>10880</v>
      </c>
    </row>
    <row r="1093" spans="3:23" ht="14.5" customHeight="1">
      <c r="C1093" s="1042" t="s">
        <v>6659</v>
      </c>
      <c r="D1093" s="1024" t="str">
        <f t="shared" si="161"/>
        <v>271101</v>
      </c>
      <c r="E1093" s="1025" t="s">
        <v>6660</v>
      </c>
      <c r="F1093" s="1024" t="str">
        <f t="shared" si="162"/>
        <v>2711011</v>
      </c>
      <c r="G1093" s="1111" t="str">
        <f t="shared" si="165"/>
        <v>2711011</v>
      </c>
      <c r="H1093" s="1112"/>
      <c r="I1093" s="1113" t="str">
        <f t="shared" si="163"/>
        <v/>
      </c>
      <c r="J1093" s="1026" t="s">
        <v>414</v>
      </c>
      <c r="K1093" s="912"/>
      <c r="L1093" s="912"/>
      <c r="M1093" s="912"/>
      <c r="N1093" s="912"/>
      <c r="O1093" s="912"/>
      <c r="P1093" s="914">
        <f t="shared" si="164"/>
        <v>0</v>
      </c>
      <c r="Q1093" s="1186">
        <v>0</v>
      </c>
      <c r="R1093" s="929"/>
      <c r="S1093" s="1280"/>
      <c r="T1093" s="929"/>
      <c r="U1093" s="1022"/>
      <c r="V1093" s="1022"/>
      <c r="W1093" s="1027" t="s">
        <v>10971</v>
      </c>
    </row>
    <row r="1094" spans="3:23" ht="14.5" customHeight="1">
      <c r="C1094" s="1042" t="s">
        <v>6661</v>
      </c>
      <c r="D1094" s="1024" t="str">
        <f t="shared" si="161"/>
        <v>271102</v>
      </c>
      <c r="E1094" s="1025" t="s">
        <v>6662</v>
      </c>
      <c r="F1094" s="1024" t="str">
        <f t="shared" si="162"/>
        <v>2711021</v>
      </c>
      <c r="G1094" s="1111" t="str">
        <f t="shared" si="165"/>
        <v>2711021</v>
      </c>
      <c r="H1094" s="1112"/>
      <c r="I1094" s="1113" t="str">
        <f t="shared" si="163"/>
        <v/>
      </c>
      <c r="J1094" s="1026" t="s">
        <v>6663</v>
      </c>
      <c r="K1094" s="913"/>
      <c r="L1094" s="913"/>
      <c r="M1094" s="913"/>
      <c r="N1094" s="912"/>
      <c r="O1094" s="912"/>
      <c r="P1094" s="914">
        <f t="shared" si="164"/>
        <v>5600</v>
      </c>
      <c r="Q1094" s="1186">
        <v>5600</v>
      </c>
      <c r="R1094" s="929"/>
      <c r="S1094" s="1280"/>
      <c r="T1094" s="929"/>
      <c r="U1094" s="1031" t="s">
        <v>10587</v>
      </c>
      <c r="V1094" s="1022"/>
      <c r="W1094" s="1027" t="s">
        <v>10880</v>
      </c>
    </row>
    <row r="1095" spans="3:23" ht="14.5" customHeight="1">
      <c r="C1095" s="1042" t="s">
        <v>6664</v>
      </c>
      <c r="D1095" s="1024" t="str">
        <f t="shared" si="161"/>
        <v>271103</v>
      </c>
      <c r="E1095" s="1025" t="s">
        <v>6665</v>
      </c>
      <c r="F1095" s="1024" t="str">
        <f t="shared" si="162"/>
        <v>2711031</v>
      </c>
      <c r="G1095" s="1111" t="str">
        <f t="shared" si="165"/>
        <v>2711031</v>
      </c>
      <c r="H1095" s="1112"/>
      <c r="I1095" s="1113" t="str">
        <f t="shared" si="163"/>
        <v/>
      </c>
      <c r="J1095" s="1026" t="s">
        <v>6666</v>
      </c>
      <c r="K1095" s="913"/>
      <c r="L1095" s="913"/>
      <c r="M1095" s="913"/>
      <c r="N1095" s="912"/>
      <c r="O1095" s="912"/>
      <c r="P1095" s="914">
        <f t="shared" si="164"/>
        <v>15864</v>
      </c>
      <c r="Q1095" s="1186">
        <v>15864</v>
      </c>
      <c r="R1095" s="929"/>
      <c r="S1095" s="1280"/>
      <c r="T1095" s="929"/>
      <c r="U1095" s="1031" t="s">
        <v>10587</v>
      </c>
      <c r="V1095" s="1022"/>
      <c r="W1095" s="1027" t="s">
        <v>10972</v>
      </c>
    </row>
    <row r="1096" spans="3:23" ht="14.5" customHeight="1">
      <c r="C1096" s="1042" t="s">
        <v>6667</v>
      </c>
      <c r="D1096" s="1024" t="str">
        <f t="shared" si="161"/>
        <v>271109</v>
      </c>
      <c r="E1096" s="1025" t="s">
        <v>6668</v>
      </c>
      <c r="F1096" s="1024" t="str">
        <f t="shared" si="162"/>
        <v>2711099</v>
      </c>
      <c r="G1096" s="1111" t="str">
        <f t="shared" si="165"/>
        <v>2711099</v>
      </c>
      <c r="H1096" s="1112"/>
      <c r="I1096" s="1113" t="str">
        <f t="shared" si="163"/>
        <v/>
      </c>
      <c r="J1096" s="1026" t="s">
        <v>418</v>
      </c>
      <c r="K1096" s="913"/>
      <c r="L1096" s="913"/>
      <c r="M1096" s="913"/>
      <c r="N1096" s="912"/>
      <c r="O1096" s="912"/>
      <c r="P1096" s="914">
        <f t="shared" si="164"/>
        <v>74162</v>
      </c>
      <c r="Q1096" s="1186">
        <v>74162</v>
      </c>
      <c r="R1096" s="929"/>
      <c r="S1096" s="1280"/>
      <c r="T1096" s="929"/>
      <c r="U1096" s="1031" t="s">
        <v>10612</v>
      </c>
      <c r="V1096" s="1022"/>
      <c r="W1096" s="1027" t="s">
        <v>10881</v>
      </c>
    </row>
    <row r="1097" spans="3:23" ht="14.5" customHeight="1">
      <c r="C1097" s="998"/>
      <c r="D1097" s="999" t="str">
        <f t="shared" si="161"/>
        <v/>
      </c>
      <c r="E1097" s="1000" t="s">
        <v>6669</v>
      </c>
      <c r="F1097" s="999" t="str">
        <f t="shared" si="162"/>
        <v>2712011</v>
      </c>
      <c r="G1097" s="1104" t="str">
        <f t="shared" si="165"/>
        <v>2712011</v>
      </c>
      <c r="H1097" s="1005"/>
      <c r="I1097" s="1002" t="str">
        <f t="shared" si="163"/>
        <v/>
      </c>
      <c r="J1097" s="1030" t="s">
        <v>421</v>
      </c>
      <c r="K1097" s="872"/>
      <c r="L1097" s="872"/>
      <c r="M1097" s="872"/>
      <c r="N1097" s="893"/>
      <c r="O1097" s="893"/>
      <c r="P1097" s="893"/>
      <c r="Q1097" s="1187">
        <v>0</v>
      </c>
      <c r="R1097" s="900"/>
      <c r="S1097" s="1272"/>
      <c r="T1097" s="900"/>
      <c r="U1097" s="1006"/>
      <c r="V1097" s="1006"/>
      <c r="W1097" s="1003" t="s">
        <v>10770</v>
      </c>
    </row>
    <row r="1098" spans="3:23" ht="14.5" customHeight="1">
      <c r="C1098" s="1040" t="s">
        <v>6670</v>
      </c>
      <c r="D1098" s="982" t="str">
        <f t="shared" si="161"/>
        <v>272101</v>
      </c>
      <c r="E1098" s="983" t="s">
        <v>6671</v>
      </c>
      <c r="F1098" s="982" t="str">
        <f t="shared" si="162"/>
        <v>2721011</v>
      </c>
      <c r="G1098" s="1103" t="str">
        <f>IF(F1098="",G1097,F1098)</f>
        <v>2721011</v>
      </c>
      <c r="H1098" s="1102"/>
      <c r="I1098" s="947" t="str">
        <f t="shared" si="163"/>
        <v/>
      </c>
      <c r="J1098" s="984" t="s">
        <v>6672</v>
      </c>
      <c r="K1098" s="889"/>
      <c r="L1098" s="897"/>
      <c r="M1098" s="897"/>
      <c r="N1098" s="889"/>
      <c r="O1098" s="889"/>
      <c r="P1098" s="881">
        <f>Q1098</f>
        <v>12792</v>
      </c>
      <c r="Q1098" s="1180">
        <f>ROUND(SUM(Q1099:Q1106),0)</f>
        <v>12792</v>
      </c>
      <c r="R1098" s="880"/>
      <c r="S1098" s="1270"/>
      <c r="T1098" s="880"/>
      <c r="U1098" s="993"/>
      <c r="V1098" s="993"/>
      <c r="W1098" s="986"/>
    </row>
    <row r="1099" spans="3:23" ht="14.5" customHeight="1">
      <c r="C1099" s="1037"/>
      <c r="D1099" s="995"/>
      <c r="E1099" s="989"/>
      <c r="F1099" s="995"/>
      <c r="G1099" s="1095" t="str">
        <f t="shared" ref="G1099:G1111" si="166">IF(F1099="",G1098,F1099)</f>
        <v>2721011</v>
      </c>
      <c r="H1099" s="1016" t="s">
        <v>5534</v>
      </c>
      <c r="I1099" s="944" t="str">
        <f t="shared" si="163"/>
        <v>2721011101</v>
      </c>
      <c r="J1099" s="991" t="s">
        <v>6673</v>
      </c>
      <c r="K1099" s="886"/>
      <c r="L1099" s="873"/>
      <c r="M1099" s="873"/>
      <c r="N1099" s="886"/>
      <c r="O1099" s="886"/>
      <c r="P1099" s="886"/>
      <c r="Q1099" s="1182">
        <v>909.49</v>
      </c>
      <c r="R1099" s="882"/>
      <c r="S1099" s="1269"/>
      <c r="T1099" s="1254"/>
      <c r="U1099" s="996" t="s">
        <v>10587</v>
      </c>
      <c r="V1099" s="996"/>
      <c r="W1099" s="992"/>
    </row>
    <row r="1100" spans="3:23" ht="14.5" customHeight="1">
      <c r="C1100" s="1037"/>
      <c r="D1100" s="995"/>
      <c r="E1100" s="989"/>
      <c r="F1100" s="995"/>
      <c r="G1100" s="1095" t="str">
        <f t="shared" si="166"/>
        <v>2721011</v>
      </c>
      <c r="H1100" s="1016" t="s">
        <v>6000</v>
      </c>
      <c r="I1100" s="944" t="str">
        <f t="shared" si="163"/>
        <v>2721011102</v>
      </c>
      <c r="J1100" s="991" t="s">
        <v>6674</v>
      </c>
      <c r="K1100" s="886"/>
      <c r="L1100" s="873"/>
      <c r="M1100" s="873"/>
      <c r="N1100" s="886"/>
      <c r="O1100" s="886"/>
      <c r="P1100" s="886"/>
      <c r="Q1100" s="1182">
        <v>1918.6</v>
      </c>
      <c r="R1100" s="882"/>
      <c r="S1100" s="1269"/>
      <c r="T1100" s="1254"/>
      <c r="U1100" s="996" t="s">
        <v>10587</v>
      </c>
      <c r="V1100" s="996"/>
      <c r="W1100" s="992"/>
    </row>
    <row r="1101" spans="3:23" ht="14.5" customHeight="1">
      <c r="C1101" s="1037"/>
      <c r="D1101" s="995"/>
      <c r="E1101" s="989"/>
      <c r="F1101" s="995"/>
      <c r="G1101" s="1095" t="str">
        <f t="shared" si="166"/>
        <v>2721011</v>
      </c>
      <c r="H1101" s="1016" t="s">
        <v>5602</v>
      </c>
      <c r="I1101" s="944" t="str">
        <f t="shared" si="163"/>
        <v>2721011201</v>
      </c>
      <c r="J1101" s="991" t="s">
        <v>6675</v>
      </c>
      <c r="K1101" s="886"/>
      <c r="L1101" s="873"/>
      <c r="M1101" s="873"/>
      <c r="N1101" s="886"/>
      <c r="O1101" s="886"/>
      <c r="P1101" s="886"/>
      <c r="Q1101" s="1182">
        <v>3909</v>
      </c>
      <c r="R1101" s="882"/>
      <c r="S1101" s="1269"/>
      <c r="T1101" s="1254"/>
      <c r="U1101" s="996" t="s">
        <v>10766</v>
      </c>
      <c r="V1101" s="996"/>
      <c r="W1101" s="992"/>
    </row>
    <row r="1102" spans="3:23" ht="14.5" customHeight="1">
      <c r="C1102" s="1037"/>
      <c r="D1102" s="995"/>
      <c r="E1102" s="989"/>
      <c r="F1102" s="995"/>
      <c r="G1102" s="1095" t="str">
        <f t="shared" si="166"/>
        <v>2721011</v>
      </c>
      <c r="H1102" s="1016" t="s">
        <v>5844</v>
      </c>
      <c r="I1102" s="944" t="str">
        <f t="shared" si="163"/>
        <v>2721011202</v>
      </c>
      <c r="J1102" s="991" t="s">
        <v>6676</v>
      </c>
      <c r="K1102" s="886"/>
      <c r="L1102" s="873"/>
      <c r="M1102" s="873"/>
      <c r="N1102" s="886"/>
      <c r="O1102" s="886"/>
      <c r="P1102" s="886"/>
      <c r="Q1102" s="1182">
        <v>0</v>
      </c>
      <c r="R1102" s="882"/>
      <c r="S1102" s="1269"/>
      <c r="T1102" s="1254"/>
      <c r="U1102" s="996" t="s">
        <v>10122</v>
      </c>
      <c r="V1102" s="996"/>
      <c r="W1102" s="992"/>
    </row>
    <row r="1103" spans="3:23" ht="14.5" customHeight="1">
      <c r="C1103" s="1037"/>
      <c r="D1103" s="995"/>
      <c r="E1103" s="989"/>
      <c r="F1103" s="995"/>
      <c r="G1103" s="1095" t="str">
        <f t="shared" si="166"/>
        <v>2721011</v>
      </c>
      <c r="H1103" s="1016" t="s">
        <v>7571</v>
      </c>
      <c r="I1103" s="944" t="str">
        <f t="shared" si="163"/>
        <v>2721011203</v>
      </c>
      <c r="J1103" s="991" t="s">
        <v>6677</v>
      </c>
      <c r="K1103" s="886"/>
      <c r="L1103" s="873"/>
      <c r="M1103" s="873"/>
      <c r="N1103" s="886"/>
      <c r="O1103" s="886"/>
      <c r="P1103" s="886"/>
      <c r="Q1103" s="1182">
        <v>3569</v>
      </c>
      <c r="R1103" s="882"/>
      <c r="S1103" s="1269"/>
      <c r="T1103" s="1254"/>
      <c r="U1103" s="996" t="s">
        <v>10122</v>
      </c>
      <c r="V1103" s="996"/>
      <c r="W1103" s="992"/>
    </row>
    <row r="1104" spans="3:23" ht="14.5" customHeight="1">
      <c r="C1104" s="1037"/>
      <c r="D1104" s="995"/>
      <c r="E1104" s="989"/>
      <c r="F1104" s="995"/>
      <c r="G1104" s="1095" t="str">
        <f t="shared" si="166"/>
        <v>2721011</v>
      </c>
      <c r="H1104" s="1016" t="s">
        <v>5484</v>
      </c>
      <c r="I1104" s="944" t="str">
        <f t="shared" si="163"/>
        <v>2721011301</v>
      </c>
      <c r="J1104" s="991" t="s">
        <v>6678</v>
      </c>
      <c r="K1104" s="886"/>
      <c r="L1104" s="873"/>
      <c r="M1104" s="873"/>
      <c r="N1104" s="886"/>
      <c r="O1104" s="886"/>
      <c r="P1104" s="886"/>
      <c r="Q1104" s="1182">
        <v>0</v>
      </c>
      <c r="R1104" s="882"/>
      <c r="S1104" s="1269"/>
      <c r="T1104" s="1254"/>
      <c r="U1104" s="996" t="s">
        <v>10122</v>
      </c>
      <c r="V1104" s="996"/>
      <c r="W1104" s="992"/>
    </row>
    <row r="1105" spans="3:23" ht="14.5" customHeight="1">
      <c r="C1105" s="1037"/>
      <c r="D1105" s="995"/>
      <c r="E1105" s="989"/>
      <c r="F1105" s="995"/>
      <c r="G1105" s="1095" t="str">
        <f t="shared" si="166"/>
        <v>2721011</v>
      </c>
      <c r="H1105" s="1016" t="s">
        <v>5486</v>
      </c>
      <c r="I1105" s="944" t="str">
        <f t="shared" si="163"/>
        <v>2721011401</v>
      </c>
      <c r="J1105" s="991" t="s">
        <v>6679</v>
      </c>
      <c r="K1105" s="886"/>
      <c r="L1105" s="873"/>
      <c r="M1105" s="873"/>
      <c r="N1105" s="886"/>
      <c r="O1105" s="886"/>
      <c r="P1105" s="886"/>
      <c r="Q1105" s="1182">
        <v>0</v>
      </c>
      <c r="R1105" s="882"/>
      <c r="S1105" s="1269"/>
      <c r="T1105" s="1254"/>
      <c r="U1105" s="996" t="s">
        <v>10587</v>
      </c>
      <c r="V1105" s="996"/>
      <c r="W1105" s="992"/>
    </row>
    <row r="1106" spans="3:23" ht="14.5" customHeight="1">
      <c r="C1106" s="1037"/>
      <c r="D1106" s="995"/>
      <c r="E1106" s="989"/>
      <c r="F1106" s="995"/>
      <c r="G1106" s="1095" t="str">
        <f t="shared" si="166"/>
        <v>2721011</v>
      </c>
      <c r="H1106" s="1016" t="s">
        <v>5488</v>
      </c>
      <c r="I1106" s="944" t="str">
        <f t="shared" si="163"/>
        <v>2721011501</v>
      </c>
      <c r="J1106" s="991" t="s">
        <v>6680</v>
      </c>
      <c r="K1106" s="886"/>
      <c r="L1106" s="873"/>
      <c r="M1106" s="873"/>
      <c r="N1106" s="886"/>
      <c r="O1106" s="886"/>
      <c r="P1106" s="886"/>
      <c r="Q1106" s="1182">
        <v>2485.54</v>
      </c>
      <c r="R1106" s="882"/>
      <c r="S1106" s="1269"/>
      <c r="T1106" s="1254"/>
      <c r="U1106" s="996" t="s">
        <v>10587</v>
      </c>
      <c r="V1106" s="996"/>
      <c r="W1106" s="992"/>
    </row>
    <row r="1107" spans="3:23" ht="14.5" customHeight="1">
      <c r="C1107" s="1037"/>
      <c r="D1107" s="995"/>
      <c r="E1107" s="989"/>
      <c r="F1107" s="995"/>
      <c r="G1107" s="1095" t="str">
        <f t="shared" si="166"/>
        <v>2721011</v>
      </c>
      <c r="J1107" s="991" t="s">
        <v>6681</v>
      </c>
      <c r="K1107" s="886"/>
      <c r="L1107" s="873"/>
      <c r="M1107" s="873"/>
      <c r="N1107" s="886"/>
      <c r="O1107" s="886"/>
      <c r="P1107" s="886"/>
      <c r="Q1107" s="1195"/>
      <c r="R1107" s="882"/>
      <c r="S1107" s="1269"/>
      <c r="T1107" s="1254"/>
      <c r="U1107" s="996"/>
      <c r="V1107" s="996"/>
      <c r="W1107" s="992" t="s">
        <v>10973</v>
      </c>
    </row>
    <row r="1108" spans="3:23" ht="14.5" customHeight="1">
      <c r="C1108" s="1040" t="s">
        <v>6682</v>
      </c>
      <c r="D1108" s="982" t="str">
        <f>IF(C1108="","",CONCATENATE(LEFT(C1108,4),MID(C1108,6,2)))</f>
        <v>272102</v>
      </c>
      <c r="E1108" s="983" t="s">
        <v>6683</v>
      </c>
      <c r="F1108" s="982" t="str">
        <f>IF(E1108="","",CONCATENATE(LEFT(E1108,4),MID(E1108,6,3)))</f>
        <v>2721021</v>
      </c>
      <c r="G1108" s="1103" t="str">
        <f t="shared" si="166"/>
        <v>2721021</v>
      </c>
      <c r="H1108" s="1102"/>
      <c r="I1108" s="947" t="str">
        <f>IF(H1108="","",CONCATENATE(G1108,H1108))</f>
        <v/>
      </c>
      <c r="J1108" s="984" t="s">
        <v>424</v>
      </c>
      <c r="K1108" s="889"/>
      <c r="L1108" s="889"/>
      <c r="M1108" s="889"/>
      <c r="N1108" s="889"/>
      <c r="O1108" s="889"/>
      <c r="P1108" s="881">
        <f>Q1108</f>
        <v>10</v>
      </c>
      <c r="Q1108" s="1169">
        <f>ROUND(SUM(Q1109:Q1111),0)</f>
        <v>10</v>
      </c>
      <c r="R1108" s="880"/>
      <c r="S1108" s="1270"/>
      <c r="T1108" s="880"/>
      <c r="U1108" s="993"/>
      <c r="V1108" s="993"/>
      <c r="W1108" s="986"/>
    </row>
    <row r="1109" spans="3:23" ht="14.5" customHeight="1">
      <c r="C1109" s="1037"/>
      <c r="E1109" s="989"/>
      <c r="F1109" s="988"/>
      <c r="G1109" s="1095" t="str">
        <f t="shared" si="166"/>
        <v>2721021</v>
      </c>
      <c r="H1109" s="1016" t="s">
        <v>5534</v>
      </c>
      <c r="I1109" s="944" t="str">
        <f>IF(H1109="","",CONCATENATE(G1109,H1109))</f>
        <v>2721021101</v>
      </c>
      <c r="J1109" s="991" t="s">
        <v>6684</v>
      </c>
      <c r="K1109" s="890">
        <v>69810.2</v>
      </c>
      <c r="L1109" s="890">
        <v>14.25</v>
      </c>
      <c r="M1109" s="890">
        <v>113992.4</v>
      </c>
      <c r="N1109" s="886"/>
      <c r="O1109" s="886"/>
      <c r="P1109" s="886"/>
      <c r="Q1109" s="1181">
        <f>ROUND(K1109*L1109/M1109,0)</f>
        <v>9</v>
      </c>
      <c r="R1109" s="882"/>
      <c r="S1109" s="1269"/>
      <c r="T1109" s="1254"/>
      <c r="U1109" s="996" t="s">
        <v>10587</v>
      </c>
      <c r="V1109" s="996"/>
      <c r="W1109" s="992" t="s">
        <v>10974</v>
      </c>
    </row>
    <row r="1110" spans="3:23" ht="14.5" customHeight="1">
      <c r="C1110" s="1037"/>
      <c r="E1110" s="989"/>
      <c r="F1110" s="988"/>
      <c r="G1110" s="1095" t="str">
        <f t="shared" si="166"/>
        <v>2721021</v>
      </c>
      <c r="H1110" s="1016" t="s">
        <v>5602</v>
      </c>
      <c r="I1110" s="944" t="str">
        <f>IF(H1110="","",CONCATENATE(G1110,H1110))</f>
        <v>2721021201</v>
      </c>
      <c r="J1110" s="991" t="s">
        <v>6685</v>
      </c>
      <c r="K1110" s="890">
        <v>82317.8</v>
      </c>
      <c r="L1110" s="890">
        <v>0</v>
      </c>
      <c r="M1110" s="890">
        <v>37464.61</v>
      </c>
      <c r="N1110" s="886"/>
      <c r="O1110" s="886"/>
      <c r="P1110" s="886"/>
      <c r="Q1110" s="1181">
        <f>ROUND(K1110*L1110/M1110,0)</f>
        <v>0</v>
      </c>
      <c r="R1110" s="882"/>
      <c r="S1110" s="1269"/>
      <c r="T1110" s="1254"/>
      <c r="U1110" s="996" t="s">
        <v>10122</v>
      </c>
      <c r="V1110" s="996"/>
      <c r="W1110" s="992" t="s">
        <v>10122</v>
      </c>
    </row>
    <row r="1111" spans="3:23" ht="14.5" customHeight="1">
      <c r="C1111" s="1036"/>
      <c r="D1111" s="999"/>
      <c r="E1111" s="1000"/>
      <c r="F1111" s="999"/>
      <c r="G1111" s="1104" t="str">
        <f t="shared" si="166"/>
        <v>2721021</v>
      </c>
      <c r="H1111" s="1005" t="s">
        <v>10456</v>
      </c>
      <c r="I1111" s="1002" t="str">
        <f>IF(H1111="","",CONCATENATE(G1111,H1111))</f>
        <v>2721021Y01</v>
      </c>
      <c r="J1111" s="978" t="s">
        <v>6017</v>
      </c>
      <c r="K1111" s="893"/>
      <c r="L1111" s="893"/>
      <c r="M1111" s="893"/>
      <c r="N1111" s="893"/>
      <c r="O1111" s="893"/>
      <c r="P1111" s="893"/>
      <c r="Q1111" s="1170">
        <v>0.94</v>
      </c>
      <c r="R1111" s="900"/>
      <c r="S1111" s="1272"/>
      <c r="T1111" s="900"/>
      <c r="U1111" s="1006" t="s">
        <v>10587</v>
      </c>
      <c r="V1111" s="1006"/>
      <c r="W1111" s="1003" t="s">
        <v>10880</v>
      </c>
    </row>
    <row r="1112" spans="3:23" ht="14.5" customHeight="1">
      <c r="C1112" s="1042" t="s">
        <v>6686</v>
      </c>
      <c r="D1112" s="1024" t="str">
        <f>IF(C1112="","",CONCATENATE(LEFT(C1112,4),MID(C1112,6,2)))</f>
        <v>272901</v>
      </c>
      <c r="E1112" s="1025" t="s">
        <v>6687</v>
      </c>
      <c r="F1112" s="1024" t="str">
        <f>IF(E1112="","",CONCATENATE(LEFT(E1112,4),MID(E1112,6,3)))</f>
        <v>2729011</v>
      </c>
      <c r="G1112" s="1111" t="str">
        <f>IF(F1112="",G1108,F1112)</f>
        <v>2729011</v>
      </c>
      <c r="H1112" s="1112"/>
      <c r="I1112" s="1113" t="str">
        <f>IF(H1112="","",CONCATENATE(G1112,H1112))</f>
        <v/>
      </c>
      <c r="J1112" s="1026" t="s">
        <v>426</v>
      </c>
      <c r="K1112" s="912"/>
      <c r="L1112" s="912"/>
      <c r="M1112" s="912"/>
      <c r="N1112" s="912"/>
      <c r="O1112" s="912"/>
      <c r="P1112" s="914">
        <f>Q1112</f>
        <v>4803</v>
      </c>
      <c r="Q1112" s="1186">
        <v>4803</v>
      </c>
      <c r="R1112" s="929"/>
      <c r="S1112" s="1280"/>
      <c r="T1112" s="929"/>
      <c r="U1112" s="1022" t="s">
        <v>10587</v>
      </c>
      <c r="V1112" s="1022"/>
      <c r="W1112" s="1027"/>
    </row>
    <row r="1113" spans="3:23" ht="14.5" customHeight="1">
      <c r="C1113" s="1040" t="s">
        <v>6688</v>
      </c>
      <c r="D1113" s="982" t="str">
        <f>IF(C1113="","",CONCATENATE(LEFT(C1113,4),MID(C1113,6,2)))</f>
        <v>272902</v>
      </c>
      <c r="E1113" s="983" t="s">
        <v>6689</v>
      </c>
      <c r="F1113" s="982" t="str">
        <f>IF(E1113="","",CONCATENATE(LEFT(E1113,4),MID(E1113,6,3)))</f>
        <v>2729021</v>
      </c>
      <c r="G1113" s="1103" t="str">
        <f>IF(F1113="",G1112,F1113)</f>
        <v>2729021</v>
      </c>
      <c r="H1113" s="1102"/>
      <c r="I1113" s="947" t="str">
        <f t="shared" ref="I1113:I1127" si="167">IF(H1113="","",CONCATENATE(G1113,H1113))</f>
        <v/>
      </c>
      <c r="J1113" s="984" t="s">
        <v>427</v>
      </c>
      <c r="K1113" s="889"/>
      <c r="L1113" s="897"/>
      <c r="M1113" s="897"/>
      <c r="N1113" s="889"/>
      <c r="O1113" s="889"/>
      <c r="P1113" s="881">
        <f>Q1113</f>
        <v>180</v>
      </c>
      <c r="Q1113" s="1169">
        <f>ROUND(SUM(Q1114:Q1121),0)</f>
        <v>180</v>
      </c>
      <c r="R1113" s="880"/>
      <c r="S1113" s="1269"/>
      <c r="T1113" s="1254"/>
      <c r="U1113" s="996"/>
      <c r="V1113" s="993"/>
      <c r="W1113" s="986"/>
    </row>
    <row r="1114" spans="3:23" ht="14.5" customHeight="1">
      <c r="C1114" s="1037"/>
      <c r="D1114" s="995"/>
      <c r="E1114" s="989"/>
      <c r="F1114" s="995"/>
      <c r="G1114" s="1095" t="str">
        <f t="shared" ref="G1114:G1121" si="168">IF(F1114="",G1113,F1114)</f>
        <v>2729021</v>
      </c>
      <c r="H1114" s="1016" t="s">
        <v>5534</v>
      </c>
      <c r="I1114" s="944" t="str">
        <f t="shared" si="167"/>
        <v>2729021101</v>
      </c>
      <c r="J1114" s="991" t="s">
        <v>6690</v>
      </c>
      <c r="K1114" s="886"/>
      <c r="L1114" s="890">
        <v>0</v>
      </c>
      <c r="M1114" s="873"/>
      <c r="N1114" s="886"/>
      <c r="O1114" s="886"/>
      <c r="P1114" s="886"/>
      <c r="Q1114" s="1181">
        <v>0</v>
      </c>
      <c r="R1114" s="882"/>
      <c r="S1114" s="1269"/>
      <c r="T1114" s="1254"/>
      <c r="U1114" s="996" t="s">
        <v>10766</v>
      </c>
      <c r="V1114" s="996"/>
      <c r="W1114" s="992"/>
    </row>
    <row r="1115" spans="3:23" ht="14.5" customHeight="1">
      <c r="C1115" s="1037"/>
      <c r="D1115" s="995"/>
      <c r="E1115" s="989"/>
      <c r="F1115" s="995"/>
      <c r="G1115" s="1095" t="str">
        <f t="shared" si="168"/>
        <v>2729021</v>
      </c>
      <c r="H1115" s="1016" t="s">
        <v>6000</v>
      </c>
      <c r="I1115" s="944" t="str">
        <f t="shared" si="167"/>
        <v>2729021102</v>
      </c>
      <c r="J1115" s="991" t="s">
        <v>6691</v>
      </c>
      <c r="K1115" s="886"/>
      <c r="L1115" s="890">
        <v>0</v>
      </c>
      <c r="M1115" s="873"/>
      <c r="N1115" s="886"/>
      <c r="O1115" s="886"/>
      <c r="P1115" s="886"/>
      <c r="Q1115" s="1165">
        <v>0</v>
      </c>
      <c r="R1115" s="882"/>
      <c r="S1115" s="1269"/>
      <c r="T1115" s="1254"/>
      <c r="U1115" s="996" t="s">
        <v>10122</v>
      </c>
      <c r="V1115" s="996"/>
      <c r="W1115" s="992"/>
    </row>
    <row r="1116" spans="3:23" ht="14.5" customHeight="1">
      <c r="C1116" s="1037"/>
      <c r="D1116" s="995"/>
      <c r="E1116" s="989"/>
      <c r="F1116" s="995"/>
      <c r="G1116" s="1095" t="str">
        <f t="shared" si="168"/>
        <v>2729021</v>
      </c>
      <c r="H1116" s="1016" t="s">
        <v>6002</v>
      </c>
      <c r="I1116" s="944" t="str">
        <f t="shared" si="167"/>
        <v>2729021103</v>
      </c>
      <c r="J1116" s="991" t="s">
        <v>6692</v>
      </c>
      <c r="K1116" s="886"/>
      <c r="L1116" s="890">
        <v>0</v>
      </c>
      <c r="M1116" s="873"/>
      <c r="N1116" s="886"/>
      <c r="O1116" s="886"/>
      <c r="P1116" s="886"/>
      <c r="Q1116" s="1165">
        <v>0</v>
      </c>
      <c r="R1116" s="882"/>
      <c r="S1116" s="1269"/>
      <c r="T1116" s="1254"/>
      <c r="U1116" s="996" t="s">
        <v>10122</v>
      </c>
      <c r="V1116" s="996"/>
      <c r="W1116" s="992"/>
    </row>
    <row r="1117" spans="3:23" ht="14.5" customHeight="1">
      <c r="C1117" s="1037"/>
      <c r="D1117" s="995"/>
      <c r="E1117" s="989"/>
      <c r="F1117" s="995"/>
      <c r="G1117" s="1095" t="str">
        <f t="shared" si="168"/>
        <v>2729021</v>
      </c>
      <c r="H1117" s="1016" t="s">
        <v>6146</v>
      </c>
      <c r="I1117" s="944" t="str">
        <f t="shared" si="167"/>
        <v>2729021104</v>
      </c>
      <c r="J1117" s="991" t="s">
        <v>6693</v>
      </c>
      <c r="K1117" s="890">
        <v>22727</v>
      </c>
      <c r="L1117" s="890">
        <v>384</v>
      </c>
      <c r="M1117" s="890">
        <v>30418</v>
      </c>
      <c r="N1117" s="886"/>
      <c r="O1117" s="886"/>
      <c r="P1117" s="886"/>
      <c r="Q1117" s="1181">
        <f>ROUND(K1117*L1117/M1117,0)</f>
        <v>287</v>
      </c>
      <c r="R1117" s="882"/>
      <c r="S1117" s="1269"/>
      <c r="T1117" s="1254"/>
      <c r="U1117" s="996" t="s">
        <v>10122</v>
      </c>
      <c r="V1117" s="996"/>
      <c r="W1117" s="992" t="s">
        <v>10975</v>
      </c>
    </row>
    <row r="1118" spans="3:23" ht="14.5" customHeight="1">
      <c r="C1118" s="1037"/>
      <c r="D1118" s="995"/>
      <c r="E1118" s="989"/>
      <c r="F1118" s="995"/>
      <c r="G1118" s="1095" t="str">
        <f t="shared" si="168"/>
        <v>2729021</v>
      </c>
      <c r="H1118" s="1016" t="s">
        <v>6148</v>
      </c>
      <c r="I1118" s="944" t="str">
        <f t="shared" si="167"/>
        <v>2729021105</v>
      </c>
      <c r="J1118" s="991" t="s">
        <v>6694</v>
      </c>
      <c r="K1118" s="886"/>
      <c r="L1118" s="890">
        <v>0</v>
      </c>
      <c r="M1118" s="873"/>
      <c r="N1118" s="886"/>
      <c r="O1118" s="886"/>
      <c r="P1118" s="886"/>
      <c r="Q1118" s="1165">
        <v>0</v>
      </c>
      <c r="R1118" s="882"/>
      <c r="S1118" s="1269"/>
      <c r="T1118" s="1254"/>
      <c r="U1118" s="996" t="s">
        <v>10122</v>
      </c>
      <c r="V1118" s="996"/>
      <c r="W1118" s="992"/>
    </row>
    <row r="1119" spans="3:23" ht="14.5" customHeight="1">
      <c r="C1119" s="1037"/>
      <c r="D1119" s="995"/>
      <c r="E1119" s="989"/>
      <c r="F1119" s="995"/>
      <c r="G1119" s="1095" t="str">
        <f t="shared" si="168"/>
        <v>2729021</v>
      </c>
      <c r="H1119" s="1016" t="s">
        <v>6150</v>
      </c>
      <c r="I1119" s="944" t="str">
        <f t="shared" si="167"/>
        <v>2729021106</v>
      </c>
      <c r="J1119" s="991" t="s">
        <v>6695</v>
      </c>
      <c r="K1119" s="886"/>
      <c r="L1119" s="890">
        <v>0</v>
      </c>
      <c r="M1119" s="873"/>
      <c r="N1119" s="886"/>
      <c r="O1119" s="886"/>
      <c r="P1119" s="886"/>
      <c r="Q1119" s="1165">
        <v>0</v>
      </c>
      <c r="R1119" s="882"/>
      <c r="S1119" s="1269"/>
      <c r="T1119" s="1254"/>
      <c r="U1119" s="996" t="s">
        <v>10122</v>
      </c>
      <c r="V1119" s="996"/>
      <c r="W1119" s="992"/>
    </row>
    <row r="1120" spans="3:23" ht="14.5" customHeight="1">
      <c r="C1120" s="1037"/>
      <c r="D1120" s="995"/>
      <c r="E1120" s="989"/>
      <c r="F1120" s="995"/>
      <c r="G1120" s="1095" t="str">
        <f t="shared" si="168"/>
        <v>2729021</v>
      </c>
      <c r="H1120" s="1016" t="s">
        <v>6152</v>
      </c>
      <c r="I1120" s="944" t="str">
        <f t="shared" si="167"/>
        <v>2729021107</v>
      </c>
      <c r="J1120" s="991" t="s">
        <v>6696</v>
      </c>
      <c r="K1120" s="886"/>
      <c r="L1120" s="890">
        <v>0</v>
      </c>
      <c r="M1120" s="873"/>
      <c r="N1120" s="886"/>
      <c r="O1120" s="886"/>
      <c r="P1120" s="886"/>
      <c r="Q1120" s="1165">
        <v>0</v>
      </c>
      <c r="R1120" s="882"/>
      <c r="S1120" s="1269"/>
      <c r="T1120" s="1254"/>
      <c r="U1120" s="996" t="s">
        <v>10122</v>
      </c>
      <c r="V1120" s="996"/>
      <c r="W1120" s="992"/>
    </row>
    <row r="1121" spans="3:23" ht="14.5" customHeight="1">
      <c r="C1121" s="1036"/>
      <c r="D1121" s="1018"/>
      <c r="E1121" s="1000"/>
      <c r="F1121" s="1018"/>
      <c r="G1121" s="1104" t="str">
        <f t="shared" si="168"/>
        <v>2729021</v>
      </c>
      <c r="H1121" s="1005" t="s">
        <v>10456</v>
      </c>
      <c r="I1121" s="1002" t="str">
        <f t="shared" si="167"/>
        <v>2729021Y01</v>
      </c>
      <c r="J1121" s="978" t="s">
        <v>6017</v>
      </c>
      <c r="K1121" s="893"/>
      <c r="L1121" s="872"/>
      <c r="M1121" s="872"/>
      <c r="N1121" s="893"/>
      <c r="O1121" s="893"/>
      <c r="P1121" s="893"/>
      <c r="Q1121" s="1170">
        <v>-107.24</v>
      </c>
      <c r="R1121" s="900"/>
      <c r="S1121" s="1272"/>
      <c r="T1121" s="900"/>
      <c r="U1121" s="1006" t="s">
        <v>10587</v>
      </c>
      <c r="V1121" s="1006"/>
      <c r="W1121" s="1003"/>
    </row>
    <row r="1122" spans="3:23" ht="14.5" customHeight="1">
      <c r="C1122" s="1042" t="s">
        <v>6697</v>
      </c>
      <c r="D1122" s="1024" t="str">
        <f t="shared" ref="D1122:D1127" si="169">IF(C1122="","",CONCATENATE(LEFT(C1122,4),MID(C1122,6,2)))</f>
        <v>272903</v>
      </c>
      <c r="E1122" s="1025" t="s">
        <v>10976</v>
      </c>
      <c r="F1122" s="1024" t="str">
        <f t="shared" ref="F1122:F1127" si="170">IF(E1122="","",CONCATENATE(LEFT(E1122,4),MID(E1122,6,3)))</f>
        <v>2729031</v>
      </c>
      <c r="G1122" s="1111" t="str">
        <f>IF(F1122="",G1113,F1122)</f>
        <v>2729031</v>
      </c>
      <c r="H1122" s="1112"/>
      <c r="I1122" s="1113" t="str">
        <f t="shared" si="167"/>
        <v/>
      </c>
      <c r="J1122" s="1026" t="s">
        <v>428</v>
      </c>
      <c r="K1122" s="912"/>
      <c r="L1122" s="913"/>
      <c r="M1122" s="913"/>
      <c r="N1122" s="912"/>
      <c r="O1122" s="912"/>
      <c r="P1122" s="914">
        <f t="shared" ref="P1122:P1127" si="171">Q1122</f>
        <v>36159</v>
      </c>
      <c r="Q1122" s="1186">
        <v>36159</v>
      </c>
      <c r="R1122" s="929"/>
      <c r="S1122" s="1280"/>
      <c r="T1122" s="929"/>
      <c r="U1122" s="1031" t="s">
        <v>10587</v>
      </c>
      <c r="V1122" s="1022"/>
      <c r="W1122" s="1027"/>
    </row>
    <row r="1123" spans="3:23" ht="14.5" customHeight="1">
      <c r="C1123" s="1042" t="s">
        <v>6699</v>
      </c>
      <c r="D1123" s="1024" t="str">
        <f t="shared" si="169"/>
        <v>272904</v>
      </c>
      <c r="E1123" s="1025" t="s">
        <v>6700</v>
      </c>
      <c r="F1123" s="1024" t="str">
        <f t="shared" si="170"/>
        <v>2729041</v>
      </c>
      <c r="G1123" s="1111" t="str">
        <f>IF(F1123="",G1122,F1123)</f>
        <v>2729041</v>
      </c>
      <c r="H1123" s="1112"/>
      <c r="I1123" s="1113" t="str">
        <f t="shared" si="167"/>
        <v/>
      </c>
      <c r="J1123" s="1030" t="s">
        <v>429</v>
      </c>
      <c r="K1123" s="893"/>
      <c r="L1123" s="893"/>
      <c r="M1123" s="893"/>
      <c r="N1123" s="893"/>
      <c r="O1123" s="893"/>
      <c r="P1123" s="888">
        <f t="shared" si="171"/>
        <v>0</v>
      </c>
      <c r="Q1123" s="1174">
        <v>0</v>
      </c>
      <c r="R1123" s="882"/>
      <c r="S1123" s="1269"/>
      <c r="T1123" s="1254"/>
      <c r="U1123" s="1031" t="s">
        <v>10587</v>
      </c>
      <c r="V1123" s="1006"/>
      <c r="W1123" s="1003" t="s">
        <v>10977</v>
      </c>
    </row>
    <row r="1124" spans="3:23" ht="14.5" customHeight="1">
      <c r="C1124" s="1042" t="s">
        <v>6701</v>
      </c>
      <c r="D1124" s="1024" t="str">
        <f t="shared" si="169"/>
        <v>272909</v>
      </c>
      <c r="E1124" s="1025" t="s">
        <v>6702</v>
      </c>
      <c r="F1124" s="1024" t="str">
        <f t="shared" si="170"/>
        <v>2729099</v>
      </c>
      <c r="G1124" s="1111" t="str">
        <f>IF(F1124="",G1123,F1124)</f>
        <v>2729099</v>
      </c>
      <c r="H1124" s="1112"/>
      <c r="I1124" s="1113" t="str">
        <f t="shared" si="167"/>
        <v/>
      </c>
      <c r="J1124" s="1026" t="s">
        <v>430</v>
      </c>
      <c r="K1124" s="912"/>
      <c r="L1124" s="913"/>
      <c r="M1124" s="913"/>
      <c r="N1124" s="912"/>
      <c r="O1124" s="912"/>
      <c r="P1124" s="914">
        <f t="shared" si="171"/>
        <v>100157</v>
      </c>
      <c r="Q1124" s="1186">
        <v>100157</v>
      </c>
      <c r="R1124" s="929"/>
      <c r="S1124" s="1280"/>
      <c r="T1124" s="929"/>
      <c r="U1124" s="1031" t="s">
        <v>10587</v>
      </c>
      <c r="V1124" s="1022"/>
      <c r="W1124" s="1027"/>
    </row>
    <row r="1125" spans="3:23" ht="14.5" customHeight="1">
      <c r="C1125" s="1042" t="s">
        <v>6703</v>
      </c>
      <c r="D1125" s="1024" t="str">
        <f t="shared" si="169"/>
        <v>281101</v>
      </c>
      <c r="E1125" s="1025" t="s">
        <v>6704</v>
      </c>
      <c r="F1125" s="1024" t="str">
        <f t="shared" si="170"/>
        <v>2811011</v>
      </c>
      <c r="G1125" s="1111" t="str">
        <f>IF(F1125="",G1124,F1125)</f>
        <v>2811011</v>
      </c>
      <c r="H1125" s="1112"/>
      <c r="I1125" s="1113" t="str">
        <f t="shared" si="167"/>
        <v/>
      </c>
      <c r="J1125" s="1026" t="s">
        <v>432</v>
      </c>
      <c r="K1125" s="912"/>
      <c r="L1125" s="913"/>
      <c r="M1125" s="913"/>
      <c r="N1125" s="912"/>
      <c r="O1125" s="912"/>
      <c r="P1125" s="914">
        <f t="shared" si="171"/>
        <v>116986</v>
      </c>
      <c r="Q1125" s="1186">
        <v>116986</v>
      </c>
      <c r="R1125" s="929"/>
      <c r="S1125" s="1280"/>
      <c r="T1125" s="929"/>
      <c r="U1125" s="1031" t="s">
        <v>10587</v>
      </c>
      <c r="V1125" s="1022"/>
      <c r="W1125" s="1027"/>
    </row>
    <row r="1126" spans="3:23" ht="14.5" customHeight="1">
      <c r="C1126" s="1042" t="s">
        <v>6705</v>
      </c>
      <c r="D1126" s="1024" t="str">
        <f t="shared" si="169"/>
        <v>281201</v>
      </c>
      <c r="E1126" s="1025" t="s">
        <v>6706</v>
      </c>
      <c r="F1126" s="1024" t="str">
        <f t="shared" si="170"/>
        <v>2812011</v>
      </c>
      <c r="G1126" s="1111" t="str">
        <f>IF(F1126="",G1125,F1126)</f>
        <v>2812011</v>
      </c>
      <c r="H1126" s="1112"/>
      <c r="I1126" s="1113" t="str">
        <f t="shared" si="167"/>
        <v/>
      </c>
      <c r="J1126" s="1026" t="s">
        <v>435</v>
      </c>
      <c r="K1126" s="912"/>
      <c r="L1126" s="913"/>
      <c r="M1126" s="913"/>
      <c r="N1126" s="912"/>
      <c r="O1126" s="912"/>
      <c r="P1126" s="914">
        <f t="shared" si="171"/>
        <v>46431</v>
      </c>
      <c r="Q1126" s="1186">
        <v>46431</v>
      </c>
      <c r="R1126" s="929"/>
      <c r="S1126" s="1280"/>
      <c r="T1126" s="929"/>
      <c r="U1126" s="1031" t="s">
        <v>10587</v>
      </c>
      <c r="V1126" s="1022"/>
      <c r="W1126" s="1027"/>
    </row>
    <row r="1127" spans="3:23" ht="14.5" customHeight="1">
      <c r="C1127" s="1040" t="s">
        <v>6707</v>
      </c>
      <c r="D1127" s="982" t="str">
        <f t="shared" si="169"/>
        <v>289101</v>
      </c>
      <c r="E1127" s="983" t="s">
        <v>6708</v>
      </c>
      <c r="F1127" s="982" t="str">
        <f t="shared" si="170"/>
        <v>2891011</v>
      </c>
      <c r="G1127" s="1103" t="str">
        <f>IF(F1127="",G1126,F1127)</f>
        <v>2891011</v>
      </c>
      <c r="H1127" s="1102"/>
      <c r="I1127" s="947" t="str">
        <f t="shared" si="167"/>
        <v/>
      </c>
      <c r="J1127" s="1028" t="s">
        <v>6709</v>
      </c>
      <c r="K1127" s="889"/>
      <c r="L1127" s="897"/>
      <c r="M1127" s="897"/>
      <c r="N1127" s="889"/>
      <c r="O1127" s="889"/>
      <c r="P1127" s="881">
        <f t="shared" si="171"/>
        <v>143092</v>
      </c>
      <c r="Q1127" s="1169">
        <f>ROUND(SUM(Q1128:Q1141),0)</f>
        <v>143092</v>
      </c>
      <c r="R1127" s="880"/>
      <c r="S1127" s="1270"/>
      <c r="T1127" s="880"/>
      <c r="U1127" s="985"/>
      <c r="V1127" s="993"/>
      <c r="W1127" s="986" t="s">
        <v>10978</v>
      </c>
    </row>
    <row r="1128" spans="3:23" ht="14.5" customHeight="1">
      <c r="C1128" s="1037"/>
      <c r="D1128" s="995"/>
      <c r="E1128" s="989"/>
      <c r="F1128" s="995"/>
      <c r="G1128" s="1106"/>
      <c r="J1128" s="992" t="s">
        <v>6710</v>
      </c>
      <c r="K1128" s="886"/>
      <c r="L1128" s="873"/>
      <c r="M1128" s="873"/>
      <c r="N1128" s="886"/>
      <c r="O1128" s="886"/>
      <c r="P1128" s="886"/>
      <c r="Q1128" s="1167">
        <v>0</v>
      </c>
      <c r="R1128" s="882"/>
      <c r="S1128" s="1269"/>
      <c r="T1128" s="1254"/>
      <c r="U1128" s="991" t="s">
        <v>10766</v>
      </c>
      <c r="V1128" s="996"/>
      <c r="W1128" s="992"/>
    </row>
    <row r="1129" spans="3:23" ht="14.5" customHeight="1">
      <c r="C1129" s="1037"/>
      <c r="D1129" s="995"/>
      <c r="E1129" s="989"/>
      <c r="F1129" s="995"/>
      <c r="G1129" s="1106"/>
      <c r="J1129" s="992" t="s">
        <v>6711</v>
      </c>
      <c r="K1129" s="886"/>
      <c r="L1129" s="873"/>
      <c r="M1129" s="873"/>
      <c r="N1129" s="886"/>
      <c r="O1129" s="886"/>
      <c r="P1129" s="886"/>
      <c r="Q1129" s="1167">
        <v>52787</v>
      </c>
      <c r="R1129" s="882"/>
      <c r="S1129" s="1269"/>
      <c r="T1129" s="1254"/>
      <c r="U1129" s="991" t="s">
        <v>10122</v>
      </c>
      <c r="V1129" s="996"/>
      <c r="W1129" s="992"/>
    </row>
    <row r="1130" spans="3:23" ht="14.5" customHeight="1">
      <c r="C1130" s="1037"/>
      <c r="D1130" s="995"/>
      <c r="E1130" s="989"/>
      <c r="F1130" s="995"/>
      <c r="G1130" s="1106"/>
      <c r="J1130" s="992" t="s">
        <v>6712</v>
      </c>
      <c r="K1130" s="886"/>
      <c r="L1130" s="873"/>
      <c r="M1130" s="873"/>
      <c r="N1130" s="886"/>
      <c r="O1130" s="886"/>
      <c r="P1130" s="886"/>
      <c r="Q1130" s="1167">
        <v>21937.05</v>
      </c>
      <c r="R1130" s="882"/>
      <c r="S1130" s="1269"/>
      <c r="T1130" s="1254"/>
      <c r="U1130" s="991" t="s">
        <v>10424</v>
      </c>
      <c r="V1130" s="996"/>
      <c r="W1130" s="992"/>
    </row>
    <row r="1131" spans="3:23" ht="14.5" customHeight="1">
      <c r="C1131" s="1037"/>
      <c r="D1131" s="995"/>
      <c r="E1131" s="989"/>
      <c r="F1131" s="995"/>
      <c r="G1131" s="1106"/>
      <c r="J1131" s="992" t="s">
        <v>6714</v>
      </c>
      <c r="K1131" s="886"/>
      <c r="L1131" s="873"/>
      <c r="M1131" s="873"/>
      <c r="N1131" s="886"/>
      <c r="O1131" s="886"/>
      <c r="P1131" s="886"/>
      <c r="Q1131" s="1167">
        <v>140.56</v>
      </c>
      <c r="R1131" s="882"/>
      <c r="S1131" s="1269"/>
      <c r="T1131" s="1254"/>
      <c r="U1131" s="991" t="s">
        <v>10122</v>
      </c>
      <c r="V1131" s="996"/>
      <c r="W1131" s="992"/>
    </row>
    <row r="1132" spans="3:23" ht="14.5" customHeight="1">
      <c r="C1132" s="1037"/>
      <c r="D1132" s="995"/>
      <c r="E1132" s="989"/>
      <c r="F1132" s="995"/>
      <c r="G1132" s="1106"/>
      <c r="J1132" s="992" t="s">
        <v>6715</v>
      </c>
      <c r="K1132" s="886"/>
      <c r="L1132" s="873"/>
      <c r="M1132" s="873"/>
      <c r="N1132" s="886"/>
      <c r="O1132" s="886"/>
      <c r="P1132" s="886"/>
      <c r="Q1132" s="1167">
        <v>0</v>
      </c>
      <c r="R1132" s="882"/>
      <c r="S1132" s="1269"/>
      <c r="T1132" s="1254"/>
      <c r="U1132" s="991" t="s">
        <v>10122</v>
      </c>
      <c r="V1132" s="996"/>
      <c r="W1132" s="992"/>
    </row>
    <row r="1133" spans="3:23" ht="14.5" customHeight="1">
      <c r="C1133" s="1037"/>
      <c r="D1133" s="995"/>
      <c r="E1133" s="989"/>
      <c r="F1133" s="995"/>
      <c r="G1133" s="1106"/>
      <c r="J1133" s="992" t="s">
        <v>6716</v>
      </c>
      <c r="K1133" s="886"/>
      <c r="L1133" s="873"/>
      <c r="M1133" s="873"/>
      <c r="N1133" s="886"/>
      <c r="O1133" s="886"/>
      <c r="P1133" s="886"/>
      <c r="Q1133" s="1167">
        <v>14149.12</v>
      </c>
      <c r="R1133" s="882"/>
      <c r="S1133" s="1269"/>
      <c r="T1133" s="1254"/>
      <c r="U1133" s="991" t="s">
        <v>10122</v>
      </c>
      <c r="V1133" s="996"/>
      <c r="W1133" s="992"/>
    </row>
    <row r="1134" spans="3:23" ht="14.5" customHeight="1">
      <c r="C1134" s="1037"/>
      <c r="D1134" s="995"/>
      <c r="E1134" s="989"/>
      <c r="F1134" s="995"/>
      <c r="G1134" s="1106"/>
      <c r="J1134" s="992" t="s">
        <v>10979</v>
      </c>
      <c r="K1134" s="886"/>
      <c r="L1134" s="873"/>
      <c r="M1134" s="873"/>
      <c r="N1134" s="886"/>
      <c r="O1134" s="886"/>
      <c r="P1134" s="886"/>
      <c r="Q1134" s="1167">
        <v>0</v>
      </c>
      <c r="R1134" s="882"/>
      <c r="S1134" s="1269"/>
      <c r="T1134" s="1254"/>
      <c r="U1134" s="991" t="s">
        <v>10766</v>
      </c>
      <c r="V1134" s="996"/>
      <c r="W1134" s="992" t="s">
        <v>10980</v>
      </c>
    </row>
    <row r="1135" spans="3:23" ht="14.5" customHeight="1">
      <c r="C1135" s="1037"/>
      <c r="D1135" s="995"/>
      <c r="E1135" s="989"/>
      <c r="F1135" s="995"/>
      <c r="G1135" s="1106"/>
      <c r="J1135" s="992" t="s">
        <v>6719</v>
      </c>
      <c r="K1135" s="886"/>
      <c r="L1135" s="873"/>
      <c r="M1135" s="873"/>
      <c r="N1135" s="886"/>
      <c r="O1135" s="886"/>
      <c r="P1135" s="886"/>
      <c r="Q1135" s="1167">
        <v>0</v>
      </c>
      <c r="R1135" s="882"/>
      <c r="S1135" s="1269"/>
      <c r="T1135" s="1254"/>
      <c r="U1135" s="991" t="s">
        <v>10424</v>
      </c>
      <c r="V1135" s="996"/>
      <c r="W1135" s="992"/>
    </row>
    <row r="1136" spans="3:23" ht="14.5" customHeight="1">
      <c r="C1136" s="1037"/>
      <c r="D1136" s="995"/>
      <c r="E1136" s="989"/>
      <c r="F1136" s="995"/>
      <c r="G1136" s="1106"/>
      <c r="J1136" s="992" t="s">
        <v>6720</v>
      </c>
      <c r="K1136" s="886"/>
      <c r="L1136" s="873"/>
      <c r="M1136" s="873"/>
      <c r="N1136" s="886"/>
      <c r="O1136" s="886"/>
      <c r="P1136" s="886"/>
      <c r="Q1136" s="1167">
        <v>1220.9100000000001</v>
      </c>
      <c r="R1136" s="882"/>
      <c r="S1136" s="1269"/>
      <c r="T1136" s="1254"/>
      <c r="U1136" s="991" t="s">
        <v>10122</v>
      </c>
      <c r="V1136" s="996"/>
      <c r="W1136" s="992"/>
    </row>
    <row r="1137" spans="3:23" ht="14.5" customHeight="1">
      <c r="C1137" s="1037"/>
      <c r="D1137" s="995"/>
      <c r="E1137" s="989"/>
      <c r="F1137" s="995"/>
      <c r="G1137" s="1106"/>
      <c r="J1137" s="992" t="s">
        <v>6721</v>
      </c>
      <c r="K1137" s="886"/>
      <c r="L1137" s="873"/>
      <c r="M1137" s="873"/>
      <c r="N1137" s="886"/>
      <c r="O1137" s="886"/>
      <c r="P1137" s="886"/>
      <c r="Q1137" s="1167">
        <v>0</v>
      </c>
      <c r="R1137" s="882"/>
      <c r="S1137" s="1269"/>
      <c r="T1137" s="1254"/>
      <c r="U1137" s="991" t="s">
        <v>10122</v>
      </c>
      <c r="V1137" s="996"/>
      <c r="W1137" s="992" t="s">
        <v>10981</v>
      </c>
    </row>
    <row r="1138" spans="3:23" ht="14.5" customHeight="1">
      <c r="C1138" s="1037"/>
      <c r="D1138" s="995"/>
      <c r="E1138" s="989"/>
      <c r="F1138" s="995"/>
      <c r="G1138" s="1106"/>
      <c r="J1138" s="992" t="s">
        <v>6722</v>
      </c>
      <c r="K1138" s="886"/>
      <c r="L1138" s="873"/>
      <c r="M1138" s="873"/>
      <c r="N1138" s="886"/>
      <c r="O1138" s="886"/>
      <c r="P1138" s="886"/>
      <c r="Q1138" s="1167">
        <v>368.58</v>
      </c>
      <c r="R1138" s="882"/>
      <c r="S1138" s="1269"/>
      <c r="T1138" s="1254"/>
      <c r="U1138" s="991" t="s">
        <v>10122</v>
      </c>
      <c r="V1138" s="996"/>
      <c r="W1138" s="992"/>
    </row>
    <row r="1139" spans="3:23" ht="14.5" customHeight="1">
      <c r="C1139" s="1037"/>
      <c r="D1139" s="995"/>
      <c r="E1139" s="989"/>
      <c r="F1139" s="995"/>
      <c r="G1139" s="1106"/>
      <c r="J1139" s="992" t="s">
        <v>6723</v>
      </c>
      <c r="K1139" s="890">
        <v>150829.70000000001</v>
      </c>
      <c r="L1139" s="890">
        <v>53115.09</v>
      </c>
      <c r="M1139" s="890">
        <v>152197.87</v>
      </c>
      <c r="N1139" s="886"/>
      <c r="O1139" s="886"/>
      <c r="P1139" s="886"/>
      <c r="Q1139" s="1167">
        <f>ROUND(K1139*L1139/M1139,0)</f>
        <v>52638</v>
      </c>
      <c r="R1139" s="882"/>
      <c r="S1139" s="1269"/>
      <c r="T1139" s="1254"/>
      <c r="U1139" s="991" t="s">
        <v>10122</v>
      </c>
      <c r="V1139" s="996"/>
      <c r="W1139" s="992" t="s">
        <v>10982</v>
      </c>
    </row>
    <row r="1140" spans="3:23" ht="14.5" customHeight="1">
      <c r="C1140" s="1037"/>
      <c r="D1140" s="995"/>
      <c r="E1140" s="989"/>
      <c r="F1140" s="995"/>
      <c r="G1140" s="1106"/>
      <c r="J1140" s="992" t="s">
        <v>6724</v>
      </c>
      <c r="K1140" s="886"/>
      <c r="L1140" s="873"/>
      <c r="M1140" s="873"/>
      <c r="N1140" s="886"/>
      <c r="O1140" s="886"/>
      <c r="P1140" s="886"/>
      <c r="Q1140" s="1167">
        <v>0</v>
      </c>
      <c r="R1140" s="882"/>
      <c r="S1140" s="1269"/>
      <c r="T1140" s="1254"/>
      <c r="U1140" s="991" t="s">
        <v>10122</v>
      </c>
      <c r="V1140" s="996"/>
      <c r="W1140" s="992"/>
    </row>
    <row r="1141" spans="3:23" ht="14.5" customHeight="1">
      <c r="C1141" s="1036"/>
      <c r="D1141" s="1018"/>
      <c r="E1141" s="1000"/>
      <c r="F1141" s="1018"/>
      <c r="G1141" s="1115"/>
      <c r="H1141" s="1005"/>
      <c r="I1141" s="1002"/>
      <c r="J1141" s="1003" t="s">
        <v>6155</v>
      </c>
      <c r="K1141" s="893"/>
      <c r="L1141" s="872"/>
      <c r="M1141" s="872"/>
      <c r="N1141" s="893"/>
      <c r="O1141" s="893"/>
      <c r="P1141" s="893"/>
      <c r="Q1141" s="1170">
        <v>-148.85</v>
      </c>
      <c r="R1141" s="900"/>
      <c r="S1141" s="1272"/>
      <c r="T1141" s="900"/>
      <c r="U1141" s="978" t="s">
        <v>10122</v>
      </c>
      <c r="V1141" s="1006"/>
      <c r="W1141" s="1003"/>
    </row>
    <row r="1142" spans="3:23" ht="14.5" customHeight="1">
      <c r="C1142" s="1042" t="s">
        <v>6725</v>
      </c>
      <c r="D1142" s="1024" t="str">
        <f t="shared" ref="D1142:D1159" si="172">IF(C1142="","",CONCATENATE(LEFT(C1142,4),MID(C1142,6,2)))</f>
        <v>289901</v>
      </c>
      <c r="E1142" s="1025" t="s">
        <v>6726</v>
      </c>
      <c r="F1142" s="1024" t="str">
        <f t="shared" ref="F1142:F1158" si="173">IF(E1142="","",CONCATENATE(LEFT(E1142,4),MID(E1142,6,3)))</f>
        <v>2899011</v>
      </c>
      <c r="G1142" s="1111" t="str">
        <f>IF(F1142="",G1127,F1142)</f>
        <v>2899011</v>
      </c>
      <c r="H1142" s="1112"/>
      <c r="I1142" s="1113" t="str">
        <f t="shared" ref="I1142:I1159" si="174">IF(H1142="","",CONCATENATE(G1142,H1142))</f>
        <v/>
      </c>
      <c r="J1142" s="1063" t="s">
        <v>6727</v>
      </c>
      <c r="K1142" s="912"/>
      <c r="L1142" s="912"/>
      <c r="M1142" s="912"/>
      <c r="N1142" s="912"/>
      <c r="O1142" s="912"/>
      <c r="P1142" s="914">
        <f>Q1142</f>
        <v>44666</v>
      </c>
      <c r="Q1142" s="1186">
        <v>44666</v>
      </c>
      <c r="R1142" s="929"/>
      <c r="S1142" s="1280"/>
      <c r="T1142" s="929"/>
      <c r="U1142" s="1031" t="s">
        <v>10587</v>
      </c>
      <c r="V1142" s="1022"/>
      <c r="W1142" s="1027"/>
    </row>
    <row r="1143" spans="3:23" ht="14.5" customHeight="1">
      <c r="C1143" s="1042" t="s">
        <v>6728</v>
      </c>
      <c r="D1143" s="1024" t="str">
        <f t="shared" si="172"/>
        <v>289902</v>
      </c>
      <c r="E1143" s="1025" t="s">
        <v>6729</v>
      </c>
      <c r="F1143" s="1024" t="str">
        <f t="shared" si="173"/>
        <v>2899021</v>
      </c>
      <c r="G1143" s="1111" t="str">
        <f>IF(F1143="",G1142,F1143)</f>
        <v>2899021</v>
      </c>
      <c r="H1143" s="1112"/>
      <c r="I1143" s="1113" t="str">
        <f t="shared" si="174"/>
        <v/>
      </c>
      <c r="J1143" s="1063" t="s">
        <v>6730</v>
      </c>
      <c r="K1143" s="912"/>
      <c r="L1143" s="912"/>
      <c r="M1143" s="912"/>
      <c r="N1143" s="912"/>
      <c r="O1143" s="912"/>
      <c r="P1143" s="914">
        <f>Q1143</f>
        <v>62684</v>
      </c>
      <c r="Q1143" s="1186">
        <v>62684</v>
      </c>
      <c r="R1143" s="929"/>
      <c r="S1143" s="1280"/>
      <c r="T1143" s="929"/>
      <c r="U1143" s="1031" t="s">
        <v>10612</v>
      </c>
      <c r="V1143" s="1022"/>
      <c r="W1143" s="1027"/>
    </row>
    <row r="1144" spans="3:23" ht="14.5" customHeight="1">
      <c r="C1144" s="1037" t="s">
        <v>6731</v>
      </c>
      <c r="D1144" s="988" t="str">
        <f t="shared" si="172"/>
        <v>289903</v>
      </c>
      <c r="E1144" s="989"/>
      <c r="F1144" s="988" t="str">
        <f t="shared" si="173"/>
        <v/>
      </c>
      <c r="I1144" s="944" t="str">
        <f t="shared" si="174"/>
        <v/>
      </c>
      <c r="J1144" s="1013" t="s">
        <v>6732</v>
      </c>
      <c r="K1144" s="886"/>
      <c r="L1144" s="886"/>
      <c r="M1144" s="886"/>
      <c r="N1144" s="886"/>
      <c r="O1144" s="886"/>
      <c r="P1144" s="896">
        <f>Q1145+Q1146+Q1147</f>
        <v>94099</v>
      </c>
      <c r="Q1144" s="1171"/>
      <c r="R1144" s="882"/>
      <c r="S1144" s="1269"/>
      <c r="T1144" s="1254"/>
      <c r="U1144" s="996" t="s">
        <v>10587</v>
      </c>
      <c r="V1144" s="996"/>
      <c r="W1144" s="992"/>
    </row>
    <row r="1145" spans="3:23" ht="14.5" customHeight="1">
      <c r="C1145" s="987"/>
      <c r="D1145" s="988" t="str">
        <f t="shared" si="172"/>
        <v/>
      </c>
      <c r="E1145" s="989" t="s">
        <v>6733</v>
      </c>
      <c r="F1145" s="988" t="str">
        <f t="shared" si="173"/>
        <v>2899031</v>
      </c>
      <c r="G1145" s="1095" t="str">
        <f t="shared" ref="G1145:G1154" si="175">IF(F1145="",G1144,F1145)</f>
        <v>2899031</v>
      </c>
      <c r="I1145" s="944" t="str">
        <f t="shared" si="174"/>
        <v/>
      </c>
      <c r="J1145" s="990" t="s">
        <v>6734</v>
      </c>
      <c r="K1145" s="886"/>
      <c r="L1145" s="886"/>
      <c r="M1145" s="886"/>
      <c r="N1145" s="886"/>
      <c r="O1145" s="886"/>
      <c r="P1145" s="886"/>
      <c r="Q1145" s="1174">
        <v>40851</v>
      </c>
      <c r="R1145" s="882"/>
      <c r="S1145" s="1269"/>
      <c r="T1145" s="1254"/>
      <c r="U1145" s="996"/>
      <c r="V1145" s="996"/>
      <c r="W1145" s="992"/>
    </row>
    <row r="1146" spans="3:23" ht="14.5" customHeight="1">
      <c r="C1146" s="987"/>
      <c r="D1146" s="988" t="str">
        <f t="shared" si="172"/>
        <v/>
      </c>
      <c r="E1146" s="989" t="s">
        <v>6735</v>
      </c>
      <c r="F1146" s="988" t="str">
        <f t="shared" si="173"/>
        <v>2899032</v>
      </c>
      <c r="G1146" s="1095" t="str">
        <f t="shared" si="175"/>
        <v>2899032</v>
      </c>
      <c r="I1146" s="944" t="str">
        <f t="shared" si="174"/>
        <v/>
      </c>
      <c r="J1146" s="990" t="s">
        <v>6736</v>
      </c>
      <c r="K1146" s="886"/>
      <c r="L1146" s="873"/>
      <c r="M1146" s="873"/>
      <c r="N1146" s="886"/>
      <c r="O1146" s="886"/>
      <c r="P1146" s="886"/>
      <c r="Q1146" s="1174">
        <v>21664</v>
      </c>
      <c r="R1146" s="882"/>
      <c r="S1146" s="1269"/>
      <c r="T1146" s="1254"/>
      <c r="U1146" s="991"/>
      <c r="V1146" s="996"/>
      <c r="W1146" s="992"/>
    </row>
    <row r="1147" spans="3:23" ht="14.5" customHeight="1">
      <c r="C1147" s="987"/>
      <c r="D1147" s="988" t="str">
        <f t="shared" si="172"/>
        <v/>
      </c>
      <c r="E1147" s="989" t="s">
        <v>6737</v>
      </c>
      <c r="F1147" s="988" t="str">
        <f t="shared" si="173"/>
        <v>2899033</v>
      </c>
      <c r="G1147" s="1095" t="str">
        <f t="shared" si="175"/>
        <v>2899033</v>
      </c>
      <c r="I1147" s="944" t="str">
        <f t="shared" si="174"/>
        <v/>
      </c>
      <c r="J1147" s="990" t="s">
        <v>6738</v>
      </c>
      <c r="K1147" s="886"/>
      <c r="L1147" s="873"/>
      <c r="M1147" s="873"/>
      <c r="N1147" s="886"/>
      <c r="O1147" s="886"/>
      <c r="P1147" s="886"/>
      <c r="Q1147" s="1174">
        <v>31584</v>
      </c>
      <c r="R1147" s="882"/>
      <c r="S1147" s="1269"/>
      <c r="T1147" s="1254"/>
      <c r="U1147" s="978"/>
      <c r="V1147" s="996"/>
      <c r="W1147" s="992"/>
    </row>
    <row r="1148" spans="3:23" ht="14.5" customHeight="1">
      <c r="C1148" s="1040" t="s">
        <v>6739</v>
      </c>
      <c r="D1148" s="982" t="str">
        <f t="shared" si="172"/>
        <v>289909</v>
      </c>
      <c r="E1148" s="983" t="s">
        <v>10983</v>
      </c>
      <c r="F1148" s="982" t="str">
        <f>IF(E1148="","",CONCATENATE(LEFT(E1148,4),MID(E1148,6,3)))</f>
        <v>2899099</v>
      </c>
      <c r="G1148" s="1103" t="str">
        <f t="shared" si="175"/>
        <v>2899099</v>
      </c>
      <c r="H1148" s="1102"/>
      <c r="I1148" s="947" t="str">
        <f t="shared" si="174"/>
        <v/>
      </c>
      <c r="J1148" s="984" t="s">
        <v>6740</v>
      </c>
      <c r="K1148" s="889"/>
      <c r="L1148" s="889"/>
      <c r="M1148" s="889"/>
      <c r="N1148" s="889"/>
      <c r="O1148" s="889"/>
      <c r="P1148" s="881">
        <f>Q1148</f>
        <v>140556</v>
      </c>
      <c r="Q1148" s="1160">
        <f>ROUND(Q1149+Q1150+Q1151,0)</f>
        <v>140556</v>
      </c>
      <c r="R1148" s="880"/>
      <c r="S1148" s="1270"/>
      <c r="T1148" s="880"/>
      <c r="U1148" s="993" t="s">
        <v>10587</v>
      </c>
      <c r="V1148" s="993"/>
      <c r="W1148" s="986"/>
    </row>
    <row r="1149" spans="3:23" ht="14.5" customHeight="1">
      <c r="C1149" s="987"/>
      <c r="D1149" s="988" t="str">
        <f t="shared" si="172"/>
        <v/>
      </c>
      <c r="E1149" s="989"/>
      <c r="F1149" s="988" t="str">
        <f t="shared" si="173"/>
        <v/>
      </c>
      <c r="G1149" s="1095" t="str">
        <f t="shared" si="175"/>
        <v>2899099</v>
      </c>
      <c r="I1149" s="944" t="str">
        <f t="shared" si="174"/>
        <v/>
      </c>
      <c r="J1149" s="991" t="s">
        <v>10984</v>
      </c>
      <c r="K1149" s="886"/>
      <c r="L1149" s="873"/>
      <c r="M1149" s="873"/>
      <c r="N1149" s="886"/>
      <c r="O1149" s="886"/>
      <c r="P1149" s="886"/>
      <c r="Q1149" s="1167">
        <v>55668.11</v>
      </c>
      <c r="R1149" s="882"/>
      <c r="S1149" s="1269"/>
      <c r="T1149" s="1254"/>
      <c r="U1149" s="991"/>
      <c r="V1149" s="996"/>
      <c r="W1149" s="992"/>
    </row>
    <row r="1150" spans="3:23" ht="14.5" customHeight="1">
      <c r="C1150" s="987"/>
      <c r="D1150" s="988" t="str">
        <f t="shared" si="172"/>
        <v/>
      </c>
      <c r="E1150" s="989"/>
      <c r="F1150" s="988" t="str">
        <f t="shared" si="173"/>
        <v/>
      </c>
      <c r="G1150" s="1095" t="str">
        <f t="shared" si="175"/>
        <v>2899099</v>
      </c>
      <c r="I1150" s="944" t="str">
        <f t="shared" si="174"/>
        <v/>
      </c>
      <c r="J1150" s="991" t="s">
        <v>10985</v>
      </c>
      <c r="K1150" s="886"/>
      <c r="L1150" s="873"/>
      <c r="M1150" s="873"/>
      <c r="N1150" s="886"/>
      <c r="O1150" s="886"/>
      <c r="P1150" s="886"/>
      <c r="Q1150" s="1167">
        <v>22243.14</v>
      </c>
      <c r="R1150" s="882"/>
      <c r="S1150" s="1269"/>
      <c r="T1150" s="1254"/>
      <c r="U1150" s="991"/>
      <c r="V1150" s="996"/>
      <c r="W1150" s="992"/>
    </row>
    <row r="1151" spans="3:23" ht="14.5" customHeight="1">
      <c r="C1151" s="998"/>
      <c r="D1151" s="999" t="str">
        <f t="shared" si="172"/>
        <v/>
      </c>
      <c r="E1151" s="1000"/>
      <c r="F1151" s="999" t="str">
        <f t="shared" si="173"/>
        <v/>
      </c>
      <c r="G1151" s="1104" t="str">
        <f t="shared" si="175"/>
        <v>2899099</v>
      </c>
      <c r="H1151" s="1005"/>
      <c r="I1151" s="1002" t="str">
        <f t="shared" si="174"/>
        <v/>
      </c>
      <c r="J1151" s="978" t="s">
        <v>10986</v>
      </c>
      <c r="K1151" s="893"/>
      <c r="L1151" s="872"/>
      <c r="M1151" s="872"/>
      <c r="N1151" s="893"/>
      <c r="O1151" s="893"/>
      <c r="P1151" s="893"/>
      <c r="Q1151" s="1170">
        <v>62644.93</v>
      </c>
      <c r="R1151" s="900"/>
      <c r="S1151" s="1272"/>
      <c r="T1151" s="900"/>
      <c r="U1151" s="978"/>
      <c r="V1151" s="1006"/>
      <c r="W1151" s="1003"/>
    </row>
    <row r="1152" spans="3:23" ht="14.5" customHeight="1">
      <c r="C1152" s="994" t="s">
        <v>6745</v>
      </c>
      <c r="D1152" s="988" t="str">
        <f t="shared" si="172"/>
        <v>291101</v>
      </c>
      <c r="E1152" s="989" t="s">
        <v>6746</v>
      </c>
      <c r="F1152" s="988" t="str">
        <f t="shared" si="173"/>
        <v>2911011</v>
      </c>
      <c r="G1152" s="1095" t="str">
        <f t="shared" si="175"/>
        <v>2911011</v>
      </c>
      <c r="I1152" s="944" t="str">
        <f t="shared" si="174"/>
        <v/>
      </c>
      <c r="J1152" s="990" t="s">
        <v>449</v>
      </c>
      <c r="K1152" s="873"/>
      <c r="L1152" s="873"/>
      <c r="M1152" s="873"/>
      <c r="N1152" s="873"/>
      <c r="O1152" s="873"/>
      <c r="P1152" s="927">
        <f t="shared" ref="P1152:P1158" si="176">Q1152</f>
        <v>102366</v>
      </c>
      <c r="Q1152" s="1174">
        <v>102366</v>
      </c>
      <c r="R1152" s="887"/>
      <c r="S1152" s="1273"/>
      <c r="T1152" s="1256"/>
      <c r="U1152" s="1031" t="s">
        <v>10587</v>
      </c>
      <c r="V1152" s="996"/>
      <c r="W1152" s="992" t="s">
        <v>10987</v>
      </c>
    </row>
    <row r="1153" spans="1:23" ht="14.5" customHeight="1">
      <c r="C1153" s="1023" t="s">
        <v>6747</v>
      </c>
      <c r="D1153" s="1024" t="str">
        <f t="shared" si="172"/>
        <v>291102</v>
      </c>
      <c r="E1153" s="1025" t="s">
        <v>6748</v>
      </c>
      <c r="F1153" s="1024" t="str">
        <f t="shared" si="173"/>
        <v>2911021</v>
      </c>
      <c r="G1153" s="1111" t="str">
        <f t="shared" si="175"/>
        <v>2911021</v>
      </c>
      <c r="H1153" s="1112"/>
      <c r="I1153" s="1113" t="str">
        <f t="shared" si="174"/>
        <v/>
      </c>
      <c r="J1153" s="1026" t="s">
        <v>451</v>
      </c>
      <c r="K1153" s="912"/>
      <c r="L1153" s="913"/>
      <c r="M1153" s="913"/>
      <c r="N1153" s="912"/>
      <c r="O1153" s="912"/>
      <c r="P1153" s="922">
        <f t="shared" si="176"/>
        <v>326554</v>
      </c>
      <c r="Q1153" s="1186">
        <v>326554</v>
      </c>
      <c r="R1153" s="929"/>
      <c r="S1153" s="1280"/>
      <c r="T1153" s="929"/>
      <c r="U1153" s="1031" t="s">
        <v>10587</v>
      </c>
      <c r="V1153" s="1022"/>
      <c r="W1153" s="1027"/>
    </row>
    <row r="1154" spans="1:23" ht="14.5" customHeight="1">
      <c r="C1154" s="1023" t="s">
        <v>6749</v>
      </c>
      <c r="D1154" s="1024" t="str">
        <f t="shared" si="172"/>
        <v>291103</v>
      </c>
      <c r="E1154" s="1025" t="s">
        <v>6750</v>
      </c>
      <c r="F1154" s="1024" t="str">
        <f t="shared" si="173"/>
        <v>2911031</v>
      </c>
      <c r="G1154" s="1111" t="str">
        <f t="shared" si="175"/>
        <v>2911031</v>
      </c>
      <c r="H1154" s="1112"/>
      <c r="I1154" s="1113" t="str">
        <f t="shared" si="174"/>
        <v/>
      </c>
      <c r="J1154" s="1026" t="s">
        <v>452</v>
      </c>
      <c r="K1154" s="912"/>
      <c r="L1154" s="912"/>
      <c r="M1154" s="912"/>
      <c r="N1154" s="912"/>
      <c r="O1154" s="912"/>
      <c r="P1154" s="922">
        <f t="shared" si="176"/>
        <v>315043</v>
      </c>
      <c r="Q1154" s="1186">
        <v>315043</v>
      </c>
      <c r="R1154" s="929"/>
      <c r="S1154" s="1280"/>
      <c r="T1154" s="929"/>
      <c r="U1154" s="1031" t="s">
        <v>10612</v>
      </c>
      <c r="V1154" s="1022"/>
      <c r="W1154" s="1134" t="s">
        <v>10988</v>
      </c>
    </row>
    <row r="1155" spans="1:23" ht="14.5" customHeight="1">
      <c r="C1155" s="1023" t="s">
        <v>6751</v>
      </c>
      <c r="D1155" s="1024" t="str">
        <f t="shared" si="172"/>
        <v>291201</v>
      </c>
      <c r="E1155" s="1025" t="s">
        <v>6752</v>
      </c>
      <c r="F1155" s="1024" t="str">
        <f t="shared" si="173"/>
        <v>2912011</v>
      </c>
      <c r="G1155" s="1111" t="str">
        <f>IF(F1155="",G1157,F1155)</f>
        <v>2912011</v>
      </c>
      <c r="H1155" s="1112"/>
      <c r="I1155" s="1113" t="str">
        <f t="shared" si="174"/>
        <v/>
      </c>
      <c r="J1155" s="1026" t="s">
        <v>6753</v>
      </c>
      <c r="K1155" s="912"/>
      <c r="L1155" s="912"/>
      <c r="M1155" s="912"/>
      <c r="N1155" s="912"/>
      <c r="O1155" s="912"/>
      <c r="P1155" s="922">
        <f t="shared" si="176"/>
        <v>287426</v>
      </c>
      <c r="Q1155" s="1186">
        <v>287426</v>
      </c>
      <c r="R1155" s="929"/>
      <c r="S1155" s="1280"/>
      <c r="T1155" s="929"/>
      <c r="U1155" s="1022" t="s">
        <v>10587</v>
      </c>
      <c r="V1155" s="1022"/>
      <c r="W1155" s="1027"/>
    </row>
    <row r="1156" spans="1:23" ht="14.5" customHeight="1">
      <c r="C1156" s="1023" t="s">
        <v>6754</v>
      </c>
      <c r="D1156" s="1024" t="str">
        <f t="shared" si="172"/>
        <v>291301</v>
      </c>
      <c r="E1156" s="1025" t="s">
        <v>6755</v>
      </c>
      <c r="F1156" s="1024" t="str">
        <f t="shared" si="173"/>
        <v>2913011</v>
      </c>
      <c r="G1156" s="1111" t="str">
        <f>IF(F1156="",G1154,F1156)</f>
        <v>2913011</v>
      </c>
      <c r="H1156" s="1112"/>
      <c r="I1156" s="1113" t="str">
        <f t="shared" si="174"/>
        <v/>
      </c>
      <c r="J1156" s="1026" t="s">
        <v>456</v>
      </c>
      <c r="K1156" s="912"/>
      <c r="L1156" s="912"/>
      <c r="M1156" s="912"/>
      <c r="N1156" s="912"/>
      <c r="O1156" s="912"/>
      <c r="P1156" s="922">
        <f t="shared" si="176"/>
        <v>119647</v>
      </c>
      <c r="Q1156" s="1186">
        <v>119647</v>
      </c>
      <c r="R1156" s="929"/>
      <c r="S1156" s="1280"/>
      <c r="T1156" s="929"/>
      <c r="U1156" s="1031" t="s">
        <v>10587</v>
      </c>
      <c r="V1156" s="1022"/>
      <c r="W1156" s="1027"/>
    </row>
    <row r="1157" spans="1:23" ht="14.5" customHeight="1">
      <c r="C1157" s="1023" t="s">
        <v>6756</v>
      </c>
      <c r="D1157" s="1024" t="str">
        <f t="shared" si="172"/>
        <v>291401</v>
      </c>
      <c r="E1157" s="1025" t="s">
        <v>6757</v>
      </c>
      <c r="F1157" s="1024" t="str">
        <f t="shared" si="173"/>
        <v>2914011</v>
      </c>
      <c r="G1157" s="1111" t="str">
        <f>IF(F1157="",G1156,F1157)</f>
        <v>2914011</v>
      </c>
      <c r="H1157" s="1112"/>
      <c r="I1157" s="1113" t="str">
        <f t="shared" si="174"/>
        <v/>
      </c>
      <c r="J1157" s="1026" t="s">
        <v>458</v>
      </c>
      <c r="K1157" s="912"/>
      <c r="L1157" s="912"/>
      <c r="M1157" s="912"/>
      <c r="N1157" s="912"/>
      <c r="O1157" s="912"/>
      <c r="P1157" s="922">
        <f t="shared" si="176"/>
        <v>14476</v>
      </c>
      <c r="Q1157" s="1186">
        <v>14476</v>
      </c>
      <c r="R1157" s="929"/>
      <c r="S1157" s="1280"/>
      <c r="T1157" s="929"/>
      <c r="U1157" s="1031" t="s">
        <v>10587</v>
      </c>
      <c r="V1157" s="1022"/>
      <c r="W1157" s="1027"/>
    </row>
    <row r="1158" spans="1:23" ht="14.5" customHeight="1">
      <c r="C1158" s="1023" t="s">
        <v>6758</v>
      </c>
      <c r="D1158" s="1024" t="str">
        <f t="shared" si="172"/>
        <v>291901</v>
      </c>
      <c r="E1158" s="1025" t="s">
        <v>6759</v>
      </c>
      <c r="F1158" s="1024" t="str">
        <f t="shared" si="173"/>
        <v>2919011</v>
      </c>
      <c r="G1158" s="1111" t="str">
        <f>IF(F1158="",G1179,F1158)</f>
        <v>2919011</v>
      </c>
      <c r="H1158" s="1112"/>
      <c r="I1158" s="1113" t="str">
        <f t="shared" si="174"/>
        <v/>
      </c>
      <c r="J1158" s="1026" t="s">
        <v>460</v>
      </c>
      <c r="K1158" s="912"/>
      <c r="L1158" s="912"/>
      <c r="M1158" s="912"/>
      <c r="N1158" s="912"/>
      <c r="O1158" s="912"/>
      <c r="P1158" s="914">
        <f t="shared" si="176"/>
        <v>1523</v>
      </c>
      <c r="Q1158" s="1186">
        <v>1523</v>
      </c>
      <c r="R1158" s="929"/>
      <c r="S1158" s="1280"/>
      <c r="T1158" s="929"/>
      <c r="U1158" s="1031" t="s">
        <v>10587</v>
      </c>
      <c r="V1158" s="1022"/>
      <c r="W1158" s="1027"/>
    </row>
    <row r="1159" spans="1:23" ht="14.5" customHeight="1">
      <c r="C1159" s="981" t="s">
        <v>6760</v>
      </c>
      <c r="D1159" s="982" t="str">
        <f t="shared" si="172"/>
        <v>291909</v>
      </c>
      <c r="E1159" s="983" t="s">
        <v>10989</v>
      </c>
      <c r="F1159" s="982" t="str">
        <f>IF(E1159="","",CONCATENATE(LEFT(E1159,4),MID(E1159,6,3)))</f>
        <v>2919099</v>
      </c>
      <c r="G1159" s="1103" t="str">
        <f>IF(F1159="",G1158,F1159)</f>
        <v>2919099</v>
      </c>
      <c r="H1159" s="1102"/>
      <c r="I1159" s="947" t="str">
        <f t="shared" si="174"/>
        <v/>
      </c>
      <c r="J1159" s="1028" t="s">
        <v>6761</v>
      </c>
      <c r="K1159" s="889"/>
      <c r="L1159" s="889"/>
      <c r="M1159" s="889"/>
      <c r="N1159" s="889"/>
      <c r="O1159" s="889"/>
      <c r="P1159" s="881">
        <f>Q1159</f>
        <v>147869</v>
      </c>
      <c r="Q1159" s="1160">
        <f>ROUND(Q1160+Q1161,0)</f>
        <v>147869</v>
      </c>
      <c r="R1159" s="880"/>
      <c r="S1159" s="1270"/>
      <c r="T1159" s="880"/>
      <c r="U1159" s="993" t="s">
        <v>10587</v>
      </c>
      <c r="V1159" s="993" t="s">
        <v>10145</v>
      </c>
      <c r="W1159" s="986"/>
    </row>
    <row r="1160" spans="1:23" ht="14.5" customHeight="1">
      <c r="C1160" s="994"/>
      <c r="E1160" s="989"/>
      <c r="F1160" s="988" t="str">
        <f>IF(E1160="","",CONCATENATE(LEFT(E1160,4),MID(E1160,6,3)))</f>
        <v/>
      </c>
      <c r="G1160" s="1095" t="str">
        <f>IF(F1160="",G1159,F1160)</f>
        <v>2919099</v>
      </c>
      <c r="J1160" s="992" t="s">
        <v>10990</v>
      </c>
      <c r="K1160" s="886"/>
      <c r="L1160" s="886"/>
      <c r="M1160" s="886"/>
      <c r="N1160" s="886"/>
      <c r="O1160" s="886"/>
      <c r="P1160" s="886"/>
      <c r="Q1160" s="1167">
        <v>50779.57</v>
      </c>
      <c r="R1160" s="882"/>
      <c r="S1160" s="1269"/>
      <c r="T1160" s="1254"/>
      <c r="U1160" s="996"/>
      <c r="V1160" s="996"/>
      <c r="W1160" s="992"/>
    </row>
    <row r="1161" spans="1:23" ht="14.5" customHeight="1">
      <c r="C1161" s="1015"/>
      <c r="D1161" s="999"/>
      <c r="E1161" s="1000"/>
      <c r="F1161" s="999" t="str">
        <f>IF(E1161="","",CONCATENATE(LEFT(E1161,4),MID(E1161,6,3)))</f>
        <v/>
      </c>
      <c r="G1161" s="1104" t="str">
        <f>IF(F1161="",G1160,F1161)</f>
        <v>2919099</v>
      </c>
      <c r="H1161" s="1005"/>
      <c r="I1161" s="1002"/>
      <c r="J1161" s="1003" t="s">
        <v>10991</v>
      </c>
      <c r="K1161" s="893"/>
      <c r="L1161" s="893"/>
      <c r="M1161" s="893"/>
      <c r="N1161" s="893"/>
      <c r="O1161" s="893"/>
      <c r="P1161" s="893"/>
      <c r="Q1161" s="1170">
        <v>97089.68</v>
      </c>
      <c r="R1161" s="900"/>
      <c r="S1161" s="1272"/>
      <c r="T1161" s="900"/>
      <c r="U1161" s="1006"/>
      <c r="V1161" s="1006"/>
      <c r="W1161" s="1003"/>
    </row>
    <row r="1162" spans="1:23" ht="14.5" customHeight="1">
      <c r="C1162" s="1023" t="s">
        <v>6766</v>
      </c>
      <c r="D1162" s="1024" t="str">
        <f>IF(C1162="","",CONCATENATE(LEFT(C1162,4),MID(C1162,6,2)))</f>
        <v>301101</v>
      </c>
      <c r="E1162" s="1025" t="s">
        <v>6767</v>
      </c>
      <c r="F1162" s="1024" t="str">
        <f>IF(E1162="","",CONCATENATE(LEFT(E1162,4),MID(E1162,6,3)))</f>
        <v>3011011</v>
      </c>
      <c r="G1162" s="1111" t="str">
        <f>IF(F1162="",G1176,F1162)</f>
        <v>3011011</v>
      </c>
      <c r="H1162" s="1112"/>
      <c r="I1162" s="1113" t="str">
        <f>IF(H1162="","",CONCATENATE(G1162,H1162))</f>
        <v/>
      </c>
      <c r="J1162" s="1026" t="s">
        <v>6768</v>
      </c>
      <c r="K1162" s="913"/>
      <c r="L1162" s="913"/>
      <c r="M1162" s="913"/>
      <c r="N1162" s="912"/>
      <c r="O1162" s="912"/>
      <c r="P1162" s="914">
        <f>Q1162</f>
        <v>14720</v>
      </c>
      <c r="Q1162" s="1186">
        <v>14720</v>
      </c>
      <c r="R1162" s="929"/>
      <c r="S1162" s="1280"/>
      <c r="T1162" s="929"/>
      <c r="U1162" s="1031" t="s">
        <v>10612</v>
      </c>
      <c r="V1162" s="1022"/>
      <c r="W1162" s="1027"/>
    </row>
    <row r="1163" spans="1:23" ht="14.5" customHeight="1">
      <c r="C1163" s="1023" t="s">
        <v>6769</v>
      </c>
      <c r="D1163" s="1024" t="str">
        <f>IF(C1163="","",CONCATENATE(LEFT(C1163,4),MID(C1163,6,2)))</f>
        <v>301201</v>
      </c>
      <c r="E1163" s="1025" t="s">
        <v>6770</v>
      </c>
      <c r="F1163" s="1024" t="str">
        <f>IF(E1163="","",CONCATENATE(LEFT(E1163,4),MID(E1163,6,3)))</f>
        <v>3012011</v>
      </c>
      <c r="G1163" s="1111" t="str">
        <f>IF(F1163="",G1159,F1163)</f>
        <v>3012011</v>
      </c>
      <c r="H1163" s="1112"/>
      <c r="I1163" s="1113" t="str">
        <f>IF(H1163="","",CONCATENATE(G1163,H1163))</f>
        <v/>
      </c>
      <c r="J1163" s="1026" t="s">
        <v>6771</v>
      </c>
      <c r="K1163" s="913"/>
      <c r="L1163" s="913"/>
      <c r="M1163" s="913"/>
      <c r="N1163" s="912"/>
      <c r="O1163" s="912"/>
      <c r="P1163" s="914">
        <f>Q1163</f>
        <v>331055</v>
      </c>
      <c r="Q1163" s="1186">
        <v>331055</v>
      </c>
      <c r="R1163" s="929"/>
      <c r="S1163" s="1280"/>
      <c r="T1163" s="929"/>
      <c r="U1163" s="1031" t="s">
        <v>10587</v>
      </c>
      <c r="V1163" s="1022"/>
      <c r="W1163" s="1027"/>
    </row>
    <row r="1164" spans="1:23" ht="14.5" customHeight="1">
      <c r="C1164" s="1023" t="s">
        <v>6772</v>
      </c>
      <c r="D1164" s="1024" t="str">
        <f>IF(C1164="","",CONCATENATE(LEFT(C1164,4),MID(C1164,6,2)))</f>
        <v>301301</v>
      </c>
      <c r="E1164" s="1025" t="s">
        <v>6773</v>
      </c>
      <c r="F1164" s="1024" t="str">
        <f t="shared" ref="F1164:F1192" si="177">IF(E1164="","",CONCATENATE(LEFT(E1164,4),MID(E1164,6,3)))</f>
        <v>3013011</v>
      </c>
      <c r="G1164" s="1111" t="str">
        <f>IF(F1164="",G1163,F1164)</f>
        <v>3013011</v>
      </c>
      <c r="H1164" s="1112"/>
      <c r="I1164" s="1113" t="str">
        <f t="shared" ref="I1164:I1170" si="178">IF(H1164="","",CONCATENATE(G1164,H1164))</f>
        <v/>
      </c>
      <c r="J1164" s="1026" t="s">
        <v>469</v>
      </c>
      <c r="K1164" s="913"/>
      <c r="L1164" s="913"/>
      <c r="M1164" s="913"/>
      <c r="N1164" s="912"/>
      <c r="O1164" s="912"/>
      <c r="P1164" s="914">
        <f>Q1164</f>
        <v>17274</v>
      </c>
      <c r="Q1164" s="1186">
        <v>17274</v>
      </c>
      <c r="R1164" s="929"/>
      <c r="S1164" s="1280"/>
      <c r="T1164" s="929"/>
      <c r="U1164" s="1031" t="s">
        <v>10612</v>
      </c>
      <c r="V1164" s="1022"/>
      <c r="W1164" s="1027"/>
    </row>
    <row r="1165" spans="1:23" ht="14.5" customHeight="1">
      <c r="C1165" s="994" t="s">
        <v>6774</v>
      </c>
      <c r="D1165" s="988" t="str">
        <f>IF(C1165="","",CONCATENATE(LEFT(C1165,4),MID(C1165,6,2)))</f>
        <v>301401</v>
      </c>
      <c r="E1165" s="989" t="s">
        <v>10992</v>
      </c>
      <c r="F1165" s="988" t="str">
        <f t="shared" si="177"/>
        <v>3014011</v>
      </c>
      <c r="G1165" s="1095" t="str">
        <f t="shared" ref="G1165:G1170" si="179">IF(F1165="",G1164,F1165)</f>
        <v>3014011</v>
      </c>
      <c r="I1165" s="944" t="str">
        <f t="shared" si="178"/>
        <v/>
      </c>
      <c r="J1165" s="990" t="s">
        <v>6775</v>
      </c>
      <c r="K1165" s="886"/>
      <c r="L1165" s="886"/>
      <c r="M1165" s="886"/>
      <c r="N1165" s="886"/>
      <c r="O1165" s="886"/>
      <c r="P1165" s="896">
        <f>Q1165</f>
        <v>32621</v>
      </c>
      <c r="Q1165" s="1171">
        <f>ROUND(SUM(Q1166:Q1170),0)</f>
        <v>32621</v>
      </c>
      <c r="R1165" s="882"/>
      <c r="S1165" s="1269"/>
      <c r="T1165" s="1254"/>
      <c r="U1165" s="996" t="s">
        <v>10587</v>
      </c>
      <c r="V1165" s="996"/>
      <c r="W1165" s="992"/>
    </row>
    <row r="1166" spans="1:23" ht="14.5" customHeight="1">
      <c r="C1166" s="994"/>
      <c r="D1166" s="995"/>
      <c r="E1166" s="989"/>
      <c r="F1166" s="988" t="str">
        <f t="shared" si="177"/>
        <v/>
      </c>
      <c r="G1166" s="1095" t="str">
        <f t="shared" si="179"/>
        <v>3014011</v>
      </c>
      <c r="I1166" s="944" t="str">
        <f t="shared" si="178"/>
        <v/>
      </c>
      <c r="J1166" s="991" t="s">
        <v>10993</v>
      </c>
      <c r="K1166" s="886"/>
      <c r="L1166" s="886"/>
      <c r="M1166" s="886"/>
      <c r="N1166" s="886"/>
      <c r="O1166" s="886"/>
      <c r="P1166" s="886"/>
      <c r="Q1166" s="1167">
        <v>19612.77</v>
      </c>
      <c r="R1166" s="882"/>
      <c r="S1166" s="1269"/>
      <c r="T1166" s="1254"/>
      <c r="U1166" s="996"/>
      <c r="V1166" s="996"/>
      <c r="W1166" s="992"/>
    </row>
    <row r="1167" spans="1:23" ht="14.5" customHeight="1">
      <c r="A1167" s="1034"/>
      <c r="B1167" s="1034"/>
      <c r="C1167" s="987"/>
      <c r="D1167" s="988" t="str">
        <f t="shared" ref="D1167:D1192" si="180">IF(C1167="","",CONCATENATE(LEFT(C1167,4),MID(C1167,6,2)))</f>
        <v/>
      </c>
      <c r="E1167" s="989"/>
      <c r="F1167" s="988" t="str">
        <f t="shared" si="177"/>
        <v/>
      </c>
      <c r="G1167" s="1095" t="str">
        <f t="shared" si="179"/>
        <v>3014011</v>
      </c>
      <c r="I1167" s="944" t="str">
        <f t="shared" si="178"/>
        <v/>
      </c>
      <c r="J1167" s="991" t="s">
        <v>10994</v>
      </c>
      <c r="K1167" s="886"/>
      <c r="L1167" s="886"/>
      <c r="M1167" s="886"/>
      <c r="N1167" s="886"/>
      <c r="O1167" s="886"/>
      <c r="P1167" s="886"/>
      <c r="Q1167" s="1167">
        <v>640.33000000000004</v>
      </c>
      <c r="R1167" s="882"/>
      <c r="S1167" s="1269"/>
      <c r="T1167" s="1254"/>
      <c r="U1167" s="996"/>
      <c r="V1167" s="996"/>
      <c r="W1167" s="992"/>
    </row>
    <row r="1168" spans="1:23" ht="14.5" customHeight="1">
      <c r="A1168" s="1034"/>
      <c r="B1168" s="1034"/>
      <c r="C1168" s="987"/>
      <c r="D1168" s="988" t="str">
        <f t="shared" si="180"/>
        <v/>
      </c>
      <c r="E1168" s="989"/>
      <c r="F1168" s="988" t="str">
        <f t="shared" si="177"/>
        <v/>
      </c>
      <c r="G1168" s="1095" t="str">
        <f t="shared" si="179"/>
        <v>3014011</v>
      </c>
      <c r="I1168" s="944" t="str">
        <f t="shared" si="178"/>
        <v/>
      </c>
      <c r="J1168" s="991" t="s">
        <v>10995</v>
      </c>
      <c r="K1168" s="886"/>
      <c r="L1168" s="886"/>
      <c r="M1168" s="886"/>
      <c r="N1168" s="886"/>
      <c r="O1168" s="886"/>
      <c r="P1168" s="886"/>
      <c r="Q1168" s="1167">
        <v>754.03</v>
      </c>
      <c r="R1168" s="882"/>
      <c r="S1168" s="1269"/>
      <c r="T1168" s="1254"/>
      <c r="U1168" s="996"/>
      <c r="V1168" s="996"/>
      <c r="W1168" s="992"/>
    </row>
    <row r="1169" spans="1:23" ht="14.5" customHeight="1">
      <c r="A1169" s="1034"/>
      <c r="B1169" s="1034"/>
      <c r="C1169" s="987"/>
      <c r="D1169" s="988" t="str">
        <f t="shared" si="180"/>
        <v/>
      </c>
      <c r="E1169" s="989"/>
      <c r="F1169" s="988" t="str">
        <f t="shared" si="177"/>
        <v/>
      </c>
      <c r="G1169" s="1095" t="str">
        <f t="shared" si="179"/>
        <v>3014011</v>
      </c>
      <c r="I1169" s="944" t="str">
        <f t="shared" si="178"/>
        <v/>
      </c>
      <c r="J1169" s="991" t="s">
        <v>10996</v>
      </c>
      <c r="K1169" s="886"/>
      <c r="L1169" s="886"/>
      <c r="M1169" s="886"/>
      <c r="N1169" s="886"/>
      <c r="O1169" s="886"/>
      <c r="P1169" s="886"/>
      <c r="Q1169" s="1167">
        <v>680.99</v>
      </c>
      <c r="R1169" s="882"/>
      <c r="S1169" s="1269"/>
      <c r="T1169" s="1254"/>
      <c r="U1169" s="996"/>
      <c r="V1169" s="996"/>
      <c r="W1169" s="992"/>
    </row>
    <row r="1170" spans="1:23" ht="14.5" customHeight="1">
      <c r="A1170" s="1034"/>
      <c r="B1170" s="1034"/>
      <c r="C1170" s="987"/>
      <c r="D1170" s="988" t="str">
        <f t="shared" si="180"/>
        <v/>
      </c>
      <c r="E1170" s="989"/>
      <c r="F1170" s="988" t="str">
        <f t="shared" si="177"/>
        <v/>
      </c>
      <c r="G1170" s="1095" t="str">
        <f t="shared" si="179"/>
        <v>3014011</v>
      </c>
      <c r="I1170" s="944" t="str">
        <f t="shared" si="178"/>
        <v/>
      </c>
      <c r="J1170" s="992" t="s">
        <v>10997</v>
      </c>
      <c r="K1170" s="886"/>
      <c r="L1170" s="886"/>
      <c r="M1170" s="886"/>
      <c r="N1170" s="886"/>
      <c r="O1170" s="886"/>
      <c r="P1170" s="886"/>
      <c r="Q1170" s="1167">
        <v>10932.86</v>
      </c>
      <c r="R1170" s="882"/>
      <c r="S1170" s="1269"/>
      <c r="T1170" s="1254"/>
      <c r="U1170" s="978"/>
      <c r="V1170" s="996"/>
      <c r="W1170" s="992"/>
    </row>
    <row r="1171" spans="1:23" ht="14.5" customHeight="1">
      <c r="A1171" s="1034"/>
      <c r="B1171" s="1034"/>
      <c r="C1171" s="1023" t="s">
        <v>6786</v>
      </c>
      <c r="D1171" s="1024" t="str">
        <f t="shared" si="180"/>
        <v>301501</v>
      </c>
      <c r="E1171" s="1025" t="s">
        <v>6787</v>
      </c>
      <c r="F1171" s="1024" t="str">
        <f t="shared" si="177"/>
        <v>3015011</v>
      </c>
      <c r="G1171" s="1111" t="str">
        <f>IF(F1171="",G1163,F1171)</f>
        <v>3015011</v>
      </c>
      <c r="H1171" s="1112"/>
      <c r="I1171" s="1113" t="str">
        <f>IF(H1171="","",CONCATENATE(G1171,H1171))</f>
        <v/>
      </c>
      <c r="J1171" s="1026" t="s">
        <v>479</v>
      </c>
      <c r="K1171" s="912"/>
      <c r="L1171" s="912"/>
      <c r="M1171" s="912"/>
      <c r="N1171" s="912"/>
      <c r="O1171" s="912"/>
      <c r="P1171" s="914">
        <f>Q1171</f>
        <v>87333</v>
      </c>
      <c r="Q1171" s="1186">
        <v>87333</v>
      </c>
      <c r="R1171" s="929"/>
      <c r="S1171" s="1280"/>
      <c r="T1171" s="929"/>
      <c r="U1171" s="1031" t="s">
        <v>10612</v>
      </c>
      <c r="V1171" s="1022"/>
      <c r="W1171" s="1027"/>
    </row>
    <row r="1172" spans="1:23" ht="14.5" customHeight="1">
      <c r="A1172" s="1034"/>
      <c r="B1172" s="1034"/>
      <c r="C1172" s="994" t="s">
        <v>6788</v>
      </c>
      <c r="D1172" s="982" t="str">
        <f t="shared" si="180"/>
        <v>301502</v>
      </c>
      <c r="E1172" s="983" t="s">
        <v>6789</v>
      </c>
      <c r="F1172" s="982" t="str">
        <f t="shared" si="177"/>
        <v>3015021</v>
      </c>
      <c r="G1172" s="1103" t="str">
        <f>IF(F1172="",G1164,F1172)</f>
        <v>3015021</v>
      </c>
      <c r="J1172" s="990" t="s">
        <v>6790</v>
      </c>
      <c r="K1172" s="886"/>
      <c r="L1172" s="886"/>
      <c r="M1172" s="886"/>
      <c r="N1172" s="886"/>
      <c r="O1172" s="886"/>
      <c r="P1172" s="896">
        <f>Q1172</f>
        <v>69501</v>
      </c>
      <c r="Q1172" s="1171">
        <f>ROUND(Q1173+Q1174,0)</f>
        <v>69501</v>
      </c>
      <c r="R1172" s="882"/>
      <c r="S1172" s="1269"/>
      <c r="T1172" s="1254"/>
      <c r="U1172" s="996" t="s">
        <v>10587</v>
      </c>
      <c r="V1172" s="996"/>
      <c r="W1172" s="992"/>
    </row>
    <row r="1173" spans="1:23" ht="14.5" customHeight="1">
      <c r="A1173" s="1034"/>
      <c r="B1173" s="1034"/>
      <c r="C1173" s="987"/>
      <c r="D1173" s="988" t="str">
        <f t="shared" si="180"/>
        <v/>
      </c>
      <c r="F1173" s="988" t="str">
        <f t="shared" si="177"/>
        <v/>
      </c>
      <c r="G1173" s="1095" t="str">
        <f>IF(F1173="",G1169,F1173)</f>
        <v>3014011</v>
      </c>
      <c r="I1173" s="944" t="str">
        <f t="shared" ref="I1173:I1179" si="181">IF(H1173="","",CONCATENATE(G1173,H1173))</f>
        <v/>
      </c>
      <c r="J1173" s="991" t="s">
        <v>10998</v>
      </c>
      <c r="K1173" s="886"/>
      <c r="L1173" s="873"/>
      <c r="M1173" s="873"/>
      <c r="N1173" s="886"/>
      <c r="O1173" s="886"/>
      <c r="P1173" s="886"/>
      <c r="Q1173" s="1167">
        <v>9792.41</v>
      </c>
      <c r="R1173" s="882"/>
      <c r="S1173" s="1269"/>
      <c r="T1173" s="1254"/>
      <c r="U1173" s="996"/>
      <c r="V1173" s="996"/>
      <c r="W1173" s="992"/>
    </row>
    <row r="1174" spans="1:23" ht="14.5" customHeight="1">
      <c r="A1174" s="1034"/>
      <c r="B1174" s="1034"/>
      <c r="C1174" s="987"/>
      <c r="D1174" s="988" t="str">
        <f t="shared" si="180"/>
        <v/>
      </c>
      <c r="F1174" s="988" t="str">
        <f t="shared" si="177"/>
        <v/>
      </c>
      <c r="G1174" s="1095" t="str">
        <f>IF(F1174="",G1173,F1174)</f>
        <v>3014011</v>
      </c>
      <c r="I1174" s="944" t="str">
        <f t="shared" si="181"/>
        <v/>
      </c>
      <c r="J1174" s="991" t="s">
        <v>10999</v>
      </c>
      <c r="K1174" s="886"/>
      <c r="L1174" s="873"/>
      <c r="M1174" s="873"/>
      <c r="N1174" s="886"/>
      <c r="O1174" s="886"/>
      <c r="P1174" s="886"/>
      <c r="Q1174" s="1167">
        <v>59708.95</v>
      </c>
      <c r="R1174" s="882"/>
      <c r="S1174" s="1269"/>
      <c r="T1174" s="1254"/>
      <c r="U1174" s="996"/>
      <c r="V1174" s="996"/>
      <c r="W1174" s="992"/>
    </row>
    <row r="1175" spans="1:23" ht="14.5" customHeight="1">
      <c r="A1175" s="1034"/>
      <c r="B1175" s="1034"/>
      <c r="C1175" s="1023" t="s">
        <v>6795</v>
      </c>
      <c r="D1175" s="1024" t="str">
        <f t="shared" si="180"/>
        <v>301601</v>
      </c>
      <c r="E1175" s="1025" t="s">
        <v>6796</v>
      </c>
      <c r="F1175" s="1024" t="str">
        <f t="shared" si="177"/>
        <v>3016011</v>
      </c>
      <c r="G1175" s="1111" t="str">
        <f>IF(F1175="",G1181,F1175)</f>
        <v>3016011</v>
      </c>
      <c r="H1175" s="1112"/>
      <c r="I1175" s="1113" t="str">
        <f t="shared" si="181"/>
        <v/>
      </c>
      <c r="J1175" s="1026" t="s">
        <v>483</v>
      </c>
      <c r="K1175" s="912"/>
      <c r="L1175" s="913"/>
      <c r="M1175" s="913"/>
      <c r="N1175" s="912"/>
      <c r="O1175" s="912"/>
      <c r="P1175" s="914">
        <f t="shared" ref="P1175:P1184" si="182">Q1175</f>
        <v>31824</v>
      </c>
      <c r="Q1175" s="1186">
        <v>31824</v>
      </c>
      <c r="R1175" s="929"/>
      <c r="S1175" s="1280"/>
      <c r="T1175" s="929"/>
      <c r="U1175" s="1031" t="s">
        <v>10612</v>
      </c>
      <c r="V1175" s="1022"/>
      <c r="W1175" s="1027"/>
    </row>
    <row r="1176" spans="1:23" ht="14.5" customHeight="1">
      <c r="A1176" s="1034"/>
      <c r="B1176" s="1034"/>
      <c r="C1176" s="1023" t="s">
        <v>6797</v>
      </c>
      <c r="D1176" s="1024" t="str">
        <f t="shared" si="180"/>
        <v>301602</v>
      </c>
      <c r="E1176" s="1025" t="s">
        <v>6798</v>
      </c>
      <c r="F1176" s="1024" t="str">
        <f t="shared" si="177"/>
        <v>3016021</v>
      </c>
      <c r="G1176" s="1111" t="str">
        <f>IF(F1176="",G1175,F1176)</f>
        <v>3016021</v>
      </c>
      <c r="H1176" s="1112"/>
      <c r="I1176" s="1113" t="str">
        <f t="shared" si="181"/>
        <v/>
      </c>
      <c r="J1176" s="1026" t="s">
        <v>484</v>
      </c>
      <c r="K1176" s="912"/>
      <c r="L1176" s="912"/>
      <c r="M1176" s="912"/>
      <c r="N1176" s="912"/>
      <c r="O1176" s="912"/>
      <c r="P1176" s="914">
        <f t="shared" si="182"/>
        <v>59106</v>
      </c>
      <c r="Q1176" s="1186">
        <v>59106</v>
      </c>
      <c r="R1176" s="929"/>
      <c r="S1176" s="1280"/>
      <c r="T1176" s="929"/>
      <c r="U1176" s="1031" t="s">
        <v>10612</v>
      </c>
      <c r="V1176" s="1022"/>
      <c r="W1176" s="1027"/>
    </row>
    <row r="1177" spans="1:23" ht="14.5" customHeight="1">
      <c r="A1177" s="1034"/>
      <c r="B1177" s="1034"/>
      <c r="C1177" s="1023" t="s">
        <v>6799</v>
      </c>
      <c r="D1177" s="1024" t="str">
        <f t="shared" si="180"/>
        <v>301603</v>
      </c>
      <c r="E1177" s="1025" t="s">
        <v>6800</v>
      </c>
      <c r="F1177" s="1024" t="str">
        <f t="shared" si="177"/>
        <v>3016031</v>
      </c>
      <c r="G1177" s="1111" t="str">
        <f>IF(F1177="",G1155,F1177)</f>
        <v>3016031</v>
      </c>
      <c r="H1177" s="1112"/>
      <c r="I1177" s="1113" t="str">
        <f t="shared" si="181"/>
        <v/>
      </c>
      <c r="J1177" s="1026" t="s">
        <v>485</v>
      </c>
      <c r="K1177" s="912"/>
      <c r="L1177" s="912"/>
      <c r="M1177" s="912"/>
      <c r="N1177" s="912"/>
      <c r="O1177" s="912"/>
      <c r="P1177" s="922">
        <f t="shared" si="182"/>
        <v>39878</v>
      </c>
      <c r="Q1177" s="1186">
        <v>39878</v>
      </c>
      <c r="R1177" s="929"/>
      <c r="S1177" s="1280"/>
      <c r="T1177" s="929"/>
      <c r="U1177" s="1031" t="s">
        <v>10612</v>
      </c>
      <c r="V1177" s="1022"/>
      <c r="W1177" s="1027"/>
    </row>
    <row r="1178" spans="1:23" ht="14.5" customHeight="1">
      <c r="A1178" s="1034"/>
      <c r="B1178" s="1034"/>
      <c r="C1178" s="1023" t="s">
        <v>6801</v>
      </c>
      <c r="D1178" s="1024" t="str">
        <f t="shared" si="180"/>
        <v>301701</v>
      </c>
      <c r="E1178" s="1025" t="s">
        <v>6802</v>
      </c>
      <c r="F1178" s="1024" t="str">
        <f t="shared" si="177"/>
        <v>3017011</v>
      </c>
      <c r="G1178" s="1111" t="str">
        <f>IF(F1178="",G1166,F1178)</f>
        <v>3017011</v>
      </c>
      <c r="H1178" s="1112"/>
      <c r="I1178" s="1113" t="str">
        <f t="shared" si="181"/>
        <v/>
      </c>
      <c r="J1178" s="1026" t="s">
        <v>487</v>
      </c>
      <c r="K1178" s="912"/>
      <c r="L1178" s="913"/>
      <c r="M1178" s="913"/>
      <c r="N1178" s="912"/>
      <c r="O1178" s="912"/>
      <c r="P1178" s="914">
        <f t="shared" si="182"/>
        <v>41616</v>
      </c>
      <c r="Q1178" s="1186">
        <v>41616</v>
      </c>
      <c r="R1178" s="929"/>
      <c r="S1178" s="1280"/>
      <c r="T1178" s="929"/>
      <c r="U1178" s="1031" t="s">
        <v>10612</v>
      </c>
      <c r="V1178" s="1022"/>
      <c r="W1178" s="1027"/>
    </row>
    <row r="1179" spans="1:23" ht="14.5" customHeight="1">
      <c r="A1179" s="1034"/>
      <c r="B1179" s="1034"/>
      <c r="C1179" s="1023" t="s">
        <v>6803</v>
      </c>
      <c r="D1179" s="1024" t="str">
        <f t="shared" si="180"/>
        <v>301901</v>
      </c>
      <c r="E1179" s="1025" t="s">
        <v>6804</v>
      </c>
      <c r="F1179" s="1024" t="str">
        <f t="shared" si="177"/>
        <v>3019011</v>
      </c>
      <c r="G1179" s="1111" t="str">
        <f>IF(F1179="",G1170,F1179)</f>
        <v>3019011</v>
      </c>
      <c r="H1179" s="1112"/>
      <c r="I1179" s="1113" t="str">
        <f t="shared" si="181"/>
        <v/>
      </c>
      <c r="J1179" s="1026" t="s">
        <v>489</v>
      </c>
      <c r="K1179" s="912"/>
      <c r="L1179" s="913"/>
      <c r="M1179" s="913"/>
      <c r="N1179" s="912"/>
      <c r="O1179" s="912"/>
      <c r="P1179" s="914">
        <f t="shared" si="182"/>
        <v>27225</v>
      </c>
      <c r="Q1179" s="1186">
        <v>27225</v>
      </c>
      <c r="R1179" s="929"/>
      <c r="S1179" s="1280"/>
      <c r="T1179" s="929"/>
      <c r="U1179" s="1031" t="s">
        <v>10612</v>
      </c>
      <c r="V1179" s="1031"/>
      <c r="W1179" s="1027"/>
    </row>
    <row r="1180" spans="1:23" ht="14.5" customHeight="1">
      <c r="A1180" s="1034"/>
      <c r="B1180" s="1034"/>
      <c r="C1180" s="1023" t="s">
        <v>6805</v>
      </c>
      <c r="D1180" s="1024" t="str">
        <f t="shared" si="180"/>
        <v>301902</v>
      </c>
      <c r="E1180" s="1025" t="s">
        <v>6806</v>
      </c>
      <c r="F1180" s="1024" t="str">
        <f t="shared" si="177"/>
        <v>3019021</v>
      </c>
      <c r="G1180" s="1111" t="str">
        <f>IF(F1180="",G1171,F1180)</f>
        <v>3019021</v>
      </c>
      <c r="H1180" s="1112"/>
      <c r="I1180" s="1113"/>
      <c r="J1180" s="1026" t="s">
        <v>6807</v>
      </c>
      <c r="K1180" s="912"/>
      <c r="L1180" s="912"/>
      <c r="M1180" s="912"/>
      <c r="N1180" s="912"/>
      <c r="O1180" s="912"/>
      <c r="P1180" s="914">
        <f t="shared" si="182"/>
        <v>2868</v>
      </c>
      <c r="Q1180" s="1186">
        <v>2868</v>
      </c>
      <c r="R1180" s="929"/>
      <c r="S1180" s="1280"/>
      <c r="T1180" s="929"/>
      <c r="U1180" s="1031" t="s">
        <v>10612</v>
      </c>
      <c r="V1180" s="1022"/>
      <c r="W1180" s="1027"/>
    </row>
    <row r="1181" spans="1:23" ht="14.5" customHeight="1">
      <c r="A1181" s="1034"/>
      <c r="B1181" s="1034"/>
      <c r="C1181" s="1023" t="s">
        <v>6808</v>
      </c>
      <c r="D1181" s="1024" t="str">
        <f t="shared" si="180"/>
        <v>301903</v>
      </c>
      <c r="E1181" s="1025" t="s">
        <v>6809</v>
      </c>
      <c r="F1181" s="1024" t="str">
        <f t="shared" si="177"/>
        <v>3019031</v>
      </c>
      <c r="G1181" s="1111" t="str">
        <f>IF(F1181="",G1171,F1181)</f>
        <v>3019031</v>
      </c>
      <c r="H1181" s="1112"/>
      <c r="I1181" s="1113" t="str">
        <f t="shared" ref="I1181:I1188" si="183">IF(H1181="","",CONCATENATE(G1181,H1181))</f>
        <v/>
      </c>
      <c r="J1181" s="1026" t="s">
        <v>6810</v>
      </c>
      <c r="K1181" s="912"/>
      <c r="L1181" s="912"/>
      <c r="M1181" s="912"/>
      <c r="N1181" s="912"/>
      <c r="O1181" s="912"/>
      <c r="P1181" s="914">
        <f t="shared" si="182"/>
        <v>67753</v>
      </c>
      <c r="Q1181" s="1186">
        <v>67753</v>
      </c>
      <c r="R1181" s="929"/>
      <c r="S1181" s="1280"/>
      <c r="T1181" s="929"/>
      <c r="U1181" s="1031" t="s">
        <v>10612</v>
      </c>
      <c r="V1181" s="1022"/>
      <c r="W1181" s="1027"/>
    </row>
    <row r="1182" spans="1:23" ht="14.5" customHeight="1">
      <c r="A1182" s="1034"/>
      <c r="B1182" s="1034"/>
      <c r="C1182" s="1023" t="s">
        <v>6811</v>
      </c>
      <c r="D1182" s="1024" t="str">
        <f t="shared" si="180"/>
        <v>301909</v>
      </c>
      <c r="E1182" s="1025" t="s">
        <v>6812</v>
      </c>
      <c r="F1182" s="1024" t="str">
        <f t="shared" si="177"/>
        <v>3019099</v>
      </c>
      <c r="G1182" s="1111" t="str">
        <f>IF(F1182="",G1158,F1182)</f>
        <v>3019099</v>
      </c>
      <c r="H1182" s="1112"/>
      <c r="I1182" s="1113" t="str">
        <f t="shared" si="183"/>
        <v/>
      </c>
      <c r="J1182" s="1063" t="s">
        <v>6813</v>
      </c>
      <c r="K1182" s="912"/>
      <c r="L1182" s="912"/>
      <c r="M1182" s="912"/>
      <c r="N1182" s="912"/>
      <c r="O1182" s="912"/>
      <c r="P1182" s="914">
        <f t="shared" si="182"/>
        <v>85413</v>
      </c>
      <c r="Q1182" s="1186">
        <v>85413</v>
      </c>
      <c r="R1182" s="929"/>
      <c r="S1182" s="1280"/>
      <c r="T1182" s="929"/>
      <c r="U1182" s="1031" t="s">
        <v>10612</v>
      </c>
      <c r="V1182" s="1022"/>
      <c r="W1182" s="1027"/>
    </row>
    <row r="1183" spans="1:23" ht="14.5" customHeight="1">
      <c r="C1183" s="1023" t="s">
        <v>6814</v>
      </c>
      <c r="D1183" s="1024" t="str">
        <f t="shared" si="180"/>
        <v>311101</v>
      </c>
      <c r="E1183" s="1025" t="s">
        <v>6815</v>
      </c>
      <c r="F1183" s="1024" t="str">
        <f t="shared" si="177"/>
        <v>3111011</v>
      </c>
      <c r="G1183" s="1111" t="str">
        <f t="shared" ref="G1183:G1208" si="184">IF(F1183="",G1182,F1183)</f>
        <v>3111011</v>
      </c>
      <c r="H1183" s="1112"/>
      <c r="I1183" s="1113" t="str">
        <f t="shared" si="183"/>
        <v/>
      </c>
      <c r="J1183" s="1026" t="s">
        <v>494</v>
      </c>
      <c r="K1183" s="912"/>
      <c r="L1183" s="912"/>
      <c r="M1183" s="912"/>
      <c r="N1183" s="912"/>
      <c r="O1183" s="912"/>
      <c r="P1183" s="914">
        <f t="shared" si="182"/>
        <v>28</v>
      </c>
      <c r="Q1183" s="1186">
        <v>28</v>
      </c>
      <c r="R1183" s="929"/>
      <c r="S1183" s="1280"/>
      <c r="T1183" s="929"/>
      <c r="U1183" s="1031" t="s">
        <v>10612</v>
      </c>
      <c r="V1183" s="1022"/>
      <c r="W1183" s="1027"/>
    </row>
    <row r="1184" spans="1:23" ht="14.5" customHeight="1">
      <c r="C1184" s="1023" t="s">
        <v>6816</v>
      </c>
      <c r="D1184" s="1024" t="str">
        <f t="shared" si="180"/>
        <v>311109</v>
      </c>
      <c r="E1184" s="1025" t="s">
        <v>6817</v>
      </c>
      <c r="F1184" s="1024" t="str">
        <f>IF(E1184="","",CONCATENATE(LEFT(E1184,4),MID(E1184,6,3)))</f>
        <v>3111099</v>
      </c>
      <c r="G1184" s="1111" t="str">
        <f t="shared" si="184"/>
        <v>3111099</v>
      </c>
      <c r="H1184" s="1112"/>
      <c r="I1184" s="1113" t="str">
        <f t="shared" si="183"/>
        <v/>
      </c>
      <c r="J1184" s="1026" t="s">
        <v>497</v>
      </c>
      <c r="K1184" s="912"/>
      <c r="L1184" s="912"/>
      <c r="M1184" s="912"/>
      <c r="N1184" s="912"/>
      <c r="O1184" s="912"/>
      <c r="P1184" s="914">
        <f t="shared" si="182"/>
        <v>105856</v>
      </c>
      <c r="Q1184" s="1186">
        <v>105856</v>
      </c>
      <c r="R1184" s="929"/>
      <c r="S1184" s="1280"/>
      <c r="T1184" s="929"/>
      <c r="U1184" s="1031" t="s">
        <v>10612</v>
      </c>
      <c r="V1184" s="1022"/>
      <c r="W1184" s="1134" t="s">
        <v>11000</v>
      </c>
    </row>
    <row r="1185" spans="3:23" ht="14.5" customHeight="1">
      <c r="C1185" s="994" t="s">
        <v>6818</v>
      </c>
      <c r="D1185" s="988" t="str">
        <f t="shared" si="180"/>
        <v>311201</v>
      </c>
      <c r="E1185" s="989" t="s">
        <v>11001</v>
      </c>
      <c r="F1185" s="988" t="str">
        <f>IF(E1185="","",CONCATENATE(LEFT(E1185,4),MID(E1185,6,3)))</f>
        <v>3112011</v>
      </c>
      <c r="G1185" s="1095" t="str">
        <f t="shared" si="184"/>
        <v>3112011</v>
      </c>
      <c r="I1185" s="944" t="str">
        <f t="shared" si="183"/>
        <v/>
      </c>
      <c r="J1185" s="990" t="s">
        <v>6819</v>
      </c>
      <c r="K1185" s="886"/>
      <c r="L1185" s="886"/>
      <c r="M1185" s="886"/>
      <c r="N1185" s="886"/>
      <c r="O1185" s="886"/>
      <c r="P1185" s="896">
        <f>Q1185</f>
        <v>52186</v>
      </c>
      <c r="Q1185" s="1171">
        <f>ROUND(Q1186+Q1187+Q1188,0)</f>
        <v>52186</v>
      </c>
      <c r="R1185" s="882"/>
      <c r="S1185" s="1269"/>
      <c r="T1185" s="1254"/>
      <c r="U1185" s="996" t="s">
        <v>10587</v>
      </c>
      <c r="V1185" s="996"/>
      <c r="W1185" s="992"/>
    </row>
    <row r="1186" spans="3:23" ht="14.5" customHeight="1">
      <c r="C1186" s="987"/>
      <c r="D1186" s="988" t="str">
        <f t="shared" si="180"/>
        <v/>
      </c>
      <c r="E1186" s="989"/>
      <c r="F1186" s="988" t="str">
        <f t="shared" si="177"/>
        <v/>
      </c>
      <c r="G1186" s="1095" t="str">
        <f t="shared" si="184"/>
        <v>3112011</v>
      </c>
      <c r="I1186" s="944" t="str">
        <f t="shared" si="183"/>
        <v/>
      </c>
      <c r="J1186" s="991" t="s">
        <v>11002</v>
      </c>
      <c r="K1186" s="886"/>
      <c r="L1186" s="873"/>
      <c r="M1186" s="873"/>
      <c r="N1186" s="886"/>
      <c r="O1186" s="886"/>
      <c r="P1186" s="886"/>
      <c r="Q1186" s="1167">
        <v>800.72</v>
      </c>
      <c r="R1186" s="882"/>
      <c r="S1186" s="1269"/>
      <c r="T1186" s="1254"/>
      <c r="U1186" s="991"/>
      <c r="V1186" s="996"/>
      <c r="W1186" s="992"/>
    </row>
    <row r="1187" spans="3:23" ht="14.5" customHeight="1">
      <c r="C1187" s="987"/>
      <c r="D1187" s="988" t="str">
        <f t="shared" si="180"/>
        <v/>
      </c>
      <c r="E1187" s="989"/>
      <c r="F1187" s="988" t="str">
        <f t="shared" si="177"/>
        <v/>
      </c>
      <c r="G1187" s="1095" t="str">
        <f t="shared" si="184"/>
        <v>3112011</v>
      </c>
      <c r="I1187" s="944" t="str">
        <f t="shared" si="183"/>
        <v/>
      </c>
      <c r="J1187" s="991" t="s">
        <v>11003</v>
      </c>
      <c r="K1187" s="886"/>
      <c r="L1187" s="873"/>
      <c r="M1187" s="873"/>
      <c r="N1187" s="886"/>
      <c r="O1187" s="886"/>
      <c r="P1187" s="886"/>
      <c r="Q1187" s="1167">
        <v>14810.32</v>
      </c>
      <c r="R1187" s="882"/>
      <c r="S1187" s="1269"/>
      <c r="T1187" s="1254"/>
      <c r="U1187" s="991"/>
      <c r="V1187" s="996"/>
      <c r="W1187" s="992"/>
    </row>
    <row r="1188" spans="3:23" ht="14.5" customHeight="1">
      <c r="C1188" s="987"/>
      <c r="D1188" s="988" t="str">
        <f t="shared" si="180"/>
        <v/>
      </c>
      <c r="E1188" s="989"/>
      <c r="F1188" s="988" t="str">
        <f t="shared" si="177"/>
        <v/>
      </c>
      <c r="G1188" s="1095" t="str">
        <f t="shared" si="184"/>
        <v>3112011</v>
      </c>
      <c r="I1188" s="944" t="str">
        <f t="shared" si="183"/>
        <v/>
      </c>
      <c r="J1188" s="991" t="s">
        <v>11004</v>
      </c>
      <c r="K1188" s="886"/>
      <c r="L1188" s="873"/>
      <c r="M1188" s="873"/>
      <c r="N1188" s="886"/>
      <c r="O1188" s="886"/>
      <c r="P1188" s="886"/>
      <c r="Q1188" s="1167">
        <v>36574.79</v>
      </c>
      <c r="R1188" s="882"/>
      <c r="S1188" s="1287">
        <f>'CT2015'!K1145</f>
        <v>8.3000000000000007</v>
      </c>
      <c r="T1188" s="1254">
        <f>ROUND(Q1188*S1188/100,0)</f>
        <v>3036</v>
      </c>
      <c r="U1188" s="991"/>
      <c r="V1188" s="996"/>
      <c r="W1188" s="992"/>
    </row>
    <row r="1189" spans="3:23" ht="14.5" customHeight="1">
      <c r="C1189" s="1023" t="s">
        <v>6824</v>
      </c>
      <c r="D1189" s="1024" t="str">
        <f t="shared" si="180"/>
        <v>311301</v>
      </c>
      <c r="E1189" s="1025" t="s">
        <v>6825</v>
      </c>
      <c r="F1189" s="1024" t="str">
        <f t="shared" si="177"/>
        <v>3113011</v>
      </c>
      <c r="G1189" s="1111" t="str">
        <f t="shared" si="184"/>
        <v>3113011</v>
      </c>
      <c r="H1189" s="1112"/>
      <c r="I1189" s="1113"/>
      <c r="J1189" s="1026" t="s">
        <v>6826</v>
      </c>
      <c r="K1189" s="912"/>
      <c r="L1189" s="913"/>
      <c r="M1189" s="913"/>
      <c r="N1189" s="912"/>
      <c r="O1189" s="912"/>
      <c r="P1189" s="914">
        <f>Q1189</f>
        <v>45325</v>
      </c>
      <c r="Q1189" s="1186">
        <v>45325</v>
      </c>
      <c r="R1189" s="929"/>
      <c r="S1189" s="1280"/>
      <c r="T1189" s="929"/>
      <c r="U1189" s="1031" t="s">
        <v>10612</v>
      </c>
      <c r="V1189" s="1022"/>
      <c r="W1189" s="1027"/>
    </row>
    <row r="1190" spans="3:23" ht="14.5" customHeight="1">
      <c r="C1190" s="1064" t="s">
        <v>6827</v>
      </c>
      <c r="D1190" s="1024" t="str">
        <f t="shared" si="180"/>
        <v>311401</v>
      </c>
      <c r="E1190" s="1025" t="s">
        <v>6828</v>
      </c>
      <c r="F1190" s="1024" t="str">
        <f t="shared" si="177"/>
        <v>3114011</v>
      </c>
      <c r="G1190" s="1111" t="str">
        <f t="shared" si="184"/>
        <v>3114011</v>
      </c>
      <c r="H1190" s="1112"/>
      <c r="I1190" s="1113"/>
      <c r="J1190" s="1026" t="s">
        <v>6829</v>
      </c>
      <c r="K1190" s="912"/>
      <c r="L1190" s="913"/>
      <c r="M1190" s="913"/>
      <c r="N1190" s="912"/>
      <c r="O1190" s="912"/>
      <c r="P1190" s="922">
        <f>Q1190</f>
        <v>15780</v>
      </c>
      <c r="Q1190" s="1186">
        <v>15780</v>
      </c>
      <c r="R1190" s="929"/>
      <c r="S1190" s="1280"/>
      <c r="T1190" s="929"/>
      <c r="U1190" s="1031" t="s">
        <v>10612</v>
      </c>
      <c r="V1190" s="1022"/>
      <c r="W1190" s="1027"/>
    </row>
    <row r="1191" spans="3:23" ht="14.5" customHeight="1">
      <c r="C1191" s="1064" t="s">
        <v>6830</v>
      </c>
      <c r="D1191" s="1024" t="str">
        <f t="shared" si="180"/>
        <v>311501</v>
      </c>
      <c r="E1191" s="1025" t="s">
        <v>6831</v>
      </c>
      <c r="F1191" s="1024" t="str">
        <f t="shared" si="177"/>
        <v>3115011</v>
      </c>
      <c r="G1191" s="1111" t="str">
        <f t="shared" si="184"/>
        <v>3115011</v>
      </c>
      <c r="H1191" s="1112"/>
      <c r="I1191" s="1113"/>
      <c r="J1191" s="1026" t="s">
        <v>6832</v>
      </c>
      <c r="K1191" s="912"/>
      <c r="L1191" s="913"/>
      <c r="M1191" s="913"/>
      <c r="N1191" s="912"/>
      <c r="O1191" s="912"/>
      <c r="P1191" s="922">
        <f>Q1191</f>
        <v>1059</v>
      </c>
      <c r="Q1191" s="1186">
        <v>1059</v>
      </c>
      <c r="R1191" s="929"/>
      <c r="S1191" s="1280"/>
      <c r="T1191" s="929"/>
      <c r="U1191" s="1031" t="s">
        <v>10612</v>
      </c>
      <c r="V1191" s="1022"/>
      <c r="W1191" s="1027"/>
    </row>
    <row r="1192" spans="3:23" ht="14.5" customHeight="1">
      <c r="C1192" s="994" t="s">
        <v>6833</v>
      </c>
      <c r="D1192" s="988" t="str">
        <f t="shared" si="180"/>
        <v>311601</v>
      </c>
      <c r="E1192" s="1000" t="s">
        <v>6834</v>
      </c>
      <c r="F1192" s="999" t="str">
        <f t="shared" si="177"/>
        <v>3116011</v>
      </c>
      <c r="G1192" s="1104" t="str">
        <f t="shared" si="184"/>
        <v>3116011</v>
      </c>
      <c r="J1192" s="990" t="s">
        <v>6835</v>
      </c>
      <c r="K1192" s="886"/>
      <c r="L1192" s="873"/>
      <c r="M1192" s="873"/>
      <c r="N1192" s="886"/>
      <c r="O1192" s="886"/>
      <c r="P1192" s="896">
        <f>Q1192</f>
        <v>1163</v>
      </c>
      <c r="Q1192" s="1174">
        <v>1163</v>
      </c>
      <c r="R1192" s="882"/>
      <c r="S1192" s="1269"/>
      <c r="T1192" s="1254"/>
      <c r="U1192" s="978" t="s">
        <v>10612</v>
      </c>
      <c r="V1192" s="996"/>
      <c r="W1192" s="992"/>
    </row>
    <row r="1193" spans="3:23" ht="14.5" customHeight="1">
      <c r="C1193" s="981" t="s">
        <v>6836</v>
      </c>
      <c r="D1193" s="982" t="str">
        <f>IF(C1193="","",CONCATENATE(LEFT(C1193,4),MID(C1193,6,2)))</f>
        <v>321101</v>
      </c>
      <c r="E1193" s="989" t="s">
        <v>6837</v>
      </c>
      <c r="F1193" s="988" t="str">
        <f>IF(E1193="","",CONCATENATE(LEFT(E1193,4),MID(E1193,6,3)))</f>
        <v>3211011</v>
      </c>
      <c r="G1193" s="1095" t="str">
        <f t="shared" si="184"/>
        <v>3211011</v>
      </c>
      <c r="H1193" s="1102"/>
      <c r="I1193" s="947" t="str">
        <f>IF(H1193="","",CONCATENATE(G1193,H1193))</f>
        <v/>
      </c>
      <c r="J1193" s="984" t="s">
        <v>512</v>
      </c>
      <c r="K1193" s="889"/>
      <c r="L1193" s="889"/>
      <c r="M1193" s="889"/>
      <c r="N1193" s="889"/>
      <c r="O1193" s="889"/>
      <c r="P1193" s="881">
        <f>Q1193</f>
        <v>108010</v>
      </c>
      <c r="Q1193" s="1169">
        <f>ROUND(SUM(Q1194:Q1209),0)</f>
        <v>108010</v>
      </c>
      <c r="R1193" s="880"/>
      <c r="S1193" s="1270"/>
      <c r="T1193" s="880"/>
      <c r="U1193" s="993"/>
      <c r="V1193" s="993"/>
      <c r="W1193" s="986"/>
    </row>
    <row r="1194" spans="3:23" ht="14.5" customHeight="1">
      <c r="C1194" s="994"/>
      <c r="D1194" s="995"/>
      <c r="E1194" s="989"/>
      <c r="F1194" s="995"/>
      <c r="G1194" s="1095" t="str">
        <f t="shared" si="184"/>
        <v>3211011</v>
      </c>
      <c r="H1194" s="1016" t="s">
        <v>5534</v>
      </c>
      <c r="I1194" s="944" t="str">
        <f>IF(H1194="","",CONCATENATE(G1194,H1194))</f>
        <v>3211011101</v>
      </c>
      <c r="J1194" s="991" t="s">
        <v>6838</v>
      </c>
      <c r="K1194" s="886"/>
      <c r="L1194" s="882"/>
      <c r="M1194" s="921"/>
      <c r="N1194" s="886"/>
      <c r="O1194" s="886"/>
      <c r="P1194" s="886"/>
      <c r="Q1194" s="1167">
        <v>231</v>
      </c>
      <c r="R1194" s="882"/>
      <c r="S1194" s="1269"/>
      <c r="T1194" s="1254"/>
      <c r="U1194" s="996" t="s">
        <v>10766</v>
      </c>
      <c r="V1194" s="996"/>
      <c r="W1194" s="992"/>
    </row>
    <row r="1195" spans="3:23" ht="14.5" customHeight="1">
      <c r="C1195" s="994"/>
      <c r="D1195" s="995"/>
      <c r="E1195" s="989"/>
      <c r="F1195" s="995"/>
      <c r="G1195" s="1095" t="str">
        <f t="shared" si="184"/>
        <v>3211011</v>
      </c>
      <c r="H1195" s="1016" t="s">
        <v>6000</v>
      </c>
      <c r="I1195" s="944" t="str">
        <f t="shared" ref="I1195:I1209" si="185">IF(H1195="","",CONCATENATE(G1195,H1195))</f>
        <v>3211011102</v>
      </c>
      <c r="J1195" s="991" t="s">
        <v>6839</v>
      </c>
      <c r="K1195" s="886"/>
      <c r="L1195" s="882"/>
      <c r="M1195" s="921"/>
      <c r="N1195" s="886"/>
      <c r="O1195" s="886"/>
      <c r="P1195" s="886"/>
      <c r="Q1195" s="1167">
        <v>15813</v>
      </c>
      <c r="R1195" s="882"/>
      <c r="S1195" s="1269"/>
      <c r="T1195" s="1254"/>
      <c r="U1195" s="996" t="s">
        <v>10122</v>
      </c>
      <c r="V1195" s="996"/>
      <c r="W1195" s="992"/>
    </row>
    <row r="1196" spans="3:23" ht="14.5" customHeight="1">
      <c r="C1196" s="994"/>
      <c r="D1196" s="995"/>
      <c r="E1196" s="989"/>
      <c r="F1196" s="995"/>
      <c r="G1196" s="1095" t="str">
        <f t="shared" si="184"/>
        <v>3211011</v>
      </c>
      <c r="H1196" s="1016" t="s">
        <v>6002</v>
      </c>
      <c r="I1196" s="944" t="str">
        <f t="shared" si="185"/>
        <v>3211011103</v>
      </c>
      <c r="J1196" s="991" t="s">
        <v>6840</v>
      </c>
      <c r="K1196" s="886"/>
      <c r="L1196" s="882"/>
      <c r="M1196" s="921"/>
      <c r="N1196" s="886"/>
      <c r="O1196" s="886"/>
      <c r="P1196" s="886"/>
      <c r="Q1196" s="1167">
        <v>26052</v>
      </c>
      <c r="R1196" s="882"/>
      <c r="S1196" s="1269"/>
      <c r="T1196" s="1254"/>
      <c r="U1196" s="996" t="s">
        <v>10122</v>
      </c>
      <c r="V1196" s="996"/>
      <c r="W1196" s="992"/>
    </row>
    <row r="1197" spans="3:23" ht="14.5" customHeight="1">
      <c r="C1197" s="994"/>
      <c r="D1197" s="995"/>
      <c r="E1197" s="989"/>
      <c r="F1197" s="995"/>
      <c r="G1197" s="1095" t="str">
        <f t="shared" si="184"/>
        <v>3211011</v>
      </c>
      <c r="H1197" s="1016" t="s">
        <v>6146</v>
      </c>
      <c r="I1197" s="944" t="str">
        <f t="shared" si="185"/>
        <v>3211011104</v>
      </c>
      <c r="J1197" s="991" t="s">
        <v>6841</v>
      </c>
      <c r="K1197" s="886"/>
      <c r="L1197" s="882"/>
      <c r="M1197" s="921"/>
      <c r="N1197" s="886"/>
      <c r="O1197" s="886"/>
      <c r="P1197" s="886"/>
      <c r="Q1197" s="1167">
        <v>0</v>
      </c>
      <c r="R1197" s="882"/>
      <c r="S1197" s="1269"/>
      <c r="T1197" s="1254"/>
      <c r="U1197" s="996" t="s">
        <v>10122</v>
      </c>
      <c r="V1197" s="996"/>
      <c r="W1197" s="992"/>
    </row>
    <row r="1198" spans="3:23" ht="14.5" customHeight="1">
      <c r="C1198" s="994"/>
      <c r="D1198" s="995"/>
      <c r="E1198" s="989"/>
      <c r="F1198" s="995"/>
      <c r="G1198" s="1095" t="str">
        <f t="shared" si="184"/>
        <v>3211011</v>
      </c>
      <c r="H1198" s="1016" t="s">
        <v>6148</v>
      </c>
      <c r="I1198" s="944" t="str">
        <f t="shared" si="185"/>
        <v>3211011105</v>
      </c>
      <c r="J1198" s="991" t="s">
        <v>6842</v>
      </c>
      <c r="K1198" s="886"/>
      <c r="L1198" s="887"/>
      <c r="M1198" s="212"/>
      <c r="N1198" s="886"/>
      <c r="O1198" s="886"/>
      <c r="P1198" s="886"/>
      <c r="Q1198" s="1182">
        <v>9752</v>
      </c>
      <c r="R1198" s="882"/>
      <c r="S1198" s="1269"/>
      <c r="T1198" s="1254"/>
      <c r="U1198" s="996" t="s">
        <v>10122</v>
      </c>
      <c r="V1198" s="996"/>
      <c r="W1198" s="992"/>
    </row>
    <row r="1199" spans="3:23" ht="14.5" customHeight="1">
      <c r="C1199" s="994"/>
      <c r="D1199" s="995"/>
      <c r="E1199" s="989"/>
      <c r="F1199" s="995"/>
      <c r="G1199" s="1095" t="str">
        <f t="shared" si="184"/>
        <v>3211011</v>
      </c>
      <c r="H1199" s="1016" t="s">
        <v>5602</v>
      </c>
      <c r="I1199" s="944" t="str">
        <f t="shared" si="185"/>
        <v>3211011201</v>
      </c>
      <c r="J1199" s="991" t="s">
        <v>6843</v>
      </c>
      <c r="K1199" s="886"/>
      <c r="L1199" s="882"/>
      <c r="M1199" s="921"/>
      <c r="N1199" s="886"/>
      <c r="O1199" s="886"/>
      <c r="P1199" s="886"/>
      <c r="Q1199" s="1167">
        <v>2898</v>
      </c>
      <c r="R1199" s="882"/>
      <c r="S1199" s="1269"/>
      <c r="T1199" s="1254"/>
      <c r="U1199" s="996" t="s">
        <v>10122</v>
      </c>
      <c r="V1199" s="996"/>
      <c r="W1199" s="992"/>
    </row>
    <row r="1200" spans="3:23" ht="14.5" customHeight="1">
      <c r="C1200" s="994"/>
      <c r="D1200" s="995"/>
      <c r="E1200" s="989"/>
      <c r="F1200" s="995"/>
      <c r="G1200" s="1095" t="str">
        <f t="shared" si="184"/>
        <v>3211011</v>
      </c>
      <c r="H1200" s="1016" t="s">
        <v>5484</v>
      </c>
      <c r="I1200" s="944" t="str">
        <f t="shared" si="185"/>
        <v>3211011301</v>
      </c>
      <c r="J1200" s="991" t="s">
        <v>6844</v>
      </c>
      <c r="K1200" s="886"/>
      <c r="L1200" s="882"/>
      <c r="M1200" s="921"/>
      <c r="N1200" s="886"/>
      <c r="O1200" s="886"/>
      <c r="P1200" s="886"/>
      <c r="Q1200" s="1167">
        <v>7464</v>
      </c>
      <c r="R1200" s="882"/>
      <c r="S1200" s="1269"/>
      <c r="T1200" s="1254"/>
      <c r="U1200" s="996" t="s">
        <v>10122</v>
      </c>
      <c r="V1200" s="996"/>
      <c r="W1200" s="992"/>
    </row>
    <row r="1201" spans="1:23" ht="14.5" customHeight="1">
      <c r="C1201" s="994"/>
      <c r="D1201" s="995"/>
      <c r="E1201" s="989"/>
      <c r="F1201" s="995"/>
      <c r="G1201" s="1095" t="str">
        <f t="shared" si="184"/>
        <v>3211011</v>
      </c>
      <c r="H1201" s="1016" t="s">
        <v>5486</v>
      </c>
      <c r="I1201" s="944" t="str">
        <f t="shared" si="185"/>
        <v>3211011401</v>
      </c>
      <c r="J1201" s="991" t="s">
        <v>6845</v>
      </c>
      <c r="K1201" s="886"/>
      <c r="L1201" s="882"/>
      <c r="M1201" s="921"/>
      <c r="N1201" s="886"/>
      <c r="O1201" s="886"/>
      <c r="P1201" s="886"/>
      <c r="Q1201" s="1167">
        <v>2438</v>
      </c>
      <c r="R1201" s="882"/>
      <c r="S1201" s="1269"/>
      <c r="T1201" s="1254"/>
      <c r="U1201" s="996" t="s">
        <v>10122</v>
      </c>
      <c r="V1201" s="996"/>
      <c r="W1201" s="992"/>
    </row>
    <row r="1202" spans="1:23" ht="14.5" customHeight="1">
      <c r="C1202" s="994"/>
      <c r="D1202" s="995"/>
      <c r="E1202" s="989"/>
      <c r="F1202" s="995"/>
      <c r="G1202" s="1095" t="str">
        <f t="shared" si="184"/>
        <v>3211011</v>
      </c>
      <c r="H1202" s="1016" t="s">
        <v>6210</v>
      </c>
      <c r="I1202" s="944" t="str">
        <f t="shared" si="185"/>
        <v>3211011402</v>
      </c>
      <c r="J1202" s="991" t="s">
        <v>6846</v>
      </c>
      <c r="K1202" s="886"/>
      <c r="L1202" s="882"/>
      <c r="M1202" s="921"/>
      <c r="N1202" s="886"/>
      <c r="O1202" s="886"/>
      <c r="P1202" s="886"/>
      <c r="Q1202" s="1167">
        <v>3738</v>
      </c>
      <c r="R1202" s="882"/>
      <c r="S1202" s="1269"/>
      <c r="T1202" s="1254"/>
      <c r="U1202" s="996" t="s">
        <v>10122</v>
      </c>
      <c r="V1202" s="996"/>
      <c r="W1202" s="992"/>
    </row>
    <row r="1203" spans="1:23" ht="14.5" customHeight="1">
      <c r="C1203" s="994"/>
      <c r="D1203" s="995"/>
      <c r="E1203" s="989"/>
      <c r="F1203" s="995"/>
      <c r="G1203" s="1095" t="str">
        <f t="shared" si="184"/>
        <v>3211011</v>
      </c>
      <c r="H1203" s="1016" t="s">
        <v>6212</v>
      </c>
      <c r="I1203" s="944" t="str">
        <f t="shared" si="185"/>
        <v>3211011403</v>
      </c>
      <c r="J1203" s="991" t="s">
        <v>6847</v>
      </c>
      <c r="K1203" s="886"/>
      <c r="L1203" s="882"/>
      <c r="M1203" s="921"/>
      <c r="N1203" s="886"/>
      <c r="O1203" s="886"/>
      <c r="P1203" s="886"/>
      <c r="Q1203" s="1167">
        <v>25197</v>
      </c>
      <c r="R1203" s="882"/>
      <c r="S1203" s="1269"/>
      <c r="T1203" s="1254"/>
      <c r="U1203" s="996" t="s">
        <v>10122</v>
      </c>
      <c r="V1203" s="996"/>
      <c r="W1203" s="992"/>
    </row>
    <row r="1204" spans="1:23" ht="14.5" customHeight="1">
      <c r="C1204" s="994"/>
      <c r="D1204" s="995"/>
      <c r="E1204" s="989"/>
      <c r="F1204" s="995"/>
      <c r="G1204" s="1095" t="str">
        <f t="shared" si="184"/>
        <v>3211011</v>
      </c>
      <c r="H1204" s="1016" t="s">
        <v>6214</v>
      </c>
      <c r="I1204" s="944" t="str">
        <f t="shared" si="185"/>
        <v>3211011404</v>
      </c>
      <c r="J1204" s="991" t="s">
        <v>6848</v>
      </c>
      <c r="K1204" s="886"/>
      <c r="L1204" s="882"/>
      <c r="M1204" s="921"/>
      <c r="N1204" s="886"/>
      <c r="O1204" s="886"/>
      <c r="P1204" s="886"/>
      <c r="Q1204" s="1167">
        <v>14191</v>
      </c>
      <c r="R1204" s="882"/>
      <c r="S1204" s="1269"/>
      <c r="T1204" s="1254"/>
      <c r="U1204" s="996" t="s">
        <v>10122</v>
      </c>
      <c r="V1204" s="996"/>
      <c r="W1204" s="992"/>
    </row>
    <row r="1205" spans="1:23" ht="14.5" customHeight="1">
      <c r="C1205" s="994"/>
      <c r="D1205" s="995"/>
      <c r="E1205" s="989"/>
      <c r="F1205" s="995"/>
      <c r="G1205" s="1095" t="str">
        <f t="shared" si="184"/>
        <v>3211011</v>
      </c>
      <c r="H1205" s="1016" t="s">
        <v>5488</v>
      </c>
      <c r="I1205" s="1033" t="str">
        <f t="shared" si="185"/>
        <v>3211011501</v>
      </c>
      <c r="J1205" s="1135" t="s">
        <v>6849</v>
      </c>
      <c r="K1205" s="882"/>
      <c r="L1205" s="882"/>
      <c r="M1205" s="921"/>
      <c r="N1205" s="886"/>
      <c r="O1205" s="886"/>
      <c r="P1205" s="886"/>
      <c r="Q1205" s="1167">
        <v>0</v>
      </c>
      <c r="R1205" s="882"/>
      <c r="S1205" s="1269"/>
      <c r="T1205" s="1254"/>
      <c r="U1205" s="996" t="s">
        <v>10122</v>
      </c>
      <c r="V1205" s="996"/>
      <c r="W1205" s="992"/>
    </row>
    <row r="1206" spans="1:23" ht="14.5" customHeight="1">
      <c r="C1206" s="994"/>
      <c r="D1206" s="995"/>
      <c r="E1206" s="989"/>
      <c r="F1206" s="995"/>
      <c r="G1206" s="1095" t="str">
        <f t="shared" si="184"/>
        <v>3211011</v>
      </c>
      <c r="H1206" s="1016" t="s">
        <v>5514</v>
      </c>
      <c r="I1206" s="944" t="str">
        <f t="shared" si="185"/>
        <v>3211011601</v>
      </c>
      <c r="J1206" s="991" t="s">
        <v>6850</v>
      </c>
      <c r="K1206" s="886"/>
      <c r="L1206" s="882"/>
      <c r="M1206" s="921"/>
      <c r="N1206" s="886"/>
      <c r="O1206" s="886"/>
      <c r="P1206" s="886"/>
      <c r="Q1206" s="1167">
        <v>0</v>
      </c>
      <c r="R1206" s="882"/>
      <c r="S1206" s="1269"/>
      <c r="T1206" s="1254"/>
      <c r="U1206" s="996" t="s">
        <v>10122</v>
      </c>
      <c r="V1206" s="996"/>
      <c r="W1206" s="992"/>
    </row>
    <row r="1207" spans="1:23" ht="14.5" customHeight="1">
      <c r="C1207" s="994"/>
      <c r="D1207" s="995"/>
      <c r="E1207" s="989"/>
      <c r="F1207" s="995"/>
      <c r="G1207" s="1095" t="str">
        <f t="shared" si="184"/>
        <v>3211011</v>
      </c>
      <c r="H1207" s="1016" t="s">
        <v>6059</v>
      </c>
      <c r="I1207" s="944" t="str">
        <f t="shared" si="185"/>
        <v>3211011701</v>
      </c>
      <c r="J1207" s="991" t="s">
        <v>6851</v>
      </c>
      <c r="K1207" s="886"/>
      <c r="L1207" s="882"/>
      <c r="M1207" s="921"/>
      <c r="N1207" s="886"/>
      <c r="O1207" s="886"/>
      <c r="P1207" s="886"/>
      <c r="Q1207" s="1167">
        <v>0</v>
      </c>
      <c r="R1207" s="882"/>
      <c r="S1207" s="1269"/>
      <c r="T1207" s="1254"/>
      <c r="U1207" s="996" t="s">
        <v>10122</v>
      </c>
      <c r="V1207" s="996"/>
      <c r="W1207" s="992"/>
    </row>
    <row r="1208" spans="1:23" ht="14.5" customHeight="1">
      <c r="C1208" s="994"/>
      <c r="D1208" s="995"/>
      <c r="E1208" s="989"/>
      <c r="F1208" s="995"/>
      <c r="G1208" s="1095" t="str">
        <f t="shared" si="184"/>
        <v>3211011</v>
      </c>
      <c r="H1208" s="1016" t="s">
        <v>6221</v>
      </c>
      <c r="I1208" s="944" t="str">
        <f t="shared" si="185"/>
        <v>3211011801</v>
      </c>
      <c r="J1208" s="991" t="s">
        <v>6852</v>
      </c>
      <c r="K1208" s="886"/>
      <c r="L1208" s="887"/>
      <c r="M1208" s="212"/>
      <c r="N1208" s="886"/>
      <c r="O1208" s="886"/>
      <c r="P1208" s="886"/>
      <c r="Q1208" s="1167">
        <v>51</v>
      </c>
      <c r="R1208" s="882"/>
      <c r="S1208" s="1269"/>
      <c r="T1208" s="1254"/>
      <c r="U1208" s="996" t="s">
        <v>10122</v>
      </c>
      <c r="V1208" s="996"/>
      <c r="W1208" s="992"/>
    </row>
    <row r="1209" spans="1:23" ht="14.5" customHeight="1">
      <c r="C1209" s="1015"/>
      <c r="D1209" s="1018"/>
      <c r="E1209" s="1000"/>
      <c r="F1209" s="1018"/>
      <c r="G1209" s="1104" t="str">
        <f>IF(F1209="",G1208,F1209)</f>
        <v>3211011</v>
      </c>
      <c r="H1209" s="1005" t="s">
        <v>10456</v>
      </c>
      <c r="I1209" s="1002" t="str">
        <f t="shared" si="185"/>
        <v>3211011Y01</v>
      </c>
      <c r="J1209" s="978" t="s">
        <v>6017</v>
      </c>
      <c r="K1209" s="893"/>
      <c r="L1209" s="893"/>
      <c r="M1209" s="893"/>
      <c r="N1209" s="893"/>
      <c r="O1209" s="893"/>
      <c r="P1209" s="893"/>
      <c r="Q1209" s="1170">
        <v>184.54</v>
      </c>
      <c r="R1209" s="900"/>
      <c r="S1209" s="1272"/>
      <c r="T1209" s="900"/>
      <c r="U1209" s="1006" t="s">
        <v>10424</v>
      </c>
      <c r="V1209" s="1006"/>
      <c r="W1209" s="1003"/>
    </row>
    <row r="1210" spans="1:23" ht="14.5" customHeight="1">
      <c r="C1210" s="981" t="s">
        <v>6853</v>
      </c>
      <c r="D1210" s="982" t="str">
        <f>IF(C1210="","",CONCATENATE(LEFT(C1210,4),MID(C1210,6,2)))</f>
        <v>321102</v>
      </c>
      <c r="E1210" s="989" t="s">
        <v>11005</v>
      </c>
      <c r="F1210" s="995"/>
      <c r="G1210" s="1095" t="str">
        <f>IF(F1210="",G1209,F1210)</f>
        <v>3211011</v>
      </c>
      <c r="H1210" s="1102"/>
      <c r="I1210" s="947" t="str">
        <f>IF(H1210="","",CONCATENATE(G1210,H1210))</f>
        <v/>
      </c>
      <c r="J1210" s="984" t="s">
        <v>6854</v>
      </c>
      <c r="K1210" s="889"/>
      <c r="L1210" s="889"/>
      <c r="M1210" s="889"/>
      <c r="N1210" s="889"/>
      <c r="O1210" s="889"/>
      <c r="P1210" s="911">
        <f>Q1210</f>
        <v>24754</v>
      </c>
      <c r="Q1210" s="1185">
        <v>24754</v>
      </c>
      <c r="R1210" s="880"/>
      <c r="S1210" s="1270"/>
      <c r="T1210" s="880"/>
      <c r="U1210" s="1065" t="s">
        <v>10424</v>
      </c>
      <c r="V1210" s="993"/>
      <c r="W1210" s="986" t="s">
        <v>11006</v>
      </c>
    </row>
    <row r="1211" spans="1:23" s="1122" customFormat="1" ht="14.5" customHeight="1">
      <c r="A1211" s="1118"/>
      <c r="B1211" s="1118"/>
      <c r="C1211" s="1066"/>
      <c r="D1211" s="1067"/>
      <c r="E1211" s="1068"/>
      <c r="F1211" s="1067"/>
      <c r="G1211" s="1136"/>
      <c r="H1211" s="1120"/>
      <c r="I1211" s="1051"/>
      <c r="J1211" s="1121" t="s">
        <v>6857</v>
      </c>
      <c r="K1211" s="925"/>
      <c r="L1211" s="925"/>
      <c r="M1211" s="925"/>
      <c r="N1211" s="925"/>
      <c r="O1211" s="925"/>
      <c r="P1211" s="925"/>
      <c r="Q1211" s="1193">
        <v>2558</v>
      </c>
      <c r="R1211" s="928"/>
      <c r="S1211" s="1283"/>
      <c r="T1211" s="1060"/>
      <c r="U1211" s="1052" t="s">
        <v>10766</v>
      </c>
      <c r="V1211" s="1052"/>
      <c r="W1211" s="1053"/>
    </row>
    <row r="1212" spans="1:23" s="1122" customFormat="1" ht="14.5" customHeight="1">
      <c r="A1212" s="1118"/>
      <c r="B1212" s="1118"/>
      <c r="C1212" s="1066"/>
      <c r="D1212" s="1067"/>
      <c r="E1212" s="1068"/>
      <c r="F1212" s="1067"/>
      <c r="G1212" s="1136"/>
      <c r="H1212" s="1120"/>
      <c r="I1212" s="1051"/>
      <c r="J1212" s="1121" t="s">
        <v>6858</v>
      </c>
      <c r="K1212" s="925"/>
      <c r="L1212" s="925"/>
      <c r="M1212" s="925"/>
      <c r="N1212" s="925"/>
      <c r="O1212" s="925"/>
      <c r="P1212" s="925"/>
      <c r="Q1212" s="1193">
        <v>1813</v>
      </c>
      <c r="R1212" s="928"/>
      <c r="S1212" s="1283"/>
      <c r="T1212" s="1060"/>
      <c r="U1212" s="1052" t="s">
        <v>10122</v>
      </c>
      <c r="V1212" s="1052"/>
      <c r="W1212" s="1053"/>
    </row>
    <row r="1213" spans="1:23" s="1122" customFormat="1" ht="14.5" customHeight="1">
      <c r="A1213" s="1118"/>
      <c r="B1213" s="1118"/>
      <c r="C1213" s="1066"/>
      <c r="D1213" s="1067"/>
      <c r="E1213" s="1068"/>
      <c r="F1213" s="1067"/>
      <c r="G1213" s="1136"/>
      <c r="H1213" s="1120"/>
      <c r="I1213" s="1051"/>
      <c r="J1213" s="1121" t="s">
        <v>6859</v>
      </c>
      <c r="K1213" s="925"/>
      <c r="L1213" s="925"/>
      <c r="M1213" s="925"/>
      <c r="N1213" s="925"/>
      <c r="O1213" s="925"/>
      <c r="P1213" s="925"/>
      <c r="Q1213" s="1193">
        <v>0</v>
      </c>
      <c r="R1213" s="928"/>
      <c r="S1213" s="1283"/>
      <c r="T1213" s="1060"/>
      <c r="U1213" s="1052" t="s">
        <v>10122</v>
      </c>
      <c r="V1213" s="1052"/>
      <c r="W1213" s="1053"/>
    </row>
    <row r="1214" spans="1:23" s="1122" customFormat="1" ht="14.5" customHeight="1">
      <c r="A1214" s="1118"/>
      <c r="B1214" s="1118"/>
      <c r="C1214" s="1066"/>
      <c r="D1214" s="1067"/>
      <c r="E1214" s="1068"/>
      <c r="F1214" s="1067"/>
      <c r="G1214" s="1136"/>
      <c r="H1214" s="1120"/>
      <c r="I1214" s="1051"/>
      <c r="J1214" s="1121" t="s">
        <v>6860</v>
      </c>
      <c r="K1214" s="925"/>
      <c r="L1214" s="925"/>
      <c r="M1214" s="925"/>
      <c r="N1214" s="925"/>
      <c r="O1214" s="925"/>
      <c r="P1214" s="925"/>
      <c r="Q1214" s="1193">
        <v>0</v>
      </c>
      <c r="R1214" s="928"/>
      <c r="S1214" s="1283"/>
      <c r="T1214" s="1060"/>
      <c r="U1214" s="1052" t="s">
        <v>10122</v>
      </c>
      <c r="V1214" s="1052"/>
      <c r="W1214" s="1053"/>
    </row>
    <row r="1215" spans="1:23" s="1122" customFormat="1" ht="14.5" customHeight="1">
      <c r="A1215" s="1118"/>
      <c r="B1215" s="1118"/>
      <c r="C1215" s="1066"/>
      <c r="D1215" s="1067"/>
      <c r="E1215" s="1068"/>
      <c r="F1215" s="1067"/>
      <c r="G1215" s="1136"/>
      <c r="H1215" s="1120"/>
      <c r="I1215" s="1051"/>
      <c r="J1215" s="1121" t="s">
        <v>6862</v>
      </c>
      <c r="K1215" s="925"/>
      <c r="L1215" s="925"/>
      <c r="M1215" s="925"/>
      <c r="N1215" s="925"/>
      <c r="O1215" s="925"/>
      <c r="P1215" s="925"/>
      <c r="Q1215" s="1193">
        <v>107</v>
      </c>
      <c r="R1215" s="928"/>
      <c r="S1215" s="1283"/>
      <c r="T1215" s="1060"/>
      <c r="U1215" s="1052" t="s">
        <v>10122</v>
      </c>
      <c r="V1215" s="1052"/>
      <c r="W1215" s="1053"/>
    </row>
    <row r="1216" spans="1:23" s="1122" customFormat="1" ht="14.5" customHeight="1">
      <c r="A1216" s="1118"/>
      <c r="B1216" s="1118"/>
      <c r="C1216" s="1066"/>
      <c r="D1216" s="1067"/>
      <c r="E1216" s="1068"/>
      <c r="F1216" s="1067"/>
      <c r="G1216" s="1136"/>
      <c r="H1216" s="1120"/>
      <c r="I1216" s="1051"/>
      <c r="J1216" s="1121" t="s">
        <v>6863</v>
      </c>
      <c r="K1216" s="925"/>
      <c r="L1216" s="925"/>
      <c r="M1216" s="925"/>
      <c r="N1216" s="925"/>
      <c r="O1216" s="925"/>
      <c r="P1216" s="925"/>
      <c r="Q1216" s="1193">
        <v>1305</v>
      </c>
      <c r="R1216" s="928"/>
      <c r="S1216" s="1283"/>
      <c r="T1216" s="1060"/>
      <c r="U1216" s="1052" t="s">
        <v>10122</v>
      </c>
      <c r="V1216" s="1052"/>
      <c r="W1216" s="1053"/>
    </row>
    <row r="1217" spans="1:23" s="1122" customFormat="1" ht="14.5" customHeight="1">
      <c r="A1217" s="1118"/>
      <c r="B1217" s="1118"/>
      <c r="C1217" s="1066"/>
      <c r="D1217" s="1067"/>
      <c r="E1217" s="1068"/>
      <c r="F1217" s="1067"/>
      <c r="G1217" s="1136"/>
      <c r="H1217" s="1120"/>
      <c r="I1217" s="1051"/>
      <c r="J1217" s="1121" t="s">
        <v>6864</v>
      </c>
      <c r="K1217" s="925"/>
      <c r="L1217" s="925"/>
      <c r="M1217" s="925"/>
      <c r="N1217" s="925"/>
      <c r="O1217" s="925"/>
      <c r="P1217" s="925"/>
      <c r="Q1217" s="1193">
        <v>608</v>
      </c>
      <c r="R1217" s="928"/>
      <c r="S1217" s="1283"/>
      <c r="T1217" s="1060"/>
      <c r="U1217" s="1052" t="s">
        <v>10122</v>
      </c>
      <c r="V1217" s="1052"/>
      <c r="W1217" s="1053"/>
    </row>
    <row r="1218" spans="1:23" s="1122" customFormat="1" ht="14.5" customHeight="1">
      <c r="A1218" s="1118"/>
      <c r="B1218" s="1118"/>
      <c r="C1218" s="1066"/>
      <c r="D1218" s="1067"/>
      <c r="E1218" s="1068"/>
      <c r="F1218" s="1067"/>
      <c r="G1218" s="1136"/>
      <c r="H1218" s="1120"/>
      <c r="I1218" s="1051"/>
      <c r="J1218" s="1121" t="s">
        <v>6865</v>
      </c>
      <c r="K1218" s="925"/>
      <c r="L1218" s="925"/>
      <c r="M1218" s="925"/>
      <c r="N1218" s="925"/>
      <c r="O1218" s="925"/>
      <c r="P1218" s="925"/>
      <c r="Q1218" s="1193">
        <v>0</v>
      </c>
      <c r="R1218" s="928"/>
      <c r="S1218" s="1283"/>
      <c r="T1218" s="1060"/>
      <c r="U1218" s="1052" t="s">
        <v>10122</v>
      </c>
      <c r="V1218" s="1052"/>
      <c r="W1218" s="1053"/>
    </row>
    <row r="1219" spans="1:23" s="1122" customFormat="1" ht="14.5" customHeight="1">
      <c r="A1219" s="1118"/>
      <c r="B1219" s="1118"/>
      <c r="C1219" s="1066"/>
      <c r="D1219" s="1067"/>
      <c r="E1219" s="1068"/>
      <c r="F1219" s="1067"/>
      <c r="G1219" s="1136"/>
      <c r="H1219" s="1120"/>
      <c r="I1219" s="1051"/>
      <c r="J1219" s="1121" t="s">
        <v>6866</v>
      </c>
      <c r="K1219" s="925"/>
      <c r="L1219" s="925"/>
      <c r="M1219" s="925"/>
      <c r="N1219" s="925"/>
      <c r="O1219" s="925"/>
      <c r="P1219" s="925"/>
      <c r="Q1219" s="1193">
        <v>754</v>
      </c>
      <c r="R1219" s="928"/>
      <c r="S1219" s="1283"/>
      <c r="T1219" s="1060"/>
      <c r="U1219" s="1052" t="s">
        <v>10122</v>
      </c>
      <c r="V1219" s="1052"/>
      <c r="W1219" s="1053"/>
    </row>
    <row r="1220" spans="1:23" s="1122" customFormat="1" ht="14.5" customHeight="1">
      <c r="A1220" s="1118"/>
      <c r="B1220" s="1118"/>
      <c r="C1220" s="1066"/>
      <c r="D1220" s="1067"/>
      <c r="E1220" s="1068"/>
      <c r="F1220" s="1067"/>
      <c r="G1220" s="1136"/>
      <c r="H1220" s="1120"/>
      <c r="I1220" s="1051"/>
      <c r="J1220" s="1121" t="s">
        <v>6867</v>
      </c>
      <c r="K1220" s="925"/>
      <c r="L1220" s="925"/>
      <c r="M1220" s="925"/>
      <c r="N1220" s="925"/>
      <c r="O1220" s="925"/>
      <c r="P1220" s="925"/>
      <c r="Q1220" s="1193">
        <v>0</v>
      </c>
      <c r="R1220" s="928"/>
      <c r="S1220" s="1283"/>
      <c r="T1220" s="1060"/>
      <c r="U1220" s="1052" t="s">
        <v>10122</v>
      </c>
      <c r="V1220" s="1052"/>
      <c r="W1220" s="1053"/>
    </row>
    <row r="1221" spans="1:23" s="1122" customFormat="1" ht="14.5" customHeight="1">
      <c r="A1221" s="1118"/>
      <c r="B1221" s="1118"/>
      <c r="C1221" s="1066"/>
      <c r="D1221" s="1067"/>
      <c r="E1221" s="1068"/>
      <c r="F1221" s="1067"/>
      <c r="G1221" s="1136"/>
      <c r="H1221" s="1120"/>
      <c r="I1221" s="1051"/>
      <c r="J1221" s="1121" t="s">
        <v>6870</v>
      </c>
      <c r="K1221" s="925"/>
      <c r="L1221" s="925"/>
      <c r="M1221" s="925"/>
      <c r="N1221" s="925"/>
      <c r="O1221" s="925"/>
      <c r="P1221" s="925"/>
      <c r="Q1221" s="1196">
        <v>5</v>
      </c>
      <c r="R1221" s="928"/>
      <c r="S1221" s="1283"/>
      <c r="T1221" s="1060"/>
      <c r="U1221" s="1052" t="s">
        <v>10122</v>
      </c>
      <c r="V1221" s="1052"/>
      <c r="W1221" s="1053"/>
    </row>
    <row r="1222" spans="1:23" s="1122" customFormat="1" ht="14.5" customHeight="1">
      <c r="A1222" s="1118"/>
      <c r="B1222" s="1118"/>
      <c r="C1222" s="1066"/>
      <c r="D1222" s="1067"/>
      <c r="E1222" s="1068"/>
      <c r="F1222" s="1067"/>
      <c r="G1222" s="1136"/>
      <c r="H1222" s="1120"/>
      <c r="I1222" s="1051"/>
      <c r="J1222" s="1121" t="s">
        <v>11007</v>
      </c>
      <c r="K1222" s="925"/>
      <c r="L1222" s="925"/>
      <c r="M1222" s="925"/>
      <c r="N1222" s="925"/>
      <c r="O1222" s="925"/>
      <c r="P1222" s="925"/>
      <c r="Q1222" s="1193">
        <v>0</v>
      </c>
      <c r="R1222" s="928"/>
      <c r="S1222" s="1283"/>
      <c r="T1222" s="1060"/>
      <c r="U1222" s="1052" t="s">
        <v>10122</v>
      </c>
      <c r="V1222" s="1052"/>
      <c r="W1222" s="1053"/>
    </row>
    <row r="1223" spans="1:23" s="1122" customFormat="1" ht="14.5" customHeight="1">
      <c r="A1223" s="1118"/>
      <c r="B1223" s="1118"/>
      <c r="C1223" s="1066"/>
      <c r="D1223" s="1067"/>
      <c r="E1223" s="1068"/>
      <c r="F1223" s="1067"/>
      <c r="G1223" s="1136"/>
      <c r="H1223" s="1120"/>
      <c r="I1223" s="1051"/>
      <c r="J1223" s="1121" t="s">
        <v>6872</v>
      </c>
      <c r="K1223" s="925"/>
      <c r="L1223" s="925"/>
      <c r="M1223" s="925"/>
      <c r="N1223" s="925"/>
      <c r="O1223" s="925"/>
      <c r="P1223" s="925"/>
      <c r="Q1223" s="1193">
        <v>0</v>
      </c>
      <c r="R1223" s="928"/>
      <c r="S1223" s="1283"/>
      <c r="T1223" s="1060"/>
      <c r="U1223" s="1052" t="s">
        <v>10122</v>
      </c>
      <c r="V1223" s="1052"/>
      <c r="W1223" s="1053"/>
    </row>
    <row r="1224" spans="1:23" s="1122" customFormat="1" ht="14.5" customHeight="1">
      <c r="A1224" s="1118"/>
      <c r="B1224" s="1118"/>
      <c r="C1224" s="1066"/>
      <c r="D1224" s="1067"/>
      <c r="E1224" s="1068"/>
      <c r="F1224" s="1067"/>
      <c r="G1224" s="1136"/>
      <c r="H1224" s="1120"/>
      <c r="I1224" s="1051"/>
      <c r="J1224" s="1121" t="s">
        <v>6873</v>
      </c>
      <c r="K1224" s="925"/>
      <c r="L1224" s="925"/>
      <c r="M1224" s="925"/>
      <c r="N1224" s="925"/>
      <c r="O1224" s="925"/>
      <c r="P1224" s="925"/>
      <c r="Q1224" s="1193">
        <v>96</v>
      </c>
      <c r="R1224" s="928"/>
      <c r="S1224" s="1283"/>
      <c r="T1224" s="1060"/>
      <c r="U1224" s="1052" t="s">
        <v>10122</v>
      </c>
      <c r="V1224" s="1052"/>
      <c r="W1224" s="1053"/>
    </row>
    <row r="1225" spans="1:23" s="1122" customFormat="1" ht="14.5" customHeight="1">
      <c r="A1225" s="1118"/>
      <c r="B1225" s="1118"/>
      <c r="C1225" s="1066"/>
      <c r="D1225" s="1067"/>
      <c r="E1225" s="1068"/>
      <c r="F1225" s="1067"/>
      <c r="G1225" s="1136"/>
      <c r="H1225" s="1120"/>
      <c r="I1225" s="1051"/>
      <c r="J1225" s="1121" t="s">
        <v>6874</v>
      </c>
      <c r="K1225" s="925"/>
      <c r="L1225" s="925"/>
      <c r="M1225" s="925"/>
      <c r="N1225" s="925"/>
      <c r="O1225" s="925"/>
      <c r="P1225" s="925"/>
      <c r="Q1225" s="1193"/>
      <c r="R1225" s="928"/>
      <c r="S1225" s="1283"/>
      <c r="T1225" s="1060"/>
      <c r="U1225" s="1052"/>
      <c r="V1225" s="1052"/>
      <c r="W1225" s="1053" t="s">
        <v>11008</v>
      </c>
    </row>
    <row r="1226" spans="1:23" s="1122" customFormat="1" ht="14.5" customHeight="1">
      <c r="A1226" s="1118"/>
      <c r="B1226" s="1118"/>
      <c r="C1226" s="1066"/>
      <c r="D1226" s="1067"/>
      <c r="E1226" s="1068"/>
      <c r="F1226" s="1067"/>
      <c r="G1226" s="1136"/>
      <c r="H1226" s="1120"/>
      <c r="I1226" s="1051"/>
      <c r="J1226" s="1121" t="s">
        <v>6017</v>
      </c>
      <c r="K1226" s="925"/>
      <c r="L1226" s="925"/>
      <c r="M1226" s="925"/>
      <c r="N1226" s="925"/>
      <c r="O1226" s="925"/>
      <c r="P1226" s="925"/>
      <c r="Q1226" s="1193">
        <v>25.75</v>
      </c>
      <c r="R1226" s="928"/>
      <c r="S1226" s="1283"/>
      <c r="T1226" s="1060"/>
      <c r="U1226" s="1052" t="s">
        <v>10587</v>
      </c>
      <c r="V1226" s="1052"/>
      <c r="W1226" s="1053"/>
    </row>
    <row r="1227" spans="1:23" ht="14.5" customHeight="1">
      <c r="C1227" s="994" t="s">
        <v>6877</v>
      </c>
      <c r="D1227" s="988" t="str">
        <f>IF(C1227="","",CONCATENATE(LEFT(C1227,4),MID(C1227,6,2)))</f>
        <v>321103</v>
      </c>
      <c r="E1227" s="989" t="s">
        <v>6878</v>
      </c>
      <c r="F1227" s="988" t="str">
        <f>IF(E1227="","",CONCATENATE(LEFT(E1227,4),MID(E1227,6,3)))</f>
        <v>3211031</v>
      </c>
      <c r="G1227" s="1095" t="str">
        <f>IF(F1227="",#REF!,F1227)</f>
        <v>3211031</v>
      </c>
      <c r="J1227" s="990" t="s">
        <v>6879</v>
      </c>
      <c r="K1227" s="886"/>
      <c r="L1227" s="886"/>
      <c r="M1227" s="886"/>
      <c r="N1227" s="886"/>
      <c r="O1227" s="886"/>
      <c r="P1227" s="896">
        <f>Q1227</f>
        <v>19161</v>
      </c>
      <c r="Q1227" s="1161">
        <f>ROUND(SUM(Q1228:Q1232),0)</f>
        <v>19161</v>
      </c>
      <c r="R1227" s="882"/>
      <c r="S1227" s="1269"/>
      <c r="T1227" s="1254"/>
      <c r="U1227" s="996"/>
      <c r="V1227" s="996"/>
      <c r="W1227" s="992"/>
    </row>
    <row r="1228" spans="1:23" ht="14.5" customHeight="1">
      <c r="C1228" s="994"/>
      <c r="E1228" s="989"/>
      <c r="F1228" s="988"/>
      <c r="G1228" s="1095" t="str">
        <f t="shared" ref="G1228:G1233" si="186">IF(F1228="",G1227,F1228)</f>
        <v>3211031</v>
      </c>
      <c r="H1228" s="1016" t="s">
        <v>5534</v>
      </c>
      <c r="I1228" s="944" t="str">
        <f t="shared" ref="I1228:I1233" si="187">IF(H1228="","",CONCATENATE(G1228,H1228))</f>
        <v>3211031101</v>
      </c>
      <c r="J1228" s="991" t="s">
        <v>6880</v>
      </c>
      <c r="K1228" s="886"/>
      <c r="L1228" s="873"/>
      <c r="M1228" s="873"/>
      <c r="N1228" s="886"/>
      <c r="O1228" s="886"/>
      <c r="P1228" s="886"/>
      <c r="Q1228" s="1182">
        <v>0</v>
      </c>
      <c r="R1228" s="882"/>
      <c r="S1228" s="1269"/>
      <c r="T1228" s="1254"/>
      <c r="U1228" s="996" t="s">
        <v>10766</v>
      </c>
      <c r="V1228" s="996"/>
      <c r="W1228" s="992"/>
    </row>
    <row r="1229" spans="1:23" ht="14.5" customHeight="1">
      <c r="C1229" s="994"/>
      <c r="E1229" s="989"/>
      <c r="F1229" s="988"/>
      <c r="G1229" s="1095" t="str">
        <f t="shared" si="186"/>
        <v>3211031</v>
      </c>
      <c r="H1229" s="1016" t="s">
        <v>6000</v>
      </c>
      <c r="I1229" s="944" t="str">
        <f t="shared" si="187"/>
        <v>3211031102</v>
      </c>
      <c r="J1229" s="991" t="s">
        <v>6881</v>
      </c>
      <c r="K1229" s="886"/>
      <c r="L1229" s="873"/>
      <c r="M1229" s="873"/>
      <c r="N1229" s="886"/>
      <c r="O1229" s="886"/>
      <c r="P1229" s="886"/>
      <c r="Q1229" s="1167">
        <v>0</v>
      </c>
      <c r="R1229" s="882"/>
      <c r="S1229" s="1269"/>
      <c r="T1229" s="1254"/>
      <c r="U1229" s="996" t="s">
        <v>10122</v>
      </c>
      <c r="V1229" s="996"/>
      <c r="W1229" s="992"/>
    </row>
    <row r="1230" spans="1:23" ht="14.5" customHeight="1">
      <c r="C1230" s="994"/>
      <c r="E1230" s="989"/>
      <c r="F1230" s="988"/>
      <c r="G1230" s="1095" t="str">
        <f t="shared" si="186"/>
        <v>3211031</v>
      </c>
      <c r="H1230" s="1016" t="s">
        <v>6002</v>
      </c>
      <c r="I1230" s="944" t="str">
        <f t="shared" si="187"/>
        <v>3211031103</v>
      </c>
      <c r="J1230" s="991" t="s">
        <v>6882</v>
      </c>
      <c r="K1230" s="886"/>
      <c r="L1230" s="873"/>
      <c r="M1230" s="873"/>
      <c r="N1230" s="886"/>
      <c r="O1230" s="886"/>
      <c r="P1230" s="886"/>
      <c r="Q1230" s="1167">
        <v>17457</v>
      </c>
      <c r="R1230" s="882"/>
      <c r="S1230" s="1269"/>
      <c r="T1230" s="1254"/>
      <c r="U1230" s="996" t="s">
        <v>10122</v>
      </c>
      <c r="V1230" s="996"/>
      <c r="W1230" s="992"/>
    </row>
    <row r="1231" spans="1:23" ht="14.5" customHeight="1">
      <c r="C1231" s="994"/>
      <c r="E1231" s="989"/>
      <c r="F1231" s="988"/>
      <c r="G1231" s="1095" t="str">
        <f>IF(F1231="",G1230,F1231)</f>
        <v>3211031</v>
      </c>
      <c r="H1231" s="1016" t="s">
        <v>5602</v>
      </c>
      <c r="I1231" s="944" t="str">
        <f t="shared" si="187"/>
        <v>3211031201</v>
      </c>
      <c r="J1231" s="991" t="s">
        <v>11009</v>
      </c>
      <c r="K1231" s="886"/>
      <c r="L1231" s="873"/>
      <c r="M1231" s="873"/>
      <c r="N1231" s="886"/>
      <c r="O1231" s="886"/>
      <c r="P1231" s="886"/>
      <c r="Q1231" s="1167">
        <v>0</v>
      </c>
      <c r="R1231" s="882"/>
      <c r="S1231" s="1269"/>
      <c r="T1231" s="1254"/>
      <c r="U1231" s="996" t="s">
        <v>10122</v>
      </c>
      <c r="V1231" s="996"/>
      <c r="W1231" s="992" t="s">
        <v>11010</v>
      </c>
    </row>
    <row r="1232" spans="1:23" ht="14.5" customHeight="1">
      <c r="C1232" s="1015"/>
      <c r="D1232" s="999"/>
      <c r="E1232" s="1000"/>
      <c r="F1232" s="999"/>
      <c r="G1232" s="1104" t="str">
        <f>IF(F1232="",G1231,F1232)</f>
        <v>3211031</v>
      </c>
      <c r="H1232" s="1016" t="s">
        <v>10456</v>
      </c>
      <c r="I1232" s="944" t="str">
        <f t="shared" si="187"/>
        <v>3211031Y01</v>
      </c>
      <c r="J1232" s="991" t="s">
        <v>6017</v>
      </c>
      <c r="K1232" s="886"/>
      <c r="L1232" s="886"/>
      <c r="M1232" s="886"/>
      <c r="N1232" s="886"/>
      <c r="O1232" s="886"/>
      <c r="P1232" s="886"/>
      <c r="Q1232" s="1167">
        <v>1704</v>
      </c>
      <c r="R1232" s="882"/>
      <c r="S1232" s="1269"/>
      <c r="T1232" s="1254"/>
      <c r="U1232" s="1006" t="s">
        <v>10587</v>
      </c>
      <c r="V1232" s="996"/>
      <c r="W1232" s="992"/>
    </row>
    <row r="1233" spans="3:23" ht="14.5" customHeight="1">
      <c r="C1233" s="981" t="s">
        <v>6885</v>
      </c>
      <c r="D1233" s="982" t="str">
        <f>IF(C1233="","",CONCATENATE(LEFT(C1233,4),MID(C1233,6,2)))</f>
        <v>321104</v>
      </c>
      <c r="E1233" s="989" t="s">
        <v>6886</v>
      </c>
      <c r="F1233" s="988" t="str">
        <f>IF(E1233="","",CONCATENATE(LEFT(E1233,4),MID(E1233,6,3)))</f>
        <v>3211041</v>
      </c>
      <c r="G1233" s="1095" t="str">
        <f t="shared" si="186"/>
        <v>3211041</v>
      </c>
      <c r="H1233" s="1102"/>
      <c r="I1233" s="947" t="str">
        <f t="shared" si="187"/>
        <v/>
      </c>
      <c r="J1233" s="984" t="s">
        <v>6887</v>
      </c>
      <c r="K1233" s="889"/>
      <c r="L1233" s="889"/>
      <c r="M1233" s="889"/>
      <c r="N1233" s="889"/>
      <c r="O1233" s="889"/>
      <c r="P1233" s="881">
        <f>Q1233</f>
        <v>0</v>
      </c>
      <c r="Q1233" s="1169">
        <f>SUM(Q1234:Q1237)</f>
        <v>0</v>
      </c>
      <c r="R1233" s="880"/>
      <c r="S1233" s="1270"/>
      <c r="T1233" s="880"/>
      <c r="U1233" s="993"/>
      <c r="V1233" s="993"/>
      <c r="W1233" s="986"/>
    </row>
    <row r="1234" spans="3:23" ht="14.5" customHeight="1">
      <c r="C1234" s="994"/>
      <c r="D1234" s="995"/>
      <c r="E1234" s="989"/>
      <c r="F1234" s="995"/>
      <c r="G1234" s="1106"/>
      <c r="H1234" s="1016" t="s">
        <v>5534</v>
      </c>
      <c r="J1234" s="991" t="s">
        <v>6888</v>
      </c>
      <c r="K1234" s="886"/>
      <c r="L1234" s="886"/>
      <c r="M1234" s="886"/>
      <c r="N1234" s="886"/>
      <c r="O1234" s="886"/>
      <c r="P1234" s="886"/>
      <c r="Q1234" s="1167">
        <v>0</v>
      </c>
      <c r="R1234" s="882"/>
      <c r="S1234" s="1269"/>
      <c r="T1234" s="1254"/>
      <c r="U1234" s="996" t="s">
        <v>10766</v>
      </c>
      <c r="V1234" s="996"/>
      <c r="W1234" s="992" t="s">
        <v>10817</v>
      </c>
    </row>
    <row r="1235" spans="3:23" ht="14.5" customHeight="1">
      <c r="C1235" s="994"/>
      <c r="D1235" s="995"/>
      <c r="E1235" s="989"/>
      <c r="F1235" s="995"/>
      <c r="G1235" s="1106"/>
      <c r="H1235" s="1016" t="s">
        <v>5602</v>
      </c>
      <c r="J1235" s="991" t="s">
        <v>6889</v>
      </c>
      <c r="K1235" s="886"/>
      <c r="L1235" s="886"/>
      <c r="M1235" s="886"/>
      <c r="N1235" s="886"/>
      <c r="O1235" s="886"/>
      <c r="P1235" s="886"/>
      <c r="Q1235" s="1167">
        <v>0</v>
      </c>
      <c r="R1235" s="882"/>
      <c r="S1235" s="1269"/>
      <c r="T1235" s="1254"/>
      <c r="U1235" s="996" t="s">
        <v>10122</v>
      </c>
      <c r="V1235" s="996"/>
      <c r="W1235" s="992" t="s">
        <v>10122</v>
      </c>
    </row>
    <row r="1236" spans="3:23" ht="14.5" customHeight="1">
      <c r="C1236" s="994"/>
      <c r="D1236" s="995"/>
      <c r="E1236" s="989"/>
      <c r="F1236" s="995"/>
      <c r="G1236" s="1106"/>
      <c r="H1236" s="1016" t="s">
        <v>5484</v>
      </c>
      <c r="J1236" s="991" t="s">
        <v>11011</v>
      </c>
      <c r="K1236" s="886"/>
      <c r="L1236" s="873"/>
      <c r="M1236" s="873"/>
      <c r="N1236" s="886"/>
      <c r="O1236" s="886"/>
      <c r="P1236" s="886"/>
      <c r="Q1236" s="1167">
        <v>0</v>
      </c>
      <c r="R1236" s="882"/>
      <c r="S1236" s="1269"/>
      <c r="T1236" s="1254"/>
      <c r="U1236" s="996" t="s">
        <v>10612</v>
      </c>
      <c r="V1236" s="996"/>
      <c r="W1236" s="992" t="s">
        <v>10122</v>
      </c>
    </row>
    <row r="1237" spans="3:23" ht="14.5" customHeight="1">
      <c r="C1237" s="1015"/>
      <c r="D1237" s="1018"/>
      <c r="E1237" s="1000"/>
      <c r="F1237" s="1018"/>
      <c r="G1237" s="1115"/>
      <c r="H1237" s="1005" t="s">
        <v>10456</v>
      </c>
      <c r="I1237" s="1002"/>
      <c r="J1237" s="978" t="s">
        <v>6017</v>
      </c>
      <c r="K1237" s="893"/>
      <c r="L1237" s="893"/>
      <c r="M1237" s="893"/>
      <c r="N1237" s="893"/>
      <c r="O1237" s="893"/>
      <c r="P1237" s="893"/>
      <c r="Q1237" s="1170">
        <v>0</v>
      </c>
      <c r="R1237" s="900"/>
      <c r="S1237" s="1272"/>
      <c r="T1237" s="900"/>
      <c r="U1237" s="1006" t="s">
        <v>10587</v>
      </c>
      <c r="V1237" s="1006"/>
      <c r="W1237" s="1003"/>
    </row>
    <row r="1238" spans="3:23" ht="14.5" customHeight="1">
      <c r="C1238" s="1023" t="s">
        <v>6893</v>
      </c>
      <c r="D1238" s="1024" t="str">
        <f t="shared" ref="D1238:D1243" si="188">IF(C1238="","",CONCATENATE(LEFT(C1238,4),MID(C1238,6,2)))</f>
        <v>329901</v>
      </c>
      <c r="E1238" s="1025" t="s">
        <v>6894</v>
      </c>
      <c r="F1238" s="1024" t="str">
        <f t="shared" ref="F1238:F1243" si="189">IF(E1238="","",CONCATENATE(LEFT(E1238,4),MID(E1238,6,3)))</f>
        <v>3299011</v>
      </c>
      <c r="G1238" s="1111" t="str">
        <f>IF(F1238="",#REF!,F1238)</f>
        <v>3299011</v>
      </c>
      <c r="H1238" s="1112"/>
      <c r="I1238" s="1113" t="str">
        <f>IF(H1238="","",CONCATENATE(G1238,H1238))</f>
        <v/>
      </c>
      <c r="J1238" s="1026" t="s">
        <v>522</v>
      </c>
      <c r="K1238" s="912"/>
      <c r="L1238" s="912"/>
      <c r="M1238" s="912"/>
      <c r="N1238" s="912"/>
      <c r="O1238" s="912"/>
      <c r="P1238" s="914">
        <f>Q1238</f>
        <v>0</v>
      </c>
      <c r="Q1238" s="1186">
        <v>0</v>
      </c>
      <c r="R1238" s="929"/>
      <c r="S1238" s="1280"/>
      <c r="T1238" s="929"/>
      <c r="U1238" s="1031" t="s">
        <v>10612</v>
      </c>
      <c r="V1238" s="1022"/>
      <c r="W1238" s="1027" t="s">
        <v>11012</v>
      </c>
    </row>
    <row r="1239" spans="3:23" ht="14.5" customHeight="1">
      <c r="C1239" s="1023" t="s">
        <v>6895</v>
      </c>
      <c r="D1239" s="1024" t="str">
        <f t="shared" si="188"/>
        <v>329902</v>
      </c>
      <c r="E1239" s="1025" t="s">
        <v>6896</v>
      </c>
      <c r="F1239" s="1024" t="str">
        <f t="shared" si="189"/>
        <v>3299021</v>
      </c>
      <c r="G1239" s="1111" t="str">
        <f>IF(F1239="",G1285,F1239)</f>
        <v>3299021</v>
      </c>
      <c r="H1239" s="1102"/>
      <c r="I1239" s="947"/>
      <c r="J1239" s="984" t="s">
        <v>6897</v>
      </c>
      <c r="K1239" s="889"/>
      <c r="L1239" s="889"/>
      <c r="M1239" s="889"/>
      <c r="N1239" s="889"/>
      <c r="O1239" s="889"/>
      <c r="P1239" s="914">
        <f>Q1239</f>
        <v>29464</v>
      </c>
      <c r="Q1239" s="1191">
        <v>29464</v>
      </c>
      <c r="R1239" s="929"/>
      <c r="S1239" s="1280"/>
      <c r="T1239" s="929"/>
      <c r="U1239" s="1031" t="s">
        <v>10612</v>
      </c>
      <c r="V1239" s="1031"/>
      <c r="W1239" s="986"/>
    </row>
    <row r="1240" spans="3:23" ht="14.5" customHeight="1">
      <c r="C1240" s="1023" t="s">
        <v>6898</v>
      </c>
      <c r="D1240" s="1024" t="str">
        <f t="shared" si="188"/>
        <v>329909</v>
      </c>
      <c r="E1240" s="1025" t="s">
        <v>6899</v>
      </c>
      <c r="F1240" s="1024" t="str">
        <f t="shared" si="189"/>
        <v>3299099</v>
      </c>
      <c r="G1240" s="1111" t="str">
        <f>IF(F1240="",G1238,F1240)</f>
        <v>3299099</v>
      </c>
      <c r="H1240" s="1112"/>
      <c r="I1240" s="1113" t="str">
        <f>IF(H1240="","",CONCATENATE(G1240,H1240))</f>
        <v/>
      </c>
      <c r="J1240" s="1026" t="s">
        <v>6900</v>
      </c>
      <c r="K1240" s="912"/>
      <c r="L1240" s="913"/>
      <c r="M1240" s="913"/>
      <c r="N1240" s="912"/>
      <c r="O1240" s="912"/>
      <c r="P1240" s="914">
        <f>Q1240</f>
        <v>93934</v>
      </c>
      <c r="Q1240" s="1174">
        <v>93934</v>
      </c>
      <c r="R1240" s="882"/>
      <c r="S1240" s="1269"/>
      <c r="T1240" s="1254"/>
      <c r="U1240" s="1031" t="s">
        <v>10612</v>
      </c>
      <c r="V1240" s="1006"/>
      <c r="W1240" s="1027"/>
    </row>
    <row r="1241" spans="3:23" ht="14.5" customHeight="1">
      <c r="C1241" s="981" t="s">
        <v>6901</v>
      </c>
      <c r="D1241" s="982" t="str">
        <f t="shared" si="188"/>
        <v>331101</v>
      </c>
      <c r="E1241" s="983"/>
      <c r="F1241" s="982" t="str">
        <f t="shared" si="189"/>
        <v/>
      </c>
      <c r="G1241" s="1103"/>
      <c r="H1241" s="1102"/>
      <c r="I1241" s="947" t="str">
        <f>IF(H1241="","",CONCATENATE(G1241,H1241))</f>
        <v/>
      </c>
      <c r="J1241" s="984" t="s">
        <v>6902</v>
      </c>
      <c r="K1241" s="889"/>
      <c r="L1241" s="889"/>
      <c r="M1241" s="889"/>
      <c r="N1241" s="889"/>
      <c r="O1241" s="889"/>
      <c r="P1241" s="881">
        <f>Q1242+Q1243</f>
        <v>214119</v>
      </c>
      <c r="Q1241" s="1160"/>
      <c r="R1241" s="880"/>
      <c r="S1241" s="1270"/>
      <c r="T1241" s="880"/>
      <c r="U1241" s="993"/>
      <c r="V1241" s="993"/>
      <c r="W1241" s="986"/>
    </row>
    <row r="1242" spans="3:23" ht="14.5" customHeight="1">
      <c r="C1242" s="994"/>
      <c r="D1242" s="995" t="str">
        <f t="shared" si="188"/>
        <v/>
      </c>
      <c r="E1242" s="989" t="s">
        <v>6903</v>
      </c>
      <c r="F1242" s="988" t="str">
        <f t="shared" si="189"/>
        <v>3311011</v>
      </c>
      <c r="G1242" s="1095" t="str">
        <f t="shared" ref="G1242:G1266" si="190">IF(F1242="",G1241,F1242)</f>
        <v>3311011</v>
      </c>
      <c r="I1242" s="944" t="str">
        <f>IF(H1242="","",CONCATENATE(G1242,H1242))</f>
        <v/>
      </c>
      <c r="J1242" s="990" t="s">
        <v>526</v>
      </c>
      <c r="K1242" s="886"/>
      <c r="L1242" s="886"/>
      <c r="M1242" s="886"/>
      <c r="N1242" s="886"/>
      <c r="O1242" s="886"/>
      <c r="P1242" s="886"/>
      <c r="Q1242" s="1174">
        <v>199251</v>
      </c>
      <c r="R1242" s="887"/>
      <c r="S1242" s="1273"/>
      <c r="T1242" s="1256"/>
      <c r="U1242" s="996" t="s">
        <v>10587</v>
      </c>
      <c r="V1242" s="996"/>
      <c r="W1242" s="992"/>
    </row>
    <row r="1243" spans="3:23" ht="14.5" customHeight="1">
      <c r="C1243" s="994"/>
      <c r="D1243" s="995" t="str">
        <f t="shared" si="188"/>
        <v/>
      </c>
      <c r="E1243" s="989" t="s">
        <v>6904</v>
      </c>
      <c r="F1243" s="988" t="str">
        <f t="shared" si="189"/>
        <v>3311012</v>
      </c>
      <c r="G1243" s="1095" t="str">
        <f t="shared" si="190"/>
        <v>3311012</v>
      </c>
      <c r="I1243" s="944" t="str">
        <f>IF(H1243="","",CONCATENATE(G1243,H1243))</f>
        <v/>
      </c>
      <c r="J1243" s="990" t="s">
        <v>528</v>
      </c>
      <c r="K1243" s="873"/>
      <c r="L1243" s="873"/>
      <c r="M1243" s="873"/>
      <c r="N1243" s="886"/>
      <c r="O1243" s="886"/>
      <c r="P1243" s="886"/>
      <c r="Q1243" s="1161">
        <f>ROUND(SUM(Q1244:Q1261),0)</f>
        <v>14868</v>
      </c>
      <c r="R1243" s="882"/>
      <c r="S1243" s="1269"/>
      <c r="T1243" s="1254"/>
      <c r="U1243" s="991"/>
      <c r="V1243" s="996"/>
      <c r="W1243" s="992" t="s">
        <v>11013</v>
      </c>
    </row>
    <row r="1244" spans="3:23" ht="14.5" customHeight="1">
      <c r="C1244" s="994"/>
      <c r="D1244" s="995"/>
      <c r="F1244" s="988"/>
      <c r="G1244" s="1095" t="str">
        <f t="shared" si="190"/>
        <v>3311012</v>
      </c>
      <c r="H1244" s="1016" t="s">
        <v>5534</v>
      </c>
      <c r="I1244" s="944" t="str">
        <f t="shared" ref="I1244:I1259" si="191">IF(H1244="","",CONCATENATE(G1244,H1244))</f>
        <v>3311012101</v>
      </c>
      <c r="J1244" s="991" t="s">
        <v>6905</v>
      </c>
      <c r="K1244" s="886"/>
      <c r="L1244" s="873"/>
      <c r="M1244" s="873"/>
      <c r="N1244" s="886"/>
      <c r="O1244" s="886"/>
      <c r="P1244" s="886"/>
      <c r="Q1244" s="1167">
        <v>0</v>
      </c>
      <c r="R1244" s="882"/>
      <c r="S1244" s="1269"/>
      <c r="T1244" s="1254"/>
      <c r="U1244" s="996" t="s">
        <v>10766</v>
      </c>
      <c r="V1244" s="996"/>
      <c r="W1244" s="992" t="s">
        <v>10817</v>
      </c>
    </row>
    <row r="1245" spans="3:23" ht="14.5" customHeight="1">
      <c r="C1245" s="994"/>
      <c r="D1245" s="995"/>
      <c r="F1245" s="988"/>
      <c r="G1245" s="1095" t="str">
        <f t="shared" si="190"/>
        <v>3311012</v>
      </c>
      <c r="H1245" s="1016" t="s">
        <v>5602</v>
      </c>
      <c r="I1245" s="944" t="str">
        <f t="shared" si="191"/>
        <v>3311012201</v>
      </c>
      <c r="J1245" s="991" t="s">
        <v>6906</v>
      </c>
      <c r="K1245" s="886"/>
      <c r="L1245" s="873"/>
      <c r="M1245" s="873"/>
      <c r="N1245" s="886"/>
      <c r="O1245" s="886"/>
      <c r="P1245" s="886"/>
      <c r="Q1245" s="1167">
        <v>0</v>
      </c>
      <c r="R1245" s="882"/>
      <c r="S1245" s="1269"/>
      <c r="T1245" s="1254"/>
      <c r="U1245" s="996" t="s">
        <v>10122</v>
      </c>
      <c r="V1245" s="996"/>
      <c r="W1245" s="992" t="s">
        <v>10122</v>
      </c>
    </row>
    <row r="1246" spans="3:23" ht="14.5" customHeight="1">
      <c r="C1246" s="994"/>
      <c r="D1246" s="995"/>
      <c r="F1246" s="988"/>
      <c r="G1246" s="1095" t="str">
        <f>IF(F1246="",G1245,F1246)</f>
        <v>3311012</v>
      </c>
      <c r="H1246" s="1016" t="s">
        <v>5844</v>
      </c>
      <c r="I1246" s="944" t="str">
        <f t="shared" si="191"/>
        <v>3311012202</v>
      </c>
      <c r="J1246" s="991" t="s">
        <v>6907</v>
      </c>
      <c r="K1246" s="886"/>
      <c r="L1246" s="873"/>
      <c r="M1246" s="873"/>
      <c r="N1246" s="886"/>
      <c r="O1246" s="886"/>
      <c r="P1246" s="886"/>
      <c r="Q1246" s="1167">
        <v>0</v>
      </c>
      <c r="R1246" s="882"/>
      <c r="S1246" s="1269"/>
      <c r="T1246" s="1254"/>
      <c r="U1246" s="996" t="s">
        <v>10122</v>
      </c>
      <c r="V1246" s="996"/>
      <c r="W1246" s="992" t="s">
        <v>10122</v>
      </c>
    </row>
    <row r="1247" spans="3:23" ht="14.5" customHeight="1">
      <c r="C1247" s="994"/>
      <c r="D1247" s="995"/>
      <c r="F1247" s="988"/>
      <c r="G1247" s="1095" t="str">
        <f>IF(F1247="",G1246,F1247)</f>
        <v>3311012</v>
      </c>
      <c r="H1247" s="1016" t="s">
        <v>7571</v>
      </c>
      <c r="I1247" s="944" t="str">
        <f t="shared" si="191"/>
        <v>3311012203</v>
      </c>
      <c r="J1247" s="991" t="s">
        <v>6908</v>
      </c>
      <c r="K1247" s="886"/>
      <c r="L1247" s="873"/>
      <c r="M1247" s="873"/>
      <c r="N1247" s="886"/>
      <c r="O1247" s="886"/>
      <c r="P1247" s="886"/>
      <c r="Q1247" s="1167">
        <v>1624</v>
      </c>
      <c r="R1247" s="882"/>
      <c r="S1247" s="1269"/>
      <c r="T1247" s="1254"/>
      <c r="U1247" s="996" t="s">
        <v>10122</v>
      </c>
      <c r="V1247" s="996"/>
      <c r="W1247" s="992"/>
    </row>
    <row r="1248" spans="3:23" ht="14.5" customHeight="1">
      <c r="C1248" s="994"/>
      <c r="D1248" s="995"/>
      <c r="F1248" s="988"/>
      <c r="G1248" s="1095" t="str">
        <f t="shared" si="190"/>
        <v>3311012</v>
      </c>
      <c r="H1248" s="1016" t="s">
        <v>7573</v>
      </c>
      <c r="I1248" s="944" t="str">
        <f t="shared" si="191"/>
        <v>3311012204</v>
      </c>
      <c r="J1248" s="991" t="s">
        <v>6909</v>
      </c>
      <c r="K1248" s="886"/>
      <c r="L1248" s="873"/>
      <c r="M1248" s="873"/>
      <c r="N1248" s="886"/>
      <c r="O1248" s="886"/>
      <c r="P1248" s="886"/>
      <c r="Q1248" s="1167">
        <v>587</v>
      </c>
      <c r="R1248" s="882"/>
      <c r="S1248" s="1269"/>
      <c r="T1248" s="1254"/>
      <c r="U1248" s="996" t="s">
        <v>10122</v>
      </c>
      <c r="V1248" s="996"/>
      <c r="W1248" s="992"/>
    </row>
    <row r="1249" spans="3:23" ht="14.5" customHeight="1">
      <c r="C1249" s="994"/>
      <c r="D1249" s="995"/>
      <c r="F1249" s="988"/>
      <c r="G1249" s="1095" t="str">
        <f t="shared" si="190"/>
        <v>3311012</v>
      </c>
      <c r="H1249" s="1016" t="s">
        <v>7575</v>
      </c>
      <c r="I1249" s="944" t="str">
        <f t="shared" si="191"/>
        <v>3311012205</v>
      </c>
      <c r="J1249" s="991" t="s">
        <v>6910</v>
      </c>
      <c r="K1249" s="886"/>
      <c r="L1249" s="873"/>
      <c r="M1249" s="873"/>
      <c r="N1249" s="886"/>
      <c r="O1249" s="886"/>
      <c r="P1249" s="886"/>
      <c r="Q1249" s="1167">
        <v>301</v>
      </c>
      <c r="R1249" s="882"/>
      <c r="S1249" s="1269"/>
      <c r="T1249" s="1254"/>
      <c r="U1249" s="996" t="s">
        <v>10122</v>
      </c>
      <c r="V1249" s="996"/>
      <c r="W1249" s="992"/>
    </row>
    <row r="1250" spans="3:23" ht="14.5" customHeight="1">
      <c r="C1250" s="994"/>
      <c r="D1250" s="995"/>
      <c r="F1250" s="988"/>
      <c r="G1250" s="1095" t="str">
        <f>IF(F1250="",G1249,F1250)</f>
        <v>3311012</v>
      </c>
      <c r="H1250" s="1016" t="s">
        <v>10468</v>
      </c>
      <c r="I1250" s="944" t="str">
        <f t="shared" si="191"/>
        <v>3311012206</v>
      </c>
      <c r="J1250" s="991" t="s">
        <v>6911</v>
      </c>
      <c r="K1250" s="886"/>
      <c r="L1250" s="873"/>
      <c r="M1250" s="873"/>
      <c r="N1250" s="886"/>
      <c r="O1250" s="886"/>
      <c r="P1250" s="886"/>
      <c r="Q1250" s="1167">
        <v>2026</v>
      </c>
      <c r="R1250" s="882"/>
      <c r="S1250" s="1269"/>
      <c r="T1250" s="1254"/>
      <c r="U1250" s="996" t="s">
        <v>10122</v>
      </c>
      <c r="V1250" s="996"/>
      <c r="W1250" s="992"/>
    </row>
    <row r="1251" spans="3:23" ht="14.5" customHeight="1">
      <c r="C1251" s="994"/>
      <c r="D1251" s="995"/>
      <c r="F1251" s="988"/>
      <c r="G1251" s="1095" t="str">
        <f t="shared" si="190"/>
        <v>3311012</v>
      </c>
      <c r="H1251" s="1016" t="s">
        <v>10470</v>
      </c>
      <c r="I1251" s="944" t="str">
        <f t="shared" si="191"/>
        <v>3311012207</v>
      </c>
      <c r="J1251" s="991" t="s">
        <v>6912</v>
      </c>
      <c r="K1251" s="886"/>
      <c r="L1251" s="873"/>
      <c r="M1251" s="873"/>
      <c r="N1251" s="886"/>
      <c r="O1251" s="886"/>
      <c r="P1251" s="886"/>
      <c r="Q1251" s="1167">
        <v>132</v>
      </c>
      <c r="R1251" s="882"/>
      <c r="S1251" s="1269"/>
      <c r="T1251" s="1254"/>
      <c r="U1251" s="996" t="s">
        <v>10122</v>
      </c>
      <c r="V1251" s="996"/>
      <c r="W1251" s="992"/>
    </row>
    <row r="1252" spans="3:23" ht="14.5" customHeight="1">
      <c r="C1252" s="994"/>
      <c r="D1252" s="995"/>
      <c r="F1252" s="988"/>
      <c r="G1252" s="1095" t="str">
        <f t="shared" si="190"/>
        <v>3311012</v>
      </c>
      <c r="H1252" s="1016" t="s">
        <v>10865</v>
      </c>
      <c r="I1252" s="944" t="str">
        <f t="shared" si="191"/>
        <v>3311012208</v>
      </c>
      <c r="J1252" s="991" t="s">
        <v>6913</v>
      </c>
      <c r="K1252" s="886"/>
      <c r="L1252" s="873"/>
      <c r="M1252" s="873"/>
      <c r="N1252" s="886"/>
      <c r="O1252" s="886"/>
      <c r="P1252" s="886"/>
      <c r="Q1252" s="1167">
        <v>0</v>
      </c>
      <c r="R1252" s="882"/>
      <c r="S1252" s="1269"/>
      <c r="T1252" s="1254"/>
      <c r="U1252" s="996" t="s">
        <v>10122</v>
      </c>
      <c r="V1252" s="996"/>
      <c r="W1252" s="992" t="s">
        <v>10817</v>
      </c>
    </row>
    <row r="1253" spans="3:23" ht="14.5" customHeight="1">
      <c r="C1253" s="994"/>
      <c r="D1253" s="995"/>
      <c r="F1253" s="988"/>
      <c r="G1253" s="1095" t="str">
        <f t="shared" si="190"/>
        <v>3311012</v>
      </c>
      <c r="H1253" s="1016" t="s">
        <v>11014</v>
      </c>
      <c r="I1253" s="944" t="str">
        <f t="shared" si="191"/>
        <v>3311012209</v>
      </c>
      <c r="J1253" s="991" t="s">
        <v>6914</v>
      </c>
      <c r="K1253" s="886"/>
      <c r="L1253" s="873"/>
      <c r="M1253" s="873"/>
      <c r="N1253" s="886"/>
      <c r="O1253" s="886"/>
      <c r="P1253" s="886"/>
      <c r="Q1253" s="1167">
        <v>0</v>
      </c>
      <c r="R1253" s="882"/>
      <c r="S1253" s="1269"/>
      <c r="T1253" s="1254"/>
      <c r="U1253" s="996" t="s">
        <v>10122</v>
      </c>
      <c r="V1253" s="996"/>
      <c r="W1253" s="992" t="s">
        <v>10122</v>
      </c>
    </row>
    <row r="1254" spans="3:23" ht="14.5" customHeight="1">
      <c r="C1254" s="994"/>
      <c r="D1254" s="995"/>
      <c r="F1254" s="988"/>
      <c r="G1254" s="1095" t="str">
        <f t="shared" si="190"/>
        <v>3311012</v>
      </c>
      <c r="H1254" s="1016" t="s">
        <v>11015</v>
      </c>
      <c r="I1254" s="944" t="str">
        <f t="shared" si="191"/>
        <v>3311012210</v>
      </c>
      <c r="J1254" s="991" t="s">
        <v>6915</v>
      </c>
      <c r="K1254" s="886"/>
      <c r="L1254" s="873"/>
      <c r="M1254" s="873"/>
      <c r="N1254" s="886"/>
      <c r="O1254" s="886"/>
      <c r="P1254" s="886"/>
      <c r="Q1254" s="1167">
        <v>0</v>
      </c>
      <c r="R1254" s="882"/>
      <c r="S1254" s="1269"/>
      <c r="T1254" s="1254"/>
      <c r="U1254" s="996" t="s">
        <v>10122</v>
      </c>
      <c r="V1254" s="996"/>
      <c r="W1254" s="992" t="s">
        <v>10122</v>
      </c>
    </row>
    <row r="1255" spans="3:23" ht="14.5" customHeight="1">
      <c r="C1255" s="994"/>
      <c r="D1255" s="995"/>
      <c r="F1255" s="988"/>
      <c r="G1255" s="1095" t="str">
        <f t="shared" si="190"/>
        <v>3311012</v>
      </c>
      <c r="H1255" s="1016" t="s">
        <v>5484</v>
      </c>
      <c r="I1255" s="944" t="str">
        <f t="shared" si="191"/>
        <v>3311012301</v>
      </c>
      <c r="J1255" s="991" t="s">
        <v>6916</v>
      </c>
      <c r="K1255" s="886"/>
      <c r="L1255" s="873"/>
      <c r="M1255" s="873"/>
      <c r="N1255" s="886"/>
      <c r="O1255" s="886"/>
      <c r="P1255" s="886"/>
      <c r="Q1255" s="1167">
        <v>0</v>
      </c>
      <c r="R1255" s="882"/>
      <c r="S1255" s="1269"/>
      <c r="T1255" s="1254"/>
      <c r="U1255" s="996" t="s">
        <v>10122</v>
      </c>
      <c r="V1255" s="996"/>
      <c r="W1255" s="992" t="s">
        <v>10122</v>
      </c>
    </row>
    <row r="1256" spans="3:23" ht="14.5" customHeight="1">
      <c r="C1256" s="994"/>
      <c r="D1256" s="995"/>
      <c r="F1256" s="988"/>
      <c r="G1256" s="1095" t="str">
        <f>IF(F1256="",G1255,F1256)</f>
        <v>3311012</v>
      </c>
      <c r="H1256" s="1016" t="s">
        <v>5486</v>
      </c>
      <c r="I1256" s="944" t="str">
        <f t="shared" si="191"/>
        <v>3311012401</v>
      </c>
      <c r="J1256" s="991" t="s">
        <v>6917</v>
      </c>
      <c r="K1256" s="886"/>
      <c r="L1256" s="873"/>
      <c r="M1256" s="873"/>
      <c r="N1256" s="886"/>
      <c r="O1256" s="886"/>
      <c r="P1256" s="886"/>
      <c r="Q1256" s="1167">
        <v>0</v>
      </c>
      <c r="R1256" s="882"/>
      <c r="S1256" s="1269"/>
      <c r="T1256" s="1254"/>
      <c r="U1256" s="996" t="s">
        <v>10122</v>
      </c>
      <c r="V1256" s="996"/>
      <c r="W1256" s="992" t="s">
        <v>10122</v>
      </c>
    </row>
    <row r="1257" spans="3:23" ht="14.5" customHeight="1">
      <c r="C1257" s="994"/>
      <c r="D1257" s="995"/>
      <c r="F1257" s="988"/>
      <c r="G1257" s="1095" t="str">
        <f t="shared" si="190"/>
        <v>3311012</v>
      </c>
      <c r="H1257" s="1016" t="s">
        <v>6210</v>
      </c>
      <c r="I1257" s="944" t="str">
        <f t="shared" si="191"/>
        <v>3311012402</v>
      </c>
      <c r="J1257" s="991" t="s">
        <v>6918</v>
      </c>
      <c r="K1257" s="886"/>
      <c r="L1257" s="873"/>
      <c r="M1257" s="873"/>
      <c r="N1257" s="886"/>
      <c r="O1257" s="886"/>
      <c r="P1257" s="886"/>
      <c r="Q1257" s="1167">
        <v>0</v>
      </c>
      <c r="R1257" s="882"/>
      <c r="S1257" s="1269"/>
      <c r="T1257" s="1254"/>
      <c r="U1257" s="996" t="s">
        <v>10122</v>
      </c>
      <c r="V1257" s="996"/>
      <c r="W1257" s="992" t="s">
        <v>10122</v>
      </c>
    </row>
    <row r="1258" spans="3:23" ht="14.5" customHeight="1">
      <c r="C1258" s="994"/>
      <c r="D1258" s="995"/>
      <c r="F1258" s="988"/>
      <c r="G1258" s="1095" t="str">
        <f t="shared" si="190"/>
        <v>3311012</v>
      </c>
      <c r="H1258" s="1016" t="s">
        <v>6212</v>
      </c>
      <c r="I1258" s="944" t="str">
        <f t="shared" si="191"/>
        <v>3311012403</v>
      </c>
      <c r="J1258" s="991" t="s">
        <v>6919</v>
      </c>
      <c r="K1258" s="886"/>
      <c r="L1258" s="873"/>
      <c r="M1258" s="873"/>
      <c r="N1258" s="886"/>
      <c r="O1258" s="886"/>
      <c r="P1258" s="886"/>
      <c r="Q1258" s="1167">
        <v>0</v>
      </c>
      <c r="R1258" s="882"/>
      <c r="S1258" s="1269"/>
      <c r="T1258" s="1254"/>
      <c r="U1258" s="996" t="s">
        <v>10122</v>
      </c>
      <c r="V1258" s="996"/>
      <c r="W1258" s="992" t="s">
        <v>10122</v>
      </c>
    </row>
    <row r="1259" spans="3:23" ht="14.5" customHeight="1">
      <c r="C1259" s="994"/>
      <c r="D1259" s="995"/>
      <c r="F1259" s="988"/>
      <c r="G1259" s="1095" t="str">
        <f t="shared" si="190"/>
        <v>3311012</v>
      </c>
      <c r="H1259" s="1016" t="s">
        <v>6214</v>
      </c>
      <c r="I1259" s="944" t="str">
        <f t="shared" si="191"/>
        <v>3311012404</v>
      </c>
      <c r="J1259" s="991" t="s">
        <v>6920</v>
      </c>
      <c r="K1259" s="886"/>
      <c r="L1259" s="873"/>
      <c r="M1259" s="873"/>
      <c r="N1259" s="886"/>
      <c r="O1259" s="886"/>
      <c r="P1259" s="886"/>
      <c r="Q1259" s="1167">
        <v>0</v>
      </c>
      <c r="R1259" s="882"/>
      <c r="S1259" s="1269"/>
      <c r="T1259" s="1254"/>
      <c r="U1259" s="996" t="s">
        <v>10122</v>
      </c>
      <c r="V1259" s="996"/>
      <c r="W1259" s="992" t="s">
        <v>10122</v>
      </c>
    </row>
    <row r="1260" spans="3:23" ht="14.5" customHeight="1">
      <c r="C1260" s="994"/>
      <c r="D1260" s="995"/>
      <c r="F1260" s="988"/>
      <c r="G1260" s="1095" t="str">
        <f t="shared" si="190"/>
        <v>3311012</v>
      </c>
      <c r="H1260" s="1016" t="s">
        <v>5488</v>
      </c>
      <c r="I1260" s="944" t="str">
        <f>IF(H1260="","",CONCATENATE(G1260,H1260))</f>
        <v>3311012501</v>
      </c>
      <c r="J1260" s="991" t="s">
        <v>6921</v>
      </c>
      <c r="K1260" s="890">
        <v>109542.3</v>
      </c>
      <c r="L1260" s="890">
        <v>16030.21</v>
      </c>
      <c r="M1260" s="890">
        <v>167345.25</v>
      </c>
      <c r="N1260" s="886"/>
      <c r="O1260" s="886"/>
      <c r="P1260" s="886"/>
      <c r="Q1260" s="1181">
        <f>ROUND(K1260*L1260/M1260,0)</f>
        <v>10493</v>
      </c>
      <c r="R1260" s="882"/>
      <c r="S1260" s="1269"/>
      <c r="T1260" s="1254"/>
      <c r="U1260" s="996" t="s">
        <v>10424</v>
      </c>
      <c r="V1260" s="996"/>
      <c r="W1260" s="992"/>
    </row>
    <row r="1261" spans="3:23" ht="14.5" customHeight="1">
      <c r="C1261" s="1015"/>
      <c r="D1261" s="1018"/>
      <c r="E1261" s="1002"/>
      <c r="F1261" s="999"/>
      <c r="G1261" s="1104" t="str">
        <f t="shared" si="190"/>
        <v>3311012</v>
      </c>
      <c r="H1261" s="1005" t="s">
        <v>10456</v>
      </c>
      <c r="I1261" s="1002" t="str">
        <f>IF(H1261="","",CONCATENATE(G1261,H1261))</f>
        <v>3311012Y01</v>
      </c>
      <c r="J1261" s="978" t="s">
        <v>6922</v>
      </c>
      <c r="K1261" s="893"/>
      <c r="L1261" s="872"/>
      <c r="M1261" s="872"/>
      <c r="N1261" s="893"/>
      <c r="O1261" s="893"/>
      <c r="P1261" s="893"/>
      <c r="Q1261" s="1170">
        <v>-295.06</v>
      </c>
      <c r="R1261" s="900"/>
      <c r="S1261" s="1272"/>
      <c r="T1261" s="900"/>
      <c r="U1261" s="1006" t="s">
        <v>10122</v>
      </c>
      <c r="V1261" s="1006"/>
      <c r="W1261" s="1003"/>
    </row>
    <row r="1262" spans="3:23" ht="14.5" customHeight="1">
      <c r="C1262" s="1015" t="s">
        <v>6923</v>
      </c>
      <c r="D1262" s="999" t="str">
        <f t="shared" ref="D1262:D1320" si="192">IF(C1262="","",CONCATENATE(LEFT(C1262,4),MID(C1262,6,2)))</f>
        <v>331102</v>
      </c>
      <c r="E1262" s="1000" t="s">
        <v>6924</v>
      </c>
      <c r="F1262" s="999" t="str">
        <f t="shared" ref="F1262:F1268" si="193">IF(E1262="","",CONCATENATE(LEFT(E1262,4),MID(E1262,6,3)))</f>
        <v>3311021</v>
      </c>
      <c r="G1262" s="1104" t="str">
        <f>IF(F1262="",G1243,F1262)</f>
        <v>3311021</v>
      </c>
      <c r="H1262" s="1005"/>
      <c r="I1262" s="1002"/>
      <c r="J1262" s="1030" t="s">
        <v>530</v>
      </c>
      <c r="K1262" s="893"/>
      <c r="L1262" s="872"/>
      <c r="M1262" s="872"/>
      <c r="N1262" s="893"/>
      <c r="O1262" s="893"/>
      <c r="P1262" s="888">
        <f t="shared" ref="P1262:P1291" si="194">Q1262</f>
        <v>33320</v>
      </c>
      <c r="Q1262" s="1187">
        <v>33320</v>
      </c>
      <c r="R1262" s="900"/>
      <c r="S1262" s="1272"/>
      <c r="T1262" s="900"/>
      <c r="U1262" s="1006" t="s">
        <v>10587</v>
      </c>
      <c r="V1262" s="1006"/>
      <c r="W1262" s="1003"/>
    </row>
    <row r="1263" spans="3:23" ht="14.5" customHeight="1">
      <c r="C1263" s="1023" t="s">
        <v>6925</v>
      </c>
      <c r="D1263" s="1024" t="str">
        <f t="shared" si="192"/>
        <v>331103</v>
      </c>
      <c r="E1263" s="1025" t="s">
        <v>6926</v>
      </c>
      <c r="F1263" s="1024" t="str">
        <f t="shared" si="193"/>
        <v>3311031</v>
      </c>
      <c r="G1263" s="1111" t="str">
        <f t="shared" si="190"/>
        <v>3311031</v>
      </c>
      <c r="H1263" s="1112"/>
      <c r="I1263" s="1113"/>
      <c r="J1263" s="1026" t="s">
        <v>531</v>
      </c>
      <c r="K1263" s="912"/>
      <c r="L1263" s="913"/>
      <c r="M1263" s="913"/>
      <c r="N1263" s="912"/>
      <c r="O1263" s="912"/>
      <c r="P1263" s="922">
        <f t="shared" si="194"/>
        <v>128677</v>
      </c>
      <c r="Q1263" s="1186">
        <v>128677</v>
      </c>
      <c r="R1263" s="929"/>
      <c r="S1263" s="1280"/>
      <c r="T1263" s="929"/>
      <c r="U1263" s="1022" t="s">
        <v>10587</v>
      </c>
      <c r="V1263" s="1022"/>
      <c r="W1263" s="1027"/>
    </row>
    <row r="1264" spans="3:23" ht="14.5" customHeight="1">
      <c r="C1264" s="1023" t="s">
        <v>6927</v>
      </c>
      <c r="D1264" s="1024" t="str">
        <f t="shared" si="192"/>
        <v>331104</v>
      </c>
      <c r="E1264" s="1025" t="s">
        <v>6928</v>
      </c>
      <c r="F1264" s="1024" t="str">
        <f t="shared" si="193"/>
        <v>3311041</v>
      </c>
      <c r="G1264" s="1111" t="str">
        <f t="shared" si="190"/>
        <v>3311041</v>
      </c>
      <c r="H1264" s="1112"/>
      <c r="I1264" s="1113" t="str">
        <f t="shared" ref="I1264:I1327" si="195">IF(H1264="","",CONCATENATE(G1264,H1264))</f>
        <v/>
      </c>
      <c r="J1264" s="1026" t="s">
        <v>6929</v>
      </c>
      <c r="K1264" s="912"/>
      <c r="L1264" s="913"/>
      <c r="M1264" s="913"/>
      <c r="N1264" s="912"/>
      <c r="O1264" s="912"/>
      <c r="P1264" s="922">
        <f t="shared" si="194"/>
        <v>6947</v>
      </c>
      <c r="Q1264" s="1174">
        <v>6947</v>
      </c>
      <c r="R1264" s="882"/>
      <c r="S1264" s="1269"/>
      <c r="T1264" s="1254"/>
      <c r="U1264" s="991" t="s">
        <v>10587</v>
      </c>
      <c r="V1264" s="1022"/>
      <c r="W1264" s="1027"/>
    </row>
    <row r="1265" spans="3:23" ht="14.5" customHeight="1">
      <c r="C1265" s="1023" t="s">
        <v>6930</v>
      </c>
      <c r="D1265" s="1024" t="str">
        <f t="shared" si="192"/>
        <v>331105</v>
      </c>
      <c r="E1265" s="1025" t="s">
        <v>6931</v>
      </c>
      <c r="F1265" s="1024" t="str">
        <f t="shared" si="193"/>
        <v>3311051</v>
      </c>
      <c r="G1265" s="1111" t="str">
        <f t="shared" si="190"/>
        <v>3311051</v>
      </c>
      <c r="H1265" s="1112"/>
      <c r="I1265" s="1113" t="str">
        <f t="shared" si="195"/>
        <v/>
      </c>
      <c r="J1265" s="1026" t="s">
        <v>6932</v>
      </c>
      <c r="K1265" s="912"/>
      <c r="L1265" s="913"/>
      <c r="M1265" s="913"/>
      <c r="N1265" s="912"/>
      <c r="O1265" s="912"/>
      <c r="P1265" s="922">
        <f t="shared" si="194"/>
        <v>458919</v>
      </c>
      <c r="Q1265" s="1186">
        <v>458919</v>
      </c>
      <c r="R1265" s="929"/>
      <c r="S1265" s="1280"/>
      <c r="T1265" s="929"/>
      <c r="U1265" s="1031" t="s">
        <v>10587</v>
      </c>
      <c r="V1265" s="1022"/>
      <c r="W1265" s="1027"/>
    </row>
    <row r="1266" spans="3:23" ht="14.5" customHeight="1">
      <c r="C1266" s="1023" t="s">
        <v>6933</v>
      </c>
      <c r="D1266" s="1024" t="str">
        <f t="shared" si="192"/>
        <v>331109</v>
      </c>
      <c r="E1266" s="1025" t="s">
        <v>6934</v>
      </c>
      <c r="F1266" s="1024" t="str">
        <f t="shared" si="193"/>
        <v>3311099</v>
      </c>
      <c r="G1266" s="1111" t="str">
        <f t="shared" si="190"/>
        <v>3311099</v>
      </c>
      <c r="H1266" s="1112"/>
      <c r="I1266" s="1113" t="str">
        <f t="shared" si="195"/>
        <v/>
      </c>
      <c r="J1266" s="1026" t="s">
        <v>6935</v>
      </c>
      <c r="K1266" s="912"/>
      <c r="L1266" s="913"/>
      <c r="M1266" s="913"/>
      <c r="N1266" s="912"/>
      <c r="O1266" s="912"/>
      <c r="P1266" s="922">
        <f t="shared" si="194"/>
        <v>101667</v>
      </c>
      <c r="Q1266" s="1174">
        <v>101667</v>
      </c>
      <c r="R1266" s="882"/>
      <c r="S1266" s="1269"/>
      <c r="T1266" s="1254"/>
      <c r="U1266" s="991" t="s">
        <v>10587</v>
      </c>
      <c r="V1266" s="1022"/>
      <c r="W1266" s="1027"/>
    </row>
    <row r="1267" spans="3:23" ht="14.5" customHeight="1">
      <c r="C1267" s="1023" t="s">
        <v>6936</v>
      </c>
      <c r="D1267" s="1024" t="str">
        <f t="shared" si="192"/>
        <v>332101</v>
      </c>
      <c r="E1267" s="1025" t="s">
        <v>6937</v>
      </c>
      <c r="F1267" s="1024" t="str">
        <f t="shared" si="193"/>
        <v>3321011</v>
      </c>
      <c r="G1267" s="1111" t="str">
        <f>IF(F1267="",G1274,F1267)</f>
        <v>3321011</v>
      </c>
      <c r="H1267" s="1112"/>
      <c r="I1267" s="1113" t="str">
        <f t="shared" si="195"/>
        <v/>
      </c>
      <c r="J1267" s="1026" t="s">
        <v>6938</v>
      </c>
      <c r="K1267" s="912"/>
      <c r="L1267" s="912"/>
      <c r="M1267" s="912"/>
      <c r="N1267" s="912"/>
      <c r="O1267" s="912"/>
      <c r="P1267" s="922">
        <f t="shared" si="194"/>
        <v>3332</v>
      </c>
      <c r="Q1267" s="1186">
        <v>3332</v>
      </c>
      <c r="R1267" s="929"/>
      <c r="S1267" s="1280"/>
      <c r="T1267" s="929"/>
      <c r="U1267" s="1031" t="s">
        <v>10587</v>
      </c>
      <c r="V1267" s="1022"/>
      <c r="W1267" s="1027"/>
    </row>
    <row r="1268" spans="3:23" ht="14.5" customHeight="1">
      <c r="C1268" s="1023" t="s">
        <v>6939</v>
      </c>
      <c r="D1268" s="1024" t="str">
        <f t="shared" si="192"/>
        <v>332102</v>
      </c>
      <c r="E1268" s="1025" t="s">
        <v>6940</v>
      </c>
      <c r="F1268" s="1024" t="str">
        <f t="shared" si="193"/>
        <v>3321021</v>
      </c>
      <c r="G1268" s="1111" t="str">
        <f>IF(F1268="",G1267,F1268)</f>
        <v>3321021</v>
      </c>
      <c r="H1268" s="1112"/>
      <c r="I1268" s="1113" t="str">
        <f t="shared" si="195"/>
        <v/>
      </c>
      <c r="J1268" s="1026" t="s">
        <v>6941</v>
      </c>
      <c r="K1268" s="912"/>
      <c r="L1268" s="912"/>
      <c r="M1268" s="912"/>
      <c r="N1268" s="912"/>
      <c r="O1268" s="912"/>
      <c r="P1268" s="922">
        <f t="shared" si="194"/>
        <v>55637</v>
      </c>
      <c r="Q1268" s="1186">
        <v>55637</v>
      </c>
      <c r="R1268" s="929"/>
      <c r="S1268" s="1280"/>
      <c r="T1268" s="929"/>
      <c r="U1268" s="1031" t="s">
        <v>10689</v>
      </c>
      <c r="V1268" s="993"/>
      <c r="W1268" s="1027"/>
    </row>
    <row r="1269" spans="3:23" ht="14.5" customHeight="1">
      <c r="C1269" s="1015" t="s">
        <v>6942</v>
      </c>
      <c r="D1269" s="999" t="str">
        <f t="shared" si="192"/>
        <v>333101</v>
      </c>
      <c r="E1269" s="1000" t="s">
        <v>6943</v>
      </c>
      <c r="F1269" s="999" t="str">
        <f>IF(E1269="","",CONCATENATE(LEFT(E1269,4),MID(E1269,6,3)))</f>
        <v>3331011</v>
      </c>
      <c r="G1269" s="1104" t="str">
        <f>IF(F1269="",G1266,F1269)</f>
        <v>3331011</v>
      </c>
      <c r="H1269" s="1005"/>
      <c r="I1269" s="1002" t="str">
        <f t="shared" si="195"/>
        <v/>
      </c>
      <c r="J1269" s="1030" t="s">
        <v>539</v>
      </c>
      <c r="K1269" s="893"/>
      <c r="L1269" s="893"/>
      <c r="M1269" s="893"/>
      <c r="N1269" s="893"/>
      <c r="O1269" s="893"/>
      <c r="P1269" s="919">
        <f t="shared" si="194"/>
        <v>22080</v>
      </c>
      <c r="Q1269" s="1187">
        <v>22080</v>
      </c>
      <c r="R1269" s="900"/>
      <c r="S1269" s="1272"/>
      <c r="T1269" s="900"/>
      <c r="U1269" s="978" t="s">
        <v>10587</v>
      </c>
      <c r="V1269" s="1006"/>
      <c r="W1269" s="1003"/>
    </row>
    <row r="1270" spans="3:23" ht="14.5" customHeight="1">
      <c r="C1270" s="1023" t="s">
        <v>6944</v>
      </c>
      <c r="D1270" s="1024" t="str">
        <f t="shared" si="192"/>
        <v>333201</v>
      </c>
      <c r="E1270" s="1025" t="s">
        <v>6945</v>
      </c>
      <c r="F1270" s="1024" t="str">
        <f>IF(E1270="","",CONCATENATE(LEFT(E1270,4),MID(E1270,6,3)))</f>
        <v>3332011</v>
      </c>
      <c r="G1270" s="1111" t="str">
        <f>IF(F1270="",G1269,F1270)</f>
        <v>3332011</v>
      </c>
      <c r="H1270" s="1112"/>
      <c r="I1270" s="1113" t="str">
        <f t="shared" si="195"/>
        <v/>
      </c>
      <c r="J1270" s="1026" t="s">
        <v>541</v>
      </c>
      <c r="K1270" s="912"/>
      <c r="L1270" s="913"/>
      <c r="M1270" s="913"/>
      <c r="N1270" s="912"/>
      <c r="O1270" s="912"/>
      <c r="P1270" s="922">
        <f t="shared" si="194"/>
        <v>61111</v>
      </c>
      <c r="Q1270" s="1174">
        <v>61111</v>
      </c>
      <c r="R1270" s="882"/>
      <c r="S1270" s="1269"/>
      <c r="T1270" s="1254"/>
      <c r="U1270" s="991" t="s">
        <v>10587</v>
      </c>
      <c r="V1270" s="1022"/>
      <c r="W1270" s="1027"/>
    </row>
    <row r="1271" spans="3:23" ht="14.5" customHeight="1">
      <c r="C1271" s="1023" t="s">
        <v>6946</v>
      </c>
      <c r="D1271" s="1024" t="str">
        <f t="shared" si="192"/>
        <v>339901</v>
      </c>
      <c r="E1271" s="1025" t="s">
        <v>6947</v>
      </c>
      <c r="F1271" s="1024" t="str">
        <f>IF(E1271="","",CONCATENATE(LEFT(E1271,4),MID(E1271,6,3)))</f>
        <v>3399011</v>
      </c>
      <c r="G1271" s="1111" t="str">
        <f>IF(F1271="",G1270,F1271)</f>
        <v>3399011</v>
      </c>
      <c r="H1271" s="1112"/>
      <c r="I1271" s="1113" t="str">
        <f t="shared" si="195"/>
        <v/>
      </c>
      <c r="J1271" s="1026" t="s">
        <v>543</v>
      </c>
      <c r="K1271" s="912"/>
      <c r="L1271" s="912"/>
      <c r="M1271" s="912"/>
      <c r="N1271" s="912"/>
      <c r="O1271" s="912"/>
      <c r="P1271" s="922">
        <f t="shared" si="194"/>
        <v>29076</v>
      </c>
      <c r="Q1271" s="1186">
        <v>29076</v>
      </c>
      <c r="R1271" s="929"/>
      <c r="S1271" s="1280"/>
      <c r="T1271" s="929"/>
      <c r="U1271" s="1031" t="s">
        <v>10587</v>
      </c>
      <c r="V1271" s="1022"/>
      <c r="W1271" s="1027"/>
    </row>
    <row r="1272" spans="3:23" ht="14.5" customHeight="1">
      <c r="C1272" s="994" t="s">
        <v>6948</v>
      </c>
      <c r="D1272" s="988" t="str">
        <f t="shared" si="192"/>
        <v>339902</v>
      </c>
      <c r="E1272" s="989" t="s">
        <v>6949</v>
      </c>
      <c r="F1272" s="988" t="str">
        <f>IF(E1272="","",CONCATENATE(LEFT(E1272,4),MID(E1272,6,3)))</f>
        <v>3399021</v>
      </c>
      <c r="G1272" s="1095" t="str">
        <f>IF(F1272="",G1271,F1272)</f>
        <v>3399021</v>
      </c>
      <c r="I1272" s="944" t="str">
        <f t="shared" si="195"/>
        <v/>
      </c>
      <c r="J1272" s="990" t="s">
        <v>544</v>
      </c>
      <c r="K1272" s="886"/>
      <c r="L1272" s="886"/>
      <c r="M1272" s="886"/>
      <c r="N1272" s="886"/>
      <c r="O1272" s="886"/>
      <c r="P1272" s="906">
        <f t="shared" si="194"/>
        <v>39642</v>
      </c>
      <c r="Q1272" s="1174">
        <v>39642</v>
      </c>
      <c r="R1272" s="882"/>
      <c r="S1272" s="1269"/>
      <c r="T1272" s="1254"/>
      <c r="U1272" s="1031" t="s">
        <v>10689</v>
      </c>
      <c r="V1272" s="996"/>
      <c r="W1272" s="992"/>
    </row>
    <row r="1273" spans="3:23" ht="14.5" customHeight="1">
      <c r="C1273" s="1023" t="s">
        <v>6950</v>
      </c>
      <c r="D1273" s="1024" t="str">
        <f t="shared" si="192"/>
        <v>339903</v>
      </c>
      <c r="E1273" s="1025" t="s">
        <v>6951</v>
      </c>
      <c r="F1273" s="1024" t="str">
        <f t="shared" ref="F1273:F1304" si="196">IF(E1273="","",CONCATENATE(LEFT(E1273,4),MID(E1273,6,3)))</f>
        <v>3399031</v>
      </c>
      <c r="G1273" s="1111" t="str">
        <f>IF(F1273="",G1272,F1273)</f>
        <v>3399031</v>
      </c>
      <c r="H1273" s="1112"/>
      <c r="I1273" s="1113" t="str">
        <f t="shared" si="195"/>
        <v/>
      </c>
      <c r="J1273" s="1026" t="s">
        <v>545</v>
      </c>
      <c r="K1273" s="912"/>
      <c r="L1273" s="912"/>
      <c r="M1273" s="912"/>
      <c r="N1273" s="912"/>
      <c r="O1273" s="912"/>
      <c r="P1273" s="922">
        <f t="shared" si="194"/>
        <v>31257</v>
      </c>
      <c r="Q1273" s="1186">
        <v>31257</v>
      </c>
      <c r="R1273" s="929"/>
      <c r="S1273" s="1269"/>
      <c r="T1273" s="1254"/>
      <c r="U1273" s="991" t="s">
        <v>10587</v>
      </c>
      <c r="V1273" s="1022"/>
      <c r="W1273" s="1027"/>
    </row>
    <row r="1274" spans="3:23" ht="14.5" customHeight="1">
      <c r="C1274" s="1023" t="s">
        <v>6952</v>
      </c>
      <c r="D1274" s="1024" t="str">
        <f t="shared" si="192"/>
        <v>339909</v>
      </c>
      <c r="E1274" s="1025" t="s">
        <v>6953</v>
      </c>
      <c r="F1274" s="1024" t="str">
        <f t="shared" si="196"/>
        <v>3399099</v>
      </c>
      <c r="G1274" s="1111" t="str">
        <f>IF(F1274="",G1273,F1274)</f>
        <v>3399099</v>
      </c>
      <c r="H1274" s="1112"/>
      <c r="I1274" s="1113" t="str">
        <f t="shared" si="195"/>
        <v/>
      </c>
      <c r="J1274" s="1026" t="s">
        <v>546</v>
      </c>
      <c r="K1274" s="912"/>
      <c r="L1274" s="913"/>
      <c r="M1274" s="913"/>
      <c r="N1274" s="912"/>
      <c r="O1274" s="912"/>
      <c r="P1274" s="922">
        <f t="shared" si="194"/>
        <v>28549</v>
      </c>
      <c r="Q1274" s="1174">
        <v>28549</v>
      </c>
      <c r="R1274" s="882"/>
      <c r="S1274" s="1269"/>
      <c r="T1274" s="1254"/>
      <c r="U1274" s="1031" t="s">
        <v>10587</v>
      </c>
      <c r="V1274" s="1022"/>
      <c r="W1274" s="1027"/>
    </row>
    <row r="1275" spans="3:23" ht="14.5" customHeight="1">
      <c r="C1275" s="981" t="s">
        <v>6954</v>
      </c>
      <c r="D1275" s="982" t="str">
        <f t="shared" si="192"/>
        <v>341101</v>
      </c>
      <c r="E1275" s="983" t="s">
        <v>6955</v>
      </c>
      <c r="F1275" s="982" t="str">
        <f>IF(E1275="","",CONCATENATE(LEFT(E1275,4),MID(E1275,6,3)))</f>
        <v>3411011</v>
      </c>
      <c r="G1275" s="1103" t="str">
        <f>IF(F1275="",G1278,F1275)</f>
        <v>3411011</v>
      </c>
      <c r="H1275" s="1102"/>
      <c r="I1275" s="947" t="str">
        <f>IF(H1275="","",CONCATENATE(G1275,H1275))</f>
        <v/>
      </c>
      <c r="J1275" s="984" t="s">
        <v>548</v>
      </c>
      <c r="K1275" s="880"/>
      <c r="L1275" s="880"/>
      <c r="M1275" s="880"/>
      <c r="N1275" s="880"/>
      <c r="O1275" s="880"/>
      <c r="P1275" s="907">
        <f>Q1275</f>
        <v>17705</v>
      </c>
      <c r="Q1275" s="1185">
        <v>17705</v>
      </c>
      <c r="R1275" s="915"/>
      <c r="S1275" s="1279"/>
      <c r="T1275" s="915"/>
      <c r="U1275" s="985" t="s">
        <v>10587</v>
      </c>
      <c r="V1275" s="985"/>
      <c r="W1275" s="986" t="s">
        <v>11016</v>
      </c>
    </row>
    <row r="1276" spans="3:23" ht="14.5" customHeight="1">
      <c r="C1276" s="1023" t="s">
        <v>6959</v>
      </c>
      <c r="D1276" s="1024" t="str">
        <f t="shared" si="192"/>
        <v>341102</v>
      </c>
      <c r="E1276" s="1025" t="s">
        <v>6960</v>
      </c>
      <c r="F1276" s="1024" t="str">
        <f>IF(E1276="","",CONCATENATE(LEFT(E1276,4),MID(E1276,6,3)))</f>
        <v>3411021</v>
      </c>
      <c r="G1276" s="1111" t="str">
        <f>IF(F1276="",G1275,F1276)</f>
        <v>3411021</v>
      </c>
      <c r="H1276" s="1112"/>
      <c r="I1276" s="1113" t="str">
        <f>IF(H1276="","",CONCATENATE(G1276,H1276))</f>
        <v/>
      </c>
      <c r="J1276" s="1026" t="s">
        <v>6961</v>
      </c>
      <c r="K1276" s="912"/>
      <c r="L1276" s="912"/>
      <c r="M1276" s="912"/>
      <c r="N1276" s="912"/>
      <c r="O1276" s="912"/>
      <c r="P1276" s="914">
        <f>Q1276</f>
        <v>80933</v>
      </c>
      <c r="Q1276" s="1186">
        <v>80933</v>
      </c>
      <c r="R1276" s="929"/>
      <c r="S1276" s="1280"/>
      <c r="T1276" s="929"/>
      <c r="U1276" s="1031" t="s">
        <v>10612</v>
      </c>
      <c r="V1276" s="1022"/>
      <c r="W1276" s="1027"/>
    </row>
    <row r="1277" spans="3:23" ht="14.5" customHeight="1">
      <c r="C1277" s="1015" t="s">
        <v>6962</v>
      </c>
      <c r="D1277" s="999" t="str">
        <f t="shared" si="192"/>
        <v>341103</v>
      </c>
      <c r="E1277" s="1000" t="s">
        <v>6963</v>
      </c>
      <c r="F1277" s="999" t="str">
        <f>IF(E1277="","",CONCATENATE(LEFT(E1277,4),MID(E1277,6,3)))</f>
        <v>3411031</v>
      </c>
      <c r="G1277" s="1104" t="str">
        <f>IF(F1277="",G1276,F1277)</f>
        <v>3411031</v>
      </c>
      <c r="H1277" s="1005"/>
      <c r="I1277" s="1002" t="str">
        <f>IF(H1277="","",CONCATENATE(G1277,H1277))</f>
        <v/>
      </c>
      <c r="J1277" s="1035" t="s">
        <v>6964</v>
      </c>
      <c r="K1277" s="893"/>
      <c r="L1277" s="872"/>
      <c r="M1277" s="872"/>
      <c r="N1277" s="893"/>
      <c r="O1277" s="893"/>
      <c r="P1277" s="888">
        <f>Q1277</f>
        <v>191282</v>
      </c>
      <c r="Q1277" s="1174">
        <v>191282</v>
      </c>
      <c r="R1277" s="882"/>
      <c r="S1277" s="1269"/>
      <c r="T1277" s="1254"/>
      <c r="U1277" s="978" t="s">
        <v>10587</v>
      </c>
      <c r="V1277" s="1006"/>
      <c r="W1277" s="1003"/>
    </row>
    <row r="1278" spans="3:23" ht="14.5" customHeight="1">
      <c r="C1278" s="1023" t="s">
        <v>6965</v>
      </c>
      <c r="D1278" s="1024" t="str">
        <f t="shared" si="192"/>
        <v>341104</v>
      </c>
      <c r="E1278" s="1025" t="s">
        <v>6966</v>
      </c>
      <c r="F1278" s="1024" t="str">
        <f>IF(E1278="","",CONCATENATE(LEFT(E1278,4),MID(E1278,6,3)))</f>
        <v>3411041</v>
      </c>
      <c r="G1278" s="1111" t="str">
        <f>IF(F1278="",G1281,F1278)</f>
        <v>3411041</v>
      </c>
      <c r="H1278" s="1112"/>
      <c r="I1278" s="1113" t="str">
        <f>IF(H1278="","",CONCATENATE(G1278,H1278))</f>
        <v/>
      </c>
      <c r="J1278" s="1026" t="s">
        <v>11017</v>
      </c>
      <c r="K1278" s="929"/>
      <c r="L1278" s="929"/>
      <c r="M1278" s="929"/>
      <c r="N1278" s="929"/>
      <c r="O1278" s="929"/>
      <c r="P1278" s="922">
        <f>Q1278</f>
        <v>930</v>
      </c>
      <c r="Q1278" s="1186">
        <v>930</v>
      </c>
      <c r="R1278" s="929"/>
      <c r="S1278" s="1269"/>
      <c r="T1278" s="1254"/>
      <c r="U1278" s="991" t="s">
        <v>10612</v>
      </c>
      <c r="V1278" s="1031"/>
      <c r="W1278" s="1027"/>
    </row>
    <row r="1279" spans="3:23" ht="14.5" customHeight="1">
      <c r="C1279" s="1023" t="s">
        <v>6968</v>
      </c>
      <c r="D1279" s="1024" t="str">
        <f t="shared" si="192"/>
        <v>341109</v>
      </c>
      <c r="E1279" s="1025" t="s">
        <v>6969</v>
      </c>
      <c r="F1279" s="1024" t="str">
        <f>IF(E1279="","",CONCATENATE(LEFT(E1279,4),MID(E1279,6,3)))</f>
        <v>3411099</v>
      </c>
      <c r="G1279" s="1111" t="str">
        <f>IF(F1279="",G1277,F1279)</f>
        <v>3411099</v>
      </c>
      <c r="H1279" s="1112"/>
      <c r="I1279" s="1113" t="str">
        <f>IF(H1279="","",CONCATENATE(G1279,H1279))</f>
        <v/>
      </c>
      <c r="J1279" s="1026" t="s">
        <v>553</v>
      </c>
      <c r="K1279" s="912"/>
      <c r="L1279" s="913"/>
      <c r="M1279" s="913"/>
      <c r="N1279" s="912"/>
      <c r="O1279" s="912"/>
      <c r="P1279" s="914">
        <f>Q1279</f>
        <v>25516</v>
      </c>
      <c r="Q1279" s="1191">
        <v>25516</v>
      </c>
      <c r="R1279" s="929"/>
      <c r="S1279" s="1280"/>
      <c r="T1279" s="929"/>
      <c r="U1279" s="1031" t="s">
        <v>10612</v>
      </c>
      <c r="V1279" s="1022"/>
      <c r="W1279" s="1027"/>
    </row>
    <row r="1280" spans="3:23" ht="14.5" customHeight="1">
      <c r="C1280" s="1023" t="s">
        <v>6970</v>
      </c>
      <c r="D1280" s="1024" t="str">
        <f t="shared" si="192"/>
        <v>341201</v>
      </c>
      <c r="E1280" s="1025" t="s">
        <v>6971</v>
      </c>
      <c r="F1280" s="1024" t="str">
        <f t="shared" si="196"/>
        <v>3412011</v>
      </c>
      <c r="G1280" s="1111" t="str">
        <f>IF(F1280="",G1268,F1280)</f>
        <v>3412011</v>
      </c>
      <c r="H1280" s="1112"/>
      <c r="I1280" s="1113" t="str">
        <f t="shared" si="195"/>
        <v/>
      </c>
      <c r="J1280" s="1026" t="s">
        <v>6972</v>
      </c>
      <c r="K1280" s="929"/>
      <c r="L1280" s="929"/>
      <c r="M1280" s="929"/>
      <c r="N1280" s="929"/>
      <c r="O1280" s="929"/>
      <c r="P1280" s="922">
        <f t="shared" si="194"/>
        <v>514</v>
      </c>
      <c r="Q1280" s="1186">
        <v>514</v>
      </c>
      <c r="R1280" s="929"/>
      <c r="S1280" s="1269"/>
      <c r="T1280" s="1254"/>
      <c r="U1280" s="991" t="s">
        <v>10587</v>
      </c>
      <c r="V1280" s="1031"/>
      <c r="W1280" s="1027"/>
    </row>
    <row r="1281" spans="2:23" ht="14.5" customHeight="1">
      <c r="C1281" s="1023" t="s">
        <v>6973</v>
      </c>
      <c r="D1281" s="1024" t="str">
        <f t="shared" si="192"/>
        <v>341202</v>
      </c>
      <c r="E1281" s="1025" t="s">
        <v>6974</v>
      </c>
      <c r="F1281" s="1024" t="str">
        <f t="shared" si="196"/>
        <v>3412021</v>
      </c>
      <c r="G1281" s="1111" t="str">
        <f>IF(F1281="",G1280,F1281)</f>
        <v>3412021</v>
      </c>
      <c r="H1281" s="1112"/>
      <c r="I1281" s="1113" t="str">
        <f t="shared" si="195"/>
        <v/>
      </c>
      <c r="J1281" s="1026" t="s">
        <v>556</v>
      </c>
      <c r="K1281" s="929"/>
      <c r="L1281" s="929"/>
      <c r="M1281" s="929"/>
      <c r="N1281" s="929"/>
      <c r="O1281" s="929"/>
      <c r="P1281" s="922">
        <f t="shared" si="194"/>
        <v>17859</v>
      </c>
      <c r="Q1281" s="1186">
        <v>17859</v>
      </c>
      <c r="R1281" s="929"/>
      <c r="S1281" s="1280"/>
      <c r="T1281" s="929"/>
      <c r="U1281" s="1031" t="s">
        <v>10587</v>
      </c>
      <c r="V1281" s="1031"/>
      <c r="W1281" s="1027"/>
    </row>
    <row r="1282" spans="2:23" ht="14.5" customHeight="1">
      <c r="C1282" s="1023" t="s">
        <v>6975</v>
      </c>
      <c r="D1282" s="1024" t="str">
        <f t="shared" si="192"/>
        <v>342101</v>
      </c>
      <c r="E1282" s="1025" t="s">
        <v>6976</v>
      </c>
      <c r="F1282" s="1024" t="str">
        <f t="shared" si="196"/>
        <v>3421011</v>
      </c>
      <c r="G1282" s="1111" t="str">
        <f>IF(F1282="",G1279,F1282)</f>
        <v>3421011</v>
      </c>
      <c r="H1282" s="1112"/>
      <c r="I1282" s="1113" t="str">
        <f t="shared" si="195"/>
        <v/>
      </c>
      <c r="J1282" s="1026" t="s">
        <v>6977</v>
      </c>
      <c r="K1282" s="912"/>
      <c r="L1282" s="912"/>
      <c r="M1282" s="912"/>
      <c r="N1282" s="912"/>
      <c r="O1282" s="912"/>
      <c r="P1282" s="914">
        <f t="shared" si="194"/>
        <v>67770</v>
      </c>
      <c r="Q1282" s="1186">
        <v>67770</v>
      </c>
      <c r="R1282" s="929"/>
      <c r="S1282" s="1269"/>
      <c r="T1282" s="1254"/>
      <c r="U1282" s="991" t="s">
        <v>10612</v>
      </c>
      <c r="V1282" s="1022"/>
      <c r="W1282" s="1027"/>
    </row>
    <row r="1283" spans="2:23" ht="14.5" customHeight="1">
      <c r="C1283" s="1023" t="s">
        <v>6978</v>
      </c>
      <c r="D1283" s="1024" t="str">
        <f t="shared" si="192"/>
        <v>342102</v>
      </c>
      <c r="E1283" s="1025" t="s">
        <v>6979</v>
      </c>
      <c r="F1283" s="1024" t="str">
        <f t="shared" si="196"/>
        <v>3421021</v>
      </c>
      <c r="G1283" s="1111" t="str">
        <f>IF(F1283="",G1282,F1283)</f>
        <v>3421021</v>
      </c>
      <c r="H1283" s="1112"/>
      <c r="I1283" s="1113" t="str">
        <f t="shared" si="195"/>
        <v/>
      </c>
      <c r="J1283" s="1063" t="s">
        <v>6980</v>
      </c>
      <c r="K1283" s="912"/>
      <c r="L1283" s="912"/>
      <c r="M1283" s="912"/>
      <c r="N1283" s="912"/>
      <c r="O1283" s="912"/>
      <c r="P1283" s="914">
        <f t="shared" si="194"/>
        <v>1</v>
      </c>
      <c r="Q1283" s="1186">
        <v>1</v>
      </c>
      <c r="R1283" s="929"/>
      <c r="S1283" s="1280"/>
      <c r="T1283" s="929"/>
      <c r="U1283" s="1031" t="s">
        <v>10612</v>
      </c>
      <c r="V1283" s="1022"/>
      <c r="W1283" s="1027"/>
    </row>
    <row r="1284" spans="2:23" ht="14.5" customHeight="1">
      <c r="C1284" s="1023" t="s">
        <v>6981</v>
      </c>
      <c r="D1284" s="1024" t="str">
        <f t="shared" si="192"/>
        <v>342103</v>
      </c>
      <c r="E1284" s="1025" t="s">
        <v>6982</v>
      </c>
      <c r="F1284" s="1024" t="str">
        <f t="shared" si="196"/>
        <v>3421031</v>
      </c>
      <c r="G1284" s="1111" t="str">
        <f>IF(F1284="",G1283,F1284)</f>
        <v>3421031</v>
      </c>
      <c r="H1284" s="1112"/>
      <c r="I1284" s="1113" t="str">
        <f t="shared" si="195"/>
        <v/>
      </c>
      <c r="J1284" s="1026" t="s">
        <v>6983</v>
      </c>
      <c r="K1284" s="912"/>
      <c r="L1284" s="912"/>
      <c r="M1284" s="912"/>
      <c r="N1284" s="912"/>
      <c r="O1284" s="912"/>
      <c r="P1284" s="914">
        <f t="shared" si="194"/>
        <v>14967</v>
      </c>
      <c r="Q1284" s="1186">
        <v>14967</v>
      </c>
      <c r="R1284" s="929"/>
      <c r="S1284" s="1280"/>
      <c r="T1284" s="929"/>
      <c r="U1284" s="1031" t="s">
        <v>10612</v>
      </c>
      <c r="V1284" s="1022"/>
      <c r="W1284" s="1027"/>
    </row>
    <row r="1285" spans="2:23" ht="14.5" customHeight="1">
      <c r="B1285" s="1137"/>
      <c r="C1285" s="994" t="s">
        <v>6984</v>
      </c>
      <c r="D1285" s="988" t="str">
        <f t="shared" si="192"/>
        <v>351101</v>
      </c>
      <c r="E1285" s="989" t="s">
        <v>6985</v>
      </c>
      <c r="F1285" s="988" t="str">
        <f t="shared" si="196"/>
        <v>3511011</v>
      </c>
      <c r="G1285" s="1095" t="str">
        <f>IF(F1285="",G1240,F1285)</f>
        <v>3511011</v>
      </c>
      <c r="I1285" s="944" t="str">
        <f t="shared" si="195"/>
        <v/>
      </c>
      <c r="J1285" s="990" t="s">
        <v>11018</v>
      </c>
      <c r="K1285" s="886"/>
      <c r="L1285" s="886"/>
      <c r="M1285" s="886"/>
      <c r="N1285" s="886"/>
      <c r="O1285" s="886"/>
      <c r="P1285" s="896">
        <f t="shared" si="194"/>
        <v>0</v>
      </c>
      <c r="Q1285" s="1174">
        <v>0</v>
      </c>
      <c r="R1285" s="882"/>
      <c r="S1285" s="1269"/>
      <c r="T1285" s="1254"/>
      <c r="U1285" s="985" t="s">
        <v>10689</v>
      </c>
      <c r="V1285" s="996"/>
      <c r="W1285" s="992" t="s">
        <v>11012</v>
      </c>
    </row>
    <row r="1286" spans="2:23" ht="14.5" customHeight="1">
      <c r="B1286" s="1137"/>
      <c r="C1286" s="1023" t="s">
        <v>11019</v>
      </c>
      <c r="D1286" s="1024" t="str">
        <f>IF(C1286="","",CONCATENATE(LEFT(C1286,4),MID(C1286,6,2)))</f>
        <v>351102</v>
      </c>
      <c r="E1286" s="1025" t="s">
        <v>11020</v>
      </c>
      <c r="F1286" s="1024" t="str">
        <f>IF(E1286="","",CONCATENATE(LEFT(E1286,4),MID(E1286,6,3)))</f>
        <v>3511021</v>
      </c>
      <c r="G1286" s="1111" t="str">
        <f>IF(F1286="",G1241,F1286)</f>
        <v>3511021</v>
      </c>
      <c r="H1286" s="1112"/>
      <c r="I1286" s="1113" t="str">
        <f>IF(H1286="","",CONCATENATE(G1286,H1286))</f>
        <v/>
      </c>
      <c r="J1286" s="1026" t="s">
        <v>11021</v>
      </c>
      <c r="K1286" s="912"/>
      <c r="L1286" s="912"/>
      <c r="M1286" s="912"/>
      <c r="N1286" s="912"/>
      <c r="O1286" s="912"/>
      <c r="P1286" s="914">
        <f>Q1286</f>
        <v>0</v>
      </c>
      <c r="Q1286" s="1186">
        <v>0</v>
      </c>
      <c r="R1286" s="929"/>
      <c r="S1286" s="1280"/>
      <c r="T1286" s="929"/>
      <c r="U1286" s="1031" t="s">
        <v>10689</v>
      </c>
      <c r="V1286" s="1022"/>
      <c r="W1286" s="1027" t="s">
        <v>11012</v>
      </c>
    </row>
    <row r="1287" spans="2:23" ht="14.5" customHeight="1">
      <c r="C1287" s="1023" t="s">
        <v>6986</v>
      </c>
      <c r="D1287" s="1024" t="str">
        <f t="shared" si="192"/>
        <v>352101</v>
      </c>
      <c r="E1287" s="1025" t="s">
        <v>6987</v>
      </c>
      <c r="F1287" s="1024" t="str">
        <f t="shared" si="196"/>
        <v>3521011</v>
      </c>
      <c r="G1287" s="1111" t="str">
        <f>IF(F1287="",G1285,F1287)</f>
        <v>3521011</v>
      </c>
      <c r="H1287" s="1112"/>
      <c r="I1287" s="1113" t="str">
        <f t="shared" si="195"/>
        <v/>
      </c>
      <c r="J1287" s="1063" t="s">
        <v>565</v>
      </c>
      <c r="K1287" s="912"/>
      <c r="L1287" s="912"/>
      <c r="M1287" s="912"/>
      <c r="N1287" s="912"/>
      <c r="O1287" s="912"/>
      <c r="P1287" s="914">
        <f t="shared" si="194"/>
        <v>66184</v>
      </c>
      <c r="Q1287" s="1186">
        <v>66184</v>
      </c>
      <c r="R1287" s="929"/>
      <c r="S1287" s="1280"/>
      <c r="T1287" s="929"/>
      <c r="U1287" s="1031" t="s">
        <v>10612</v>
      </c>
      <c r="V1287" s="1022"/>
      <c r="W1287" s="1027"/>
    </row>
    <row r="1288" spans="2:23" ht="14.5" customHeight="1">
      <c r="C1288" s="994" t="s">
        <v>6988</v>
      </c>
      <c r="D1288" s="988" t="str">
        <f t="shared" si="192"/>
        <v>352201</v>
      </c>
      <c r="E1288" s="989" t="s">
        <v>6989</v>
      </c>
      <c r="F1288" s="988" t="str">
        <f t="shared" si="196"/>
        <v>3522011</v>
      </c>
      <c r="G1288" s="1095" t="str">
        <f>IF(F1288="",G1287,F1288)</f>
        <v>3522011</v>
      </c>
      <c r="I1288" s="944" t="str">
        <f t="shared" si="195"/>
        <v/>
      </c>
      <c r="J1288" s="990" t="s">
        <v>567</v>
      </c>
      <c r="K1288" s="886"/>
      <c r="L1288" s="886"/>
      <c r="M1288" s="886"/>
      <c r="N1288" s="886"/>
      <c r="O1288" s="886"/>
      <c r="P1288" s="896">
        <f t="shared" si="194"/>
        <v>70534</v>
      </c>
      <c r="Q1288" s="1174">
        <v>70534</v>
      </c>
      <c r="R1288" s="887"/>
      <c r="S1288" s="1287">
        <f>'CT2015'!K1256</f>
        <v>1.1000000000000001</v>
      </c>
      <c r="T1288" s="1256">
        <f>ROUND(Q1288*S1288/100,0)</f>
        <v>776</v>
      </c>
      <c r="U1288" s="978" t="s">
        <v>10612</v>
      </c>
      <c r="V1288" s="996"/>
      <c r="W1288" s="1003" t="s">
        <v>11022</v>
      </c>
    </row>
    <row r="1289" spans="2:23" ht="14.5" customHeight="1">
      <c r="C1289" s="1023" t="s">
        <v>6990</v>
      </c>
      <c r="D1289" s="1024" t="str">
        <f t="shared" si="192"/>
        <v>353101</v>
      </c>
      <c r="E1289" s="1025" t="s">
        <v>6991</v>
      </c>
      <c r="F1289" s="1024" t="str">
        <f t="shared" si="196"/>
        <v>3531011</v>
      </c>
      <c r="G1289" s="1111" t="str">
        <f>IF(F1289="",#REF!,F1289)</f>
        <v>3531011</v>
      </c>
      <c r="H1289" s="1112"/>
      <c r="I1289" s="1113" t="str">
        <f t="shared" si="195"/>
        <v/>
      </c>
      <c r="J1289" s="1026" t="s">
        <v>6992</v>
      </c>
      <c r="K1289" s="912"/>
      <c r="L1289" s="912"/>
      <c r="M1289" s="912"/>
      <c r="N1289" s="912"/>
      <c r="O1289" s="912"/>
      <c r="P1289" s="914">
        <f t="shared" si="194"/>
        <v>27083</v>
      </c>
      <c r="Q1289" s="1186">
        <v>27083</v>
      </c>
      <c r="R1289" s="929"/>
      <c r="S1289" s="1280"/>
      <c r="T1289" s="929"/>
      <c r="U1289" s="1031" t="s">
        <v>10612</v>
      </c>
      <c r="V1289" s="1022"/>
      <c r="W1289" s="1027"/>
    </row>
    <row r="1290" spans="2:23" ht="14.5" customHeight="1">
      <c r="C1290" s="1023" t="s">
        <v>6993</v>
      </c>
      <c r="D1290" s="1024" t="str">
        <f t="shared" si="192"/>
        <v>353102</v>
      </c>
      <c r="E1290" s="1025" t="s">
        <v>6994</v>
      </c>
      <c r="F1290" s="1024" t="str">
        <f t="shared" si="196"/>
        <v>3531021</v>
      </c>
      <c r="G1290" s="1111" t="str">
        <f t="shared" ref="G1290:G1303" si="197">IF(F1290="",G1289,F1290)</f>
        <v>3531021</v>
      </c>
      <c r="H1290" s="1112"/>
      <c r="I1290" s="1113" t="str">
        <f t="shared" si="195"/>
        <v/>
      </c>
      <c r="J1290" s="1026" t="s">
        <v>570</v>
      </c>
      <c r="K1290" s="912"/>
      <c r="L1290" s="912"/>
      <c r="M1290" s="912"/>
      <c r="N1290" s="912"/>
      <c r="O1290" s="912"/>
      <c r="P1290" s="914">
        <f t="shared" si="194"/>
        <v>281833</v>
      </c>
      <c r="Q1290" s="1186">
        <v>281833</v>
      </c>
      <c r="R1290" s="929"/>
      <c r="S1290" s="1280"/>
      <c r="T1290" s="929"/>
      <c r="U1290" s="1031" t="s">
        <v>10612</v>
      </c>
      <c r="V1290" s="1022"/>
      <c r="W1290" s="1027"/>
    </row>
    <row r="1291" spans="2:23" ht="14.5" customHeight="1">
      <c r="C1291" s="994" t="s">
        <v>6995</v>
      </c>
      <c r="D1291" s="988" t="str">
        <f t="shared" si="192"/>
        <v>354101</v>
      </c>
      <c r="E1291" s="989" t="s">
        <v>6996</v>
      </c>
      <c r="F1291" s="988" t="str">
        <f t="shared" si="196"/>
        <v>3541011</v>
      </c>
      <c r="G1291" s="1095" t="str">
        <f t="shared" si="197"/>
        <v>3541011</v>
      </c>
      <c r="I1291" s="944" t="str">
        <f t="shared" si="195"/>
        <v/>
      </c>
      <c r="J1291" s="990" t="s">
        <v>572</v>
      </c>
      <c r="K1291" s="886"/>
      <c r="L1291" s="886"/>
      <c r="M1291" s="886"/>
      <c r="N1291" s="886"/>
      <c r="O1291" s="886"/>
      <c r="P1291" s="896">
        <f t="shared" si="194"/>
        <v>66710</v>
      </c>
      <c r="Q1291" s="1174">
        <f>110200-43490</f>
        <v>66710</v>
      </c>
      <c r="R1291" s="882"/>
      <c r="S1291" s="1269"/>
      <c r="T1291" s="1254"/>
      <c r="U1291" s="985" t="s">
        <v>11023</v>
      </c>
      <c r="V1291" s="996"/>
      <c r="W1291" s="992" t="s">
        <v>11024</v>
      </c>
    </row>
    <row r="1292" spans="2:23" ht="14.5" customHeight="1">
      <c r="C1292" s="1023" t="s">
        <v>6997</v>
      </c>
      <c r="D1292" s="1024" t="str">
        <f t="shared" si="192"/>
        <v>354102</v>
      </c>
      <c r="E1292" s="1025" t="s">
        <v>6998</v>
      </c>
      <c r="F1292" s="1024" t="str">
        <f t="shared" si="196"/>
        <v>3541021</v>
      </c>
      <c r="G1292" s="1111" t="str">
        <f>IF(F1292="",#REF!,F1292)</f>
        <v>3541021</v>
      </c>
      <c r="H1292" s="1112"/>
      <c r="I1292" s="1113" t="str">
        <f t="shared" si="195"/>
        <v/>
      </c>
      <c r="J1292" s="1026" t="s">
        <v>573</v>
      </c>
      <c r="K1292" s="913"/>
      <c r="L1292" s="912"/>
      <c r="M1292" s="912"/>
      <c r="N1292" s="912"/>
      <c r="O1292" s="912"/>
      <c r="P1292" s="914">
        <f>Q1292</f>
        <v>2744</v>
      </c>
      <c r="Q1292" s="1186">
        <v>2744</v>
      </c>
      <c r="R1292" s="1022"/>
      <c r="S1292" s="1280"/>
      <c r="T1292" s="929"/>
      <c r="U1292" s="1031" t="s">
        <v>10612</v>
      </c>
      <c r="V1292" s="1031" t="s">
        <v>11023</v>
      </c>
      <c r="W1292" s="1027"/>
    </row>
    <row r="1293" spans="2:23" ht="14.5" customHeight="1">
      <c r="C1293" s="994" t="s">
        <v>6999</v>
      </c>
      <c r="D1293" s="988" t="str">
        <f t="shared" si="192"/>
        <v>354103</v>
      </c>
      <c r="E1293" s="989" t="s">
        <v>7000</v>
      </c>
      <c r="F1293" s="988" t="str">
        <f t="shared" si="196"/>
        <v>3541031</v>
      </c>
      <c r="G1293" s="1095" t="str">
        <f>IF(F1293="",#REF!,F1293)</f>
        <v>3541031</v>
      </c>
      <c r="I1293" s="944" t="str">
        <f t="shared" si="195"/>
        <v/>
      </c>
      <c r="J1293" s="990" t="s">
        <v>574</v>
      </c>
      <c r="K1293" s="873"/>
      <c r="L1293" s="873"/>
      <c r="M1293" s="873"/>
      <c r="N1293" s="886"/>
      <c r="O1293" s="886"/>
      <c r="P1293" s="896">
        <f>Q1293</f>
        <v>177272</v>
      </c>
      <c r="Q1293" s="1174">
        <v>177272</v>
      </c>
      <c r="R1293" s="882"/>
      <c r="S1293" s="1269"/>
      <c r="T1293" s="1254"/>
      <c r="U1293" s="978" t="s">
        <v>10689</v>
      </c>
      <c r="V1293" s="1034"/>
      <c r="W1293" s="992"/>
    </row>
    <row r="1294" spans="2:23" ht="14.5" customHeight="1">
      <c r="C1294" s="1023" t="s">
        <v>7001</v>
      </c>
      <c r="D1294" s="1024" t="str">
        <f t="shared" si="192"/>
        <v>354110</v>
      </c>
      <c r="E1294" s="1025" t="s">
        <v>7002</v>
      </c>
      <c r="F1294" s="1024" t="str">
        <f t="shared" si="196"/>
        <v>3541101</v>
      </c>
      <c r="G1294" s="1111" t="str">
        <f>IF(F1294="",G1293,F1294)</f>
        <v>3541101</v>
      </c>
      <c r="H1294" s="1112" t="s">
        <v>6063</v>
      </c>
      <c r="I1294" s="1113" t="str">
        <f t="shared" si="195"/>
        <v>3541101000</v>
      </c>
      <c r="J1294" s="1026" t="s">
        <v>576</v>
      </c>
      <c r="K1294" s="913"/>
      <c r="L1294" s="913"/>
      <c r="M1294" s="913"/>
      <c r="N1294" s="912"/>
      <c r="O1294" s="912"/>
      <c r="P1294" s="914">
        <f>Q1294</f>
        <v>43490</v>
      </c>
      <c r="Q1294" s="1186">
        <v>43490</v>
      </c>
      <c r="R1294" s="929"/>
      <c r="S1294" s="1272"/>
      <c r="T1294" s="900"/>
      <c r="U1294" s="1006" t="s">
        <v>11025</v>
      </c>
      <c r="V1294" s="1022"/>
      <c r="W1294" s="1027" t="s">
        <v>11026</v>
      </c>
    </row>
    <row r="1295" spans="2:23" ht="14.5" customHeight="1">
      <c r="C1295" s="994" t="s">
        <v>7003</v>
      </c>
      <c r="D1295" s="988" t="str">
        <f t="shared" si="192"/>
        <v>359101</v>
      </c>
      <c r="E1295" s="989" t="s">
        <v>7004</v>
      </c>
      <c r="F1295" s="988" t="str">
        <f t="shared" si="196"/>
        <v>3591011</v>
      </c>
      <c r="G1295" s="1095" t="str">
        <f t="shared" si="197"/>
        <v>3591011</v>
      </c>
      <c r="I1295" s="944" t="str">
        <f t="shared" si="195"/>
        <v/>
      </c>
      <c r="J1295" s="990" t="s">
        <v>578</v>
      </c>
      <c r="K1295" s="886"/>
      <c r="L1295" s="886"/>
      <c r="M1295" s="886"/>
      <c r="N1295" s="886"/>
      <c r="O1295" s="886"/>
      <c r="P1295" s="896">
        <f>Q1295</f>
        <v>187794</v>
      </c>
      <c r="Q1295" s="1171">
        <f>ROUND(SUM(Q1296:Q1303),0)</f>
        <v>187794</v>
      </c>
      <c r="R1295" s="882"/>
      <c r="S1295" s="1269"/>
      <c r="T1295" s="1254"/>
      <c r="U1295" s="996" t="s">
        <v>10587</v>
      </c>
      <c r="V1295" s="996"/>
      <c r="W1295" s="992" t="s">
        <v>11027</v>
      </c>
    </row>
    <row r="1296" spans="2:23" ht="14.5" customHeight="1">
      <c r="C1296" s="987"/>
      <c r="D1296" s="988" t="str">
        <f t="shared" si="192"/>
        <v/>
      </c>
      <c r="F1296" s="988" t="str">
        <f t="shared" si="196"/>
        <v/>
      </c>
      <c r="G1296" s="1095" t="str">
        <f t="shared" si="197"/>
        <v>3591011</v>
      </c>
      <c r="H1296" s="1016" t="s">
        <v>5637</v>
      </c>
      <c r="I1296" s="944" t="str">
        <f t="shared" si="195"/>
        <v>3591011101</v>
      </c>
      <c r="J1296" s="991" t="s">
        <v>7005</v>
      </c>
      <c r="K1296" s="890">
        <v>4398.6000000000004</v>
      </c>
      <c r="L1296" s="890">
        <v>4369</v>
      </c>
      <c r="M1296" s="890">
        <v>4580.83</v>
      </c>
      <c r="N1296" s="886"/>
      <c r="O1296" s="886"/>
      <c r="P1296" s="886"/>
      <c r="Q1296" s="1162">
        <f>ROUND(K1296*L1296/M1296,0)</f>
        <v>4195</v>
      </c>
      <c r="R1296" s="882"/>
      <c r="S1296" s="1269"/>
      <c r="T1296" s="1254"/>
      <c r="U1296" s="996"/>
      <c r="V1296" s="996"/>
      <c r="W1296" s="992" t="s">
        <v>11028</v>
      </c>
    </row>
    <row r="1297" spans="3:23" ht="14.5" customHeight="1">
      <c r="C1297" s="987"/>
      <c r="D1297" s="988" t="str">
        <f t="shared" si="192"/>
        <v/>
      </c>
      <c r="F1297" s="988" t="str">
        <f t="shared" si="196"/>
        <v/>
      </c>
      <c r="G1297" s="1095" t="str">
        <f t="shared" si="197"/>
        <v>3591011</v>
      </c>
      <c r="H1297" s="1016" t="s">
        <v>5657</v>
      </c>
      <c r="I1297" s="944" t="str">
        <f t="shared" si="195"/>
        <v>3591011102</v>
      </c>
      <c r="J1297" s="991" t="s">
        <v>7006</v>
      </c>
      <c r="K1297" s="890">
        <v>244488.2</v>
      </c>
      <c r="L1297" s="890">
        <v>54963.94</v>
      </c>
      <c r="M1297" s="890">
        <v>169734.28</v>
      </c>
      <c r="N1297" s="886"/>
      <c r="O1297" s="886"/>
      <c r="P1297" s="886"/>
      <c r="Q1297" s="1162">
        <f>ROUND(K1297*L1297/M1297,0)</f>
        <v>79171</v>
      </c>
      <c r="R1297" s="882"/>
      <c r="S1297" s="1269"/>
      <c r="T1297" s="1254"/>
      <c r="U1297" s="996"/>
      <c r="V1297" s="996"/>
      <c r="W1297" s="992" t="s">
        <v>11029</v>
      </c>
    </row>
    <row r="1298" spans="3:23" ht="14.5" customHeight="1">
      <c r="C1298" s="987"/>
      <c r="D1298" s="988" t="str">
        <f t="shared" si="192"/>
        <v/>
      </c>
      <c r="F1298" s="988" t="str">
        <f t="shared" si="196"/>
        <v/>
      </c>
      <c r="G1298" s="1095" t="str">
        <f t="shared" si="197"/>
        <v>3591011</v>
      </c>
      <c r="H1298" s="1016" t="s">
        <v>5659</v>
      </c>
      <c r="I1298" s="944" t="str">
        <f t="shared" si="195"/>
        <v>3591011103</v>
      </c>
      <c r="J1298" s="991" t="s">
        <v>7007</v>
      </c>
      <c r="K1298" s="873"/>
      <c r="L1298" s="873"/>
      <c r="M1298" s="873"/>
      <c r="N1298" s="886"/>
      <c r="O1298" s="886"/>
      <c r="P1298" s="886"/>
      <c r="Q1298" s="1167">
        <v>0</v>
      </c>
      <c r="R1298" s="887"/>
      <c r="S1298" s="1273"/>
      <c r="T1298" s="1256"/>
      <c r="U1298" s="996"/>
      <c r="V1298" s="996"/>
      <c r="W1298" s="992" t="s">
        <v>11030</v>
      </c>
    </row>
    <row r="1299" spans="3:23" ht="14.5" customHeight="1">
      <c r="C1299" s="987"/>
      <c r="D1299" s="988" t="str">
        <f t="shared" si="192"/>
        <v/>
      </c>
      <c r="F1299" s="988" t="str">
        <f t="shared" si="196"/>
        <v/>
      </c>
      <c r="G1299" s="1095" t="str">
        <f t="shared" si="197"/>
        <v>3591011</v>
      </c>
      <c r="H1299" s="1016" t="s">
        <v>5661</v>
      </c>
      <c r="I1299" s="944" t="str">
        <f t="shared" si="195"/>
        <v>3591011104</v>
      </c>
      <c r="J1299" s="991" t="s">
        <v>7008</v>
      </c>
      <c r="K1299" s="873"/>
      <c r="L1299" s="873"/>
      <c r="M1299" s="873"/>
      <c r="N1299" s="886"/>
      <c r="O1299" s="886"/>
      <c r="P1299" s="886"/>
      <c r="Q1299" s="1167">
        <v>0</v>
      </c>
      <c r="R1299" s="887"/>
      <c r="S1299" s="1273"/>
      <c r="T1299" s="1256"/>
      <c r="U1299" s="996"/>
      <c r="V1299" s="996"/>
      <c r="W1299" s="992" t="s">
        <v>11031</v>
      </c>
    </row>
    <row r="1300" spans="3:23" ht="14.5" customHeight="1">
      <c r="C1300" s="987"/>
      <c r="D1300" s="988" t="str">
        <f t="shared" si="192"/>
        <v/>
      </c>
      <c r="F1300" s="988" t="str">
        <f t="shared" si="196"/>
        <v/>
      </c>
      <c r="G1300" s="1095" t="str">
        <f t="shared" si="197"/>
        <v>3591011</v>
      </c>
      <c r="H1300" s="1016" t="s">
        <v>5383</v>
      </c>
      <c r="I1300" s="944" t="str">
        <f t="shared" si="195"/>
        <v>3591011201</v>
      </c>
      <c r="J1300" s="991" t="s">
        <v>7009</v>
      </c>
      <c r="K1300" s="890">
        <v>57787.3</v>
      </c>
      <c r="L1300" s="873">
        <f>Q1430+Q1439</f>
        <v>199746</v>
      </c>
      <c r="M1300" s="873">
        <f>K1430+K1439</f>
        <v>4828578</v>
      </c>
      <c r="N1300" s="886"/>
      <c r="O1300" s="886"/>
      <c r="P1300" s="886"/>
      <c r="Q1300" s="1162">
        <f>ROUND(K1300*L1300/M1300,0)</f>
        <v>2391</v>
      </c>
      <c r="R1300" s="882"/>
      <c r="S1300" s="1269"/>
      <c r="T1300" s="1254"/>
      <c r="U1300" s="996"/>
      <c r="V1300" s="996"/>
      <c r="W1300" s="992" t="s">
        <v>11032</v>
      </c>
    </row>
    <row r="1301" spans="3:23" ht="14.5" customHeight="1">
      <c r="C1301" s="987"/>
      <c r="D1301" s="988" t="str">
        <f t="shared" si="192"/>
        <v/>
      </c>
      <c r="F1301" s="988" t="str">
        <f t="shared" si="196"/>
        <v/>
      </c>
      <c r="G1301" s="1095" t="str">
        <f t="shared" si="197"/>
        <v>3591011</v>
      </c>
      <c r="H1301" s="1016" t="s">
        <v>5421</v>
      </c>
      <c r="I1301" s="944" t="str">
        <f t="shared" si="195"/>
        <v>3591011301</v>
      </c>
      <c r="J1301" s="991" t="s">
        <v>7010</v>
      </c>
      <c r="K1301" s="890">
        <v>432879.7</v>
      </c>
      <c r="L1301" s="890">
        <f>561.69+75829.42</f>
        <v>76391.11</v>
      </c>
      <c r="M1301" s="890">
        <f>22416.24+305001.37</f>
        <v>327417.61</v>
      </c>
      <c r="N1301" s="886"/>
      <c r="O1301" s="886"/>
      <c r="P1301" s="886"/>
      <c r="Q1301" s="1162">
        <f>ROUND(K1301*L1301/M1301,0)</f>
        <v>100997</v>
      </c>
      <c r="R1301" s="882"/>
      <c r="S1301" s="1269"/>
      <c r="T1301" s="1254"/>
      <c r="U1301" s="996"/>
      <c r="V1301" s="996"/>
      <c r="W1301" s="992" t="s">
        <v>11033</v>
      </c>
    </row>
    <row r="1302" spans="3:23" ht="14.5" customHeight="1">
      <c r="C1302" s="987"/>
      <c r="D1302" s="988" t="str">
        <f t="shared" si="192"/>
        <v/>
      </c>
      <c r="F1302" s="988" t="str">
        <f t="shared" si="196"/>
        <v/>
      </c>
      <c r="G1302" s="1095" t="str">
        <f t="shared" si="197"/>
        <v>3591011</v>
      </c>
      <c r="H1302" s="1016" t="s">
        <v>7011</v>
      </c>
      <c r="I1302" s="944" t="str">
        <f t="shared" si="195"/>
        <v>3591011401</v>
      </c>
      <c r="J1302" s="991" t="s">
        <v>7012</v>
      </c>
      <c r="K1302" s="886"/>
      <c r="L1302" s="873"/>
      <c r="M1302" s="873"/>
      <c r="N1302" s="873"/>
      <c r="O1302" s="886"/>
      <c r="P1302" s="886"/>
      <c r="Q1302" s="1167">
        <v>-634.41</v>
      </c>
      <c r="R1302" s="882"/>
      <c r="S1302" s="1269"/>
      <c r="T1302" s="1254"/>
      <c r="U1302" s="996"/>
      <c r="V1302" s="996"/>
      <c r="W1302" s="992" t="s">
        <v>11034</v>
      </c>
    </row>
    <row r="1303" spans="3:23" ht="14.5" customHeight="1">
      <c r="C1303" s="987"/>
      <c r="D1303" s="988" t="str">
        <f t="shared" si="192"/>
        <v/>
      </c>
      <c r="F1303" s="988" t="str">
        <f t="shared" si="196"/>
        <v/>
      </c>
      <c r="G1303" s="1095" t="str">
        <f t="shared" si="197"/>
        <v>3591011</v>
      </c>
      <c r="H1303" s="1016" t="s">
        <v>7013</v>
      </c>
      <c r="I1303" s="944" t="str">
        <f t="shared" si="195"/>
        <v>3591011501</v>
      </c>
      <c r="J1303" s="991" t="s">
        <v>7014</v>
      </c>
      <c r="K1303" s="890">
        <v>91064</v>
      </c>
      <c r="L1303" s="890">
        <v>741.48</v>
      </c>
      <c r="M1303" s="890">
        <v>40338.660000000003</v>
      </c>
      <c r="N1303" s="886"/>
      <c r="O1303" s="886"/>
      <c r="P1303" s="886"/>
      <c r="Q1303" s="1165">
        <f>ROUND(K1303*L1303/M1303,0)</f>
        <v>1674</v>
      </c>
      <c r="R1303" s="882"/>
      <c r="S1303" s="1269"/>
      <c r="T1303" s="1254"/>
      <c r="U1303" s="996"/>
      <c r="V1303" s="996"/>
      <c r="W1303" s="992" t="s">
        <v>11035</v>
      </c>
    </row>
    <row r="1304" spans="3:23" ht="14.5" customHeight="1">
      <c r="C1304" s="981" t="s">
        <v>7015</v>
      </c>
      <c r="D1304" s="982" t="str">
        <f t="shared" si="192"/>
        <v>359110</v>
      </c>
      <c r="E1304" s="983" t="s">
        <v>7016</v>
      </c>
      <c r="F1304" s="982" t="str">
        <f t="shared" si="196"/>
        <v>3591101</v>
      </c>
      <c r="G1304" s="1103" t="str">
        <f>IF(F1304="",G1303,F1304)</f>
        <v>3591101</v>
      </c>
      <c r="H1304" s="1102"/>
      <c r="I1304" s="947" t="str">
        <f t="shared" si="195"/>
        <v/>
      </c>
      <c r="J1304" s="984" t="s">
        <v>579</v>
      </c>
      <c r="K1304" s="889"/>
      <c r="L1304" s="897">
        <v>0</v>
      </c>
      <c r="M1304" s="897">
        <v>0</v>
      </c>
      <c r="N1304" s="889"/>
      <c r="O1304" s="889"/>
      <c r="P1304" s="881">
        <f>Q1304</f>
        <v>16502</v>
      </c>
      <c r="Q1304" s="1169">
        <f>ROUND(SUM(Q1305:Q1306),0)</f>
        <v>16502</v>
      </c>
      <c r="R1304" s="880"/>
      <c r="S1304" s="1270"/>
      <c r="T1304" s="880"/>
      <c r="U1304" s="993"/>
      <c r="V1304" s="993"/>
      <c r="W1304" s="986" t="s">
        <v>11036</v>
      </c>
    </row>
    <row r="1305" spans="3:23" ht="14.5" customHeight="1">
      <c r="C1305" s="994"/>
      <c r="E1305" s="989"/>
      <c r="F1305" s="988"/>
      <c r="G1305" s="1095" t="str">
        <f t="shared" ref="G1305:G1306" si="198">IF(F1305="",G1304,F1305)</f>
        <v>3591101</v>
      </c>
      <c r="H1305" s="1016" t="s">
        <v>7312</v>
      </c>
      <c r="I1305" s="944" t="str">
        <f t="shared" si="195"/>
        <v>3591101001</v>
      </c>
      <c r="J1305" s="991" t="s">
        <v>7017</v>
      </c>
      <c r="K1305" s="890">
        <v>15984</v>
      </c>
      <c r="L1305" s="890">
        <f>309+303</f>
        <v>612</v>
      </c>
      <c r="M1305" s="890">
        <f>2745+3244</f>
        <v>5989</v>
      </c>
      <c r="N1305" s="886"/>
      <c r="O1305" s="886"/>
      <c r="P1305" s="886"/>
      <c r="Q1305" s="1162">
        <f>ROUND(K1305*L1305/M1305,0)</f>
        <v>1633</v>
      </c>
      <c r="R1305" s="882"/>
      <c r="S1305" s="1269"/>
      <c r="T1305" s="1254"/>
      <c r="U1305" s="996" t="s">
        <v>11037</v>
      </c>
      <c r="V1305" s="996"/>
      <c r="W1305" s="992" t="s">
        <v>11038</v>
      </c>
    </row>
    <row r="1306" spans="3:23" ht="14.5" customHeight="1">
      <c r="C1306" s="1015"/>
      <c r="D1306" s="999"/>
      <c r="E1306" s="1000"/>
      <c r="F1306" s="999"/>
      <c r="G1306" s="1104" t="str">
        <f t="shared" si="198"/>
        <v>3591101</v>
      </c>
      <c r="H1306" s="1005" t="s">
        <v>7203</v>
      </c>
      <c r="I1306" s="1002" t="str">
        <f t="shared" si="195"/>
        <v>3591101002</v>
      </c>
      <c r="J1306" s="978" t="s">
        <v>7018</v>
      </c>
      <c r="K1306" s="895">
        <v>359446</v>
      </c>
      <c r="L1306" s="872">
        <f>Q1430+Q1439</f>
        <v>199746</v>
      </c>
      <c r="M1306" s="872">
        <f>K1430+K1439</f>
        <v>4828578</v>
      </c>
      <c r="N1306" s="893"/>
      <c r="O1306" s="893"/>
      <c r="P1306" s="893"/>
      <c r="Q1306" s="1162">
        <f>ROUND(K1306*L1306/M1306,0)</f>
        <v>14869</v>
      </c>
      <c r="R1306" s="900"/>
      <c r="S1306" s="1272"/>
      <c r="T1306" s="900"/>
      <c r="U1306" s="1006"/>
      <c r="V1306" s="1006"/>
      <c r="W1306" s="1003" t="s">
        <v>11039</v>
      </c>
    </row>
    <row r="1307" spans="3:23" ht="14.5" customHeight="1">
      <c r="C1307" s="1023" t="s">
        <v>7019</v>
      </c>
      <c r="D1307" s="1024" t="str">
        <f t="shared" si="192"/>
        <v>359201</v>
      </c>
      <c r="E1307" s="1025" t="s">
        <v>7020</v>
      </c>
      <c r="F1307" s="1024" t="str">
        <f t="shared" ref="F1307:F1326" si="199">IF(E1307="","",CONCATENATE(LEFT(E1307,4),MID(E1307,6,3)))</f>
        <v>3592011</v>
      </c>
      <c r="G1307" s="1111" t="str">
        <f>IF(F1307="",G1304,F1307)</f>
        <v>3592011</v>
      </c>
      <c r="H1307" s="1112"/>
      <c r="I1307" s="1113" t="str">
        <f t="shared" si="195"/>
        <v/>
      </c>
      <c r="J1307" s="1026" t="s">
        <v>581</v>
      </c>
      <c r="K1307" s="912"/>
      <c r="L1307" s="913"/>
      <c r="M1307" s="913"/>
      <c r="N1307" s="912"/>
      <c r="O1307" s="912"/>
      <c r="P1307" s="914">
        <f>Q1307</f>
        <v>208568</v>
      </c>
      <c r="Q1307" s="1186">
        <v>208568</v>
      </c>
      <c r="R1307" s="929"/>
      <c r="S1307" s="1280"/>
      <c r="T1307" s="929"/>
      <c r="U1307" s="1022" t="s">
        <v>10492</v>
      </c>
      <c r="V1307" s="1022"/>
      <c r="W1307" s="1027"/>
    </row>
    <row r="1308" spans="3:23" ht="14.5" customHeight="1">
      <c r="C1308" s="981" t="s">
        <v>7021</v>
      </c>
      <c r="D1308" s="982" t="str">
        <f t="shared" si="192"/>
        <v>359210</v>
      </c>
      <c r="E1308" s="983" t="s">
        <v>7022</v>
      </c>
      <c r="F1308" s="982" t="str">
        <f t="shared" si="199"/>
        <v>3592101</v>
      </c>
      <c r="G1308" s="1103" t="str">
        <f>IF(F1308="",G1307,F1308)</f>
        <v>3592101</v>
      </c>
      <c r="H1308" s="1102" t="s">
        <v>7312</v>
      </c>
      <c r="I1308" s="947" t="str">
        <f t="shared" si="195"/>
        <v>3592101001</v>
      </c>
      <c r="J1308" s="984" t="s">
        <v>582</v>
      </c>
      <c r="K1308" s="890">
        <v>332606</v>
      </c>
      <c r="L1308" s="890">
        <v>47371</v>
      </c>
      <c r="M1308" s="890">
        <v>1301891</v>
      </c>
      <c r="N1308" s="889"/>
      <c r="O1308" s="889"/>
      <c r="P1308" s="881">
        <f>Q1308</f>
        <v>12102</v>
      </c>
      <c r="Q1308" s="1171">
        <f>ROUND(K1308*L1308/M1308,0)</f>
        <v>12102</v>
      </c>
      <c r="R1308" s="880"/>
      <c r="S1308" s="1270"/>
      <c r="T1308" s="880"/>
      <c r="U1308" s="985" t="s">
        <v>11040</v>
      </c>
      <c r="V1308" s="993"/>
      <c r="W1308" s="986" t="s">
        <v>11041</v>
      </c>
    </row>
    <row r="1309" spans="3:23" ht="14.5" customHeight="1">
      <c r="C1309" s="1023" t="s">
        <v>7023</v>
      </c>
      <c r="D1309" s="1024" t="str">
        <f t="shared" si="192"/>
        <v>359901</v>
      </c>
      <c r="E1309" s="1025" t="s">
        <v>7024</v>
      </c>
      <c r="F1309" s="1024" t="str">
        <f t="shared" si="199"/>
        <v>3599011</v>
      </c>
      <c r="G1309" s="1111" t="str">
        <f>IF(F1309="",G1308,F1309)</f>
        <v>3599011</v>
      </c>
      <c r="H1309" s="1112"/>
      <c r="I1309" s="1113" t="str">
        <f t="shared" si="195"/>
        <v/>
      </c>
      <c r="J1309" s="1026" t="s">
        <v>584</v>
      </c>
      <c r="K1309" s="912"/>
      <c r="L1309" s="912"/>
      <c r="M1309" s="912"/>
      <c r="N1309" s="912"/>
      <c r="O1309" s="912"/>
      <c r="P1309" s="914">
        <f>Q1309</f>
        <v>2823</v>
      </c>
      <c r="Q1309" s="1186">
        <v>2823</v>
      </c>
      <c r="R1309" s="929"/>
      <c r="S1309" s="1289">
        <f>'CT2015'!K1277</f>
        <v>45.9</v>
      </c>
      <c r="T1309" s="929">
        <f>ROUND(Q1309*S1309/100,0)</f>
        <v>1296</v>
      </c>
      <c r="U1309" s="1022" t="s">
        <v>10485</v>
      </c>
      <c r="V1309" s="1022"/>
      <c r="W1309" s="1027"/>
    </row>
    <row r="1310" spans="3:23" ht="14.5" customHeight="1">
      <c r="C1310" s="981" t="s">
        <v>7025</v>
      </c>
      <c r="D1310" s="982" t="str">
        <f t="shared" si="192"/>
        <v>359909</v>
      </c>
      <c r="E1310" s="983" t="s">
        <v>11042</v>
      </c>
      <c r="F1310" s="982" t="str">
        <f t="shared" si="199"/>
        <v>3599099</v>
      </c>
      <c r="G1310" s="1103" t="str">
        <f>IF(F1310="",G1309,F1310)</f>
        <v>3599099</v>
      </c>
      <c r="H1310" s="1102"/>
      <c r="I1310" s="947" t="str">
        <f t="shared" si="195"/>
        <v/>
      </c>
      <c r="J1310" s="984" t="s">
        <v>7026</v>
      </c>
      <c r="K1310" s="889"/>
      <c r="L1310" s="889"/>
      <c r="M1310" s="889"/>
      <c r="N1310" s="889"/>
      <c r="O1310" s="889"/>
      <c r="P1310" s="881">
        <f>Q1310</f>
        <v>31242</v>
      </c>
      <c r="Q1310" s="1160">
        <f>ROUND(Q1311+Q1312,0)</f>
        <v>31242</v>
      </c>
      <c r="R1310" s="880"/>
      <c r="S1310" s="1270"/>
      <c r="T1310" s="880"/>
      <c r="U1310" s="993" t="s">
        <v>10485</v>
      </c>
      <c r="V1310" s="993"/>
      <c r="W1310" s="986"/>
    </row>
    <row r="1311" spans="3:23" ht="14.5" customHeight="1">
      <c r="C1311" s="994"/>
      <c r="D1311" s="995" t="str">
        <f t="shared" si="192"/>
        <v/>
      </c>
      <c r="E1311" s="989"/>
      <c r="F1311" s="988" t="str">
        <f t="shared" si="199"/>
        <v/>
      </c>
      <c r="G1311" s="1095" t="str">
        <f>IF(F1311="",G1310,F1311)</f>
        <v>3599099</v>
      </c>
      <c r="I1311" s="944" t="str">
        <f t="shared" si="195"/>
        <v/>
      </c>
      <c r="J1311" s="991" t="s">
        <v>11043</v>
      </c>
      <c r="K1311" s="886"/>
      <c r="L1311" s="886"/>
      <c r="M1311" s="886"/>
      <c r="N1311" s="886"/>
      <c r="O1311" s="886"/>
      <c r="P1311" s="886"/>
      <c r="Q1311" s="1167">
        <v>13300.97</v>
      </c>
      <c r="R1311" s="882"/>
      <c r="S1311" s="1269"/>
      <c r="T1311" s="1254"/>
      <c r="U1311" s="996"/>
      <c r="V1311" s="996"/>
      <c r="W1311" s="992"/>
    </row>
    <row r="1312" spans="3:23" ht="14.5" customHeight="1">
      <c r="C1312" s="1015"/>
      <c r="D1312" s="1018" t="str">
        <f t="shared" si="192"/>
        <v/>
      </c>
      <c r="E1312" s="1000"/>
      <c r="F1312" s="999" t="str">
        <f t="shared" si="199"/>
        <v/>
      </c>
      <c r="G1312" s="1104" t="str">
        <f>IF(F1312="",G1311,F1312)</f>
        <v>3599099</v>
      </c>
      <c r="H1312" s="1005"/>
      <c r="I1312" s="1002" t="str">
        <f t="shared" si="195"/>
        <v/>
      </c>
      <c r="J1312" s="978" t="s">
        <v>11044</v>
      </c>
      <c r="K1312" s="893"/>
      <c r="L1312" s="893"/>
      <c r="M1312" s="893"/>
      <c r="N1312" s="893"/>
      <c r="O1312" s="893"/>
      <c r="P1312" s="893"/>
      <c r="Q1312" s="1170">
        <v>17941.09</v>
      </c>
      <c r="R1312" s="900"/>
      <c r="S1312" s="1272"/>
      <c r="T1312" s="900"/>
      <c r="U1312" s="1006"/>
      <c r="V1312" s="1006"/>
      <c r="W1312" s="1003"/>
    </row>
    <row r="1313" spans="1:23" ht="14.5" customHeight="1">
      <c r="C1313" s="1023" t="s">
        <v>7031</v>
      </c>
      <c r="D1313" s="1024" t="str">
        <f t="shared" si="192"/>
        <v>391101</v>
      </c>
      <c r="E1313" s="1025" t="s">
        <v>7032</v>
      </c>
      <c r="F1313" s="1024" t="str">
        <f t="shared" si="199"/>
        <v>3911011</v>
      </c>
      <c r="G1313" s="1111" t="str">
        <f>IF(F1313="",#REF!,F1313)</f>
        <v>3911011</v>
      </c>
      <c r="H1313" s="1112"/>
      <c r="I1313" s="1113" t="str">
        <f t="shared" si="195"/>
        <v/>
      </c>
      <c r="J1313" s="1026" t="s">
        <v>7033</v>
      </c>
      <c r="K1313" s="912"/>
      <c r="L1313" s="912"/>
      <c r="M1313" s="912"/>
      <c r="N1313" s="912"/>
      <c r="O1313" s="912"/>
      <c r="P1313" s="914">
        <f t="shared" ref="P1313:P1319" si="200">Q1313</f>
        <v>1538</v>
      </c>
      <c r="Q1313" s="1186">
        <v>1538</v>
      </c>
      <c r="R1313" s="929"/>
      <c r="S1313" s="1280"/>
      <c r="T1313" s="929"/>
      <c r="U1313" s="1022" t="s">
        <v>10485</v>
      </c>
      <c r="V1313" s="1022"/>
      <c r="W1313" s="1027"/>
    </row>
    <row r="1314" spans="1:23" ht="14.5" customHeight="1">
      <c r="C1314" s="1023" t="s">
        <v>7034</v>
      </c>
      <c r="D1314" s="1024" t="str">
        <f t="shared" si="192"/>
        <v>391102</v>
      </c>
      <c r="E1314" s="1025" t="s">
        <v>7035</v>
      </c>
      <c r="F1314" s="1024" t="str">
        <f t="shared" si="199"/>
        <v>3911021</v>
      </c>
      <c r="G1314" s="1111" t="str">
        <f>IF(F1314="",G1313,F1314)</f>
        <v>3911021</v>
      </c>
      <c r="H1314" s="1112"/>
      <c r="I1314" s="1113" t="str">
        <f t="shared" si="195"/>
        <v/>
      </c>
      <c r="J1314" s="1205" t="s">
        <v>7036</v>
      </c>
      <c r="K1314" s="1206"/>
      <c r="L1314" s="1206"/>
      <c r="M1314" s="1206"/>
      <c r="N1314" s="1206"/>
      <c r="O1314" s="1206"/>
      <c r="P1314" s="1207">
        <f t="shared" si="200"/>
        <v>48883</v>
      </c>
      <c r="Q1314" s="1208">
        <v>48883</v>
      </c>
      <c r="R1314" s="929"/>
      <c r="S1314" s="1289">
        <f>'CT2015'!K1282</f>
        <v>100</v>
      </c>
      <c r="T1314" s="929">
        <f>ROUND(Q1314*S1314/100,0)</f>
        <v>48883</v>
      </c>
      <c r="U1314" s="1022" t="s">
        <v>10485</v>
      </c>
      <c r="V1314" s="1022"/>
      <c r="W1314" s="1027"/>
    </row>
    <row r="1315" spans="1:23" ht="14.5" customHeight="1">
      <c r="C1315" s="1023" t="s">
        <v>7037</v>
      </c>
      <c r="D1315" s="1024" t="str">
        <f t="shared" si="192"/>
        <v>391901</v>
      </c>
      <c r="E1315" s="1025" t="s">
        <v>7038</v>
      </c>
      <c r="F1315" s="1024" t="str">
        <f t="shared" si="199"/>
        <v>3919011</v>
      </c>
      <c r="G1315" s="1111" t="str">
        <f>IF(F1315="",G1318,F1315)</f>
        <v>3919011</v>
      </c>
      <c r="H1315" s="1112"/>
      <c r="I1315" s="1113" t="str">
        <f t="shared" si="195"/>
        <v/>
      </c>
      <c r="J1315" s="1026" t="s">
        <v>591</v>
      </c>
      <c r="K1315" s="912"/>
      <c r="L1315" s="913"/>
      <c r="M1315" s="913"/>
      <c r="N1315" s="912"/>
      <c r="O1315" s="912"/>
      <c r="P1315" s="914">
        <f t="shared" si="200"/>
        <v>8566</v>
      </c>
      <c r="Q1315" s="1186">
        <v>8566</v>
      </c>
      <c r="R1315" s="929"/>
      <c r="S1315" s="1280"/>
      <c r="T1315" s="929"/>
      <c r="U1315" s="1022" t="s">
        <v>10485</v>
      </c>
      <c r="V1315" s="1022"/>
      <c r="W1315" s="1027" t="s">
        <v>11045</v>
      </c>
    </row>
    <row r="1316" spans="1:23" ht="14.5" customHeight="1">
      <c r="C1316" s="1023" t="s">
        <v>7039</v>
      </c>
      <c r="D1316" s="1024" t="str">
        <f t="shared" si="192"/>
        <v>391902</v>
      </c>
      <c r="E1316" s="1025" t="s">
        <v>7040</v>
      </c>
      <c r="F1316" s="1024" t="str">
        <f t="shared" si="199"/>
        <v>3919021</v>
      </c>
      <c r="G1316" s="1111" t="str">
        <f>IF(F1316="",#REF!,F1316)</f>
        <v>3919021</v>
      </c>
      <c r="H1316" s="1112"/>
      <c r="I1316" s="1113" t="str">
        <f t="shared" si="195"/>
        <v/>
      </c>
      <c r="J1316" s="1026" t="s">
        <v>593</v>
      </c>
      <c r="K1316" s="913"/>
      <c r="L1316" s="912"/>
      <c r="M1316" s="912"/>
      <c r="N1316" s="912"/>
      <c r="O1316" s="912"/>
      <c r="P1316" s="914">
        <f t="shared" si="200"/>
        <v>0</v>
      </c>
      <c r="Q1316" s="1186">
        <v>0</v>
      </c>
      <c r="R1316" s="929"/>
      <c r="S1316" s="1289">
        <f>'CT2015'!K1284</f>
        <v>16.100000000000001</v>
      </c>
      <c r="T1316" s="929">
        <f>ROUND(Q1316*S1316/100,0)</f>
        <v>0</v>
      </c>
      <c r="U1316" s="1022" t="s">
        <v>10485</v>
      </c>
      <c r="V1316" s="1022"/>
      <c r="W1316" s="1027" t="s">
        <v>11046</v>
      </c>
    </row>
    <row r="1317" spans="1:23" ht="14.5" customHeight="1">
      <c r="C1317" s="1023" t="s">
        <v>7041</v>
      </c>
      <c r="D1317" s="1024" t="str">
        <f t="shared" si="192"/>
        <v>391903</v>
      </c>
      <c r="E1317" s="1025" t="s">
        <v>7042</v>
      </c>
      <c r="F1317" s="1024" t="str">
        <f t="shared" si="199"/>
        <v>3919031</v>
      </c>
      <c r="G1317" s="1111" t="str">
        <f>IF(F1317="",G1314,F1317)</f>
        <v>3919031</v>
      </c>
      <c r="H1317" s="1112"/>
      <c r="I1317" s="1113" t="str">
        <f t="shared" si="195"/>
        <v/>
      </c>
      <c r="J1317" s="1026" t="s">
        <v>594</v>
      </c>
      <c r="K1317" s="912"/>
      <c r="L1317" s="912"/>
      <c r="M1317" s="912"/>
      <c r="N1317" s="912"/>
      <c r="O1317" s="912"/>
      <c r="P1317" s="914">
        <f t="shared" si="200"/>
        <v>6</v>
      </c>
      <c r="Q1317" s="1186">
        <v>6</v>
      </c>
      <c r="R1317" s="929"/>
      <c r="S1317" s="1280"/>
      <c r="T1317" s="929"/>
      <c r="U1317" s="1022" t="s">
        <v>10485</v>
      </c>
      <c r="V1317" s="1022"/>
      <c r="W1317" s="1027"/>
    </row>
    <row r="1318" spans="1:23" ht="14.5" customHeight="1">
      <c r="C1318" s="1023" t="s">
        <v>7043</v>
      </c>
      <c r="D1318" s="1024" t="str">
        <f t="shared" si="192"/>
        <v>391904</v>
      </c>
      <c r="E1318" s="1025" t="s">
        <v>7044</v>
      </c>
      <c r="F1318" s="1024" t="str">
        <f t="shared" si="199"/>
        <v>3919041</v>
      </c>
      <c r="G1318" s="1111" t="str">
        <f>IF(F1318="",G1320,F1318)</f>
        <v>3919041</v>
      </c>
      <c r="H1318" s="1112"/>
      <c r="I1318" s="1113" t="str">
        <f t="shared" si="195"/>
        <v/>
      </c>
      <c r="J1318" s="1026" t="s">
        <v>595</v>
      </c>
      <c r="K1318" s="912"/>
      <c r="L1318" s="912"/>
      <c r="M1318" s="912"/>
      <c r="N1318" s="912"/>
      <c r="O1318" s="912"/>
      <c r="P1318" s="914">
        <f t="shared" si="200"/>
        <v>911</v>
      </c>
      <c r="Q1318" s="1186">
        <v>911</v>
      </c>
      <c r="R1318" s="929"/>
      <c r="S1318" s="1280"/>
      <c r="T1318" s="929"/>
      <c r="U1318" s="1022" t="s">
        <v>10485</v>
      </c>
      <c r="V1318" s="1022"/>
      <c r="W1318" s="1027"/>
    </row>
    <row r="1319" spans="1:23" ht="14.5" customHeight="1">
      <c r="C1319" s="981" t="s">
        <v>7045</v>
      </c>
      <c r="D1319" s="982" t="str">
        <f t="shared" si="192"/>
        <v>391905</v>
      </c>
      <c r="E1319" s="983" t="s">
        <v>7046</v>
      </c>
      <c r="F1319" s="982" t="str">
        <f t="shared" si="199"/>
        <v>3919051</v>
      </c>
      <c r="G1319" s="1103" t="str">
        <f>IF(F1319="",G1315,F1319)</f>
        <v>3919051</v>
      </c>
      <c r="H1319" s="1102"/>
      <c r="I1319" s="947" t="str">
        <f t="shared" si="195"/>
        <v/>
      </c>
      <c r="J1319" s="984" t="s">
        <v>597</v>
      </c>
      <c r="K1319" s="889"/>
      <c r="L1319" s="889"/>
      <c r="M1319" s="889"/>
      <c r="N1319" s="889"/>
      <c r="O1319" s="889"/>
      <c r="P1319" s="881">
        <f t="shared" si="200"/>
        <v>5388</v>
      </c>
      <c r="Q1319" s="1185">
        <v>5388</v>
      </c>
      <c r="R1319" s="880" t="s">
        <v>11047</v>
      </c>
      <c r="S1319" s="1270"/>
      <c r="T1319" s="880"/>
      <c r="U1319" s="993" t="s">
        <v>10485</v>
      </c>
      <c r="V1319" s="993"/>
      <c r="W1319" s="986"/>
    </row>
    <row r="1320" spans="1:23" ht="14.5" customHeight="1">
      <c r="C1320" s="981" t="s">
        <v>7047</v>
      </c>
      <c r="D1320" s="982" t="str">
        <f t="shared" si="192"/>
        <v>391906</v>
      </c>
      <c r="E1320" s="983" t="s">
        <v>7048</v>
      </c>
      <c r="F1320" s="982" t="str">
        <f t="shared" si="199"/>
        <v>3919061</v>
      </c>
      <c r="G1320" s="1103" t="str">
        <f>IF(F1320="",G1317,F1320)</f>
        <v>3919061</v>
      </c>
      <c r="H1320" s="1102"/>
      <c r="I1320" s="947" t="str">
        <f t="shared" si="195"/>
        <v/>
      </c>
      <c r="J1320" s="984" t="s">
        <v>599</v>
      </c>
      <c r="K1320" s="889"/>
      <c r="L1320" s="889"/>
      <c r="M1320" s="889"/>
      <c r="N1320" s="889"/>
      <c r="O1320" s="889"/>
      <c r="P1320" s="881">
        <f>Q1320</f>
        <v>153</v>
      </c>
      <c r="Q1320" s="1169">
        <f>ROUND(SUM(Q1321:Q1325),0)</f>
        <v>153</v>
      </c>
      <c r="R1320" s="880"/>
      <c r="S1320" s="1270"/>
      <c r="T1320" s="880"/>
      <c r="U1320" s="993" t="s">
        <v>11048</v>
      </c>
      <c r="V1320" s="993"/>
      <c r="W1320" s="986" t="s">
        <v>11049</v>
      </c>
    </row>
    <row r="1321" spans="1:23" ht="14.5" customHeight="1">
      <c r="C1321" s="994"/>
      <c r="D1321" s="995"/>
      <c r="E1321" s="989"/>
      <c r="F1321" s="995"/>
      <c r="G1321" s="1106"/>
      <c r="H1321" s="1016" t="s">
        <v>5534</v>
      </c>
      <c r="J1321" s="991" t="s">
        <v>7049</v>
      </c>
      <c r="K1321" s="886"/>
      <c r="L1321" s="886"/>
      <c r="M1321" s="886"/>
      <c r="N1321" s="886"/>
      <c r="O1321" s="886"/>
      <c r="P1321" s="886"/>
      <c r="Q1321" s="1167">
        <v>0</v>
      </c>
      <c r="R1321" s="882"/>
      <c r="S1321" s="1269"/>
      <c r="T1321" s="1254"/>
      <c r="U1321" s="996"/>
      <c r="V1321" s="996"/>
      <c r="W1321" s="992" t="s">
        <v>11050</v>
      </c>
    </row>
    <row r="1322" spans="1:23" ht="14.5" customHeight="1">
      <c r="C1322" s="994"/>
      <c r="D1322" s="995"/>
      <c r="E1322" s="989"/>
      <c r="F1322" s="995"/>
      <c r="G1322" s="1106"/>
      <c r="H1322" s="1016" t="s">
        <v>5602</v>
      </c>
      <c r="J1322" s="991" t="s">
        <v>7050</v>
      </c>
      <c r="K1322" s="886"/>
      <c r="L1322" s="886"/>
      <c r="M1322" s="886"/>
      <c r="N1322" s="886"/>
      <c r="O1322" s="886"/>
      <c r="P1322" s="886"/>
      <c r="Q1322" s="1167">
        <f>ROUND(2522*0.47/100,0)</f>
        <v>12</v>
      </c>
      <c r="R1322" s="882"/>
      <c r="S1322" s="1269"/>
      <c r="T1322" s="1254"/>
      <c r="U1322" s="996"/>
      <c r="V1322" s="996"/>
      <c r="W1322" s="992"/>
    </row>
    <row r="1323" spans="1:23" ht="14.5" customHeight="1">
      <c r="C1323" s="994"/>
      <c r="D1323" s="995"/>
      <c r="E1323" s="989"/>
      <c r="F1323" s="995"/>
      <c r="G1323" s="1106"/>
      <c r="H1323" s="1016" t="s">
        <v>5484</v>
      </c>
      <c r="J1323" s="991" t="s">
        <v>7051</v>
      </c>
      <c r="K1323" s="886"/>
      <c r="L1323" s="886"/>
      <c r="M1323" s="886"/>
      <c r="N1323" s="886"/>
      <c r="O1323" s="886"/>
      <c r="P1323" s="886"/>
      <c r="Q1323" s="1167">
        <v>0</v>
      </c>
      <c r="R1323" s="882"/>
      <c r="S1323" s="1269"/>
      <c r="T1323" s="1254"/>
      <c r="U1323" s="996"/>
      <c r="V1323" s="996"/>
      <c r="W1323" s="992" t="s">
        <v>11050</v>
      </c>
    </row>
    <row r="1324" spans="1:23" ht="14.5" customHeight="1">
      <c r="C1324" s="994"/>
      <c r="D1324" s="995"/>
      <c r="E1324" s="989"/>
      <c r="F1324" s="995"/>
      <c r="G1324" s="1106"/>
      <c r="H1324" s="1016" t="s">
        <v>5486</v>
      </c>
      <c r="J1324" s="991" t="s">
        <v>7052</v>
      </c>
      <c r="K1324" s="886"/>
      <c r="L1324" s="886"/>
      <c r="M1324" s="886"/>
      <c r="N1324" s="886"/>
      <c r="O1324" s="886"/>
      <c r="P1324" s="886"/>
      <c r="Q1324" s="1167">
        <f>ROUND(30030*0.47/100,0)</f>
        <v>141</v>
      </c>
      <c r="R1324" s="882"/>
      <c r="S1324" s="1269"/>
      <c r="T1324" s="1254"/>
      <c r="U1324" s="996"/>
      <c r="V1324" s="996"/>
      <c r="W1324" s="992"/>
    </row>
    <row r="1325" spans="1:23" ht="14.5" customHeight="1">
      <c r="C1325" s="1015"/>
      <c r="D1325" s="1018"/>
      <c r="E1325" s="1000"/>
      <c r="F1325" s="1018"/>
      <c r="G1325" s="1115"/>
      <c r="H1325" s="1005" t="s">
        <v>5488</v>
      </c>
      <c r="I1325" s="1002"/>
      <c r="J1325" s="1003" t="s">
        <v>7053</v>
      </c>
      <c r="K1325" s="893"/>
      <c r="L1325" s="893"/>
      <c r="M1325" s="893"/>
      <c r="N1325" s="893"/>
      <c r="O1325" s="893"/>
      <c r="P1325" s="893"/>
      <c r="Q1325" s="1170">
        <v>0</v>
      </c>
      <c r="R1325" s="900"/>
      <c r="S1325" s="1272"/>
      <c r="T1325" s="900"/>
      <c r="U1325" s="1006"/>
      <c r="V1325" s="1006"/>
      <c r="W1325" s="1003" t="s">
        <v>11051</v>
      </c>
    </row>
    <row r="1326" spans="1:23" ht="14.5" customHeight="1">
      <c r="A1326" s="1034"/>
      <c r="B1326" s="1034"/>
      <c r="C1326" s="1023" t="s">
        <v>7054</v>
      </c>
      <c r="D1326" s="1024" t="str">
        <f t="shared" ref="D1326:D1340" si="201">IF(C1326="","",CONCATENATE(LEFT(C1326,4),MID(C1326,6,2)))</f>
        <v>391909</v>
      </c>
      <c r="E1326" s="1025" t="s">
        <v>7055</v>
      </c>
      <c r="F1326" s="1024" t="str">
        <f t="shared" si="199"/>
        <v>3919099</v>
      </c>
      <c r="G1326" s="1111" t="str">
        <f>IF(F1326="",#REF!,F1326)</f>
        <v>3919099</v>
      </c>
      <c r="H1326" s="1112"/>
      <c r="I1326" s="1113" t="str">
        <f t="shared" si="195"/>
        <v/>
      </c>
      <c r="J1326" s="1026" t="s">
        <v>600</v>
      </c>
      <c r="K1326" s="912"/>
      <c r="L1326" s="913"/>
      <c r="M1326" s="913"/>
      <c r="N1326" s="912"/>
      <c r="O1326" s="912"/>
      <c r="P1326" s="914">
        <f>Q1326</f>
        <v>133875</v>
      </c>
      <c r="Q1326" s="1186">
        <v>133875</v>
      </c>
      <c r="R1326" s="929"/>
      <c r="S1326" s="1280"/>
      <c r="T1326" s="929"/>
      <c r="U1326" s="1022" t="s">
        <v>10485</v>
      </c>
      <c r="V1326" s="1022"/>
      <c r="W1326" s="1027"/>
    </row>
    <row r="1327" spans="1:23" ht="14.5" customHeight="1">
      <c r="A1327" s="1034"/>
      <c r="B1327" s="1034"/>
      <c r="C1327" s="1023" t="s">
        <v>7056</v>
      </c>
      <c r="D1327" s="1024" t="str">
        <f t="shared" si="201"/>
        <v>392101</v>
      </c>
      <c r="E1327" s="1025" t="s">
        <v>7057</v>
      </c>
      <c r="F1327" s="1024" t="str">
        <f>IF(E1327="","",CONCATENATE(LEFT(E1327,4),MID(E1327,6,3)))</f>
        <v>3921011</v>
      </c>
      <c r="G1327" s="1111" t="str">
        <f t="shared" ref="G1327:G1332" si="202">IF(F1327="",G1326,F1327)</f>
        <v>3921011</v>
      </c>
      <c r="H1327" s="1112"/>
      <c r="I1327" s="1113" t="str">
        <f t="shared" si="195"/>
        <v/>
      </c>
      <c r="J1327" s="1026" t="s">
        <v>7058</v>
      </c>
      <c r="K1327" s="912"/>
      <c r="L1327" s="912"/>
      <c r="M1327" s="912"/>
      <c r="N1327" s="912"/>
      <c r="O1327" s="912"/>
      <c r="P1327" s="914">
        <f>Q1327</f>
        <v>42432</v>
      </c>
      <c r="Q1327" s="1197">
        <v>42432</v>
      </c>
      <c r="R1327" s="929"/>
      <c r="S1327" s="1280"/>
      <c r="T1327" s="929"/>
      <c r="U1327" s="1070" t="s">
        <v>11052</v>
      </c>
      <c r="V1327" s="1022" t="s">
        <v>11053</v>
      </c>
      <c r="W1327" s="1027" t="s">
        <v>11054</v>
      </c>
    </row>
    <row r="1328" spans="1:23" ht="14.5" customHeight="1">
      <c r="A1328" s="1034"/>
      <c r="B1328" s="1034"/>
      <c r="C1328" s="981" t="s">
        <v>7059</v>
      </c>
      <c r="D1328" s="982" t="str">
        <f t="shared" si="201"/>
        <v>411101</v>
      </c>
      <c r="E1328" s="983" t="s">
        <v>7060</v>
      </c>
      <c r="F1328" s="982" t="str">
        <f>IF(E1328="","",CONCATENATE(LEFT(E1328,4),MID(E1328,6,3)))</f>
        <v>4111011</v>
      </c>
      <c r="G1328" s="1103" t="str">
        <f t="shared" si="202"/>
        <v>4111011</v>
      </c>
      <c r="H1328" s="1102"/>
      <c r="I1328" s="947" t="str">
        <f t="shared" ref="I1328:I1391" si="203">IF(H1328="","",CONCATENATE(G1328,H1328))</f>
        <v/>
      </c>
      <c r="J1328" s="984" t="s">
        <v>604</v>
      </c>
      <c r="K1328" s="897"/>
      <c r="L1328" s="897"/>
      <c r="M1328" s="897"/>
      <c r="N1328" s="889"/>
      <c r="O1328" s="889"/>
      <c r="P1328" s="881">
        <f>Q1328</f>
        <v>314794</v>
      </c>
      <c r="Q1328" s="1160">
        <f>SUM(Q1329:Q1330)</f>
        <v>314794</v>
      </c>
      <c r="R1328" s="880"/>
      <c r="S1328" s="1270"/>
      <c r="T1328" s="880"/>
      <c r="U1328" s="993" t="s">
        <v>11055</v>
      </c>
      <c r="V1328" s="993"/>
      <c r="W1328" s="1071" t="s">
        <v>11056</v>
      </c>
    </row>
    <row r="1329" spans="1:23" ht="14.5" customHeight="1">
      <c r="A1329" s="1034"/>
      <c r="B1329" s="1034"/>
      <c r="C1329" s="994"/>
      <c r="E1329" s="989"/>
      <c r="F1329" s="988"/>
      <c r="G1329" s="1095" t="str">
        <f t="shared" si="202"/>
        <v>4111011</v>
      </c>
      <c r="H1329" s="1016" t="s">
        <v>7312</v>
      </c>
      <c r="I1329" s="944" t="str">
        <f t="shared" si="203"/>
        <v>4111011001</v>
      </c>
      <c r="J1329" s="991" t="s">
        <v>7061</v>
      </c>
      <c r="K1329" s="890">
        <v>9138683</v>
      </c>
      <c r="L1329" s="890">
        <f>26450242+327347</f>
        <v>26777589</v>
      </c>
      <c r="M1329" s="890">
        <f>776620542+4971321</f>
        <v>781591863</v>
      </c>
      <c r="N1329" s="886"/>
      <c r="O1329" s="886"/>
      <c r="P1329" s="886"/>
      <c r="Q1329" s="1172">
        <f t="shared" ref="Q1329:Q1348" si="204">ROUND(K1329*L1329/M1329,0)</f>
        <v>313094</v>
      </c>
      <c r="R1329" s="882"/>
      <c r="S1329" s="1269"/>
      <c r="T1329" s="1254"/>
      <c r="U1329" s="996"/>
      <c r="V1329" s="996"/>
      <c r="W1329" s="1009" t="s">
        <v>11057</v>
      </c>
    </row>
    <row r="1330" spans="1:23" ht="14.5" customHeight="1">
      <c r="A1330" s="1034"/>
      <c r="B1330" s="1034"/>
      <c r="C1330" s="1015"/>
      <c r="D1330" s="999"/>
      <c r="E1330" s="1000"/>
      <c r="F1330" s="999"/>
      <c r="G1330" s="1104" t="str">
        <f t="shared" si="202"/>
        <v>4111011</v>
      </c>
      <c r="H1330" s="1005" t="s">
        <v>7203</v>
      </c>
      <c r="I1330" s="1002" t="str">
        <f t="shared" si="203"/>
        <v>4111011002</v>
      </c>
      <c r="J1330" s="978" t="s">
        <v>7062</v>
      </c>
      <c r="K1330" s="895">
        <v>82020</v>
      </c>
      <c r="L1330" s="895">
        <v>195769</v>
      </c>
      <c r="M1330" s="895">
        <v>9447479</v>
      </c>
      <c r="N1330" s="893"/>
      <c r="O1330" s="893"/>
      <c r="P1330" s="893"/>
      <c r="Q1330" s="1175">
        <f t="shared" si="204"/>
        <v>1700</v>
      </c>
      <c r="R1330" s="900"/>
      <c r="S1330" s="1272"/>
      <c r="T1330" s="900"/>
      <c r="U1330" s="1006"/>
      <c r="V1330" s="1006"/>
      <c r="W1330" s="1072" t="s">
        <v>11058</v>
      </c>
    </row>
    <row r="1331" spans="1:23" ht="14.5" customHeight="1">
      <c r="A1331" s="1034"/>
      <c r="B1331" s="1034"/>
      <c r="C1331" s="981" t="s">
        <v>7063</v>
      </c>
      <c r="D1331" s="982" t="str">
        <f t="shared" si="201"/>
        <v>411102</v>
      </c>
      <c r="E1331" s="983" t="s">
        <v>7064</v>
      </c>
      <c r="F1331" s="982" t="str">
        <f>IF(E1331="","",CONCATENATE(LEFT(E1331,4),MID(E1331,6,3)))</f>
        <v>4111021</v>
      </c>
      <c r="G1331" s="1103" t="str">
        <f t="shared" si="202"/>
        <v>4111021</v>
      </c>
      <c r="H1331" s="1102"/>
      <c r="I1331" s="947" t="str">
        <f t="shared" si="203"/>
        <v/>
      </c>
      <c r="J1331" s="984" t="s">
        <v>606</v>
      </c>
      <c r="K1331" s="897"/>
      <c r="L1331" s="897"/>
      <c r="M1331" s="897"/>
      <c r="N1331" s="889"/>
      <c r="O1331" s="889"/>
      <c r="P1331" s="881">
        <f>Q1331</f>
        <v>274138</v>
      </c>
      <c r="Q1331" s="1160">
        <f>SUM(Q1332:Q1336)</f>
        <v>274138</v>
      </c>
      <c r="R1331" s="880"/>
      <c r="S1331" s="1270"/>
      <c r="T1331" s="880"/>
      <c r="U1331" s="993" t="s">
        <v>11055</v>
      </c>
      <c r="V1331" s="993"/>
      <c r="W1331" s="1009" t="s">
        <v>11056</v>
      </c>
    </row>
    <row r="1332" spans="1:23" ht="14.5" customHeight="1">
      <c r="A1332" s="1034"/>
      <c r="B1332" s="1034"/>
      <c r="C1332" s="994"/>
      <c r="E1332" s="989"/>
      <c r="F1332" s="988"/>
      <c r="G1332" s="1095" t="str">
        <f t="shared" si="202"/>
        <v>4111021</v>
      </c>
      <c r="H1332" s="1016" t="s">
        <v>5534</v>
      </c>
      <c r="I1332" s="944" t="str">
        <f t="shared" si="203"/>
        <v>4111021101</v>
      </c>
      <c r="J1332" s="991" t="s">
        <v>7065</v>
      </c>
      <c r="K1332" s="890">
        <v>70116</v>
      </c>
      <c r="L1332" s="890">
        <f>114382+0</f>
        <v>114382</v>
      </c>
      <c r="M1332" s="890">
        <f>6381184+282240</f>
        <v>6663424</v>
      </c>
      <c r="N1332" s="886"/>
      <c r="O1332" s="886"/>
      <c r="P1332" s="886"/>
      <c r="Q1332" s="1172">
        <f t="shared" si="204"/>
        <v>1204</v>
      </c>
      <c r="R1332" s="882"/>
      <c r="S1332" s="1269"/>
      <c r="T1332" s="1254"/>
      <c r="U1332" s="996"/>
      <c r="V1332" s="996"/>
      <c r="W1332" s="1009" t="s">
        <v>11057</v>
      </c>
    </row>
    <row r="1333" spans="1:23" ht="14.5" customHeight="1">
      <c r="A1333" s="1034"/>
      <c r="B1333" s="1034"/>
      <c r="C1333" s="994"/>
      <c r="E1333" s="989"/>
      <c r="F1333" s="988"/>
      <c r="G1333" s="1095" t="str">
        <f>IF(F1333="",G1332,F1333)</f>
        <v>4111021</v>
      </c>
      <c r="H1333" s="1016" t="s">
        <v>6000</v>
      </c>
      <c r="I1333" s="944" t="str">
        <f t="shared" si="203"/>
        <v>4111021102</v>
      </c>
      <c r="J1333" s="991" t="s">
        <v>7066</v>
      </c>
      <c r="K1333" s="890">
        <v>3177306</v>
      </c>
      <c r="L1333" s="890">
        <f>14015167+513250</f>
        <v>14528417</v>
      </c>
      <c r="M1333" s="890">
        <f>283245300+8293865</f>
        <v>291539165</v>
      </c>
      <c r="N1333" s="886"/>
      <c r="O1333" s="886"/>
      <c r="P1333" s="886"/>
      <c r="Q1333" s="1172">
        <f t="shared" si="204"/>
        <v>158336</v>
      </c>
      <c r="R1333" s="882"/>
      <c r="S1333" s="1269"/>
      <c r="T1333" s="1254"/>
      <c r="U1333" s="996"/>
      <c r="V1333" s="996"/>
      <c r="W1333" s="1009" t="s">
        <v>11057</v>
      </c>
    </row>
    <row r="1334" spans="1:23" ht="14.5" customHeight="1">
      <c r="A1334" s="1034"/>
      <c r="B1334" s="1034"/>
      <c r="C1334" s="994"/>
      <c r="E1334" s="989"/>
      <c r="F1334" s="988"/>
      <c r="G1334" s="1095" t="str">
        <f>IF(F1334="",G1333,F1334)</f>
        <v>4111021</v>
      </c>
      <c r="H1334" s="1016" t="s">
        <v>6002</v>
      </c>
      <c r="I1334" s="944" t="str">
        <f t="shared" si="203"/>
        <v>4111021103</v>
      </c>
      <c r="J1334" s="991" t="s">
        <v>7067</v>
      </c>
      <c r="K1334" s="890">
        <v>2350332</v>
      </c>
      <c r="L1334" s="890">
        <f>7918767+280059</f>
        <v>8198826</v>
      </c>
      <c r="M1334" s="890">
        <f>213277538+4766479</f>
        <v>218044017</v>
      </c>
      <c r="N1334" s="886"/>
      <c r="O1334" s="886"/>
      <c r="P1334" s="886"/>
      <c r="Q1334" s="1172">
        <f t="shared" si="204"/>
        <v>88376</v>
      </c>
      <c r="R1334" s="882"/>
      <c r="S1334" s="1269"/>
      <c r="T1334" s="1254"/>
      <c r="U1334" s="996"/>
      <c r="V1334" s="996"/>
      <c r="W1334" s="1009" t="s">
        <v>11057</v>
      </c>
    </row>
    <row r="1335" spans="1:23" ht="14.5" customHeight="1">
      <c r="A1335" s="1034"/>
      <c r="B1335" s="1034"/>
      <c r="C1335" s="994"/>
      <c r="E1335" s="989"/>
      <c r="F1335" s="988"/>
      <c r="G1335" s="1095" t="str">
        <f>IF(F1335="",G1334,F1335)</f>
        <v>4111021</v>
      </c>
      <c r="H1335" s="1016" t="s">
        <v>10595</v>
      </c>
      <c r="I1335" s="944" t="str">
        <f t="shared" si="203"/>
        <v>4111021199</v>
      </c>
      <c r="J1335" s="991" t="s">
        <v>5845</v>
      </c>
      <c r="K1335" s="890">
        <v>62189</v>
      </c>
      <c r="L1335" s="890">
        <f>2460+0+87100+1675</f>
        <v>91235</v>
      </c>
      <c r="M1335" s="890">
        <f>987427+300+2187919+32051</f>
        <v>3207697</v>
      </c>
      <c r="N1335" s="886"/>
      <c r="O1335" s="886"/>
      <c r="P1335" s="886"/>
      <c r="Q1335" s="1172">
        <f t="shared" si="204"/>
        <v>1769</v>
      </c>
      <c r="R1335" s="882"/>
      <c r="S1335" s="1269"/>
      <c r="T1335" s="1254"/>
      <c r="U1335" s="996"/>
      <c r="V1335" s="996"/>
      <c r="W1335" s="1009" t="s">
        <v>11059</v>
      </c>
    </row>
    <row r="1336" spans="1:23" ht="14.5" customHeight="1">
      <c r="A1336" s="1034"/>
      <c r="B1336" s="1034"/>
      <c r="C1336" s="1015"/>
      <c r="D1336" s="999"/>
      <c r="E1336" s="1000"/>
      <c r="F1336" s="999"/>
      <c r="G1336" s="1104" t="str">
        <f>IF(F1336="",G1335,F1336)</f>
        <v>4111021</v>
      </c>
      <c r="H1336" s="1005" t="s">
        <v>5602</v>
      </c>
      <c r="I1336" s="1002" t="str">
        <f t="shared" si="203"/>
        <v>4111021201</v>
      </c>
      <c r="J1336" s="978" t="s">
        <v>7062</v>
      </c>
      <c r="K1336" s="895">
        <v>853204</v>
      </c>
      <c r="L1336" s="895">
        <f>2896351-195769</f>
        <v>2700582</v>
      </c>
      <c r="M1336" s="895">
        <f>103673299-9447479</f>
        <v>94225820</v>
      </c>
      <c r="N1336" s="893"/>
      <c r="O1336" s="893"/>
      <c r="P1336" s="893"/>
      <c r="Q1336" s="1175">
        <f t="shared" si="204"/>
        <v>24453</v>
      </c>
      <c r="R1336" s="900"/>
      <c r="S1336" s="1272"/>
      <c r="T1336" s="900"/>
      <c r="U1336" s="1006"/>
      <c r="V1336" s="1006"/>
      <c r="W1336" s="1072" t="s">
        <v>11060</v>
      </c>
    </row>
    <row r="1337" spans="1:23" ht="14.5" customHeight="1">
      <c r="A1337" s="1034"/>
      <c r="B1337" s="1034"/>
      <c r="C1337" s="994" t="s">
        <v>7068</v>
      </c>
      <c r="D1337" s="988" t="str">
        <f t="shared" si="201"/>
        <v>411201</v>
      </c>
      <c r="E1337" s="989" t="s">
        <v>7069</v>
      </c>
      <c r="F1337" s="988" t="str">
        <f>IF(E1337="","",CONCATENATE(LEFT(E1337,4),MID(E1337,6,3)))</f>
        <v>4112011</v>
      </c>
      <c r="G1337" s="1095" t="str">
        <f>IF(F1337="",G1331,F1337)</f>
        <v>4112011</v>
      </c>
      <c r="I1337" s="944" t="str">
        <f t="shared" si="203"/>
        <v/>
      </c>
      <c r="J1337" s="990" t="s">
        <v>608</v>
      </c>
      <c r="K1337" s="873"/>
      <c r="L1337" s="873"/>
      <c r="M1337" s="873"/>
      <c r="N1337" s="886"/>
      <c r="O1337" s="886"/>
      <c r="P1337" s="896">
        <f>Q1337</f>
        <v>24032</v>
      </c>
      <c r="Q1337" s="1171">
        <f>SUM(Q1338:Q1339)</f>
        <v>24032</v>
      </c>
      <c r="R1337" s="882"/>
      <c r="S1337" s="1269"/>
      <c r="T1337" s="1254"/>
      <c r="U1337" s="996" t="s">
        <v>11055</v>
      </c>
      <c r="V1337" s="996"/>
      <c r="W1337" s="1009"/>
    </row>
    <row r="1338" spans="1:23" ht="14.5" customHeight="1">
      <c r="A1338" s="1034"/>
      <c r="B1338" s="1034"/>
      <c r="C1338" s="994"/>
      <c r="E1338" s="989"/>
      <c r="F1338" s="988"/>
      <c r="G1338" s="1095" t="str">
        <f>IF(F1338="",G1337,F1338)</f>
        <v>4112011</v>
      </c>
      <c r="H1338" s="1016" t="s">
        <v>7312</v>
      </c>
      <c r="I1338" s="944" t="str">
        <f t="shared" si="203"/>
        <v>4112011001</v>
      </c>
      <c r="J1338" s="991" t="s">
        <v>7070</v>
      </c>
      <c r="K1338" s="890">
        <v>107334</v>
      </c>
      <c r="L1338" s="890">
        <f>32057+60483</f>
        <v>92540</v>
      </c>
      <c r="M1338" s="890">
        <f>2215394+2830501</f>
        <v>5045895</v>
      </c>
      <c r="N1338" s="886"/>
      <c r="O1338" s="886"/>
      <c r="P1338" s="886"/>
      <c r="Q1338" s="1172">
        <f t="shared" si="204"/>
        <v>1968</v>
      </c>
      <c r="R1338" s="882"/>
      <c r="S1338" s="1269"/>
      <c r="T1338" s="1254"/>
      <c r="U1338" s="996"/>
      <c r="V1338" s="996"/>
      <c r="W1338" s="1009" t="s">
        <v>11061</v>
      </c>
    </row>
    <row r="1339" spans="1:23" ht="14.5" customHeight="1">
      <c r="A1339" s="1034"/>
      <c r="B1339" s="1034"/>
      <c r="C1339" s="1015"/>
      <c r="D1339" s="999"/>
      <c r="E1339" s="1000"/>
      <c r="F1339" s="999"/>
      <c r="G1339" s="1104" t="str">
        <f>IF(F1339="",G1338,F1339)</f>
        <v>4112011</v>
      </c>
      <c r="H1339" s="1005" t="s">
        <v>7203</v>
      </c>
      <c r="I1339" s="1002" t="str">
        <f t="shared" si="203"/>
        <v>4112011002</v>
      </c>
      <c r="J1339" s="978" t="s">
        <v>7071</v>
      </c>
      <c r="K1339" s="895">
        <v>849719</v>
      </c>
      <c r="L1339" s="895">
        <f>253281+1016832</f>
        <v>1270113</v>
      </c>
      <c r="M1339" s="895">
        <f>9715649+39197508</f>
        <v>48913157</v>
      </c>
      <c r="N1339" s="893"/>
      <c r="O1339" s="893"/>
      <c r="P1339" s="893"/>
      <c r="Q1339" s="1175">
        <f t="shared" si="204"/>
        <v>22064</v>
      </c>
      <c r="R1339" s="900"/>
      <c r="S1339" s="1291">
        <f>'CT2015'!K1307</f>
        <v>0.9</v>
      </c>
      <c r="T1339" s="882">
        <f>ROUND(Q1339*S1339/100,0)</f>
        <v>199</v>
      </c>
      <c r="U1339" s="1006"/>
      <c r="V1339" s="1006"/>
      <c r="W1339" s="1072" t="s">
        <v>11062</v>
      </c>
    </row>
    <row r="1340" spans="1:23" ht="14.5" customHeight="1">
      <c r="A1340" s="1034"/>
      <c r="B1340" s="1034"/>
      <c r="C1340" s="994" t="s">
        <v>7072</v>
      </c>
      <c r="D1340" s="988" t="str">
        <f t="shared" si="201"/>
        <v>411202</v>
      </c>
      <c r="E1340" s="989" t="s">
        <v>7073</v>
      </c>
      <c r="F1340" s="988" t="str">
        <f>IF(E1340="","",CONCATENATE(LEFT(E1340,4),MID(E1340,6,3)))</f>
        <v>4112021</v>
      </c>
      <c r="G1340" s="1095" t="str">
        <f>IF(F1340="",G1337,F1340)</f>
        <v>4112021</v>
      </c>
      <c r="I1340" s="944" t="str">
        <f t="shared" si="203"/>
        <v/>
      </c>
      <c r="J1340" s="990" t="s">
        <v>609</v>
      </c>
      <c r="K1340" s="886"/>
      <c r="L1340" s="873"/>
      <c r="M1340" s="873"/>
      <c r="N1340" s="886"/>
      <c r="O1340" s="886"/>
      <c r="P1340" s="896">
        <f>Q1340</f>
        <v>540994</v>
      </c>
      <c r="Q1340" s="1171">
        <f>SUM(Q1341:Q1348)</f>
        <v>540994</v>
      </c>
      <c r="R1340" s="882"/>
      <c r="S1340" s="1269"/>
      <c r="T1340" s="880"/>
      <c r="U1340" s="944" t="s">
        <v>11055</v>
      </c>
      <c r="V1340" s="996"/>
      <c r="W1340" s="1009"/>
    </row>
    <row r="1341" spans="1:23" ht="14.5" customHeight="1">
      <c r="A1341" s="1034"/>
      <c r="B1341" s="1034"/>
      <c r="C1341" s="994"/>
      <c r="E1341" s="989"/>
      <c r="F1341" s="988"/>
      <c r="G1341" s="1095" t="str">
        <f t="shared" ref="G1341:G1348" si="205">IF(F1341="",G1340,F1341)</f>
        <v>4112021</v>
      </c>
      <c r="H1341" s="1016" t="s">
        <v>5534</v>
      </c>
      <c r="I1341" s="944" t="str">
        <f t="shared" si="203"/>
        <v>4112021101</v>
      </c>
      <c r="J1341" s="991" t="s">
        <v>7074</v>
      </c>
      <c r="K1341" s="890">
        <v>133194</v>
      </c>
      <c r="L1341" s="890">
        <f>4000+3800</f>
        <v>7800</v>
      </c>
      <c r="M1341" s="890">
        <f>466685+9941649</f>
        <v>10408334</v>
      </c>
      <c r="N1341" s="886"/>
      <c r="O1341" s="886"/>
      <c r="P1341" s="886"/>
      <c r="Q1341" s="1172">
        <f t="shared" si="204"/>
        <v>100</v>
      </c>
      <c r="R1341" s="882"/>
      <c r="S1341" s="1269"/>
      <c r="T1341" s="882"/>
      <c r="V1341" s="996"/>
      <c r="W1341" s="1009" t="s">
        <v>11061</v>
      </c>
    </row>
    <row r="1342" spans="1:23" ht="14.5" customHeight="1">
      <c r="A1342" s="1034"/>
      <c r="B1342" s="1034"/>
      <c r="C1342" s="994"/>
      <c r="E1342" s="989"/>
      <c r="F1342" s="988"/>
      <c r="G1342" s="1095" t="str">
        <f t="shared" si="205"/>
        <v>4112021</v>
      </c>
      <c r="H1342" s="1016" t="s">
        <v>6000</v>
      </c>
      <c r="I1342" s="944" t="str">
        <f t="shared" si="203"/>
        <v>4112021102</v>
      </c>
      <c r="J1342" s="991" t="s">
        <v>7075</v>
      </c>
      <c r="K1342" s="890">
        <v>413925</v>
      </c>
      <c r="L1342" s="890">
        <f>0+334241</f>
        <v>334241</v>
      </c>
      <c r="M1342" s="890">
        <f>7412405+12128651</f>
        <v>19541056</v>
      </c>
      <c r="N1342" s="886"/>
      <c r="O1342" s="886"/>
      <c r="P1342" s="886"/>
      <c r="Q1342" s="1172">
        <f t="shared" si="204"/>
        <v>7080</v>
      </c>
      <c r="R1342" s="882"/>
      <c r="S1342" s="1287">
        <f>'CT2015'!K1310</f>
        <v>0.9</v>
      </c>
      <c r="T1342" s="882">
        <f>ROUND(Q1342*S1342/100,0)</f>
        <v>64</v>
      </c>
      <c r="V1342" s="996"/>
      <c r="W1342" s="1009" t="s">
        <v>11062</v>
      </c>
    </row>
    <row r="1343" spans="1:23" ht="14.5" customHeight="1">
      <c r="A1343" s="1034"/>
      <c r="B1343" s="1034"/>
      <c r="C1343" s="994"/>
      <c r="E1343" s="989"/>
      <c r="F1343" s="988"/>
      <c r="G1343" s="1095" t="str">
        <f t="shared" si="205"/>
        <v>4112021</v>
      </c>
      <c r="H1343" s="1016" t="s">
        <v>5602</v>
      </c>
      <c r="I1343" s="944" t="str">
        <f t="shared" si="203"/>
        <v>4112021201</v>
      </c>
      <c r="J1343" s="991" t="s">
        <v>7076</v>
      </c>
      <c r="K1343" s="890">
        <v>623121</v>
      </c>
      <c r="L1343" s="890">
        <f>4600+2772700</f>
        <v>2777300</v>
      </c>
      <c r="M1343" s="890">
        <f>4651715+37679808</f>
        <v>42331523</v>
      </c>
      <c r="N1343" s="886"/>
      <c r="O1343" s="886"/>
      <c r="P1343" s="886"/>
      <c r="Q1343" s="1172">
        <f t="shared" si="204"/>
        <v>40882</v>
      </c>
      <c r="R1343" s="882"/>
      <c r="S1343" s="1269"/>
      <c r="T1343" s="882"/>
      <c r="V1343" s="996"/>
      <c r="W1343" s="1009" t="s">
        <v>11061</v>
      </c>
    </row>
    <row r="1344" spans="1:23" ht="14.5" customHeight="1">
      <c r="A1344" s="1034"/>
      <c r="B1344" s="1034"/>
      <c r="C1344" s="994"/>
      <c r="E1344" s="989"/>
      <c r="F1344" s="988"/>
      <c r="G1344" s="1095" t="str">
        <f t="shared" si="205"/>
        <v>4112021</v>
      </c>
      <c r="H1344" s="1016" t="s">
        <v>5844</v>
      </c>
      <c r="I1344" s="944" t="str">
        <f t="shared" si="203"/>
        <v>4112021202</v>
      </c>
      <c r="J1344" s="991" t="s">
        <v>7077</v>
      </c>
      <c r="K1344" s="890">
        <v>488894</v>
      </c>
      <c r="L1344" s="890">
        <v>555441</v>
      </c>
      <c r="M1344" s="890">
        <v>36918366</v>
      </c>
      <c r="N1344" s="886"/>
      <c r="O1344" s="886"/>
      <c r="P1344" s="886"/>
      <c r="Q1344" s="1172">
        <f t="shared" si="204"/>
        <v>7355</v>
      </c>
      <c r="R1344" s="882"/>
      <c r="S1344" s="1269"/>
      <c r="T1344" s="882"/>
      <c r="V1344" s="996"/>
      <c r="W1344" s="1009"/>
    </row>
    <row r="1345" spans="1:23" ht="14.5" customHeight="1">
      <c r="A1345" s="1034"/>
      <c r="B1345" s="1034"/>
      <c r="C1345" s="994"/>
      <c r="E1345" s="989"/>
      <c r="F1345" s="988"/>
      <c r="G1345" s="1095" t="str">
        <f t="shared" si="205"/>
        <v>4112021</v>
      </c>
      <c r="H1345" s="1016" t="s">
        <v>7571</v>
      </c>
      <c r="I1345" s="944" t="str">
        <f t="shared" si="203"/>
        <v>4112021203</v>
      </c>
      <c r="J1345" s="991" t="s">
        <v>7078</v>
      </c>
      <c r="K1345" s="890">
        <v>2433759</v>
      </c>
      <c r="L1345" s="890">
        <f>1481103+3050381</f>
        <v>4531484</v>
      </c>
      <c r="M1345" s="890">
        <f>37503311+94251950</f>
        <v>131755261</v>
      </c>
      <c r="N1345" s="886"/>
      <c r="O1345" s="886"/>
      <c r="P1345" s="886"/>
      <c r="Q1345" s="1172">
        <f t="shared" si="204"/>
        <v>83705</v>
      </c>
      <c r="R1345" s="882"/>
      <c r="S1345" s="1287">
        <f>'CT2015'!K1313</f>
        <v>0.9</v>
      </c>
      <c r="T1345" s="882">
        <f>ROUND(Q1345*S1345/100,0)</f>
        <v>753</v>
      </c>
      <c r="V1345" s="996"/>
      <c r="W1345" s="1009" t="s">
        <v>11062</v>
      </c>
    </row>
    <row r="1346" spans="1:23" ht="14.5" customHeight="1">
      <c r="A1346" s="1034"/>
      <c r="B1346" s="1034"/>
      <c r="C1346" s="994"/>
      <c r="E1346" s="989"/>
      <c r="F1346" s="988"/>
      <c r="G1346" s="1095" t="str">
        <f t="shared" si="205"/>
        <v>4112021</v>
      </c>
      <c r="H1346" s="1016" t="s">
        <v>5484</v>
      </c>
      <c r="I1346" s="944" t="str">
        <f t="shared" si="203"/>
        <v>4112021301</v>
      </c>
      <c r="J1346" s="991" t="s">
        <v>7079</v>
      </c>
      <c r="K1346" s="890">
        <v>4040416</v>
      </c>
      <c r="L1346" s="890">
        <f>3798684+8140958</f>
        <v>11939642</v>
      </c>
      <c r="M1346" s="890">
        <f>117556743+100035408</f>
        <v>217592151</v>
      </c>
      <c r="N1346" s="886"/>
      <c r="O1346" s="886"/>
      <c r="P1346" s="886"/>
      <c r="Q1346" s="1172">
        <f t="shared" si="204"/>
        <v>221704</v>
      </c>
      <c r="R1346" s="882"/>
      <c r="S1346" s="1269"/>
      <c r="T1346" s="882"/>
      <c r="V1346" s="996"/>
      <c r="W1346" s="1009" t="s">
        <v>11061</v>
      </c>
    </row>
    <row r="1347" spans="1:23" ht="14.5" customHeight="1">
      <c r="A1347" s="1034"/>
      <c r="B1347" s="1034"/>
      <c r="C1347" s="994"/>
      <c r="E1347" s="989"/>
      <c r="F1347" s="988"/>
      <c r="G1347" s="1095" t="str">
        <f>IF(F1347="",G1346,F1347)</f>
        <v>4112021</v>
      </c>
      <c r="H1347" s="1016" t="s">
        <v>6047</v>
      </c>
      <c r="I1347" s="944" t="str">
        <f t="shared" si="203"/>
        <v>4112021302</v>
      </c>
      <c r="J1347" s="991" t="s">
        <v>7080</v>
      </c>
      <c r="K1347" s="890">
        <v>5825409</v>
      </c>
      <c r="L1347" s="890">
        <f>4493372+2158701+382393+436135+6199806</f>
        <v>13670407</v>
      </c>
      <c r="M1347" s="890">
        <f>142418913+67732151+23607702+24133613+199534665</f>
        <v>457427044</v>
      </c>
      <c r="N1347" s="886"/>
      <c r="O1347" s="886"/>
      <c r="P1347" s="886"/>
      <c r="Q1347" s="1172">
        <f t="shared" si="204"/>
        <v>174095</v>
      </c>
      <c r="R1347" s="882"/>
      <c r="S1347" s="1269"/>
      <c r="T1347" s="882"/>
      <c r="V1347" s="996"/>
      <c r="W1347" s="1009"/>
    </row>
    <row r="1348" spans="1:23" ht="14.5" customHeight="1">
      <c r="A1348" s="1034"/>
      <c r="B1348" s="1034"/>
      <c r="C1348" s="1015"/>
      <c r="D1348" s="999"/>
      <c r="E1348" s="1000"/>
      <c r="F1348" s="999"/>
      <c r="G1348" s="1104" t="str">
        <f t="shared" si="205"/>
        <v>4112021</v>
      </c>
      <c r="H1348" s="1005" t="s">
        <v>5486</v>
      </c>
      <c r="I1348" s="1002" t="str">
        <f t="shared" si="203"/>
        <v>4112021401</v>
      </c>
      <c r="J1348" s="978" t="s">
        <v>7081</v>
      </c>
      <c r="K1348" s="895">
        <v>132815</v>
      </c>
      <c r="L1348" s="895">
        <f>57724+123110</f>
        <v>180834</v>
      </c>
      <c r="M1348" s="895">
        <f>211076+3743866</f>
        <v>3954942</v>
      </c>
      <c r="N1348" s="893"/>
      <c r="O1348" s="893"/>
      <c r="P1348" s="893"/>
      <c r="Q1348" s="1175">
        <f t="shared" si="204"/>
        <v>6073</v>
      </c>
      <c r="R1348" s="900"/>
      <c r="S1348" s="1272"/>
      <c r="T1348" s="900"/>
      <c r="U1348" s="1002"/>
      <c r="V1348" s="1006"/>
      <c r="W1348" s="1072" t="s">
        <v>11063</v>
      </c>
    </row>
    <row r="1349" spans="1:23" ht="14.5" customHeight="1">
      <c r="A1349" s="1034"/>
      <c r="B1349" s="1034"/>
      <c r="C1349" s="994" t="s">
        <v>7082</v>
      </c>
      <c r="D1349" s="988" t="str">
        <f t="shared" ref="D1349:D1424" si="206">IF(C1349="","",CONCATENATE(LEFT(C1349,4),MID(C1349,6,2)))</f>
        <v>412101</v>
      </c>
      <c r="E1349" s="989" t="s">
        <v>7083</v>
      </c>
      <c r="F1349" s="988" t="str">
        <f t="shared" ref="F1349:F1412" si="207">IF(E1349="","",CONCATENATE(LEFT(E1349,4),MID(E1349,6,3)))</f>
        <v>4121011</v>
      </c>
      <c r="G1349" s="1095" t="str">
        <f>IF(F1349="",G1340,F1349)</f>
        <v>4121011</v>
      </c>
      <c r="I1349" s="944" t="str">
        <f t="shared" si="203"/>
        <v/>
      </c>
      <c r="J1349" s="990" t="s">
        <v>611</v>
      </c>
      <c r="K1349" s="886"/>
      <c r="L1349" s="886"/>
      <c r="M1349" s="886"/>
      <c r="N1349" s="886"/>
      <c r="O1349" s="886"/>
      <c r="P1349" s="896">
        <f>Q1349</f>
        <v>389784</v>
      </c>
      <c r="Q1349" s="1171">
        <f>SUM(Q1350:Q1351)</f>
        <v>389784</v>
      </c>
      <c r="R1349" s="882"/>
      <c r="S1349" s="1269"/>
      <c r="T1349" s="1254"/>
      <c r="U1349" s="996"/>
      <c r="V1349" s="996"/>
      <c r="W1349" s="992"/>
    </row>
    <row r="1350" spans="1:23" ht="14.5" customHeight="1">
      <c r="A1350" s="1034"/>
      <c r="B1350" s="1034"/>
      <c r="C1350" s="987"/>
      <c r="D1350" s="988" t="str">
        <f t="shared" si="206"/>
        <v/>
      </c>
      <c r="F1350" s="988" t="str">
        <f t="shared" si="207"/>
        <v/>
      </c>
      <c r="G1350" s="1095" t="str">
        <f>IF(F1350="",G1349,F1350)</f>
        <v>4121011</v>
      </c>
      <c r="H1350" s="1016" t="s">
        <v>36</v>
      </c>
      <c r="I1350" s="944" t="str">
        <f t="shared" si="203"/>
        <v>4121011001</v>
      </c>
      <c r="J1350" s="991" t="s">
        <v>7084</v>
      </c>
      <c r="K1350" s="890">
        <v>13234288</v>
      </c>
      <c r="L1350" s="890">
        <v>237577</v>
      </c>
      <c r="M1350" s="890">
        <v>10013849</v>
      </c>
      <c r="N1350" s="886"/>
      <c r="O1350" s="886"/>
      <c r="P1350" s="886"/>
      <c r="Q1350" s="1162">
        <f>ROUND(K1350*L1350/M1350,0)</f>
        <v>313981</v>
      </c>
      <c r="R1350" s="882"/>
      <c r="S1350" s="1287">
        <f>S1345</f>
        <v>0.9</v>
      </c>
      <c r="T1350" s="1487">
        <f>ROUND(Q1350*S1350/100,0)</f>
        <v>2826</v>
      </c>
      <c r="U1350" s="996" t="s">
        <v>11064</v>
      </c>
      <c r="V1350" s="996" t="s">
        <v>11065</v>
      </c>
      <c r="W1350" s="992" t="s">
        <v>11066</v>
      </c>
    </row>
    <row r="1351" spans="1:23" ht="14.5" customHeight="1">
      <c r="A1351" s="1034"/>
      <c r="B1351" s="1034"/>
      <c r="C1351" s="987"/>
      <c r="D1351" s="988" t="str">
        <f t="shared" si="206"/>
        <v/>
      </c>
      <c r="F1351" s="988" t="str">
        <f t="shared" si="207"/>
        <v/>
      </c>
      <c r="G1351" s="1095" t="str">
        <f>IF(F1351="",G1350,F1351)</f>
        <v>4121011</v>
      </c>
      <c r="H1351" s="1016" t="s">
        <v>5337</v>
      </c>
      <c r="I1351" s="944" t="str">
        <f t="shared" si="203"/>
        <v>4121011002</v>
      </c>
      <c r="J1351" s="991" t="s">
        <v>7085</v>
      </c>
      <c r="K1351" s="890">
        <v>2286981</v>
      </c>
      <c r="L1351" s="890">
        <v>61364</v>
      </c>
      <c r="M1351" s="890">
        <v>1851361</v>
      </c>
      <c r="N1351" s="886"/>
      <c r="O1351" s="886"/>
      <c r="P1351" s="886"/>
      <c r="Q1351" s="1162">
        <f>ROUND(K1351*L1351/M1351,0)</f>
        <v>75803</v>
      </c>
      <c r="R1351" s="882"/>
      <c r="S1351" s="1269"/>
      <c r="T1351" s="1254"/>
      <c r="U1351" s="996" t="s">
        <v>10145</v>
      </c>
      <c r="V1351" s="996" t="s">
        <v>10129</v>
      </c>
      <c r="W1351" s="992" t="s">
        <v>11067</v>
      </c>
    </row>
    <row r="1352" spans="1:23" ht="14.5" customHeight="1">
      <c r="A1352" s="1034"/>
      <c r="B1352" s="1034"/>
      <c r="C1352" s="981" t="s">
        <v>7086</v>
      </c>
      <c r="D1352" s="982" t="str">
        <f t="shared" si="206"/>
        <v>413101</v>
      </c>
      <c r="E1352" s="983" t="s">
        <v>7087</v>
      </c>
      <c r="F1352" s="982" t="str">
        <f t="shared" si="207"/>
        <v>4131011</v>
      </c>
      <c r="G1352" s="1103" t="str">
        <f>IF(F1352="",G1351,F1352)</f>
        <v>4131011</v>
      </c>
      <c r="H1352" s="1102"/>
      <c r="I1352" s="947" t="str">
        <f t="shared" si="203"/>
        <v/>
      </c>
      <c r="J1352" s="984" t="s">
        <v>613</v>
      </c>
      <c r="K1352" s="889"/>
      <c r="L1352" s="889"/>
      <c r="M1352" s="889"/>
      <c r="N1352" s="889"/>
      <c r="O1352" s="889"/>
      <c r="P1352" s="881">
        <f>Q1352</f>
        <v>153996</v>
      </c>
      <c r="Q1352" s="1160">
        <f>SUM(Q1353:Q1356)</f>
        <v>153996</v>
      </c>
      <c r="R1352" s="880"/>
      <c r="S1352" s="1270"/>
      <c r="T1352" s="880"/>
      <c r="U1352" s="993"/>
      <c r="V1352" s="993"/>
      <c r="W1352" s="986"/>
    </row>
    <row r="1353" spans="1:23" ht="14.5" customHeight="1">
      <c r="A1353" s="1034"/>
      <c r="B1353" s="1034"/>
      <c r="C1353" s="987"/>
      <c r="D1353" s="988" t="str">
        <f t="shared" si="206"/>
        <v/>
      </c>
      <c r="F1353" s="988" t="str">
        <f t="shared" si="207"/>
        <v/>
      </c>
      <c r="G1353" s="1095" t="str">
        <f>IF(F1353="",G1352,F1353)</f>
        <v>4131011</v>
      </c>
      <c r="H1353" s="1016" t="s">
        <v>36</v>
      </c>
      <c r="I1353" s="944" t="str">
        <f t="shared" si="203"/>
        <v>4131011001</v>
      </c>
      <c r="J1353" s="991" t="s">
        <v>7088</v>
      </c>
      <c r="K1353" s="890">
        <v>4285543</v>
      </c>
      <c r="L1353" s="890">
        <v>158588583</v>
      </c>
      <c r="M1353" s="890">
        <v>5881599629.5</v>
      </c>
      <c r="N1353" s="886"/>
      <c r="O1353" s="886"/>
      <c r="P1353" s="886"/>
      <c r="Q1353" s="1162">
        <f>ROUND(K1353*L1353/M1353,0)</f>
        <v>115553</v>
      </c>
      <c r="R1353" s="882"/>
      <c r="S1353" s="1269"/>
      <c r="T1353" s="1254"/>
      <c r="U1353" s="996" t="s">
        <v>11068</v>
      </c>
      <c r="V1353" s="996"/>
      <c r="W1353" s="992" t="s">
        <v>11069</v>
      </c>
    </row>
    <row r="1354" spans="1:23" ht="14.5" customHeight="1">
      <c r="A1354" s="1034"/>
      <c r="B1354" s="1034"/>
      <c r="C1354" s="987"/>
      <c r="D1354" s="988" t="str">
        <f t="shared" si="206"/>
        <v/>
      </c>
      <c r="F1354" s="988" t="str">
        <f t="shared" si="207"/>
        <v/>
      </c>
      <c r="G1354" s="1095" t="str">
        <f t="shared" ref="G1354:G1410" si="208">IF(F1354="",G1353,F1354)</f>
        <v>4131011</v>
      </c>
      <c r="H1354" s="1016" t="s">
        <v>5337</v>
      </c>
      <c r="I1354" s="944" t="str">
        <f t="shared" si="203"/>
        <v>4131011002</v>
      </c>
      <c r="J1354" s="991" t="s">
        <v>7089</v>
      </c>
      <c r="K1354" s="890">
        <v>415414</v>
      </c>
      <c r="L1354" s="890">
        <v>20618472</v>
      </c>
      <c r="M1354" s="890">
        <v>948283182.25</v>
      </c>
      <c r="N1354" s="886"/>
      <c r="O1354" s="886"/>
      <c r="P1354" s="886"/>
      <c r="Q1354" s="1162">
        <f>ROUND(K1354*L1354/M1354,0)</f>
        <v>9032</v>
      </c>
      <c r="R1354" s="882"/>
      <c r="S1354" s="1269"/>
      <c r="T1354" s="1254"/>
      <c r="U1354" s="996" t="s">
        <v>11068</v>
      </c>
      <c r="V1354" s="996"/>
      <c r="W1354" s="992" t="s">
        <v>11070</v>
      </c>
    </row>
    <row r="1355" spans="1:23" ht="14.5" customHeight="1">
      <c r="A1355" s="1034"/>
      <c r="B1355" s="1034"/>
      <c r="C1355" s="987"/>
      <c r="D1355" s="988" t="str">
        <f t="shared" si="206"/>
        <v/>
      </c>
      <c r="F1355" s="988" t="str">
        <f t="shared" si="207"/>
        <v/>
      </c>
      <c r="G1355" s="1095" t="str">
        <f t="shared" si="208"/>
        <v>4131011</v>
      </c>
      <c r="H1355" s="1016" t="s">
        <v>5339</v>
      </c>
      <c r="I1355" s="944" t="str">
        <f t="shared" si="203"/>
        <v>4131011003</v>
      </c>
      <c r="J1355" s="991" t="s">
        <v>7090</v>
      </c>
      <c r="K1355" s="890">
        <v>1117967</v>
      </c>
      <c r="L1355" s="890">
        <v>19806792</v>
      </c>
      <c r="M1355" s="890">
        <v>807316063.25</v>
      </c>
      <c r="N1355" s="886"/>
      <c r="O1355" s="886"/>
      <c r="P1355" s="886"/>
      <c r="Q1355" s="1162">
        <f>ROUND(K1355*L1355/M1355,0)</f>
        <v>27428</v>
      </c>
      <c r="R1355" s="882"/>
      <c r="S1355" s="1269"/>
      <c r="T1355" s="1254"/>
      <c r="U1355" s="996" t="s">
        <v>11068</v>
      </c>
      <c r="V1355" s="996" t="s">
        <v>10145</v>
      </c>
      <c r="W1355" s="992" t="s">
        <v>11071</v>
      </c>
    </row>
    <row r="1356" spans="1:23" ht="14.5" customHeight="1">
      <c r="A1356" s="1034"/>
      <c r="B1356" s="1034"/>
      <c r="C1356" s="987"/>
      <c r="D1356" s="988" t="str">
        <f t="shared" si="206"/>
        <v/>
      </c>
      <c r="F1356" s="988" t="str">
        <f t="shared" si="207"/>
        <v/>
      </c>
      <c r="G1356" s="1095" t="str">
        <f t="shared" si="208"/>
        <v>4131011</v>
      </c>
      <c r="H1356" s="1016" t="s">
        <v>5593</v>
      </c>
      <c r="I1356" s="944" t="str">
        <f t="shared" si="203"/>
        <v>4131011004</v>
      </c>
      <c r="J1356" s="991" t="s">
        <v>7091</v>
      </c>
      <c r="K1356" s="890">
        <v>96723</v>
      </c>
      <c r="L1356" s="890">
        <v>504</v>
      </c>
      <c r="M1356" s="890">
        <v>24579.4</v>
      </c>
      <c r="N1356" s="886"/>
      <c r="O1356" s="886"/>
      <c r="P1356" s="886"/>
      <c r="Q1356" s="1165">
        <f>ROUND(K1356*L1356/M1356,0)</f>
        <v>1983</v>
      </c>
      <c r="R1356" s="882"/>
      <c r="S1356" s="1269"/>
      <c r="T1356" s="1254"/>
      <c r="U1356" s="996" t="s">
        <v>11072</v>
      </c>
      <c r="V1356" s="996" t="s">
        <v>10145</v>
      </c>
      <c r="W1356" s="1009" t="s">
        <v>11073</v>
      </c>
    </row>
    <row r="1357" spans="1:23" ht="14.5" customHeight="1">
      <c r="A1357" s="1034"/>
      <c r="B1357" s="1034"/>
      <c r="C1357" s="981" t="s">
        <v>7092</v>
      </c>
      <c r="D1357" s="982" t="str">
        <f t="shared" si="206"/>
        <v>413102</v>
      </c>
      <c r="E1357" s="983" t="s">
        <v>7093</v>
      </c>
      <c r="F1357" s="982" t="str">
        <f t="shared" si="207"/>
        <v>4131021</v>
      </c>
      <c r="G1357" s="1103" t="str">
        <f t="shared" si="208"/>
        <v>4131021</v>
      </c>
      <c r="H1357" s="1102"/>
      <c r="I1357" s="947" t="str">
        <f t="shared" si="203"/>
        <v/>
      </c>
      <c r="J1357" s="1028" t="s">
        <v>614</v>
      </c>
      <c r="K1357" s="889"/>
      <c r="L1357" s="889"/>
      <c r="M1357" s="889"/>
      <c r="N1357" s="889"/>
      <c r="O1357" s="889"/>
      <c r="P1357" s="881">
        <f>Q1357</f>
        <v>228437</v>
      </c>
      <c r="Q1357" s="1160">
        <f>SUM(Q1358:Q1368)</f>
        <v>228437</v>
      </c>
      <c r="R1357" s="880"/>
      <c r="S1357" s="1270"/>
      <c r="T1357" s="880"/>
      <c r="U1357" s="993" t="s">
        <v>11074</v>
      </c>
      <c r="V1357" s="993"/>
      <c r="W1357" s="986" t="s">
        <v>11075</v>
      </c>
    </row>
    <row r="1358" spans="1:23" ht="14.5" customHeight="1">
      <c r="A1358" s="1034"/>
      <c r="B1358" s="1034"/>
      <c r="C1358" s="987"/>
      <c r="D1358" s="988" t="str">
        <f t="shared" si="206"/>
        <v/>
      </c>
      <c r="F1358" s="988" t="str">
        <f t="shared" si="207"/>
        <v/>
      </c>
      <c r="G1358" s="1095" t="str">
        <f t="shared" si="208"/>
        <v>4131021</v>
      </c>
      <c r="H1358" s="1016" t="s">
        <v>36</v>
      </c>
      <c r="I1358" s="944" t="str">
        <f t="shared" si="203"/>
        <v>4131021001</v>
      </c>
      <c r="J1358" s="991" t="s">
        <v>7094</v>
      </c>
      <c r="K1358" s="890">
        <v>1471393</v>
      </c>
      <c r="L1358" s="890">
        <v>29820</v>
      </c>
      <c r="M1358" s="890">
        <v>1365484</v>
      </c>
      <c r="N1358" s="886"/>
      <c r="O1358" s="886"/>
      <c r="P1358" s="886"/>
      <c r="Q1358" s="1162">
        <f>ROUND(K1358*L1358/M1358,0)</f>
        <v>32133</v>
      </c>
      <c r="R1358" s="882"/>
      <c r="S1358" s="1269"/>
      <c r="T1358" s="1254"/>
      <c r="U1358" s="996"/>
      <c r="V1358" s="996" t="s">
        <v>11065</v>
      </c>
      <c r="W1358" s="992" t="s">
        <v>11076</v>
      </c>
    </row>
    <row r="1359" spans="1:23" ht="14.5" customHeight="1">
      <c r="A1359" s="1034"/>
      <c r="B1359" s="1034"/>
      <c r="C1359" s="987"/>
      <c r="D1359" s="988" t="str">
        <f t="shared" si="206"/>
        <v/>
      </c>
      <c r="F1359" s="988" t="str">
        <f t="shared" si="207"/>
        <v/>
      </c>
      <c r="G1359" s="1095" t="str">
        <f t="shared" si="208"/>
        <v>4131021</v>
      </c>
      <c r="H1359" s="1016" t="s">
        <v>5337</v>
      </c>
      <c r="I1359" s="944" t="str">
        <f t="shared" si="203"/>
        <v>4131021002</v>
      </c>
      <c r="J1359" s="991" t="s">
        <v>7095</v>
      </c>
      <c r="K1359" s="890">
        <v>176123</v>
      </c>
      <c r="L1359" s="890">
        <v>29820</v>
      </c>
      <c r="M1359" s="890">
        <v>1365484</v>
      </c>
      <c r="N1359" s="886"/>
      <c r="O1359" s="886"/>
      <c r="P1359" s="886"/>
      <c r="Q1359" s="1162">
        <f t="shared" ref="Q1359:Q1368" si="209">ROUND(K1359*L1359/M1359,0)</f>
        <v>3846</v>
      </c>
      <c r="R1359" s="882"/>
      <c r="S1359" s="1269"/>
      <c r="T1359" s="1254"/>
      <c r="U1359" s="996"/>
      <c r="V1359" s="996" t="s">
        <v>10129</v>
      </c>
      <c r="W1359" s="992" t="s">
        <v>11077</v>
      </c>
    </row>
    <row r="1360" spans="1:23" ht="14.5" customHeight="1">
      <c r="A1360" s="1034"/>
      <c r="B1360" s="1034"/>
      <c r="C1360" s="987"/>
      <c r="D1360" s="988" t="str">
        <f t="shared" si="206"/>
        <v/>
      </c>
      <c r="F1360" s="988" t="str">
        <f t="shared" si="207"/>
        <v/>
      </c>
      <c r="G1360" s="1095" t="str">
        <f t="shared" si="208"/>
        <v>4131021</v>
      </c>
      <c r="H1360" s="1016" t="s">
        <v>5339</v>
      </c>
      <c r="I1360" s="944" t="str">
        <f t="shared" si="203"/>
        <v>4131021003</v>
      </c>
      <c r="J1360" s="991" t="s">
        <v>7096</v>
      </c>
      <c r="K1360" s="890">
        <v>436090</v>
      </c>
      <c r="L1360" s="890">
        <v>15555</v>
      </c>
      <c r="M1360" s="890">
        <v>309009.25</v>
      </c>
      <c r="N1360" s="886"/>
      <c r="O1360" s="886"/>
      <c r="P1360" s="886"/>
      <c r="Q1360" s="1162">
        <f t="shared" si="209"/>
        <v>21952</v>
      </c>
      <c r="R1360" s="882"/>
      <c r="S1360" s="1269"/>
      <c r="T1360" s="1254"/>
      <c r="U1360" s="996"/>
      <c r="V1360" s="996" t="s">
        <v>10129</v>
      </c>
      <c r="W1360" s="992" t="s">
        <v>11078</v>
      </c>
    </row>
    <row r="1361" spans="1:23" ht="14.5" customHeight="1">
      <c r="A1361" s="1034"/>
      <c r="B1361" s="1034"/>
      <c r="C1361" s="987"/>
      <c r="D1361" s="988" t="str">
        <f t="shared" si="206"/>
        <v/>
      </c>
      <c r="F1361" s="988" t="str">
        <f t="shared" si="207"/>
        <v/>
      </c>
      <c r="G1361" s="1095" t="str">
        <f t="shared" si="208"/>
        <v>4131021</v>
      </c>
      <c r="H1361" s="1016" t="s">
        <v>575</v>
      </c>
      <c r="I1361" s="944" t="str">
        <f t="shared" si="203"/>
        <v>4131021101</v>
      </c>
      <c r="J1361" s="991" t="s">
        <v>7097</v>
      </c>
      <c r="K1361" s="890">
        <v>175826</v>
      </c>
      <c r="L1361" s="890">
        <v>7297</v>
      </c>
      <c r="M1361" s="890">
        <v>154218.5</v>
      </c>
      <c r="N1361" s="886"/>
      <c r="O1361" s="886"/>
      <c r="P1361" s="886"/>
      <c r="Q1361" s="1162">
        <f t="shared" si="209"/>
        <v>8319</v>
      </c>
      <c r="R1361" s="882"/>
      <c r="S1361" s="1269"/>
      <c r="T1361" s="1254"/>
      <c r="U1361" s="996"/>
      <c r="V1361" s="996" t="s">
        <v>10129</v>
      </c>
      <c r="W1361" s="992" t="s">
        <v>11079</v>
      </c>
    </row>
    <row r="1362" spans="1:23" ht="14.5" customHeight="1">
      <c r="A1362" s="1034"/>
      <c r="B1362" s="1034"/>
      <c r="C1362" s="987"/>
      <c r="D1362" s="988" t="str">
        <f t="shared" si="206"/>
        <v/>
      </c>
      <c r="F1362" s="988" t="str">
        <f t="shared" si="207"/>
        <v/>
      </c>
      <c r="G1362" s="1095" t="str">
        <f t="shared" si="208"/>
        <v>4131021</v>
      </c>
      <c r="H1362" s="1016" t="s">
        <v>5383</v>
      </c>
      <c r="I1362" s="944" t="str">
        <f t="shared" si="203"/>
        <v>4131021201</v>
      </c>
      <c r="J1362" s="991" t="s">
        <v>7098</v>
      </c>
      <c r="K1362" s="890">
        <v>1163051</v>
      </c>
      <c r="L1362" s="890">
        <v>83976</v>
      </c>
      <c r="M1362" s="890">
        <v>1064259.25</v>
      </c>
      <c r="N1362" s="886"/>
      <c r="O1362" s="886"/>
      <c r="P1362" s="886"/>
      <c r="Q1362" s="1162">
        <f t="shared" si="209"/>
        <v>91771</v>
      </c>
      <c r="R1362" s="882"/>
      <c r="S1362" s="1269"/>
      <c r="T1362" s="1254"/>
      <c r="U1362" s="996"/>
      <c r="V1362" s="996" t="s">
        <v>10129</v>
      </c>
      <c r="W1362" s="992" t="s">
        <v>11080</v>
      </c>
    </row>
    <row r="1363" spans="1:23" ht="14.5" customHeight="1">
      <c r="A1363" s="1034"/>
      <c r="B1363" s="1034"/>
      <c r="C1363" s="987"/>
      <c r="D1363" s="988" t="str">
        <f t="shared" si="206"/>
        <v/>
      </c>
      <c r="F1363" s="988" t="str">
        <f t="shared" si="207"/>
        <v/>
      </c>
      <c r="G1363" s="1095" t="str">
        <f t="shared" si="208"/>
        <v>4131021</v>
      </c>
      <c r="H1363" s="1016" t="s">
        <v>5421</v>
      </c>
      <c r="I1363" s="944" t="str">
        <f t="shared" si="203"/>
        <v>4131021301</v>
      </c>
      <c r="J1363" s="991" t="s">
        <v>7099</v>
      </c>
      <c r="K1363" s="890">
        <v>505468</v>
      </c>
      <c r="L1363" s="890">
        <v>8776</v>
      </c>
      <c r="M1363" s="890">
        <v>443954.5</v>
      </c>
      <c r="N1363" s="886"/>
      <c r="O1363" s="886"/>
      <c r="P1363" s="886"/>
      <c r="Q1363" s="1162">
        <f t="shared" si="209"/>
        <v>9992</v>
      </c>
      <c r="R1363" s="882"/>
      <c r="S1363" s="1269"/>
      <c r="T1363" s="1254"/>
      <c r="U1363" s="996"/>
      <c r="V1363" s="996" t="s">
        <v>10129</v>
      </c>
      <c r="W1363" s="992" t="s">
        <v>11081</v>
      </c>
    </row>
    <row r="1364" spans="1:23" ht="14.5" customHeight="1">
      <c r="A1364" s="1034"/>
      <c r="B1364" s="1034"/>
      <c r="C1364" s="987"/>
      <c r="D1364" s="988" t="str">
        <f t="shared" si="206"/>
        <v/>
      </c>
      <c r="F1364" s="988" t="str">
        <f t="shared" si="207"/>
        <v/>
      </c>
      <c r="G1364" s="1095" t="str">
        <f t="shared" si="208"/>
        <v>4131021</v>
      </c>
      <c r="H1364" s="1016" t="s">
        <v>7011</v>
      </c>
      <c r="I1364" s="944" t="str">
        <f t="shared" si="203"/>
        <v>4131021401</v>
      </c>
      <c r="J1364" s="991" t="s">
        <v>7100</v>
      </c>
      <c r="K1364" s="890">
        <v>172087</v>
      </c>
      <c r="L1364" s="890">
        <v>9941</v>
      </c>
      <c r="M1364" s="890">
        <v>413314</v>
      </c>
      <c r="N1364" s="886"/>
      <c r="O1364" s="886"/>
      <c r="P1364" s="886"/>
      <c r="Q1364" s="1162">
        <f t="shared" si="209"/>
        <v>4139</v>
      </c>
      <c r="R1364" s="882"/>
      <c r="S1364" s="1287">
        <f>'CT2015'!K1332</f>
        <v>15.8</v>
      </c>
      <c r="T1364" s="882">
        <f>ROUND(Q1364*S1364/100,0)</f>
        <v>654</v>
      </c>
      <c r="U1364" s="996"/>
      <c r="V1364" s="996" t="s">
        <v>10129</v>
      </c>
      <c r="W1364" s="992" t="s">
        <v>11082</v>
      </c>
    </row>
    <row r="1365" spans="1:23" ht="14.5" customHeight="1">
      <c r="C1365" s="987"/>
      <c r="D1365" s="988" t="str">
        <f t="shared" si="206"/>
        <v/>
      </c>
      <c r="F1365" s="988" t="str">
        <f t="shared" si="207"/>
        <v/>
      </c>
      <c r="G1365" s="1095" t="str">
        <f t="shared" si="208"/>
        <v>4131021</v>
      </c>
      <c r="H1365" s="1016" t="s">
        <v>7013</v>
      </c>
      <c r="I1365" s="944" t="str">
        <f t="shared" si="203"/>
        <v>4131021501</v>
      </c>
      <c r="J1365" s="991" t="s">
        <v>7101</v>
      </c>
      <c r="K1365" s="890">
        <v>691335</v>
      </c>
      <c r="L1365" s="890">
        <v>30907</v>
      </c>
      <c r="M1365" s="890">
        <v>514875.5</v>
      </c>
      <c r="N1365" s="886"/>
      <c r="O1365" s="886"/>
      <c r="P1365" s="886"/>
      <c r="Q1365" s="1162">
        <f t="shared" si="209"/>
        <v>41500</v>
      </c>
      <c r="R1365" s="882"/>
      <c r="S1365" s="1269"/>
      <c r="T1365" s="1254"/>
      <c r="U1365" s="996"/>
      <c r="V1365" s="996" t="s">
        <v>10129</v>
      </c>
      <c r="W1365" s="992" t="s">
        <v>11083</v>
      </c>
    </row>
    <row r="1366" spans="1:23" ht="14.5" customHeight="1">
      <c r="C1366" s="987"/>
      <c r="D1366" s="988" t="str">
        <f t="shared" si="206"/>
        <v/>
      </c>
      <c r="F1366" s="988" t="str">
        <f t="shared" si="207"/>
        <v/>
      </c>
      <c r="G1366" s="1095" t="str">
        <f t="shared" si="208"/>
        <v>4131021</v>
      </c>
      <c r="H1366" s="1016" t="s">
        <v>7102</v>
      </c>
      <c r="I1366" s="944" t="str">
        <f t="shared" si="203"/>
        <v>4131021601</v>
      </c>
      <c r="J1366" s="991" t="s">
        <v>11084</v>
      </c>
      <c r="K1366" s="890">
        <v>109822</v>
      </c>
      <c r="L1366" s="890">
        <v>3444</v>
      </c>
      <c r="M1366" s="890">
        <v>88013</v>
      </c>
      <c r="N1366" s="886"/>
      <c r="O1366" s="886"/>
      <c r="P1366" s="886"/>
      <c r="Q1366" s="1162">
        <f t="shared" si="209"/>
        <v>4297</v>
      </c>
      <c r="R1366" s="882"/>
      <c r="S1366" s="1269"/>
      <c r="T1366" s="1254"/>
      <c r="U1366" s="996"/>
      <c r="V1366" s="996" t="s">
        <v>10129</v>
      </c>
      <c r="W1366" s="992" t="s">
        <v>11085</v>
      </c>
    </row>
    <row r="1367" spans="1:23" ht="14.5" customHeight="1">
      <c r="C1367" s="987"/>
      <c r="D1367" s="988" t="str">
        <f t="shared" si="206"/>
        <v/>
      </c>
      <c r="F1367" s="988" t="str">
        <f t="shared" si="207"/>
        <v/>
      </c>
      <c r="G1367" s="1095" t="str">
        <f t="shared" si="208"/>
        <v>4131021</v>
      </c>
      <c r="H1367" s="1016" t="s">
        <v>7104</v>
      </c>
      <c r="I1367" s="944" t="str">
        <f t="shared" si="203"/>
        <v>4131021701</v>
      </c>
      <c r="J1367" s="991" t="s">
        <v>7105</v>
      </c>
      <c r="K1367" s="890">
        <v>149302</v>
      </c>
      <c r="L1367" s="890">
        <v>156</v>
      </c>
      <c r="M1367" s="890">
        <v>115246</v>
      </c>
      <c r="N1367" s="886"/>
      <c r="O1367" s="886"/>
      <c r="P1367" s="886"/>
      <c r="Q1367" s="1162">
        <f t="shared" si="209"/>
        <v>202</v>
      </c>
      <c r="R1367" s="882"/>
      <c r="S1367" s="1269"/>
      <c r="T1367" s="1254"/>
      <c r="U1367" s="996"/>
      <c r="V1367" s="996" t="s">
        <v>10129</v>
      </c>
      <c r="W1367" s="992" t="s">
        <v>11086</v>
      </c>
    </row>
    <row r="1368" spans="1:23" ht="14.5" customHeight="1">
      <c r="C1368" s="987"/>
      <c r="D1368" s="988" t="str">
        <f t="shared" si="206"/>
        <v/>
      </c>
      <c r="F1368" s="988" t="str">
        <f t="shared" si="207"/>
        <v/>
      </c>
      <c r="G1368" s="1095" t="str">
        <f t="shared" si="208"/>
        <v>4131021</v>
      </c>
      <c r="H1368" s="1016" t="s">
        <v>5889</v>
      </c>
      <c r="I1368" s="944" t="str">
        <f t="shared" si="203"/>
        <v>4131021801</v>
      </c>
      <c r="J1368" s="991" t="s">
        <v>7106</v>
      </c>
      <c r="K1368" s="890">
        <v>1041529</v>
      </c>
      <c r="L1368" s="890">
        <v>9727</v>
      </c>
      <c r="M1368" s="890">
        <v>984961.5</v>
      </c>
      <c r="N1368" s="886"/>
      <c r="O1368" s="886"/>
      <c r="P1368" s="886"/>
      <c r="Q1368" s="1162">
        <f t="shared" si="209"/>
        <v>10286</v>
      </c>
      <c r="R1368" s="882"/>
      <c r="S1368" s="1269"/>
      <c r="T1368" s="1254"/>
      <c r="U1368" s="996"/>
      <c r="V1368" s="996" t="s">
        <v>10129</v>
      </c>
      <c r="W1368" s="992" t="s">
        <v>11087</v>
      </c>
    </row>
    <row r="1369" spans="1:23" ht="14.5" customHeight="1">
      <c r="C1369" s="981" t="s">
        <v>7108</v>
      </c>
      <c r="D1369" s="982" t="str">
        <f t="shared" si="206"/>
        <v>413103</v>
      </c>
      <c r="E1369" s="983" t="s">
        <v>7109</v>
      </c>
      <c r="F1369" s="982" t="str">
        <f t="shared" si="207"/>
        <v>4131031</v>
      </c>
      <c r="G1369" s="1103" t="str">
        <f>IF(F1369="",#REF!,F1369)</f>
        <v>4131031</v>
      </c>
      <c r="H1369" s="1102"/>
      <c r="I1369" s="947" t="str">
        <f t="shared" si="203"/>
        <v/>
      </c>
      <c r="J1369" s="984" t="s">
        <v>615</v>
      </c>
      <c r="K1369" s="889"/>
      <c r="L1369" s="889"/>
      <c r="M1369" s="889"/>
      <c r="N1369" s="889"/>
      <c r="O1369" s="889"/>
      <c r="P1369" s="881">
        <f>Q1369</f>
        <v>14649</v>
      </c>
      <c r="Q1369" s="1160">
        <f>SUM(Q1370:Q1373)</f>
        <v>14649</v>
      </c>
      <c r="R1369" s="880" t="s">
        <v>11088</v>
      </c>
      <c r="S1369" s="1270"/>
      <c r="T1369" s="880"/>
      <c r="U1369" s="993" t="s">
        <v>11089</v>
      </c>
      <c r="V1369" s="993"/>
      <c r="W1369" s="986" t="s">
        <v>11075</v>
      </c>
    </row>
    <row r="1370" spans="1:23" ht="14.5" customHeight="1">
      <c r="C1370" s="987"/>
      <c r="D1370" s="988" t="str">
        <f t="shared" si="206"/>
        <v/>
      </c>
      <c r="F1370" s="988" t="str">
        <f t="shared" si="207"/>
        <v/>
      </c>
      <c r="G1370" s="1095" t="str">
        <f t="shared" si="208"/>
        <v>4131031</v>
      </c>
      <c r="H1370" s="1016" t="s">
        <v>36</v>
      </c>
      <c r="I1370" s="944" t="str">
        <f t="shared" si="203"/>
        <v>4131031001</v>
      </c>
      <c r="J1370" s="991" t="s">
        <v>7110</v>
      </c>
      <c r="K1370" s="890">
        <v>835145</v>
      </c>
      <c r="L1370" s="890">
        <v>4849</v>
      </c>
      <c r="M1370" s="890">
        <v>713824.75</v>
      </c>
      <c r="N1370" s="886"/>
      <c r="O1370" s="886"/>
      <c r="P1370" s="886"/>
      <c r="Q1370" s="1162">
        <f>ROUND(K1370*L1370/M1370,0)</f>
        <v>5673</v>
      </c>
      <c r="R1370" s="882"/>
      <c r="S1370" s="1269"/>
      <c r="T1370" s="1254"/>
      <c r="U1370" s="996"/>
      <c r="V1370" s="996" t="s">
        <v>11065</v>
      </c>
      <c r="W1370" s="992" t="s">
        <v>11090</v>
      </c>
    </row>
    <row r="1371" spans="1:23" ht="14.5" customHeight="1">
      <c r="C1371" s="987"/>
      <c r="D1371" s="988" t="str">
        <f t="shared" si="206"/>
        <v/>
      </c>
      <c r="F1371" s="988" t="str">
        <f t="shared" si="207"/>
        <v/>
      </c>
      <c r="G1371" s="1095" t="str">
        <f t="shared" si="208"/>
        <v>4131031</v>
      </c>
      <c r="H1371" s="1016" t="s">
        <v>5337</v>
      </c>
      <c r="I1371" s="944" t="str">
        <f t="shared" si="203"/>
        <v>4131031002</v>
      </c>
      <c r="J1371" s="991" t="s">
        <v>7111</v>
      </c>
      <c r="K1371" s="890">
        <v>62683</v>
      </c>
      <c r="L1371" s="890">
        <v>1604</v>
      </c>
      <c r="M1371" s="890">
        <v>69466.5</v>
      </c>
      <c r="N1371" s="886"/>
      <c r="O1371" s="886"/>
      <c r="P1371" s="886"/>
      <c r="Q1371" s="1162">
        <f>ROUND(K1371*L1371/M1371,0)</f>
        <v>1447</v>
      </c>
      <c r="R1371" s="882"/>
      <c r="S1371" s="1269"/>
      <c r="T1371" s="1254"/>
      <c r="U1371" s="996"/>
      <c r="V1371" s="996" t="s">
        <v>10145</v>
      </c>
      <c r="W1371" s="992" t="s">
        <v>11091</v>
      </c>
    </row>
    <row r="1372" spans="1:23" ht="14.5" customHeight="1">
      <c r="C1372" s="987"/>
      <c r="D1372" s="988" t="str">
        <f t="shared" si="206"/>
        <v/>
      </c>
      <c r="F1372" s="988" t="str">
        <f t="shared" si="207"/>
        <v/>
      </c>
      <c r="G1372" s="1095" t="str">
        <f t="shared" si="208"/>
        <v>4131031</v>
      </c>
      <c r="H1372" s="1016" t="s">
        <v>5339</v>
      </c>
      <c r="I1372" s="944" t="str">
        <f t="shared" si="203"/>
        <v>4131031003</v>
      </c>
      <c r="J1372" s="991" t="s">
        <v>7112</v>
      </c>
      <c r="K1372" s="890">
        <v>211195</v>
      </c>
      <c r="L1372" s="890">
        <v>5473</v>
      </c>
      <c r="M1372" s="890">
        <v>176277.5</v>
      </c>
      <c r="N1372" s="886"/>
      <c r="O1372" s="886"/>
      <c r="P1372" s="886"/>
      <c r="Q1372" s="1162">
        <f>ROUND(K1372*L1372/M1372,0)</f>
        <v>6557</v>
      </c>
      <c r="R1372" s="882"/>
      <c r="S1372" s="1269"/>
      <c r="T1372" s="1254"/>
      <c r="U1372" s="996"/>
      <c r="V1372" s="996" t="s">
        <v>10145</v>
      </c>
      <c r="W1372" s="992" t="s">
        <v>11092</v>
      </c>
    </row>
    <row r="1373" spans="1:23" ht="14.5" customHeight="1">
      <c r="C1373" s="998"/>
      <c r="D1373" s="999" t="str">
        <f t="shared" si="206"/>
        <v/>
      </c>
      <c r="E1373" s="1002"/>
      <c r="F1373" s="999" t="str">
        <f t="shared" si="207"/>
        <v/>
      </c>
      <c r="G1373" s="1104" t="str">
        <f t="shared" si="208"/>
        <v>4131031</v>
      </c>
      <c r="H1373" s="1005" t="s">
        <v>5593</v>
      </c>
      <c r="I1373" s="1002" t="str">
        <f t="shared" si="203"/>
        <v>4131031004</v>
      </c>
      <c r="J1373" s="978" t="s">
        <v>7106</v>
      </c>
      <c r="K1373" s="895">
        <v>98439</v>
      </c>
      <c r="L1373" s="895">
        <v>9727</v>
      </c>
      <c r="M1373" s="895">
        <v>984961.5</v>
      </c>
      <c r="N1373" s="893"/>
      <c r="O1373" s="893"/>
      <c r="P1373" s="893"/>
      <c r="Q1373" s="1176">
        <f>ROUND(K1373*L1373/M1373,0)</f>
        <v>972</v>
      </c>
      <c r="R1373" s="900"/>
      <c r="S1373" s="1272"/>
      <c r="T1373" s="900"/>
      <c r="U1373" s="978"/>
      <c r="V1373" s="1006" t="s">
        <v>10145</v>
      </c>
      <c r="W1373" s="1003" t="s">
        <v>11087</v>
      </c>
    </row>
    <row r="1374" spans="1:23" ht="14.5" customHeight="1">
      <c r="C1374" s="994" t="s">
        <v>7113</v>
      </c>
      <c r="D1374" s="988" t="str">
        <f t="shared" si="206"/>
        <v>419101</v>
      </c>
      <c r="E1374" s="989" t="s">
        <v>7114</v>
      </c>
      <c r="F1374" s="988" t="str">
        <f t="shared" si="207"/>
        <v>4191011</v>
      </c>
      <c r="G1374" s="1095" t="str">
        <f t="shared" si="208"/>
        <v>4191011</v>
      </c>
      <c r="I1374" s="944" t="str">
        <f t="shared" si="203"/>
        <v/>
      </c>
      <c r="J1374" s="990" t="s">
        <v>617</v>
      </c>
      <c r="K1374" s="886"/>
      <c r="L1374" s="886"/>
      <c r="M1374" s="886"/>
      <c r="N1374" s="886"/>
      <c r="O1374" s="886"/>
      <c r="P1374" s="896">
        <f>Q1374</f>
        <v>23085</v>
      </c>
      <c r="Q1374" s="1171">
        <f>SUM(Q1375:Q1377)</f>
        <v>23085</v>
      </c>
      <c r="R1374" s="882"/>
      <c r="S1374" s="1269"/>
      <c r="T1374" s="1254"/>
      <c r="U1374" s="993"/>
      <c r="V1374" s="996"/>
      <c r="W1374" s="992"/>
    </row>
    <row r="1375" spans="1:23" ht="14.5" customHeight="1">
      <c r="C1375" s="987"/>
      <c r="D1375" s="988" t="str">
        <f t="shared" si="206"/>
        <v/>
      </c>
      <c r="F1375" s="988" t="str">
        <f t="shared" si="207"/>
        <v/>
      </c>
      <c r="G1375" s="1095" t="str">
        <f t="shared" si="208"/>
        <v>4191011</v>
      </c>
      <c r="H1375" s="1016" t="s">
        <v>5349</v>
      </c>
      <c r="I1375" s="944" t="str">
        <f t="shared" si="203"/>
        <v>4191011001</v>
      </c>
      <c r="J1375" s="991" t="s">
        <v>7115</v>
      </c>
      <c r="K1375" s="890">
        <v>1124399</v>
      </c>
      <c r="L1375" s="890">
        <v>22827</v>
      </c>
      <c r="M1375" s="890">
        <v>1687239</v>
      </c>
      <c r="N1375" s="886"/>
      <c r="O1375" s="886"/>
      <c r="P1375" s="886"/>
      <c r="Q1375" s="1162">
        <f>ROUND(K1375*L1375/M1375,0)</f>
        <v>15212</v>
      </c>
      <c r="R1375" s="882"/>
      <c r="S1375" s="1269"/>
      <c r="T1375" s="1254"/>
      <c r="U1375" s="996" t="s">
        <v>11093</v>
      </c>
      <c r="V1375" s="996" t="s">
        <v>11065</v>
      </c>
      <c r="W1375" s="992" t="s">
        <v>11094</v>
      </c>
    </row>
    <row r="1376" spans="1:23" ht="14.5" customHeight="1">
      <c r="C1376" s="987"/>
      <c r="D1376" s="988" t="str">
        <f t="shared" si="206"/>
        <v/>
      </c>
      <c r="F1376" s="988" t="str">
        <f t="shared" si="207"/>
        <v/>
      </c>
      <c r="G1376" s="1095" t="str">
        <f t="shared" si="208"/>
        <v>4191011</v>
      </c>
      <c r="H1376" s="1016" t="s">
        <v>5337</v>
      </c>
      <c r="I1376" s="944" t="str">
        <f t="shared" si="203"/>
        <v>4191011002</v>
      </c>
      <c r="J1376" s="991" t="s">
        <v>7116</v>
      </c>
      <c r="K1376" s="890">
        <v>54241</v>
      </c>
      <c r="L1376" s="890">
        <v>28341473</v>
      </c>
      <c r="M1376" s="890">
        <v>195259921.5</v>
      </c>
      <c r="N1376" s="886"/>
      <c r="O1376" s="886"/>
      <c r="P1376" s="886"/>
      <c r="Q1376" s="1162">
        <f>ROUND(K1376*L1376/M1376,0)</f>
        <v>7873</v>
      </c>
      <c r="R1376" s="882"/>
      <c r="S1376" s="1269"/>
      <c r="T1376" s="1254"/>
      <c r="U1376" s="996" t="s">
        <v>11095</v>
      </c>
      <c r="V1376" s="996"/>
      <c r="W1376" s="992" t="s">
        <v>11096</v>
      </c>
    </row>
    <row r="1377" spans="3:23" ht="14.5" customHeight="1">
      <c r="C1377" s="998"/>
      <c r="D1377" s="999" t="str">
        <f t="shared" si="206"/>
        <v/>
      </c>
      <c r="E1377" s="1002"/>
      <c r="F1377" s="999" t="str">
        <f t="shared" si="207"/>
        <v/>
      </c>
      <c r="G1377" s="1104" t="str">
        <f t="shared" si="208"/>
        <v>4191011</v>
      </c>
      <c r="H1377" s="1005" t="s">
        <v>47</v>
      </c>
      <c r="I1377" s="1002" t="str">
        <f t="shared" si="203"/>
        <v>4191011099</v>
      </c>
      <c r="J1377" s="978" t="s">
        <v>5845</v>
      </c>
      <c r="K1377" s="895">
        <v>355602</v>
      </c>
      <c r="L1377" s="893"/>
      <c r="M1377" s="893"/>
      <c r="N1377" s="893"/>
      <c r="O1377" s="893"/>
      <c r="P1377" s="893"/>
      <c r="Q1377" s="1170">
        <v>0</v>
      </c>
      <c r="R1377" s="900"/>
      <c r="S1377" s="1272"/>
      <c r="T1377" s="900"/>
      <c r="U1377" s="1006" t="s">
        <v>11097</v>
      </c>
      <c r="V1377" s="1006"/>
      <c r="W1377" s="1003"/>
    </row>
    <row r="1378" spans="3:23" ht="14.5" customHeight="1">
      <c r="C1378" s="1015" t="s">
        <v>7117</v>
      </c>
      <c r="D1378" s="999" t="str">
        <f t="shared" si="206"/>
        <v>419102</v>
      </c>
      <c r="E1378" s="1000" t="s">
        <v>7118</v>
      </c>
      <c r="F1378" s="999" t="str">
        <f t="shared" si="207"/>
        <v>4191021</v>
      </c>
      <c r="G1378" s="1104" t="str">
        <f>IF(F1378="",#REF!,F1378)</f>
        <v>4191021</v>
      </c>
      <c r="H1378" s="1005" t="s">
        <v>36</v>
      </c>
      <c r="I1378" s="1002" t="str">
        <f t="shared" si="203"/>
        <v>4191021001</v>
      </c>
      <c r="J1378" s="1030" t="s">
        <v>619</v>
      </c>
      <c r="K1378" s="895">
        <v>2410867</v>
      </c>
      <c r="L1378" s="895">
        <v>40544</v>
      </c>
      <c r="M1378" s="895">
        <v>1265680</v>
      </c>
      <c r="N1378" s="893"/>
      <c r="O1378" s="893"/>
      <c r="P1378" s="888">
        <f>Q1378</f>
        <v>77228</v>
      </c>
      <c r="Q1378" s="1164">
        <f>ROUND(K1378*L1378/M1378,0)</f>
        <v>77228</v>
      </c>
      <c r="R1378" s="900"/>
      <c r="S1378" s="1269"/>
      <c r="T1378" s="1254"/>
      <c r="U1378" s="996" t="s">
        <v>11093</v>
      </c>
      <c r="V1378" s="1006"/>
      <c r="W1378" s="1003" t="s">
        <v>11098</v>
      </c>
    </row>
    <row r="1379" spans="3:23" ht="14.5" customHeight="1">
      <c r="C1379" s="1023" t="s">
        <v>7119</v>
      </c>
      <c r="D1379" s="1024" t="str">
        <f t="shared" si="206"/>
        <v>419103</v>
      </c>
      <c r="E1379" s="1025" t="s">
        <v>7120</v>
      </c>
      <c r="F1379" s="1024" t="str">
        <f t="shared" si="207"/>
        <v>4191031</v>
      </c>
      <c r="G1379" s="1111" t="str">
        <f t="shared" si="208"/>
        <v>4191031</v>
      </c>
      <c r="H1379" s="1112" t="s">
        <v>36</v>
      </c>
      <c r="I1379" s="1113" t="str">
        <f t="shared" si="203"/>
        <v>4191031001</v>
      </c>
      <c r="J1379" s="1026" t="s">
        <v>620</v>
      </c>
      <c r="K1379" s="930">
        <v>650605</v>
      </c>
      <c r="L1379" s="930">
        <v>10918</v>
      </c>
      <c r="M1379" s="930">
        <v>659243.5</v>
      </c>
      <c r="N1379" s="912"/>
      <c r="O1379" s="912"/>
      <c r="P1379" s="914">
        <f>Q1379</f>
        <v>10775</v>
      </c>
      <c r="Q1379" s="1198">
        <f>ROUND(K1379*L1379/M1379,0)</f>
        <v>10775</v>
      </c>
      <c r="R1379" s="929"/>
      <c r="S1379" s="1280"/>
      <c r="T1379" s="929"/>
      <c r="U1379" s="1022" t="s">
        <v>11093</v>
      </c>
      <c r="V1379" s="1022"/>
      <c r="W1379" s="1027" t="s">
        <v>11099</v>
      </c>
    </row>
    <row r="1380" spans="3:23" ht="14.5" customHeight="1">
      <c r="C1380" s="994" t="s">
        <v>7121</v>
      </c>
      <c r="D1380" s="988" t="str">
        <f t="shared" si="206"/>
        <v>419109</v>
      </c>
      <c r="E1380" s="989" t="s">
        <v>7122</v>
      </c>
      <c r="F1380" s="988" t="str">
        <f t="shared" si="207"/>
        <v>4191099</v>
      </c>
      <c r="G1380" s="1095" t="str">
        <f t="shared" si="208"/>
        <v>4191099</v>
      </c>
      <c r="I1380" s="944" t="str">
        <f t="shared" si="203"/>
        <v/>
      </c>
      <c r="J1380" s="990" t="s">
        <v>621</v>
      </c>
      <c r="K1380" s="886"/>
      <c r="L1380" s="886"/>
      <c r="M1380" s="886"/>
      <c r="N1380" s="886"/>
      <c r="O1380" s="886"/>
      <c r="P1380" s="896">
        <f>Q1380</f>
        <v>140584</v>
      </c>
      <c r="Q1380" s="1171">
        <f>SUM(Q1381:Q1385)</f>
        <v>140584</v>
      </c>
      <c r="R1380" s="882"/>
      <c r="S1380" s="1269"/>
      <c r="T1380" s="1254"/>
      <c r="U1380" s="996" t="s">
        <v>11093</v>
      </c>
      <c r="V1380" s="996"/>
      <c r="W1380" s="992"/>
    </row>
    <row r="1381" spans="3:23" ht="14.5" customHeight="1">
      <c r="C1381" s="987"/>
      <c r="D1381" s="988" t="str">
        <f t="shared" si="206"/>
        <v/>
      </c>
      <c r="F1381" s="988" t="str">
        <f t="shared" si="207"/>
        <v/>
      </c>
      <c r="G1381" s="1095" t="str">
        <f t="shared" si="208"/>
        <v>4191099</v>
      </c>
      <c r="H1381" s="1016" t="s">
        <v>36</v>
      </c>
      <c r="I1381" s="944" t="str">
        <f t="shared" si="203"/>
        <v>4191099001</v>
      </c>
      <c r="J1381" s="991" t="s">
        <v>7123</v>
      </c>
      <c r="K1381" s="890">
        <v>1415588</v>
      </c>
      <c r="L1381" s="890">
        <v>18542</v>
      </c>
      <c r="M1381" s="890">
        <v>769224.25</v>
      </c>
      <c r="N1381" s="886"/>
      <c r="O1381" s="886"/>
      <c r="P1381" s="886"/>
      <c r="Q1381" s="1162">
        <f>ROUND(K1381*L1381/M1381,0)</f>
        <v>34122</v>
      </c>
      <c r="R1381" s="882"/>
      <c r="S1381" s="1269"/>
      <c r="T1381" s="1254"/>
      <c r="U1381" s="996"/>
      <c r="V1381" s="996"/>
      <c r="W1381" s="992" t="s">
        <v>11100</v>
      </c>
    </row>
    <row r="1382" spans="3:23" ht="14.5" customHeight="1">
      <c r="C1382" s="987"/>
      <c r="D1382" s="988" t="str">
        <f t="shared" si="206"/>
        <v/>
      </c>
      <c r="F1382" s="988" t="str">
        <f t="shared" si="207"/>
        <v/>
      </c>
      <c r="G1382" s="1095" t="str">
        <f t="shared" si="208"/>
        <v>4191099</v>
      </c>
      <c r="H1382" s="1016" t="s">
        <v>5337</v>
      </c>
      <c r="I1382" s="944" t="str">
        <f t="shared" si="203"/>
        <v>4191099002</v>
      </c>
      <c r="J1382" s="991" t="s">
        <v>7124</v>
      </c>
      <c r="K1382" s="890">
        <v>604172</v>
      </c>
      <c r="L1382" s="873">
        <f>L1381</f>
        <v>18542</v>
      </c>
      <c r="M1382" s="873">
        <f>M1381</f>
        <v>769224.25</v>
      </c>
      <c r="N1382" s="886"/>
      <c r="O1382" s="886"/>
      <c r="P1382" s="886"/>
      <c r="Q1382" s="1162">
        <f>ROUND(K1382*L1382/M1382,0)</f>
        <v>14563</v>
      </c>
      <c r="R1382" s="882"/>
      <c r="S1382" s="1269"/>
      <c r="T1382" s="1254"/>
      <c r="U1382" s="996"/>
      <c r="V1382" s="996"/>
      <c r="W1382" s="992" t="s">
        <v>10129</v>
      </c>
    </row>
    <row r="1383" spans="3:23" ht="14.5" customHeight="1">
      <c r="C1383" s="987"/>
      <c r="D1383" s="988" t="str">
        <f t="shared" si="206"/>
        <v/>
      </c>
      <c r="F1383" s="988" t="str">
        <f t="shared" si="207"/>
        <v/>
      </c>
      <c r="G1383" s="1095" t="str">
        <f t="shared" si="208"/>
        <v>4191099</v>
      </c>
      <c r="H1383" s="1016" t="s">
        <v>5339</v>
      </c>
      <c r="I1383" s="944" t="str">
        <f t="shared" si="203"/>
        <v>4191099003</v>
      </c>
      <c r="J1383" s="992" t="s">
        <v>7125</v>
      </c>
      <c r="K1383" s="890">
        <v>1636815</v>
      </c>
      <c r="L1383" s="890">
        <v>67154</v>
      </c>
      <c r="M1383" s="890">
        <v>1477160.25</v>
      </c>
      <c r="N1383" s="886"/>
      <c r="O1383" s="886"/>
      <c r="P1383" s="886"/>
      <c r="Q1383" s="1162">
        <f>ROUND(K1383*L1383/M1383,0)</f>
        <v>74412</v>
      </c>
      <c r="R1383" s="882"/>
      <c r="S1383" s="1269"/>
      <c r="T1383" s="1254"/>
      <c r="U1383" s="996"/>
      <c r="V1383" s="996"/>
      <c r="W1383" s="992" t="s">
        <v>11101</v>
      </c>
    </row>
    <row r="1384" spans="3:23" ht="14.5" customHeight="1">
      <c r="C1384" s="987"/>
      <c r="D1384" s="988" t="str">
        <f t="shared" si="206"/>
        <v/>
      </c>
      <c r="F1384" s="988" t="str">
        <f t="shared" si="207"/>
        <v/>
      </c>
      <c r="G1384" s="1095" t="str">
        <f t="shared" si="208"/>
        <v>4191099</v>
      </c>
      <c r="H1384" s="1016" t="s">
        <v>5593</v>
      </c>
      <c r="I1384" s="944" t="str">
        <f t="shared" si="203"/>
        <v>4191099004</v>
      </c>
      <c r="J1384" s="991" t="s">
        <v>7126</v>
      </c>
      <c r="K1384" s="890">
        <v>86601</v>
      </c>
      <c r="L1384" s="890">
        <v>41</v>
      </c>
      <c r="M1384" s="890">
        <v>18485.25</v>
      </c>
      <c r="N1384" s="886"/>
      <c r="O1384" s="886"/>
      <c r="P1384" s="886"/>
      <c r="Q1384" s="1162">
        <f>ROUND(K1384*L1384/M1384,0)</f>
        <v>192</v>
      </c>
      <c r="R1384" s="882"/>
      <c r="S1384" s="1269"/>
      <c r="T1384" s="1254"/>
      <c r="U1384" s="996"/>
      <c r="V1384" s="996"/>
      <c r="W1384" s="992" t="s">
        <v>11102</v>
      </c>
    </row>
    <row r="1385" spans="3:23" ht="14.5" customHeight="1">
      <c r="C1385" s="987"/>
      <c r="D1385" s="988" t="str">
        <f t="shared" si="206"/>
        <v/>
      </c>
      <c r="F1385" s="988" t="str">
        <f t="shared" si="207"/>
        <v/>
      </c>
      <c r="G1385" s="1095" t="str">
        <f t="shared" si="208"/>
        <v>4191099</v>
      </c>
      <c r="H1385" s="1016" t="s">
        <v>47</v>
      </c>
      <c r="I1385" s="944" t="str">
        <f t="shared" si="203"/>
        <v>4191099099</v>
      </c>
      <c r="J1385" s="991" t="s">
        <v>5894</v>
      </c>
      <c r="K1385" s="890">
        <v>1028750</v>
      </c>
      <c r="L1385" s="890">
        <v>17125</v>
      </c>
      <c r="M1385" s="890">
        <v>1018644.5</v>
      </c>
      <c r="N1385" s="886"/>
      <c r="O1385" s="886"/>
      <c r="P1385" s="886"/>
      <c r="Q1385" s="1162">
        <f>ROUND(K1385*L1385/M1385,0)</f>
        <v>17295</v>
      </c>
      <c r="R1385" s="882"/>
      <c r="S1385" s="1269"/>
      <c r="T1385" s="1254"/>
      <c r="U1385" s="996"/>
      <c r="V1385" s="996"/>
      <c r="W1385" s="992" t="s">
        <v>11103</v>
      </c>
    </row>
    <row r="1386" spans="3:23" ht="14.5" customHeight="1">
      <c r="C1386" s="981"/>
      <c r="D1386" s="982" t="str">
        <f t="shared" si="206"/>
        <v/>
      </c>
      <c r="E1386" s="983" t="s">
        <v>7127</v>
      </c>
      <c r="F1386" s="982" t="str">
        <f>IF(E1386="","",CONCATENATE(LEFT(E1386,4),MID(E1386,6,3)))</f>
        <v>4611001</v>
      </c>
      <c r="G1386" s="1103" t="str">
        <f t="shared" si="208"/>
        <v>4611001</v>
      </c>
      <c r="H1386" s="1102"/>
      <c r="I1386" s="947" t="str">
        <f t="shared" si="203"/>
        <v/>
      </c>
      <c r="J1386" s="984"/>
      <c r="K1386" s="889"/>
      <c r="L1386" s="889"/>
      <c r="M1386" s="889"/>
      <c r="N1386" s="889"/>
      <c r="O1386" s="889"/>
      <c r="P1386" s="889"/>
      <c r="Q1386" s="1160">
        <f>ROUND(SUM(P1387:P1389),0)</f>
        <v>1057694</v>
      </c>
      <c r="R1386" s="880"/>
      <c r="S1386" s="1270"/>
      <c r="T1386" s="880"/>
      <c r="U1386" s="1073" t="s">
        <v>11595</v>
      </c>
      <c r="V1386" s="993"/>
      <c r="W1386" s="986" t="s">
        <v>11104</v>
      </c>
    </row>
    <row r="1387" spans="3:23" ht="14.5" customHeight="1">
      <c r="C1387" s="994" t="s">
        <v>7128</v>
      </c>
      <c r="D1387" s="988" t="str">
        <f t="shared" si="206"/>
        <v>461101</v>
      </c>
      <c r="E1387" s="989"/>
      <c r="F1387" s="988" t="str">
        <f t="shared" si="207"/>
        <v/>
      </c>
      <c r="G1387" s="1138">
        <v>4611010</v>
      </c>
      <c r="H1387" s="1016" t="s">
        <v>7312</v>
      </c>
      <c r="I1387" s="944" t="str">
        <f t="shared" si="203"/>
        <v>4611010001</v>
      </c>
      <c r="J1387" s="990" t="s">
        <v>11105</v>
      </c>
      <c r="K1387" s="890">
        <v>16469222</v>
      </c>
      <c r="L1387" s="886"/>
      <c r="M1387" s="886"/>
      <c r="N1387" s="886"/>
      <c r="O1387" s="886"/>
      <c r="P1387" s="909">
        <f>ROUND(Q1387,0)</f>
        <v>1015390</v>
      </c>
      <c r="Q1387" s="1182">
        <v>1015390.1826297586</v>
      </c>
      <c r="R1387" s="882"/>
      <c r="S1387" s="1269"/>
      <c r="T1387" s="1254"/>
      <c r="U1387" s="996"/>
      <c r="V1387" s="996" t="s">
        <v>10145</v>
      </c>
      <c r="W1387" s="992"/>
    </row>
    <row r="1388" spans="3:23" ht="14.5" customHeight="1">
      <c r="C1388" s="994" t="s">
        <v>7130</v>
      </c>
      <c r="D1388" s="988" t="str">
        <f t="shared" si="206"/>
        <v>461102</v>
      </c>
      <c r="E1388" s="989"/>
      <c r="F1388" s="988" t="str">
        <f t="shared" si="207"/>
        <v/>
      </c>
      <c r="G1388" s="1138">
        <v>4611020</v>
      </c>
      <c r="H1388" s="1016" t="s">
        <v>7312</v>
      </c>
      <c r="I1388" s="944" t="str">
        <f t="shared" si="203"/>
        <v>4611020001</v>
      </c>
      <c r="J1388" s="990" t="s">
        <v>11106</v>
      </c>
      <c r="K1388" s="890">
        <v>966262</v>
      </c>
      <c r="L1388" s="886"/>
      <c r="M1388" s="886"/>
      <c r="N1388" s="886"/>
      <c r="O1388" s="886"/>
      <c r="P1388" s="909">
        <f>ROUND(Q1388,0)</f>
        <v>0</v>
      </c>
      <c r="Q1388" s="1182">
        <v>0</v>
      </c>
      <c r="R1388" s="882"/>
      <c r="S1388" s="1269"/>
      <c r="T1388" s="1254"/>
      <c r="U1388" s="996"/>
      <c r="V1388" s="996"/>
      <c r="W1388" s="992"/>
    </row>
    <row r="1389" spans="3:23" ht="14.5" customHeight="1">
      <c r="C1389" s="1015" t="s">
        <v>7132</v>
      </c>
      <c r="D1389" s="999" t="str">
        <f t="shared" si="206"/>
        <v>461103</v>
      </c>
      <c r="E1389" s="1000"/>
      <c r="F1389" s="999" t="str">
        <f t="shared" si="207"/>
        <v/>
      </c>
      <c r="G1389" s="1139">
        <v>4611030</v>
      </c>
      <c r="H1389" s="1005" t="s">
        <v>7312</v>
      </c>
      <c r="I1389" s="1002" t="str">
        <f t="shared" si="203"/>
        <v>4611030001</v>
      </c>
      <c r="J1389" s="1030" t="s">
        <v>11107</v>
      </c>
      <c r="K1389" s="895">
        <v>2574745</v>
      </c>
      <c r="L1389" s="872"/>
      <c r="M1389" s="872"/>
      <c r="N1389" s="893"/>
      <c r="O1389" s="893"/>
      <c r="P1389" s="888">
        <f>ROUND(Q1389,0)</f>
        <v>42304</v>
      </c>
      <c r="Q1389" s="1170">
        <v>42303.873115284936</v>
      </c>
      <c r="R1389" s="900"/>
      <c r="S1389" s="1272"/>
      <c r="T1389" s="900"/>
      <c r="U1389" s="1006"/>
      <c r="V1389" s="1006" t="s">
        <v>10145</v>
      </c>
      <c r="W1389" s="1003"/>
    </row>
    <row r="1390" spans="3:23" ht="14.5" customHeight="1">
      <c r="C1390" s="981" t="s">
        <v>7134</v>
      </c>
      <c r="D1390" s="982" t="str">
        <f t="shared" si="206"/>
        <v>462101</v>
      </c>
      <c r="E1390" s="983" t="s">
        <v>7135</v>
      </c>
      <c r="F1390" s="982" t="str">
        <f t="shared" si="207"/>
        <v>4621011</v>
      </c>
      <c r="G1390" s="1103" t="str">
        <f t="shared" si="208"/>
        <v>4621011</v>
      </c>
      <c r="H1390" s="1102"/>
      <c r="I1390" s="947" t="str">
        <f t="shared" si="203"/>
        <v/>
      </c>
      <c r="J1390" s="984" t="s">
        <v>627</v>
      </c>
      <c r="K1390" s="889"/>
      <c r="L1390" s="889"/>
      <c r="M1390" s="889"/>
      <c r="N1390" s="889"/>
      <c r="O1390" s="889"/>
      <c r="P1390" s="881">
        <f>Q1390</f>
        <v>321496</v>
      </c>
      <c r="Q1390" s="1185">
        <v>321496</v>
      </c>
      <c r="R1390" s="880"/>
      <c r="S1390" s="1270"/>
      <c r="T1390" s="880"/>
      <c r="U1390" s="993" t="s">
        <v>11108</v>
      </c>
      <c r="V1390" s="993"/>
      <c r="W1390" s="986" t="s">
        <v>11109</v>
      </c>
    </row>
    <row r="1391" spans="3:23" ht="14.5" customHeight="1">
      <c r="C1391" s="987"/>
      <c r="D1391" s="988" t="str">
        <f t="shared" si="206"/>
        <v/>
      </c>
      <c r="F1391" s="988" t="str">
        <f t="shared" si="207"/>
        <v/>
      </c>
      <c r="G1391" s="1095" t="str">
        <f t="shared" si="208"/>
        <v>4621011</v>
      </c>
      <c r="H1391" s="1016" t="s">
        <v>575</v>
      </c>
      <c r="I1391" s="944" t="str">
        <f t="shared" si="203"/>
        <v>4621011101</v>
      </c>
      <c r="J1391" s="991" t="s">
        <v>7136</v>
      </c>
      <c r="K1391" s="890">
        <v>2990610</v>
      </c>
      <c r="L1391" s="873"/>
      <c r="M1391" s="873"/>
      <c r="N1391" s="873"/>
      <c r="O1391" s="873"/>
      <c r="P1391" s="873"/>
      <c r="Q1391" s="1165">
        <f>ROUND($Q$1390*K1391/($K$1391+$K$1392+$K$1393+$K$1394),0)</f>
        <v>311237</v>
      </c>
      <c r="R1391" s="887"/>
      <c r="S1391" s="1273"/>
      <c r="T1391" s="1256"/>
      <c r="U1391" s="996"/>
      <c r="V1391" s="996" t="s">
        <v>11110</v>
      </c>
      <c r="W1391" s="992" t="s">
        <v>11111</v>
      </c>
    </row>
    <row r="1392" spans="3:23" ht="14.5" customHeight="1">
      <c r="C1392" s="987"/>
      <c r="D1392" s="988" t="str">
        <f t="shared" si="206"/>
        <v/>
      </c>
      <c r="F1392" s="988" t="str">
        <f t="shared" si="207"/>
        <v/>
      </c>
      <c r="G1392" s="1095" t="str">
        <f t="shared" si="208"/>
        <v>4621011</v>
      </c>
      <c r="H1392" s="1016" t="s">
        <v>5359</v>
      </c>
      <c r="I1392" s="944" t="str">
        <f t="shared" ref="I1392:I1454" si="210">IF(H1392="","",CONCATENATE(G1392,H1392))</f>
        <v>4621011102</v>
      </c>
      <c r="J1392" s="991" t="s">
        <v>7137</v>
      </c>
      <c r="K1392" s="890">
        <v>864</v>
      </c>
      <c r="L1392" s="873"/>
      <c r="M1392" s="873"/>
      <c r="N1392" s="873"/>
      <c r="O1392" s="873"/>
      <c r="P1392" s="873"/>
      <c r="Q1392" s="1165">
        <f>ROUND($Q$1390*K1392/($K$1391+$K$1392+$K$1393+$K$1394),0)</f>
        <v>90</v>
      </c>
      <c r="R1392" s="887"/>
      <c r="S1392" s="1273"/>
      <c r="T1392" s="1256"/>
      <c r="U1392" s="996"/>
      <c r="V1392" s="996" t="s">
        <v>10145</v>
      </c>
      <c r="W1392" s="992" t="s">
        <v>10800</v>
      </c>
    </row>
    <row r="1393" spans="1:23" ht="14.5" customHeight="1">
      <c r="C1393" s="987"/>
      <c r="D1393" s="988" t="str">
        <f t="shared" si="206"/>
        <v/>
      </c>
      <c r="F1393" s="988" t="str">
        <f t="shared" si="207"/>
        <v/>
      </c>
      <c r="G1393" s="1095" t="str">
        <f t="shared" si="208"/>
        <v>4621011</v>
      </c>
      <c r="H1393" s="1016" t="s">
        <v>5361</v>
      </c>
      <c r="I1393" s="944" t="str">
        <f t="shared" si="210"/>
        <v>4621011103</v>
      </c>
      <c r="J1393" s="991" t="s">
        <v>7138</v>
      </c>
      <c r="K1393" s="890">
        <v>27024</v>
      </c>
      <c r="L1393" s="873"/>
      <c r="M1393" s="873"/>
      <c r="N1393" s="873"/>
      <c r="O1393" s="873"/>
      <c r="P1393" s="873"/>
      <c r="Q1393" s="1165">
        <f>ROUND($Q$1390*K1393/($K$1391+$K$1392+$K$1393+$K$1394),0)</f>
        <v>2812</v>
      </c>
      <c r="R1393" s="887"/>
      <c r="S1393" s="1273"/>
      <c r="T1393" s="1256"/>
      <c r="U1393" s="996"/>
      <c r="V1393" s="996" t="s">
        <v>10145</v>
      </c>
      <c r="W1393" s="992" t="s">
        <v>10800</v>
      </c>
    </row>
    <row r="1394" spans="1:23" ht="14.5" customHeight="1">
      <c r="C1394" s="998"/>
      <c r="D1394" s="999" t="str">
        <f t="shared" si="206"/>
        <v/>
      </c>
      <c r="E1394" s="1002"/>
      <c r="F1394" s="999" t="str">
        <f t="shared" si="207"/>
        <v/>
      </c>
      <c r="G1394" s="1104" t="str">
        <f t="shared" si="208"/>
        <v>4621011</v>
      </c>
      <c r="H1394" s="1005" t="s">
        <v>5383</v>
      </c>
      <c r="I1394" s="1002" t="str">
        <f t="shared" si="210"/>
        <v>4621011201</v>
      </c>
      <c r="J1394" s="978" t="s">
        <v>7139</v>
      </c>
      <c r="K1394" s="895">
        <v>70685</v>
      </c>
      <c r="L1394" s="872"/>
      <c r="M1394" s="872"/>
      <c r="N1394" s="872"/>
      <c r="O1394" s="872"/>
      <c r="P1394" s="872"/>
      <c r="Q1394" s="1173">
        <f>ROUND($Q$1390*K1394/($K$1391+$K$1392+$K$1393+$K$1394),0)</f>
        <v>7356</v>
      </c>
      <c r="R1394" s="908"/>
      <c r="S1394" s="1277"/>
      <c r="T1394" s="908"/>
      <c r="U1394" s="978"/>
      <c r="V1394" s="996" t="s">
        <v>11112</v>
      </c>
      <c r="W1394" s="992" t="s">
        <v>10800</v>
      </c>
    </row>
    <row r="1395" spans="1:23" ht="14.5" customHeight="1">
      <c r="A1395" s="1034"/>
      <c r="B1395" s="1034"/>
      <c r="C1395" s="994" t="s">
        <v>7141</v>
      </c>
      <c r="D1395" s="988" t="str">
        <f t="shared" si="206"/>
        <v>462201</v>
      </c>
      <c r="E1395" s="989" t="s">
        <v>7142</v>
      </c>
      <c r="F1395" s="988" t="str">
        <f t="shared" si="207"/>
        <v>4622011</v>
      </c>
      <c r="G1395" s="1095" t="str">
        <f>IF(F1395="",#REF!,F1395)</f>
        <v>4622011</v>
      </c>
      <c r="I1395" s="944" t="str">
        <f t="shared" si="210"/>
        <v/>
      </c>
      <c r="J1395" s="990" t="s">
        <v>629</v>
      </c>
      <c r="K1395" s="886"/>
      <c r="L1395" s="886"/>
      <c r="M1395" s="886"/>
      <c r="N1395" s="886"/>
      <c r="O1395" s="886"/>
      <c r="P1395" s="896">
        <f>Q1395</f>
        <v>5261</v>
      </c>
      <c r="Q1395" s="1174">
        <v>5261</v>
      </c>
      <c r="R1395" s="882"/>
      <c r="S1395" s="1269"/>
      <c r="T1395" s="1254"/>
      <c r="U1395" s="996" t="s">
        <v>11108</v>
      </c>
      <c r="V1395" s="996"/>
      <c r="W1395" s="986" t="s">
        <v>11113</v>
      </c>
    </row>
    <row r="1396" spans="1:23" ht="14.5" customHeight="1">
      <c r="A1396" s="1034"/>
      <c r="B1396" s="1034"/>
      <c r="C1396" s="987"/>
      <c r="D1396" s="988" t="str">
        <f t="shared" si="206"/>
        <v/>
      </c>
      <c r="F1396" s="988" t="str">
        <f t="shared" si="207"/>
        <v/>
      </c>
      <c r="G1396" s="1095" t="str">
        <f t="shared" si="208"/>
        <v>4622011</v>
      </c>
      <c r="H1396" s="1016" t="s">
        <v>7312</v>
      </c>
      <c r="I1396" s="944" t="str">
        <f t="shared" si="210"/>
        <v>4622011001</v>
      </c>
      <c r="J1396" s="991" t="s">
        <v>7143</v>
      </c>
      <c r="K1396" s="890">
        <v>4643</v>
      </c>
      <c r="L1396" s="873"/>
      <c r="M1396" s="873"/>
      <c r="N1396" s="873"/>
      <c r="O1396" s="873"/>
      <c r="P1396" s="873"/>
      <c r="Q1396" s="1165">
        <f>ROUND($Q$1395*K1396/($K$1396+$K$1397),0)</f>
        <v>159</v>
      </c>
      <c r="R1396" s="887"/>
      <c r="S1396" s="1273"/>
      <c r="T1396" s="1256"/>
      <c r="U1396" s="996"/>
      <c r="V1396" s="996" t="s">
        <v>11114</v>
      </c>
      <c r="W1396" s="992"/>
    </row>
    <row r="1397" spans="1:23" ht="14.5" customHeight="1">
      <c r="A1397" s="1034"/>
      <c r="B1397" s="1034"/>
      <c r="C1397" s="998"/>
      <c r="D1397" s="999" t="str">
        <f t="shared" si="206"/>
        <v/>
      </c>
      <c r="E1397" s="1002"/>
      <c r="F1397" s="999" t="str">
        <f t="shared" si="207"/>
        <v/>
      </c>
      <c r="G1397" s="1104" t="str">
        <f t="shared" si="208"/>
        <v>4622011</v>
      </c>
      <c r="H1397" s="1005" t="s">
        <v>7203</v>
      </c>
      <c r="I1397" s="1002" t="str">
        <f t="shared" si="210"/>
        <v>4622011002</v>
      </c>
      <c r="J1397" s="978" t="s">
        <v>7144</v>
      </c>
      <c r="K1397" s="895">
        <v>148547</v>
      </c>
      <c r="L1397" s="872"/>
      <c r="M1397" s="872"/>
      <c r="N1397" s="872"/>
      <c r="O1397" s="872"/>
      <c r="P1397" s="872"/>
      <c r="Q1397" s="1173">
        <f>Q1395-Q1396</f>
        <v>5102</v>
      </c>
      <c r="R1397" s="908"/>
      <c r="S1397" s="1277"/>
      <c r="T1397" s="908"/>
      <c r="U1397" s="1006"/>
      <c r="V1397" s="1006" t="s">
        <v>10129</v>
      </c>
      <c r="W1397" s="1003"/>
    </row>
    <row r="1398" spans="1:23" ht="14.5" customHeight="1">
      <c r="A1398" s="1034"/>
      <c r="B1398" s="1034"/>
      <c r="C1398" s="994" t="s">
        <v>7145</v>
      </c>
      <c r="D1398" s="988" t="str">
        <f t="shared" si="206"/>
        <v>471101</v>
      </c>
      <c r="E1398" s="989" t="s">
        <v>7146</v>
      </c>
      <c r="F1398" s="988" t="str">
        <f t="shared" si="207"/>
        <v>4711011</v>
      </c>
      <c r="G1398" s="1095" t="str">
        <f t="shared" si="208"/>
        <v>4711011</v>
      </c>
      <c r="I1398" s="944" t="str">
        <f t="shared" si="210"/>
        <v/>
      </c>
      <c r="J1398" s="990" t="s">
        <v>631</v>
      </c>
      <c r="K1398" s="873"/>
      <c r="L1398" s="873"/>
      <c r="M1398" s="873"/>
      <c r="N1398" s="886"/>
      <c r="O1398" s="886"/>
      <c r="P1398" s="896">
        <f>Q1398</f>
        <v>100481</v>
      </c>
      <c r="Q1398" s="1171">
        <f>SUM(Q1399:Q1404)</f>
        <v>100481</v>
      </c>
      <c r="R1398" s="882"/>
      <c r="S1398" s="1269"/>
      <c r="T1398" s="1254"/>
      <c r="U1398" s="996" t="s">
        <v>11115</v>
      </c>
      <c r="V1398" s="996"/>
      <c r="W1398" s="992" t="s">
        <v>11116</v>
      </c>
    </row>
    <row r="1399" spans="1:23" ht="14.5" customHeight="1">
      <c r="A1399" s="1034"/>
      <c r="B1399" s="1034"/>
      <c r="C1399" s="987"/>
      <c r="D1399" s="988" t="str">
        <f t="shared" si="206"/>
        <v/>
      </c>
      <c r="F1399" s="988" t="str">
        <f t="shared" si="207"/>
        <v/>
      </c>
      <c r="G1399" s="1095" t="str">
        <f t="shared" si="208"/>
        <v>4711011</v>
      </c>
      <c r="I1399" s="944" t="str">
        <f t="shared" si="210"/>
        <v/>
      </c>
      <c r="J1399" s="991" t="s">
        <v>7147</v>
      </c>
      <c r="K1399" s="873"/>
      <c r="L1399" s="873"/>
      <c r="M1399" s="873"/>
      <c r="N1399" s="886"/>
      <c r="O1399" s="886"/>
      <c r="P1399" s="886"/>
      <c r="Q1399" s="1167">
        <v>100088</v>
      </c>
      <c r="R1399" s="882"/>
      <c r="S1399" s="1269"/>
      <c r="T1399" s="1254"/>
      <c r="U1399" s="996"/>
      <c r="V1399" s="996"/>
      <c r="W1399" s="992" t="s">
        <v>11117</v>
      </c>
    </row>
    <row r="1400" spans="1:23" s="1122" customFormat="1" ht="14.5" hidden="1" customHeight="1">
      <c r="C1400" s="1049"/>
      <c r="D1400" s="1050" t="str">
        <f t="shared" si="206"/>
        <v/>
      </c>
      <c r="E1400" s="1051"/>
      <c r="F1400" s="1050" t="str">
        <f t="shared" si="207"/>
        <v/>
      </c>
      <c r="G1400" s="1119" t="str">
        <f t="shared" si="208"/>
        <v>4711011</v>
      </c>
      <c r="H1400" s="1120" t="s">
        <v>575</v>
      </c>
      <c r="I1400" s="1051" t="str">
        <f t="shared" si="210"/>
        <v>4711011101</v>
      </c>
      <c r="J1400" s="1121" t="s">
        <v>7148</v>
      </c>
      <c r="K1400" s="925"/>
      <c r="L1400" s="925"/>
      <c r="M1400" s="925"/>
      <c r="N1400" s="925"/>
      <c r="O1400" s="925"/>
      <c r="P1400" s="925"/>
      <c r="Q1400" s="1193"/>
      <c r="R1400" s="928"/>
      <c r="S1400" s="1283"/>
      <c r="T1400" s="1060"/>
      <c r="U1400" s="1074"/>
      <c r="V1400" s="1052" t="s">
        <v>11118</v>
      </c>
      <c r="W1400" s="1053" t="s">
        <v>11119</v>
      </c>
    </row>
    <row r="1401" spans="1:23" s="1122" customFormat="1" ht="14.5" hidden="1" customHeight="1">
      <c r="C1401" s="1049"/>
      <c r="D1401" s="1050" t="str">
        <f t="shared" si="206"/>
        <v/>
      </c>
      <c r="E1401" s="1051"/>
      <c r="F1401" s="1050" t="str">
        <f t="shared" si="207"/>
        <v/>
      </c>
      <c r="G1401" s="1119" t="str">
        <f t="shared" si="208"/>
        <v>4711011</v>
      </c>
      <c r="H1401" s="1120" t="s">
        <v>5381</v>
      </c>
      <c r="I1401" s="1051" t="str">
        <f t="shared" si="210"/>
        <v>4711011199</v>
      </c>
      <c r="J1401" s="1121" t="s">
        <v>7149</v>
      </c>
      <c r="K1401" s="925"/>
      <c r="L1401" s="925"/>
      <c r="M1401" s="925"/>
      <c r="N1401" s="925"/>
      <c r="O1401" s="925"/>
      <c r="P1401" s="925"/>
      <c r="Q1401" s="1193"/>
      <c r="R1401" s="928"/>
      <c r="S1401" s="1283"/>
      <c r="T1401" s="1060"/>
      <c r="U1401" s="1052"/>
      <c r="V1401" s="1052" t="s">
        <v>10129</v>
      </c>
      <c r="W1401" s="1053" t="s">
        <v>10122</v>
      </c>
    </row>
    <row r="1402" spans="1:23" ht="14.5" customHeight="1">
      <c r="A1402" s="1034"/>
      <c r="B1402" s="1034"/>
      <c r="C1402" s="987"/>
      <c r="D1402" s="988" t="str">
        <f t="shared" si="206"/>
        <v/>
      </c>
      <c r="F1402" s="988" t="str">
        <f t="shared" si="207"/>
        <v/>
      </c>
      <c r="G1402" s="1095" t="str">
        <f t="shared" si="208"/>
        <v>4711011</v>
      </c>
      <c r="I1402" s="944" t="str">
        <f t="shared" si="210"/>
        <v/>
      </c>
      <c r="J1402" s="991" t="s">
        <v>7150</v>
      </c>
      <c r="K1402" s="873"/>
      <c r="L1402" s="873"/>
      <c r="M1402" s="873"/>
      <c r="N1402" s="886"/>
      <c r="O1402" s="886"/>
      <c r="P1402" s="886"/>
      <c r="Q1402" s="1167">
        <v>393</v>
      </c>
      <c r="R1402" s="882"/>
      <c r="S1402" s="1269"/>
      <c r="T1402" s="1254"/>
      <c r="U1402" s="996" t="s">
        <v>11108</v>
      </c>
      <c r="V1402" s="996"/>
      <c r="W1402" s="1027" t="s">
        <v>11120</v>
      </c>
    </row>
    <row r="1403" spans="1:23" s="1122" customFormat="1" ht="14.5" hidden="1" customHeight="1">
      <c r="C1403" s="1049"/>
      <c r="D1403" s="1050" t="str">
        <f t="shared" si="206"/>
        <v/>
      </c>
      <c r="E1403" s="1051"/>
      <c r="F1403" s="1050" t="str">
        <f t="shared" si="207"/>
        <v/>
      </c>
      <c r="G1403" s="1119" t="str">
        <f t="shared" si="208"/>
        <v>4711011</v>
      </c>
      <c r="H1403" s="1120" t="s">
        <v>5383</v>
      </c>
      <c r="I1403" s="1051" t="str">
        <f t="shared" si="210"/>
        <v>4711011201</v>
      </c>
      <c r="J1403" s="1121" t="s">
        <v>7148</v>
      </c>
      <c r="K1403" s="925"/>
      <c r="L1403" s="925"/>
      <c r="M1403" s="925"/>
      <c r="N1403" s="925"/>
      <c r="O1403" s="925"/>
      <c r="P1403" s="925"/>
      <c r="Q1403" s="1193"/>
      <c r="R1403" s="928"/>
      <c r="S1403" s="1283"/>
      <c r="T1403" s="1060"/>
      <c r="U1403" s="1074"/>
      <c r="V1403" s="1052" t="s">
        <v>10129</v>
      </c>
      <c r="W1403" s="1053" t="s">
        <v>11119</v>
      </c>
    </row>
    <row r="1404" spans="1:23" s="1122" customFormat="1" ht="14.5" hidden="1" customHeight="1">
      <c r="C1404" s="1049"/>
      <c r="D1404" s="1050" t="str">
        <f t="shared" si="206"/>
        <v/>
      </c>
      <c r="E1404" s="1051"/>
      <c r="F1404" s="1050" t="str">
        <f t="shared" si="207"/>
        <v/>
      </c>
      <c r="G1404" s="1119" t="str">
        <f t="shared" si="208"/>
        <v>4711011</v>
      </c>
      <c r="H1404" s="1120" t="s">
        <v>5419</v>
      </c>
      <c r="I1404" s="1051" t="str">
        <f t="shared" si="210"/>
        <v>4711011299</v>
      </c>
      <c r="J1404" s="1121" t="s">
        <v>7149</v>
      </c>
      <c r="K1404" s="925"/>
      <c r="L1404" s="925"/>
      <c r="M1404" s="925"/>
      <c r="N1404" s="925"/>
      <c r="O1404" s="925"/>
      <c r="P1404" s="925"/>
      <c r="Q1404" s="1193"/>
      <c r="R1404" s="928"/>
      <c r="S1404" s="1283"/>
      <c r="T1404" s="1060"/>
      <c r="U1404" s="1052"/>
      <c r="V1404" s="1052" t="s">
        <v>10129</v>
      </c>
      <c r="W1404" s="1053" t="s">
        <v>10122</v>
      </c>
    </row>
    <row r="1405" spans="1:23" ht="14.5" customHeight="1">
      <c r="A1405" s="1034"/>
      <c r="B1405" s="1034"/>
      <c r="C1405" s="1023" t="s">
        <v>7151</v>
      </c>
      <c r="D1405" s="1024" t="str">
        <f t="shared" si="206"/>
        <v>471102</v>
      </c>
      <c r="E1405" s="1025" t="s">
        <v>7152</v>
      </c>
      <c r="F1405" s="1024" t="str">
        <f t="shared" si="207"/>
        <v>4711021</v>
      </c>
      <c r="G1405" s="1111" t="str">
        <f t="shared" si="208"/>
        <v>4711021</v>
      </c>
      <c r="H1405" s="1112" t="s">
        <v>7312</v>
      </c>
      <c r="I1405" s="1113" t="str">
        <f t="shared" si="210"/>
        <v>4711021001</v>
      </c>
      <c r="J1405" s="1026" t="s">
        <v>633</v>
      </c>
      <c r="K1405" s="912"/>
      <c r="L1405" s="913"/>
      <c r="M1405" s="913"/>
      <c r="N1405" s="912"/>
      <c r="O1405" s="912"/>
      <c r="P1405" s="914">
        <f t="shared" ref="P1405:P1410" si="211">Q1405</f>
        <v>7122</v>
      </c>
      <c r="Q1405" s="1186">
        <v>7122</v>
      </c>
      <c r="R1405" s="929"/>
      <c r="S1405" s="1280"/>
      <c r="T1405" s="929"/>
      <c r="U1405" s="1022" t="s">
        <v>11108</v>
      </c>
      <c r="V1405" s="1022" t="s">
        <v>10129</v>
      </c>
      <c r="W1405" s="1027" t="s">
        <v>11120</v>
      </c>
    </row>
    <row r="1406" spans="1:23" ht="14.5" customHeight="1">
      <c r="A1406" s="1034"/>
      <c r="B1406" s="1034"/>
      <c r="C1406" s="1023" t="s">
        <v>7153</v>
      </c>
      <c r="D1406" s="1024" t="str">
        <f t="shared" si="206"/>
        <v>471103</v>
      </c>
      <c r="E1406" s="1025" t="s">
        <v>7154</v>
      </c>
      <c r="F1406" s="1024" t="str">
        <f t="shared" si="207"/>
        <v>4711031</v>
      </c>
      <c r="G1406" s="1111" t="str">
        <f t="shared" si="208"/>
        <v>4711031</v>
      </c>
      <c r="H1406" s="1112" t="s">
        <v>36</v>
      </c>
      <c r="I1406" s="1113" t="str">
        <f t="shared" si="210"/>
        <v>4711031001</v>
      </c>
      <c r="J1406" s="1026" t="s">
        <v>634</v>
      </c>
      <c r="K1406" s="930">
        <v>1654386</v>
      </c>
      <c r="L1406" s="930">
        <v>154547</v>
      </c>
      <c r="M1406" s="930">
        <v>3106276.7660000003</v>
      </c>
      <c r="N1406" s="912"/>
      <c r="O1406" s="912"/>
      <c r="P1406" s="914">
        <f t="shared" si="211"/>
        <v>82311</v>
      </c>
      <c r="Q1406" s="1198">
        <f>ROUND(K1406*L1406/M1406,0)</f>
        <v>82311</v>
      </c>
      <c r="R1406" s="929"/>
      <c r="S1406" s="1280"/>
      <c r="T1406" s="929"/>
      <c r="U1406" s="1022" t="s">
        <v>11121</v>
      </c>
      <c r="V1406" s="1022" t="s">
        <v>10129</v>
      </c>
      <c r="W1406" s="1075" t="s">
        <v>11122</v>
      </c>
    </row>
    <row r="1407" spans="1:23" ht="14.5" customHeight="1">
      <c r="A1407" s="1034"/>
      <c r="B1407" s="1034"/>
      <c r="C1407" s="1023" t="s">
        <v>7155</v>
      </c>
      <c r="D1407" s="1024" t="str">
        <f t="shared" si="206"/>
        <v>481101</v>
      </c>
      <c r="E1407" s="1025" t="s">
        <v>7156</v>
      </c>
      <c r="F1407" s="1024" t="str">
        <f t="shared" si="207"/>
        <v>4811011</v>
      </c>
      <c r="G1407" s="1111" t="str">
        <f t="shared" si="208"/>
        <v>4811011</v>
      </c>
      <c r="H1407" s="1112" t="s">
        <v>36</v>
      </c>
      <c r="I1407" s="1113" t="str">
        <f t="shared" si="210"/>
        <v>4811011001</v>
      </c>
      <c r="J1407" s="1026" t="s">
        <v>636</v>
      </c>
      <c r="K1407" s="912"/>
      <c r="L1407" s="913"/>
      <c r="M1407" s="913"/>
      <c r="N1407" s="912"/>
      <c r="O1407" s="912"/>
      <c r="P1407" s="914">
        <f t="shared" si="211"/>
        <v>33399</v>
      </c>
      <c r="Q1407" s="1186">
        <v>33399</v>
      </c>
      <c r="R1407" s="929"/>
      <c r="S1407" s="1280"/>
      <c r="T1407" s="929"/>
      <c r="U1407" s="1022" t="s">
        <v>11123</v>
      </c>
      <c r="V1407" s="1022" t="s">
        <v>11124</v>
      </c>
      <c r="W1407" s="1027" t="s">
        <v>11125</v>
      </c>
    </row>
    <row r="1408" spans="1:23" ht="14.5" customHeight="1">
      <c r="A1408" s="1034"/>
      <c r="B1408" s="1034"/>
      <c r="C1408" s="1023" t="s">
        <v>7157</v>
      </c>
      <c r="D1408" s="1024" t="str">
        <f t="shared" si="206"/>
        <v>481102</v>
      </c>
      <c r="E1408" s="1025" t="s">
        <v>7158</v>
      </c>
      <c r="F1408" s="1024" t="str">
        <f t="shared" si="207"/>
        <v>4811021</v>
      </c>
      <c r="G1408" s="1111" t="str">
        <f t="shared" si="208"/>
        <v>4811021</v>
      </c>
      <c r="H1408" s="1112" t="s">
        <v>36</v>
      </c>
      <c r="I1408" s="1113" t="str">
        <f t="shared" si="210"/>
        <v>4811021001</v>
      </c>
      <c r="J1408" s="1026" t="s">
        <v>638</v>
      </c>
      <c r="K1408" s="930">
        <v>5043316</v>
      </c>
      <c r="L1408" s="930">
        <v>121832.73</v>
      </c>
      <c r="M1408" s="930">
        <v>2783999.29</v>
      </c>
      <c r="N1408" s="930">
        <v>4311</v>
      </c>
      <c r="O1408" s="930">
        <f>ROUND(K1408/115447,0)</f>
        <v>44</v>
      </c>
      <c r="P1408" s="914">
        <f t="shared" si="211"/>
        <v>189684</v>
      </c>
      <c r="Q1408" s="1198">
        <f>ROUND(N1408*O1408,0)</f>
        <v>189684</v>
      </c>
      <c r="R1408" s="929"/>
      <c r="S1408" s="1280"/>
      <c r="T1408" s="929"/>
      <c r="U1408" s="1022" t="s">
        <v>11126</v>
      </c>
      <c r="V1408" s="1022" t="s">
        <v>10129</v>
      </c>
      <c r="W1408" s="1027" t="s">
        <v>11127</v>
      </c>
    </row>
    <row r="1409" spans="1:23" ht="14.5" customHeight="1">
      <c r="A1409" s="1034"/>
      <c r="B1409" s="1034"/>
      <c r="C1409" s="1023" t="s">
        <v>7159</v>
      </c>
      <c r="D1409" s="1024" t="str">
        <f t="shared" si="206"/>
        <v>511101</v>
      </c>
      <c r="E1409" s="1025" t="s">
        <v>7160</v>
      </c>
      <c r="F1409" s="1024" t="str">
        <f t="shared" si="207"/>
        <v>5111011</v>
      </c>
      <c r="G1409" s="1111" t="str">
        <f t="shared" si="208"/>
        <v>5111011</v>
      </c>
      <c r="H1409" s="1112" t="s">
        <v>5349</v>
      </c>
      <c r="I1409" s="1113" t="str">
        <f t="shared" si="210"/>
        <v>5111011001</v>
      </c>
      <c r="J1409" s="1026" t="s">
        <v>7161</v>
      </c>
      <c r="K1409" s="930">
        <v>48959979</v>
      </c>
      <c r="L1409" s="930">
        <v>7528498.7199999997</v>
      </c>
      <c r="M1409" s="930">
        <v>301713395.06</v>
      </c>
      <c r="N1409" s="912"/>
      <c r="O1409" s="912"/>
      <c r="P1409" s="914">
        <f t="shared" si="211"/>
        <v>1221673</v>
      </c>
      <c r="Q1409" s="1198">
        <f>ROUND(K1409*L1409/M1409,0)</f>
        <v>1221673</v>
      </c>
      <c r="R1409" s="929"/>
      <c r="S1409" s="1280"/>
      <c r="T1409" s="929"/>
      <c r="U1409" s="1022" t="s">
        <v>11128</v>
      </c>
      <c r="V1409" s="1022"/>
      <c r="W1409" s="1076" t="s">
        <v>11129</v>
      </c>
    </row>
    <row r="1410" spans="1:23" ht="14.5" customHeight="1">
      <c r="C1410" s="1023" t="s">
        <v>7162</v>
      </c>
      <c r="D1410" s="1024" t="str">
        <f t="shared" si="206"/>
        <v>511201</v>
      </c>
      <c r="E1410" s="1025" t="s">
        <v>7163</v>
      </c>
      <c r="F1410" s="1024" t="str">
        <f t="shared" si="207"/>
        <v>5112011</v>
      </c>
      <c r="G1410" s="1111" t="str">
        <f t="shared" si="208"/>
        <v>5112011</v>
      </c>
      <c r="H1410" s="1112" t="s">
        <v>5349</v>
      </c>
      <c r="I1410" s="1113" t="str">
        <f t="shared" si="210"/>
        <v>5112011001</v>
      </c>
      <c r="J1410" s="1026" t="s">
        <v>7164</v>
      </c>
      <c r="K1410" s="930">
        <v>43758323</v>
      </c>
      <c r="L1410" s="930">
        <v>4885983.03</v>
      </c>
      <c r="M1410" s="930">
        <v>125368644.81999999</v>
      </c>
      <c r="N1410" s="912"/>
      <c r="O1410" s="912"/>
      <c r="P1410" s="914">
        <f t="shared" si="211"/>
        <v>1705390</v>
      </c>
      <c r="Q1410" s="1198">
        <f>ROUND(K1410*L1410/M1410,0)</f>
        <v>1705390</v>
      </c>
      <c r="R1410" s="929"/>
      <c r="S1410" s="1289">
        <f>'CT2015'!L1380/'CT2015'!J1380*100</f>
        <v>2.1352553105176919</v>
      </c>
      <c r="T1410" s="1296">
        <f>ROUND(Q1410*S1410/100,0)</f>
        <v>36414</v>
      </c>
      <c r="U1410" s="1022" t="s">
        <v>11128</v>
      </c>
      <c r="V1410" s="1022"/>
      <c r="W1410" s="1076" t="s">
        <v>11130</v>
      </c>
    </row>
    <row r="1411" spans="1:23" ht="14.5" customHeight="1">
      <c r="C1411" s="994" t="s">
        <v>7165</v>
      </c>
      <c r="D1411" s="988" t="str">
        <f t="shared" si="206"/>
        <v>531101</v>
      </c>
      <c r="E1411" s="989"/>
      <c r="F1411" s="988" t="str">
        <f t="shared" si="207"/>
        <v/>
      </c>
      <c r="I1411" s="944" t="str">
        <f t="shared" si="210"/>
        <v/>
      </c>
      <c r="J1411" s="990" t="s">
        <v>7166</v>
      </c>
      <c r="K1411" s="886"/>
      <c r="L1411" s="886"/>
      <c r="M1411" s="886"/>
      <c r="N1411" s="886"/>
      <c r="O1411" s="886"/>
      <c r="P1411" s="896">
        <f>Q1412+Q1415+Q1418+Q1419</f>
        <v>736714</v>
      </c>
      <c r="Q1411" s="1171"/>
      <c r="R1411" s="882"/>
      <c r="S1411" s="1269"/>
      <c r="T1411" s="1254"/>
      <c r="U1411" s="996"/>
      <c r="V1411" s="996"/>
      <c r="W1411" s="992"/>
    </row>
    <row r="1412" spans="1:23" ht="14.5" customHeight="1">
      <c r="C1412" s="994"/>
      <c r="D1412" s="988" t="str">
        <f t="shared" si="206"/>
        <v/>
      </c>
      <c r="E1412" s="944" t="s">
        <v>7167</v>
      </c>
      <c r="F1412" s="988" t="str">
        <f t="shared" si="207"/>
        <v>5311011</v>
      </c>
      <c r="G1412" s="1095" t="str">
        <f t="shared" ref="G1412:G1454" si="212">IF(F1412="",G1411,F1412)</f>
        <v>5311011</v>
      </c>
      <c r="H1412" s="1016" t="s">
        <v>5349</v>
      </c>
      <c r="I1412" s="944" t="str">
        <f t="shared" si="210"/>
        <v>5311011001</v>
      </c>
      <c r="J1412" s="990" t="s">
        <v>7168</v>
      </c>
      <c r="K1412" s="886"/>
      <c r="L1412" s="873"/>
      <c r="M1412" s="873"/>
      <c r="N1412" s="886"/>
      <c r="O1412" s="886"/>
      <c r="P1412" s="896"/>
      <c r="Q1412" s="1174">
        <v>29445</v>
      </c>
      <c r="R1412" s="882"/>
      <c r="S1412" s="1269"/>
      <c r="T1412" s="1254"/>
      <c r="U1412" s="991"/>
      <c r="W1412" s="992" t="s">
        <v>11131</v>
      </c>
    </row>
    <row r="1413" spans="1:23" ht="14.5" customHeight="1">
      <c r="C1413" s="994"/>
      <c r="F1413" s="988"/>
      <c r="J1413" s="991" t="s">
        <v>7169</v>
      </c>
      <c r="K1413" s="890">
        <v>1673387.7943392769</v>
      </c>
      <c r="L1413" s="890">
        <v>2668199</v>
      </c>
      <c r="M1413" s="890">
        <v>213536156.25</v>
      </c>
      <c r="N1413" s="886"/>
      <c r="O1413" s="886"/>
      <c r="P1413" s="886"/>
      <c r="Q1413" s="1162">
        <f t="shared" ref="Q1413:Q1421" si="213">ROUND(K1413*L1413/M1413,0)</f>
        <v>20909</v>
      </c>
      <c r="R1413" s="882"/>
      <c r="S1413" s="1269"/>
      <c r="T1413" s="1254"/>
      <c r="U1413" s="1010" t="s">
        <v>11132</v>
      </c>
      <c r="V1413" s="996" t="s">
        <v>11133</v>
      </c>
      <c r="W1413" s="992" t="s">
        <v>11134</v>
      </c>
    </row>
    <row r="1414" spans="1:23" ht="14.5" customHeight="1">
      <c r="C1414" s="994"/>
      <c r="F1414" s="988"/>
      <c r="J1414" s="991" t="s">
        <v>7170</v>
      </c>
      <c r="K1414" s="890">
        <v>185155.43132607453</v>
      </c>
      <c r="L1414" s="890">
        <v>8130855</v>
      </c>
      <c r="M1414" s="890">
        <v>179016950</v>
      </c>
      <c r="N1414" s="886"/>
      <c r="O1414" s="886"/>
      <c r="P1414" s="886"/>
      <c r="Q1414" s="1162">
        <f t="shared" si="213"/>
        <v>8410</v>
      </c>
      <c r="R1414" s="882"/>
      <c r="S1414" s="1269"/>
      <c r="T1414" s="1254"/>
      <c r="U1414" s="1010" t="s">
        <v>11132</v>
      </c>
      <c r="V1414" s="996" t="s">
        <v>10129</v>
      </c>
      <c r="W1414" s="992" t="s">
        <v>11134</v>
      </c>
    </row>
    <row r="1415" spans="1:23" ht="14.5" customHeight="1">
      <c r="C1415" s="994"/>
      <c r="D1415" s="988" t="str">
        <f t="shared" si="206"/>
        <v/>
      </c>
      <c r="E1415" s="944" t="s">
        <v>7171</v>
      </c>
      <c r="F1415" s="988" t="str">
        <f t="shared" ref="F1415:F1452" si="214">IF(E1415="","",CONCATENATE(LEFT(E1415,4),MID(E1415,6,3)))</f>
        <v>5311012</v>
      </c>
      <c r="G1415" s="1095" t="str">
        <f>IF(F1415="",G1412,F1415)</f>
        <v>5311012</v>
      </c>
      <c r="H1415" s="1016" t="s">
        <v>5349</v>
      </c>
      <c r="I1415" s="944" t="str">
        <f t="shared" si="210"/>
        <v>5311012001</v>
      </c>
      <c r="J1415" s="990" t="s">
        <v>7172</v>
      </c>
      <c r="K1415" s="873"/>
      <c r="L1415" s="873"/>
      <c r="M1415" s="873"/>
      <c r="N1415" s="886"/>
      <c r="O1415" s="886"/>
      <c r="P1415" s="896"/>
      <c r="Q1415" s="1171">
        <f>SUM(Q1416:Q1417)</f>
        <v>313038</v>
      </c>
      <c r="R1415" s="882"/>
      <c r="S1415" s="1269"/>
      <c r="T1415" s="1254"/>
      <c r="U1415" s="996"/>
      <c r="V1415" s="996"/>
      <c r="W1415" s="992"/>
    </row>
    <row r="1416" spans="1:23" ht="14.5" customHeight="1">
      <c r="C1416" s="994"/>
      <c r="F1416" s="988"/>
      <c r="J1416" s="991" t="s">
        <v>7169</v>
      </c>
      <c r="K1416" s="890">
        <v>8185306.8069594549</v>
      </c>
      <c r="L1416" s="890">
        <v>18116334</v>
      </c>
      <c r="M1416" s="890">
        <v>649362247.5</v>
      </c>
      <c r="N1416" s="886"/>
      <c r="O1416" s="886"/>
      <c r="P1416" s="886"/>
      <c r="Q1416" s="1162">
        <f t="shared" si="213"/>
        <v>228359</v>
      </c>
      <c r="R1416" s="882"/>
      <c r="S1416" s="1269"/>
      <c r="T1416" s="1254"/>
      <c r="U1416" s="1010" t="s">
        <v>11132</v>
      </c>
      <c r="V1416" s="996" t="s">
        <v>11133</v>
      </c>
      <c r="W1416" s="992" t="s">
        <v>11134</v>
      </c>
    </row>
    <row r="1417" spans="1:23" ht="14.5" customHeight="1">
      <c r="C1417" s="994"/>
      <c r="F1417" s="988"/>
      <c r="J1417" s="991" t="s">
        <v>7170</v>
      </c>
      <c r="K1417" s="890">
        <v>2150079.1930405451</v>
      </c>
      <c r="L1417" s="890">
        <v>46049765</v>
      </c>
      <c r="M1417" s="890">
        <v>1169248577.5</v>
      </c>
      <c r="N1417" s="886"/>
      <c r="O1417" s="886"/>
      <c r="P1417" s="886"/>
      <c r="Q1417" s="1162">
        <f t="shared" si="213"/>
        <v>84679</v>
      </c>
      <c r="R1417" s="882"/>
      <c r="S1417" s="1269"/>
      <c r="T1417" s="1254"/>
      <c r="U1417" s="1010" t="s">
        <v>11132</v>
      </c>
      <c r="V1417" s="996" t="s">
        <v>10129</v>
      </c>
      <c r="W1417" s="992" t="s">
        <v>11134</v>
      </c>
    </row>
    <row r="1418" spans="1:23" ht="14.5" customHeight="1">
      <c r="C1418" s="994"/>
      <c r="D1418" s="988" t="str">
        <f t="shared" si="206"/>
        <v/>
      </c>
      <c r="E1418" s="944" t="s">
        <v>7173</v>
      </c>
      <c r="F1418" s="988" t="str">
        <f t="shared" si="214"/>
        <v>5311013</v>
      </c>
      <c r="G1418" s="1095" t="str">
        <f>IF(F1418="",G1415,F1418)</f>
        <v>5311013</v>
      </c>
      <c r="H1418" s="1016" t="s">
        <v>5349</v>
      </c>
      <c r="I1418" s="944" t="str">
        <f t="shared" si="210"/>
        <v>5311013001</v>
      </c>
      <c r="J1418" s="990" t="s">
        <v>648</v>
      </c>
      <c r="K1418" s="890">
        <v>414625</v>
      </c>
      <c r="L1418" s="873">
        <f>SUM(L1413:L1414)</f>
        <v>10799054</v>
      </c>
      <c r="M1418" s="873">
        <f>SUM(M1413:M1414)</f>
        <v>392553106.25</v>
      </c>
      <c r="N1418" s="886"/>
      <c r="O1418" s="886"/>
      <c r="P1418" s="896"/>
      <c r="Q1418" s="1171">
        <f t="shared" si="213"/>
        <v>11406</v>
      </c>
      <c r="R1418" s="882"/>
      <c r="S1418" s="1269"/>
      <c r="T1418" s="1254"/>
      <c r="U1418" s="1010" t="s">
        <v>11132</v>
      </c>
      <c r="V1418" s="996" t="s">
        <v>10129</v>
      </c>
      <c r="W1418" s="992" t="s">
        <v>11135</v>
      </c>
    </row>
    <row r="1419" spans="1:23" ht="14.5" customHeight="1">
      <c r="C1419" s="994"/>
      <c r="D1419" s="988" t="str">
        <f t="shared" si="206"/>
        <v/>
      </c>
      <c r="E1419" s="944" t="s">
        <v>7174</v>
      </c>
      <c r="F1419" s="988" t="str">
        <f t="shared" si="214"/>
        <v>5311014</v>
      </c>
      <c r="G1419" s="1095" t="str">
        <f t="shared" si="212"/>
        <v>5311014</v>
      </c>
      <c r="H1419" s="1016" t="s">
        <v>5349</v>
      </c>
      <c r="I1419" s="944" t="str">
        <f t="shared" si="210"/>
        <v>5311014001</v>
      </c>
      <c r="J1419" s="990" t="s">
        <v>649</v>
      </c>
      <c r="K1419" s="890">
        <v>10850112</v>
      </c>
      <c r="L1419" s="873">
        <f>SUM(L1416:L1417)</f>
        <v>64166099</v>
      </c>
      <c r="M1419" s="873">
        <f>SUM(M1416:M1417)</f>
        <v>1818610825</v>
      </c>
      <c r="N1419" s="886"/>
      <c r="O1419" s="886"/>
      <c r="P1419" s="896"/>
      <c r="Q1419" s="1171">
        <f t="shared" si="213"/>
        <v>382825</v>
      </c>
      <c r="R1419" s="882"/>
      <c r="S1419" s="1269"/>
      <c r="T1419" s="1254"/>
      <c r="U1419" s="1003" t="s">
        <v>11132</v>
      </c>
      <c r="V1419" s="996" t="s">
        <v>10129</v>
      </c>
      <c r="W1419" s="992" t="s">
        <v>11136</v>
      </c>
    </row>
    <row r="1420" spans="1:23" ht="14.5" customHeight="1">
      <c r="A1420" s="1140"/>
      <c r="B1420" s="1140"/>
      <c r="C1420" s="1023" t="s">
        <v>7175</v>
      </c>
      <c r="D1420" s="1024" t="str">
        <f t="shared" si="206"/>
        <v>531201</v>
      </c>
      <c r="E1420" s="1025" t="s">
        <v>7176</v>
      </c>
      <c r="F1420" s="1024" t="str">
        <f t="shared" si="214"/>
        <v>5312011</v>
      </c>
      <c r="G1420" s="1111" t="str">
        <f t="shared" si="212"/>
        <v>5312011</v>
      </c>
      <c r="H1420" s="1112" t="s">
        <v>5349</v>
      </c>
      <c r="I1420" s="1113" t="str">
        <f t="shared" si="210"/>
        <v>5312011001</v>
      </c>
      <c r="J1420" s="1026" t="s">
        <v>651</v>
      </c>
      <c r="K1420" s="930">
        <v>8017322</v>
      </c>
      <c r="L1420" s="930">
        <v>50197961</v>
      </c>
      <c r="M1420" s="930">
        <v>1509158434.25</v>
      </c>
      <c r="N1420" s="912"/>
      <c r="O1420" s="912"/>
      <c r="P1420" s="914">
        <f>Q1420</f>
        <v>266674</v>
      </c>
      <c r="Q1420" s="1198">
        <f t="shared" si="213"/>
        <v>266674</v>
      </c>
      <c r="R1420" s="929"/>
      <c r="S1420" s="1280"/>
      <c r="T1420" s="929"/>
      <c r="U1420" s="1022" t="s">
        <v>11137</v>
      </c>
      <c r="V1420" s="1022" t="s">
        <v>11138</v>
      </c>
      <c r="W1420" s="1027" t="s">
        <v>11139</v>
      </c>
    </row>
    <row r="1421" spans="1:23" ht="14.5" customHeight="1">
      <c r="A1421" s="1140"/>
      <c r="B1421" s="1140"/>
      <c r="C1421" s="1023" t="s">
        <v>7177</v>
      </c>
      <c r="D1421" s="1024" t="str">
        <f t="shared" si="206"/>
        <v>531202</v>
      </c>
      <c r="E1421" s="1025" t="s">
        <v>7178</v>
      </c>
      <c r="F1421" s="1024" t="str">
        <f t="shared" si="214"/>
        <v>5312021</v>
      </c>
      <c r="G1421" s="1111" t="str">
        <f t="shared" si="212"/>
        <v>5312021</v>
      </c>
      <c r="H1421" s="1112" t="s">
        <v>5349</v>
      </c>
      <c r="I1421" s="1113" t="str">
        <f t="shared" si="210"/>
        <v>5312021001</v>
      </c>
      <c r="J1421" s="1026" t="s">
        <v>652</v>
      </c>
      <c r="K1421" s="930">
        <v>4771376</v>
      </c>
      <c r="L1421" s="930">
        <v>242672575</v>
      </c>
      <c r="M1421" s="930">
        <v>6257293139.75</v>
      </c>
      <c r="N1421" s="912"/>
      <c r="O1421" s="912"/>
      <c r="P1421" s="914">
        <f>Q1421</f>
        <v>185045</v>
      </c>
      <c r="Q1421" s="1198">
        <f t="shared" si="213"/>
        <v>185045</v>
      </c>
      <c r="R1421" s="929"/>
      <c r="S1421" s="1289">
        <f>'CT2015'!K1391</f>
        <v>0.1</v>
      </c>
      <c r="T1421" s="929">
        <f>ROUND(Q1421*S1421/100,0)</f>
        <v>185</v>
      </c>
      <c r="U1421" s="1077" t="s">
        <v>11140</v>
      </c>
      <c r="V1421" s="1022" t="s">
        <v>10145</v>
      </c>
      <c r="W1421" s="992"/>
    </row>
    <row r="1422" spans="1:23" ht="14.5" customHeight="1">
      <c r="C1422" s="994" t="s">
        <v>7179</v>
      </c>
      <c r="D1422" s="988" t="str">
        <f t="shared" si="206"/>
        <v>551101</v>
      </c>
      <c r="E1422" s="989" t="s">
        <v>7180</v>
      </c>
      <c r="F1422" s="988" t="str">
        <f t="shared" si="214"/>
        <v>5511011</v>
      </c>
      <c r="G1422" s="1095" t="str">
        <f t="shared" si="212"/>
        <v>5511011</v>
      </c>
      <c r="I1422" s="944" t="str">
        <f t="shared" si="210"/>
        <v/>
      </c>
      <c r="J1422" s="990" t="s">
        <v>654</v>
      </c>
      <c r="K1422" s="886"/>
      <c r="L1422" s="886"/>
      <c r="M1422" s="886"/>
      <c r="N1422" s="886"/>
      <c r="O1422" s="886"/>
      <c r="P1422" s="896">
        <f>Q1422</f>
        <v>366924</v>
      </c>
      <c r="Q1422" s="1171">
        <f>SUM(Q1423:Q1424)</f>
        <v>366924</v>
      </c>
      <c r="R1422" s="882"/>
      <c r="S1422" s="1269"/>
      <c r="T1422" s="1254"/>
      <c r="U1422" s="996" t="s">
        <v>11141</v>
      </c>
      <c r="V1422" s="996"/>
      <c r="W1422" s="992"/>
    </row>
    <row r="1423" spans="1:23" ht="14.5" customHeight="1">
      <c r="C1423" s="994"/>
      <c r="D1423" s="988" t="str">
        <f t="shared" si="206"/>
        <v/>
      </c>
      <c r="E1423" s="989"/>
      <c r="F1423" s="988" t="str">
        <f t="shared" si="214"/>
        <v/>
      </c>
      <c r="G1423" s="1095" t="str">
        <f t="shared" si="212"/>
        <v>5511011</v>
      </c>
      <c r="H1423" s="1016" t="s">
        <v>36</v>
      </c>
      <c r="I1423" s="944" t="str">
        <f t="shared" si="210"/>
        <v>5511011001</v>
      </c>
      <c r="J1423" s="991" t="s">
        <v>7181</v>
      </c>
      <c r="K1423" s="890">
        <v>6979682</v>
      </c>
      <c r="L1423" s="890">
        <f>17699-L1424</f>
        <v>9943</v>
      </c>
      <c r="M1423" s="890">
        <f>495525-M1424</f>
        <v>291489</v>
      </c>
      <c r="N1423" s="886"/>
      <c r="O1423" s="886"/>
      <c r="P1423" s="886"/>
      <c r="Q1423" s="1162">
        <f>ROUND(K1423*L1423/M1423,0)</f>
        <v>238084</v>
      </c>
      <c r="R1423" s="882"/>
      <c r="S1423" s="1269"/>
      <c r="T1423" s="1254"/>
      <c r="U1423" s="996"/>
      <c r="V1423" s="996"/>
      <c r="W1423" s="1078" t="s">
        <v>11142</v>
      </c>
    </row>
    <row r="1424" spans="1:23" ht="14.5" customHeight="1">
      <c r="C1424" s="994"/>
      <c r="D1424" s="988" t="str">
        <f t="shared" si="206"/>
        <v/>
      </c>
      <c r="E1424" s="989"/>
      <c r="F1424" s="988" t="str">
        <f t="shared" si="214"/>
        <v/>
      </c>
      <c r="G1424" s="1095" t="str">
        <f t="shared" si="212"/>
        <v>5511011</v>
      </c>
      <c r="H1424" s="1016" t="s">
        <v>5337</v>
      </c>
      <c r="I1424" s="944" t="str">
        <f t="shared" si="210"/>
        <v>5511011002</v>
      </c>
      <c r="J1424" s="991" t="s">
        <v>7182</v>
      </c>
      <c r="K1424" s="890">
        <v>3389372</v>
      </c>
      <c r="L1424" s="890">
        <f>2422+3632+1335+367</f>
        <v>7756</v>
      </c>
      <c r="M1424" s="890">
        <f>70263+94867+29716+9190</f>
        <v>204036</v>
      </c>
      <c r="N1424" s="886"/>
      <c r="O1424" s="886"/>
      <c r="P1424" s="886"/>
      <c r="Q1424" s="1162">
        <f>ROUND(K1424*L1424/M1424,0)</f>
        <v>128840</v>
      </c>
      <c r="R1424" s="882"/>
      <c r="S1424" s="1269"/>
      <c r="T1424" s="1254"/>
      <c r="U1424" s="996"/>
      <c r="V1424" s="996"/>
      <c r="W1424" s="992" t="s">
        <v>11143</v>
      </c>
    </row>
    <row r="1425" spans="3:23" ht="14.5" customHeight="1">
      <c r="C1425" s="981" t="s">
        <v>11144</v>
      </c>
      <c r="D1425" s="982" t="str">
        <f>IF(C1425="","",CONCATENATE(LEFT(C1425,4),MID(C1425,6,2)))</f>
        <v>551102</v>
      </c>
      <c r="E1425" s="983" t="s">
        <v>7184</v>
      </c>
      <c r="F1425" s="982" t="str">
        <f t="shared" si="214"/>
        <v>5511021</v>
      </c>
      <c r="G1425" s="1103"/>
      <c r="H1425" s="1102"/>
      <c r="I1425" s="947"/>
      <c r="J1425" s="984" t="s">
        <v>656</v>
      </c>
      <c r="K1425" s="923"/>
      <c r="L1425" s="923"/>
      <c r="M1425" s="923"/>
      <c r="N1425" s="889"/>
      <c r="O1425" s="889"/>
      <c r="P1425" s="881">
        <f>Q1425</f>
        <v>469777</v>
      </c>
      <c r="Q1425" s="1160">
        <f>SUM(Q1426:Q1427)</f>
        <v>469777</v>
      </c>
      <c r="R1425" s="880"/>
      <c r="S1425" s="1290">
        <f>'CT2015'!K1395</f>
        <v>0.2</v>
      </c>
      <c r="T1425" s="880">
        <f>ROUND(Q1425*S1425/100,0)</f>
        <v>940</v>
      </c>
      <c r="U1425" s="993" t="s">
        <v>11145</v>
      </c>
      <c r="V1425" s="993"/>
      <c r="W1425" s="986"/>
    </row>
    <row r="1426" spans="3:23" ht="14.5" customHeight="1">
      <c r="C1426" s="994"/>
      <c r="D1426" s="988" t="str">
        <f t="shared" ref="D1426:D1452" si="215">IF(C1426="","",CONCATENATE(LEFT(C1426,4),MID(C1426,6,2)))</f>
        <v/>
      </c>
      <c r="E1426" s="989"/>
      <c r="F1426" s="988" t="str">
        <f t="shared" si="214"/>
        <v/>
      </c>
      <c r="G1426" s="1095" t="str">
        <f>IF(F1426="",G1424,F1426)</f>
        <v>5511011</v>
      </c>
      <c r="H1426" s="1016" t="s">
        <v>36</v>
      </c>
      <c r="I1426" s="944" t="str">
        <f t="shared" si="210"/>
        <v>5511011001</v>
      </c>
      <c r="J1426" s="991" t="s">
        <v>11146</v>
      </c>
      <c r="K1426" s="890">
        <v>13022254</v>
      </c>
      <c r="L1426" s="890">
        <f>13351-10</f>
        <v>13341</v>
      </c>
      <c r="M1426" s="890">
        <f>370469-540</f>
        <v>369929</v>
      </c>
      <c r="N1426" s="886"/>
      <c r="O1426" s="886"/>
      <c r="P1426" s="886"/>
      <c r="Q1426" s="1162">
        <f>ROUND(K1426*L1426/M1426,0)</f>
        <v>469630</v>
      </c>
      <c r="R1426" s="882"/>
      <c r="S1426" s="1269"/>
      <c r="T1426" s="1254"/>
      <c r="U1426" s="996"/>
      <c r="V1426" s="996"/>
      <c r="W1426" s="992" t="s">
        <v>11147</v>
      </c>
    </row>
    <row r="1427" spans="3:23" ht="14.5" customHeight="1">
      <c r="C1427" s="1015"/>
      <c r="D1427" s="999"/>
      <c r="E1427" s="1000"/>
      <c r="F1427" s="999"/>
      <c r="G1427" s="1104" t="str">
        <f t="shared" si="212"/>
        <v>5511011</v>
      </c>
      <c r="H1427" s="1005" t="s">
        <v>7203</v>
      </c>
      <c r="I1427" s="1002" t="str">
        <f t="shared" si="210"/>
        <v>5511011002</v>
      </c>
      <c r="J1427" s="978" t="s">
        <v>11148</v>
      </c>
      <c r="K1427" s="895">
        <v>7953</v>
      </c>
      <c r="L1427" s="895">
        <v>10</v>
      </c>
      <c r="M1427" s="895">
        <v>540</v>
      </c>
      <c r="N1427" s="893"/>
      <c r="O1427" s="893"/>
      <c r="P1427" s="888"/>
      <c r="Q1427" s="1176">
        <f>ROUND(K1427*L1427/M1427,0)</f>
        <v>147</v>
      </c>
      <c r="R1427" s="900"/>
      <c r="S1427" s="1272"/>
      <c r="T1427" s="900"/>
      <c r="U1427" s="1006"/>
      <c r="V1427" s="1006"/>
      <c r="W1427" s="992" t="s">
        <v>11149</v>
      </c>
    </row>
    <row r="1428" spans="3:23" ht="14.5" customHeight="1">
      <c r="C1428" s="1023" t="s">
        <v>7185</v>
      </c>
      <c r="D1428" s="1024" t="str">
        <f t="shared" si="215"/>
        <v>552101</v>
      </c>
      <c r="E1428" s="1025" t="s">
        <v>7186</v>
      </c>
      <c r="F1428" s="1024" t="str">
        <f t="shared" si="214"/>
        <v>5521011</v>
      </c>
      <c r="G1428" s="1111" t="str">
        <f>IF(F1428="",G1426,F1428)</f>
        <v>5521011</v>
      </c>
      <c r="H1428" s="1112" t="s">
        <v>36</v>
      </c>
      <c r="I1428" s="1113" t="str">
        <f t="shared" si="210"/>
        <v>5521011001</v>
      </c>
      <c r="J1428" s="1026" t="s">
        <v>7187</v>
      </c>
      <c r="K1428" s="912"/>
      <c r="L1428" s="913"/>
      <c r="M1428" s="913"/>
      <c r="N1428" s="912"/>
      <c r="O1428" s="912"/>
      <c r="P1428" s="931">
        <f>Q1428</f>
        <v>506567</v>
      </c>
      <c r="Q1428" s="1186">
        <v>506567</v>
      </c>
      <c r="R1428" s="929"/>
      <c r="S1428" s="1280"/>
      <c r="T1428" s="929"/>
      <c r="U1428" s="1022" t="s">
        <v>11150</v>
      </c>
      <c r="V1428" s="1022" t="s">
        <v>11151</v>
      </c>
      <c r="W1428" s="1027" t="s">
        <v>11152</v>
      </c>
    </row>
    <row r="1429" spans="3:23" ht="14.5" customHeight="1">
      <c r="C1429" s="1023" t="s">
        <v>7188</v>
      </c>
      <c r="D1429" s="1024" t="str">
        <f t="shared" si="215"/>
        <v>553101</v>
      </c>
      <c r="E1429" s="1025" t="s">
        <v>7189</v>
      </c>
      <c r="F1429" s="1024" t="str">
        <f t="shared" si="214"/>
        <v>5531011</v>
      </c>
      <c r="G1429" s="1111" t="str">
        <f t="shared" si="212"/>
        <v>5531011</v>
      </c>
      <c r="H1429" s="1112" t="s">
        <v>36</v>
      </c>
      <c r="I1429" s="1113" t="str">
        <f t="shared" si="210"/>
        <v>5531011001</v>
      </c>
      <c r="J1429" s="1026" t="s">
        <v>7190</v>
      </c>
      <c r="K1429" s="912"/>
      <c r="L1429" s="913"/>
      <c r="M1429" s="913"/>
      <c r="N1429" s="912"/>
      <c r="O1429" s="912"/>
      <c r="P1429" s="931">
        <f>Q1429</f>
        <v>2168384</v>
      </c>
      <c r="Q1429" s="1186">
        <v>2168384</v>
      </c>
      <c r="R1429" s="929"/>
      <c r="S1429" s="1280"/>
      <c r="T1429" s="929"/>
      <c r="U1429" s="1022" t="s">
        <v>11150</v>
      </c>
      <c r="V1429" s="1022" t="s">
        <v>10129</v>
      </c>
      <c r="W1429" s="1027" t="s">
        <v>11152</v>
      </c>
    </row>
    <row r="1430" spans="3:23" ht="14.5" customHeight="1">
      <c r="C1430" s="994" t="s">
        <v>7191</v>
      </c>
      <c r="D1430" s="988" t="str">
        <f t="shared" si="215"/>
        <v>571101</v>
      </c>
      <c r="E1430" s="989" t="s">
        <v>7192</v>
      </c>
      <c r="F1430" s="988" t="str">
        <f t="shared" si="214"/>
        <v>5711011</v>
      </c>
      <c r="G1430" s="1095" t="str">
        <f t="shared" si="212"/>
        <v>5711011</v>
      </c>
      <c r="I1430" s="944" t="str">
        <f t="shared" si="210"/>
        <v/>
      </c>
      <c r="J1430" s="990" t="s">
        <v>662</v>
      </c>
      <c r="K1430" s="890">
        <v>4690299</v>
      </c>
      <c r="L1430" s="886"/>
      <c r="M1430" s="886"/>
      <c r="N1430" s="886"/>
      <c r="O1430" s="886"/>
      <c r="P1430" s="896">
        <f>Q1430</f>
        <v>197573</v>
      </c>
      <c r="Q1430" s="1171">
        <f>SUM(Q1431:Q1438)</f>
        <v>197573</v>
      </c>
      <c r="R1430" s="882"/>
      <c r="S1430" s="1269"/>
      <c r="T1430" s="1254"/>
      <c r="U1430" s="1079"/>
      <c r="V1430" s="996"/>
      <c r="W1430" s="992"/>
    </row>
    <row r="1431" spans="3:23" ht="14.5" customHeight="1">
      <c r="C1431" s="987"/>
      <c r="D1431" s="988" t="str">
        <f t="shared" si="215"/>
        <v/>
      </c>
      <c r="F1431" s="988" t="str">
        <f t="shared" si="214"/>
        <v/>
      </c>
      <c r="G1431" s="1095" t="str">
        <f t="shared" si="212"/>
        <v>5711011</v>
      </c>
      <c r="H1431" s="1016" t="s">
        <v>5637</v>
      </c>
      <c r="I1431" s="944" t="str">
        <f t="shared" si="210"/>
        <v>5711011101</v>
      </c>
      <c r="J1431" s="991" t="s">
        <v>7193</v>
      </c>
      <c r="K1431" s="890">
        <v>1888935</v>
      </c>
      <c r="L1431" s="890">
        <v>92953</v>
      </c>
      <c r="M1431" s="890">
        <v>2240567.9926</v>
      </c>
      <c r="N1431" s="886"/>
      <c r="O1431" s="886"/>
      <c r="P1431" s="886"/>
      <c r="Q1431" s="1162">
        <f>ROUND(K1431*L1431/M1431,0)</f>
        <v>78365</v>
      </c>
      <c r="R1431" s="882"/>
      <c r="S1431" s="1287">
        <f>'CT2015'!K1399</f>
        <v>3.2</v>
      </c>
      <c r="T1431" s="1254">
        <f>ROUND(Q1431*S1431/100,0)</f>
        <v>2508</v>
      </c>
      <c r="U1431" s="996" t="s">
        <v>11153</v>
      </c>
      <c r="V1431" s="996" t="s">
        <v>11065</v>
      </c>
      <c r="W1431" s="992" t="s">
        <v>11154</v>
      </c>
    </row>
    <row r="1432" spans="3:23" ht="14.5" customHeight="1">
      <c r="C1432" s="987"/>
      <c r="D1432" s="988" t="str">
        <f t="shared" si="215"/>
        <v/>
      </c>
      <c r="F1432" s="988" t="str">
        <f t="shared" si="214"/>
        <v/>
      </c>
      <c r="G1432" s="1095" t="str">
        <f t="shared" si="212"/>
        <v>5711011</v>
      </c>
      <c r="H1432" s="1016" t="s">
        <v>5657</v>
      </c>
      <c r="I1432" s="944" t="str">
        <f t="shared" si="210"/>
        <v>5711011102</v>
      </c>
      <c r="J1432" s="991" t="s">
        <v>7194</v>
      </c>
      <c r="K1432" s="890">
        <v>696971</v>
      </c>
      <c r="L1432" s="890">
        <v>250268</v>
      </c>
      <c r="M1432" s="890">
        <v>4912030.4406000003</v>
      </c>
      <c r="N1432" s="886"/>
      <c r="O1432" s="886"/>
      <c r="P1432" s="886"/>
      <c r="Q1432" s="1162">
        <f>ROUND(K1432*L1432/M1432,0)</f>
        <v>35511</v>
      </c>
      <c r="R1432" s="882"/>
      <c r="S1432" s="1269"/>
      <c r="T1432" s="1254"/>
      <c r="U1432" s="996" t="s">
        <v>10129</v>
      </c>
      <c r="V1432" s="996" t="s">
        <v>10129</v>
      </c>
      <c r="W1432" s="992" t="s">
        <v>11155</v>
      </c>
    </row>
    <row r="1433" spans="3:23" ht="14.5" customHeight="1">
      <c r="C1433" s="987"/>
      <c r="D1433" s="988" t="str">
        <f t="shared" si="215"/>
        <v/>
      </c>
      <c r="F1433" s="988" t="str">
        <f t="shared" si="214"/>
        <v/>
      </c>
      <c r="G1433" s="1095" t="str">
        <f t="shared" si="212"/>
        <v>5711011</v>
      </c>
      <c r="H1433" s="1016" t="s">
        <v>5659</v>
      </c>
      <c r="I1433" s="944" t="str">
        <f t="shared" si="210"/>
        <v>5711011103</v>
      </c>
      <c r="J1433" s="991" t="s">
        <v>11156</v>
      </c>
      <c r="K1433" s="890">
        <v>4214</v>
      </c>
      <c r="L1433" s="890">
        <f>L1431</f>
        <v>92953</v>
      </c>
      <c r="M1433" s="890">
        <f>M1431</f>
        <v>2240567.9926</v>
      </c>
      <c r="N1433" s="886"/>
      <c r="O1433" s="886"/>
      <c r="P1433" s="886"/>
      <c r="Q1433" s="1162">
        <f>ROUND(K1433*L1433/M1433,0)</f>
        <v>175</v>
      </c>
      <c r="R1433" s="882"/>
      <c r="S1433" s="1269"/>
      <c r="T1433" s="1254"/>
      <c r="U1433" s="996" t="s">
        <v>10129</v>
      </c>
      <c r="V1433" s="996" t="s">
        <v>10129</v>
      </c>
      <c r="W1433" s="992" t="s">
        <v>11157</v>
      </c>
    </row>
    <row r="1434" spans="3:23" ht="14.5" customHeight="1">
      <c r="C1434" s="987"/>
      <c r="D1434" s="988" t="str">
        <f t="shared" si="215"/>
        <v/>
      </c>
      <c r="F1434" s="988" t="str">
        <f t="shared" si="214"/>
        <v/>
      </c>
      <c r="G1434" s="1095" t="str">
        <f t="shared" si="212"/>
        <v>5711011</v>
      </c>
      <c r="H1434" s="1016" t="s">
        <v>5455</v>
      </c>
      <c r="I1434" s="944" t="str">
        <f t="shared" si="210"/>
        <v>5711011201</v>
      </c>
      <c r="J1434" s="991" t="s">
        <v>7196</v>
      </c>
      <c r="K1434" s="886"/>
      <c r="L1434" s="873"/>
      <c r="M1434" s="873"/>
      <c r="N1434" s="886"/>
      <c r="O1434" s="886"/>
      <c r="P1434" s="886"/>
      <c r="Q1434" s="1167">
        <v>43508</v>
      </c>
      <c r="R1434" s="882"/>
      <c r="S1434" s="1287">
        <f>'CT2015'!K1402</f>
        <v>3.2</v>
      </c>
      <c r="T1434" s="1254">
        <f>ROUND(Q1434*S1434/100,0)</f>
        <v>1392</v>
      </c>
      <c r="U1434" s="996" t="s">
        <v>11158</v>
      </c>
      <c r="V1434" s="996" t="s">
        <v>11065</v>
      </c>
      <c r="W1434" s="1009" t="s">
        <v>11159</v>
      </c>
    </row>
    <row r="1435" spans="3:23" ht="14.5" customHeight="1">
      <c r="C1435" s="987"/>
      <c r="D1435" s="988" t="str">
        <f t="shared" si="215"/>
        <v/>
      </c>
      <c r="F1435" s="988" t="str">
        <f t="shared" si="214"/>
        <v/>
      </c>
      <c r="G1435" s="1095" t="str">
        <f t="shared" si="212"/>
        <v>5711011</v>
      </c>
      <c r="H1435" s="1016" t="s">
        <v>5457</v>
      </c>
      <c r="I1435" s="944" t="str">
        <f t="shared" si="210"/>
        <v>5711011202</v>
      </c>
      <c r="J1435" s="991" t="s">
        <v>7197</v>
      </c>
      <c r="K1435" s="886"/>
      <c r="L1435" s="873"/>
      <c r="M1435" s="873"/>
      <c r="N1435" s="886"/>
      <c r="O1435" s="886"/>
      <c r="P1435" s="886"/>
      <c r="Q1435" s="1167">
        <v>37346</v>
      </c>
      <c r="R1435" s="882"/>
      <c r="S1435" s="1269"/>
      <c r="T1435" s="1254"/>
      <c r="U1435" s="996" t="s">
        <v>10129</v>
      </c>
      <c r="V1435" s="996" t="s">
        <v>10129</v>
      </c>
      <c r="W1435" s="1009" t="s">
        <v>10122</v>
      </c>
    </row>
    <row r="1436" spans="3:23" ht="14.5" customHeight="1">
      <c r="C1436" s="987"/>
      <c r="D1436" s="988" t="str">
        <f t="shared" si="215"/>
        <v/>
      </c>
      <c r="F1436" s="988" t="str">
        <f t="shared" si="214"/>
        <v/>
      </c>
      <c r="G1436" s="1095" t="str">
        <f t="shared" si="212"/>
        <v>5711011</v>
      </c>
      <c r="H1436" s="1016" t="s">
        <v>5387</v>
      </c>
      <c r="I1436" s="944" t="str">
        <f t="shared" si="210"/>
        <v>5711011203</v>
      </c>
      <c r="J1436" s="991" t="s">
        <v>11160</v>
      </c>
      <c r="K1436" s="890">
        <v>2789</v>
      </c>
      <c r="L1436" s="890">
        <v>542419</v>
      </c>
      <c r="M1436" s="890">
        <v>11725704.73699243</v>
      </c>
      <c r="N1436" s="886"/>
      <c r="O1436" s="886"/>
      <c r="P1436" s="886"/>
      <c r="Q1436" s="1165">
        <f>ROUND(K1436*L1436/M1436,0)</f>
        <v>129</v>
      </c>
      <c r="R1436" s="882"/>
      <c r="S1436" s="1269"/>
      <c r="T1436" s="1254"/>
      <c r="U1436" s="996" t="s">
        <v>11153</v>
      </c>
      <c r="V1436" s="996" t="s">
        <v>10129</v>
      </c>
      <c r="W1436" s="1009" t="s">
        <v>11161</v>
      </c>
    </row>
    <row r="1437" spans="3:23" ht="14.5" customHeight="1">
      <c r="C1437" s="987"/>
      <c r="D1437" s="988" t="str">
        <f>IF(C1437="","",CONCATENATE(LEFT(C1437,4),MID(C1437,6,2)))</f>
        <v/>
      </c>
      <c r="F1437" s="988" t="str">
        <f>IF(E1437="","",CONCATENATE(LEFT(E1437,4),MID(E1437,6,3)))</f>
        <v/>
      </c>
      <c r="G1437" s="1095" t="str">
        <f>IF(F1437="",G1435,F1437)</f>
        <v>5711011</v>
      </c>
      <c r="H1437" s="1016" t="s">
        <v>5476</v>
      </c>
      <c r="I1437" s="944" t="str">
        <f>IF(H1437="","",CONCATENATE(G1437,H1437))</f>
        <v>5711011301</v>
      </c>
      <c r="J1437" s="991" t="s">
        <v>7199</v>
      </c>
      <c r="K1437" s="873"/>
      <c r="L1437" s="873"/>
      <c r="M1437" s="873"/>
      <c r="N1437" s="886"/>
      <c r="O1437" s="886"/>
      <c r="P1437" s="886"/>
      <c r="Q1437" s="1167">
        <v>1375</v>
      </c>
      <c r="R1437" s="882"/>
      <c r="S1437" s="1269"/>
      <c r="T1437" s="1254"/>
      <c r="U1437" s="996" t="s">
        <v>11162</v>
      </c>
      <c r="V1437" s="996" t="s">
        <v>11163</v>
      </c>
      <c r="W1437" s="992" t="s">
        <v>11164</v>
      </c>
    </row>
    <row r="1438" spans="3:23" ht="14.5" customHeight="1">
      <c r="C1438" s="987"/>
      <c r="D1438" s="988" t="str">
        <f t="shared" si="215"/>
        <v/>
      </c>
      <c r="F1438" s="988" t="str">
        <f t="shared" si="214"/>
        <v/>
      </c>
      <c r="G1438" s="1095" t="str">
        <f>IF(F1438="",G1436,F1438)</f>
        <v>5711011</v>
      </c>
      <c r="H1438" s="1016" t="s">
        <v>5605</v>
      </c>
      <c r="I1438" s="944" t="str">
        <f t="shared" si="210"/>
        <v>5711011401</v>
      </c>
      <c r="J1438" s="991" t="s">
        <v>11165</v>
      </c>
      <c r="K1438" s="890">
        <v>36812</v>
      </c>
      <c r="L1438" s="890">
        <v>52</v>
      </c>
      <c r="M1438" s="890">
        <v>1644</v>
      </c>
      <c r="N1438" s="886"/>
      <c r="O1438" s="886"/>
      <c r="P1438" s="886"/>
      <c r="Q1438" s="1165">
        <f>ROUND(K1438*L1438/M1438,0)</f>
        <v>1164</v>
      </c>
      <c r="R1438" s="882"/>
      <c r="S1438" s="1269"/>
      <c r="T1438" s="1254"/>
      <c r="U1438" s="996" t="s">
        <v>11145</v>
      </c>
      <c r="V1438" s="996" t="s">
        <v>11163</v>
      </c>
      <c r="W1438" s="992" t="s">
        <v>11149</v>
      </c>
    </row>
    <row r="1439" spans="3:23" ht="14.5" customHeight="1">
      <c r="C1439" s="981" t="s">
        <v>7200</v>
      </c>
      <c r="D1439" s="982" t="str">
        <f t="shared" si="215"/>
        <v>571201</v>
      </c>
      <c r="E1439" s="983" t="s">
        <v>7201</v>
      </c>
      <c r="F1439" s="982" t="str">
        <f t="shared" si="214"/>
        <v>5712011</v>
      </c>
      <c r="G1439" s="1103" t="str">
        <f t="shared" si="212"/>
        <v>5712011</v>
      </c>
      <c r="H1439" s="1102"/>
      <c r="I1439" s="947" t="str">
        <f t="shared" si="210"/>
        <v/>
      </c>
      <c r="J1439" s="984" t="s">
        <v>665</v>
      </c>
      <c r="K1439" s="923">
        <v>138279</v>
      </c>
      <c r="L1439" s="897"/>
      <c r="M1439" s="897"/>
      <c r="N1439" s="889"/>
      <c r="O1439" s="889"/>
      <c r="P1439" s="881">
        <f>Q1439</f>
        <v>2173</v>
      </c>
      <c r="Q1439" s="1160">
        <f>SUM(Q1440:Q1443)</f>
        <v>2173</v>
      </c>
      <c r="R1439" s="880"/>
      <c r="S1439" s="1270"/>
      <c r="T1439" s="880"/>
      <c r="U1439" s="1080"/>
      <c r="V1439" s="993"/>
      <c r="W1439" s="986"/>
    </row>
    <row r="1440" spans="3:23" ht="14.5" customHeight="1">
      <c r="C1440" s="987"/>
      <c r="D1440" s="988" t="str">
        <f t="shared" si="215"/>
        <v/>
      </c>
      <c r="F1440" s="988" t="str">
        <f t="shared" si="214"/>
        <v/>
      </c>
      <c r="G1440" s="1095" t="str">
        <f t="shared" si="212"/>
        <v>5712011</v>
      </c>
      <c r="H1440" s="1016" t="s">
        <v>36</v>
      </c>
      <c r="I1440" s="944" t="str">
        <f t="shared" si="210"/>
        <v>5712011001</v>
      </c>
      <c r="J1440" s="991" t="s">
        <v>7202</v>
      </c>
      <c r="K1440" s="873"/>
      <c r="L1440" s="873"/>
      <c r="M1440" s="873"/>
      <c r="N1440" s="886"/>
      <c r="O1440" s="886"/>
      <c r="P1440" s="886"/>
      <c r="Q1440" s="1167">
        <v>1</v>
      </c>
      <c r="R1440" s="882"/>
      <c r="S1440" s="1269"/>
      <c r="T1440" s="1254"/>
      <c r="U1440" s="996" t="s">
        <v>11166</v>
      </c>
      <c r="V1440" s="996" t="s">
        <v>11167</v>
      </c>
      <c r="W1440" s="992" t="s">
        <v>11168</v>
      </c>
    </row>
    <row r="1441" spans="1:23" ht="14.5" customHeight="1">
      <c r="C1441" s="987"/>
      <c r="D1441" s="988" t="str">
        <f t="shared" si="215"/>
        <v/>
      </c>
      <c r="F1441" s="988" t="str">
        <f t="shared" si="214"/>
        <v/>
      </c>
      <c r="G1441" s="1095" t="str">
        <f t="shared" si="212"/>
        <v>5712011</v>
      </c>
      <c r="H1441" s="1016" t="s">
        <v>7203</v>
      </c>
      <c r="I1441" s="944" t="str">
        <f t="shared" si="210"/>
        <v>5712011002</v>
      </c>
      <c r="J1441" s="991" t="s">
        <v>7204</v>
      </c>
      <c r="K1441" s="873"/>
      <c r="L1441" s="873"/>
      <c r="M1441" s="873"/>
      <c r="N1441" s="886"/>
      <c r="O1441" s="886"/>
      <c r="P1441" s="886"/>
      <c r="Q1441" s="1167">
        <v>1990</v>
      </c>
      <c r="R1441" s="882"/>
      <c r="S1441" s="1269"/>
      <c r="T1441" s="1254"/>
      <c r="U1441" s="996" t="s">
        <v>11169</v>
      </c>
      <c r="V1441" s="996" t="s">
        <v>11170</v>
      </c>
      <c r="W1441" s="992" t="s">
        <v>11164</v>
      </c>
    </row>
    <row r="1442" spans="1:23" ht="14.5" customHeight="1">
      <c r="C1442" s="987"/>
      <c r="D1442" s="988" t="str">
        <f t="shared" si="215"/>
        <v/>
      </c>
      <c r="F1442" s="988" t="str">
        <f t="shared" si="214"/>
        <v/>
      </c>
      <c r="G1442" s="1095" t="str">
        <f t="shared" si="212"/>
        <v>5712011</v>
      </c>
      <c r="H1442" s="1016" t="s">
        <v>7205</v>
      </c>
      <c r="I1442" s="944" t="str">
        <f t="shared" si="210"/>
        <v>5712011003</v>
      </c>
      <c r="J1442" s="991" t="s">
        <v>7206</v>
      </c>
      <c r="K1442" s="873"/>
      <c r="L1442" s="873"/>
      <c r="M1442" s="873"/>
      <c r="N1442" s="886"/>
      <c r="O1442" s="886"/>
      <c r="P1442" s="886"/>
      <c r="Q1442" s="1167">
        <v>182</v>
      </c>
      <c r="R1442" s="882"/>
      <c r="S1442" s="1269"/>
      <c r="T1442" s="1254"/>
      <c r="U1442" s="996" t="s">
        <v>10129</v>
      </c>
      <c r="V1442" s="996" t="s">
        <v>10129</v>
      </c>
      <c r="W1442" s="992" t="s">
        <v>11164</v>
      </c>
    </row>
    <row r="1443" spans="1:23" ht="14.5" customHeight="1">
      <c r="C1443" s="987"/>
      <c r="D1443" s="988" t="str">
        <f t="shared" si="215"/>
        <v/>
      </c>
      <c r="F1443" s="988" t="str">
        <f t="shared" si="214"/>
        <v/>
      </c>
      <c r="G1443" s="1095" t="str">
        <f t="shared" si="212"/>
        <v>5712011</v>
      </c>
      <c r="H1443" s="1016" t="s">
        <v>7207</v>
      </c>
      <c r="I1443" s="944" t="str">
        <f t="shared" si="210"/>
        <v>5712011004</v>
      </c>
      <c r="J1443" s="991" t="s">
        <v>11171</v>
      </c>
      <c r="K1443" s="873"/>
      <c r="L1443" s="873"/>
      <c r="M1443" s="873"/>
      <c r="N1443" s="886"/>
      <c r="O1443" s="886"/>
      <c r="P1443" s="886"/>
      <c r="Q1443" s="1167">
        <v>0</v>
      </c>
      <c r="R1443" s="882"/>
      <c r="S1443" s="1269"/>
      <c r="T1443" s="1254"/>
      <c r="U1443" s="996"/>
      <c r="V1443" s="996" t="s">
        <v>10129</v>
      </c>
      <c r="W1443" s="992" t="s">
        <v>11172</v>
      </c>
    </row>
    <row r="1444" spans="1:23" ht="14.5" customHeight="1">
      <c r="C1444" s="981" t="s">
        <v>7209</v>
      </c>
      <c r="D1444" s="982" t="str">
        <f t="shared" si="215"/>
        <v>572101</v>
      </c>
      <c r="E1444" s="983" t="s">
        <v>7210</v>
      </c>
      <c r="F1444" s="982" t="str">
        <f t="shared" si="214"/>
        <v>5721011</v>
      </c>
      <c r="G1444" s="1103" t="str">
        <f t="shared" si="212"/>
        <v>5721011</v>
      </c>
      <c r="H1444" s="1102"/>
      <c r="I1444" s="947" t="str">
        <f t="shared" si="210"/>
        <v/>
      </c>
      <c r="J1444" s="984" t="s">
        <v>667</v>
      </c>
      <c r="K1444" s="889"/>
      <c r="L1444" s="889"/>
      <c r="M1444" s="889"/>
      <c r="N1444" s="889"/>
      <c r="O1444" s="889"/>
      <c r="P1444" s="881">
        <f>Q1444</f>
        <v>55794</v>
      </c>
      <c r="Q1444" s="1160">
        <f>SUM(Q1445:Q1448)</f>
        <v>55794</v>
      </c>
      <c r="R1444" s="880"/>
      <c r="S1444" s="1290">
        <f>'CT2015'!K1411</f>
        <v>3.2</v>
      </c>
      <c r="T1444" s="880">
        <f>ROUND(Q1444*S1444/100,0)</f>
        <v>1785</v>
      </c>
      <c r="U1444" s="993"/>
      <c r="V1444" s="993"/>
      <c r="W1444" s="986"/>
    </row>
    <row r="1445" spans="1:23" ht="14.5" customHeight="1">
      <c r="C1445" s="987"/>
      <c r="D1445" s="988" t="str">
        <f t="shared" si="215"/>
        <v/>
      </c>
      <c r="F1445" s="988" t="str">
        <f t="shared" si="214"/>
        <v/>
      </c>
      <c r="G1445" s="1095" t="str">
        <f t="shared" si="212"/>
        <v>5721011</v>
      </c>
      <c r="H1445" s="1016" t="s">
        <v>36</v>
      </c>
      <c r="I1445" s="944" t="str">
        <f t="shared" si="210"/>
        <v>5721011001</v>
      </c>
      <c r="J1445" s="991" t="s">
        <v>7211</v>
      </c>
      <c r="K1445" s="890">
        <v>732068</v>
      </c>
      <c r="L1445" s="890">
        <v>182574</v>
      </c>
      <c r="M1445" s="890">
        <v>3330466</v>
      </c>
      <c r="N1445" s="932"/>
      <c r="O1445" s="886"/>
      <c r="P1445" s="886"/>
      <c r="Q1445" s="1162">
        <f>ROUND(K1445*L1445/M1445,0)</f>
        <v>40131</v>
      </c>
      <c r="R1445" s="882"/>
      <c r="S1445" s="1269"/>
      <c r="T1445" s="1254"/>
      <c r="U1445" s="996" t="s">
        <v>11173</v>
      </c>
      <c r="V1445" s="996" t="s">
        <v>11174</v>
      </c>
      <c r="W1445" s="992" t="s">
        <v>11175</v>
      </c>
    </row>
    <row r="1446" spans="1:23" ht="14.5" customHeight="1">
      <c r="C1446" s="987"/>
      <c r="D1446" s="988" t="str">
        <f t="shared" si="215"/>
        <v/>
      </c>
      <c r="F1446" s="988" t="str">
        <f t="shared" si="214"/>
        <v/>
      </c>
      <c r="G1446" s="1095" t="str">
        <f t="shared" si="212"/>
        <v>5721011</v>
      </c>
      <c r="H1446" s="1016" t="s">
        <v>5337</v>
      </c>
      <c r="I1446" s="944" t="str">
        <f t="shared" si="210"/>
        <v>5721011002</v>
      </c>
      <c r="J1446" s="991" t="s">
        <v>7212</v>
      </c>
      <c r="K1446" s="890">
        <v>324559</v>
      </c>
      <c r="L1446" s="890">
        <v>6573</v>
      </c>
      <c r="M1446" s="890">
        <v>158485</v>
      </c>
      <c r="N1446" s="932"/>
      <c r="O1446" s="886"/>
      <c r="P1446" s="886"/>
      <c r="Q1446" s="1162">
        <f>ROUND(K1446*L1446/M1446,0)</f>
        <v>13461</v>
      </c>
      <c r="R1446" s="882"/>
      <c r="S1446" s="1269"/>
      <c r="T1446" s="1254"/>
      <c r="U1446" s="996" t="s">
        <v>11173</v>
      </c>
      <c r="V1446" s="996" t="s">
        <v>10129</v>
      </c>
      <c r="W1446" s="992" t="s">
        <v>10106</v>
      </c>
    </row>
    <row r="1447" spans="1:23" ht="14.5" customHeight="1">
      <c r="C1447" s="987"/>
      <c r="D1447" s="988" t="str">
        <f t="shared" si="215"/>
        <v/>
      </c>
      <c r="F1447" s="988" t="str">
        <f t="shared" si="214"/>
        <v/>
      </c>
      <c r="G1447" s="1095" t="str">
        <f t="shared" si="212"/>
        <v>5721011</v>
      </c>
      <c r="H1447" s="1016" t="s">
        <v>5339</v>
      </c>
      <c r="I1447" s="944" t="str">
        <f t="shared" si="210"/>
        <v>5721011003</v>
      </c>
      <c r="J1447" s="991" t="s">
        <v>7213</v>
      </c>
      <c r="K1447" s="890">
        <v>68330</v>
      </c>
      <c r="L1447" s="890">
        <v>537</v>
      </c>
      <c r="M1447" s="890">
        <v>16737</v>
      </c>
      <c r="N1447" s="932"/>
      <c r="O1447" s="886"/>
      <c r="P1447" s="886"/>
      <c r="Q1447" s="1162">
        <f>ROUND(K1447*L1447/M1447,0)</f>
        <v>2192</v>
      </c>
      <c r="R1447" s="882"/>
      <c r="S1447" s="1269"/>
      <c r="T1447" s="1254"/>
      <c r="U1447" s="996" t="s">
        <v>11145</v>
      </c>
      <c r="V1447" s="996"/>
      <c r="W1447" s="992" t="s">
        <v>11176</v>
      </c>
    </row>
    <row r="1448" spans="1:23" ht="14.5" customHeight="1">
      <c r="C1448" s="998"/>
      <c r="D1448" s="999"/>
      <c r="E1448" s="1002"/>
      <c r="F1448" s="999"/>
      <c r="G1448" s="1104" t="str">
        <f t="shared" si="212"/>
        <v>5721011</v>
      </c>
      <c r="H1448" s="1005" t="s">
        <v>5534</v>
      </c>
      <c r="I1448" s="1002" t="str">
        <f t="shared" si="210"/>
        <v>5721011101</v>
      </c>
      <c r="J1448" s="978" t="s">
        <v>11165</v>
      </c>
      <c r="K1448" s="895">
        <v>2261</v>
      </c>
      <c r="L1448" s="895">
        <v>10.45</v>
      </c>
      <c r="M1448" s="895">
        <v>2401.1999999999998</v>
      </c>
      <c r="N1448" s="933"/>
      <c r="O1448" s="893"/>
      <c r="P1448" s="893"/>
      <c r="Q1448" s="1173">
        <f>ROUND(K1448*L1448/M1448,0)</f>
        <v>10</v>
      </c>
      <c r="R1448" s="900"/>
      <c r="S1448" s="1272"/>
      <c r="T1448" s="900"/>
      <c r="U1448" s="1006" t="s">
        <v>10145</v>
      </c>
      <c r="V1448" s="1006"/>
      <c r="W1448" s="1003" t="s">
        <v>11177</v>
      </c>
    </row>
    <row r="1449" spans="1:23" ht="14.5" customHeight="1">
      <c r="C1449" s="994" t="s">
        <v>7214</v>
      </c>
      <c r="D1449" s="988" t="str">
        <f t="shared" si="215"/>
        <v>572102</v>
      </c>
      <c r="E1449" s="989" t="s">
        <v>7215</v>
      </c>
      <c r="F1449" s="988" t="str">
        <f t="shared" si="214"/>
        <v>5721021</v>
      </c>
      <c r="G1449" s="1095" t="str">
        <f>IF(F1449="",G1447,F1449)</f>
        <v>5721021</v>
      </c>
      <c r="I1449" s="944" t="str">
        <f t="shared" si="210"/>
        <v/>
      </c>
      <c r="J1449" s="990" t="s">
        <v>668</v>
      </c>
      <c r="K1449" s="890"/>
      <c r="L1449" s="890"/>
      <c r="M1449" s="890"/>
      <c r="N1449" s="886"/>
      <c r="O1449" s="886"/>
      <c r="P1449" s="896">
        <f>Q1449</f>
        <v>42139</v>
      </c>
      <c r="Q1449" s="1171">
        <f>SUM(Q1450:Q1451)</f>
        <v>42139</v>
      </c>
      <c r="R1449" s="882"/>
      <c r="S1449" s="1269"/>
      <c r="T1449" s="1254"/>
      <c r="U1449" s="996"/>
      <c r="V1449" s="996" t="s">
        <v>11178</v>
      </c>
      <c r="W1449" s="992"/>
    </row>
    <row r="1450" spans="1:23" ht="14.5" customHeight="1">
      <c r="C1450" s="994"/>
      <c r="D1450" s="988" t="str">
        <f>IF(C1450="","",CONCATENATE(LEFT(C1450,4),MID(C1450,6,2)))</f>
        <v/>
      </c>
      <c r="E1450" s="989"/>
      <c r="F1450" s="988" t="str">
        <f>IF(E1450="","",CONCATENATE(LEFT(E1450,4),MID(E1450,6,3)))</f>
        <v/>
      </c>
      <c r="G1450" s="1095" t="str">
        <f>IF(F1450="",G1448,F1450)</f>
        <v>5721011</v>
      </c>
      <c r="H1450" s="1016" t="s">
        <v>36</v>
      </c>
      <c r="I1450" s="944" t="str">
        <f>IF(H1450="","",CONCATENATE(G1450,H1450))</f>
        <v>5721011001</v>
      </c>
      <c r="J1450" s="991" t="s">
        <v>11179</v>
      </c>
      <c r="K1450" s="890">
        <v>1159724</v>
      </c>
      <c r="L1450" s="890">
        <v>30516</v>
      </c>
      <c r="M1450" s="890">
        <v>839965</v>
      </c>
      <c r="N1450" s="886"/>
      <c r="O1450" s="886"/>
      <c r="P1450" s="886"/>
      <c r="Q1450" s="1162">
        <f>ROUND(K1450*L1450/M1450,0)</f>
        <v>42133</v>
      </c>
      <c r="R1450" s="882"/>
      <c r="S1450" s="1269"/>
      <c r="T1450" s="1254"/>
      <c r="U1450" s="996" t="s">
        <v>11173</v>
      </c>
      <c r="V1450" s="996" t="s">
        <v>11178</v>
      </c>
      <c r="W1450" s="992" t="s">
        <v>11180</v>
      </c>
    </row>
    <row r="1451" spans="1:23" ht="14.5" customHeight="1">
      <c r="C1451" s="994"/>
      <c r="D1451" s="988" t="str">
        <f>IF(C1451="","",CONCATENATE(LEFT(C1451,4),MID(C1451,6,2)))</f>
        <v/>
      </c>
      <c r="E1451" s="989"/>
      <c r="F1451" s="988" t="str">
        <f>IF(E1451="","",CONCATENATE(LEFT(E1451,4),MID(E1451,6,3)))</f>
        <v/>
      </c>
      <c r="G1451" s="1095" t="str">
        <f>IF(F1451="",G1448,F1451)</f>
        <v>5721011</v>
      </c>
      <c r="H1451" s="1016" t="s">
        <v>5534</v>
      </c>
      <c r="I1451" s="944" t="str">
        <f>IF(H1451="","",CONCATENATE(G1451,H1451))</f>
        <v>5721011101</v>
      </c>
      <c r="J1451" s="991" t="s">
        <v>11165</v>
      </c>
      <c r="K1451" s="890">
        <v>1291</v>
      </c>
      <c r="L1451" s="890">
        <v>6.32</v>
      </c>
      <c r="M1451" s="890">
        <v>1406.83</v>
      </c>
      <c r="N1451" s="886"/>
      <c r="O1451" s="886"/>
      <c r="P1451" s="886"/>
      <c r="Q1451" s="1162">
        <f>ROUND(K1451*L1451/M1451,0)</f>
        <v>6</v>
      </c>
      <c r="R1451" s="882"/>
      <c r="S1451" s="1269"/>
      <c r="T1451" s="1254"/>
      <c r="U1451" s="996" t="s">
        <v>11145</v>
      </c>
      <c r="V1451" s="996" t="s">
        <v>11178</v>
      </c>
      <c r="W1451" s="992" t="s">
        <v>11177</v>
      </c>
    </row>
    <row r="1452" spans="1:23" ht="14.5" customHeight="1">
      <c r="A1452" s="1133"/>
      <c r="B1452" s="1133"/>
      <c r="C1452" s="981" t="s">
        <v>7216</v>
      </c>
      <c r="D1452" s="982" t="str">
        <f t="shared" si="215"/>
        <v>572201</v>
      </c>
      <c r="E1452" s="983" t="s">
        <v>7217</v>
      </c>
      <c r="F1452" s="982" t="str">
        <f t="shared" si="214"/>
        <v>5722011</v>
      </c>
      <c r="G1452" s="1103" t="str">
        <f>IF(F1452="",G1449,F1452)</f>
        <v>5722011</v>
      </c>
      <c r="H1452" s="1102"/>
      <c r="I1452" s="1141" t="str">
        <f t="shared" si="210"/>
        <v/>
      </c>
      <c r="J1452" s="984" t="s">
        <v>7218</v>
      </c>
      <c r="K1452" s="889"/>
      <c r="L1452" s="897"/>
      <c r="M1452" s="897"/>
      <c r="N1452" s="889"/>
      <c r="O1452" s="889"/>
      <c r="P1452" s="881">
        <f>Q1452</f>
        <v>598814</v>
      </c>
      <c r="Q1452" s="1160">
        <f>SUM(Q1453:Q1454)</f>
        <v>598814</v>
      </c>
      <c r="R1452" s="880"/>
      <c r="S1452" s="1270"/>
      <c r="T1452" s="880"/>
      <c r="U1452" s="993"/>
      <c r="V1452" s="993" t="s">
        <v>11163</v>
      </c>
      <c r="W1452" s="986"/>
    </row>
    <row r="1453" spans="1:23" ht="14.5" customHeight="1">
      <c r="C1453" s="994"/>
      <c r="E1453" s="989"/>
      <c r="F1453" s="988"/>
      <c r="G1453" s="1095" t="str">
        <f t="shared" si="212"/>
        <v>5722011</v>
      </c>
      <c r="H1453" s="1016" t="s">
        <v>5349</v>
      </c>
      <c r="I1453" s="1033" t="str">
        <f t="shared" si="210"/>
        <v>5722011001</v>
      </c>
      <c r="J1453" s="991" t="s">
        <v>7219</v>
      </c>
      <c r="K1453" s="890">
        <v>12762186</v>
      </c>
      <c r="L1453" s="890">
        <v>87111</v>
      </c>
      <c r="M1453" s="890">
        <v>2037159</v>
      </c>
      <c r="N1453" s="886"/>
      <c r="O1453" s="886"/>
      <c r="P1453" s="886"/>
      <c r="Q1453" s="1162">
        <f>ROUND(K1453*L1453/M1453,0)</f>
        <v>545724</v>
      </c>
      <c r="R1453" s="882"/>
      <c r="S1453" s="1269"/>
      <c r="T1453" s="1254"/>
      <c r="U1453" s="996" t="s">
        <v>11181</v>
      </c>
      <c r="V1453" s="996"/>
      <c r="W1453" s="992" t="s">
        <v>11182</v>
      </c>
    </row>
    <row r="1454" spans="1:23" ht="14.5" customHeight="1">
      <c r="C1454" s="1015"/>
      <c r="D1454" s="999"/>
      <c r="E1454" s="1000"/>
      <c r="F1454" s="999"/>
      <c r="G1454" s="1104" t="str">
        <f t="shared" si="212"/>
        <v>5722011</v>
      </c>
      <c r="H1454" s="1005" t="s">
        <v>5327</v>
      </c>
      <c r="I1454" s="1002" t="str">
        <f t="shared" si="210"/>
        <v>5722011002</v>
      </c>
      <c r="J1454" s="978" t="s">
        <v>7220</v>
      </c>
      <c r="K1454" s="895">
        <v>935628</v>
      </c>
      <c r="L1454" s="895">
        <v>1115</v>
      </c>
      <c r="M1454" s="895">
        <v>19650</v>
      </c>
      <c r="N1454" s="893"/>
      <c r="O1454" s="893"/>
      <c r="P1454" s="893"/>
      <c r="Q1454" s="1176">
        <f>ROUND(K1454*L1454/M1454,0)</f>
        <v>53090</v>
      </c>
      <c r="R1454" s="900"/>
      <c r="S1454" s="1272"/>
      <c r="T1454" s="900"/>
      <c r="U1454" s="1006" t="s">
        <v>10129</v>
      </c>
      <c r="V1454" s="1006"/>
      <c r="W1454" s="1003" t="s">
        <v>10106</v>
      </c>
    </row>
    <row r="1455" spans="1:23" s="1122" customFormat="1" ht="14.5" hidden="1" customHeight="1">
      <c r="A1455" s="1118"/>
      <c r="B1455" s="1118"/>
      <c r="C1455" s="1066" t="s">
        <v>7221</v>
      </c>
      <c r="D1455" s="1050"/>
      <c r="E1455" s="1068">
        <v>5731011</v>
      </c>
      <c r="F1455" s="1050"/>
      <c r="G1455" s="1119"/>
      <c r="H1455" s="1120"/>
      <c r="I1455" s="1051"/>
      <c r="J1455" s="1081" t="s">
        <v>7222</v>
      </c>
      <c r="K1455" s="925"/>
      <c r="L1455" s="925"/>
      <c r="M1455" s="925"/>
      <c r="N1455" s="925"/>
      <c r="O1455" s="925"/>
      <c r="P1455" s="925"/>
      <c r="Q1455" s="1195"/>
      <c r="R1455" s="928"/>
      <c r="S1455" s="1283"/>
      <c r="T1455" s="1060"/>
      <c r="U1455" s="1052"/>
      <c r="V1455" s="1052"/>
      <c r="W1455" s="1053" t="s">
        <v>11183</v>
      </c>
    </row>
    <row r="1456" spans="1:23" s="1122" customFormat="1" ht="14.5" hidden="1" customHeight="1">
      <c r="A1456" s="1118"/>
      <c r="B1456" s="1118"/>
      <c r="C1456" s="1066"/>
      <c r="D1456" s="1050"/>
      <c r="E1456" s="1068"/>
      <c r="F1456" s="1050"/>
      <c r="G1456" s="1119"/>
      <c r="H1456" s="1120" t="s">
        <v>5349</v>
      </c>
      <c r="I1456" s="1051"/>
      <c r="J1456" s="1121" t="s">
        <v>7223</v>
      </c>
      <c r="K1456" s="925"/>
      <c r="L1456" s="925"/>
      <c r="M1456" s="925"/>
      <c r="N1456" s="925"/>
      <c r="O1456" s="925"/>
      <c r="P1456" s="925"/>
      <c r="Q1456" s="1195"/>
      <c r="R1456" s="928"/>
      <c r="S1456" s="1283"/>
      <c r="T1456" s="1060"/>
      <c r="U1456" s="1052"/>
      <c r="V1456" s="1052"/>
      <c r="W1456" s="1053"/>
    </row>
    <row r="1457" spans="1:23" s="1122" customFormat="1" ht="14.5" hidden="1" customHeight="1">
      <c r="A1457" s="1118"/>
      <c r="B1457" s="1118"/>
      <c r="C1457" s="1066"/>
      <c r="D1457" s="1050"/>
      <c r="E1457" s="1068"/>
      <c r="F1457" s="1050"/>
      <c r="G1457" s="1119"/>
      <c r="H1457" s="1120" t="s">
        <v>5327</v>
      </c>
      <c r="I1457" s="1051"/>
      <c r="J1457" s="1121" t="s">
        <v>7224</v>
      </c>
      <c r="K1457" s="925"/>
      <c r="L1457" s="925"/>
      <c r="M1457" s="925"/>
      <c r="N1457" s="925"/>
      <c r="O1457" s="925"/>
      <c r="P1457" s="925"/>
      <c r="Q1457" s="1195"/>
      <c r="R1457" s="928"/>
      <c r="S1457" s="1283"/>
      <c r="T1457" s="1060"/>
      <c r="U1457" s="1052"/>
      <c r="V1457" s="1052"/>
      <c r="W1457" s="1053"/>
    </row>
    <row r="1458" spans="1:23" s="1122" customFormat="1" ht="14.5" hidden="1" customHeight="1">
      <c r="A1458" s="1118"/>
      <c r="B1458" s="1118"/>
      <c r="C1458" s="1066"/>
      <c r="D1458" s="1050"/>
      <c r="E1458" s="1068"/>
      <c r="F1458" s="1050"/>
      <c r="G1458" s="1119"/>
      <c r="H1458" s="1120" t="s">
        <v>5339</v>
      </c>
      <c r="I1458" s="1051"/>
      <c r="J1458" s="1121" t="s">
        <v>7225</v>
      </c>
      <c r="K1458" s="925"/>
      <c r="L1458" s="925"/>
      <c r="M1458" s="925"/>
      <c r="N1458" s="925"/>
      <c r="O1458" s="925"/>
      <c r="P1458" s="925"/>
      <c r="Q1458" s="1195"/>
      <c r="R1458" s="928"/>
      <c r="S1458" s="1283"/>
      <c r="T1458" s="1060"/>
      <c r="U1458" s="1052"/>
      <c r="V1458" s="1052"/>
      <c r="W1458" s="1053"/>
    </row>
    <row r="1459" spans="1:23" s="1122" customFormat="1" ht="14.5" hidden="1" customHeight="1">
      <c r="A1459" s="1118"/>
      <c r="B1459" s="1118"/>
      <c r="C1459" s="1066"/>
      <c r="D1459" s="1050"/>
      <c r="E1459" s="1068"/>
      <c r="F1459" s="1050"/>
      <c r="G1459" s="1119"/>
      <c r="H1459" s="1120" t="s">
        <v>5593</v>
      </c>
      <c r="I1459" s="1051"/>
      <c r="J1459" s="1121" t="s">
        <v>7226</v>
      </c>
      <c r="K1459" s="925"/>
      <c r="L1459" s="925"/>
      <c r="M1459" s="925"/>
      <c r="N1459" s="925"/>
      <c r="O1459" s="925"/>
      <c r="P1459" s="925"/>
      <c r="Q1459" s="1195"/>
      <c r="R1459" s="928"/>
      <c r="S1459" s="1283"/>
      <c r="T1459" s="1060"/>
      <c r="U1459" s="1052"/>
      <c r="V1459" s="1052"/>
      <c r="W1459" s="1053"/>
    </row>
    <row r="1460" spans="1:23" s="1122" customFormat="1" ht="14.5" hidden="1" customHeight="1">
      <c r="A1460" s="1118"/>
      <c r="B1460" s="1118"/>
      <c r="C1460" s="1066"/>
      <c r="D1460" s="1050"/>
      <c r="E1460" s="1068"/>
      <c r="F1460" s="1050"/>
      <c r="G1460" s="1119"/>
      <c r="H1460" s="1120" t="s">
        <v>7227</v>
      </c>
      <c r="I1460" s="1051"/>
      <c r="J1460" s="1121" t="s">
        <v>7228</v>
      </c>
      <c r="K1460" s="925"/>
      <c r="L1460" s="925"/>
      <c r="M1460" s="925"/>
      <c r="N1460" s="925"/>
      <c r="O1460" s="925"/>
      <c r="P1460" s="925"/>
      <c r="Q1460" s="1195"/>
      <c r="R1460" s="928"/>
      <c r="S1460" s="1283"/>
      <c r="T1460" s="1060"/>
      <c r="U1460" s="1052"/>
      <c r="V1460" s="1052"/>
      <c r="W1460" s="1053"/>
    </row>
    <row r="1461" spans="1:23" s="1122" customFormat="1" ht="14.5" hidden="1" customHeight="1">
      <c r="A1461" s="1118"/>
      <c r="B1461" s="1118"/>
      <c r="C1461" s="1066"/>
      <c r="D1461" s="1050"/>
      <c r="E1461" s="1068"/>
      <c r="F1461" s="1050"/>
      <c r="G1461" s="1119"/>
      <c r="H1461" s="1120" t="s">
        <v>7229</v>
      </c>
      <c r="I1461" s="1051"/>
      <c r="J1461" s="1121" t="s">
        <v>7230</v>
      </c>
      <c r="K1461" s="925"/>
      <c r="L1461" s="925"/>
      <c r="M1461" s="925"/>
      <c r="N1461" s="925"/>
      <c r="O1461" s="925"/>
      <c r="P1461" s="925"/>
      <c r="Q1461" s="1195"/>
      <c r="R1461" s="928"/>
      <c r="S1461" s="1283"/>
      <c r="T1461" s="1060"/>
      <c r="U1461" s="1052"/>
      <c r="V1461" s="1052"/>
      <c r="W1461" s="1053"/>
    </row>
    <row r="1462" spans="1:23" s="1122" customFormat="1" ht="14.5" hidden="1" customHeight="1">
      <c r="A1462" s="1118"/>
      <c r="B1462" s="1118"/>
      <c r="C1462" s="1066"/>
      <c r="D1462" s="1050"/>
      <c r="E1462" s="1068"/>
      <c r="F1462" s="1050"/>
      <c r="G1462" s="1119"/>
      <c r="H1462" s="1120" t="s">
        <v>7231</v>
      </c>
      <c r="I1462" s="1051"/>
      <c r="J1462" s="1121" t="s">
        <v>7232</v>
      </c>
      <c r="K1462" s="925"/>
      <c r="L1462" s="925"/>
      <c r="M1462" s="925"/>
      <c r="N1462" s="925"/>
      <c r="O1462" s="925"/>
      <c r="P1462" s="925"/>
      <c r="Q1462" s="1195"/>
      <c r="R1462" s="928"/>
      <c r="S1462" s="1283"/>
      <c r="T1462" s="1060"/>
      <c r="U1462" s="1052"/>
      <c r="V1462" s="1052"/>
      <c r="W1462" s="1053"/>
    </row>
    <row r="1463" spans="1:23" s="1122" customFormat="1" ht="14.5" hidden="1" customHeight="1">
      <c r="A1463" s="1118"/>
      <c r="B1463" s="1118"/>
      <c r="C1463" s="1066"/>
      <c r="D1463" s="1050"/>
      <c r="E1463" s="1068"/>
      <c r="F1463" s="1050"/>
      <c r="G1463" s="1119"/>
      <c r="H1463" s="1120" t="s">
        <v>7233</v>
      </c>
      <c r="I1463" s="1051"/>
      <c r="J1463" s="1121" t="s">
        <v>7234</v>
      </c>
      <c r="K1463" s="925"/>
      <c r="L1463" s="925"/>
      <c r="M1463" s="925"/>
      <c r="N1463" s="925"/>
      <c r="O1463" s="925"/>
      <c r="P1463" s="925"/>
      <c r="Q1463" s="1195"/>
      <c r="R1463" s="928"/>
      <c r="S1463" s="1283"/>
      <c r="T1463" s="1060"/>
      <c r="U1463" s="1052"/>
      <c r="V1463" s="1052"/>
      <c r="W1463" s="1053"/>
    </row>
    <row r="1464" spans="1:23" s="1122" customFormat="1" ht="14.5" hidden="1" customHeight="1">
      <c r="A1464" s="1118"/>
      <c r="B1464" s="1118"/>
      <c r="C1464" s="1082" t="s">
        <v>7235</v>
      </c>
      <c r="D1464" s="1083"/>
      <c r="E1464" s="1084" t="s">
        <v>7236</v>
      </c>
      <c r="F1464" s="1083"/>
      <c r="G1464" s="1142"/>
      <c r="H1464" s="1143"/>
      <c r="I1464" s="1144"/>
      <c r="J1464" s="1085" t="s">
        <v>7237</v>
      </c>
      <c r="K1464" s="934"/>
      <c r="L1464" s="925"/>
      <c r="M1464" s="925"/>
      <c r="N1464" s="925"/>
      <c r="O1464" s="925"/>
      <c r="P1464" s="925"/>
      <c r="Q1464" s="1195"/>
      <c r="R1464" s="928"/>
      <c r="S1464" s="1283"/>
      <c r="T1464" s="1060"/>
      <c r="U1464" s="1052"/>
      <c r="V1464" s="1052"/>
      <c r="W1464" s="1053"/>
    </row>
    <row r="1465" spans="1:23" s="1122" customFormat="1" ht="14.5" hidden="1" customHeight="1">
      <c r="C1465" s="1066"/>
      <c r="D1465" s="1050"/>
      <c r="E1465" s="1068"/>
      <c r="F1465" s="1050"/>
      <c r="G1465" s="1119"/>
      <c r="H1465" s="1120" t="s">
        <v>5349</v>
      </c>
      <c r="I1465" s="1051"/>
      <c r="J1465" s="1121" t="s">
        <v>7226</v>
      </c>
      <c r="K1465" s="925"/>
      <c r="L1465" s="925"/>
      <c r="M1465" s="925"/>
      <c r="N1465" s="925"/>
      <c r="O1465" s="925"/>
      <c r="P1465" s="925"/>
      <c r="Q1465" s="1195"/>
      <c r="R1465" s="928"/>
      <c r="S1465" s="1283"/>
      <c r="T1465" s="1060"/>
      <c r="U1465" s="1052"/>
      <c r="V1465" s="1052"/>
      <c r="W1465" s="1053"/>
    </row>
    <row r="1466" spans="1:23" s="1122" customFormat="1" ht="14.5" hidden="1" customHeight="1">
      <c r="C1466" s="1066"/>
      <c r="D1466" s="1050"/>
      <c r="E1466" s="1068"/>
      <c r="F1466" s="1050"/>
      <c r="G1466" s="1119"/>
      <c r="H1466" s="1120" t="s">
        <v>5327</v>
      </c>
      <c r="I1466" s="1051"/>
      <c r="J1466" s="1121" t="s">
        <v>7228</v>
      </c>
      <c r="K1466" s="925"/>
      <c r="L1466" s="925"/>
      <c r="M1466" s="925"/>
      <c r="N1466" s="925"/>
      <c r="O1466" s="925"/>
      <c r="P1466" s="925"/>
      <c r="Q1466" s="1195"/>
      <c r="R1466" s="928"/>
      <c r="S1466" s="1283"/>
      <c r="T1466" s="1060"/>
      <c r="U1466" s="1052"/>
      <c r="V1466" s="1052"/>
      <c r="W1466" s="1053"/>
    </row>
    <row r="1467" spans="1:23" s="1122" customFormat="1" ht="14.5" hidden="1" customHeight="1">
      <c r="C1467" s="1066"/>
      <c r="D1467" s="1050"/>
      <c r="E1467" s="1068"/>
      <c r="F1467" s="1050"/>
      <c r="G1467" s="1119"/>
      <c r="H1467" s="1120" t="s">
        <v>5339</v>
      </c>
      <c r="I1467" s="1051"/>
      <c r="J1467" s="1121" t="s">
        <v>7230</v>
      </c>
      <c r="K1467" s="925"/>
      <c r="L1467" s="925"/>
      <c r="M1467" s="925"/>
      <c r="N1467" s="925"/>
      <c r="O1467" s="925"/>
      <c r="P1467" s="925"/>
      <c r="Q1467" s="1195"/>
      <c r="R1467" s="928"/>
      <c r="S1467" s="1283"/>
      <c r="T1467" s="1060"/>
      <c r="U1467" s="1052"/>
      <c r="V1467" s="1052"/>
      <c r="W1467" s="1053"/>
    </row>
    <row r="1468" spans="1:23" s="1122" customFormat="1" ht="14.5" hidden="1" customHeight="1">
      <c r="C1468" s="1066"/>
      <c r="D1468" s="1050"/>
      <c r="E1468" s="1068"/>
      <c r="F1468" s="1050"/>
      <c r="G1468" s="1119"/>
      <c r="H1468" s="1120" t="s">
        <v>5593</v>
      </c>
      <c r="I1468" s="1051"/>
      <c r="J1468" s="1121" t="s">
        <v>7232</v>
      </c>
      <c r="K1468" s="925"/>
      <c r="L1468" s="925"/>
      <c r="M1468" s="925"/>
      <c r="N1468" s="925"/>
      <c r="O1468" s="925"/>
      <c r="P1468" s="925"/>
      <c r="Q1468" s="1195"/>
      <c r="R1468" s="928"/>
      <c r="S1468" s="1283"/>
      <c r="T1468" s="1060"/>
      <c r="U1468" s="1052"/>
      <c r="V1468" s="1052"/>
      <c r="W1468" s="1053"/>
    </row>
    <row r="1469" spans="1:23" s="1122" customFormat="1" ht="14.5" hidden="1" customHeight="1">
      <c r="C1469" s="1066"/>
      <c r="D1469" s="1050"/>
      <c r="E1469" s="1068"/>
      <c r="F1469" s="1050"/>
      <c r="G1469" s="1119"/>
      <c r="H1469" s="1120" t="s">
        <v>7227</v>
      </c>
      <c r="I1469" s="1051"/>
      <c r="J1469" s="1121" t="s">
        <v>7234</v>
      </c>
      <c r="K1469" s="925"/>
      <c r="L1469" s="925"/>
      <c r="M1469" s="925"/>
      <c r="N1469" s="925"/>
      <c r="O1469" s="925"/>
      <c r="P1469" s="925"/>
      <c r="Q1469" s="1195"/>
      <c r="R1469" s="928"/>
      <c r="S1469" s="1283"/>
      <c r="T1469" s="1060"/>
      <c r="U1469" s="1052"/>
      <c r="V1469" s="1052"/>
      <c r="W1469" s="1053"/>
    </row>
    <row r="1470" spans="1:23" ht="14.5" customHeight="1">
      <c r="A1470" s="1034"/>
      <c r="B1470" s="1034"/>
      <c r="C1470" s="981" t="s">
        <v>7238</v>
      </c>
      <c r="D1470" s="982" t="str">
        <f t="shared" ref="D1470:D1536" si="216">IF(C1470="","",CONCATENATE(LEFT(C1470,4),MID(C1470,6,2)))</f>
        <v>574101</v>
      </c>
      <c r="E1470" s="983" t="s">
        <v>7239</v>
      </c>
      <c r="F1470" s="982" t="str">
        <f t="shared" ref="F1470:F1536" si="217">IF(E1470="","",CONCATENATE(LEFT(E1470,4),MID(E1470,6,3)))</f>
        <v>5741011</v>
      </c>
      <c r="G1470" s="1103" t="str">
        <f>IF(F1470="",G1452,F1470)</f>
        <v>5741011</v>
      </c>
      <c r="H1470" s="1102"/>
      <c r="I1470" s="947" t="str">
        <f t="shared" ref="I1470:I1536" si="218">IF(H1470="","",CONCATENATE(G1470,H1470))</f>
        <v/>
      </c>
      <c r="J1470" s="984" t="s">
        <v>672</v>
      </c>
      <c r="K1470" s="889"/>
      <c r="L1470" s="889"/>
      <c r="M1470" s="889"/>
      <c r="N1470" s="889"/>
      <c r="O1470" s="889"/>
      <c r="P1470" s="881">
        <f>Q1470</f>
        <v>97536</v>
      </c>
      <c r="Q1470" s="1160">
        <f>SUM(Q1471:Q1477)</f>
        <v>97536</v>
      </c>
      <c r="R1470" s="880"/>
      <c r="S1470" s="1270"/>
      <c r="T1470" s="880"/>
      <c r="U1470" s="993" t="s">
        <v>11184</v>
      </c>
      <c r="V1470" s="993"/>
      <c r="W1470" s="986" t="s">
        <v>11185</v>
      </c>
    </row>
    <row r="1471" spans="1:23" ht="14.5" customHeight="1">
      <c r="A1471" s="1034"/>
      <c r="B1471" s="1034"/>
      <c r="C1471" s="994"/>
      <c r="D1471" s="988" t="str">
        <f t="shared" si="216"/>
        <v/>
      </c>
      <c r="E1471" s="989"/>
      <c r="F1471" s="988" t="str">
        <f t="shared" si="217"/>
        <v/>
      </c>
      <c r="G1471" s="1095" t="str">
        <f t="shared" ref="G1471:G1477" si="219">IF(F1471="",G1470,F1471)</f>
        <v>5741011</v>
      </c>
      <c r="H1471" s="1016" t="s">
        <v>575</v>
      </c>
      <c r="I1471" s="944" t="str">
        <f t="shared" si="218"/>
        <v>5741011101</v>
      </c>
      <c r="J1471" s="991" t="s">
        <v>7240</v>
      </c>
      <c r="K1471" s="890">
        <v>517467</v>
      </c>
      <c r="L1471" s="890">
        <v>293</v>
      </c>
      <c r="M1471" s="890">
        <v>9857</v>
      </c>
      <c r="N1471" s="886"/>
      <c r="O1471" s="886"/>
      <c r="P1471" s="886"/>
      <c r="Q1471" s="1162">
        <f t="shared" ref="Q1471:Q1477" si="220">ROUND(K1471*L1471/M1471,0)</f>
        <v>15382</v>
      </c>
      <c r="R1471" s="882"/>
      <c r="S1471" s="1269"/>
      <c r="T1471" s="1254"/>
      <c r="U1471" s="996"/>
      <c r="V1471" s="996" t="s">
        <v>11065</v>
      </c>
      <c r="W1471" s="992"/>
    </row>
    <row r="1472" spans="1:23" ht="14.5" customHeight="1">
      <c r="A1472" s="1034"/>
      <c r="B1472" s="1034"/>
      <c r="C1472" s="987"/>
      <c r="D1472" s="988" t="str">
        <f t="shared" si="216"/>
        <v/>
      </c>
      <c r="F1472" s="988" t="str">
        <f t="shared" si="217"/>
        <v/>
      </c>
      <c r="G1472" s="1095" t="str">
        <f t="shared" si="219"/>
        <v>5741011</v>
      </c>
      <c r="H1472" s="1016" t="s">
        <v>5359</v>
      </c>
      <c r="I1472" s="944" t="str">
        <f t="shared" si="218"/>
        <v>5741011102</v>
      </c>
      <c r="J1472" s="991" t="s">
        <v>7241</v>
      </c>
      <c r="K1472" s="890">
        <v>761320</v>
      </c>
      <c r="L1472" s="873">
        <f>L1471</f>
        <v>293</v>
      </c>
      <c r="M1472" s="873">
        <f>M1471</f>
        <v>9857</v>
      </c>
      <c r="N1472" s="886"/>
      <c r="O1472" s="886"/>
      <c r="P1472" s="886"/>
      <c r="Q1472" s="1162">
        <f t="shared" si="220"/>
        <v>22630</v>
      </c>
      <c r="R1472" s="882"/>
      <c r="S1472" s="1269"/>
      <c r="T1472" s="1254"/>
      <c r="U1472" s="996"/>
      <c r="V1472" s="996" t="s">
        <v>10129</v>
      </c>
      <c r="W1472" s="992"/>
    </row>
    <row r="1473" spans="1:23" ht="14.5" customHeight="1">
      <c r="A1473" s="1034"/>
      <c r="B1473" s="1034"/>
      <c r="C1473" s="987"/>
      <c r="D1473" s="988" t="str">
        <f t="shared" si="216"/>
        <v/>
      </c>
      <c r="F1473" s="988" t="str">
        <f t="shared" si="217"/>
        <v/>
      </c>
      <c r="G1473" s="1095" t="str">
        <f t="shared" si="219"/>
        <v>5741011</v>
      </c>
      <c r="H1473" s="1016" t="s">
        <v>5361</v>
      </c>
      <c r="I1473" s="944" t="str">
        <f t="shared" si="218"/>
        <v>5741011103</v>
      </c>
      <c r="J1473" s="991" t="s">
        <v>7242</v>
      </c>
      <c r="K1473" s="890">
        <v>1483811</v>
      </c>
      <c r="L1473" s="873">
        <f>L1471</f>
        <v>293</v>
      </c>
      <c r="M1473" s="873">
        <f>M1471</f>
        <v>9857</v>
      </c>
      <c r="N1473" s="886"/>
      <c r="O1473" s="886"/>
      <c r="P1473" s="886"/>
      <c r="Q1473" s="1162">
        <f t="shared" si="220"/>
        <v>44106</v>
      </c>
      <c r="R1473" s="882"/>
      <c r="S1473" s="1269"/>
      <c r="T1473" s="1254"/>
      <c r="U1473" s="996"/>
      <c r="V1473" s="996" t="s">
        <v>11186</v>
      </c>
      <c r="W1473" s="992"/>
    </row>
    <row r="1474" spans="1:23" ht="14.5" customHeight="1">
      <c r="A1474" s="1034"/>
      <c r="B1474" s="1034"/>
      <c r="C1474" s="987"/>
      <c r="D1474" s="988" t="str">
        <f t="shared" si="216"/>
        <v/>
      </c>
      <c r="F1474" s="988" t="str">
        <f t="shared" si="217"/>
        <v/>
      </c>
      <c r="G1474" s="1095" t="str">
        <f t="shared" si="219"/>
        <v>5741011</v>
      </c>
      <c r="H1474" s="1016" t="s">
        <v>5383</v>
      </c>
      <c r="I1474" s="944" t="str">
        <f t="shared" si="218"/>
        <v>5741011201</v>
      </c>
      <c r="J1474" s="991" t="s">
        <v>7243</v>
      </c>
      <c r="K1474" s="890">
        <v>143</v>
      </c>
      <c r="L1474" s="873">
        <f>L1471</f>
        <v>293</v>
      </c>
      <c r="M1474" s="873">
        <f>M1471</f>
        <v>9857</v>
      </c>
      <c r="N1474" s="886"/>
      <c r="O1474" s="886"/>
      <c r="P1474" s="886"/>
      <c r="Q1474" s="1162">
        <f t="shared" si="220"/>
        <v>4</v>
      </c>
      <c r="R1474" s="882"/>
      <c r="S1474" s="1269"/>
      <c r="T1474" s="1254"/>
      <c r="U1474" s="996"/>
      <c r="V1474" s="996" t="s">
        <v>11065</v>
      </c>
      <c r="W1474" s="992"/>
    </row>
    <row r="1475" spans="1:23" ht="14.5" customHeight="1">
      <c r="A1475" s="1034"/>
      <c r="B1475" s="1034"/>
      <c r="C1475" s="987"/>
      <c r="D1475" s="988" t="str">
        <f t="shared" si="216"/>
        <v/>
      </c>
      <c r="F1475" s="988" t="str">
        <f t="shared" si="217"/>
        <v/>
      </c>
      <c r="G1475" s="1095" t="str">
        <f t="shared" si="219"/>
        <v>5741011</v>
      </c>
      <c r="H1475" s="1016" t="s">
        <v>5385</v>
      </c>
      <c r="I1475" s="944" t="str">
        <f t="shared" si="218"/>
        <v>5741011202</v>
      </c>
      <c r="J1475" s="991" t="s">
        <v>7244</v>
      </c>
      <c r="K1475" s="890">
        <v>159</v>
      </c>
      <c r="L1475" s="873">
        <f>L1471</f>
        <v>293</v>
      </c>
      <c r="M1475" s="873">
        <f>M1471</f>
        <v>9857</v>
      </c>
      <c r="N1475" s="886"/>
      <c r="O1475" s="886"/>
      <c r="P1475" s="886"/>
      <c r="Q1475" s="1162">
        <f t="shared" si="220"/>
        <v>5</v>
      </c>
      <c r="R1475" s="882"/>
      <c r="S1475" s="1269"/>
      <c r="T1475" s="1254"/>
      <c r="U1475" s="996"/>
      <c r="V1475" s="996" t="s">
        <v>10129</v>
      </c>
      <c r="W1475" s="992"/>
    </row>
    <row r="1476" spans="1:23" ht="14.5" customHeight="1">
      <c r="A1476" s="1034"/>
      <c r="B1476" s="1034"/>
      <c r="C1476" s="987"/>
      <c r="D1476" s="988" t="str">
        <f t="shared" si="216"/>
        <v/>
      </c>
      <c r="F1476" s="988" t="str">
        <f t="shared" si="217"/>
        <v/>
      </c>
      <c r="G1476" s="1095" t="str">
        <f t="shared" si="219"/>
        <v>5741011</v>
      </c>
      <c r="H1476" s="1016" t="s">
        <v>5906</v>
      </c>
      <c r="I1476" s="944" t="str">
        <f t="shared" si="218"/>
        <v>5741011203</v>
      </c>
      <c r="J1476" s="991" t="s">
        <v>7245</v>
      </c>
      <c r="K1476" s="890">
        <v>0</v>
      </c>
      <c r="L1476" s="873">
        <f>L1471</f>
        <v>293</v>
      </c>
      <c r="M1476" s="873">
        <f>M1471</f>
        <v>9857</v>
      </c>
      <c r="N1476" s="886"/>
      <c r="O1476" s="886"/>
      <c r="P1476" s="886"/>
      <c r="Q1476" s="1162">
        <f t="shared" si="220"/>
        <v>0</v>
      </c>
      <c r="R1476" s="882"/>
      <c r="S1476" s="1269"/>
      <c r="T1476" s="1254"/>
      <c r="U1476" s="996"/>
      <c r="V1476" s="996"/>
      <c r="W1476" s="992"/>
    </row>
    <row r="1477" spans="1:23" ht="14.5" customHeight="1">
      <c r="A1477" s="1034"/>
      <c r="B1477" s="1034"/>
      <c r="C1477" s="987"/>
      <c r="D1477" s="988" t="str">
        <f t="shared" si="216"/>
        <v/>
      </c>
      <c r="E1477" s="1002"/>
      <c r="F1477" s="999" t="str">
        <f t="shared" si="217"/>
        <v/>
      </c>
      <c r="G1477" s="1104" t="str">
        <f t="shared" si="219"/>
        <v>5741011</v>
      </c>
      <c r="H1477" s="1016" t="s">
        <v>5421</v>
      </c>
      <c r="I1477" s="944" t="str">
        <f t="shared" si="218"/>
        <v>5741011301</v>
      </c>
      <c r="J1477" s="992" t="s">
        <v>7246</v>
      </c>
      <c r="K1477" s="890">
        <v>518400</v>
      </c>
      <c r="L1477" s="873">
        <f>L1471</f>
        <v>293</v>
      </c>
      <c r="M1477" s="873">
        <f>M1471</f>
        <v>9857</v>
      </c>
      <c r="N1477" s="886"/>
      <c r="O1477" s="886"/>
      <c r="P1477" s="886"/>
      <c r="Q1477" s="1162">
        <f t="shared" si="220"/>
        <v>15409</v>
      </c>
      <c r="R1477" s="882"/>
      <c r="S1477" s="1269"/>
      <c r="T1477" s="1254"/>
      <c r="U1477" s="996"/>
      <c r="V1477" s="996" t="s">
        <v>11186</v>
      </c>
      <c r="W1477" s="992"/>
    </row>
    <row r="1478" spans="1:23" ht="14.5" customHeight="1">
      <c r="A1478" s="1034"/>
      <c r="B1478" s="1034"/>
      <c r="C1478" s="981" t="s">
        <v>7247</v>
      </c>
      <c r="D1478" s="982" t="str">
        <f t="shared" si="216"/>
        <v>574201</v>
      </c>
      <c r="F1478" s="988"/>
      <c r="H1478" s="1102"/>
      <c r="I1478" s="947" t="str">
        <f t="shared" si="218"/>
        <v/>
      </c>
      <c r="J1478" s="984" t="s">
        <v>7248</v>
      </c>
      <c r="K1478" s="889"/>
      <c r="L1478" s="889"/>
      <c r="M1478" s="889"/>
      <c r="N1478" s="889"/>
      <c r="O1478" s="889"/>
      <c r="P1478" s="881">
        <f>Q1479+Q1480</f>
        <v>45665</v>
      </c>
      <c r="Q1478" s="1160"/>
      <c r="R1478" s="880"/>
      <c r="S1478" s="1270"/>
      <c r="T1478" s="880"/>
      <c r="U1478" s="993"/>
      <c r="V1478" s="993"/>
      <c r="W1478" s="986"/>
    </row>
    <row r="1479" spans="1:23" ht="14.5" customHeight="1">
      <c r="A1479" s="1034"/>
      <c r="B1479" s="1034"/>
      <c r="C1479" s="994"/>
      <c r="D1479" s="988" t="str">
        <f t="shared" si="216"/>
        <v/>
      </c>
      <c r="E1479" s="989" t="s">
        <v>7249</v>
      </c>
      <c r="F1479" s="988" t="str">
        <f t="shared" si="217"/>
        <v>5742011</v>
      </c>
      <c r="G1479" s="1095" t="str">
        <f t="shared" ref="G1479:G1499" si="221">IF(F1479="",G1478,F1479)</f>
        <v>5742011</v>
      </c>
      <c r="H1479" s="1016" t="s">
        <v>36</v>
      </c>
      <c r="I1479" s="944" t="str">
        <f t="shared" si="218"/>
        <v>5742011001</v>
      </c>
      <c r="J1479" s="990" t="s">
        <v>674</v>
      </c>
      <c r="K1479" s="890">
        <v>68462</v>
      </c>
      <c r="L1479" s="890">
        <v>1468483</v>
      </c>
      <c r="M1479" s="890">
        <v>28884520</v>
      </c>
      <c r="N1479" s="886"/>
      <c r="O1479" s="886"/>
      <c r="P1479" s="886"/>
      <c r="Q1479" s="1171">
        <f>ROUND(K1479*L1479/M1479,0)</f>
        <v>3481</v>
      </c>
      <c r="R1479" s="882"/>
      <c r="S1479" s="1269"/>
      <c r="T1479" s="1254"/>
      <c r="U1479" s="996" t="s">
        <v>11187</v>
      </c>
      <c r="V1479" s="996" t="s">
        <v>11065</v>
      </c>
      <c r="W1479" s="992" t="s">
        <v>11188</v>
      </c>
    </row>
    <row r="1480" spans="1:23" ht="14.5" customHeight="1">
      <c r="A1480" s="1034"/>
      <c r="B1480" s="1034"/>
      <c r="C1480" s="994"/>
      <c r="D1480" s="988" t="str">
        <f t="shared" si="216"/>
        <v/>
      </c>
      <c r="E1480" s="989" t="s">
        <v>7250</v>
      </c>
      <c r="F1480" s="988" t="str">
        <f t="shared" si="217"/>
        <v>5742012</v>
      </c>
      <c r="G1480" s="1095" t="str">
        <f>IF(F1480="",G1479,F1480)</f>
        <v>5742012</v>
      </c>
      <c r="I1480" s="944" t="str">
        <f t="shared" si="218"/>
        <v/>
      </c>
      <c r="J1480" s="990" t="s">
        <v>675</v>
      </c>
      <c r="K1480" s="886"/>
      <c r="L1480" s="873"/>
      <c r="M1480" s="873"/>
      <c r="N1480" s="886"/>
      <c r="O1480" s="886"/>
      <c r="P1480" s="886"/>
      <c r="Q1480" s="1171">
        <f>SUM(Q1481:Q1488)</f>
        <v>42184</v>
      </c>
      <c r="R1480" s="882"/>
      <c r="S1480" s="1269"/>
      <c r="T1480" s="1254"/>
      <c r="U1480" s="996"/>
      <c r="V1480" s="996"/>
      <c r="W1480" s="992"/>
    </row>
    <row r="1481" spans="1:23" ht="14.5" customHeight="1">
      <c r="A1481" s="1034"/>
      <c r="B1481" s="1034"/>
      <c r="C1481" s="994"/>
      <c r="F1481" s="988"/>
      <c r="G1481" s="1095" t="str">
        <f t="shared" ref="G1481:G1488" si="222">IF(F1481="",G1480,F1481)</f>
        <v>5742012</v>
      </c>
      <c r="H1481" s="1016" t="s">
        <v>5534</v>
      </c>
      <c r="I1481" s="944" t="str">
        <f t="shared" si="218"/>
        <v>5742012101</v>
      </c>
      <c r="J1481" s="991" t="s">
        <v>7251</v>
      </c>
      <c r="K1481" s="890">
        <v>340112</v>
      </c>
      <c r="L1481" s="890">
        <v>134757552</v>
      </c>
      <c r="M1481" s="890">
        <v>1965712991</v>
      </c>
      <c r="N1481" s="886"/>
      <c r="O1481" s="886"/>
      <c r="P1481" s="886"/>
      <c r="Q1481" s="1162">
        <f t="shared" ref="Q1481:Q1488" si="223">ROUND(K1481*L1481/M1481,0)</f>
        <v>23316</v>
      </c>
      <c r="R1481" s="882"/>
      <c r="S1481" s="1269"/>
      <c r="T1481" s="1254"/>
      <c r="U1481" s="996" t="s">
        <v>11189</v>
      </c>
      <c r="V1481" s="996"/>
      <c r="W1481" s="992" t="s">
        <v>11190</v>
      </c>
    </row>
    <row r="1482" spans="1:23" ht="14.5" customHeight="1">
      <c r="A1482" s="1034"/>
      <c r="B1482" s="1034"/>
      <c r="C1482" s="994"/>
      <c r="F1482" s="988"/>
      <c r="G1482" s="1095" t="str">
        <f t="shared" si="222"/>
        <v>5742012</v>
      </c>
      <c r="H1482" s="1016" t="s">
        <v>6000</v>
      </c>
      <c r="I1482" s="944" t="str">
        <f t="shared" si="218"/>
        <v>5742012102</v>
      </c>
      <c r="J1482" s="991" t="s">
        <v>7252</v>
      </c>
      <c r="K1482" s="890">
        <v>157646</v>
      </c>
      <c r="L1482" s="873">
        <f>L1481</f>
        <v>134757552</v>
      </c>
      <c r="M1482" s="873">
        <f>M1481</f>
        <v>1965712991</v>
      </c>
      <c r="N1482" s="886"/>
      <c r="O1482" s="886"/>
      <c r="P1482" s="886"/>
      <c r="Q1482" s="1162">
        <f t="shared" si="223"/>
        <v>10807</v>
      </c>
      <c r="R1482" s="882"/>
      <c r="S1482" s="1269"/>
      <c r="T1482" s="1254"/>
      <c r="U1482" s="996" t="s">
        <v>10122</v>
      </c>
      <c r="V1482" s="996"/>
      <c r="W1482" s="992" t="s">
        <v>10411</v>
      </c>
    </row>
    <row r="1483" spans="1:23" ht="14.5" customHeight="1">
      <c r="A1483" s="1034"/>
      <c r="B1483" s="1034"/>
      <c r="C1483" s="994"/>
      <c r="F1483" s="988"/>
      <c r="G1483" s="1095" t="str">
        <f t="shared" si="222"/>
        <v>5742012</v>
      </c>
      <c r="H1483" s="1016" t="s">
        <v>6002</v>
      </c>
      <c r="I1483" s="944" t="str">
        <f t="shared" si="218"/>
        <v>5742012103</v>
      </c>
      <c r="J1483" s="991" t="s">
        <v>7253</v>
      </c>
      <c r="K1483" s="890">
        <v>0</v>
      </c>
      <c r="L1483" s="873">
        <f>L1481</f>
        <v>134757552</v>
      </c>
      <c r="M1483" s="873">
        <f>M1481</f>
        <v>1965712991</v>
      </c>
      <c r="N1483" s="886"/>
      <c r="O1483" s="886"/>
      <c r="P1483" s="886"/>
      <c r="Q1483" s="1162">
        <f t="shared" si="223"/>
        <v>0</v>
      </c>
      <c r="R1483" s="882"/>
      <c r="S1483" s="1269"/>
      <c r="T1483" s="1254"/>
      <c r="U1483" s="996" t="s">
        <v>10122</v>
      </c>
      <c r="V1483" s="996"/>
      <c r="W1483" s="992" t="s">
        <v>10411</v>
      </c>
    </row>
    <row r="1484" spans="1:23" ht="14.5" customHeight="1">
      <c r="A1484" s="1034"/>
      <c r="B1484" s="1034"/>
      <c r="C1484" s="994"/>
      <c r="F1484" s="988"/>
      <c r="G1484" s="1095" t="str">
        <f t="shared" si="222"/>
        <v>5742012</v>
      </c>
      <c r="H1484" s="1016" t="s">
        <v>6146</v>
      </c>
      <c r="I1484" s="944" t="str">
        <f t="shared" si="218"/>
        <v>5742012104</v>
      </c>
      <c r="J1484" s="991" t="s">
        <v>7254</v>
      </c>
      <c r="K1484" s="890">
        <v>17706</v>
      </c>
      <c r="L1484" s="873">
        <f>L1481</f>
        <v>134757552</v>
      </c>
      <c r="M1484" s="873">
        <f>M1481</f>
        <v>1965712991</v>
      </c>
      <c r="N1484" s="886"/>
      <c r="O1484" s="886"/>
      <c r="P1484" s="886"/>
      <c r="Q1484" s="1162">
        <f t="shared" si="223"/>
        <v>1214</v>
      </c>
      <c r="R1484" s="882"/>
      <c r="S1484" s="1269"/>
      <c r="T1484" s="1254"/>
      <c r="U1484" s="996" t="s">
        <v>10122</v>
      </c>
      <c r="V1484" s="996"/>
      <c r="W1484" s="992" t="s">
        <v>10411</v>
      </c>
    </row>
    <row r="1485" spans="1:23" ht="14.5" customHeight="1">
      <c r="A1485" s="1034"/>
      <c r="B1485" s="1034"/>
      <c r="C1485" s="994"/>
      <c r="F1485" s="988"/>
      <c r="G1485" s="1095" t="str">
        <f t="shared" si="222"/>
        <v>5742012</v>
      </c>
      <c r="H1485" s="1016" t="s">
        <v>5602</v>
      </c>
      <c r="I1485" s="944" t="str">
        <f t="shared" si="218"/>
        <v>5742012201</v>
      </c>
      <c r="J1485" s="991" t="s">
        <v>7255</v>
      </c>
      <c r="K1485" s="890">
        <v>134017</v>
      </c>
      <c r="L1485" s="890">
        <v>24592195</v>
      </c>
      <c r="M1485" s="890">
        <v>507572210</v>
      </c>
      <c r="N1485" s="886"/>
      <c r="O1485" s="886"/>
      <c r="P1485" s="886"/>
      <c r="Q1485" s="1162">
        <f t="shared" si="223"/>
        <v>6493</v>
      </c>
      <c r="R1485" s="882"/>
      <c r="S1485" s="1269"/>
      <c r="T1485" s="1254"/>
      <c r="U1485" s="996" t="s">
        <v>10122</v>
      </c>
      <c r="V1485" s="996"/>
      <c r="W1485" s="992" t="s">
        <v>11191</v>
      </c>
    </row>
    <row r="1486" spans="1:23" ht="14.5" customHeight="1">
      <c r="A1486" s="1034"/>
      <c r="B1486" s="1034"/>
      <c r="C1486" s="994"/>
      <c r="F1486" s="988"/>
      <c r="G1486" s="1095" t="str">
        <f t="shared" si="222"/>
        <v>5742012</v>
      </c>
      <c r="H1486" s="1016" t="s">
        <v>5844</v>
      </c>
      <c r="I1486" s="944" t="str">
        <f t="shared" si="218"/>
        <v>5742012202</v>
      </c>
      <c r="J1486" s="991" t="s">
        <v>7256</v>
      </c>
      <c r="K1486" s="890">
        <v>1230</v>
      </c>
      <c r="L1486" s="873">
        <f>L1481</f>
        <v>134757552</v>
      </c>
      <c r="M1486" s="873">
        <f>M1481</f>
        <v>1965712991</v>
      </c>
      <c r="N1486" s="886"/>
      <c r="O1486" s="886"/>
      <c r="P1486" s="886"/>
      <c r="Q1486" s="1162">
        <f t="shared" si="223"/>
        <v>84</v>
      </c>
      <c r="R1486" s="882"/>
      <c r="S1486" s="1269"/>
      <c r="T1486" s="1254"/>
      <c r="U1486" s="996" t="s">
        <v>10122</v>
      </c>
      <c r="V1486" s="996"/>
      <c r="W1486" s="992" t="s">
        <v>11192</v>
      </c>
    </row>
    <row r="1487" spans="1:23" ht="14.5" customHeight="1">
      <c r="A1487" s="1034"/>
      <c r="B1487" s="1034"/>
      <c r="C1487" s="994"/>
      <c r="F1487" s="988"/>
      <c r="G1487" s="1095" t="str">
        <f t="shared" si="222"/>
        <v>5742012</v>
      </c>
      <c r="H1487" s="1016" t="s">
        <v>7571</v>
      </c>
      <c r="I1487" s="944" t="str">
        <f t="shared" si="218"/>
        <v>5742012203</v>
      </c>
      <c r="J1487" s="991" t="s">
        <v>7257</v>
      </c>
      <c r="K1487" s="890">
        <v>18797</v>
      </c>
      <c r="L1487" s="890">
        <v>4.4400000000000004</v>
      </c>
      <c r="M1487" s="890">
        <v>339.28</v>
      </c>
      <c r="N1487" s="886"/>
      <c r="O1487" s="886"/>
      <c r="P1487" s="886"/>
      <c r="Q1487" s="1162">
        <f t="shared" si="223"/>
        <v>246</v>
      </c>
      <c r="R1487" s="882"/>
      <c r="S1487" s="1269"/>
      <c r="T1487" s="1254"/>
      <c r="U1487" s="996" t="s">
        <v>11193</v>
      </c>
      <c r="V1487" s="996"/>
      <c r="W1487" s="992" t="s">
        <v>11194</v>
      </c>
    </row>
    <row r="1488" spans="1:23" ht="14.5" customHeight="1">
      <c r="A1488" s="1034"/>
      <c r="B1488" s="1034"/>
      <c r="C1488" s="1015"/>
      <c r="D1488" s="999"/>
      <c r="E1488" s="1002"/>
      <c r="F1488" s="999"/>
      <c r="G1488" s="1104" t="str">
        <f t="shared" si="222"/>
        <v>5742012</v>
      </c>
      <c r="H1488" s="1005" t="s">
        <v>7573</v>
      </c>
      <c r="I1488" s="1002" t="str">
        <f t="shared" si="218"/>
        <v>5742012204</v>
      </c>
      <c r="J1488" s="978" t="s">
        <v>7258</v>
      </c>
      <c r="K1488" s="895">
        <v>1822</v>
      </c>
      <c r="L1488" s="872">
        <f>L1487</f>
        <v>4.4400000000000004</v>
      </c>
      <c r="M1488" s="872">
        <f>M1487</f>
        <v>339.28</v>
      </c>
      <c r="N1488" s="893"/>
      <c r="O1488" s="893"/>
      <c r="P1488" s="893"/>
      <c r="Q1488" s="1175">
        <f t="shared" si="223"/>
        <v>24</v>
      </c>
      <c r="R1488" s="900"/>
      <c r="S1488" s="1272"/>
      <c r="T1488" s="900"/>
      <c r="U1488" s="1006" t="s">
        <v>10122</v>
      </c>
      <c r="V1488" s="1006"/>
      <c r="W1488" s="1003" t="s">
        <v>10411</v>
      </c>
    </row>
    <row r="1489" spans="1:23" ht="14.5" customHeight="1">
      <c r="A1489" s="1034"/>
      <c r="B1489" s="1034"/>
      <c r="C1489" s="994" t="s">
        <v>7259</v>
      </c>
      <c r="D1489" s="988" t="str">
        <f t="shared" si="216"/>
        <v>574301</v>
      </c>
      <c r="E1489" s="989" t="s">
        <v>7260</v>
      </c>
      <c r="F1489" s="988" t="str">
        <f t="shared" si="217"/>
        <v>5743011</v>
      </c>
      <c r="G1489" s="1095" t="str">
        <f>IF(F1489="",G1480,F1489)</f>
        <v>5743011</v>
      </c>
      <c r="I1489" s="944" t="str">
        <f t="shared" si="218"/>
        <v/>
      </c>
      <c r="J1489" s="990" t="s">
        <v>677</v>
      </c>
      <c r="K1489" s="886"/>
      <c r="L1489" s="886"/>
      <c r="M1489" s="886"/>
      <c r="N1489" s="886"/>
      <c r="O1489" s="886"/>
      <c r="P1489" s="896">
        <f>Q1489</f>
        <v>108546</v>
      </c>
      <c r="Q1489" s="1171">
        <f>SUM(Q1490:Q1499)</f>
        <v>108546</v>
      </c>
      <c r="R1489" s="882"/>
      <c r="S1489" s="1269"/>
      <c r="T1489" s="1254"/>
      <c r="U1489" s="996"/>
      <c r="V1489" s="996"/>
      <c r="W1489" s="992"/>
    </row>
    <row r="1490" spans="1:23" ht="14.5" customHeight="1">
      <c r="A1490" s="1034"/>
      <c r="B1490" s="1034"/>
      <c r="C1490" s="987"/>
      <c r="D1490" s="988" t="str">
        <f t="shared" si="216"/>
        <v/>
      </c>
      <c r="F1490" s="988" t="str">
        <f t="shared" si="217"/>
        <v/>
      </c>
      <c r="G1490" s="1095" t="str">
        <f t="shared" si="221"/>
        <v>5743011</v>
      </c>
      <c r="H1490" s="1016" t="s">
        <v>575</v>
      </c>
      <c r="I1490" s="944" t="str">
        <f t="shared" si="218"/>
        <v>5743011101</v>
      </c>
      <c r="J1490" s="991" t="s">
        <v>7261</v>
      </c>
      <c r="K1490" s="890">
        <v>238200</v>
      </c>
      <c r="L1490" s="890">
        <v>23618139</v>
      </c>
      <c r="M1490" s="890">
        <v>248277465</v>
      </c>
      <c r="N1490" s="886"/>
      <c r="O1490" s="886"/>
      <c r="P1490" s="886"/>
      <c r="Q1490" s="1162">
        <f t="shared" ref="Q1490:Q1498" si="224">ROUND(K1490*L1490/M1490,0)</f>
        <v>22659</v>
      </c>
      <c r="R1490" s="882"/>
      <c r="S1490" s="1269"/>
      <c r="T1490" s="1254"/>
      <c r="U1490" s="996" t="s">
        <v>11195</v>
      </c>
      <c r="V1490" s="996" t="s">
        <v>11065</v>
      </c>
      <c r="W1490" s="992" t="s">
        <v>11196</v>
      </c>
    </row>
    <row r="1491" spans="1:23" ht="14.5" customHeight="1">
      <c r="A1491" s="1034"/>
      <c r="B1491" s="1034"/>
      <c r="C1491" s="987"/>
      <c r="D1491" s="988" t="str">
        <f t="shared" si="216"/>
        <v/>
      </c>
      <c r="F1491" s="988" t="str">
        <f t="shared" si="217"/>
        <v/>
      </c>
      <c r="G1491" s="1095" t="str">
        <f t="shared" si="221"/>
        <v>5743011</v>
      </c>
      <c r="H1491" s="1016" t="s">
        <v>5359</v>
      </c>
      <c r="I1491" s="944" t="str">
        <f t="shared" si="218"/>
        <v>5743011102</v>
      </c>
      <c r="J1491" s="991" t="s">
        <v>7262</v>
      </c>
      <c r="K1491" s="890">
        <v>375238</v>
      </c>
      <c r="L1491" s="890">
        <v>61509567</v>
      </c>
      <c r="M1491" s="890">
        <v>837743615</v>
      </c>
      <c r="N1491" s="886"/>
      <c r="O1491" s="886"/>
      <c r="P1491" s="886"/>
      <c r="Q1491" s="1162">
        <f t="shared" si="224"/>
        <v>27551</v>
      </c>
      <c r="R1491" s="882"/>
      <c r="S1491" s="1269"/>
      <c r="T1491" s="1254"/>
      <c r="U1491" s="996" t="s">
        <v>10129</v>
      </c>
      <c r="V1491" s="996" t="s">
        <v>10129</v>
      </c>
      <c r="W1491" s="992" t="s">
        <v>11197</v>
      </c>
    </row>
    <row r="1492" spans="1:23" ht="14.5" customHeight="1">
      <c r="A1492" s="1034"/>
      <c r="B1492" s="1034"/>
      <c r="C1492" s="987"/>
      <c r="D1492" s="988" t="str">
        <f t="shared" si="216"/>
        <v/>
      </c>
      <c r="F1492" s="988" t="str">
        <f t="shared" si="217"/>
        <v/>
      </c>
      <c r="G1492" s="1095" t="str">
        <f t="shared" si="221"/>
        <v>5743011</v>
      </c>
      <c r="H1492" s="1016" t="s">
        <v>5361</v>
      </c>
      <c r="I1492" s="944" t="str">
        <f t="shared" si="218"/>
        <v>5743011103</v>
      </c>
      <c r="J1492" s="991" t="s">
        <v>7263</v>
      </c>
      <c r="K1492" s="890">
        <v>119591</v>
      </c>
      <c r="L1492" s="890">
        <v>19632728</v>
      </c>
      <c r="M1492" s="890">
        <v>443420852</v>
      </c>
      <c r="N1492" s="886"/>
      <c r="O1492" s="886"/>
      <c r="P1492" s="886"/>
      <c r="Q1492" s="1162">
        <f t="shared" si="224"/>
        <v>5295</v>
      </c>
      <c r="R1492" s="882"/>
      <c r="S1492" s="1269"/>
      <c r="T1492" s="1254"/>
      <c r="U1492" s="996" t="s">
        <v>10129</v>
      </c>
      <c r="V1492" s="996" t="s">
        <v>10129</v>
      </c>
      <c r="W1492" s="992" t="s">
        <v>11198</v>
      </c>
    </row>
    <row r="1493" spans="1:23" ht="14.5" customHeight="1">
      <c r="A1493" s="1034"/>
      <c r="B1493" s="1034"/>
      <c r="C1493" s="987"/>
      <c r="D1493" s="988" t="str">
        <f t="shared" si="216"/>
        <v/>
      </c>
      <c r="F1493" s="988" t="str">
        <f t="shared" si="217"/>
        <v/>
      </c>
      <c r="G1493" s="1095" t="str">
        <f t="shared" si="221"/>
        <v>5743011</v>
      </c>
      <c r="H1493" s="1016" t="s">
        <v>5363</v>
      </c>
      <c r="I1493" s="944" t="str">
        <f t="shared" si="218"/>
        <v>5743011104</v>
      </c>
      <c r="J1493" s="991" t="s">
        <v>7264</v>
      </c>
      <c r="K1493" s="890">
        <v>118096</v>
      </c>
      <c r="L1493" s="890">
        <v>29997118</v>
      </c>
      <c r="M1493" s="890">
        <v>436271059</v>
      </c>
      <c r="N1493" s="886"/>
      <c r="O1493" s="886"/>
      <c r="P1493" s="886"/>
      <c r="Q1493" s="1162">
        <f t="shared" si="224"/>
        <v>8120</v>
      </c>
      <c r="R1493" s="882"/>
      <c r="S1493" s="1269"/>
      <c r="T1493" s="1254"/>
      <c r="U1493" s="996" t="s">
        <v>10129</v>
      </c>
      <c r="V1493" s="996" t="s">
        <v>10129</v>
      </c>
      <c r="W1493" s="992" t="s">
        <v>11199</v>
      </c>
    </row>
    <row r="1494" spans="1:23" ht="14.5" customHeight="1">
      <c r="A1494" s="1034"/>
      <c r="B1494" s="1034"/>
      <c r="C1494" s="987"/>
      <c r="D1494" s="988" t="str">
        <f t="shared" si="216"/>
        <v/>
      </c>
      <c r="F1494" s="988" t="str">
        <f t="shared" si="217"/>
        <v/>
      </c>
      <c r="G1494" s="1095" t="str">
        <f t="shared" si="221"/>
        <v>5743011</v>
      </c>
      <c r="H1494" s="1016" t="s">
        <v>5383</v>
      </c>
      <c r="I1494" s="944" t="str">
        <f t="shared" si="218"/>
        <v>5743011201</v>
      </c>
      <c r="J1494" s="991" t="s">
        <v>7265</v>
      </c>
      <c r="K1494" s="890">
        <v>161176</v>
      </c>
      <c r="L1494" s="873">
        <f t="shared" ref="L1494:M1497" si="225">L1490</f>
        <v>23618139</v>
      </c>
      <c r="M1494" s="873">
        <f t="shared" si="225"/>
        <v>248277465</v>
      </c>
      <c r="N1494" s="886"/>
      <c r="O1494" s="886"/>
      <c r="P1494" s="886"/>
      <c r="Q1494" s="1162">
        <f t="shared" si="224"/>
        <v>15332</v>
      </c>
      <c r="R1494" s="882"/>
      <c r="S1494" s="1269"/>
      <c r="T1494" s="1254"/>
      <c r="U1494" s="996" t="s">
        <v>10129</v>
      </c>
      <c r="V1494" s="996" t="s">
        <v>10129</v>
      </c>
      <c r="W1494" s="992" t="s">
        <v>11196</v>
      </c>
    </row>
    <row r="1495" spans="1:23" ht="14.5" customHeight="1">
      <c r="A1495" s="1034"/>
      <c r="B1495" s="1034"/>
      <c r="C1495" s="987"/>
      <c r="D1495" s="988" t="str">
        <f t="shared" si="216"/>
        <v/>
      </c>
      <c r="F1495" s="988" t="str">
        <f t="shared" si="217"/>
        <v/>
      </c>
      <c r="G1495" s="1095" t="str">
        <f t="shared" si="221"/>
        <v>5743011</v>
      </c>
      <c r="H1495" s="1016" t="s">
        <v>5385</v>
      </c>
      <c r="I1495" s="944" t="str">
        <f t="shared" si="218"/>
        <v>5743011202</v>
      </c>
      <c r="J1495" s="991" t="s">
        <v>7266</v>
      </c>
      <c r="K1495" s="890">
        <v>253911</v>
      </c>
      <c r="L1495" s="873">
        <f t="shared" si="225"/>
        <v>61509567</v>
      </c>
      <c r="M1495" s="873">
        <f t="shared" si="225"/>
        <v>837743615</v>
      </c>
      <c r="N1495" s="886"/>
      <c r="O1495" s="886"/>
      <c r="P1495" s="886"/>
      <c r="Q1495" s="1162">
        <f t="shared" si="224"/>
        <v>18643</v>
      </c>
      <c r="R1495" s="882"/>
      <c r="S1495" s="1269"/>
      <c r="T1495" s="1254"/>
      <c r="U1495" s="996" t="s">
        <v>10129</v>
      </c>
      <c r="V1495" s="996" t="s">
        <v>10129</v>
      </c>
      <c r="W1495" s="992" t="s">
        <v>11197</v>
      </c>
    </row>
    <row r="1496" spans="1:23" ht="14.5" customHeight="1">
      <c r="A1496" s="1034"/>
      <c r="B1496" s="1034"/>
      <c r="C1496" s="987"/>
      <c r="D1496" s="988" t="str">
        <f t="shared" si="216"/>
        <v/>
      </c>
      <c r="F1496" s="988" t="str">
        <f t="shared" si="217"/>
        <v/>
      </c>
      <c r="G1496" s="1095" t="str">
        <f t="shared" si="221"/>
        <v>5743011</v>
      </c>
      <c r="H1496" s="1016" t="s">
        <v>5906</v>
      </c>
      <c r="I1496" s="944" t="str">
        <f t="shared" si="218"/>
        <v>5743011203</v>
      </c>
      <c r="J1496" s="991" t="s">
        <v>7267</v>
      </c>
      <c r="K1496" s="890">
        <v>80926</v>
      </c>
      <c r="L1496" s="873">
        <f t="shared" si="225"/>
        <v>19632728</v>
      </c>
      <c r="M1496" s="873">
        <f t="shared" si="225"/>
        <v>443420852</v>
      </c>
      <c r="N1496" s="886"/>
      <c r="O1496" s="886"/>
      <c r="P1496" s="886"/>
      <c r="Q1496" s="1162">
        <f t="shared" si="224"/>
        <v>3583</v>
      </c>
      <c r="R1496" s="882"/>
      <c r="S1496" s="1269"/>
      <c r="T1496" s="1254"/>
      <c r="U1496" s="996" t="s">
        <v>10129</v>
      </c>
      <c r="V1496" s="996" t="s">
        <v>10129</v>
      </c>
      <c r="W1496" s="992" t="s">
        <v>11198</v>
      </c>
    </row>
    <row r="1497" spans="1:23" ht="14.5" customHeight="1">
      <c r="A1497" s="1034"/>
      <c r="B1497" s="1034"/>
      <c r="C1497" s="987"/>
      <c r="D1497" s="988" t="str">
        <f t="shared" si="216"/>
        <v/>
      </c>
      <c r="F1497" s="988" t="str">
        <f t="shared" si="217"/>
        <v/>
      </c>
      <c r="G1497" s="1095" t="str">
        <f t="shared" si="221"/>
        <v>5743011</v>
      </c>
      <c r="H1497" s="1016" t="s">
        <v>5908</v>
      </c>
      <c r="I1497" s="944" t="str">
        <f t="shared" si="218"/>
        <v>5743011204</v>
      </c>
      <c r="J1497" s="991" t="s">
        <v>7268</v>
      </c>
      <c r="K1497" s="890">
        <v>79914</v>
      </c>
      <c r="L1497" s="873">
        <f t="shared" si="225"/>
        <v>29997118</v>
      </c>
      <c r="M1497" s="873">
        <f t="shared" si="225"/>
        <v>436271059</v>
      </c>
      <c r="N1497" s="886"/>
      <c r="O1497" s="886"/>
      <c r="P1497" s="886"/>
      <c r="Q1497" s="1162">
        <f t="shared" si="224"/>
        <v>5495</v>
      </c>
      <c r="R1497" s="882"/>
      <c r="S1497" s="1269"/>
      <c r="T1497" s="1254"/>
      <c r="U1497" s="996" t="s">
        <v>10129</v>
      </c>
      <c r="V1497" s="996" t="s">
        <v>10129</v>
      </c>
      <c r="W1497" s="992" t="s">
        <v>11199</v>
      </c>
    </row>
    <row r="1498" spans="1:23" ht="14.5" customHeight="1">
      <c r="A1498" s="1034"/>
      <c r="B1498" s="1034"/>
      <c r="C1498" s="987"/>
      <c r="D1498" s="988" t="str">
        <f t="shared" si="216"/>
        <v/>
      </c>
      <c r="F1498" s="988" t="str">
        <f t="shared" si="217"/>
        <v/>
      </c>
      <c r="G1498" s="1095" t="str">
        <f t="shared" si="221"/>
        <v>5743011</v>
      </c>
      <c r="H1498" s="1016" t="s">
        <v>5421</v>
      </c>
      <c r="I1498" s="944" t="str">
        <f t="shared" si="218"/>
        <v>5743011301</v>
      </c>
      <c r="J1498" s="991" t="s">
        <v>7269</v>
      </c>
      <c r="K1498" s="890">
        <v>18830</v>
      </c>
      <c r="L1498" s="890">
        <v>1154</v>
      </c>
      <c r="M1498" s="890">
        <v>11633</v>
      </c>
      <c r="N1498" s="886"/>
      <c r="O1498" s="886"/>
      <c r="P1498" s="886"/>
      <c r="Q1498" s="1162">
        <f t="shared" si="224"/>
        <v>1868</v>
      </c>
      <c r="R1498" s="882"/>
      <c r="S1498" s="1269"/>
      <c r="T1498" s="1254"/>
      <c r="U1498" s="996" t="s">
        <v>11200</v>
      </c>
      <c r="V1498" s="996" t="s">
        <v>11174</v>
      </c>
      <c r="W1498" s="992" t="s">
        <v>11201</v>
      </c>
    </row>
    <row r="1499" spans="1:23" ht="14.5" customHeight="1">
      <c r="A1499" s="1034"/>
      <c r="B1499" s="1034"/>
      <c r="C1499" s="998"/>
      <c r="D1499" s="999" t="str">
        <f t="shared" si="216"/>
        <v/>
      </c>
      <c r="E1499" s="1002"/>
      <c r="F1499" s="999" t="str">
        <f t="shared" si="217"/>
        <v/>
      </c>
      <c r="G1499" s="1104" t="str">
        <f t="shared" si="221"/>
        <v>5743011</v>
      </c>
      <c r="H1499" s="1005" t="s">
        <v>7011</v>
      </c>
      <c r="I1499" s="1002" t="str">
        <f t="shared" si="218"/>
        <v>5743011401</v>
      </c>
      <c r="J1499" s="978" t="s">
        <v>7270</v>
      </c>
      <c r="K1499" s="893"/>
      <c r="L1499" s="905">
        <v>0</v>
      </c>
      <c r="M1499" s="872"/>
      <c r="N1499" s="893"/>
      <c r="O1499" s="893"/>
      <c r="P1499" s="893"/>
      <c r="Q1499" s="1177">
        <v>0</v>
      </c>
      <c r="R1499" s="900"/>
      <c r="S1499" s="1272"/>
      <c r="T1499" s="900"/>
      <c r="U1499" s="1006" t="s">
        <v>11202</v>
      </c>
      <c r="V1499" s="1006" t="s">
        <v>10129</v>
      </c>
      <c r="W1499" s="1086" t="s">
        <v>11203</v>
      </c>
    </row>
    <row r="1500" spans="1:23" ht="14.5" customHeight="1">
      <c r="A1500" s="1034"/>
      <c r="B1500" s="1034"/>
      <c r="C1500" s="994" t="s">
        <v>7271</v>
      </c>
      <c r="D1500" s="988" t="str">
        <f t="shared" si="216"/>
        <v>575101</v>
      </c>
      <c r="E1500" s="989"/>
      <c r="F1500" s="988" t="str">
        <f t="shared" si="217"/>
        <v/>
      </c>
      <c r="I1500" s="944" t="str">
        <f t="shared" si="218"/>
        <v/>
      </c>
      <c r="J1500" s="1087" t="s">
        <v>7272</v>
      </c>
      <c r="K1500" s="886"/>
      <c r="L1500" s="886"/>
      <c r="M1500" s="886"/>
      <c r="N1500" s="886"/>
      <c r="O1500" s="886"/>
      <c r="P1500" s="896">
        <f>Q1501+Q1502+Q1503+Q1507</f>
        <v>40076</v>
      </c>
      <c r="Q1500" s="1171"/>
      <c r="R1500" s="882"/>
      <c r="S1500" s="1269"/>
      <c r="T1500" s="1254"/>
      <c r="U1500" s="996"/>
      <c r="V1500" s="996"/>
      <c r="W1500" s="992"/>
    </row>
    <row r="1501" spans="1:23" ht="14.5" customHeight="1">
      <c r="A1501" s="1034"/>
      <c r="B1501" s="1034"/>
      <c r="C1501" s="994"/>
      <c r="D1501" s="988" t="str">
        <f t="shared" si="216"/>
        <v/>
      </c>
      <c r="E1501" s="989" t="s">
        <v>7273</v>
      </c>
      <c r="F1501" s="988" t="str">
        <f t="shared" si="217"/>
        <v>5751011</v>
      </c>
      <c r="G1501" s="1095" t="str">
        <f t="shared" ref="G1501:G1551" si="226">IF(F1501="",G1500,F1501)</f>
        <v>5751011</v>
      </c>
      <c r="I1501" s="944" t="str">
        <f t="shared" si="218"/>
        <v/>
      </c>
      <c r="J1501" s="990" t="s">
        <v>679</v>
      </c>
      <c r="K1501" s="890">
        <v>778306</v>
      </c>
      <c r="L1501" s="890">
        <v>5</v>
      </c>
      <c r="M1501" s="890">
        <v>111350</v>
      </c>
      <c r="N1501" s="886"/>
      <c r="O1501" s="886"/>
      <c r="P1501" s="886"/>
      <c r="Q1501" s="1161">
        <f>ROUND(K1501*L1501/M1501,0)</f>
        <v>35</v>
      </c>
      <c r="R1501" s="882"/>
      <c r="S1501" s="1269"/>
      <c r="T1501" s="1254"/>
      <c r="U1501" s="1010" t="s">
        <v>11204</v>
      </c>
      <c r="V1501" s="996"/>
      <c r="W1501" s="992" t="s">
        <v>11205</v>
      </c>
    </row>
    <row r="1502" spans="1:23" ht="14.5" customHeight="1">
      <c r="A1502" s="1034"/>
      <c r="B1502" s="1034"/>
      <c r="C1502" s="987"/>
      <c r="D1502" s="988" t="str">
        <f t="shared" si="216"/>
        <v/>
      </c>
      <c r="E1502" s="989" t="s">
        <v>7274</v>
      </c>
      <c r="F1502" s="988" t="str">
        <f t="shared" si="217"/>
        <v>5751012</v>
      </c>
      <c r="G1502" s="1095" t="str">
        <f>IF(F1502="",G1501,F1502)</f>
        <v>5751012</v>
      </c>
      <c r="H1502" s="1016" t="s">
        <v>7312</v>
      </c>
      <c r="I1502" s="944" t="str">
        <f t="shared" si="218"/>
        <v>5751012001</v>
      </c>
      <c r="J1502" s="990" t="s">
        <v>681</v>
      </c>
      <c r="K1502" s="890">
        <v>802677</v>
      </c>
      <c r="L1502" s="890">
        <v>2051096</v>
      </c>
      <c r="M1502" s="890">
        <v>43645327</v>
      </c>
      <c r="N1502" s="886"/>
      <c r="O1502" s="886"/>
      <c r="P1502" s="886"/>
      <c r="Q1502" s="1171">
        <f>ROUND(K1502*L1502/M1502,0)</f>
        <v>37722</v>
      </c>
      <c r="R1502" s="882"/>
      <c r="S1502" s="1269"/>
      <c r="T1502" s="1254"/>
      <c r="U1502" s="996" t="s">
        <v>11206</v>
      </c>
      <c r="V1502" s="996" t="s">
        <v>11207</v>
      </c>
      <c r="W1502" s="992" t="s">
        <v>11208</v>
      </c>
    </row>
    <row r="1503" spans="1:23" ht="14.5" customHeight="1">
      <c r="A1503" s="1034"/>
      <c r="B1503" s="1034"/>
      <c r="C1503" s="987"/>
      <c r="D1503" s="988" t="str">
        <f t="shared" si="216"/>
        <v/>
      </c>
      <c r="E1503" s="989" t="s">
        <v>7275</v>
      </c>
      <c r="F1503" s="988" t="str">
        <f t="shared" si="217"/>
        <v>5751013</v>
      </c>
      <c r="G1503" s="1095" t="str">
        <f t="shared" si="226"/>
        <v>5751013</v>
      </c>
      <c r="I1503" s="944" t="str">
        <f t="shared" si="218"/>
        <v/>
      </c>
      <c r="J1503" s="990" t="s">
        <v>682</v>
      </c>
      <c r="K1503" s="886">
        <f>SUM(K1504:K1506)</f>
        <v>58708</v>
      </c>
      <c r="L1503" s="886"/>
      <c r="M1503" s="886"/>
      <c r="N1503" s="886"/>
      <c r="O1503" s="886"/>
      <c r="P1503" s="886"/>
      <c r="Q1503" s="1171">
        <f>SUM(Q1504:Q1506)</f>
        <v>2235</v>
      </c>
      <c r="R1503" s="882"/>
      <c r="S1503" s="1269"/>
      <c r="T1503" s="1254"/>
      <c r="U1503" s="996" t="s">
        <v>11206</v>
      </c>
      <c r="V1503" s="996"/>
      <c r="W1503" s="992" t="s">
        <v>11209</v>
      </c>
    </row>
    <row r="1504" spans="1:23" ht="14.5" customHeight="1">
      <c r="A1504" s="1034"/>
      <c r="B1504" s="1034"/>
      <c r="C1504" s="987"/>
      <c r="D1504" s="988" t="str">
        <f t="shared" si="216"/>
        <v/>
      </c>
      <c r="F1504" s="988" t="str">
        <f t="shared" si="217"/>
        <v/>
      </c>
      <c r="G1504" s="1095" t="str">
        <f t="shared" si="226"/>
        <v>5751013</v>
      </c>
      <c r="H1504" s="1016" t="s">
        <v>5349</v>
      </c>
      <c r="I1504" s="944" t="str">
        <f t="shared" si="218"/>
        <v>5751013001</v>
      </c>
      <c r="J1504" s="991" t="s">
        <v>7276</v>
      </c>
      <c r="K1504" s="890">
        <v>48685</v>
      </c>
      <c r="L1504" s="890">
        <v>21586</v>
      </c>
      <c r="M1504" s="890">
        <v>540447</v>
      </c>
      <c r="N1504" s="886"/>
      <c r="O1504" s="886"/>
      <c r="P1504" s="886"/>
      <c r="Q1504" s="1162">
        <f>ROUND(K1504*L1504/M1504,0)</f>
        <v>1945</v>
      </c>
      <c r="R1504" s="882"/>
      <c r="S1504" s="1269"/>
      <c r="T1504" s="1254"/>
      <c r="U1504" s="996"/>
      <c r="V1504" s="996" t="s">
        <v>11207</v>
      </c>
      <c r="W1504" s="992"/>
    </row>
    <row r="1505" spans="1:23" ht="14.5" customHeight="1">
      <c r="C1505" s="987"/>
      <c r="D1505" s="988" t="str">
        <f t="shared" si="216"/>
        <v/>
      </c>
      <c r="F1505" s="988" t="str">
        <f t="shared" si="217"/>
        <v/>
      </c>
      <c r="G1505" s="1095" t="str">
        <f t="shared" si="226"/>
        <v>5751013</v>
      </c>
      <c r="H1505" s="1016" t="s">
        <v>5327</v>
      </c>
      <c r="I1505" s="944" t="str">
        <f t="shared" si="218"/>
        <v>5751013002</v>
      </c>
      <c r="J1505" s="991" t="s">
        <v>7277</v>
      </c>
      <c r="K1505" s="890">
        <v>6633</v>
      </c>
      <c r="L1505" s="890">
        <v>2053</v>
      </c>
      <c r="M1505" s="890">
        <v>48137</v>
      </c>
      <c r="N1505" s="886"/>
      <c r="O1505" s="886"/>
      <c r="P1505" s="886"/>
      <c r="Q1505" s="1162">
        <f>ROUND(K1505*L1505/M1505,0)</f>
        <v>283</v>
      </c>
      <c r="R1505" s="882"/>
      <c r="S1505" s="1269"/>
      <c r="T1505" s="1254"/>
      <c r="U1505" s="996"/>
      <c r="V1505" s="996" t="s">
        <v>10145</v>
      </c>
      <c r="W1505" s="992"/>
    </row>
    <row r="1506" spans="1:23" ht="14.5" customHeight="1">
      <c r="C1506" s="987"/>
      <c r="D1506" s="988" t="str">
        <f t="shared" si="216"/>
        <v/>
      </c>
      <c r="F1506" s="988" t="str">
        <f t="shared" si="217"/>
        <v/>
      </c>
      <c r="G1506" s="1095" t="str">
        <f t="shared" si="226"/>
        <v>5751013</v>
      </c>
      <c r="H1506" s="1016" t="s">
        <v>5329</v>
      </c>
      <c r="I1506" s="944" t="str">
        <f t="shared" si="218"/>
        <v>5751013003</v>
      </c>
      <c r="J1506" s="991" t="s">
        <v>7278</v>
      </c>
      <c r="K1506" s="890">
        <v>3390</v>
      </c>
      <c r="L1506" s="890">
        <v>47</v>
      </c>
      <c r="M1506" s="890">
        <v>22968</v>
      </c>
      <c r="N1506" s="886"/>
      <c r="O1506" s="886"/>
      <c r="P1506" s="886"/>
      <c r="Q1506" s="1162">
        <f>ROUND(K1506*L1506/M1506,0)</f>
        <v>7</v>
      </c>
      <c r="R1506" s="882"/>
      <c r="S1506" s="1269"/>
      <c r="T1506" s="1254"/>
      <c r="U1506" s="996"/>
      <c r="V1506" s="996" t="s">
        <v>10145</v>
      </c>
      <c r="W1506" s="992"/>
    </row>
    <row r="1507" spans="1:23" ht="14.5" customHeight="1">
      <c r="C1507" s="987"/>
      <c r="D1507" s="988" t="str">
        <f t="shared" si="216"/>
        <v/>
      </c>
      <c r="E1507" s="989" t="s">
        <v>7279</v>
      </c>
      <c r="F1507" s="988" t="str">
        <f t="shared" si="217"/>
        <v>5751014</v>
      </c>
      <c r="G1507" s="1104" t="str">
        <f t="shared" si="226"/>
        <v>5751014</v>
      </c>
      <c r="H1507" s="1016" t="s">
        <v>36</v>
      </c>
      <c r="I1507" s="944" t="str">
        <f t="shared" si="218"/>
        <v>5751014001</v>
      </c>
      <c r="J1507" s="990" t="s">
        <v>683</v>
      </c>
      <c r="K1507" s="890">
        <v>29018</v>
      </c>
      <c r="L1507" s="890">
        <v>641.36</v>
      </c>
      <c r="M1507" s="890">
        <v>221671.21</v>
      </c>
      <c r="N1507" s="886"/>
      <c r="O1507" s="886"/>
      <c r="P1507" s="886"/>
      <c r="Q1507" s="1161">
        <f>ROUND(K1507*L1507/M1507,0)</f>
        <v>84</v>
      </c>
      <c r="R1507" s="882"/>
      <c r="S1507" s="1269"/>
      <c r="T1507" s="1254"/>
      <c r="U1507" s="996" t="s">
        <v>11145</v>
      </c>
      <c r="V1507" s="996" t="s">
        <v>11186</v>
      </c>
      <c r="W1507" s="992" t="s">
        <v>11210</v>
      </c>
    </row>
    <row r="1508" spans="1:23" ht="14.5" customHeight="1">
      <c r="C1508" s="981" t="s">
        <v>7280</v>
      </c>
      <c r="D1508" s="982" t="str">
        <f t="shared" si="216"/>
        <v>576101</v>
      </c>
      <c r="E1508" s="983" t="s">
        <v>7281</v>
      </c>
      <c r="F1508" s="982" t="str">
        <f t="shared" si="217"/>
        <v>5761011</v>
      </c>
      <c r="G1508" s="1095" t="str">
        <f t="shared" si="226"/>
        <v>5761011</v>
      </c>
      <c r="H1508" s="1102"/>
      <c r="I1508" s="947"/>
      <c r="J1508" s="984" t="s">
        <v>7282</v>
      </c>
      <c r="K1508" s="889"/>
      <c r="L1508" s="897"/>
      <c r="M1508" s="897"/>
      <c r="N1508" s="889"/>
      <c r="O1508" s="889"/>
      <c r="P1508" s="881">
        <f>Q1508</f>
        <v>32192</v>
      </c>
      <c r="Q1508" s="1160">
        <f>SUM(Q1509:Q1510)</f>
        <v>32192</v>
      </c>
      <c r="R1508" s="880"/>
      <c r="S1508" s="1270"/>
      <c r="T1508" s="880"/>
      <c r="U1508" s="993" t="s">
        <v>11211</v>
      </c>
      <c r="V1508" s="993"/>
      <c r="W1508" s="986" t="s">
        <v>11212</v>
      </c>
    </row>
    <row r="1509" spans="1:23" ht="14.5" customHeight="1">
      <c r="C1509" s="994"/>
      <c r="E1509" s="989"/>
      <c r="F1509" s="988" t="str">
        <f t="shared" si="217"/>
        <v/>
      </c>
      <c r="G1509" s="1095" t="str">
        <f t="shared" si="226"/>
        <v>5761011</v>
      </c>
      <c r="H1509" s="1016" t="s">
        <v>5349</v>
      </c>
      <c r="I1509" s="944" t="str">
        <f t="shared" si="218"/>
        <v>5761011001</v>
      </c>
      <c r="J1509" s="991" t="s">
        <v>7283</v>
      </c>
      <c r="K1509" s="890">
        <v>775329</v>
      </c>
      <c r="L1509" s="890">
        <f>1741+2878</f>
        <v>4619</v>
      </c>
      <c r="M1509" s="890">
        <f>36776+79697</f>
        <v>116473</v>
      </c>
      <c r="N1509" s="886"/>
      <c r="O1509" s="886"/>
      <c r="P1509" s="886"/>
      <c r="Q1509" s="1172">
        <f>ROUND(K1509*L1509/M1509,0)</f>
        <v>30747</v>
      </c>
      <c r="R1509" s="882"/>
      <c r="S1509" s="1269"/>
      <c r="T1509" s="1254"/>
      <c r="U1509" s="996"/>
      <c r="V1509" s="996"/>
      <c r="W1509" s="992"/>
    </row>
    <row r="1510" spans="1:23" ht="14.5" customHeight="1">
      <c r="A1510" s="1145"/>
      <c r="C1510" s="1015"/>
      <c r="D1510" s="999"/>
      <c r="E1510" s="1000"/>
      <c r="F1510" s="999" t="str">
        <f t="shared" si="217"/>
        <v/>
      </c>
      <c r="G1510" s="1104" t="str">
        <f t="shared" si="226"/>
        <v>5761011</v>
      </c>
      <c r="H1510" s="1005" t="s">
        <v>5327</v>
      </c>
      <c r="I1510" s="1109" t="str">
        <f t="shared" si="218"/>
        <v>5761011002</v>
      </c>
      <c r="J1510" s="978" t="s">
        <v>7284</v>
      </c>
      <c r="K1510" s="905">
        <v>36426</v>
      </c>
      <c r="L1510" s="908">
        <f>L1509</f>
        <v>4619</v>
      </c>
      <c r="M1510" s="908">
        <f>M1509</f>
        <v>116473</v>
      </c>
      <c r="N1510" s="900"/>
      <c r="O1510" s="900"/>
      <c r="P1510" s="900"/>
      <c r="Q1510" s="1175">
        <f>ROUND(K1510*L1510/M1510,0)</f>
        <v>1445</v>
      </c>
      <c r="R1510" s="900"/>
      <c r="S1510" s="1272"/>
      <c r="T1510" s="900"/>
      <c r="U1510" s="978"/>
      <c r="V1510" s="978"/>
      <c r="W1510" s="1003"/>
    </row>
    <row r="1511" spans="1:23" ht="14.5" customHeight="1">
      <c r="C1511" s="994" t="s">
        <v>7285</v>
      </c>
      <c r="D1511" s="988" t="str">
        <f t="shared" si="216"/>
        <v>577101</v>
      </c>
      <c r="E1511" s="989" t="s">
        <v>7286</v>
      </c>
      <c r="F1511" s="988" t="str">
        <f t="shared" si="217"/>
        <v>5771011</v>
      </c>
      <c r="G1511" s="1095" t="str">
        <f t="shared" si="226"/>
        <v>5771011</v>
      </c>
      <c r="I1511" s="944" t="str">
        <f t="shared" si="218"/>
        <v/>
      </c>
      <c r="J1511" s="990" t="s">
        <v>687</v>
      </c>
      <c r="K1511" s="886"/>
      <c r="L1511" s="886"/>
      <c r="M1511" s="886"/>
      <c r="N1511" s="886"/>
      <c r="O1511" s="886"/>
      <c r="P1511" s="896">
        <f>Q1511</f>
        <v>173378</v>
      </c>
      <c r="Q1511" s="1171">
        <f>SUM(Q1512:Q1516)</f>
        <v>173378</v>
      </c>
      <c r="R1511" s="882"/>
      <c r="S1511" s="1269"/>
      <c r="T1511" s="1254"/>
      <c r="U1511" s="996"/>
      <c r="V1511" s="996"/>
      <c r="W1511" s="992"/>
    </row>
    <row r="1512" spans="1:23" ht="14.5" customHeight="1">
      <c r="C1512" s="987"/>
      <c r="D1512" s="988" t="str">
        <f t="shared" si="216"/>
        <v/>
      </c>
      <c r="F1512" s="988" t="str">
        <f t="shared" si="217"/>
        <v/>
      </c>
      <c r="G1512" s="1095" t="str">
        <f t="shared" si="226"/>
        <v>5771011</v>
      </c>
      <c r="H1512" s="1016" t="s">
        <v>36</v>
      </c>
      <c r="I1512" s="944" t="str">
        <f t="shared" si="218"/>
        <v>5771011001</v>
      </c>
      <c r="J1512" s="991" t="s">
        <v>7287</v>
      </c>
      <c r="K1512" s="890">
        <v>2516489</v>
      </c>
      <c r="L1512" s="890">
        <v>14535</v>
      </c>
      <c r="M1512" s="890">
        <v>262519</v>
      </c>
      <c r="N1512" s="886"/>
      <c r="O1512" s="886"/>
      <c r="P1512" s="886"/>
      <c r="Q1512" s="1162">
        <f t="shared" ref="Q1512:Q1517" si="227">ROUND(K1512*L1512/M1512,0)</f>
        <v>139332</v>
      </c>
      <c r="R1512" s="882"/>
      <c r="S1512" s="1269"/>
      <c r="T1512" s="1254"/>
      <c r="U1512" s="996" t="s">
        <v>11213</v>
      </c>
      <c r="V1512" s="996" t="s">
        <v>11214</v>
      </c>
      <c r="W1512" s="992" t="s">
        <v>11215</v>
      </c>
    </row>
    <row r="1513" spans="1:23" ht="14.5" customHeight="1">
      <c r="C1513" s="987"/>
      <c r="D1513" s="988" t="str">
        <f t="shared" si="216"/>
        <v/>
      </c>
      <c r="F1513" s="988" t="str">
        <f t="shared" si="217"/>
        <v/>
      </c>
      <c r="G1513" s="1095" t="str">
        <f t="shared" si="226"/>
        <v>5771011</v>
      </c>
      <c r="H1513" s="1016" t="s">
        <v>5337</v>
      </c>
      <c r="I1513" s="944" t="str">
        <f t="shared" si="218"/>
        <v>5771011002</v>
      </c>
      <c r="J1513" s="991" t="s">
        <v>7288</v>
      </c>
      <c r="K1513" s="890">
        <v>472033</v>
      </c>
      <c r="L1513" s="890">
        <v>1545</v>
      </c>
      <c r="M1513" s="890">
        <v>22075</v>
      </c>
      <c r="N1513" s="886"/>
      <c r="O1513" s="886"/>
      <c r="P1513" s="886"/>
      <c r="Q1513" s="1162">
        <f t="shared" si="227"/>
        <v>33037</v>
      </c>
      <c r="R1513" s="882"/>
      <c r="S1513" s="1269"/>
      <c r="T1513" s="1254"/>
      <c r="U1513" s="996" t="s">
        <v>10129</v>
      </c>
      <c r="V1513" s="996" t="s">
        <v>10129</v>
      </c>
      <c r="W1513" s="992" t="s">
        <v>11216</v>
      </c>
    </row>
    <row r="1514" spans="1:23" ht="14.5" customHeight="1">
      <c r="C1514" s="987"/>
      <c r="D1514" s="988" t="str">
        <f t="shared" si="216"/>
        <v/>
      </c>
      <c r="F1514" s="988" t="str">
        <f t="shared" si="217"/>
        <v/>
      </c>
      <c r="G1514" s="1095" t="str">
        <f t="shared" si="226"/>
        <v>5771011</v>
      </c>
      <c r="H1514" s="1016" t="s">
        <v>5339</v>
      </c>
      <c r="I1514" s="944" t="str">
        <f t="shared" si="218"/>
        <v>5771011003</v>
      </c>
      <c r="J1514" s="991" t="s">
        <v>7289</v>
      </c>
      <c r="K1514" s="890">
        <v>62</v>
      </c>
      <c r="L1514" s="890">
        <v>0</v>
      </c>
      <c r="M1514" s="890">
        <v>64</v>
      </c>
      <c r="N1514" s="886"/>
      <c r="O1514" s="886"/>
      <c r="P1514" s="886"/>
      <c r="Q1514" s="1162">
        <f t="shared" si="227"/>
        <v>0</v>
      </c>
      <c r="R1514" s="882"/>
      <c r="S1514" s="1269"/>
      <c r="T1514" s="1254"/>
      <c r="U1514" s="996" t="s">
        <v>10129</v>
      </c>
      <c r="V1514" s="996" t="s">
        <v>10129</v>
      </c>
      <c r="W1514" s="992" t="s">
        <v>11217</v>
      </c>
    </row>
    <row r="1515" spans="1:23" ht="14.5" customHeight="1">
      <c r="C1515" s="987"/>
      <c r="D1515" s="988" t="str">
        <f t="shared" si="216"/>
        <v/>
      </c>
      <c r="F1515" s="988" t="str">
        <f t="shared" si="217"/>
        <v/>
      </c>
      <c r="G1515" s="1095" t="str">
        <f t="shared" si="226"/>
        <v>5771011</v>
      </c>
      <c r="H1515" s="1016" t="s">
        <v>5593</v>
      </c>
      <c r="I1515" s="944" t="str">
        <f t="shared" si="218"/>
        <v>5771011004</v>
      </c>
      <c r="J1515" s="991" t="s">
        <v>7290</v>
      </c>
      <c r="K1515" s="890">
        <v>51139</v>
      </c>
      <c r="L1515" s="890">
        <v>383036</v>
      </c>
      <c r="M1515" s="890">
        <v>27350348</v>
      </c>
      <c r="N1515" s="886"/>
      <c r="O1515" s="886"/>
      <c r="P1515" s="886"/>
      <c r="Q1515" s="1162">
        <f t="shared" si="227"/>
        <v>716</v>
      </c>
      <c r="R1515" s="882"/>
      <c r="S1515" s="1269"/>
      <c r="T1515" s="1254"/>
      <c r="U1515" s="996" t="s">
        <v>11218</v>
      </c>
      <c r="V1515" s="996" t="s">
        <v>11219</v>
      </c>
      <c r="W1515" s="992" t="s">
        <v>11220</v>
      </c>
    </row>
    <row r="1516" spans="1:23" ht="14.5" customHeight="1">
      <c r="C1516" s="987"/>
      <c r="D1516" s="988" t="str">
        <f t="shared" si="216"/>
        <v/>
      </c>
      <c r="F1516" s="988" t="str">
        <f t="shared" si="217"/>
        <v/>
      </c>
      <c r="G1516" s="1104" t="str">
        <f t="shared" si="226"/>
        <v>5771011</v>
      </c>
      <c r="H1516" s="1016" t="s">
        <v>7227</v>
      </c>
      <c r="I1516" s="944" t="str">
        <f t="shared" si="218"/>
        <v>5771011005</v>
      </c>
      <c r="J1516" s="991" t="s">
        <v>7291</v>
      </c>
      <c r="K1516" s="890">
        <v>5513</v>
      </c>
      <c r="L1516" s="890">
        <v>181385</v>
      </c>
      <c r="M1516" s="890">
        <v>3412154</v>
      </c>
      <c r="N1516" s="886"/>
      <c r="O1516" s="886"/>
      <c r="P1516" s="886"/>
      <c r="Q1516" s="1162">
        <f t="shared" si="227"/>
        <v>293</v>
      </c>
      <c r="R1516" s="882"/>
      <c r="S1516" s="1269"/>
      <c r="T1516" s="1254"/>
      <c r="U1516" s="996" t="s">
        <v>11221</v>
      </c>
      <c r="V1516" s="996" t="s">
        <v>11222</v>
      </c>
      <c r="W1516" s="992" t="s">
        <v>11223</v>
      </c>
    </row>
    <row r="1517" spans="1:23" ht="14.5" customHeight="1">
      <c r="C1517" s="1023" t="s">
        <v>7292</v>
      </c>
      <c r="D1517" s="1024" t="str">
        <f t="shared" si="216"/>
        <v>578101</v>
      </c>
      <c r="E1517" s="1025" t="s">
        <v>7293</v>
      </c>
      <c r="F1517" s="1024" t="str">
        <f t="shared" si="217"/>
        <v>5781011</v>
      </c>
      <c r="G1517" s="1111" t="str">
        <f t="shared" si="226"/>
        <v>5781011</v>
      </c>
      <c r="H1517" s="1112" t="s">
        <v>36</v>
      </c>
      <c r="I1517" s="1113" t="str">
        <f t="shared" si="218"/>
        <v>5781011001</v>
      </c>
      <c r="J1517" s="1026" t="s">
        <v>689</v>
      </c>
      <c r="K1517" s="930">
        <v>1214221</v>
      </c>
      <c r="L1517" s="935">
        <v>2683</v>
      </c>
      <c r="M1517" s="935">
        <v>65347</v>
      </c>
      <c r="N1517" s="912"/>
      <c r="O1517" s="912"/>
      <c r="P1517" s="914">
        <f>Q1517</f>
        <v>49853</v>
      </c>
      <c r="Q1517" s="1198">
        <f t="shared" si="227"/>
        <v>49853</v>
      </c>
      <c r="R1517" s="929"/>
      <c r="S1517" s="1280"/>
      <c r="T1517" s="929"/>
      <c r="U1517" s="1022" t="s">
        <v>11224</v>
      </c>
      <c r="V1517" s="1022"/>
      <c r="W1517" s="1027" t="s">
        <v>11225</v>
      </c>
    </row>
    <row r="1518" spans="1:23" ht="14.5" customHeight="1">
      <c r="C1518" s="994" t="s">
        <v>7294</v>
      </c>
      <c r="D1518" s="988" t="str">
        <f t="shared" si="216"/>
        <v>578901</v>
      </c>
      <c r="E1518" s="989" t="s">
        <v>7295</v>
      </c>
      <c r="F1518" s="988" t="str">
        <f t="shared" si="217"/>
        <v>5789011</v>
      </c>
      <c r="G1518" s="1095" t="str">
        <f t="shared" si="226"/>
        <v>5789011</v>
      </c>
      <c r="I1518" s="944" t="str">
        <f t="shared" si="218"/>
        <v/>
      </c>
      <c r="J1518" s="990" t="s">
        <v>691</v>
      </c>
      <c r="K1518" s="886"/>
      <c r="L1518" s="886"/>
      <c r="M1518" s="886"/>
      <c r="N1518" s="886"/>
      <c r="O1518" s="886"/>
      <c r="P1518" s="896">
        <f>Q1518</f>
        <v>215467</v>
      </c>
      <c r="Q1518" s="1171">
        <f>SUM(Q1519:Q1525)</f>
        <v>215467</v>
      </c>
      <c r="R1518" s="882"/>
      <c r="S1518" s="1269"/>
      <c r="T1518" s="1254"/>
      <c r="U1518" s="1088"/>
      <c r="V1518" s="996"/>
      <c r="W1518" s="992"/>
    </row>
    <row r="1519" spans="1:23" ht="14.5" customHeight="1">
      <c r="C1519" s="987"/>
      <c r="D1519" s="988" t="str">
        <f t="shared" si="216"/>
        <v/>
      </c>
      <c r="F1519" s="988" t="str">
        <f t="shared" si="217"/>
        <v/>
      </c>
      <c r="G1519" s="1095" t="str">
        <f t="shared" si="226"/>
        <v>5789011</v>
      </c>
      <c r="H1519" s="1016" t="s">
        <v>575</v>
      </c>
      <c r="I1519" s="944" t="str">
        <f t="shared" si="218"/>
        <v>5789011101</v>
      </c>
      <c r="J1519" s="991" t="s">
        <v>7296</v>
      </c>
      <c r="K1519" s="886"/>
      <c r="L1519" s="886"/>
      <c r="M1519" s="886"/>
      <c r="N1519" s="886"/>
      <c r="O1519" s="886"/>
      <c r="P1519" s="886"/>
      <c r="Q1519" s="1167">
        <v>64708</v>
      </c>
      <c r="R1519" s="882"/>
      <c r="S1519" s="1269"/>
      <c r="T1519" s="1254"/>
      <c r="U1519" s="996" t="s">
        <v>11226</v>
      </c>
      <c r="V1519" s="996" t="s">
        <v>11227</v>
      </c>
      <c r="W1519" s="992" t="s">
        <v>11228</v>
      </c>
    </row>
    <row r="1520" spans="1:23" ht="14.5" customHeight="1">
      <c r="C1520" s="987"/>
      <c r="D1520" s="988" t="str">
        <f t="shared" si="216"/>
        <v/>
      </c>
      <c r="F1520" s="988" t="str">
        <f t="shared" si="217"/>
        <v/>
      </c>
      <c r="G1520" s="1095" t="str">
        <f t="shared" si="226"/>
        <v>5789011</v>
      </c>
      <c r="H1520" s="1016" t="s">
        <v>5359</v>
      </c>
      <c r="I1520" s="944" t="str">
        <f t="shared" si="218"/>
        <v>5789011102</v>
      </c>
      <c r="J1520" s="991" t="s">
        <v>7297</v>
      </c>
      <c r="K1520" s="886"/>
      <c r="L1520" s="886"/>
      <c r="M1520" s="886"/>
      <c r="N1520" s="886"/>
      <c r="O1520" s="886"/>
      <c r="P1520" s="886"/>
      <c r="Q1520" s="1167">
        <v>55713</v>
      </c>
      <c r="R1520" s="882"/>
      <c r="S1520" s="1269"/>
      <c r="T1520" s="1254"/>
      <c r="U1520" s="996" t="s">
        <v>10129</v>
      </c>
      <c r="V1520" s="996" t="s">
        <v>10129</v>
      </c>
      <c r="W1520" s="992" t="s">
        <v>11229</v>
      </c>
    </row>
    <row r="1521" spans="1:23" ht="14.5" customHeight="1">
      <c r="A1521" s="1034"/>
      <c r="B1521" s="1034"/>
      <c r="C1521" s="987"/>
      <c r="D1521" s="988" t="str">
        <f t="shared" si="216"/>
        <v/>
      </c>
      <c r="F1521" s="988" t="str">
        <f t="shared" si="217"/>
        <v/>
      </c>
      <c r="G1521" s="1095" t="str">
        <f t="shared" si="226"/>
        <v>5789011</v>
      </c>
      <c r="H1521" s="1016" t="s">
        <v>5361</v>
      </c>
      <c r="I1521" s="944" t="str">
        <f t="shared" si="218"/>
        <v>5789011103</v>
      </c>
      <c r="J1521" s="991" t="s">
        <v>7298</v>
      </c>
      <c r="K1521" s="886"/>
      <c r="L1521" s="886"/>
      <c r="M1521" s="886"/>
      <c r="N1521" s="886"/>
      <c r="O1521" s="886"/>
      <c r="P1521" s="886"/>
      <c r="Q1521" s="1167">
        <v>37055</v>
      </c>
      <c r="R1521" s="882"/>
      <c r="S1521" s="1269"/>
      <c r="T1521" s="1254"/>
      <c r="U1521" s="996" t="s">
        <v>10129</v>
      </c>
      <c r="V1521" s="996" t="s">
        <v>10129</v>
      </c>
      <c r="W1521" s="992" t="s">
        <v>11230</v>
      </c>
    </row>
    <row r="1522" spans="1:23" ht="14.5" customHeight="1">
      <c r="A1522" s="1034"/>
      <c r="B1522" s="1034"/>
      <c r="C1522" s="987"/>
      <c r="D1522" s="988" t="str">
        <f t="shared" si="216"/>
        <v/>
      </c>
      <c r="F1522" s="988" t="str">
        <f t="shared" si="217"/>
        <v/>
      </c>
      <c r="G1522" s="1095" t="str">
        <f t="shared" si="226"/>
        <v>5789011</v>
      </c>
      <c r="H1522" s="1016" t="s">
        <v>5363</v>
      </c>
      <c r="I1522" s="944" t="str">
        <f t="shared" si="218"/>
        <v>5789011104</v>
      </c>
      <c r="J1522" s="991" t="s">
        <v>7299</v>
      </c>
      <c r="K1522" s="886"/>
      <c r="L1522" s="886"/>
      <c r="M1522" s="886"/>
      <c r="N1522" s="886"/>
      <c r="O1522" s="886"/>
      <c r="P1522" s="886"/>
      <c r="Q1522" s="1167">
        <v>11282</v>
      </c>
      <c r="R1522" s="882"/>
      <c r="S1522" s="1269"/>
      <c r="T1522" s="1254"/>
      <c r="U1522" s="996" t="s">
        <v>10129</v>
      </c>
      <c r="V1522" s="996" t="s">
        <v>10129</v>
      </c>
      <c r="W1522" s="992" t="s">
        <v>11231</v>
      </c>
    </row>
    <row r="1523" spans="1:23" ht="14.5" customHeight="1">
      <c r="A1523" s="1034"/>
      <c r="B1523" s="1034"/>
      <c r="C1523" s="987"/>
      <c r="D1523" s="988" t="str">
        <f t="shared" si="216"/>
        <v/>
      </c>
      <c r="F1523" s="988" t="str">
        <f t="shared" si="217"/>
        <v/>
      </c>
      <c r="G1523" s="1095" t="str">
        <f t="shared" si="226"/>
        <v>5789011</v>
      </c>
      <c r="H1523" s="1016" t="s">
        <v>5365</v>
      </c>
      <c r="I1523" s="944" t="str">
        <f t="shared" si="218"/>
        <v>5789011105</v>
      </c>
      <c r="J1523" s="991" t="s">
        <v>7300</v>
      </c>
      <c r="K1523" s="890">
        <v>4385</v>
      </c>
      <c r="L1523" s="890">
        <v>1914</v>
      </c>
      <c r="M1523" s="890">
        <v>26332</v>
      </c>
      <c r="N1523" s="886"/>
      <c r="O1523" s="886"/>
      <c r="P1523" s="886"/>
      <c r="Q1523" s="1162">
        <f>ROUND(K1523*L1523/M1523,0)</f>
        <v>319</v>
      </c>
      <c r="R1523" s="882"/>
      <c r="S1523" s="1269"/>
      <c r="T1523" s="1254"/>
      <c r="U1523" s="996" t="s">
        <v>11232</v>
      </c>
      <c r="V1523" s="996" t="s">
        <v>11186</v>
      </c>
      <c r="W1523" s="992" t="s">
        <v>11233</v>
      </c>
    </row>
    <row r="1524" spans="1:23" ht="14.5" customHeight="1">
      <c r="A1524" s="1034"/>
      <c r="B1524" s="1034"/>
      <c r="C1524" s="987"/>
      <c r="D1524" s="988" t="str">
        <f t="shared" si="216"/>
        <v/>
      </c>
      <c r="F1524" s="988" t="str">
        <f t="shared" si="217"/>
        <v/>
      </c>
      <c r="G1524" s="1095" t="str">
        <f t="shared" si="226"/>
        <v>5789011</v>
      </c>
      <c r="H1524" s="1016" t="s">
        <v>5383</v>
      </c>
      <c r="I1524" s="944" t="str">
        <f t="shared" si="218"/>
        <v>5789011201</v>
      </c>
      <c r="J1524" s="991" t="s">
        <v>7301</v>
      </c>
      <c r="K1524" s="890">
        <v>1010515</v>
      </c>
      <c r="L1524" s="890">
        <f>245695-0</f>
        <v>245695</v>
      </c>
      <c r="M1524" s="890">
        <f>5386408-601</f>
        <v>5385807</v>
      </c>
      <c r="N1524" s="886"/>
      <c r="O1524" s="886"/>
      <c r="P1524" s="886"/>
      <c r="Q1524" s="1162">
        <f>ROUND(K1524*L1524/M1524,0)</f>
        <v>46099</v>
      </c>
      <c r="R1524" s="882"/>
      <c r="S1524" s="1269"/>
      <c r="T1524" s="1254"/>
      <c r="U1524" s="996" t="s">
        <v>11234</v>
      </c>
      <c r="V1524" s="996" t="s">
        <v>11235</v>
      </c>
      <c r="W1524" s="992" t="s">
        <v>11236</v>
      </c>
    </row>
    <row r="1525" spans="1:23" ht="14.5" customHeight="1">
      <c r="A1525" s="1034"/>
      <c r="B1525" s="1034"/>
      <c r="C1525" s="987"/>
      <c r="D1525" s="988" t="str">
        <f t="shared" si="216"/>
        <v/>
      </c>
      <c r="F1525" s="988" t="str">
        <f t="shared" si="217"/>
        <v/>
      </c>
      <c r="G1525" s="1095" t="str">
        <f t="shared" si="226"/>
        <v>5789011</v>
      </c>
      <c r="H1525" s="1016" t="s">
        <v>5421</v>
      </c>
      <c r="I1525" s="944" t="str">
        <f t="shared" si="218"/>
        <v>5789011301</v>
      </c>
      <c r="J1525" s="991" t="s">
        <v>7302</v>
      </c>
      <c r="K1525" s="890">
        <v>22423</v>
      </c>
      <c r="L1525" s="890">
        <v>2</v>
      </c>
      <c r="M1525" s="890">
        <v>154</v>
      </c>
      <c r="N1525" s="886"/>
      <c r="O1525" s="886"/>
      <c r="P1525" s="886"/>
      <c r="Q1525" s="1162">
        <f>ROUND(K1525*L1525/M1525,0)</f>
        <v>291</v>
      </c>
      <c r="R1525" s="882"/>
      <c r="S1525" s="1269"/>
      <c r="T1525" s="1254"/>
      <c r="U1525" s="996" t="s">
        <v>11237</v>
      </c>
      <c r="V1525" s="996" t="s">
        <v>11238</v>
      </c>
      <c r="W1525" s="1009" t="s">
        <v>11239</v>
      </c>
    </row>
    <row r="1526" spans="1:23" ht="14.5" customHeight="1">
      <c r="A1526" s="1034"/>
      <c r="B1526" s="1034"/>
      <c r="C1526" s="981" t="s">
        <v>7303</v>
      </c>
      <c r="D1526" s="982" t="str">
        <f t="shared" si="216"/>
        <v>578902</v>
      </c>
      <c r="E1526" s="983" t="s">
        <v>7304</v>
      </c>
      <c r="F1526" s="982" t="str">
        <f t="shared" si="217"/>
        <v>5789021</v>
      </c>
      <c r="G1526" s="1103" t="str">
        <f t="shared" si="226"/>
        <v>5789021</v>
      </c>
      <c r="H1526" s="1102"/>
      <c r="I1526" s="947" t="str">
        <f t="shared" si="218"/>
        <v/>
      </c>
      <c r="J1526" s="984" t="s">
        <v>692</v>
      </c>
      <c r="K1526" s="889"/>
      <c r="L1526" s="889"/>
      <c r="M1526" s="889"/>
      <c r="N1526" s="889"/>
      <c r="O1526" s="889"/>
      <c r="P1526" s="881">
        <f>Q1526</f>
        <v>8980</v>
      </c>
      <c r="Q1526" s="1160">
        <f>SUM(Q1527:Q1531)</f>
        <v>8980</v>
      </c>
      <c r="R1526" s="880"/>
      <c r="S1526" s="1270"/>
      <c r="T1526" s="880"/>
      <c r="U1526" s="993"/>
      <c r="V1526" s="993"/>
      <c r="W1526" s="986"/>
    </row>
    <row r="1527" spans="1:23" ht="14.5" customHeight="1">
      <c r="A1527" s="1034"/>
      <c r="B1527" s="1034"/>
      <c r="C1527" s="987"/>
      <c r="D1527" s="988" t="str">
        <f t="shared" si="216"/>
        <v/>
      </c>
      <c r="F1527" s="988" t="str">
        <f t="shared" si="217"/>
        <v/>
      </c>
      <c r="G1527" s="1095" t="str">
        <f t="shared" si="226"/>
        <v>5789021</v>
      </c>
      <c r="H1527" s="1016" t="s">
        <v>575</v>
      </c>
      <c r="I1527" s="944" t="str">
        <f t="shared" si="218"/>
        <v>5789021101</v>
      </c>
      <c r="J1527" s="991" t="s">
        <v>7305</v>
      </c>
      <c r="K1527" s="890">
        <v>9307</v>
      </c>
      <c r="L1527" s="873"/>
      <c r="M1527" s="873"/>
      <c r="N1527" s="886"/>
      <c r="O1527" s="886"/>
      <c r="P1527" s="886"/>
      <c r="Q1527" s="1165">
        <v>642</v>
      </c>
      <c r="R1527" s="882"/>
      <c r="S1527" s="1269"/>
      <c r="T1527" s="1254"/>
      <c r="U1527" s="996" t="s">
        <v>11240</v>
      </c>
      <c r="V1527" s="996" t="s">
        <v>11065</v>
      </c>
      <c r="W1527" s="992" t="s">
        <v>11241</v>
      </c>
    </row>
    <row r="1528" spans="1:23" ht="14.5" customHeight="1">
      <c r="A1528" s="1034"/>
      <c r="B1528" s="1034"/>
      <c r="C1528" s="987"/>
      <c r="D1528" s="988" t="str">
        <f t="shared" si="216"/>
        <v/>
      </c>
      <c r="F1528" s="988" t="str">
        <f t="shared" si="217"/>
        <v/>
      </c>
      <c r="G1528" s="1095" t="str">
        <f t="shared" si="226"/>
        <v>5789021</v>
      </c>
      <c r="H1528" s="1016" t="s">
        <v>5359</v>
      </c>
      <c r="I1528" s="944" t="str">
        <f t="shared" si="218"/>
        <v>5789021102</v>
      </c>
      <c r="J1528" s="991" t="s">
        <v>7306</v>
      </c>
      <c r="K1528" s="890">
        <v>11634</v>
      </c>
      <c r="L1528" s="873"/>
      <c r="M1528" s="873"/>
      <c r="N1528" s="886"/>
      <c r="O1528" s="886"/>
      <c r="P1528" s="886"/>
      <c r="Q1528" s="1165">
        <v>803</v>
      </c>
      <c r="R1528" s="882"/>
      <c r="S1528" s="1269"/>
      <c r="T1528" s="1254"/>
      <c r="U1528" s="996" t="s">
        <v>10129</v>
      </c>
      <c r="V1528" s="996" t="s">
        <v>10129</v>
      </c>
      <c r="W1528" s="992" t="s">
        <v>10129</v>
      </c>
    </row>
    <row r="1529" spans="1:23" ht="14.5" customHeight="1">
      <c r="A1529" s="1034"/>
      <c r="B1529" s="1034"/>
      <c r="C1529" s="987"/>
      <c r="D1529" s="988" t="str">
        <f t="shared" si="216"/>
        <v/>
      </c>
      <c r="F1529" s="988" t="str">
        <f t="shared" si="217"/>
        <v/>
      </c>
      <c r="G1529" s="1095" t="str">
        <f t="shared" si="226"/>
        <v>5789021</v>
      </c>
      <c r="H1529" s="1016" t="s">
        <v>5383</v>
      </c>
      <c r="I1529" s="944" t="str">
        <f t="shared" si="218"/>
        <v>5789021201</v>
      </c>
      <c r="J1529" s="991" t="s">
        <v>7307</v>
      </c>
      <c r="K1529" s="890">
        <v>88275</v>
      </c>
      <c r="L1529" s="890">
        <f>274347390-320711</f>
        <v>274026679</v>
      </c>
      <c r="M1529" s="890">
        <f>3754724223-17635614</f>
        <v>3737088609</v>
      </c>
      <c r="N1529" s="886"/>
      <c r="O1529" s="886"/>
      <c r="P1529" s="886"/>
      <c r="Q1529" s="1162">
        <f>ROUND(K1529*L1529/M1529,0)</f>
        <v>6473</v>
      </c>
      <c r="R1529" s="882"/>
      <c r="S1529" s="1269"/>
      <c r="T1529" s="1254"/>
      <c r="U1529" s="996" t="s">
        <v>11242</v>
      </c>
      <c r="V1529" s="996" t="s">
        <v>10129</v>
      </c>
      <c r="W1529" s="992" t="s">
        <v>11243</v>
      </c>
    </row>
    <row r="1530" spans="1:23" ht="14.5" customHeight="1">
      <c r="A1530" s="1034"/>
      <c r="B1530" s="1034"/>
      <c r="C1530" s="987"/>
      <c r="D1530" s="988" t="str">
        <f t="shared" si="216"/>
        <v/>
      </c>
      <c r="F1530" s="988" t="str">
        <f t="shared" si="217"/>
        <v/>
      </c>
      <c r="G1530" s="1095" t="str">
        <f t="shared" si="226"/>
        <v>5789021</v>
      </c>
      <c r="H1530" s="1016" t="s">
        <v>5385</v>
      </c>
      <c r="I1530" s="944" t="str">
        <f t="shared" si="218"/>
        <v>5789021202</v>
      </c>
      <c r="J1530" s="991" t="s">
        <v>7308</v>
      </c>
      <c r="K1530" s="890">
        <v>9330</v>
      </c>
      <c r="L1530" s="890">
        <v>28357.399999999994</v>
      </c>
      <c r="M1530" s="890">
        <v>576703</v>
      </c>
      <c r="N1530" s="886"/>
      <c r="O1530" s="886"/>
      <c r="P1530" s="886"/>
      <c r="Q1530" s="1162">
        <f>ROUND(K1530*L1530/M1530,0)</f>
        <v>459</v>
      </c>
      <c r="R1530" s="882"/>
      <c r="S1530" s="1269"/>
      <c r="T1530" s="1254"/>
      <c r="U1530" s="996" t="s">
        <v>11244</v>
      </c>
      <c r="V1530" s="996" t="s">
        <v>11245</v>
      </c>
      <c r="W1530" s="992" t="s">
        <v>11246</v>
      </c>
    </row>
    <row r="1531" spans="1:23" ht="14.5" customHeight="1">
      <c r="A1531" s="1034"/>
      <c r="B1531" s="1034"/>
      <c r="C1531" s="998"/>
      <c r="D1531" s="999" t="str">
        <f t="shared" si="216"/>
        <v/>
      </c>
      <c r="E1531" s="1002"/>
      <c r="F1531" s="999" t="str">
        <f t="shared" si="217"/>
        <v/>
      </c>
      <c r="G1531" s="1104" t="str">
        <f t="shared" si="226"/>
        <v>5789021</v>
      </c>
      <c r="H1531" s="1005" t="s">
        <v>5906</v>
      </c>
      <c r="I1531" s="1002" t="str">
        <f t="shared" si="218"/>
        <v>5789021203</v>
      </c>
      <c r="J1531" s="978" t="s">
        <v>7309</v>
      </c>
      <c r="K1531" s="895">
        <v>8217</v>
      </c>
      <c r="L1531" s="895">
        <f>L1529</f>
        <v>274026679</v>
      </c>
      <c r="M1531" s="895">
        <f>M1529</f>
        <v>3737088609</v>
      </c>
      <c r="N1531" s="893"/>
      <c r="O1531" s="893"/>
      <c r="P1531" s="893"/>
      <c r="Q1531" s="1176">
        <f>ROUND(K1531*L1531/M1531,0)</f>
        <v>603</v>
      </c>
      <c r="R1531" s="900"/>
      <c r="S1531" s="1272"/>
      <c r="T1531" s="900"/>
      <c r="U1531" s="1006" t="s">
        <v>11247</v>
      </c>
      <c r="V1531" s="1006" t="s">
        <v>11248</v>
      </c>
      <c r="W1531" s="1003" t="s">
        <v>11249</v>
      </c>
    </row>
    <row r="1532" spans="1:23" ht="14.5" customHeight="1">
      <c r="A1532" s="1034"/>
      <c r="B1532" s="1034"/>
      <c r="C1532" s="981" t="s">
        <v>7310</v>
      </c>
      <c r="D1532" s="982" t="str">
        <f t="shared" si="216"/>
        <v>578903</v>
      </c>
      <c r="E1532" s="983" t="s">
        <v>7311</v>
      </c>
      <c r="F1532" s="982" t="str">
        <f t="shared" si="217"/>
        <v>5789031</v>
      </c>
      <c r="G1532" s="1103" t="str">
        <f t="shared" si="226"/>
        <v>5789031</v>
      </c>
      <c r="H1532" s="1102"/>
      <c r="I1532" s="947" t="str">
        <f t="shared" si="218"/>
        <v/>
      </c>
      <c r="J1532" s="984" t="s">
        <v>693</v>
      </c>
      <c r="K1532" s="889"/>
      <c r="L1532" s="889"/>
      <c r="M1532" s="889"/>
      <c r="N1532" s="889"/>
      <c r="O1532" s="889"/>
      <c r="P1532" s="881">
        <f>Q1532</f>
        <v>7412</v>
      </c>
      <c r="Q1532" s="1160">
        <f>SUM(Q1533:Q1534)</f>
        <v>7412</v>
      </c>
      <c r="R1532" s="880"/>
      <c r="S1532" s="1270"/>
      <c r="T1532" s="880"/>
      <c r="U1532" s="993"/>
      <c r="V1532" s="993"/>
      <c r="W1532" s="986"/>
    </row>
    <row r="1533" spans="1:23" ht="14.5" customHeight="1">
      <c r="A1533" s="1034"/>
      <c r="B1533" s="1034"/>
      <c r="C1533" s="987"/>
      <c r="D1533" s="988" t="str">
        <f t="shared" si="216"/>
        <v/>
      </c>
      <c r="F1533" s="988" t="str">
        <f t="shared" si="217"/>
        <v/>
      </c>
      <c r="G1533" s="1095" t="str">
        <f t="shared" si="226"/>
        <v>5789031</v>
      </c>
      <c r="H1533" s="1016" t="s">
        <v>7312</v>
      </c>
      <c r="I1533" s="944" t="str">
        <f t="shared" si="218"/>
        <v>5789031001</v>
      </c>
      <c r="J1533" s="991" t="s">
        <v>7313</v>
      </c>
      <c r="K1533" s="890">
        <v>68508</v>
      </c>
      <c r="L1533" s="890">
        <f>202+1594</f>
        <v>1796</v>
      </c>
      <c r="M1533" s="890">
        <f>6446+22856</f>
        <v>29302</v>
      </c>
      <c r="N1533" s="886"/>
      <c r="O1533" s="886"/>
      <c r="P1533" s="886"/>
      <c r="Q1533" s="1165">
        <f>ROUND(K1533*L1533/M1533,0)</f>
        <v>4199</v>
      </c>
      <c r="R1533" s="882"/>
      <c r="S1533" s="1269"/>
      <c r="T1533" s="1254"/>
      <c r="U1533" s="996" t="s">
        <v>11250</v>
      </c>
      <c r="V1533" s="996"/>
      <c r="W1533" s="992" t="s">
        <v>11251</v>
      </c>
    </row>
    <row r="1534" spans="1:23" ht="14.5" customHeight="1">
      <c r="A1534" s="1034"/>
      <c r="B1534" s="1034"/>
      <c r="C1534" s="998"/>
      <c r="D1534" s="999" t="str">
        <f t="shared" si="216"/>
        <v/>
      </c>
      <c r="E1534" s="1002"/>
      <c r="F1534" s="999" t="str">
        <f t="shared" si="217"/>
        <v/>
      </c>
      <c r="G1534" s="1104" t="str">
        <f t="shared" si="226"/>
        <v>5789031</v>
      </c>
      <c r="H1534" s="1005" t="s">
        <v>7203</v>
      </c>
      <c r="I1534" s="1002" t="str">
        <f t="shared" si="218"/>
        <v>5789031002</v>
      </c>
      <c r="J1534" s="978" t="s">
        <v>7314</v>
      </c>
      <c r="K1534" s="895">
        <v>52420</v>
      </c>
      <c r="L1534" s="872">
        <f>L1533</f>
        <v>1796</v>
      </c>
      <c r="M1534" s="872">
        <f>M1533</f>
        <v>29302</v>
      </c>
      <c r="N1534" s="893"/>
      <c r="O1534" s="893"/>
      <c r="P1534" s="893"/>
      <c r="Q1534" s="1199">
        <f>ROUND(K1534*L1534/M1534,0)</f>
        <v>3213</v>
      </c>
      <c r="R1534" s="900"/>
      <c r="S1534" s="1272"/>
      <c r="T1534" s="900"/>
      <c r="U1534" s="1006" t="s">
        <v>10145</v>
      </c>
      <c r="V1534" s="1006"/>
      <c r="W1534" s="1003" t="s">
        <v>11252</v>
      </c>
    </row>
    <row r="1535" spans="1:23" ht="14.5" customHeight="1">
      <c r="A1535" s="1034"/>
      <c r="B1535" s="1034"/>
      <c r="C1535" s="994" t="s">
        <v>7315</v>
      </c>
      <c r="D1535" s="988" t="str">
        <f t="shared" si="216"/>
        <v>578904</v>
      </c>
      <c r="E1535" s="989" t="s">
        <v>7316</v>
      </c>
      <c r="F1535" s="988" t="str">
        <f t="shared" si="217"/>
        <v>5789041</v>
      </c>
      <c r="G1535" s="1095" t="str">
        <f>IF(F1535="",G1531,F1535)</f>
        <v>5789041</v>
      </c>
      <c r="I1535" s="944" t="str">
        <f t="shared" si="218"/>
        <v/>
      </c>
      <c r="J1535" s="990" t="s">
        <v>7317</v>
      </c>
      <c r="K1535" s="886"/>
      <c r="L1535" s="886"/>
      <c r="M1535" s="886"/>
      <c r="N1535" s="886"/>
      <c r="O1535" s="886"/>
      <c r="P1535" s="896">
        <f>Q1535</f>
        <v>4455</v>
      </c>
      <c r="Q1535" s="1171">
        <f>SUM(Q1536:Q1540)</f>
        <v>4455</v>
      </c>
      <c r="R1535" s="882"/>
      <c r="S1535" s="1269"/>
      <c r="T1535" s="1254"/>
      <c r="U1535" s="996"/>
      <c r="V1535" s="996"/>
      <c r="W1535" s="992"/>
    </row>
    <row r="1536" spans="1:23" ht="14.5" customHeight="1">
      <c r="A1536" s="1034"/>
      <c r="B1536" s="1034"/>
      <c r="C1536" s="987"/>
      <c r="D1536" s="988" t="str">
        <f t="shared" si="216"/>
        <v/>
      </c>
      <c r="F1536" s="988" t="str">
        <f t="shared" si="217"/>
        <v/>
      </c>
      <c r="G1536" s="1095" t="str">
        <f t="shared" si="226"/>
        <v>5789041</v>
      </c>
      <c r="H1536" s="1016" t="s">
        <v>7312</v>
      </c>
      <c r="I1536" s="944" t="str">
        <f t="shared" si="218"/>
        <v>5789041001</v>
      </c>
      <c r="J1536" s="991" t="s">
        <v>7318</v>
      </c>
      <c r="K1536" s="890">
        <v>24383</v>
      </c>
      <c r="L1536" s="890">
        <f>50+28</f>
        <v>78</v>
      </c>
      <c r="M1536" s="890">
        <v>623</v>
      </c>
      <c r="N1536" s="886"/>
      <c r="O1536" s="886"/>
      <c r="P1536" s="886"/>
      <c r="Q1536" s="1162">
        <f>ROUND(K1536*L1536/M1536,0)</f>
        <v>3053</v>
      </c>
      <c r="R1536" s="882"/>
      <c r="S1536" s="1269"/>
      <c r="T1536" s="1254"/>
      <c r="U1536" s="996" t="s">
        <v>11253</v>
      </c>
      <c r="V1536" s="1089"/>
      <c r="W1536" s="992" t="s">
        <v>11254</v>
      </c>
    </row>
    <row r="1537" spans="1:23" ht="14.5" customHeight="1">
      <c r="A1537" s="1034"/>
      <c r="B1537" s="1034"/>
      <c r="C1537" s="987"/>
      <c r="D1537" s="988" t="str">
        <f t="shared" ref="D1537:D1604" si="228">IF(C1537="","",CONCATENATE(LEFT(C1537,4),MID(C1537,6,2)))</f>
        <v/>
      </c>
      <c r="F1537" s="988" t="str">
        <f t="shared" ref="F1537:F1615" si="229">IF(E1537="","",CONCATENATE(LEFT(E1537,4),MID(E1537,6,3)))</f>
        <v/>
      </c>
      <c r="G1537" s="1095" t="str">
        <f t="shared" si="226"/>
        <v>5789041</v>
      </c>
      <c r="H1537" s="1016" t="s">
        <v>5337</v>
      </c>
      <c r="I1537" s="944" t="str">
        <f t="shared" ref="I1537:I1615" si="230">IF(H1537="","",CONCATENATE(G1537,H1537))</f>
        <v>5789041002</v>
      </c>
      <c r="J1537" s="991" t="s">
        <v>7319</v>
      </c>
      <c r="K1537" s="890">
        <v>21600</v>
      </c>
      <c r="L1537" s="890">
        <v>6487</v>
      </c>
      <c r="M1537" s="890">
        <v>135964</v>
      </c>
      <c r="N1537" s="886"/>
      <c r="O1537" s="886"/>
      <c r="P1537" s="886"/>
      <c r="Q1537" s="1162">
        <f>ROUND(K1537*L1537/M1537,0)</f>
        <v>1031</v>
      </c>
      <c r="R1537" s="882"/>
      <c r="S1537" s="1269"/>
      <c r="T1537" s="1254"/>
      <c r="U1537" s="996" t="s">
        <v>11250</v>
      </c>
      <c r="V1537" s="996" t="s">
        <v>11255</v>
      </c>
      <c r="W1537" s="992" t="s">
        <v>11256</v>
      </c>
    </row>
    <row r="1538" spans="1:23" ht="14.5" customHeight="1">
      <c r="A1538" s="1034"/>
      <c r="B1538" s="1034"/>
      <c r="C1538" s="987"/>
      <c r="D1538" s="988" t="str">
        <f t="shared" si="228"/>
        <v/>
      </c>
      <c r="F1538" s="988" t="str">
        <f t="shared" si="229"/>
        <v/>
      </c>
      <c r="G1538" s="1095" t="str">
        <f t="shared" si="226"/>
        <v>5789041</v>
      </c>
      <c r="H1538" s="1016" t="s">
        <v>5339</v>
      </c>
      <c r="I1538" s="944" t="str">
        <f t="shared" si="230"/>
        <v>5789041003</v>
      </c>
      <c r="J1538" s="991" t="s">
        <v>7320</v>
      </c>
      <c r="K1538" s="890">
        <v>3193</v>
      </c>
      <c r="L1538" s="873">
        <f>L1537</f>
        <v>6487</v>
      </c>
      <c r="M1538" s="873">
        <f>M1537</f>
        <v>135964</v>
      </c>
      <c r="N1538" s="886"/>
      <c r="O1538" s="886"/>
      <c r="P1538" s="886"/>
      <c r="Q1538" s="1162">
        <f>ROUND(K1538*L1538/M1538,0)</f>
        <v>152</v>
      </c>
      <c r="R1538" s="882"/>
      <c r="S1538" s="1269"/>
      <c r="T1538" s="1254"/>
      <c r="U1538" s="996" t="s">
        <v>10129</v>
      </c>
      <c r="V1538" s="996" t="s">
        <v>10129</v>
      </c>
      <c r="W1538" s="992" t="s">
        <v>11257</v>
      </c>
    </row>
    <row r="1539" spans="1:23" ht="14.5" customHeight="1">
      <c r="A1539" s="1034"/>
      <c r="B1539" s="1034"/>
      <c r="C1539" s="987"/>
      <c r="D1539" s="988" t="str">
        <f t="shared" si="228"/>
        <v/>
      </c>
      <c r="F1539" s="988" t="str">
        <f t="shared" si="229"/>
        <v/>
      </c>
      <c r="G1539" s="1095" t="str">
        <f t="shared" si="226"/>
        <v>5789041</v>
      </c>
      <c r="H1539" s="1016" t="s">
        <v>5593</v>
      </c>
      <c r="I1539" s="944" t="str">
        <f t="shared" si="230"/>
        <v>5789041004</v>
      </c>
      <c r="J1539" s="991" t="s">
        <v>7321</v>
      </c>
      <c r="K1539" s="890">
        <v>2384</v>
      </c>
      <c r="L1539" s="873">
        <f>L1537</f>
        <v>6487</v>
      </c>
      <c r="M1539" s="873">
        <f>M1537</f>
        <v>135964</v>
      </c>
      <c r="N1539" s="886"/>
      <c r="O1539" s="886"/>
      <c r="P1539" s="886"/>
      <c r="Q1539" s="1162">
        <f>ROUND(K1539*L1539/M1539,0)</f>
        <v>114</v>
      </c>
      <c r="R1539" s="882"/>
      <c r="S1539" s="1269"/>
      <c r="T1539" s="1254"/>
      <c r="U1539" s="996" t="s">
        <v>10129</v>
      </c>
      <c r="V1539" s="996" t="s">
        <v>10129</v>
      </c>
      <c r="W1539" s="992" t="s">
        <v>11257</v>
      </c>
    </row>
    <row r="1540" spans="1:23" ht="14.5" customHeight="1">
      <c r="C1540" s="987"/>
      <c r="D1540" s="988" t="str">
        <f t="shared" si="228"/>
        <v/>
      </c>
      <c r="F1540" s="988" t="str">
        <f t="shared" si="229"/>
        <v/>
      </c>
      <c r="G1540" s="1095" t="str">
        <f t="shared" si="226"/>
        <v>5789041</v>
      </c>
      <c r="H1540" s="1016" t="s">
        <v>7227</v>
      </c>
      <c r="I1540" s="944" t="str">
        <f t="shared" si="230"/>
        <v>5789041005</v>
      </c>
      <c r="J1540" s="991" t="s">
        <v>7322</v>
      </c>
      <c r="K1540" s="890">
        <v>2206</v>
      </c>
      <c r="L1540" s="873">
        <f>L1537</f>
        <v>6487</v>
      </c>
      <c r="M1540" s="873">
        <f>M1537</f>
        <v>135964</v>
      </c>
      <c r="N1540" s="886"/>
      <c r="O1540" s="886"/>
      <c r="P1540" s="886"/>
      <c r="Q1540" s="1162">
        <f>ROUND(K1540*L1540/M1540,0)</f>
        <v>105</v>
      </c>
      <c r="R1540" s="882"/>
      <c r="S1540" s="1269"/>
      <c r="T1540" s="1254"/>
      <c r="U1540" s="996" t="s">
        <v>10129</v>
      </c>
      <c r="V1540" s="996" t="s">
        <v>11186</v>
      </c>
      <c r="W1540" s="992" t="s">
        <v>11257</v>
      </c>
    </row>
    <row r="1541" spans="1:23" ht="14.5" customHeight="1">
      <c r="C1541" s="981" t="s">
        <v>7323</v>
      </c>
      <c r="D1541" s="982" t="str">
        <f t="shared" si="228"/>
        <v>578905</v>
      </c>
      <c r="E1541" s="983" t="s">
        <v>7324</v>
      </c>
      <c r="F1541" s="982" t="str">
        <f t="shared" si="229"/>
        <v>5789051</v>
      </c>
      <c r="G1541" s="1103" t="str">
        <f t="shared" si="226"/>
        <v>5789051</v>
      </c>
      <c r="H1541" s="1102"/>
      <c r="I1541" s="947" t="str">
        <f t="shared" si="230"/>
        <v/>
      </c>
      <c r="J1541" s="984" t="s">
        <v>695</v>
      </c>
      <c r="K1541" s="889"/>
      <c r="L1541" s="897"/>
      <c r="M1541" s="897"/>
      <c r="N1541" s="889"/>
      <c r="O1541" s="889"/>
      <c r="P1541" s="881">
        <f t="shared" ref="P1541:P1572" si="231">Q1541</f>
        <v>2332</v>
      </c>
      <c r="Q1541" s="1160">
        <f>Q1542</f>
        <v>2332</v>
      </c>
      <c r="R1541" s="880"/>
      <c r="S1541" s="1270"/>
      <c r="T1541" s="880"/>
      <c r="U1541" s="993"/>
      <c r="V1541" s="993"/>
      <c r="W1541" s="986"/>
    </row>
    <row r="1542" spans="1:23" ht="14.5" customHeight="1">
      <c r="C1542" s="994"/>
      <c r="E1542" s="989"/>
      <c r="F1542" s="988"/>
      <c r="G1542" s="1095" t="str">
        <f>IF(F1542="",G1545,F1542)</f>
        <v>5789051</v>
      </c>
      <c r="H1542" s="1016" t="s">
        <v>5349</v>
      </c>
      <c r="I1542" s="1033" t="str">
        <f t="shared" si="230"/>
        <v>5789051001</v>
      </c>
      <c r="J1542" s="991"/>
      <c r="K1542" s="890">
        <v>23721</v>
      </c>
      <c r="L1542" s="890">
        <v>14390</v>
      </c>
      <c r="M1542" s="890">
        <v>146376</v>
      </c>
      <c r="N1542" s="886"/>
      <c r="O1542" s="886"/>
      <c r="P1542" s="886"/>
      <c r="Q1542" s="1162">
        <f>ROUND(K1542*L1542/M1542,0)</f>
        <v>2332</v>
      </c>
      <c r="R1542" s="882"/>
      <c r="S1542" s="1269"/>
      <c r="T1542" s="1254"/>
      <c r="U1542" s="996" t="s">
        <v>11258</v>
      </c>
      <c r="V1542" s="996"/>
      <c r="W1542" s="992" t="s">
        <v>11259</v>
      </c>
    </row>
    <row r="1543" spans="1:23" ht="14.5" customHeight="1">
      <c r="C1543" s="981" t="s">
        <v>7325</v>
      </c>
      <c r="D1543" s="982" t="str">
        <f t="shared" si="228"/>
        <v>578906</v>
      </c>
      <c r="E1543" s="983" t="s">
        <v>7326</v>
      </c>
      <c r="F1543" s="982" t="str">
        <f t="shared" si="229"/>
        <v>5789061</v>
      </c>
      <c r="G1543" s="1103" t="str">
        <f>IF(F1543="",G1541,F1543)</f>
        <v>5789061</v>
      </c>
      <c r="H1543" s="1102"/>
      <c r="I1543" s="947" t="str">
        <f t="shared" si="230"/>
        <v/>
      </c>
      <c r="J1543" s="984" t="s">
        <v>697</v>
      </c>
      <c r="K1543" s="889"/>
      <c r="L1543" s="897"/>
      <c r="M1543" s="889"/>
      <c r="N1543" s="889"/>
      <c r="O1543" s="889"/>
      <c r="P1543" s="881">
        <f>Q1543</f>
        <v>22155</v>
      </c>
      <c r="Q1543" s="1169">
        <f>SUM(Q1544:R1545)</f>
        <v>22155</v>
      </c>
      <c r="R1543" s="880"/>
      <c r="S1543" s="1270"/>
      <c r="T1543" s="880"/>
      <c r="U1543" s="993"/>
      <c r="V1543" s="993"/>
      <c r="W1543" s="986"/>
    </row>
    <row r="1544" spans="1:23" ht="14.5" customHeight="1">
      <c r="C1544" s="994"/>
      <c r="E1544" s="989"/>
      <c r="F1544" s="988"/>
      <c r="G1544" s="1095" t="str">
        <f>IF(F1544="",G1542,F1544)</f>
        <v>5789051</v>
      </c>
      <c r="H1544" s="1016" t="s">
        <v>5349</v>
      </c>
      <c r="I1544" s="1033" t="str">
        <f>IF(H1544="","",CONCATENATE(G1544,H1544))</f>
        <v>5789051001</v>
      </c>
      <c r="J1544" s="991" t="s">
        <v>7327</v>
      </c>
      <c r="K1544" s="890">
        <v>123117</v>
      </c>
      <c r="L1544" s="890">
        <f>63093+33205</f>
        <v>96298</v>
      </c>
      <c r="M1544" s="890">
        <v>2058550</v>
      </c>
      <c r="N1544" s="886"/>
      <c r="O1544" s="886"/>
      <c r="P1544" s="886"/>
      <c r="Q1544" s="1162">
        <f>ROUND(K1544*L1544/M1544,0)</f>
        <v>5759</v>
      </c>
      <c r="R1544" s="882"/>
      <c r="S1544" s="1269"/>
      <c r="T1544" s="1254"/>
      <c r="U1544" s="996" t="s">
        <v>10106</v>
      </c>
      <c r="V1544" s="996"/>
      <c r="W1544" s="992" t="s">
        <v>11260</v>
      </c>
    </row>
    <row r="1545" spans="1:23" ht="14.5" customHeight="1">
      <c r="C1545" s="1015"/>
      <c r="D1545" s="999"/>
      <c r="E1545" s="1000"/>
      <c r="F1545" s="999"/>
      <c r="G1545" s="1104" t="str">
        <f>IF(F1545="",G1541,F1545)</f>
        <v>5789051</v>
      </c>
      <c r="H1545" s="1005" t="s">
        <v>5327</v>
      </c>
      <c r="I1545" s="1002" t="str">
        <f>IF(H1545="","",CONCATENATE(G1545,H1545))</f>
        <v>5789051002</v>
      </c>
      <c r="J1545" s="978" t="s">
        <v>7328</v>
      </c>
      <c r="K1545" s="895">
        <v>104892</v>
      </c>
      <c r="L1545" s="895">
        <v>30660</v>
      </c>
      <c r="M1545" s="895">
        <v>196150</v>
      </c>
      <c r="N1545" s="893"/>
      <c r="O1545" s="893"/>
      <c r="P1545" s="893"/>
      <c r="Q1545" s="1176">
        <f>ROUND(K1545*L1545/M1545,0)</f>
        <v>16396</v>
      </c>
      <c r="R1545" s="900"/>
      <c r="S1545" s="1269"/>
      <c r="T1545" s="1254"/>
      <c r="U1545" s="996" t="s">
        <v>11258</v>
      </c>
      <c r="V1545" s="1006"/>
      <c r="W1545" s="1003" t="s">
        <v>11261</v>
      </c>
    </row>
    <row r="1546" spans="1:23" ht="14.5" customHeight="1">
      <c r="C1546" s="1023" t="s">
        <v>7329</v>
      </c>
      <c r="D1546" s="1024" t="str">
        <f t="shared" si="228"/>
        <v>578907</v>
      </c>
      <c r="E1546" s="1025" t="s">
        <v>7330</v>
      </c>
      <c r="F1546" s="1024" t="str">
        <f t="shared" si="229"/>
        <v>5789071</v>
      </c>
      <c r="G1546" s="1111" t="str">
        <f>IF(F1546="",G1543,F1546)</f>
        <v>5789071</v>
      </c>
      <c r="H1546" s="1112" t="s">
        <v>36</v>
      </c>
      <c r="I1546" s="1113" t="str">
        <f t="shared" si="230"/>
        <v>5789071001</v>
      </c>
      <c r="J1546" s="1026" t="s">
        <v>7331</v>
      </c>
      <c r="K1546" s="930">
        <v>198760</v>
      </c>
      <c r="L1546" s="912">
        <f>SUM(Q1501:Q1503,Q1507)</f>
        <v>40076</v>
      </c>
      <c r="M1546" s="912">
        <f>SUM(K1501:K1503,K1507)</f>
        <v>1668709</v>
      </c>
      <c r="N1546" s="912"/>
      <c r="O1546" s="912"/>
      <c r="P1546" s="914">
        <f t="shared" si="231"/>
        <v>4773</v>
      </c>
      <c r="Q1546" s="1198">
        <f t="shared" ref="Q1546:Q1548" si="232">ROUND(K1546*L1546/M1546,0)</f>
        <v>4773</v>
      </c>
      <c r="R1546" s="929"/>
      <c r="S1546" s="1280"/>
      <c r="T1546" s="929"/>
      <c r="U1546" s="1022"/>
      <c r="V1546" s="1022"/>
      <c r="W1546" s="1027" t="s">
        <v>11262</v>
      </c>
    </row>
    <row r="1547" spans="1:23" ht="14.5" customHeight="1">
      <c r="C1547" s="981" t="s">
        <v>7332</v>
      </c>
      <c r="D1547" s="982" t="str">
        <f t="shared" si="228"/>
        <v>578909</v>
      </c>
      <c r="E1547" s="983" t="s">
        <v>7333</v>
      </c>
      <c r="F1547" s="982" t="str">
        <f t="shared" si="229"/>
        <v>5789099</v>
      </c>
      <c r="G1547" s="1103" t="str">
        <f t="shared" si="226"/>
        <v>5789099</v>
      </c>
      <c r="H1547" s="1102"/>
      <c r="I1547" s="947"/>
      <c r="J1547" s="1028" t="s">
        <v>7334</v>
      </c>
      <c r="K1547" s="889"/>
      <c r="L1547" s="897"/>
      <c r="M1547" s="897"/>
      <c r="N1547" s="889"/>
      <c r="O1547" s="889"/>
      <c r="P1547" s="881">
        <f t="shared" si="231"/>
        <v>26966</v>
      </c>
      <c r="Q1547" s="1160">
        <f>SUM(Q1548:Q1551)</f>
        <v>26966</v>
      </c>
      <c r="R1547" s="880"/>
      <c r="S1547" s="1269"/>
      <c r="T1547" s="1254"/>
      <c r="U1547" s="996"/>
      <c r="V1547" s="993"/>
      <c r="W1547" s="986"/>
    </row>
    <row r="1548" spans="1:23" ht="14.5" customHeight="1">
      <c r="C1548" s="994"/>
      <c r="E1548" s="989"/>
      <c r="F1548" s="988"/>
      <c r="G1548" s="1095" t="str">
        <f t="shared" si="226"/>
        <v>5789099</v>
      </c>
      <c r="H1548" s="1016" t="s">
        <v>5349</v>
      </c>
      <c r="I1548" s="944" t="str">
        <f t="shared" si="230"/>
        <v>5789099001</v>
      </c>
      <c r="J1548" s="992" t="s">
        <v>7335</v>
      </c>
      <c r="K1548" s="890">
        <v>281467</v>
      </c>
      <c r="L1548" s="890">
        <f>5543.7+4559.49+986.66+1913.11+606.7+13.16+0.3</f>
        <v>13623.119999999999</v>
      </c>
      <c r="M1548" s="890">
        <f>600097.44+310972.91+120282.46+182822.84+36298.23+39819.54+19299.02</f>
        <v>1309592.44</v>
      </c>
      <c r="N1548" s="886"/>
      <c r="O1548" s="886"/>
      <c r="P1548" s="886"/>
      <c r="Q1548" s="1162">
        <f t="shared" si="232"/>
        <v>2928</v>
      </c>
      <c r="R1548" s="882"/>
      <c r="S1548" s="1287">
        <f>'CT2015'!K1512</f>
        <v>3.2</v>
      </c>
      <c r="T1548" s="1254">
        <f>ROUND(Q1548*S1548/100,0)</f>
        <v>94</v>
      </c>
      <c r="U1548" s="996" t="s">
        <v>11145</v>
      </c>
      <c r="V1548" s="996"/>
      <c r="W1548" s="992" t="s">
        <v>11263</v>
      </c>
    </row>
    <row r="1549" spans="1:23" ht="14.5" customHeight="1">
      <c r="C1549" s="994"/>
      <c r="E1549" s="989"/>
      <c r="F1549" s="988"/>
      <c r="G1549" s="1095" t="str">
        <f t="shared" si="226"/>
        <v>5789099</v>
      </c>
      <c r="H1549" s="1016" t="s">
        <v>5327</v>
      </c>
      <c r="I1549" s="944" t="str">
        <f t="shared" si="230"/>
        <v>5789099002</v>
      </c>
      <c r="J1549" s="992" t="s">
        <v>7336</v>
      </c>
      <c r="K1549" s="890">
        <v>14262</v>
      </c>
      <c r="L1549" s="890">
        <v>99793.99</v>
      </c>
      <c r="M1549" s="890">
        <v>2118107.29</v>
      </c>
      <c r="N1549" s="886"/>
      <c r="O1549" s="886"/>
      <c r="P1549" s="886"/>
      <c r="Q1549" s="1165">
        <f>ROUND(K1549*L1549/M1549,0)</f>
        <v>672</v>
      </c>
      <c r="R1549" s="882"/>
      <c r="S1549" s="1287">
        <f>'CT2015'!K1513</f>
        <v>3.2</v>
      </c>
      <c r="T1549" s="1254">
        <f>ROUND(Q1549*S1549/100,0)</f>
        <v>22</v>
      </c>
      <c r="U1549" s="996" t="s">
        <v>10145</v>
      </c>
      <c r="V1549" s="996"/>
      <c r="W1549" s="992" t="s">
        <v>11264</v>
      </c>
    </row>
    <row r="1550" spans="1:23" ht="14.5" customHeight="1">
      <c r="C1550" s="994"/>
      <c r="E1550" s="989"/>
      <c r="F1550" s="988"/>
      <c r="G1550" s="1095" t="str">
        <f t="shared" si="226"/>
        <v>5789099</v>
      </c>
      <c r="H1550" s="1016" t="s">
        <v>5329</v>
      </c>
      <c r="I1550" s="944" t="str">
        <f t="shared" si="230"/>
        <v>5789099003</v>
      </c>
      <c r="J1550" s="992" t="s">
        <v>7337</v>
      </c>
      <c r="K1550" s="890">
        <v>297415</v>
      </c>
      <c r="L1550" s="890">
        <v>53486.05</v>
      </c>
      <c r="M1550" s="890">
        <v>1370161.53</v>
      </c>
      <c r="N1550" s="886"/>
      <c r="O1550" s="886"/>
      <c r="P1550" s="886"/>
      <c r="Q1550" s="1165">
        <f>ROUND(K1550*L1550/M1550,0)</f>
        <v>11610</v>
      </c>
      <c r="R1550" s="882"/>
      <c r="S1550" s="1269"/>
      <c r="T1550" s="1254"/>
      <c r="U1550" s="996" t="s">
        <v>10145</v>
      </c>
      <c r="V1550" s="996"/>
      <c r="W1550" s="992" t="s">
        <v>11265</v>
      </c>
    </row>
    <row r="1551" spans="1:23" ht="14.5" customHeight="1">
      <c r="C1551" s="1015"/>
      <c r="D1551" s="999"/>
      <c r="E1551" s="1000"/>
      <c r="F1551" s="999"/>
      <c r="G1551" s="1104" t="str">
        <f t="shared" si="226"/>
        <v>5789099</v>
      </c>
      <c r="H1551" s="1005" t="s">
        <v>5556</v>
      </c>
      <c r="I1551" s="1002" t="str">
        <f t="shared" si="230"/>
        <v>5789099004</v>
      </c>
      <c r="J1551" s="1003" t="s">
        <v>11266</v>
      </c>
      <c r="K1551" s="895">
        <v>71423</v>
      </c>
      <c r="L1551" s="895">
        <v>25265.25</v>
      </c>
      <c r="M1551" s="895">
        <v>153504.06</v>
      </c>
      <c r="N1551" s="893"/>
      <c r="O1551" s="893"/>
      <c r="P1551" s="893"/>
      <c r="Q1551" s="1173">
        <f>ROUND(K1551*L1551/M1551,0)</f>
        <v>11756</v>
      </c>
      <c r="R1551" s="900"/>
      <c r="S1551" s="1272"/>
      <c r="T1551" s="900"/>
      <c r="U1551" s="1006" t="s">
        <v>10145</v>
      </c>
      <c r="V1551" s="1006"/>
      <c r="W1551" s="1003" t="s">
        <v>11267</v>
      </c>
    </row>
    <row r="1552" spans="1:23" ht="14.5" customHeight="1">
      <c r="C1552" s="1015" t="s">
        <v>7339</v>
      </c>
      <c r="D1552" s="999" t="str">
        <f t="shared" si="228"/>
        <v>579101</v>
      </c>
      <c r="E1552" s="1000" t="s">
        <v>7340</v>
      </c>
      <c r="F1552" s="999" t="str">
        <f t="shared" si="229"/>
        <v>5791011</v>
      </c>
      <c r="G1552" s="1104" t="str">
        <f>IF(F1552="",G1547,F1552)</f>
        <v>5791011</v>
      </c>
      <c r="H1552" s="1005" t="s">
        <v>36</v>
      </c>
      <c r="I1552" s="1002" t="str">
        <f t="shared" si="230"/>
        <v>5791011001</v>
      </c>
      <c r="J1552" s="1030" t="s">
        <v>7341</v>
      </c>
      <c r="K1552" s="895">
        <v>1532744</v>
      </c>
      <c r="L1552" s="895">
        <f>4662+10267+390</f>
        <v>15319</v>
      </c>
      <c r="M1552" s="895">
        <f>102320+260588+10529</f>
        <v>373437</v>
      </c>
      <c r="N1552" s="893"/>
      <c r="O1552" s="893"/>
      <c r="P1552" s="888">
        <f>Q1552</f>
        <v>62876</v>
      </c>
      <c r="Q1552" s="1164">
        <f>ROUND(K1552*L1552/M1552,0)</f>
        <v>62876</v>
      </c>
      <c r="R1552" s="900"/>
      <c r="S1552" s="1272"/>
      <c r="T1552" s="900"/>
      <c r="U1552" s="1007" t="s">
        <v>11250</v>
      </c>
      <c r="V1552" s="1006" t="s">
        <v>11268</v>
      </c>
      <c r="W1552" s="1003" t="s">
        <v>11269</v>
      </c>
    </row>
    <row r="1553" spans="3:23" ht="14.5" customHeight="1">
      <c r="C1553" s="981" t="s">
        <v>7342</v>
      </c>
      <c r="D1553" s="982" t="str">
        <f t="shared" si="228"/>
        <v>591101</v>
      </c>
      <c r="E1553" s="983" t="s">
        <v>7343</v>
      </c>
      <c r="F1553" s="982" t="str">
        <f t="shared" si="229"/>
        <v>5911011</v>
      </c>
      <c r="G1553" s="1103" t="str">
        <f>IF(F1553="",G1552,F1553)</f>
        <v>5911011</v>
      </c>
      <c r="H1553" s="1102"/>
      <c r="I1553" s="947" t="str">
        <f t="shared" si="230"/>
        <v/>
      </c>
      <c r="J1553" s="984" t="s">
        <v>7344</v>
      </c>
      <c r="K1553" s="924">
        <f>SUM(K1554:K1561)</f>
        <v>7163409</v>
      </c>
      <c r="L1553" s="936">
        <v>490755</v>
      </c>
      <c r="M1553" s="936">
        <v>15130277</v>
      </c>
      <c r="N1553" s="880"/>
      <c r="O1553" s="880"/>
      <c r="P1553" s="881">
        <f>Q1553</f>
        <v>232347</v>
      </c>
      <c r="Q1553" s="1160">
        <f>ROUND(K1553*L1553/M1553,0)</f>
        <v>232347</v>
      </c>
      <c r="R1553" s="929"/>
      <c r="S1553" s="1270"/>
      <c r="T1553" s="880"/>
      <c r="U1553" s="985" t="s">
        <v>11270</v>
      </c>
      <c r="V1553" s="993"/>
      <c r="W1553" s="986" t="s">
        <v>11271</v>
      </c>
    </row>
    <row r="1554" spans="3:23" ht="14.5" customHeight="1">
      <c r="C1554" s="994"/>
      <c r="E1554" s="989"/>
      <c r="F1554" s="988"/>
      <c r="G1554" s="1095" t="str">
        <f t="shared" ref="G1554:G1561" si="233">IF(F1554="",G1553,F1554)</f>
        <v>5911011</v>
      </c>
      <c r="H1554" s="1016" t="s">
        <v>7312</v>
      </c>
      <c r="I1554" s="944" t="str">
        <f t="shared" si="230"/>
        <v>5911011001</v>
      </c>
      <c r="J1554" s="991" t="s">
        <v>11272</v>
      </c>
      <c r="K1554" s="890">
        <v>1552962</v>
      </c>
      <c r="L1554" s="873"/>
      <c r="M1554" s="873"/>
      <c r="N1554" s="886"/>
      <c r="O1554" s="886"/>
      <c r="P1554" s="896"/>
      <c r="Q1554" s="1181"/>
      <c r="R1554" s="929"/>
      <c r="S1554" s="1269"/>
      <c r="T1554" s="1254"/>
      <c r="U1554" s="996"/>
      <c r="V1554" s="1006"/>
      <c r="W1554" s="992"/>
    </row>
    <row r="1555" spans="3:23" ht="14.5" customHeight="1">
      <c r="C1555" s="994"/>
      <c r="E1555" s="989"/>
      <c r="F1555" s="988"/>
      <c r="G1555" s="1095" t="str">
        <f t="shared" si="233"/>
        <v>5911011</v>
      </c>
      <c r="H1555" s="1016" t="s">
        <v>7203</v>
      </c>
      <c r="I1555" s="944" t="str">
        <f t="shared" si="230"/>
        <v>5911011002</v>
      </c>
      <c r="J1555" s="991" t="s">
        <v>11273</v>
      </c>
      <c r="K1555" s="890">
        <v>2271319</v>
      </c>
      <c r="L1555" s="873"/>
      <c r="M1555" s="873"/>
      <c r="N1555" s="886"/>
      <c r="O1555" s="886"/>
      <c r="P1555" s="896"/>
      <c r="Q1555" s="1181"/>
      <c r="R1555" s="929"/>
      <c r="S1555" s="1269"/>
      <c r="T1555" s="1254"/>
      <c r="U1555" s="996"/>
      <c r="V1555" s="1022"/>
      <c r="W1555" s="992"/>
    </row>
    <row r="1556" spans="3:23" ht="14.5" customHeight="1">
      <c r="C1556" s="994"/>
      <c r="E1556" s="989"/>
      <c r="F1556" s="988"/>
      <c r="G1556" s="1095" t="str">
        <f t="shared" si="233"/>
        <v>5911011</v>
      </c>
      <c r="H1556" s="1016" t="s">
        <v>7205</v>
      </c>
      <c r="I1556" s="944" t="str">
        <f t="shared" si="230"/>
        <v>5911011003</v>
      </c>
      <c r="J1556" s="991" t="s">
        <v>11274</v>
      </c>
      <c r="K1556" s="890">
        <v>1561501</v>
      </c>
      <c r="L1556" s="873"/>
      <c r="M1556" s="873"/>
      <c r="N1556" s="886"/>
      <c r="O1556" s="886"/>
      <c r="P1556" s="896"/>
      <c r="Q1556" s="1181"/>
      <c r="R1556" s="929"/>
      <c r="S1556" s="1269"/>
      <c r="T1556" s="1254"/>
      <c r="U1556" s="996"/>
      <c r="V1556" s="1022"/>
      <c r="W1556" s="992"/>
    </row>
    <row r="1557" spans="3:23" ht="14.5" customHeight="1">
      <c r="C1557" s="994"/>
      <c r="E1557" s="989"/>
      <c r="F1557" s="988"/>
      <c r="G1557" s="1095" t="str">
        <f t="shared" si="233"/>
        <v>5911011</v>
      </c>
      <c r="H1557" s="1016" t="s">
        <v>7207</v>
      </c>
      <c r="I1557" s="944" t="str">
        <f t="shared" si="230"/>
        <v>5911011004</v>
      </c>
      <c r="J1557" s="991" t="s">
        <v>11275</v>
      </c>
      <c r="K1557" s="890">
        <v>154760</v>
      </c>
      <c r="L1557" s="873"/>
      <c r="M1557" s="873"/>
      <c r="N1557" s="886"/>
      <c r="O1557" s="886"/>
      <c r="P1557" s="896"/>
      <c r="Q1557" s="1181"/>
      <c r="R1557" s="929"/>
      <c r="S1557" s="1269"/>
      <c r="T1557" s="1254"/>
      <c r="U1557" s="996"/>
      <c r="V1557" s="1022"/>
      <c r="W1557" s="992"/>
    </row>
    <row r="1558" spans="3:23" ht="14.5" customHeight="1">
      <c r="C1558" s="994"/>
      <c r="E1558" s="989"/>
      <c r="F1558" s="988"/>
      <c r="G1558" s="1095" t="str">
        <f t="shared" si="233"/>
        <v>5911011</v>
      </c>
      <c r="H1558" s="1016" t="s">
        <v>10392</v>
      </c>
      <c r="I1558" s="944" t="str">
        <f t="shared" si="230"/>
        <v>5911011005</v>
      </c>
      <c r="J1558" s="991" t="s">
        <v>11276</v>
      </c>
      <c r="K1558" s="890">
        <v>16804</v>
      </c>
      <c r="L1558" s="873"/>
      <c r="M1558" s="873"/>
      <c r="N1558" s="886"/>
      <c r="O1558" s="886"/>
      <c r="P1558" s="896"/>
      <c r="Q1558" s="1181"/>
      <c r="R1558" s="929"/>
      <c r="S1558" s="1269"/>
      <c r="T1558" s="1254"/>
      <c r="U1558" s="996"/>
      <c r="V1558" s="1022"/>
      <c r="W1558" s="992"/>
    </row>
    <row r="1559" spans="3:23" ht="14.5" customHeight="1">
      <c r="C1559" s="994"/>
      <c r="E1559" s="989"/>
      <c r="F1559" s="988"/>
      <c r="G1559" s="1095" t="str">
        <f t="shared" si="233"/>
        <v>5911011</v>
      </c>
      <c r="H1559" s="1016" t="s">
        <v>10394</v>
      </c>
      <c r="I1559" s="944" t="str">
        <f t="shared" si="230"/>
        <v>5911011006</v>
      </c>
      <c r="J1559" s="991" t="s">
        <v>11277</v>
      </c>
      <c r="K1559" s="890">
        <v>218641</v>
      </c>
      <c r="L1559" s="873"/>
      <c r="M1559" s="873"/>
      <c r="N1559" s="886"/>
      <c r="O1559" s="886"/>
      <c r="P1559" s="896"/>
      <c r="Q1559" s="1181"/>
      <c r="R1559" s="929"/>
      <c r="S1559" s="1269"/>
      <c r="T1559" s="1254"/>
      <c r="U1559" s="996"/>
      <c r="V1559" s="1022"/>
      <c r="W1559" s="992"/>
    </row>
    <row r="1560" spans="3:23" ht="14.5" customHeight="1">
      <c r="C1560" s="994"/>
      <c r="E1560" s="989"/>
      <c r="F1560" s="988"/>
      <c r="G1560" s="1095" t="str">
        <f t="shared" si="233"/>
        <v>5911011</v>
      </c>
      <c r="H1560" s="1016" t="s">
        <v>10396</v>
      </c>
      <c r="I1560" s="944" t="str">
        <f t="shared" si="230"/>
        <v>5911011007</v>
      </c>
      <c r="J1560" s="991" t="s">
        <v>11278</v>
      </c>
      <c r="K1560" s="890">
        <v>559576</v>
      </c>
      <c r="L1560" s="873"/>
      <c r="M1560" s="873"/>
      <c r="N1560" s="886"/>
      <c r="O1560" s="886"/>
      <c r="P1560" s="896"/>
      <c r="Q1560" s="1181"/>
      <c r="R1560" s="929"/>
      <c r="S1560" s="1269"/>
      <c r="T1560" s="1254"/>
      <c r="U1560" s="996"/>
      <c r="V1560" s="1022"/>
      <c r="W1560" s="992"/>
    </row>
    <row r="1561" spans="3:23" ht="14.5" customHeight="1">
      <c r="C1561" s="1015"/>
      <c r="D1561" s="999"/>
      <c r="E1561" s="1000"/>
      <c r="F1561" s="999"/>
      <c r="G1561" s="1104" t="str">
        <f t="shared" si="233"/>
        <v>5911011</v>
      </c>
      <c r="H1561" s="1005" t="s">
        <v>10398</v>
      </c>
      <c r="I1561" s="1002" t="str">
        <f t="shared" si="230"/>
        <v>5911011008</v>
      </c>
      <c r="J1561" s="978" t="s">
        <v>11279</v>
      </c>
      <c r="K1561" s="895">
        <v>827846</v>
      </c>
      <c r="L1561" s="872"/>
      <c r="M1561" s="872"/>
      <c r="N1561" s="893"/>
      <c r="O1561" s="893"/>
      <c r="P1561" s="888"/>
      <c r="Q1561" s="1173"/>
      <c r="R1561" s="929"/>
      <c r="S1561" s="1269"/>
      <c r="T1561" s="1254"/>
      <c r="U1561" s="996"/>
      <c r="V1561" s="1022"/>
      <c r="W1561" s="1003"/>
    </row>
    <row r="1562" spans="3:23" ht="14.5" customHeight="1">
      <c r="C1562" s="981" t="s">
        <v>7345</v>
      </c>
      <c r="D1562" s="982" t="str">
        <f t="shared" si="228"/>
        <v>591102</v>
      </c>
      <c r="E1562" s="983" t="s">
        <v>7346</v>
      </c>
      <c r="F1562" s="982" t="str">
        <f t="shared" si="229"/>
        <v>5911021</v>
      </c>
      <c r="G1562" s="1103" t="str">
        <f>IF(F1562="",G1553,F1562)</f>
        <v>5911021</v>
      </c>
      <c r="H1562" s="1102"/>
      <c r="I1562" s="947" t="str">
        <f t="shared" si="230"/>
        <v/>
      </c>
      <c r="J1562" s="984" t="s">
        <v>7347</v>
      </c>
      <c r="K1562" s="894">
        <f>SUM(K1563:K1567)</f>
        <v>9087469</v>
      </c>
      <c r="L1562" s="923">
        <v>5677631</v>
      </c>
      <c r="M1562" s="923">
        <v>192919697</v>
      </c>
      <c r="N1562" s="889"/>
      <c r="O1562" s="889"/>
      <c r="P1562" s="881">
        <f t="shared" si="231"/>
        <v>267444</v>
      </c>
      <c r="Q1562" s="1160">
        <f>ROUND(K1562*L1562/M1562,0)</f>
        <v>267444</v>
      </c>
      <c r="R1562" s="880"/>
      <c r="S1562" s="1270"/>
      <c r="T1562" s="880"/>
      <c r="U1562" s="985" t="s">
        <v>11280</v>
      </c>
      <c r="V1562" s="993"/>
      <c r="W1562" s="986" t="s">
        <v>11281</v>
      </c>
    </row>
    <row r="1563" spans="3:23" ht="14.5" customHeight="1">
      <c r="C1563" s="994"/>
      <c r="E1563" s="989"/>
      <c r="F1563" s="988"/>
      <c r="H1563" s="1016" t="s">
        <v>7312</v>
      </c>
      <c r="J1563" s="991" t="s">
        <v>11282</v>
      </c>
      <c r="K1563" s="890">
        <v>3091096</v>
      </c>
      <c r="L1563" s="873"/>
      <c r="M1563" s="873"/>
      <c r="N1563" s="886"/>
      <c r="O1563" s="886"/>
      <c r="P1563" s="896"/>
      <c r="Q1563" s="1165"/>
      <c r="R1563" s="882"/>
      <c r="S1563" s="1269"/>
      <c r="T1563" s="1254"/>
      <c r="U1563" s="996"/>
      <c r="V1563" s="996"/>
      <c r="W1563" s="992"/>
    </row>
    <row r="1564" spans="3:23" ht="14.5" customHeight="1">
      <c r="C1564" s="994"/>
      <c r="E1564" s="989"/>
      <c r="F1564" s="988"/>
      <c r="H1564" s="1016" t="s">
        <v>7203</v>
      </c>
      <c r="J1564" s="991" t="s">
        <v>11283</v>
      </c>
      <c r="K1564" s="890">
        <v>5914874</v>
      </c>
      <c r="L1564" s="873"/>
      <c r="M1564" s="873"/>
      <c r="N1564" s="886"/>
      <c r="O1564" s="886"/>
      <c r="P1564" s="896"/>
      <c r="Q1564" s="1165"/>
      <c r="R1564" s="882"/>
      <c r="S1564" s="1269"/>
      <c r="T1564" s="1254"/>
      <c r="U1564" s="996"/>
      <c r="V1564" s="996"/>
      <c r="W1564" s="992"/>
    </row>
    <row r="1565" spans="3:23" ht="14.5" customHeight="1">
      <c r="C1565" s="994"/>
      <c r="E1565" s="989"/>
      <c r="F1565" s="988"/>
      <c r="H1565" s="1016" t="s">
        <v>7205</v>
      </c>
      <c r="J1565" s="991" t="s">
        <v>11284</v>
      </c>
      <c r="K1565" s="890">
        <v>75648</v>
      </c>
      <c r="L1565" s="873"/>
      <c r="M1565" s="873"/>
      <c r="N1565" s="886"/>
      <c r="O1565" s="886"/>
      <c r="P1565" s="896"/>
      <c r="Q1565" s="1165"/>
      <c r="R1565" s="882"/>
      <c r="S1565" s="1269"/>
      <c r="T1565" s="1254"/>
      <c r="U1565" s="996"/>
      <c r="V1565" s="996"/>
      <c r="W1565" s="992"/>
    </row>
    <row r="1566" spans="3:23" ht="14.5" customHeight="1">
      <c r="C1566" s="994"/>
      <c r="E1566" s="989"/>
      <c r="F1566" s="988"/>
      <c r="H1566" s="1016" t="s">
        <v>7207</v>
      </c>
      <c r="J1566" s="991" t="s">
        <v>11285</v>
      </c>
      <c r="K1566" s="890">
        <v>57</v>
      </c>
      <c r="L1566" s="873"/>
      <c r="M1566" s="873"/>
      <c r="N1566" s="886"/>
      <c r="O1566" s="886"/>
      <c r="P1566" s="896"/>
      <c r="Q1566" s="1165"/>
      <c r="R1566" s="882"/>
      <c r="S1566" s="1269"/>
      <c r="T1566" s="1254"/>
      <c r="U1566" s="996"/>
      <c r="V1566" s="996"/>
      <c r="W1566" s="992"/>
    </row>
    <row r="1567" spans="3:23" ht="14.5" customHeight="1">
      <c r="C1567" s="1015"/>
      <c r="D1567" s="999"/>
      <c r="E1567" s="1000"/>
      <c r="F1567" s="999"/>
      <c r="G1567" s="1104"/>
      <c r="H1567" s="1005" t="s">
        <v>10392</v>
      </c>
      <c r="I1567" s="1002"/>
      <c r="J1567" s="978" t="s">
        <v>11286</v>
      </c>
      <c r="K1567" s="895">
        <v>5794</v>
      </c>
      <c r="L1567" s="872"/>
      <c r="M1567" s="872"/>
      <c r="N1567" s="893"/>
      <c r="O1567" s="893"/>
      <c r="P1567" s="888"/>
      <c r="Q1567" s="1173"/>
      <c r="R1567" s="900"/>
      <c r="S1567" s="1272"/>
      <c r="T1567" s="900"/>
      <c r="U1567" s="1006"/>
      <c r="V1567" s="1006"/>
      <c r="W1567" s="1003"/>
    </row>
    <row r="1568" spans="3:23" ht="14.5" customHeight="1">
      <c r="C1568" s="1023" t="s">
        <v>11287</v>
      </c>
      <c r="D1568" s="1024" t="str">
        <f t="shared" si="228"/>
        <v>591103</v>
      </c>
      <c r="E1568" s="1025" t="s">
        <v>11288</v>
      </c>
      <c r="F1568" s="1024" t="str">
        <f t="shared" si="229"/>
        <v>5911031</v>
      </c>
      <c r="G1568" s="1111" t="str">
        <f>IF(F1568="",#REF!,F1568)</f>
        <v>5911031</v>
      </c>
      <c r="H1568" s="1112" t="s">
        <v>36</v>
      </c>
      <c r="I1568" s="1113" t="str">
        <f t="shared" si="230"/>
        <v>5911031001</v>
      </c>
      <c r="J1568" s="1026" t="s">
        <v>707</v>
      </c>
      <c r="K1568" s="930">
        <v>1701748</v>
      </c>
      <c r="L1568" s="930">
        <v>1515</v>
      </c>
      <c r="M1568" s="930">
        <v>46159</v>
      </c>
      <c r="N1568" s="912"/>
      <c r="O1568" s="912"/>
      <c r="P1568" s="914">
        <f t="shared" si="231"/>
        <v>55854</v>
      </c>
      <c r="Q1568" s="1200">
        <f>ROUND(K1568*L1568/M1568,0)</f>
        <v>55854</v>
      </c>
      <c r="R1568" s="929"/>
      <c r="S1568" s="1280"/>
      <c r="T1568" s="929"/>
      <c r="U1568" s="1022" t="s">
        <v>11289</v>
      </c>
      <c r="V1568" s="1022"/>
      <c r="W1568" s="1090" t="s">
        <v>11290</v>
      </c>
    </row>
    <row r="1569" spans="3:23" ht="14.5" customHeight="1">
      <c r="C1569" s="981" t="s">
        <v>7350</v>
      </c>
      <c r="D1569" s="982" t="str">
        <f t="shared" si="228"/>
        <v>592101</v>
      </c>
      <c r="E1569" s="983" t="s">
        <v>7351</v>
      </c>
      <c r="F1569" s="982" t="str">
        <f t="shared" si="229"/>
        <v>5921011</v>
      </c>
      <c r="G1569" s="1103" t="str">
        <f>IF(F1569="",G1568,F1569)</f>
        <v>5921011</v>
      </c>
      <c r="H1569" s="1102"/>
      <c r="I1569" s="947" t="str">
        <f t="shared" si="230"/>
        <v/>
      </c>
      <c r="J1569" s="984" t="s">
        <v>709</v>
      </c>
      <c r="K1569" s="897"/>
      <c r="L1569" s="897"/>
      <c r="M1569" s="897"/>
      <c r="N1569" s="889"/>
      <c r="O1569" s="889"/>
      <c r="P1569" s="881">
        <f>Q1569</f>
        <v>36877</v>
      </c>
      <c r="Q1569" s="1160">
        <f>SUM(Q1570:Q1571)</f>
        <v>36877</v>
      </c>
      <c r="R1569" s="880"/>
      <c r="S1569" s="1270"/>
      <c r="T1569" s="880"/>
      <c r="U1569" s="993"/>
      <c r="V1569" s="993"/>
      <c r="W1569" s="986"/>
    </row>
    <row r="1570" spans="3:23" ht="14.5" customHeight="1">
      <c r="C1570" s="994"/>
      <c r="E1570" s="989"/>
      <c r="F1570" s="988"/>
      <c r="G1570" s="1095" t="str">
        <f t="shared" ref="G1570:G1571" si="234">IF(F1570="",G1569,F1570)</f>
        <v>5921011</v>
      </c>
      <c r="H1570" s="1016" t="s">
        <v>5534</v>
      </c>
      <c r="I1570" s="944" t="str">
        <f t="shared" si="230"/>
        <v>5921011101</v>
      </c>
      <c r="J1570" s="991" t="s">
        <v>11291</v>
      </c>
      <c r="K1570" s="890">
        <v>787359</v>
      </c>
      <c r="L1570" s="890">
        <v>1838393</v>
      </c>
      <c r="M1570" s="890">
        <v>44886378.75</v>
      </c>
      <c r="N1570" s="886"/>
      <c r="O1570" s="886"/>
      <c r="P1570" s="886"/>
      <c r="Q1570" s="1162">
        <f>ROUND(K1570*L1570/M1570,0)</f>
        <v>32248</v>
      </c>
      <c r="R1570" s="882"/>
      <c r="S1570" s="1287">
        <f>'CT2015'!K1520</f>
        <v>6.9</v>
      </c>
      <c r="T1570" s="1254">
        <f>ROUND(Q1570*S1570/100,0)</f>
        <v>2225</v>
      </c>
      <c r="U1570" s="996" t="s">
        <v>11292</v>
      </c>
      <c r="V1570" s="996"/>
      <c r="W1570" s="992" t="s">
        <v>11293</v>
      </c>
    </row>
    <row r="1571" spans="3:23" ht="14.5" customHeight="1">
      <c r="C1571" s="1015"/>
      <c r="D1571" s="999"/>
      <c r="E1571" s="1000"/>
      <c r="F1571" s="999"/>
      <c r="G1571" s="1104" t="str">
        <f t="shared" si="234"/>
        <v>5921011</v>
      </c>
      <c r="H1571" s="1005" t="s">
        <v>5602</v>
      </c>
      <c r="I1571" s="1002" t="str">
        <f t="shared" si="230"/>
        <v>5921011201</v>
      </c>
      <c r="J1571" s="978" t="s">
        <v>11294</v>
      </c>
      <c r="K1571" s="895">
        <v>113031</v>
      </c>
      <c r="L1571" s="872">
        <f>L1570</f>
        <v>1838393</v>
      </c>
      <c r="M1571" s="872">
        <f>M1570</f>
        <v>44886378.75</v>
      </c>
      <c r="N1571" s="893"/>
      <c r="O1571" s="893"/>
      <c r="P1571" s="888"/>
      <c r="Q1571" s="1176">
        <f>ROUND(K1571*L1571/M1571,0)</f>
        <v>4629</v>
      </c>
      <c r="R1571" s="900"/>
      <c r="S1571" s="1272"/>
      <c r="T1571" s="900"/>
      <c r="U1571" s="1006"/>
      <c r="V1571" s="1006"/>
      <c r="W1571" s="1003" t="s">
        <v>11295</v>
      </c>
    </row>
    <row r="1572" spans="3:23" ht="14.5" customHeight="1">
      <c r="C1572" s="981" t="s">
        <v>7352</v>
      </c>
      <c r="D1572" s="982" t="str">
        <f t="shared" si="228"/>
        <v>592102</v>
      </c>
      <c r="E1572" s="983" t="s">
        <v>7353</v>
      </c>
      <c r="F1572" s="982" t="str">
        <f t="shared" si="229"/>
        <v>5921021</v>
      </c>
      <c r="G1572" s="1103" t="str">
        <f>IF(F1572="",G1571,F1572)</f>
        <v>5921021</v>
      </c>
      <c r="H1572" s="1102"/>
      <c r="I1572" s="947" t="str">
        <f t="shared" si="230"/>
        <v/>
      </c>
      <c r="J1572" s="984" t="s">
        <v>710</v>
      </c>
      <c r="K1572" s="897"/>
      <c r="L1572" s="897"/>
      <c r="M1572" s="897"/>
      <c r="N1572" s="889"/>
      <c r="O1572" s="889"/>
      <c r="P1572" s="881">
        <f t="shared" si="231"/>
        <v>8782</v>
      </c>
      <c r="Q1572" s="1160">
        <f>ROUND(SUM(Q1573:Q1578),0)</f>
        <v>8782</v>
      </c>
      <c r="R1572" s="880"/>
      <c r="S1572" s="1290">
        <f>'CT2015'!K1521</f>
        <v>6.9</v>
      </c>
      <c r="T1572" s="880">
        <f>ROUND(Q1572*S1572/100,0)</f>
        <v>606</v>
      </c>
      <c r="U1572" s="993" t="s">
        <v>11296</v>
      </c>
      <c r="V1572" s="993"/>
      <c r="W1572" s="986" t="s">
        <v>11297</v>
      </c>
    </row>
    <row r="1573" spans="3:23" ht="14.5" customHeight="1">
      <c r="C1573" s="994"/>
      <c r="E1573" s="989"/>
      <c r="F1573" s="988"/>
      <c r="G1573" s="1095" t="str">
        <f t="shared" ref="G1573:G1578" si="235">IF(F1573="",G1572,F1573)</f>
        <v>5921021</v>
      </c>
      <c r="H1573" s="1016" t="s">
        <v>5534</v>
      </c>
      <c r="I1573" s="944" t="str">
        <f t="shared" si="230"/>
        <v>5921021101</v>
      </c>
      <c r="J1573" s="991" t="s">
        <v>11298</v>
      </c>
      <c r="K1573" s="873">
        <v>294850</v>
      </c>
      <c r="L1573" s="873"/>
      <c r="M1573" s="890">
        <v>294850.24</v>
      </c>
      <c r="N1573" s="886"/>
      <c r="O1573" s="886"/>
      <c r="P1573" s="896"/>
      <c r="Q1573" s="1167">
        <v>1296.21</v>
      </c>
      <c r="R1573" s="882"/>
      <c r="S1573" s="1269"/>
      <c r="T1573" s="1254"/>
      <c r="U1573" s="996" t="s">
        <v>11145</v>
      </c>
      <c r="V1573" s="996"/>
      <c r="W1573" s="992" t="s">
        <v>11299</v>
      </c>
    </row>
    <row r="1574" spans="3:23" ht="14.5" customHeight="1">
      <c r="C1574" s="994"/>
      <c r="E1574" s="989"/>
      <c r="F1574" s="988"/>
      <c r="G1574" s="1095" t="str">
        <f t="shared" si="235"/>
        <v>5921021</v>
      </c>
      <c r="H1574" s="1016" t="s">
        <v>6000</v>
      </c>
      <c r="I1574" s="944" t="str">
        <f t="shared" si="230"/>
        <v>5921021102</v>
      </c>
      <c r="J1574" s="991" t="s">
        <v>11300</v>
      </c>
      <c r="K1574" s="873">
        <v>1902936</v>
      </c>
      <c r="L1574" s="873"/>
      <c r="M1574" s="890">
        <v>1902935.73</v>
      </c>
      <c r="N1574" s="886"/>
      <c r="O1574" s="886"/>
      <c r="P1574" s="896"/>
      <c r="Q1574" s="1167">
        <v>4833.79</v>
      </c>
      <c r="R1574" s="882"/>
      <c r="S1574" s="1269"/>
      <c r="T1574" s="1254"/>
      <c r="U1574" s="996" t="s">
        <v>10145</v>
      </c>
      <c r="V1574" s="996"/>
      <c r="W1574" s="992" t="s">
        <v>10145</v>
      </c>
    </row>
    <row r="1575" spans="3:23" ht="14.5" customHeight="1">
      <c r="C1575" s="994"/>
      <c r="E1575" s="989"/>
      <c r="F1575" s="988"/>
      <c r="G1575" s="1095" t="str">
        <f t="shared" si="235"/>
        <v>5921021</v>
      </c>
      <c r="H1575" s="1016" t="s">
        <v>6002</v>
      </c>
      <c r="I1575" s="944" t="str">
        <f t="shared" si="230"/>
        <v>5921021103</v>
      </c>
      <c r="J1575" s="991" t="s">
        <v>11301</v>
      </c>
      <c r="K1575" s="873">
        <v>5030</v>
      </c>
      <c r="L1575" s="873"/>
      <c r="M1575" s="890">
        <v>5030.46</v>
      </c>
      <c r="N1575" s="886"/>
      <c r="O1575" s="886"/>
      <c r="P1575" s="896"/>
      <c r="Q1575" s="1167">
        <v>0</v>
      </c>
      <c r="R1575" s="882"/>
      <c r="S1575" s="1269"/>
      <c r="T1575" s="1254"/>
      <c r="U1575" s="996" t="s">
        <v>10145</v>
      </c>
      <c r="V1575" s="996"/>
      <c r="W1575" s="992" t="s">
        <v>10145</v>
      </c>
    </row>
    <row r="1576" spans="3:23" ht="14.5" customHeight="1">
      <c r="C1576" s="994"/>
      <c r="E1576" s="989"/>
      <c r="F1576" s="988"/>
      <c r="G1576" s="1095" t="str">
        <f t="shared" si="235"/>
        <v>5921021</v>
      </c>
      <c r="H1576" s="1016" t="s">
        <v>6146</v>
      </c>
      <c r="I1576" s="944" t="str">
        <f t="shared" si="230"/>
        <v>5921021104</v>
      </c>
      <c r="J1576" s="991" t="s">
        <v>11302</v>
      </c>
      <c r="K1576" s="873">
        <v>122307</v>
      </c>
      <c r="L1576" s="873"/>
      <c r="M1576" s="890">
        <v>122307.44</v>
      </c>
      <c r="N1576" s="886"/>
      <c r="O1576" s="886"/>
      <c r="P1576" s="896"/>
      <c r="Q1576" s="1167">
        <v>2046.88</v>
      </c>
      <c r="R1576" s="882"/>
      <c r="S1576" s="1269"/>
      <c r="T1576" s="1254"/>
      <c r="U1576" s="996" t="s">
        <v>10145</v>
      </c>
      <c r="V1576" s="996"/>
      <c r="W1576" s="992" t="s">
        <v>10145</v>
      </c>
    </row>
    <row r="1577" spans="3:23" ht="14.5" customHeight="1">
      <c r="C1577" s="994"/>
      <c r="E1577" s="989"/>
      <c r="F1577" s="988"/>
      <c r="G1577" s="1095" t="str">
        <f t="shared" si="235"/>
        <v>5921021</v>
      </c>
      <c r="H1577" s="1016" t="s">
        <v>6148</v>
      </c>
      <c r="I1577" s="944" t="str">
        <f t="shared" si="230"/>
        <v>5921021105</v>
      </c>
      <c r="J1577" s="991" t="s">
        <v>11303</v>
      </c>
      <c r="K1577" s="873">
        <v>63141</v>
      </c>
      <c r="L1577" s="873"/>
      <c r="M1577" s="890">
        <v>63140.91</v>
      </c>
      <c r="N1577" s="886"/>
      <c r="O1577" s="886"/>
      <c r="P1577" s="896"/>
      <c r="Q1577" s="1167">
        <v>382.11</v>
      </c>
      <c r="R1577" s="882"/>
      <c r="S1577" s="1269"/>
      <c r="T1577" s="1254"/>
      <c r="U1577" s="996" t="s">
        <v>10145</v>
      </c>
      <c r="V1577" s="996"/>
      <c r="W1577" s="992" t="s">
        <v>10145</v>
      </c>
    </row>
    <row r="1578" spans="3:23" ht="14.5" customHeight="1">
      <c r="C1578" s="994"/>
      <c r="E1578" s="989"/>
      <c r="F1578" s="988"/>
      <c r="G1578" s="1095" t="str">
        <f t="shared" si="235"/>
        <v>5921021</v>
      </c>
      <c r="H1578" s="1016" t="s">
        <v>5602</v>
      </c>
      <c r="I1578" s="944" t="str">
        <f t="shared" si="230"/>
        <v>5921021201</v>
      </c>
      <c r="J1578" s="991" t="s">
        <v>11304</v>
      </c>
      <c r="K1578" s="890">
        <v>62108</v>
      </c>
      <c r="L1578" s="873">
        <f>SUM(Q1573:Q1577)</f>
        <v>8558.99</v>
      </c>
      <c r="M1578" s="873">
        <f>SUM(M1573:M1577)</f>
        <v>2388264.7799999998</v>
      </c>
      <c r="N1578" s="886"/>
      <c r="O1578" s="886"/>
      <c r="P1578" s="896"/>
      <c r="Q1578" s="1162">
        <f>ROUND(K1578*L1578/M1578,0)</f>
        <v>223</v>
      </c>
      <c r="R1578" s="882"/>
      <c r="S1578" s="1269"/>
      <c r="T1578" s="1254"/>
      <c r="U1578" s="996"/>
      <c r="V1578" s="996"/>
      <c r="W1578" s="992" t="s">
        <v>11305</v>
      </c>
    </row>
    <row r="1579" spans="3:23" ht="14.5" customHeight="1">
      <c r="C1579" s="994" t="s">
        <v>7354</v>
      </c>
      <c r="D1579" s="988" t="str">
        <f t="shared" si="228"/>
        <v>592103</v>
      </c>
      <c r="E1579" s="989" t="s">
        <v>7355</v>
      </c>
      <c r="F1579" s="988" t="str">
        <f t="shared" si="229"/>
        <v>5921031</v>
      </c>
      <c r="G1579" s="1095" t="str">
        <f>IF(F1579="",G1572,F1579)</f>
        <v>5921031</v>
      </c>
      <c r="I1579" s="944" t="str">
        <f t="shared" si="230"/>
        <v/>
      </c>
      <c r="J1579" s="990" t="s">
        <v>711</v>
      </c>
      <c r="K1579" s="873"/>
      <c r="L1579" s="873"/>
      <c r="M1579" s="873"/>
      <c r="N1579" s="886"/>
      <c r="O1579" s="886"/>
      <c r="P1579" s="896">
        <f>Q1579</f>
        <v>31694</v>
      </c>
      <c r="Q1579" s="1171">
        <f>ROUND(SUM(Q1580:Q1584),0)</f>
        <v>31694</v>
      </c>
      <c r="R1579" s="882"/>
      <c r="S1579" s="1287">
        <f>'CT2015'!K1522</f>
        <v>6.9</v>
      </c>
      <c r="T1579" s="1254">
        <f>ROUND(Q1579*S1579/100,0)</f>
        <v>2187</v>
      </c>
      <c r="U1579" s="996"/>
      <c r="V1579" s="996"/>
      <c r="W1579" s="992"/>
    </row>
    <row r="1580" spans="3:23" ht="14.5" customHeight="1">
      <c r="C1580" s="994"/>
      <c r="E1580" s="989"/>
      <c r="F1580" s="988"/>
      <c r="G1580" s="1095" t="str">
        <f>IF(F1580="",G1579,F1580)</f>
        <v>5921031</v>
      </c>
      <c r="H1580" s="1016" t="s">
        <v>7312</v>
      </c>
      <c r="I1580" s="944" t="str">
        <f t="shared" si="230"/>
        <v>5921031001</v>
      </c>
      <c r="J1580" s="991" t="s">
        <v>11306</v>
      </c>
      <c r="K1580" s="873">
        <v>581750</v>
      </c>
      <c r="L1580" s="873"/>
      <c r="M1580" s="873">
        <v>581749.66</v>
      </c>
      <c r="N1580" s="886"/>
      <c r="O1580" s="886"/>
      <c r="P1580" s="896"/>
      <c r="Q1580" s="1167">
        <v>21704.73</v>
      </c>
      <c r="R1580" s="882"/>
      <c r="S1580" s="1269"/>
      <c r="T1580" s="1254"/>
      <c r="U1580" s="996" t="s">
        <v>11145</v>
      </c>
      <c r="V1580" s="996"/>
      <c r="W1580" s="992" t="s">
        <v>11307</v>
      </c>
    </row>
    <row r="1581" spans="3:23" ht="14.5" customHeight="1">
      <c r="C1581" s="994"/>
      <c r="E1581" s="989"/>
      <c r="F1581" s="988"/>
      <c r="G1581" s="1095" t="str">
        <f t="shared" ref="G1581:G1584" si="236">IF(F1581="",G1580,F1581)</f>
        <v>5921031</v>
      </c>
      <c r="H1581" s="1016" t="s">
        <v>7203</v>
      </c>
      <c r="I1581" s="944" t="str">
        <f t="shared" si="230"/>
        <v>5921031002</v>
      </c>
      <c r="J1581" s="991" t="s">
        <v>11308</v>
      </c>
      <c r="K1581" s="873">
        <v>374282</v>
      </c>
      <c r="L1581" s="873"/>
      <c r="M1581" s="873">
        <v>374281.87</v>
      </c>
      <c r="N1581" s="886"/>
      <c r="O1581" s="886"/>
      <c r="P1581" s="896"/>
      <c r="Q1581" s="1167">
        <v>7319.27</v>
      </c>
      <c r="R1581" s="882"/>
      <c r="S1581" s="1269"/>
      <c r="T1581" s="1254"/>
      <c r="U1581" s="996" t="s">
        <v>10145</v>
      </c>
      <c r="V1581" s="996"/>
      <c r="W1581" s="992" t="s">
        <v>10145</v>
      </c>
    </row>
    <row r="1582" spans="3:23" ht="14.5" customHeight="1">
      <c r="C1582" s="994"/>
      <c r="E1582" s="989"/>
      <c r="F1582" s="988"/>
      <c r="G1582" s="1095" t="str">
        <f t="shared" si="236"/>
        <v>5921031</v>
      </c>
      <c r="H1582" s="1016" t="s">
        <v>7205</v>
      </c>
      <c r="I1582" s="944" t="str">
        <f t="shared" si="230"/>
        <v>5921031003</v>
      </c>
      <c r="J1582" s="991" t="s">
        <v>11309</v>
      </c>
      <c r="K1582" s="873">
        <v>83444</v>
      </c>
      <c r="L1582" s="873"/>
      <c r="M1582" s="873">
        <v>83443.710000000006</v>
      </c>
      <c r="N1582" s="886"/>
      <c r="O1582" s="886"/>
      <c r="P1582" s="896"/>
      <c r="Q1582" s="1167">
        <v>1883.75</v>
      </c>
      <c r="R1582" s="882"/>
      <c r="S1582" s="1269"/>
      <c r="T1582" s="1254"/>
      <c r="U1582" s="996" t="s">
        <v>10145</v>
      </c>
      <c r="V1582" s="996"/>
      <c r="W1582" s="992" t="s">
        <v>10145</v>
      </c>
    </row>
    <row r="1583" spans="3:23" ht="14.5" customHeight="1">
      <c r="C1583" s="994"/>
      <c r="E1583" s="989"/>
      <c r="F1583" s="988"/>
      <c r="G1583" s="1095" t="str">
        <f t="shared" si="236"/>
        <v>5921031</v>
      </c>
      <c r="H1583" s="1016" t="s">
        <v>7207</v>
      </c>
      <c r="I1583" s="944" t="str">
        <f t="shared" si="230"/>
        <v>5921031004</v>
      </c>
      <c r="J1583" s="991" t="s">
        <v>11310</v>
      </c>
      <c r="K1583" s="873">
        <v>999</v>
      </c>
      <c r="L1583" s="873"/>
      <c r="M1583" s="873">
        <v>999.37</v>
      </c>
      <c r="N1583" s="886"/>
      <c r="O1583" s="886"/>
      <c r="P1583" s="896"/>
      <c r="Q1583" s="1167">
        <v>29.51</v>
      </c>
      <c r="R1583" s="882"/>
      <c r="S1583" s="1269"/>
      <c r="T1583" s="1254"/>
      <c r="U1583" s="996" t="s">
        <v>10145</v>
      </c>
      <c r="V1583" s="996"/>
      <c r="W1583" s="992" t="s">
        <v>10145</v>
      </c>
    </row>
    <row r="1584" spans="3:23" ht="14.5" customHeight="1">
      <c r="C1584" s="994"/>
      <c r="E1584" s="989"/>
      <c r="F1584" s="988"/>
      <c r="G1584" s="1095" t="str">
        <f t="shared" si="236"/>
        <v>5921031</v>
      </c>
      <c r="H1584" s="1016" t="s">
        <v>10392</v>
      </c>
      <c r="I1584" s="944" t="str">
        <f t="shared" si="230"/>
        <v>5921031005</v>
      </c>
      <c r="J1584" s="991" t="s">
        <v>11311</v>
      </c>
      <c r="K1584" s="873">
        <v>5004</v>
      </c>
      <c r="L1584" s="873"/>
      <c r="M1584" s="873">
        <v>5003.6000000000004</v>
      </c>
      <c r="N1584" s="886"/>
      <c r="O1584" s="886"/>
      <c r="P1584" s="896"/>
      <c r="Q1584" s="1167">
        <v>757.04</v>
      </c>
      <c r="R1584" s="882"/>
      <c r="S1584" s="1269"/>
      <c r="T1584" s="1254"/>
      <c r="U1584" s="996" t="s">
        <v>10145</v>
      </c>
      <c r="V1584" s="996"/>
      <c r="W1584" s="992" t="s">
        <v>10145</v>
      </c>
    </row>
    <row r="1585" spans="1:23" ht="14.5" customHeight="1">
      <c r="A1585" s="1034"/>
      <c r="C1585" s="994" t="s">
        <v>7356</v>
      </c>
      <c r="D1585" s="988" t="str">
        <f t="shared" si="228"/>
        <v>593101</v>
      </c>
      <c r="E1585" s="989"/>
      <c r="F1585" s="988" t="str">
        <f t="shared" si="229"/>
        <v/>
      </c>
      <c r="I1585" s="944" t="str">
        <f t="shared" si="230"/>
        <v/>
      </c>
      <c r="J1585" s="990" t="s">
        <v>7357</v>
      </c>
      <c r="K1585" s="882"/>
      <c r="L1585" s="882"/>
      <c r="M1585" s="882"/>
      <c r="N1585" s="882"/>
      <c r="O1585" s="882"/>
      <c r="P1585" s="906">
        <f>Q1586+Q1599</f>
        <v>308380</v>
      </c>
      <c r="Q1585" s="1171"/>
      <c r="R1585" s="882"/>
      <c r="S1585" s="1269"/>
      <c r="T1585" s="1254"/>
      <c r="U1585" s="991" t="s">
        <v>11312</v>
      </c>
      <c r="V1585" s="991"/>
      <c r="W1585" s="992" t="s">
        <v>11313</v>
      </c>
    </row>
    <row r="1586" spans="1:23" ht="14.5" customHeight="1">
      <c r="A1586" s="1034"/>
      <c r="C1586" s="994"/>
      <c r="D1586" s="988" t="str">
        <f t="shared" si="228"/>
        <v/>
      </c>
      <c r="E1586" s="989" t="s">
        <v>7358</v>
      </c>
      <c r="F1586" s="988" t="str">
        <f t="shared" si="229"/>
        <v>5931011</v>
      </c>
      <c r="G1586" s="1095" t="str">
        <f t="shared" ref="G1586:G1602" si="237">IF(F1586="",G1585,F1586)</f>
        <v>5931011</v>
      </c>
      <c r="I1586" s="944" t="str">
        <f t="shared" si="230"/>
        <v/>
      </c>
      <c r="J1586" s="990" t="s">
        <v>713</v>
      </c>
      <c r="K1586" s="882"/>
      <c r="L1586" s="882"/>
      <c r="M1586" s="882"/>
      <c r="N1586" s="882"/>
      <c r="O1586" s="882"/>
      <c r="P1586" s="882"/>
      <c r="Q1586" s="1171">
        <f>SUM(Q1587:R1598)</f>
        <v>256078</v>
      </c>
      <c r="R1586" s="882"/>
      <c r="S1586" s="1269"/>
      <c r="T1586" s="1254"/>
      <c r="U1586" s="991"/>
      <c r="V1586" s="991"/>
      <c r="W1586" s="992"/>
    </row>
    <row r="1587" spans="1:23" ht="14.5" customHeight="1">
      <c r="A1587" s="1034"/>
      <c r="C1587" s="987"/>
      <c r="D1587" s="988" t="str">
        <f t="shared" si="228"/>
        <v/>
      </c>
      <c r="F1587" s="988" t="str">
        <f t="shared" si="229"/>
        <v/>
      </c>
      <c r="G1587" s="1095" t="str">
        <f t="shared" si="237"/>
        <v>5931011</v>
      </c>
      <c r="H1587" s="1016" t="s">
        <v>5349</v>
      </c>
      <c r="I1587" s="944" t="str">
        <f t="shared" si="230"/>
        <v>5931011001</v>
      </c>
      <c r="J1587" s="991" t="s">
        <v>11314</v>
      </c>
      <c r="K1587" s="884">
        <v>12039538</v>
      </c>
      <c r="L1587" s="884">
        <v>127911.97</v>
      </c>
      <c r="M1587" s="884">
        <v>14194149.49</v>
      </c>
      <c r="N1587" s="882"/>
      <c r="O1587" s="882"/>
      <c r="P1587" s="882"/>
      <c r="Q1587" s="1165">
        <f t="shared" ref="Q1587:Q1603" si="238">ROUND(K1587*L1587/M1587,0)</f>
        <v>108495</v>
      </c>
      <c r="R1587" s="882"/>
      <c r="S1587" s="1269"/>
      <c r="T1587" s="1254"/>
      <c r="U1587" s="991"/>
      <c r="V1587" s="991"/>
      <c r="W1587" s="992"/>
    </row>
    <row r="1588" spans="1:23" ht="14.5" customHeight="1">
      <c r="A1588" s="1034"/>
      <c r="C1588" s="987"/>
      <c r="F1588" s="988"/>
      <c r="G1588" s="1095" t="str">
        <f t="shared" si="237"/>
        <v>5931011</v>
      </c>
      <c r="H1588" s="1016" t="s">
        <v>7203</v>
      </c>
      <c r="I1588" s="944" t="str">
        <f t="shared" si="230"/>
        <v>5931011002</v>
      </c>
      <c r="J1588" s="991" t="s">
        <v>11315</v>
      </c>
      <c r="K1588" s="884">
        <v>3050904</v>
      </c>
      <c r="L1588" s="884">
        <v>104013.26</v>
      </c>
      <c r="M1588" s="884">
        <v>3596897.58</v>
      </c>
      <c r="N1588" s="882"/>
      <c r="O1588" s="882"/>
      <c r="P1588" s="882"/>
      <c r="Q1588" s="1165">
        <f t="shared" si="238"/>
        <v>88224</v>
      </c>
      <c r="R1588" s="882"/>
      <c r="S1588" s="1269"/>
      <c r="T1588" s="1254"/>
      <c r="U1588" s="991"/>
      <c r="V1588" s="991"/>
      <c r="W1588" s="992"/>
    </row>
    <row r="1589" spans="1:23" ht="14.5" customHeight="1">
      <c r="A1589" s="1034"/>
      <c r="C1589" s="987"/>
      <c r="F1589" s="988"/>
      <c r="G1589" s="1095" t="str">
        <f t="shared" si="237"/>
        <v>5931011</v>
      </c>
      <c r="H1589" s="1016" t="s">
        <v>7205</v>
      </c>
      <c r="I1589" s="944" t="str">
        <f t="shared" si="230"/>
        <v>5931011003</v>
      </c>
      <c r="J1589" s="991" t="s">
        <v>11316</v>
      </c>
      <c r="K1589" s="884">
        <v>857916</v>
      </c>
      <c r="L1589" s="884">
        <v>8770.86</v>
      </c>
      <c r="M1589" s="884">
        <v>1011449.78</v>
      </c>
      <c r="N1589" s="882"/>
      <c r="O1589" s="882"/>
      <c r="P1589" s="882"/>
      <c r="Q1589" s="1165">
        <f t="shared" si="238"/>
        <v>7439</v>
      </c>
      <c r="R1589" s="882"/>
      <c r="S1589" s="1269"/>
      <c r="T1589" s="1254"/>
      <c r="U1589" s="991"/>
      <c r="V1589" s="991"/>
      <c r="W1589" s="992"/>
    </row>
    <row r="1590" spans="1:23" ht="14.5" customHeight="1">
      <c r="A1590" s="1034"/>
      <c r="C1590" s="987"/>
      <c r="F1590" s="988"/>
      <c r="G1590" s="1095" t="str">
        <f t="shared" si="237"/>
        <v>5931011</v>
      </c>
      <c r="H1590" s="1016" t="s">
        <v>7207</v>
      </c>
      <c r="I1590" s="944" t="str">
        <f t="shared" si="230"/>
        <v>5931011004</v>
      </c>
      <c r="J1590" s="991" t="s">
        <v>11317</v>
      </c>
      <c r="K1590" s="884">
        <v>418067</v>
      </c>
      <c r="L1590" s="884">
        <v>31469.23</v>
      </c>
      <c r="M1590" s="884">
        <v>492885</v>
      </c>
      <c r="N1590" s="882"/>
      <c r="O1590" s="882"/>
      <c r="P1590" s="882"/>
      <c r="Q1590" s="1165">
        <f t="shared" si="238"/>
        <v>26692</v>
      </c>
      <c r="R1590" s="882"/>
      <c r="S1590" s="1269"/>
      <c r="T1590" s="1254"/>
      <c r="U1590" s="991"/>
      <c r="V1590" s="991"/>
      <c r="W1590" s="992"/>
    </row>
    <row r="1591" spans="1:23" ht="14.5" customHeight="1">
      <c r="A1591" s="1034"/>
      <c r="C1591" s="987"/>
      <c r="F1591" s="988"/>
      <c r="G1591" s="1095" t="str">
        <f t="shared" si="237"/>
        <v>5931011</v>
      </c>
      <c r="H1591" s="1016" t="s">
        <v>10392</v>
      </c>
      <c r="I1591" s="944" t="str">
        <f t="shared" si="230"/>
        <v>5931011005</v>
      </c>
      <c r="J1591" s="991" t="s">
        <v>11318</v>
      </c>
      <c r="K1591" s="884">
        <v>637635</v>
      </c>
      <c r="L1591" s="884">
        <v>8066.24</v>
      </c>
      <c r="M1591" s="884">
        <v>751746.6</v>
      </c>
      <c r="N1591" s="882"/>
      <c r="O1591" s="882"/>
      <c r="P1591" s="882"/>
      <c r="Q1591" s="1165">
        <f t="shared" si="238"/>
        <v>6842</v>
      </c>
      <c r="R1591" s="882"/>
      <c r="S1591" s="1269"/>
      <c r="T1591" s="1254"/>
      <c r="U1591" s="991"/>
      <c r="V1591" s="991"/>
      <c r="W1591" s="992"/>
    </row>
    <row r="1592" spans="1:23" ht="14.5" customHeight="1">
      <c r="A1592" s="1034"/>
      <c r="C1592" s="987"/>
      <c r="F1592" s="988"/>
      <c r="G1592" s="1095" t="str">
        <f t="shared" si="237"/>
        <v>5931011</v>
      </c>
      <c r="H1592" s="1016" t="s">
        <v>10394</v>
      </c>
      <c r="I1592" s="944" t="str">
        <f t="shared" si="230"/>
        <v>5931011006</v>
      </c>
      <c r="J1592" s="991" t="s">
        <v>11319</v>
      </c>
      <c r="K1592" s="884">
        <v>693224</v>
      </c>
      <c r="L1592" s="884">
        <v>2013.32</v>
      </c>
      <c r="M1592" s="884">
        <v>817284.87</v>
      </c>
      <c r="N1592" s="882"/>
      <c r="O1592" s="882"/>
      <c r="P1592" s="882"/>
      <c r="Q1592" s="1165">
        <f t="shared" si="238"/>
        <v>1708</v>
      </c>
      <c r="R1592" s="882"/>
      <c r="S1592" s="1269"/>
      <c r="T1592" s="1254"/>
      <c r="U1592" s="991"/>
      <c r="V1592" s="991"/>
      <c r="W1592" s="992"/>
    </row>
    <row r="1593" spans="1:23" ht="14.5" customHeight="1">
      <c r="A1593" s="1034"/>
      <c r="C1593" s="987"/>
      <c r="F1593" s="988"/>
      <c r="G1593" s="1095" t="str">
        <f t="shared" si="237"/>
        <v>5931011</v>
      </c>
      <c r="H1593" s="1016" t="s">
        <v>10396</v>
      </c>
      <c r="I1593" s="944" t="str">
        <f t="shared" si="230"/>
        <v>5931011007</v>
      </c>
      <c r="J1593" s="991" t="s">
        <v>11320</v>
      </c>
      <c r="K1593" s="884">
        <v>19523</v>
      </c>
      <c r="L1593" s="884">
        <v>0.05</v>
      </c>
      <c r="M1593" s="884">
        <v>23016.7</v>
      </c>
      <c r="N1593" s="882"/>
      <c r="O1593" s="882"/>
      <c r="P1593" s="882"/>
      <c r="Q1593" s="1165">
        <f t="shared" si="238"/>
        <v>0</v>
      </c>
      <c r="R1593" s="882"/>
      <c r="S1593" s="1269">
        <f>S1595</f>
        <v>9.1</v>
      </c>
      <c r="T1593" s="1254">
        <f t="shared" ref="T1593:T1594" si="239">ROUND(Q1593*S1593/100,0)</f>
        <v>0</v>
      </c>
      <c r="U1593" s="991"/>
      <c r="V1593" s="991"/>
      <c r="W1593" s="992"/>
    </row>
    <row r="1594" spans="1:23" ht="14.5" customHeight="1">
      <c r="A1594" s="1034"/>
      <c r="C1594" s="987"/>
      <c r="F1594" s="988"/>
      <c r="G1594" s="1095" t="str">
        <f t="shared" si="237"/>
        <v>5931011</v>
      </c>
      <c r="H1594" s="1016" t="s">
        <v>10398</v>
      </c>
      <c r="I1594" s="944" t="str">
        <f t="shared" si="230"/>
        <v>5931011008</v>
      </c>
      <c r="J1594" s="991" t="s">
        <v>11321</v>
      </c>
      <c r="K1594" s="884">
        <v>170025</v>
      </c>
      <c r="L1594" s="884">
        <v>1837.51</v>
      </c>
      <c r="M1594" s="884">
        <v>200452.98</v>
      </c>
      <c r="N1594" s="882"/>
      <c r="O1594" s="882"/>
      <c r="P1594" s="882"/>
      <c r="Q1594" s="1165">
        <f t="shared" si="238"/>
        <v>1559</v>
      </c>
      <c r="R1594" s="882"/>
      <c r="S1594" s="1269">
        <f>S1595</f>
        <v>9.1</v>
      </c>
      <c r="T1594" s="1254">
        <f t="shared" si="239"/>
        <v>142</v>
      </c>
      <c r="U1594" s="991"/>
      <c r="V1594" s="991"/>
      <c r="W1594" s="992"/>
    </row>
    <row r="1595" spans="1:23" ht="14.5" customHeight="1">
      <c r="A1595" s="1034"/>
      <c r="C1595" s="987"/>
      <c r="F1595" s="988"/>
      <c r="G1595" s="1095" t="str">
        <f t="shared" si="237"/>
        <v>5931011</v>
      </c>
      <c r="H1595" s="1016" t="s">
        <v>11322</v>
      </c>
      <c r="I1595" s="944" t="str">
        <f t="shared" si="230"/>
        <v>5931011009</v>
      </c>
      <c r="J1595" s="991" t="s">
        <v>11323</v>
      </c>
      <c r="K1595" s="884">
        <v>255919</v>
      </c>
      <c r="L1595" s="884">
        <v>442.28</v>
      </c>
      <c r="M1595" s="884">
        <v>301718.33</v>
      </c>
      <c r="N1595" s="882"/>
      <c r="O1595" s="882"/>
      <c r="P1595" s="882"/>
      <c r="Q1595" s="1165">
        <f t="shared" si="238"/>
        <v>375</v>
      </c>
      <c r="R1595" s="882"/>
      <c r="S1595" s="1269">
        <f>'CT2015'!K1527</f>
        <v>9.1</v>
      </c>
      <c r="T1595" s="1254">
        <f>ROUND(Q1595*S1595/100,0)</f>
        <v>34</v>
      </c>
      <c r="U1595" s="991"/>
      <c r="V1595" s="991"/>
      <c r="W1595" s="992"/>
    </row>
    <row r="1596" spans="1:23" ht="14.5" customHeight="1">
      <c r="A1596" s="1034"/>
      <c r="C1596" s="987"/>
      <c r="F1596" s="988"/>
      <c r="G1596" s="1095" t="str">
        <f t="shared" si="237"/>
        <v>5931011</v>
      </c>
      <c r="H1596" s="1016" t="s">
        <v>11324</v>
      </c>
      <c r="I1596" s="944" t="str">
        <f t="shared" si="230"/>
        <v>5931011010</v>
      </c>
      <c r="J1596" s="991" t="s">
        <v>11325</v>
      </c>
      <c r="K1596" s="884">
        <v>2182451</v>
      </c>
      <c r="L1596" s="884">
        <v>985.28</v>
      </c>
      <c r="M1596" s="884">
        <v>2573025.94</v>
      </c>
      <c r="N1596" s="882"/>
      <c r="O1596" s="882"/>
      <c r="P1596" s="882"/>
      <c r="Q1596" s="1165">
        <f t="shared" si="238"/>
        <v>836</v>
      </c>
      <c r="R1596" s="882"/>
      <c r="S1596" s="1269">
        <f>S1595</f>
        <v>9.1</v>
      </c>
      <c r="T1596" s="1254">
        <f>ROUND(Q1596*S1596/100,0)</f>
        <v>76</v>
      </c>
      <c r="U1596" s="991"/>
      <c r="V1596" s="991"/>
      <c r="W1596" s="992"/>
    </row>
    <row r="1597" spans="1:23" ht="14.5" customHeight="1">
      <c r="A1597" s="1034"/>
      <c r="C1597" s="987"/>
      <c r="F1597" s="988"/>
      <c r="G1597" s="1095" t="str">
        <f t="shared" si="237"/>
        <v>5931011</v>
      </c>
      <c r="H1597" s="1016" t="s">
        <v>18</v>
      </c>
      <c r="I1597" s="944" t="str">
        <f t="shared" si="230"/>
        <v>5931011011</v>
      </c>
      <c r="J1597" s="991" t="s">
        <v>11326</v>
      </c>
      <c r="K1597" s="884">
        <v>1529978</v>
      </c>
      <c r="L1597" s="884">
        <v>16397.41</v>
      </c>
      <c r="M1597" s="884">
        <v>1803785.37</v>
      </c>
      <c r="N1597" s="882"/>
      <c r="O1597" s="882"/>
      <c r="P1597" s="882"/>
      <c r="Q1597" s="1165">
        <f t="shared" si="238"/>
        <v>13908</v>
      </c>
      <c r="R1597" s="882"/>
      <c r="S1597" s="1269">
        <f>S1595/2</f>
        <v>4.55</v>
      </c>
      <c r="T1597" s="1254">
        <f>ROUND(Q1597*S1597/100,0)</f>
        <v>633</v>
      </c>
      <c r="U1597" s="991"/>
      <c r="V1597" s="991"/>
      <c r="W1597" s="992"/>
    </row>
    <row r="1598" spans="1:23" ht="14.5" customHeight="1">
      <c r="A1598" s="1034"/>
      <c r="C1598" s="987"/>
      <c r="F1598" s="988"/>
      <c r="G1598" s="1095" t="str">
        <f t="shared" si="237"/>
        <v>5931011</v>
      </c>
      <c r="H1598" s="1016" t="s">
        <v>94</v>
      </c>
      <c r="I1598" s="944" t="str">
        <f t="shared" si="230"/>
        <v>5931011012</v>
      </c>
      <c r="J1598" s="991" t="s">
        <v>11327</v>
      </c>
      <c r="K1598" s="884">
        <v>16842</v>
      </c>
      <c r="L1598" s="884">
        <v>0.28000000000000003</v>
      </c>
      <c r="M1598" s="884">
        <v>19856.169999999998</v>
      </c>
      <c r="N1598" s="882"/>
      <c r="O1598" s="882"/>
      <c r="P1598" s="882"/>
      <c r="Q1598" s="1165">
        <f t="shared" si="238"/>
        <v>0</v>
      </c>
      <c r="R1598" s="882"/>
      <c r="S1598" s="1269"/>
      <c r="T1598" s="1254"/>
      <c r="U1598" s="991"/>
      <c r="V1598" s="991"/>
      <c r="W1598" s="992"/>
    </row>
    <row r="1599" spans="1:23" ht="14.5" customHeight="1">
      <c r="A1599" s="1034"/>
      <c r="C1599" s="987"/>
      <c r="D1599" s="988" t="str">
        <f t="shared" si="228"/>
        <v/>
      </c>
      <c r="E1599" s="989" t="s">
        <v>7364</v>
      </c>
      <c r="F1599" s="988" t="str">
        <f t="shared" si="229"/>
        <v>5931012</v>
      </c>
      <c r="G1599" s="1095" t="str">
        <f t="shared" si="237"/>
        <v>5931012</v>
      </c>
      <c r="I1599" s="944" t="str">
        <f t="shared" si="230"/>
        <v/>
      </c>
      <c r="J1599" s="990" t="s">
        <v>714</v>
      </c>
      <c r="K1599" s="882"/>
      <c r="L1599" s="882"/>
      <c r="M1599" s="882"/>
      <c r="N1599" s="882"/>
      <c r="O1599" s="882"/>
      <c r="P1599" s="886"/>
      <c r="Q1599" s="1171">
        <f>SUM(Q1600:Q1603)</f>
        <v>52302</v>
      </c>
      <c r="R1599" s="882"/>
      <c r="S1599" s="1269"/>
      <c r="T1599" s="1254"/>
      <c r="U1599" s="991"/>
      <c r="V1599" s="991"/>
      <c r="W1599" s="992"/>
    </row>
    <row r="1600" spans="1:23" ht="14.5" customHeight="1">
      <c r="A1600" s="1034"/>
      <c r="C1600" s="987"/>
      <c r="E1600" s="989"/>
      <c r="F1600" s="988"/>
      <c r="G1600" s="1095" t="str">
        <f t="shared" si="237"/>
        <v>5931012</v>
      </c>
      <c r="H1600" s="1016" t="s">
        <v>5637</v>
      </c>
      <c r="I1600" s="1033" t="str">
        <f>IF(H1600="","",CONCATENATE(G1600,H1600))</f>
        <v>5931012101</v>
      </c>
      <c r="J1600" s="1069" t="s">
        <v>11328</v>
      </c>
      <c r="K1600" s="884">
        <v>2241541</v>
      </c>
      <c r="L1600" s="884">
        <v>19625.13</v>
      </c>
      <c r="M1600" s="884">
        <v>2402411.33</v>
      </c>
      <c r="N1600" s="882"/>
      <c r="O1600" s="882"/>
      <c r="P1600" s="886"/>
      <c r="Q1600" s="1165">
        <f t="shared" si="238"/>
        <v>18311</v>
      </c>
      <c r="R1600" s="882"/>
      <c r="S1600" s="1269"/>
      <c r="T1600" s="1254"/>
      <c r="U1600" s="991"/>
      <c r="V1600" s="991"/>
      <c r="W1600" s="992"/>
    </row>
    <row r="1601" spans="1:23" ht="14.5" customHeight="1">
      <c r="A1601" s="1034"/>
      <c r="C1601" s="987"/>
      <c r="E1601" s="989"/>
      <c r="F1601" s="988"/>
      <c r="G1601" s="1095" t="str">
        <f t="shared" si="237"/>
        <v>5931012</v>
      </c>
      <c r="H1601" s="1016" t="s">
        <v>6000</v>
      </c>
      <c r="I1601" s="1033" t="str">
        <f t="shared" ref="I1601:I1614" si="240">IF(H1601="","",CONCATENATE(G1601,H1601))</f>
        <v>5931012102</v>
      </c>
      <c r="J1601" s="1069" t="s">
        <v>11329</v>
      </c>
      <c r="K1601" s="884">
        <v>1928899</v>
      </c>
      <c r="L1601" s="884">
        <v>31957.759999999998</v>
      </c>
      <c r="M1601" s="884">
        <v>2067331.52</v>
      </c>
      <c r="N1601" s="882"/>
      <c r="O1601" s="882"/>
      <c r="P1601" s="886"/>
      <c r="Q1601" s="1165">
        <f t="shared" si="238"/>
        <v>29818</v>
      </c>
      <c r="R1601" s="882"/>
      <c r="S1601" s="1269"/>
      <c r="T1601" s="1254"/>
      <c r="U1601" s="991"/>
      <c r="V1601" s="991"/>
      <c r="W1601" s="992"/>
    </row>
    <row r="1602" spans="1:23" ht="14.5" customHeight="1">
      <c r="A1602" s="1034"/>
      <c r="C1602" s="987"/>
      <c r="E1602" s="989"/>
      <c r="F1602" s="988"/>
      <c r="G1602" s="1095" t="str">
        <f t="shared" si="237"/>
        <v>5931012</v>
      </c>
      <c r="H1602" s="1016" t="s">
        <v>5602</v>
      </c>
      <c r="I1602" s="1033" t="str">
        <f t="shared" si="240"/>
        <v>5931012201</v>
      </c>
      <c r="J1602" s="1069" t="s">
        <v>11330</v>
      </c>
      <c r="K1602" s="884">
        <v>941490</v>
      </c>
      <c r="L1602" s="884">
        <v>3288.26</v>
      </c>
      <c r="M1602" s="884">
        <v>1009059.11</v>
      </c>
      <c r="N1602" s="882"/>
      <c r="O1602" s="882"/>
      <c r="P1602" s="886"/>
      <c r="Q1602" s="1165">
        <f t="shared" si="238"/>
        <v>3068</v>
      </c>
      <c r="R1602" s="882"/>
      <c r="S1602" s="1269"/>
      <c r="T1602" s="1254"/>
      <c r="U1602" s="991"/>
      <c r="V1602" s="991"/>
      <c r="W1602" s="992"/>
    </row>
    <row r="1603" spans="1:23" ht="14.5" customHeight="1">
      <c r="A1603" s="1034"/>
      <c r="C1603" s="987"/>
      <c r="E1603" s="989"/>
      <c r="F1603" s="999"/>
      <c r="G1603" s="1104" t="str">
        <f>IF(F1603="",G1602,F1603)</f>
        <v>5931012</v>
      </c>
      <c r="H1603" s="1005" t="s">
        <v>5484</v>
      </c>
      <c r="I1603" s="1109" t="str">
        <f t="shared" si="240"/>
        <v>5931012301</v>
      </c>
      <c r="J1603" s="1110" t="s">
        <v>11331</v>
      </c>
      <c r="K1603" s="905">
        <v>293523</v>
      </c>
      <c r="L1603" s="905">
        <v>1184.71</v>
      </c>
      <c r="M1603" s="905">
        <v>314588.31</v>
      </c>
      <c r="N1603" s="900"/>
      <c r="O1603" s="900"/>
      <c r="P1603" s="893"/>
      <c r="Q1603" s="1173">
        <f t="shared" si="238"/>
        <v>1105</v>
      </c>
      <c r="R1603" s="900"/>
      <c r="S1603" s="1272"/>
      <c r="T1603" s="900"/>
      <c r="U1603" s="978"/>
      <c r="V1603" s="978"/>
      <c r="W1603" s="1003"/>
    </row>
    <row r="1604" spans="1:23" ht="14.5" customHeight="1">
      <c r="A1604" s="1034"/>
      <c r="C1604" s="981" t="s">
        <v>7372</v>
      </c>
      <c r="D1604" s="982" t="str">
        <f t="shared" si="228"/>
        <v>594101</v>
      </c>
      <c r="E1604" s="983" t="s">
        <v>7373</v>
      </c>
      <c r="F1604" s="988" t="str">
        <f t="shared" si="229"/>
        <v>5941011</v>
      </c>
      <c r="G1604" s="1095" t="str">
        <f>IF(F1604="",#REF!,F1604)</f>
        <v>5941011</v>
      </c>
      <c r="I1604" s="1033" t="str">
        <f t="shared" si="240"/>
        <v/>
      </c>
      <c r="J1604" s="1047" t="s">
        <v>7374</v>
      </c>
      <c r="K1604" s="873"/>
      <c r="L1604" s="873"/>
      <c r="M1604" s="873"/>
      <c r="N1604" s="886"/>
      <c r="O1604" s="886"/>
      <c r="P1604" s="896">
        <f>Q1604</f>
        <v>56366</v>
      </c>
      <c r="Q1604" s="1171">
        <f>ROUND(SUM(Q1605:Q1614),0)</f>
        <v>56366</v>
      </c>
      <c r="R1604" s="882"/>
      <c r="S1604" s="1269">
        <f>'CT2015'!K1538</f>
        <v>0.8</v>
      </c>
      <c r="T1604" s="1254">
        <f>ROUND(Q1604*S1604/100,0)</f>
        <v>451</v>
      </c>
      <c r="U1604" s="991" t="s">
        <v>11145</v>
      </c>
      <c r="V1604" s="996"/>
      <c r="W1604" s="992" t="s">
        <v>11332</v>
      </c>
    </row>
    <row r="1605" spans="1:23" ht="14.5" customHeight="1">
      <c r="A1605" s="1034"/>
      <c r="C1605" s="994"/>
      <c r="E1605" s="989"/>
      <c r="F1605" s="988"/>
      <c r="G1605" s="1095" t="str">
        <f t="shared" ref="G1605:G1614" si="241">IF(F1605="",G1604,F1605)</f>
        <v>5941011</v>
      </c>
      <c r="H1605" s="1016" t="s">
        <v>7312</v>
      </c>
      <c r="I1605" s="944" t="str">
        <f t="shared" si="240"/>
        <v>5941011001</v>
      </c>
      <c r="J1605" s="991" t="s">
        <v>11333</v>
      </c>
      <c r="K1605" s="873">
        <v>988556</v>
      </c>
      <c r="L1605" s="873"/>
      <c r="M1605" s="873">
        <v>988556.35</v>
      </c>
      <c r="N1605" s="886"/>
      <c r="O1605" s="886"/>
      <c r="P1605" s="896"/>
      <c r="Q1605" s="1167">
        <v>3596.72</v>
      </c>
      <c r="R1605" s="882"/>
      <c r="S1605" s="1269"/>
      <c r="T1605" s="1254"/>
      <c r="U1605" s="996"/>
      <c r="V1605" s="996"/>
      <c r="W1605" s="992"/>
    </row>
    <row r="1606" spans="1:23" ht="14.5" customHeight="1">
      <c r="A1606" s="1034"/>
      <c r="C1606" s="994"/>
      <c r="E1606" s="989"/>
      <c r="F1606" s="988"/>
      <c r="G1606" s="1095" t="str">
        <f t="shared" si="241"/>
        <v>5941011</v>
      </c>
      <c r="H1606" s="1016" t="s">
        <v>7203</v>
      </c>
      <c r="I1606" s="944" t="str">
        <f t="shared" si="240"/>
        <v>5941011002</v>
      </c>
      <c r="J1606" s="991" t="s">
        <v>11334</v>
      </c>
      <c r="K1606" s="873">
        <v>419131</v>
      </c>
      <c r="L1606" s="873"/>
      <c r="M1606" s="873">
        <v>419131.04</v>
      </c>
      <c r="N1606" s="886"/>
      <c r="O1606" s="886"/>
      <c r="P1606" s="896"/>
      <c r="Q1606" s="1167">
        <v>3206.72</v>
      </c>
      <c r="R1606" s="882"/>
      <c r="S1606" s="1269"/>
      <c r="T1606" s="1254"/>
      <c r="U1606" s="996"/>
      <c r="V1606" s="996"/>
      <c r="W1606" s="992"/>
    </row>
    <row r="1607" spans="1:23" ht="14.5" customHeight="1">
      <c r="A1607" s="1034"/>
      <c r="C1607" s="994"/>
      <c r="E1607" s="989"/>
      <c r="F1607" s="988"/>
      <c r="G1607" s="1095" t="str">
        <f t="shared" si="241"/>
        <v>5941011</v>
      </c>
      <c r="H1607" s="1016" t="s">
        <v>7205</v>
      </c>
      <c r="I1607" s="944" t="str">
        <f t="shared" si="240"/>
        <v>5941011003</v>
      </c>
      <c r="J1607" s="991" t="s">
        <v>11335</v>
      </c>
      <c r="K1607" s="873">
        <v>761685</v>
      </c>
      <c r="L1607" s="873"/>
      <c r="M1607" s="873">
        <v>761684.61</v>
      </c>
      <c r="N1607" s="886"/>
      <c r="O1607" s="886"/>
      <c r="P1607" s="896"/>
      <c r="Q1607" s="1167">
        <v>10627.84</v>
      </c>
      <c r="R1607" s="882"/>
      <c r="S1607" s="1269"/>
      <c r="T1607" s="1254"/>
      <c r="U1607" s="996"/>
      <c r="V1607" s="996"/>
      <c r="W1607" s="992"/>
    </row>
    <row r="1608" spans="1:23" ht="14.5" customHeight="1">
      <c r="A1608" s="1034"/>
      <c r="C1608" s="994"/>
      <c r="E1608" s="989"/>
      <c r="F1608" s="988"/>
      <c r="G1608" s="1095" t="str">
        <f t="shared" si="241"/>
        <v>5941011</v>
      </c>
      <c r="H1608" s="1016" t="s">
        <v>7207</v>
      </c>
      <c r="I1608" s="944" t="str">
        <f t="shared" si="240"/>
        <v>5941011004</v>
      </c>
      <c r="J1608" s="991" t="s">
        <v>11336</v>
      </c>
      <c r="K1608" s="873">
        <v>1666020</v>
      </c>
      <c r="L1608" s="873"/>
      <c r="M1608" s="873">
        <v>1666020.31</v>
      </c>
      <c r="N1608" s="886"/>
      <c r="O1608" s="886"/>
      <c r="P1608" s="896"/>
      <c r="Q1608" s="1167">
        <v>16457.48</v>
      </c>
      <c r="R1608" s="882"/>
      <c r="S1608" s="1269"/>
      <c r="T1608" s="1254"/>
      <c r="U1608" s="996"/>
      <c r="V1608" s="996"/>
      <c r="W1608" s="992"/>
    </row>
    <row r="1609" spans="1:23" ht="14.5" customHeight="1">
      <c r="A1609" s="1034"/>
      <c r="C1609" s="994"/>
      <c r="E1609" s="989"/>
      <c r="F1609" s="988"/>
      <c r="G1609" s="1095" t="str">
        <f t="shared" si="241"/>
        <v>5941011</v>
      </c>
      <c r="H1609" s="1016" t="s">
        <v>10392</v>
      </c>
      <c r="I1609" s="944" t="str">
        <f t="shared" si="240"/>
        <v>5941011005</v>
      </c>
      <c r="J1609" s="991" t="s">
        <v>11337</v>
      </c>
      <c r="K1609" s="873">
        <v>103198</v>
      </c>
      <c r="L1609" s="873"/>
      <c r="M1609" s="873">
        <v>103197.84</v>
      </c>
      <c r="N1609" s="886"/>
      <c r="O1609" s="886"/>
      <c r="P1609" s="896"/>
      <c r="Q1609" s="1167">
        <v>120.8</v>
      </c>
      <c r="R1609" s="882"/>
      <c r="S1609" s="1269"/>
      <c r="T1609" s="1254"/>
      <c r="U1609" s="996"/>
      <c r="V1609" s="996"/>
      <c r="W1609" s="992"/>
    </row>
    <row r="1610" spans="1:23" ht="14.5" customHeight="1">
      <c r="A1610" s="1034"/>
      <c r="C1610" s="994"/>
      <c r="E1610" s="989"/>
      <c r="F1610" s="988"/>
      <c r="G1610" s="1095" t="str">
        <f t="shared" si="241"/>
        <v>5941011</v>
      </c>
      <c r="H1610" s="1016" t="s">
        <v>10394</v>
      </c>
      <c r="I1610" s="944" t="str">
        <f t="shared" si="240"/>
        <v>5941011006</v>
      </c>
      <c r="J1610" s="991" t="s">
        <v>11338</v>
      </c>
      <c r="K1610" s="873">
        <v>1293529</v>
      </c>
      <c r="L1610" s="873"/>
      <c r="M1610" s="873">
        <v>1293528.97</v>
      </c>
      <c r="N1610" s="886"/>
      <c r="O1610" s="886"/>
      <c r="P1610" s="896"/>
      <c r="Q1610" s="1167">
        <v>5653.86</v>
      </c>
      <c r="R1610" s="882"/>
      <c r="S1610" s="1269"/>
      <c r="T1610" s="1254"/>
      <c r="U1610" s="996"/>
      <c r="V1610" s="996"/>
      <c r="W1610" s="992"/>
    </row>
    <row r="1611" spans="1:23" ht="14.5" customHeight="1">
      <c r="A1611" s="1034"/>
      <c r="C1611" s="994"/>
      <c r="E1611" s="989"/>
      <c r="F1611" s="988"/>
      <c r="G1611" s="1095" t="str">
        <f t="shared" si="241"/>
        <v>5941011</v>
      </c>
      <c r="H1611" s="1016" t="s">
        <v>10396</v>
      </c>
      <c r="I1611" s="944" t="str">
        <f t="shared" si="240"/>
        <v>5941011007</v>
      </c>
      <c r="J1611" s="991" t="s">
        <v>11339</v>
      </c>
      <c r="K1611" s="873">
        <v>1329775</v>
      </c>
      <c r="L1611" s="873"/>
      <c r="M1611" s="873">
        <v>1329775.49</v>
      </c>
      <c r="N1611" s="886"/>
      <c r="O1611" s="886"/>
      <c r="P1611" s="896"/>
      <c r="Q1611" s="1167">
        <v>11192.45</v>
      </c>
      <c r="R1611" s="882"/>
      <c r="S1611" s="1269"/>
      <c r="T1611" s="1254"/>
      <c r="U1611" s="996"/>
      <c r="V1611" s="996"/>
      <c r="W1611" s="992"/>
    </row>
    <row r="1612" spans="1:23" ht="14.5" customHeight="1">
      <c r="A1612" s="1034"/>
      <c r="C1612" s="994"/>
      <c r="E1612" s="989"/>
      <c r="F1612" s="988"/>
      <c r="G1612" s="1095" t="str">
        <f t="shared" si="241"/>
        <v>5941011</v>
      </c>
      <c r="H1612" s="1016" t="s">
        <v>10398</v>
      </c>
      <c r="I1612" s="944" t="str">
        <f t="shared" si="240"/>
        <v>5941011008</v>
      </c>
      <c r="J1612" s="991" t="s">
        <v>11340</v>
      </c>
      <c r="K1612" s="873">
        <v>11505</v>
      </c>
      <c r="L1612" s="873"/>
      <c r="M1612" s="873">
        <v>11505.02</v>
      </c>
      <c r="N1612" s="886"/>
      <c r="O1612" s="886"/>
      <c r="P1612" s="896"/>
      <c r="Q1612" s="1167">
        <v>4.9400000000000004</v>
      </c>
      <c r="R1612" s="882"/>
      <c r="S1612" s="1269"/>
      <c r="T1612" s="1254"/>
      <c r="U1612" s="996"/>
      <c r="V1612" s="996"/>
      <c r="W1612" s="992"/>
    </row>
    <row r="1613" spans="1:23" ht="14.5" customHeight="1">
      <c r="A1613" s="1034"/>
      <c r="C1613" s="994"/>
      <c r="E1613" s="989"/>
      <c r="F1613" s="988"/>
      <c r="G1613" s="1095" t="str">
        <f t="shared" si="241"/>
        <v>5941011</v>
      </c>
      <c r="H1613" s="1016" t="s">
        <v>11322</v>
      </c>
      <c r="I1613" s="944" t="str">
        <f t="shared" si="240"/>
        <v>5941011009</v>
      </c>
      <c r="J1613" s="991" t="s">
        <v>11341</v>
      </c>
      <c r="K1613" s="873">
        <v>338142</v>
      </c>
      <c r="L1613" s="873"/>
      <c r="M1613" s="873">
        <v>338141.92</v>
      </c>
      <c r="N1613" s="886"/>
      <c r="O1613" s="886"/>
      <c r="P1613" s="896"/>
      <c r="Q1613" s="1167">
        <v>9.16</v>
      </c>
      <c r="R1613" s="882"/>
      <c r="S1613" s="1269"/>
      <c r="T1613" s="1254"/>
      <c r="U1613" s="996"/>
      <c r="V1613" s="996"/>
      <c r="W1613" s="992"/>
    </row>
    <row r="1614" spans="1:23" ht="14.5" customHeight="1">
      <c r="A1614" s="1034"/>
      <c r="C1614" s="994"/>
      <c r="E1614" s="989"/>
      <c r="F1614" s="988"/>
      <c r="G1614" s="1095" t="str">
        <f t="shared" si="241"/>
        <v>5941011</v>
      </c>
      <c r="H1614" s="1016" t="s">
        <v>11324</v>
      </c>
      <c r="I1614" s="944" t="str">
        <f t="shared" si="240"/>
        <v>5941011010</v>
      </c>
      <c r="J1614" s="978" t="s">
        <v>11342</v>
      </c>
      <c r="K1614" s="873">
        <v>1513035</v>
      </c>
      <c r="L1614" s="873"/>
      <c r="M1614" s="873">
        <v>1513035.23</v>
      </c>
      <c r="N1614" s="886"/>
      <c r="O1614" s="886"/>
      <c r="P1614" s="896"/>
      <c r="Q1614" s="1167">
        <v>5495.62</v>
      </c>
      <c r="R1614" s="882"/>
      <c r="S1614" s="1269"/>
      <c r="T1614" s="1254"/>
      <c r="U1614" s="996"/>
      <c r="V1614" s="996"/>
      <c r="W1614" s="992"/>
    </row>
    <row r="1615" spans="1:23" ht="14.5" customHeight="1">
      <c r="A1615" s="1133"/>
      <c r="B1615" s="1133"/>
      <c r="C1615" s="981" t="s">
        <v>7375</v>
      </c>
      <c r="D1615" s="982" t="str">
        <f t="shared" ref="D1615" si="242">IF(C1615="","",CONCATENATE(LEFT(C1615,4),MID(C1615,6,2)))</f>
        <v>595101</v>
      </c>
      <c r="E1615" s="1091" t="s">
        <v>7376</v>
      </c>
      <c r="F1615" s="982" t="str">
        <f t="shared" si="229"/>
        <v>5951011</v>
      </c>
      <c r="G1615" s="1103" t="str">
        <f>IF(F1615="",G1604,F1615)</f>
        <v>5951011</v>
      </c>
      <c r="H1615" s="1102"/>
      <c r="I1615" s="947" t="str">
        <f t="shared" si="230"/>
        <v/>
      </c>
      <c r="J1615" s="1028" t="s">
        <v>7377</v>
      </c>
      <c r="K1615" s="889"/>
      <c r="L1615" s="889"/>
      <c r="M1615" s="889"/>
      <c r="N1615" s="889"/>
      <c r="O1615" s="889"/>
      <c r="P1615" s="881">
        <f>Q1615</f>
        <v>19234</v>
      </c>
      <c r="Q1615" s="1160">
        <f>SUM(Q1616:Q1633)</f>
        <v>19234</v>
      </c>
      <c r="R1615" s="880"/>
      <c r="S1615" s="1270"/>
      <c r="T1615" s="880"/>
      <c r="U1615" s="993"/>
      <c r="V1615" s="993"/>
      <c r="W1615" s="986" t="s">
        <v>11343</v>
      </c>
    </row>
    <row r="1616" spans="1:23" ht="14.5" customHeight="1">
      <c r="C1616" s="994"/>
      <c r="E1616" s="1092"/>
      <c r="F1616" s="988"/>
      <c r="G1616" s="1095" t="str">
        <f t="shared" ref="G1616:G1649" si="243">IF(F1616="",G1615,F1616)</f>
        <v>5951011</v>
      </c>
      <c r="H1616" s="1016" t="s">
        <v>5637</v>
      </c>
      <c r="I1616" s="944" t="str">
        <f t="shared" ref="I1616:I1678" si="244">IF(H1616="","",CONCATENATE(G1616,H1616))</f>
        <v>5951011101</v>
      </c>
      <c r="J1616" s="991" t="s">
        <v>11344</v>
      </c>
      <c r="K1616" s="890">
        <v>277747.20000000001</v>
      </c>
      <c r="L1616" s="890">
        <v>8</v>
      </c>
      <c r="M1616" s="890">
        <v>4148</v>
      </c>
      <c r="N1616" s="886"/>
      <c r="O1616" s="886"/>
      <c r="P1616" s="886"/>
      <c r="Q1616" s="1162">
        <f>ROUND(K1616*L1616/M1616,0)</f>
        <v>536</v>
      </c>
      <c r="R1616" s="882"/>
      <c r="S1616" s="1269"/>
      <c r="T1616" s="1254"/>
      <c r="U1616" s="996" t="s">
        <v>11126</v>
      </c>
      <c r="V1616" s="996"/>
      <c r="W1616" s="992"/>
    </row>
    <row r="1617" spans="3:23" ht="14.5" customHeight="1">
      <c r="C1617" s="994"/>
      <c r="E1617" s="1092"/>
      <c r="F1617" s="988"/>
      <c r="G1617" s="1095" t="str">
        <f t="shared" si="243"/>
        <v>5951011</v>
      </c>
      <c r="H1617" s="1016" t="s">
        <v>6000</v>
      </c>
      <c r="I1617" s="944" t="str">
        <f t="shared" si="244"/>
        <v>5951011102</v>
      </c>
      <c r="J1617" s="991" t="s">
        <v>11345</v>
      </c>
      <c r="K1617" s="890">
        <v>32020.3</v>
      </c>
      <c r="L1617" s="890">
        <v>6</v>
      </c>
      <c r="M1617" s="890">
        <v>1579</v>
      </c>
      <c r="N1617" s="886"/>
      <c r="O1617" s="886"/>
      <c r="P1617" s="886"/>
      <c r="Q1617" s="1162">
        <f t="shared" ref="Q1617:Q1633" si="245">ROUND(K1617*L1617/M1617,0)</f>
        <v>122</v>
      </c>
      <c r="R1617" s="882"/>
      <c r="S1617" s="1269"/>
      <c r="T1617" s="1254"/>
      <c r="U1617" s="996"/>
      <c r="V1617" s="996"/>
      <c r="W1617" s="992"/>
    </row>
    <row r="1618" spans="3:23" ht="14.5" customHeight="1">
      <c r="C1618" s="994"/>
      <c r="E1618" s="1092"/>
      <c r="F1618" s="988"/>
      <c r="G1618" s="1095" t="str">
        <f t="shared" si="243"/>
        <v>5951011</v>
      </c>
      <c r="H1618" s="1016" t="s">
        <v>6002</v>
      </c>
      <c r="I1618" s="944" t="str">
        <f t="shared" si="244"/>
        <v>5951011103</v>
      </c>
      <c r="J1618" s="991" t="s">
        <v>11346</v>
      </c>
      <c r="K1618" s="890">
        <v>708230.8</v>
      </c>
      <c r="L1618" s="890">
        <v>109</v>
      </c>
      <c r="M1618" s="890">
        <v>36634</v>
      </c>
      <c r="N1618" s="886"/>
      <c r="O1618" s="886"/>
      <c r="P1618" s="886"/>
      <c r="Q1618" s="1162">
        <f t="shared" si="245"/>
        <v>2107</v>
      </c>
      <c r="R1618" s="882"/>
      <c r="S1618" s="1269">
        <f>'CT2015'!K1541</f>
        <v>12.6</v>
      </c>
      <c r="T1618" s="1254">
        <f>ROUND(Q1618*S1618/100,0)</f>
        <v>265</v>
      </c>
      <c r="U1618" s="996"/>
      <c r="V1618" s="996"/>
      <c r="W1618" s="992"/>
    </row>
    <row r="1619" spans="3:23" ht="14.5" customHeight="1">
      <c r="C1619" s="994"/>
      <c r="E1619" s="1092"/>
      <c r="F1619" s="988"/>
      <c r="G1619" s="1095" t="str">
        <f t="shared" si="243"/>
        <v>5951011</v>
      </c>
      <c r="H1619" s="1016" t="s">
        <v>6146</v>
      </c>
      <c r="I1619" s="944" t="str">
        <f t="shared" si="244"/>
        <v>5951011104</v>
      </c>
      <c r="J1619" s="991" t="s">
        <v>11347</v>
      </c>
      <c r="K1619" s="890">
        <v>390557.1</v>
      </c>
      <c r="L1619" s="890">
        <v>37</v>
      </c>
      <c r="M1619" s="890">
        <v>9398</v>
      </c>
      <c r="N1619" s="886"/>
      <c r="O1619" s="886"/>
      <c r="P1619" s="886"/>
      <c r="Q1619" s="1162">
        <f t="shared" si="245"/>
        <v>1538</v>
      </c>
      <c r="R1619" s="882"/>
      <c r="S1619" s="1269"/>
      <c r="T1619" s="1254"/>
      <c r="U1619" s="996"/>
      <c r="V1619" s="996"/>
      <c r="W1619" s="992"/>
    </row>
    <row r="1620" spans="3:23" ht="14.5" customHeight="1">
      <c r="C1620" s="994"/>
      <c r="E1620" s="1092"/>
      <c r="F1620" s="988"/>
      <c r="G1620" s="1095" t="str">
        <f t="shared" si="243"/>
        <v>5951011</v>
      </c>
      <c r="H1620" s="1016" t="s">
        <v>6148</v>
      </c>
      <c r="I1620" s="944" t="str">
        <f t="shared" si="244"/>
        <v>5951011105</v>
      </c>
      <c r="J1620" s="991" t="s">
        <v>11348</v>
      </c>
      <c r="K1620" s="890">
        <v>88072.8</v>
      </c>
      <c r="L1620" s="890">
        <v>27</v>
      </c>
      <c r="M1620" s="890">
        <v>2010</v>
      </c>
      <c r="N1620" s="886"/>
      <c r="O1620" s="886"/>
      <c r="P1620" s="886"/>
      <c r="Q1620" s="1162">
        <f t="shared" si="245"/>
        <v>1183</v>
      </c>
      <c r="R1620" s="882"/>
      <c r="S1620" s="1269"/>
      <c r="T1620" s="1254"/>
      <c r="U1620" s="996"/>
      <c r="V1620" s="996"/>
      <c r="W1620" s="992"/>
    </row>
    <row r="1621" spans="3:23" ht="14.5" customHeight="1">
      <c r="C1621" s="994"/>
      <c r="E1621" s="1092"/>
      <c r="F1621" s="988"/>
      <c r="G1621" s="1095" t="str">
        <f t="shared" si="243"/>
        <v>5951011</v>
      </c>
      <c r="H1621" s="1016" t="s">
        <v>5367</v>
      </c>
      <c r="I1621" s="944" t="str">
        <f t="shared" si="244"/>
        <v>5951011106</v>
      </c>
      <c r="J1621" s="991" t="s">
        <v>11349</v>
      </c>
      <c r="K1621" s="890">
        <v>28516.5</v>
      </c>
      <c r="L1621" s="890">
        <v>1</v>
      </c>
      <c r="M1621" s="890">
        <v>730</v>
      </c>
      <c r="N1621" s="886"/>
      <c r="O1621" s="886"/>
      <c r="P1621" s="886"/>
      <c r="Q1621" s="1162">
        <f t="shared" si="245"/>
        <v>39</v>
      </c>
      <c r="R1621" s="882"/>
      <c r="S1621" s="1269"/>
      <c r="T1621" s="1254"/>
      <c r="U1621" s="996"/>
      <c r="V1621" s="996"/>
      <c r="W1621" s="992"/>
    </row>
    <row r="1622" spans="3:23" ht="14.5" customHeight="1">
      <c r="C1622" s="994"/>
      <c r="E1622" s="1092"/>
      <c r="F1622" s="988"/>
      <c r="G1622" s="1095" t="str">
        <f t="shared" si="243"/>
        <v>5951011</v>
      </c>
      <c r="H1622" s="1016" t="s">
        <v>5369</v>
      </c>
      <c r="I1622" s="944" t="str">
        <f t="shared" si="244"/>
        <v>5951011107</v>
      </c>
      <c r="J1622" s="991" t="s">
        <v>11350</v>
      </c>
      <c r="K1622" s="890">
        <v>325781.59999999998</v>
      </c>
      <c r="L1622" s="890">
        <v>186</v>
      </c>
      <c r="M1622" s="890">
        <v>18136</v>
      </c>
      <c r="N1622" s="886"/>
      <c r="O1622" s="886"/>
      <c r="P1622" s="886"/>
      <c r="Q1622" s="1162">
        <f t="shared" si="245"/>
        <v>3341</v>
      </c>
      <c r="R1622" s="882"/>
      <c r="S1622" s="1269"/>
      <c r="T1622" s="1254"/>
      <c r="U1622" s="996"/>
      <c r="V1622" s="996"/>
      <c r="W1622" s="992"/>
    </row>
    <row r="1623" spans="3:23" ht="14.5" customHeight="1">
      <c r="C1623" s="994"/>
      <c r="E1623" s="1092"/>
      <c r="F1623" s="988"/>
      <c r="G1623" s="1095" t="str">
        <f t="shared" si="243"/>
        <v>5951011</v>
      </c>
      <c r="H1623" s="1016" t="s">
        <v>5602</v>
      </c>
      <c r="I1623" s="944" t="str">
        <f t="shared" si="244"/>
        <v>5951011201</v>
      </c>
      <c r="J1623" s="991" t="s">
        <v>11351</v>
      </c>
      <c r="K1623" s="890">
        <v>176911.4</v>
      </c>
      <c r="L1623" s="873">
        <f>SUM(Q1616:Q1617)</f>
        <v>658</v>
      </c>
      <c r="M1623" s="873">
        <f>SUM(K1616:K1617)</f>
        <v>309767.5</v>
      </c>
      <c r="N1623" s="886"/>
      <c r="O1623" s="886"/>
      <c r="P1623" s="886"/>
      <c r="Q1623" s="1162">
        <f t="shared" si="245"/>
        <v>376</v>
      </c>
      <c r="R1623" s="882"/>
      <c r="S1623" s="1269"/>
      <c r="T1623" s="1254"/>
      <c r="U1623" s="996"/>
      <c r="V1623" s="996"/>
      <c r="W1623" s="992" t="s">
        <v>11352</v>
      </c>
    </row>
    <row r="1624" spans="3:23" ht="14.5" customHeight="1">
      <c r="C1624" s="994"/>
      <c r="E1624" s="1092"/>
      <c r="F1624" s="988"/>
      <c r="G1624" s="1095" t="str">
        <f t="shared" si="243"/>
        <v>5951011</v>
      </c>
      <c r="H1624" s="1016" t="s">
        <v>5484</v>
      </c>
      <c r="I1624" s="944" t="str">
        <f t="shared" si="244"/>
        <v>5951011301</v>
      </c>
      <c r="J1624" s="991" t="s">
        <v>11353</v>
      </c>
      <c r="K1624" s="890">
        <v>26065.200000000001</v>
      </c>
      <c r="L1624" s="873">
        <f>SUM(Q1618)</f>
        <v>2107</v>
      </c>
      <c r="M1624" s="873">
        <f>K1618</f>
        <v>708230.8</v>
      </c>
      <c r="N1624" s="886"/>
      <c r="O1624" s="886"/>
      <c r="P1624" s="886"/>
      <c r="Q1624" s="1162">
        <f>ROUND(K1624*L1624/M1624,0)</f>
        <v>78</v>
      </c>
      <c r="R1624" s="882"/>
      <c r="S1624" s="1269"/>
      <c r="T1624" s="1254"/>
      <c r="U1624" s="996"/>
      <c r="V1624" s="996"/>
      <c r="W1624" s="992" t="s">
        <v>11354</v>
      </c>
    </row>
    <row r="1625" spans="3:23" ht="14.5" customHeight="1">
      <c r="C1625" s="994"/>
      <c r="E1625" s="1092"/>
      <c r="F1625" s="988"/>
      <c r="G1625" s="1095" t="str">
        <f t="shared" si="243"/>
        <v>5951011</v>
      </c>
      <c r="H1625" s="1016" t="s">
        <v>5486</v>
      </c>
      <c r="I1625" s="944" t="str">
        <f t="shared" si="244"/>
        <v>5951011401</v>
      </c>
      <c r="J1625" s="991" t="s">
        <v>11355</v>
      </c>
      <c r="K1625" s="890">
        <v>158481.9</v>
      </c>
      <c r="L1625" s="890">
        <v>10</v>
      </c>
      <c r="M1625" s="890">
        <v>2426</v>
      </c>
      <c r="N1625" s="886"/>
      <c r="O1625" s="886"/>
      <c r="P1625" s="886"/>
      <c r="Q1625" s="1162">
        <f t="shared" si="245"/>
        <v>653</v>
      </c>
      <c r="R1625" s="882"/>
      <c r="S1625" s="1269"/>
      <c r="T1625" s="1254"/>
      <c r="U1625" s="996"/>
      <c r="V1625" s="996"/>
      <c r="W1625" s="992"/>
    </row>
    <row r="1626" spans="3:23" ht="14.5" customHeight="1">
      <c r="C1626" s="994"/>
      <c r="E1626" s="1092"/>
      <c r="F1626" s="988"/>
      <c r="G1626" s="1095" t="str">
        <f t="shared" si="243"/>
        <v>5951011</v>
      </c>
      <c r="H1626" s="1016" t="s">
        <v>6210</v>
      </c>
      <c r="I1626" s="944" t="str">
        <f t="shared" si="244"/>
        <v>5951011402</v>
      </c>
      <c r="J1626" s="991" t="s">
        <v>11356</v>
      </c>
      <c r="K1626" s="890">
        <v>44101.3</v>
      </c>
      <c r="L1626" s="890">
        <v>3</v>
      </c>
      <c r="M1626" s="890">
        <v>816</v>
      </c>
      <c r="N1626" s="886"/>
      <c r="O1626" s="886"/>
      <c r="P1626" s="886"/>
      <c r="Q1626" s="1162">
        <f t="shared" si="245"/>
        <v>162</v>
      </c>
      <c r="R1626" s="882"/>
      <c r="S1626" s="1269"/>
      <c r="T1626" s="1254"/>
      <c r="U1626" s="996"/>
      <c r="V1626" s="996"/>
      <c r="W1626" s="992"/>
    </row>
    <row r="1627" spans="3:23" ht="14.5" customHeight="1">
      <c r="C1627" s="994"/>
      <c r="E1627" s="1092"/>
      <c r="F1627" s="988"/>
      <c r="G1627" s="1095" t="str">
        <f t="shared" si="243"/>
        <v>5951011</v>
      </c>
      <c r="H1627" s="1016" t="s">
        <v>6212</v>
      </c>
      <c r="I1627" s="944" t="str">
        <f t="shared" si="244"/>
        <v>5951011403</v>
      </c>
      <c r="J1627" s="991" t="s">
        <v>11357</v>
      </c>
      <c r="K1627" s="890">
        <v>2454.3000000000002</v>
      </c>
      <c r="L1627" s="890">
        <v>0</v>
      </c>
      <c r="M1627" s="890">
        <v>121</v>
      </c>
      <c r="N1627" s="886"/>
      <c r="O1627" s="886"/>
      <c r="P1627" s="886"/>
      <c r="Q1627" s="1162">
        <f t="shared" si="245"/>
        <v>0</v>
      </c>
      <c r="R1627" s="882"/>
      <c r="S1627" s="1269"/>
      <c r="T1627" s="1254"/>
      <c r="U1627" s="996"/>
      <c r="V1627" s="996"/>
      <c r="W1627" s="992" t="s">
        <v>11358</v>
      </c>
    </row>
    <row r="1628" spans="3:23" ht="14.5" customHeight="1">
      <c r="C1628" s="994"/>
      <c r="E1628" s="1092"/>
      <c r="F1628" s="988"/>
      <c r="G1628" s="1095" t="str">
        <f t="shared" si="243"/>
        <v>5951011</v>
      </c>
      <c r="H1628" s="1016" t="s">
        <v>6214</v>
      </c>
      <c r="I1628" s="944" t="str">
        <f t="shared" si="244"/>
        <v>5951011404</v>
      </c>
      <c r="J1628" s="991" t="s">
        <v>11359</v>
      </c>
      <c r="K1628" s="890">
        <v>14906.8</v>
      </c>
      <c r="L1628" s="890">
        <v>4</v>
      </c>
      <c r="M1628" s="890">
        <v>847</v>
      </c>
      <c r="N1628" s="886"/>
      <c r="O1628" s="886"/>
      <c r="P1628" s="886"/>
      <c r="Q1628" s="1162">
        <f t="shared" si="245"/>
        <v>70</v>
      </c>
      <c r="R1628" s="882"/>
      <c r="S1628" s="1269"/>
      <c r="T1628" s="1254"/>
      <c r="U1628" s="996"/>
      <c r="V1628" s="996"/>
      <c r="W1628" s="992"/>
    </row>
    <row r="1629" spans="3:23" ht="14.5" customHeight="1">
      <c r="C1629" s="994"/>
      <c r="E1629" s="1092"/>
      <c r="F1629" s="988"/>
      <c r="G1629" s="1095" t="str">
        <f t="shared" si="243"/>
        <v>5951011</v>
      </c>
      <c r="H1629" s="1016" t="s">
        <v>6216</v>
      </c>
      <c r="I1629" s="944" t="str">
        <f t="shared" si="244"/>
        <v>5951011405</v>
      </c>
      <c r="J1629" s="991" t="s">
        <v>11360</v>
      </c>
      <c r="K1629" s="890">
        <v>15593.8</v>
      </c>
      <c r="L1629" s="890">
        <v>10</v>
      </c>
      <c r="M1629" s="890">
        <v>1141</v>
      </c>
      <c r="N1629" s="886"/>
      <c r="O1629" s="886"/>
      <c r="P1629" s="886"/>
      <c r="Q1629" s="1162">
        <f t="shared" si="245"/>
        <v>137</v>
      </c>
      <c r="R1629" s="882"/>
      <c r="S1629" s="1269"/>
      <c r="T1629" s="1254"/>
      <c r="U1629" s="996"/>
      <c r="V1629" s="996"/>
      <c r="W1629" s="992"/>
    </row>
    <row r="1630" spans="3:23" ht="14.5" customHeight="1">
      <c r="C1630" s="994"/>
      <c r="E1630" s="1092"/>
      <c r="F1630" s="988"/>
      <c r="G1630" s="1095" t="str">
        <f t="shared" si="243"/>
        <v>5951011</v>
      </c>
      <c r="H1630" s="1016" t="s">
        <v>5488</v>
      </c>
      <c r="I1630" s="944" t="str">
        <f t="shared" si="244"/>
        <v>5951011501</v>
      </c>
      <c r="J1630" s="991" t="s">
        <v>11361</v>
      </c>
      <c r="K1630" s="890">
        <v>55157.8</v>
      </c>
      <c r="L1630" s="873">
        <f>SUM(Q1625:Q1626)</f>
        <v>815</v>
      </c>
      <c r="M1630" s="873">
        <f>SUM(K1625:K1626)</f>
        <v>202583.2</v>
      </c>
      <c r="N1630" s="886"/>
      <c r="O1630" s="886"/>
      <c r="P1630" s="886"/>
      <c r="Q1630" s="1162">
        <f>ROUND(K1630*L1630/M1630,0)</f>
        <v>222</v>
      </c>
      <c r="R1630" s="882"/>
      <c r="S1630" s="1269"/>
      <c r="T1630" s="1254"/>
      <c r="U1630" s="996"/>
      <c r="V1630" s="996"/>
      <c r="W1630" s="992" t="s">
        <v>11362</v>
      </c>
    </row>
    <row r="1631" spans="3:23" ht="14.5" customHeight="1">
      <c r="C1631" s="994"/>
      <c r="E1631" s="1092"/>
      <c r="F1631" s="988"/>
      <c r="G1631" s="1095" t="str">
        <f t="shared" si="243"/>
        <v>5951011</v>
      </c>
      <c r="H1631" s="1016" t="s">
        <v>5514</v>
      </c>
      <c r="I1631" s="944" t="str">
        <f t="shared" si="244"/>
        <v>5951011601</v>
      </c>
      <c r="J1631" s="991" t="s">
        <v>11363</v>
      </c>
      <c r="K1631" s="890">
        <v>671527.5</v>
      </c>
      <c r="L1631" s="890">
        <v>232</v>
      </c>
      <c r="M1631" s="890">
        <v>28113</v>
      </c>
      <c r="N1631" s="886"/>
      <c r="O1631" s="886"/>
      <c r="P1631" s="886"/>
      <c r="Q1631" s="1162">
        <f t="shared" si="245"/>
        <v>5542</v>
      </c>
      <c r="R1631" s="882"/>
      <c r="S1631" s="1269"/>
      <c r="T1631" s="1254"/>
      <c r="U1631" s="996"/>
      <c r="V1631" s="996"/>
      <c r="W1631" s="992"/>
    </row>
    <row r="1632" spans="3:23" ht="14.5" customHeight="1">
      <c r="C1632" s="994"/>
      <c r="E1632" s="1092"/>
      <c r="F1632" s="988"/>
      <c r="G1632" s="1095" t="str">
        <f t="shared" si="243"/>
        <v>5951011</v>
      </c>
      <c r="H1632" s="1016" t="s">
        <v>6059</v>
      </c>
      <c r="I1632" s="944" t="str">
        <f t="shared" si="244"/>
        <v>5951011701</v>
      </c>
      <c r="J1632" s="991" t="s">
        <v>11364</v>
      </c>
      <c r="K1632" s="890">
        <v>124527.5</v>
      </c>
      <c r="L1632" s="890">
        <v>81</v>
      </c>
      <c r="M1632" s="890">
        <v>6341</v>
      </c>
      <c r="N1632" s="886"/>
      <c r="O1632" s="886"/>
      <c r="P1632" s="886"/>
      <c r="Q1632" s="1162">
        <f t="shared" si="245"/>
        <v>1591</v>
      </c>
      <c r="R1632" s="882"/>
      <c r="S1632" s="1269">
        <f>S1618</f>
        <v>12.6</v>
      </c>
      <c r="T1632" s="1254">
        <f>ROUND(Q1632*S1632/100,0)</f>
        <v>200</v>
      </c>
      <c r="U1632" s="996"/>
      <c r="V1632" s="996"/>
      <c r="W1632" s="992"/>
    </row>
    <row r="1633" spans="3:23" ht="14.5" customHeight="1">
      <c r="C1633" s="994"/>
      <c r="E1633" s="1092"/>
      <c r="F1633" s="988"/>
      <c r="G1633" s="1095" t="str">
        <f t="shared" si="243"/>
        <v>5951011</v>
      </c>
      <c r="H1633" s="1016" t="s">
        <v>7416</v>
      </c>
      <c r="I1633" s="944" t="str">
        <f t="shared" si="244"/>
        <v>5951011702</v>
      </c>
      <c r="J1633" s="991" t="s">
        <v>11365</v>
      </c>
      <c r="K1633" s="890">
        <v>216632.2</v>
      </c>
      <c r="L1633" s="890">
        <v>72</v>
      </c>
      <c r="M1633" s="890">
        <v>10149</v>
      </c>
      <c r="N1633" s="886"/>
      <c r="O1633" s="886"/>
      <c r="P1633" s="886"/>
      <c r="Q1633" s="1162">
        <f t="shared" si="245"/>
        <v>1537</v>
      </c>
      <c r="R1633" s="882"/>
      <c r="S1633" s="1269"/>
      <c r="T1633" s="1254"/>
      <c r="U1633" s="996"/>
      <c r="V1633" s="996"/>
      <c r="W1633" s="992"/>
    </row>
    <row r="1634" spans="3:23" ht="14.5" customHeight="1">
      <c r="C1634" s="981" t="s">
        <v>7387</v>
      </c>
      <c r="D1634" s="982" t="str">
        <f t="shared" ref="D1634" si="246">IF(C1634="","",CONCATENATE(LEFT(C1634,4),MID(C1634,6,2)))</f>
        <v>595102</v>
      </c>
      <c r="E1634" s="1091" t="s">
        <v>7388</v>
      </c>
      <c r="F1634" s="982" t="str">
        <f t="shared" ref="F1634" si="247">IF(E1634="","",CONCATENATE(LEFT(E1634,4),MID(E1634,6,3)))</f>
        <v>5951021</v>
      </c>
      <c r="G1634" s="1103" t="str">
        <f t="shared" si="243"/>
        <v>5951021</v>
      </c>
      <c r="H1634" s="1102"/>
      <c r="I1634" s="947" t="str">
        <f t="shared" si="244"/>
        <v/>
      </c>
      <c r="J1634" s="984" t="s">
        <v>7389</v>
      </c>
      <c r="K1634" s="889"/>
      <c r="L1634" s="889"/>
      <c r="M1634" s="889"/>
      <c r="N1634" s="889"/>
      <c r="O1634" s="889"/>
      <c r="P1634" s="881">
        <f>Q1634</f>
        <v>35109</v>
      </c>
      <c r="Q1634" s="1160">
        <f>SUM(Q1635:Q1639)</f>
        <v>35109</v>
      </c>
      <c r="R1634" s="880"/>
      <c r="S1634" s="1270"/>
      <c r="T1634" s="880"/>
      <c r="U1634" s="993" t="s">
        <v>11126</v>
      </c>
      <c r="V1634" s="993"/>
      <c r="W1634" s="986" t="s">
        <v>11366</v>
      </c>
    </row>
    <row r="1635" spans="3:23" ht="14.5" customHeight="1">
      <c r="C1635" s="987"/>
      <c r="E1635" s="1092"/>
      <c r="F1635" s="988"/>
      <c r="G1635" s="1095" t="str">
        <f t="shared" si="243"/>
        <v>5951021</v>
      </c>
      <c r="H1635" s="1016" t="s">
        <v>575</v>
      </c>
      <c r="I1635" s="944" t="str">
        <f t="shared" si="244"/>
        <v>5951021101</v>
      </c>
      <c r="J1635" s="991" t="s">
        <v>11367</v>
      </c>
      <c r="K1635" s="890">
        <v>994863.3</v>
      </c>
      <c r="L1635" s="890">
        <v>640</v>
      </c>
      <c r="M1635" s="890">
        <v>28584</v>
      </c>
      <c r="N1635" s="886"/>
      <c r="O1635" s="886"/>
      <c r="P1635" s="886"/>
      <c r="Q1635" s="1165">
        <f>ROUND(K1635*L1635/M1635,0)</f>
        <v>22275</v>
      </c>
      <c r="R1635" s="882"/>
      <c r="S1635" s="1287">
        <f>'CT2015'!K1550</f>
        <v>12.6</v>
      </c>
      <c r="T1635" s="1254">
        <f>ROUND(Q1635*S1635/100,0)</f>
        <v>2807</v>
      </c>
      <c r="U1635" s="996"/>
      <c r="V1635" s="996"/>
      <c r="W1635" s="992"/>
    </row>
    <row r="1636" spans="3:23" ht="14.5" customHeight="1">
      <c r="C1636" s="987"/>
      <c r="E1636" s="1092"/>
      <c r="F1636" s="988"/>
      <c r="G1636" s="1095" t="str">
        <f t="shared" si="243"/>
        <v>5951021</v>
      </c>
      <c r="H1636" s="1016" t="s">
        <v>6000</v>
      </c>
      <c r="I1636" s="944" t="str">
        <f t="shared" si="244"/>
        <v>5951021102</v>
      </c>
      <c r="J1636" s="991" t="s">
        <v>11368</v>
      </c>
      <c r="K1636" s="890">
        <v>35607.800000000003</v>
      </c>
      <c r="L1636" s="890">
        <v>125</v>
      </c>
      <c r="M1636" s="890">
        <v>1885</v>
      </c>
      <c r="N1636" s="886"/>
      <c r="O1636" s="886"/>
      <c r="P1636" s="886"/>
      <c r="Q1636" s="1165">
        <f t="shared" ref="Q1636:Q1639" si="248">ROUND(K1636*L1636/M1636,0)</f>
        <v>2361</v>
      </c>
      <c r="R1636" s="882"/>
      <c r="S1636" s="1287">
        <f>S1635</f>
        <v>12.6</v>
      </c>
      <c r="T1636" s="1254">
        <f t="shared" ref="T1636:T1637" si="249">ROUND(Q1636*S1636/100,0)</f>
        <v>297</v>
      </c>
      <c r="U1636" s="996"/>
      <c r="V1636" s="996"/>
      <c r="W1636" s="992"/>
    </row>
    <row r="1637" spans="3:23" ht="14.5" customHeight="1">
      <c r="C1637" s="987"/>
      <c r="E1637" s="1092"/>
      <c r="F1637" s="988"/>
      <c r="G1637" s="1095" t="str">
        <f t="shared" si="243"/>
        <v>5951021</v>
      </c>
      <c r="H1637" s="1016" t="s">
        <v>6002</v>
      </c>
      <c r="I1637" s="944" t="str">
        <f t="shared" si="244"/>
        <v>5951021103</v>
      </c>
      <c r="J1637" s="991" t="s">
        <v>11369</v>
      </c>
      <c r="K1637" s="890">
        <v>38050</v>
      </c>
      <c r="L1637" s="890">
        <v>3</v>
      </c>
      <c r="M1637" s="890">
        <v>868</v>
      </c>
      <c r="N1637" s="886"/>
      <c r="O1637" s="886"/>
      <c r="P1637" s="886"/>
      <c r="Q1637" s="1165">
        <f t="shared" si="248"/>
        <v>132</v>
      </c>
      <c r="R1637" s="882"/>
      <c r="S1637" s="1287">
        <f>S1635</f>
        <v>12.6</v>
      </c>
      <c r="T1637" s="1254">
        <f t="shared" si="249"/>
        <v>17</v>
      </c>
      <c r="U1637" s="996"/>
      <c r="V1637" s="996"/>
      <c r="W1637" s="992"/>
    </row>
    <row r="1638" spans="3:23" ht="14.5" customHeight="1">
      <c r="C1638" s="987"/>
      <c r="E1638" s="1092"/>
      <c r="F1638" s="988"/>
      <c r="G1638" s="1095" t="str">
        <f t="shared" si="243"/>
        <v>5951021</v>
      </c>
      <c r="H1638" s="1016" t="s">
        <v>5602</v>
      </c>
      <c r="I1638" s="944" t="str">
        <f t="shared" si="244"/>
        <v>5951021201</v>
      </c>
      <c r="J1638" s="991" t="s">
        <v>11370</v>
      </c>
      <c r="K1638" s="890">
        <v>308993.59999999998</v>
      </c>
      <c r="L1638" s="890">
        <v>189</v>
      </c>
      <c r="M1638" s="890">
        <v>10754</v>
      </c>
      <c r="N1638" s="886"/>
      <c r="O1638" s="886"/>
      <c r="P1638" s="886"/>
      <c r="Q1638" s="1165">
        <f t="shared" si="248"/>
        <v>5431</v>
      </c>
      <c r="R1638" s="882"/>
      <c r="S1638" s="1269"/>
      <c r="T1638" s="1254"/>
      <c r="U1638" s="996"/>
      <c r="V1638" s="996"/>
      <c r="W1638" s="992"/>
    </row>
    <row r="1639" spans="3:23" ht="14.5" customHeight="1">
      <c r="C1639" s="998"/>
      <c r="D1639" s="999"/>
      <c r="E1639" s="1093"/>
      <c r="F1639" s="999"/>
      <c r="G1639" s="1104" t="str">
        <f t="shared" si="243"/>
        <v>5951021</v>
      </c>
      <c r="H1639" s="1005" t="s">
        <v>5844</v>
      </c>
      <c r="I1639" s="1002" t="str">
        <f t="shared" si="244"/>
        <v>5951021202</v>
      </c>
      <c r="J1639" s="978" t="s">
        <v>11371</v>
      </c>
      <c r="K1639" s="895">
        <v>13196.8</v>
      </c>
      <c r="L1639" s="895">
        <v>141</v>
      </c>
      <c r="M1639" s="895">
        <v>379</v>
      </c>
      <c r="N1639" s="893"/>
      <c r="O1639" s="893"/>
      <c r="P1639" s="893"/>
      <c r="Q1639" s="1173">
        <f t="shared" si="248"/>
        <v>4910</v>
      </c>
      <c r="R1639" s="900"/>
      <c r="S1639" s="1272"/>
      <c r="T1639" s="900"/>
      <c r="U1639" s="1006"/>
      <c r="V1639" s="1006"/>
      <c r="W1639" s="1003"/>
    </row>
    <row r="1640" spans="3:23" ht="14.5" customHeight="1">
      <c r="C1640" s="994" t="s">
        <v>7393</v>
      </c>
      <c r="D1640" s="988" t="str">
        <f t="shared" ref="D1640" si="250">IF(C1640="","",CONCATENATE(LEFT(C1640,4),MID(C1640,6,2)))</f>
        <v>595103</v>
      </c>
      <c r="E1640" s="1092" t="s">
        <v>7394</v>
      </c>
      <c r="F1640" s="988" t="str">
        <f t="shared" ref="F1640" si="251">IF(E1640="","",CONCATENATE(LEFT(E1640,4),MID(E1640,6,3)))</f>
        <v>5951031</v>
      </c>
      <c r="G1640" s="1095" t="str">
        <f t="shared" si="243"/>
        <v>5951031</v>
      </c>
      <c r="I1640" s="944" t="str">
        <f t="shared" si="244"/>
        <v/>
      </c>
      <c r="J1640" s="990" t="s">
        <v>7395</v>
      </c>
      <c r="K1640" s="886"/>
      <c r="L1640" s="886"/>
      <c r="M1640" s="886"/>
      <c r="N1640" s="886"/>
      <c r="O1640" s="886"/>
      <c r="P1640" s="896">
        <f>Q1640</f>
        <v>13918</v>
      </c>
      <c r="Q1640" s="1201">
        <f>SUM(Q1641:Q1649)</f>
        <v>13918</v>
      </c>
      <c r="R1640" s="882"/>
      <c r="S1640" s="1269"/>
      <c r="T1640" s="1254"/>
      <c r="U1640" s="996" t="s">
        <v>11126</v>
      </c>
      <c r="V1640" s="996"/>
      <c r="W1640" s="992" t="s">
        <v>11372</v>
      </c>
    </row>
    <row r="1641" spans="3:23" ht="14.5" customHeight="1">
      <c r="C1641" s="987"/>
      <c r="E1641" s="1092"/>
      <c r="F1641" s="988"/>
      <c r="G1641" s="1095" t="str">
        <f t="shared" si="243"/>
        <v>5951031</v>
      </c>
      <c r="H1641" s="1016" t="s">
        <v>575</v>
      </c>
      <c r="I1641" s="944" t="str">
        <f t="shared" si="244"/>
        <v>5951031101</v>
      </c>
      <c r="J1641" s="991" t="s">
        <v>11373</v>
      </c>
      <c r="K1641" s="890">
        <v>263562.90000000002</v>
      </c>
      <c r="L1641" s="890">
        <v>49</v>
      </c>
      <c r="M1641" s="890">
        <v>7758</v>
      </c>
      <c r="N1641" s="886"/>
      <c r="O1641" s="886"/>
      <c r="P1641" s="886"/>
      <c r="Q1641" s="1162">
        <f>ROUND(K1641*L1641/M1641,0)</f>
        <v>1665</v>
      </c>
      <c r="R1641" s="882"/>
      <c r="S1641" s="1287">
        <f>'CT2015'!K1553</f>
        <v>8.1</v>
      </c>
      <c r="T1641" s="1254">
        <f>ROUND(Q1641*S1641/100,0)</f>
        <v>135</v>
      </c>
      <c r="U1641" s="996"/>
      <c r="V1641" s="996"/>
      <c r="W1641" s="992"/>
    </row>
    <row r="1642" spans="3:23" ht="14.5" customHeight="1">
      <c r="C1642" s="987"/>
      <c r="E1642" s="1092"/>
      <c r="F1642" s="988"/>
      <c r="G1642" s="1095" t="str">
        <f t="shared" si="243"/>
        <v>5951031</v>
      </c>
      <c r="H1642" s="1016" t="s">
        <v>6000</v>
      </c>
      <c r="I1642" s="944" t="str">
        <f t="shared" si="244"/>
        <v>5951031102</v>
      </c>
      <c r="J1642" s="991" t="s">
        <v>11374</v>
      </c>
      <c r="K1642" s="890">
        <v>17889.400000000001</v>
      </c>
      <c r="L1642" s="890">
        <v>0</v>
      </c>
      <c r="M1642" s="890">
        <v>375</v>
      </c>
      <c r="N1642" s="886"/>
      <c r="O1642" s="886"/>
      <c r="P1642" s="886"/>
      <c r="Q1642" s="1162">
        <f t="shared" ref="Q1642:Q1649" si="252">ROUND(K1642*L1642/M1642,0)</f>
        <v>0</v>
      </c>
      <c r="R1642" s="882"/>
      <c r="S1642" s="1287">
        <f>S1641</f>
        <v>8.1</v>
      </c>
      <c r="T1642" s="1254">
        <f t="shared" ref="T1642:T1645" si="253">ROUND(Q1642*S1642/100,0)</f>
        <v>0</v>
      </c>
      <c r="U1642" s="996"/>
      <c r="V1642" s="996"/>
      <c r="W1642" s="992"/>
    </row>
    <row r="1643" spans="3:23" ht="14.5" customHeight="1">
      <c r="C1643" s="987"/>
      <c r="E1643" s="1092"/>
      <c r="F1643" s="988"/>
      <c r="G1643" s="1095" t="str">
        <f t="shared" si="243"/>
        <v>5951031</v>
      </c>
      <c r="H1643" s="1016" t="s">
        <v>6002</v>
      </c>
      <c r="I1643" s="944" t="str">
        <f t="shared" si="244"/>
        <v>5951031103</v>
      </c>
      <c r="J1643" s="991" t="s">
        <v>11375</v>
      </c>
      <c r="K1643" s="890">
        <v>1121475.3999999999</v>
      </c>
      <c r="L1643" s="890">
        <v>234</v>
      </c>
      <c r="M1643" s="890">
        <v>30337</v>
      </c>
      <c r="N1643" s="886"/>
      <c r="O1643" s="886"/>
      <c r="P1643" s="886"/>
      <c r="Q1643" s="1162">
        <f t="shared" si="252"/>
        <v>8650</v>
      </c>
      <c r="R1643" s="882"/>
      <c r="S1643" s="1287">
        <f>S1641</f>
        <v>8.1</v>
      </c>
      <c r="T1643" s="1254">
        <f t="shared" si="253"/>
        <v>701</v>
      </c>
      <c r="U1643" s="996"/>
      <c r="V1643" s="996"/>
      <c r="W1643" s="992"/>
    </row>
    <row r="1644" spans="3:23" ht="14.5" customHeight="1">
      <c r="C1644" s="987"/>
      <c r="E1644" s="1092"/>
      <c r="F1644" s="988"/>
      <c r="G1644" s="1095" t="str">
        <f t="shared" si="243"/>
        <v>5951031</v>
      </c>
      <c r="H1644" s="1016" t="s">
        <v>6146</v>
      </c>
      <c r="I1644" s="944" t="str">
        <f t="shared" si="244"/>
        <v>5951031104</v>
      </c>
      <c r="J1644" s="991" t="s">
        <v>11376</v>
      </c>
      <c r="K1644" s="890">
        <v>313367.2</v>
      </c>
      <c r="L1644" s="890">
        <v>5</v>
      </c>
      <c r="M1644" s="890">
        <v>3481</v>
      </c>
      <c r="N1644" s="886"/>
      <c r="O1644" s="886"/>
      <c r="P1644" s="886"/>
      <c r="Q1644" s="1162">
        <f t="shared" si="252"/>
        <v>450</v>
      </c>
      <c r="R1644" s="882"/>
      <c r="S1644" s="1287">
        <f>S1641</f>
        <v>8.1</v>
      </c>
      <c r="T1644" s="1254">
        <f t="shared" si="253"/>
        <v>36</v>
      </c>
      <c r="U1644" s="996"/>
      <c r="V1644" s="996"/>
      <c r="W1644" s="992"/>
    </row>
    <row r="1645" spans="3:23" ht="14.5" customHeight="1">
      <c r="C1645" s="987"/>
      <c r="E1645" s="1092"/>
      <c r="F1645" s="988"/>
      <c r="G1645" s="1095" t="str">
        <f t="shared" si="243"/>
        <v>5951031</v>
      </c>
      <c r="H1645" s="1016" t="s">
        <v>6148</v>
      </c>
      <c r="I1645" s="944" t="str">
        <f t="shared" si="244"/>
        <v>5951031105</v>
      </c>
      <c r="J1645" s="991" t="s">
        <v>11377</v>
      </c>
      <c r="K1645" s="890">
        <v>25402</v>
      </c>
      <c r="L1645" s="890">
        <v>6</v>
      </c>
      <c r="M1645" s="890">
        <v>1481</v>
      </c>
      <c r="N1645" s="886"/>
      <c r="O1645" s="886"/>
      <c r="P1645" s="886"/>
      <c r="Q1645" s="1162">
        <f t="shared" si="252"/>
        <v>103</v>
      </c>
      <c r="R1645" s="882"/>
      <c r="S1645" s="1287">
        <f>S1641</f>
        <v>8.1</v>
      </c>
      <c r="T1645" s="1254">
        <f t="shared" si="253"/>
        <v>8</v>
      </c>
      <c r="U1645" s="996"/>
      <c r="V1645" s="996"/>
      <c r="W1645" s="992"/>
    </row>
    <row r="1646" spans="3:23" ht="14.5" customHeight="1">
      <c r="C1646" s="987"/>
      <c r="E1646" s="1092"/>
      <c r="F1646" s="988"/>
      <c r="G1646" s="1095" t="str">
        <f t="shared" si="243"/>
        <v>5951031</v>
      </c>
      <c r="H1646" s="1016" t="s">
        <v>5602</v>
      </c>
      <c r="I1646" s="944" t="str">
        <f t="shared" si="244"/>
        <v>5951031201</v>
      </c>
      <c r="J1646" s="991" t="s">
        <v>11378</v>
      </c>
      <c r="K1646" s="890">
        <v>86616.7</v>
      </c>
      <c r="L1646" s="890">
        <v>30</v>
      </c>
      <c r="M1646" s="890">
        <v>3739</v>
      </c>
      <c r="N1646" s="886"/>
      <c r="O1646" s="886"/>
      <c r="P1646" s="886"/>
      <c r="Q1646" s="1162">
        <f t="shared" si="252"/>
        <v>695</v>
      </c>
      <c r="R1646" s="882"/>
      <c r="S1646" s="1269"/>
      <c r="T1646" s="1254"/>
      <c r="U1646" s="996"/>
      <c r="V1646" s="996"/>
      <c r="W1646" s="992"/>
    </row>
    <row r="1647" spans="3:23" ht="14.5" customHeight="1">
      <c r="C1647" s="987"/>
      <c r="E1647" s="1092"/>
      <c r="F1647" s="988"/>
      <c r="G1647" s="1095" t="str">
        <f t="shared" si="243"/>
        <v>5951031</v>
      </c>
      <c r="H1647" s="1016" t="s">
        <v>5844</v>
      </c>
      <c r="I1647" s="944" t="str">
        <f t="shared" si="244"/>
        <v>5951031202</v>
      </c>
      <c r="J1647" s="991" t="s">
        <v>11379</v>
      </c>
      <c r="K1647" s="890">
        <v>16631.8</v>
      </c>
      <c r="L1647" s="890">
        <v>2</v>
      </c>
      <c r="M1647" s="890">
        <v>373</v>
      </c>
      <c r="N1647" s="886"/>
      <c r="O1647" s="886"/>
      <c r="P1647" s="886"/>
      <c r="Q1647" s="1162">
        <f t="shared" si="252"/>
        <v>89</v>
      </c>
      <c r="R1647" s="882"/>
      <c r="S1647" s="1269"/>
      <c r="T1647" s="1254"/>
      <c r="U1647" s="996"/>
      <c r="V1647" s="996"/>
      <c r="W1647" s="992"/>
    </row>
    <row r="1648" spans="3:23" ht="14.5" customHeight="1">
      <c r="C1648" s="987"/>
      <c r="E1648" s="1092"/>
      <c r="F1648" s="988"/>
      <c r="G1648" s="1095" t="str">
        <f t="shared" si="243"/>
        <v>5951031</v>
      </c>
      <c r="H1648" s="1016" t="s">
        <v>7571</v>
      </c>
      <c r="I1648" s="944" t="str">
        <f t="shared" si="244"/>
        <v>5951031203</v>
      </c>
      <c r="J1648" s="991" t="s">
        <v>11380</v>
      </c>
      <c r="K1648" s="890">
        <v>59654.2</v>
      </c>
      <c r="L1648" s="890">
        <v>37</v>
      </c>
      <c r="M1648" s="890">
        <v>4102</v>
      </c>
      <c r="N1648" s="886"/>
      <c r="O1648" s="886"/>
      <c r="P1648" s="886"/>
      <c r="Q1648" s="1162">
        <f t="shared" si="252"/>
        <v>538</v>
      </c>
      <c r="R1648" s="882"/>
      <c r="S1648" s="1269"/>
      <c r="T1648" s="1254"/>
      <c r="U1648" s="996"/>
      <c r="V1648" s="996"/>
      <c r="W1648" s="992"/>
    </row>
    <row r="1649" spans="1:23" ht="14.5" customHeight="1">
      <c r="C1649" s="987"/>
      <c r="E1649" s="1092"/>
      <c r="F1649" s="988"/>
      <c r="G1649" s="1095" t="str">
        <f t="shared" si="243"/>
        <v>5951031</v>
      </c>
      <c r="H1649" s="1016" t="s">
        <v>5484</v>
      </c>
      <c r="I1649" s="944" t="str">
        <f t="shared" si="244"/>
        <v>5951031301</v>
      </c>
      <c r="J1649" s="991" t="s">
        <v>11381</v>
      </c>
      <c r="K1649" s="890">
        <v>272473.09999999998</v>
      </c>
      <c r="L1649" s="873">
        <f>SUM(Q1643:Q1644)</f>
        <v>9100</v>
      </c>
      <c r="M1649" s="873">
        <f>SUM(K1643:K1644)</f>
        <v>1434842.5999999999</v>
      </c>
      <c r="N1649" s="886"/>
      <c r="O1649" s="886"/>
      <c r="P1649" s="886"/>
      <c r="Q1649" s="1162">
        <f t="shared" si="252"/>
        <v>1728</v>
      </c>
      <c r="R1649" s="882"/>
      <c r="S1649" s="1269"/>
      <c r="T1649" s="1254"/>
      <c r="U1649" s="996"/>
      <c r="V1649" s="996"/>
      <c r="W1649" s="992" t="s">
        <v>11382</v>
      </c>
    </row>
    <row r="1650" spans="1:23" ht="14.5" customHeight="1">
      <c r="A1650" s="1034"/>
      <c r="C1650" s="1023" t="s">
        <v>7399</v>
      </c>
      <c r="D1650" s="1024" t="str">
        <f t="shared" ref="D1650:D1655" si="254">IF(C1650="","",CONCATENATE(LEFT(C1650,4),MID(C1650,6,2)))</f>
        <v>611101</v>
      </c>
      <c r="E1650" s="1025" t="s">
        <v>7400</v>
      </c>
      <c r="F1650" s="1024" t="str">
        <f t="shared" ref="F1650:F1655" si="255">IF(E1650="","",CONCATENATE(LEFT(E1650,4),MID(E1650,6,3)))</f>
        <v>6111011</v>
      </c>
      <c r="G1650" s="1111" t="str">
        <f>IF(F1650="",G1579,F1650)</f>
        <v>6111011</v>
      </c>
      <c r="H1650" s="1112" t="s">
        <v>36</v>
      </c>
      <c r="I1650" s="1113" t="str">
        <f t="shared" si="244"/>
        <v>6111011001</v>
      </c>
      <c r="J1650" s="1026" t="s">
        <v>722</v>
      </c>
      <c r="K1650" s="930">
        <v>15410954</v>
      </c>
      <c r="L1650" s="930">
        <v>15421</v>
      </c>
      <c r="M1650" s="930">
        <v>582326</v>
      </c>
      <c r="N1650" s="912"/>
      <c r="O1650" s="912"/>
      <c r="P1650" s="914">
        <f>Q1650</f>
        <v>408109</v>
      </c>
      <c r="Q1650" s="1198">
        <f>ROUND(K1650*L1650/M1650,0)</f>
        <v>408109</v>
      </c>
      <c r="R1650" s="929"/>
      <c r="S1650" s="1280"/>
      <c r="T1650" s="929"/>
      <c r="U1650" s="1022" t="s">
        <v>11383</v>
      </c>
      <c r="V1650" s="1022"/>
      <c r="W1650" s="1027" t="s">
        <v>11384</v>
      </c>
    </row>
    <row r="1651" spans="1:23" ht="14.5" customHeight="1">
      <c r="A1651" s="1034"/>
      <c r="C1651" s="1023" t="s">
        <v>7401</v>
      </c>
      <c r="D1651" s="1024" t="str">
        <f t="shared" si="254"/>
        <v>611201</v>
      </c>
      <c r="E1651" s="1025" t="s">
        <v>7402</v>
      </c>
      <c r="F1651" s="1024" t="str">
        <f t="shared" si="255"/>
        <v>6112011</v>
      </c>
      <c r="G1651" s="1111" t="str">
        <f t="shared" ref="G1651:G1656" si="256">IF(F1651="",G1650,F1651)</f>
        <v>6112011</v>
      </c>
      <c r="H1651" s="1112" t="s">
        <v>36</v>
      </c>
      <c r="I1651" s="1113" t="str">
        <f t="shared" si="244"/>
        <v>6112011001</v>
      </c>
      <c r="J1651" s="1026" t="s">
        <v>725</v>
      </c>
      <c r="K1651" s="930">
        <v>27215848</v>
      </c>
      <c r="L1651" s="930">
        <v>1011375504</v>
      </c>
      <c r="M1651" s="930">
        <v>26709643062</v>
      </c>
      <c r="N1651" s="912"/>
      <c r="O1651" s="912"/>
      <c r="P1651" s="914">
        <f>Q1651</f>
        <v>1030543</v>
      </c>
      <c r="Q1651" s="1198">
        <f>ROUND(K1651*L1651/M1651,0)</f>
        <v>1030543</v>
      </c>
      <c r="R1651" s="929"/>
      <c r="S1651" s="1289">
        <f>'CT2015'!K1558</f>
        <v>0.11623976221143337</v>
      </c>
      <c r="T1651" s="929">
        <f>ROUND(Q1651*S1651/100,0)</f>
        <v>1198</v>
      </c>
      <c r="U1651" s="1022" t="s">
        <v>11385</v>
      </c>
      <c r="V1651" s="1022"/>
      <c r="W1651" s="1027" t="s">
        <v>11386</v>
      </c>
    </row>
    <row r="1652" spans="1:23" ht="14.5" customHeight="1">
      <c r="A1652" s="1034"/>
      <c r="C1652" s="994" t="s">
        <v>7403</v>
      </c>
      <c r="D1652" s="988" t="str">
        <f t="shared" si="254"/>
        <v>631101</v>
      </c>
      <c r="E1652" s="989" t="s">
        <v>7404</v>
      </c>
      <c r="F1652" s="988" t="str">
        <f t="shared" si="255"/>
        <v>6311011</v>
      </c>
      <c r="G1652" s="1095" t="str">
        <f t="shared" si="256"/>
        <v>6311011</v>
      </c>
      <c r="I1652" s="944" t="str">
        <f t="shared" si="244"/>
        <v/>
      </c>
      <c r="J1652" s="990" t="s">
        <v>727</v>
      </c>
      <c r="K1652" s="886"/>
      <c r="L1652" s="886"/>
      <c r="M1652" s="886"/>
      <c r="N1652" s="886"/>
      <c r="O1652" s="886"/>
      <c r="P1652" s="896">
        <f>Q1652</f>
        <v>659825</v>
      </c>
      <c r="Q1652" s="1171">
        <f>SUM(Q1653:Q1665)</f>
        <v>659825</v>
      </c>
      <c r="R1652" s="882"/>
      <c r="S1652" s="1269"/>
      <c r="T1652" s="1254"/>
      <c r="U1652" s="996"/>
      <c r="V1652" s="996"/>
      <c r="W1652" s="992" t="s">
        <v>11387</v>
      </c>
    </row>
    <row r="1653" spans="1:23" ht="14.5" customHeight="1">
      <c r="A1653" s="1034"/>
      <c r="C1653" s="987"/>
      <c r="D1653" s="988" t="str">
        <f t="shared" si="254"/>
        <v/>
      </c>
      <c r="F1653" s="988" t="str">
        <f t="shared" si="255"/>
        <v/>
      </c>
      <c r="G1653" s="1095" t="str">
        <f t="shared" si="256"/>
        <v>6311011</v>
      </c>
      <c r="H1653" s="1016" t="s">
        <v>575</v>
      </c>
      <c r="I1653" s="944" t="str">
        <f t="shared" si="244"/>
        <v>6311011101</v>
      </c>
      <c r="J1653" s="991" t="s">
        <v>7405</v>
      </c>
      <c r="K1653" s="890">
        <v>166944</v>
      </c>
      <c r="L1653" s="890">
        <f>45514-32273</f>
        <v>13241</v>
      </c>
      <c r="M1653" s="890">
        <f>1078496-927896</f>
        <v>150600</v>
      </c>
      <c r="N1653" s="886"/>
      <c r="O1653" s="886"/>
      <c r="P1653" s="886"/>
      <c r="Q1653" s="1162">
        <f>ROUND(K1653*L1653/M1653,0)</f>
        <v>14678</v>
      </c>
      <c r="R1653" s="882"/>
      <c r="S1653" s="1269"/>
      <c r="T1653" s="1254"/>
      <c r="U1653" s="996" t="s">
        <v>11388</v>
      </c>
      <c r="V1653" s="996"/>
      <c r="W1653" s="992"/>
    </row>
    <row r="1654" spans="1:23" ht="14.5" customHeight="1">
      <c r="A1654" s="1034"/>
      <c r="C1654" s="987"/>
      <c r="D1654" s="988" t="str">
        <f t="shared" si="254"/>
        <v/>
      </c>
      <c r="F1654" s="988" t="str">
        <f t="shared" si="255"/>
        <v/>
      </c>
      <c r="G1654" s="1095" t="str">
        <f t="shared" si="256"/>
        <v>6311011</v>
      </c>
      <c r="H1654" s="1016" t="s">
        <v>5383</v>
      </c>
      <c r="I1654" s="944" t="str">
        <f t="shared" si="244"/>
        <v>6311011201</v>
      </c>
      <c r="J1654" s="991" t="s">
        <v>7406</v>
      </c>
      <c r="K1654" s="890">
        <v>5400835</v>
      </c>
      <c r="L1654" s="890">
        <f>282758-3387</f>
        <v>279371</v>
      </c>
      <c r="M1654" s="890">
        <f>6300693-78926</f>
        <v>6221767</v>
      </c>
      <c r="N1654" s="886"/>
      <c r="O1654" s="886"/>
      <c r="P1654" s="886"/>
      <c r="Q1654" s="1162">
        <f>ROUND(K1654*L1654/M1654,0)</f>
        <v>242509</v>
      </c>
      <c r="R1654" s="882"/>
      <c r="S1654" s="1287">
        <f>'CT2015'!K1561</f>
        <v>10.1</v>
      </c>
      <c r="T1654" s="1254">
        <f>ROUND(Q1654*S1654/100,0)</f>
        <v>24493</v>
      </c>
      <c r="U1654" s="996" t="s">
        <v>10106</v>
      </c>
      <c r="V1654" s="996" t="s">
        <v>10129</v>
      </c>
      <c r="W1654" s="992"/>
    </row>
    <row r="1655" spans="1:23" ht="14.5" customHeight="1">
      <c r="A1655" s="1034"/>
      <c r="C1655" s="987"/>
      <c r="D1655" s="988" t="str">
        <f t="shared" si="254"/>
        <v/>
      </c>
      <c r="F1655" s="988" t="str">
        <f t="shared" si="255"/>
        <v/>
      </c>
      <c r="G1655" s="1095" t="str">
        <f t="shared" si="256"/>
        <v>6311011</v>
      </c>
      <c r="H1655" s="1016" t="s">
        <v>5421</v>
      </c>
      <c r="I1655" s="944" t="str">
        <f t="shared" si="244"/>
        <v>6311011301</v>
      </c>
      <c r="J1655" s="991" t="s">
        <v>7407</v>
      </c>
      <c r="K1655" s="890">
        <v>3071146</v>
      </c>
      <c r="L1655" s="890">
        <f>142012-12269</f>
        <v>129743</v>
      </c>
      <c r="M1655" s="890">
        <f>3211219-242095</f>
        <v>2969124</v>
      </c>
      <c r="N1655" s="886"/>
      <c r="O1655" s="886"/>
      <c r="P1655" s="886"/>
      <c r="Q1655" s="1162">
        <f>ROUND(K1655*L1655/M1655,0)</f>
        <v>134201</v>
      </c>
      <c r="R1655" s="882"/>
      <c r="S1655" s="1287">
        <f>'CT2015'!K1562</f>
        <v>9.1999999999999993</v>
      </c>
      <c r="T1655" s="1254">
        <f t="shared" ref="T1655:T1662" si="257">ROUND(Q1655*S1655/100,0)</f>
        <v>12346</v>
      </c>
      <c r="U1655" s="996" t="s">
        <v>10106</v>
      </c>
      <c r="V1655" s="996" t="s">
        <v>10129</v>
      </c>
      <c r="W1655" s="992"/>
    </row>
    <row r="1656" spans="1:23" ht="14.5" customHeight="1">
      <c r="A1656" s="1034"/>
      <c r="C1656" s="987"/>
      <c r="F1656" s="988"/>
      <c r="G1656" s="1095" t="str">
        <f t="shared" si="256"/>
        <v>6311011</v>
      </c>
      <c r="H1656" s="1016" t="s">
        <v>6047</v>
      </c>
      <c r="I1656" s="944" t="str">
        <f>IF(H1656="","",CONCATENATE(G1656,H1656))</f>
        <v>6311011302</v>
      </c>
      <c r="J1656" s="991" t="s">
        <v>11389</v>
      </c>
      <c r="K1656" s="890">
        <v>57969</v>
      </c>
      <c r="L1656" s="890">
        <v>3666</v>
      </c>
      <c r="M1656" s="890">
        <v>49677</v>
      </c>
      <c r="N1656" s="886"/>
      <c r="O1656" s="886"/>
      <c r="P1656" s="886"/>
      <c r="Q1656" s="1162">
        <f>ROUND(K1656*L1656/M1656,0)</f>
        <v>4278</v>
      </c>
      <c r="R1656" s="882"/>
      <c r="S1656" s="1287">
        <f>S1657</f>
        <v>8.9</v>
      </c>
      <c r="T1656" s="1254">
        <f t="shared" si="257"/>
        <v>381</v>
      </c>
      <c r="U1656" s="996" t="s">
        <v>10106</v>
      </c>
      <c r="V1656" s="996"/>
      <c r="W1656" s="992"/>
    </row>
    <row r="1657" spans="1:23" ht="14.5" customHeight="1">
      <c r="A1657" s="1034"/>
      <c r="C1657" s="987"/>
      <c r="F1657" s="988"/>
      <c r="G1657" s="1095" t="str">
        <f>IF(F1657="",G1655,F1657)</f>
        <v>6311011</v>
      </c>
      <c r="H1657" s="1016" t="s">
        <v>5605</v>
      </c>
      <c r="I1657" s="944" t="str">
        <f t="shared" si="244"/>
        <v>6311011401</v>
      </c>
      <c r="J1657" s="991" t="s">
        <v>7408</v>
      </c>
      <c r="K1657" s="890">
        <v>2581393</v>
      </c>
      <c r="L1657" s="890">
        <f>132810+1825+3169-(33635+0+3169)</f>
        <v>101000</v>
      </c>
      <c r="M1657" s="890">
        <f>3092064+206948-(1015093+2539+151521)</f>
        <v>2129859</v>
      </c>
      <c r="N1657" s="886"/>
      <c r="O1657" s="886"/>
      <c r="P1657" s="886"/>
      <c r="Q1657" s="1162">
        <f>ROUND(K1657*L1657/M1657,0)</f>
        <v>122412</v>
      </c>
      <c r="R1657" s="882"/>
      <c r="S1657" s="1287">
        <f>'CT2015'!K1563</f>
        <v>8.9</v>
      </c>
      <c r="T1657" s="1254">
        <f t="shared" si="257"/>
        <v>10895</v>
      </c>
      <c r="U1657" s="996" t="s">
        <v>10106</v>
      </c>
      <c r="V1657" s="996"/>
      <c r="W1657" s="992" t="s">
        <v>11390</v>
      </c>
    </row>
    <row r="1658" spans="1:23" ht="14.5" customHeight="1">
      <c r="A1658" s="1034"/>
      <c r="C1658" s="987"/>
      <c r="D1658" s="988" t="str">
        <f t="shared" ref="D1658:D1669" si="258">IF(C1658="","",CONCATENATE(LEFT(C1658,4),MID(C1658,6,2)))</f>
        <v/>
      </c>
      <c r="F1658" s="988" t="str">
        <f t="shared" ref="F1658:F1669" si="259">IF(E1658="","",CONCATENATE(LEFT(E1658,4),MID(E1658,6,3)))</f>
        <v/>
      </c>
      <c r="G1658" s="1095" t="str">
        <f>IF(F1658="",G1655,F1658)</f>
        <v>6311011</v>
      </c>
      <c r="H1658" s="1016" t="s">
        <v>7409</v>
      </c>
      <c r="I1658" s="944" t="str">
        <f t="shared" si="244"/>
        <v>6311011402</v>
      </c>
      <c r="J1658" s="991" t="s">
        <v>7410</v>
      </c>
      <c r="K1658" s="890">
        <v>23936</v>
      </c>
      <c r="L1658" s="890">
        <v>556502</v>
      </c>
      <c r="M1658" s="890">
        <v>21398075.75</v>
      </c>
      <c r="N1658" s="886"/>
      <c r="O1658" s="886"/>
      <c r="P1658" s="886"/>
      <c r="Q1658" s="1162">
        <f t="shared" ref="Q1658:Q1663" si="260">ROUND(K1658*L1658/M1658,0)</f>
        <v>623</v>
      </c>
      <c r="R1658" s="882"/>
      <c r="S1658" s="1287">
        <f>'CT2015'!K1564</f>
        <v>8.9</v>
      </c>
      <c r="T1658" s="1254">
        <f t="shared" si="257"/>
        <v>55</v>
      </c>
      <c r="U1658" s="996" t="s">
        <v>11391</v>
      </c>
      <c r="V1658" s="996"/>
      <c r="W1658" s="992" t="s">
        <v>11392</v>
      </c>
    </row>
    <row r="1659" spans="1:23" ht="14.5" customHeight="1">
      <c r="A1659" s="1034"/>
      <c r="C1659" s="987"/>
      <c r="D1659" s="988" t="str">
        <f t="shared" si="258"/>
        <v/>
      </c>
      <c r="F1659" s="988" t="str">
        <f t="shared" si="259"/>
        <v/>
      </c>
      <c r="G1659" s="1095" t="str">
        <f t="shared" ref="G1659:G1670" si="261">IF(F1659="",G1658,F1659)</f>
        <v>6311011</v>
      </c>
      <c r="H1659" s="1016" t="s">
        <v>5740</v>
      </c>
      <c r="I1659" s="944" t="str">
        <f t="shared" si="244"/>
        <v>6311011501</v>
      </c>
      <c r="J1659" s="991" t="s">
        <v>7411</v>
      </c>
      <c r="K1659" s="890">
        <v>997611</v>
      </c>
      <c r="L1659" s="890">
        <v>5830</v>
      </c>
      <c r="M1659" s="890">
        <f>144823-824</f>
        <v>143999</v>
      </c>
      <c r="N1659" s="886"/>
      <c r="O1659" s="886"/>
      <c r="P1659" s="886"/>
      <c r="Q1659" s="1162">
        <f t="shared" si="260"/>
        <v>40390</v>
      </c>
      <c r="R1659" s="882"/>
      <c r="S1659" s="1269"/>
      <c r="T1659" s="1254"/>
      <c r="U1659" s="996" t="s">
        <v>11388</v>
      </c>
      <c r="V1659" s="996" t="s">
        <v>10129</v>
      </c>
      <c r="W1659" s="992"/>
    </row>
    <row r="1660" spans="1:23" ht="14.5" customHeight="1">
      <c r="A1660" s="1034"/>
      <c r="C1660" s="987"/>
      <c r="D1660" s="988" t="str">
        <f t="shared" si="258"/>
        <v/>
      </c>
      <c r="F1660" s="988" t="str">
        <f t="shared" si="259"/>
        <v/>
      </c>
      <c r="G1660" s="1095" t="str">
        <f t="shared" si="261"/>
        <v>6311011</v>
      </c>
      <c r="H1660" s="1016" t="s">
        <v>5746</v>
      </c>
      <c r="I1660" s="944" t="str">
        <f t="shared" si="244"/>
        <v>6311011601</v>
      </c>
      <c r="J1660" s="991" t="s">
        <v>7412</v>
      </c>
      <c r="K1660" s="890">
        <v>2380890</v>
      </c>
      <c r="L1660" s="890">
        <f>126730-99515</f>
        <v>27215</v>
      </c>
      <c r="M1660" s="890">
        <f>2915605-2158145</f>
        <v>757460</v>
      </c>
      <c r="N1660" s="886"/>
      <c r="O1660" s="886"/>
      <c r="P1660" s="886"/>
      <c r="Q1660" s="1162">
        <f t="shared" si="260"/>
        <v>85544</v>
      </c>
      <c r="R1660" s="882"/>
      <c r="S1660" s="1287">
        <f>'CT2015'!K1566</f>
        <v>5.7</v>
      </c>
      <c r="T1660" s="1254">
        <f t="shared" si="257"/>
        <v>4876</v>
      </c>
      <c r="U1660" s="996" t="s">
        <v>10106</v>
      </c>
      <c r="V1660" s="996" t="s">
        <v>11393</v>
      </c>
      <c r="W1660" s="992"/>
    </row>
    <row r="1661" spans="1:23" ht="14.5" customHeight="1">
      <c r="A1661" s="1034"/>
      <c r="C1661" s="987"/>
      <c r="D1661" s="988" t="str">
        <f t="shared" si="258"/>
        <v/>
      </c>
      <c r="F1661" s="988" t="str">
        <f t="shared" si="259"/>
        <v/>
      </c>
      <c r="G1661" s="1095" t="str">
        <f t="shared" si="261"/>
        <v>6311011</v>
      </c>
      <c r="H1661" s="1016" t="s">
        <v>6052</v>
      </c>
      <c r="I1661" s="944" t="str">
        <f t="shared" si="244"/>
        <v>6311011602</v>
      </c>
      <c r="J1661" s="991" t="s">
        <v>7413</v>
      </c>
      <c r="K1661" s="890">
        <v>18982</v>
      </c>
      <c r="L1661" s="873"/>
      <c r="M1661" s="873"/>
      <c r="N1661" s="886"/>
      <c r="O1661" s="886"/>
      <c r="P1661" s="886"/>
      <c r="Q1661" s="1167">
        <v>0</v>
      </c>
      <c r="R1661" s="882"/>
      <c r="S1661" s="1287">
        <f>'CT2015'!K1567</f>
        <v>5.7</v>
      </c>
      <c r="T1661" s="1254">
        <f t="shared" si="257"/>
        <v>0</v>
      </c>
      <c r="U1661" s="996" t="s">
        <v>10106</v>
      </c>
      <c r="V1661" s="996" t="s">
        <v>10129</v>
      </c>
      <c r="W1661" s="992" t="s">
        <v>11394</v>
      </c>
    </row>
    <row r="1662" spans="1:23" ht="14.5" customHeight="1">
      <c r="A1662" s="1034"/>
      <c r="C1662" s="987"/>
      <c r="D1662" s="988" t="str">
        <f t="shared" si="258"/>
        <v/>
      </c>
      <c r="F1662" s="988" t="str">
        <f t="shared" si="259"/>
        <v/>
      </c>
      <c r="G1662" s="1095" t="str">
        <f t="shared" si="261"/>
        <v>6311011</v>
      </c>
      <c r="H1662" s="1016" t="s">
        <v>6054</v>
      </c>
      <c r="I1662" s="944" t="str">
        <f t="shared" si="244"/>
        <v>6311011603</v>
      </c>
      <c r="J1662" s="991" t="s">
        <v>7414</v>
      </c>
      <c r="K1662" s="890">
        <v>64613</v>
      </c>
      <c r="L1662" s="890">
        <v>2164</v>
      </c>
      <c r="M1662" s="890">
        <f>56974-1957</f>
        <v>55017</v>
      </c>
      <c r="N1662" s="886"/>
      <c r="O1662" s="886"/>
      <c r="P1662" s="886"/>
      <c r="Q1662" s="1162">
        <f t="shared" si="260"/>
        <v>2541</v>
      </c>
      <c r="R1662" s="882"/>
      <c r="S1662" s="1287">
        <f>'CT2015'!K1568</f>
        <v>5.7</v>
      </c>
      <c r="T1662" s="1254">
        <f t="shared" si="257"/>
        <v>145</v>
      </c>
      <c r="U1662" s="996" t="s">
        <v>10106</v>
      </c>
      <c r="V1662" s="996" t="s">
        <v>10129</v>
      </c>
      <c r="W1662" s="992"/>
    </row>
    <row r="1663" spans="1:23" ht="14.5" customHeight="1">
      <c r="A1663" s="1034"/>
      <c r="C1663" s="987"/>
      <c r="D1663" s="988" t="str">
        <f t="shared" si="258"/>
        <v/>
      </c>
      <c r="F1663" s="988" t="str">
        <f t="shared" si="259"/>
        <v/>
      </c>
      <c r="G1663" s="1095" t="str">
        <f t="shared" si="261"/>
        <v>6311011</v>
      </c>
      <c r="H1663" s="1016" t="s">
        <v>5756</v>
      </c>
      <c r="I1663" s="944" t="str">
        <f t="shared" si="244"/>
        <v>6311011701</v>
      </c>
      <c r="J1663" s="991" t="s">
        <v>7415</v>
      </c>
      <c r="K1663" s="890">
        <v>46551</v>
      </c>
      <c r="L1663" s="890">
        <f>19468-18531</f>
        <v>937</v>
      </c>
      <c r="M1663" s="890">
        <f>661174-637135</f>
        <v>24039</v>
      </c>
      <c r="N1663" s="886"/>
      <c r="O1663" s="886"/>
      <c r="P1663" s="886"/>
      <c r="Q1663" s="1162">
        <f t="shared" si="260"/>
        <v>1814</v>
      </c>
      <c r="R1663" s="882"/>
      <c r="S1663" s="1269"/>
      <c r="T1663" s="1254"/>
      <c r="U1663" s="996" t="s">
        <v>10106</v>
      </c>
      <c r="V1663" s="996" t="s">
        <v>10129</v>
      </c>
      <c r="W1663" s="992"/>
    </row>
    <row r="1664" spans="1:23" ht="14.5" customHeight="1">
      <c r="A1664" s="1034"/>
      <c r="C1664" s="987"/>
      <c r="D1664" s="988" t="str">
        <f t="shared" si="258"/>
        <v/>
      </c>
      <c r="F1664" s="988" t="str">
        <f t="shared" si="259"/>
        <v/>
      </c>
      <c r="G1664" s="1095" t="str">
        <f>IF(F1664="",G1663,F1664)</f>
        <v>6311011</v>
      </c>
      <c r="H1664" s="1016" t="s">
        <v>7416</v>
      </c>
      <c r="I1664" s="944" t="str">
        <f t="shared" si="244"/>
        <v>6311011702</v>
      </c>
      <c r="J1664" s="991" t="s">
        <v>7417</v>
      </c>
      <c r="K1664" s="890">
        <v>450</v>
      </c>
      <c r="L1664" s="873"/>
      <c r="M1664" s="873"/>
      <c r="N1664" s="886"/>
      <c r="O1664" s="886"/>
      <c r="P1664" s="886"/>
      <c r="Q1664" s="1167">
        <v>0</v>
      </c>
      <c r="R1664" s="882"/>
      <c r="S1664" s="1269"/>
      <c r="T1664" s="1254"/>
      <c r="U1664" s="996" t="s">
        <v>10106</v>
      </c>
      <c r="V1664" s="996" t="s">
        <v>10129</v>
      </c>
      <c r="W1664" s="992" t="s">
        <v>11394</v>
      </c>
    </row>
    <row r="1665" spans="1:23" ht="14.5" customHeight="1">
      <c r="A1665" s="1034"/>
      <c r="C1665" s="987"/>
      <c r="F1665" s="988"/>
      <c r="G1665" s="1095" t="str">
        <f>IF(F1665="",G1664,F1665)</f>
        <v>6311011</v>
      </c>
      <c r="H1665" s="1016" t="s">
        <v>6012</v>
      </c>
      <c r="I1665" s="944" t="str">
        <f t="shared" si="244"/>
        <v>6311011901</v>
      </c>
      <c r="J1665" s="991" t="s">
        <v>7418</v>
      </c>
      <c r="K1665" s="890">
        <v>111176</v>
      </c>
      <c r="L1665" s="890">
        <f>59924-50693</f>
        <v>9231</v>
      </c>
      <c r="M1665" s="890">
        <f>759013-664292</f>
        <v>94721</v>
      </c>
      <c r="N1665" s="886"/>
      <c r="O1665" s="886"/>
      <c r="P1665" s="886"/>
      <c r="Q1665" s="1162">
        <f>ROUND(K1665*L1665/M1665,0)</f>
        <v>10835</v>
      </c>
      <c r="R1665" s="882"/>
      <c r="S1665" s="1269"/>
      <c r="T1665" s="1254"/>
      <c r="U1665" s="996" t="s">
        <v>10106</v>
      </c>
      <c r="V1665" s="996"/>
      <c r="W1665" s="992"/>
    </row>
    <row r="1666" spans="1:23" ht="14.5" customHeight="1">
      <c r="A1666" s="1034"/>
      <c r="C1666" s="981" t="s">
        <v>7419</v>
      </c>
      <c r="D1666" s="982" t="str">
        <f t="shared" si="258"/>
        <v>631102</v>
      </c>
      <c r="E1666" s="983" t="s">
        <v>7420</v>
      </c>
      <c r="F1666" s="982" t="str">
        <f t="shared" si="259"/>
        <v>6311021</v>
      </c>
      <c r="G1666" s="1103" t="str">
        <f>IF(F1666="",G1664,F1666)</f>
        <v>6311021</v>
      </c>
      <c r="H1666" s="1102"/>
      <c r="I1666" s="947" t="str">
        <f t="shared" si="244"/>
        <v/>
      </c>
      <c r="J1666" s="984" t="s">
        <v>729</v>
      </c>
      <c r="K1666" s="889"/>
      <c r="L1666" s="889"/>
      <c r="M1666" s="889"/>
      <c r="N1666" s="889"/>
      <c r="O1666" s="889"/>
      <c r="P1666" s="881">
        <f>Q1666</f>
        <v>325688</v>
      </c>
      <c r="Q1666" s="1160">
        <f>SUM(Q1667:Q1678)</f>
        <v>325688</v>
      </c>
      <c r="R1666" s="880"/>
      <c r="S1666" s="1270"/>
      <c r="T1666" s="880"/>
      <c r="U1666" s="993"/>
      <c r="V1666" s="993"/>
      <c r="W1666" s="986" t="s">
        <v>11395</v>
      </c>
    </row>
    <row r="1667" spans="1:23" ht="14.5" customHeight="1">
      <c r="A1667" s="1034"/>
      <c r="C1667" s="987"/>
      <c r="D1667" s="988" t="str">
        <f t="shared" si="258"/>
        <v/>
      </c>
      <c r="F1667" s="988" t="str">
        <f t="shared" si="259"/>
        <v/>
      </c>
      <c r="G1667" s="1095" t="str">
        <f t="shared" si="261"/>
        <v>6311021</v>
      </c>
      <c r="H1667" s="1016" t="s">
        <v>575</v>
      </c>
      <c r="I1667" s="944" t="str">
        <f t="shared" si="244"/>
        <v>6311021101</v>
      </c>
      <c r="J1667" s="991" t="s">
        <v>7405</v>
      </c>
      <c r="K1667" s="890">
        <v>722026</v>
      </c>
      <c r="L1667" s="890">
        <v>32273</v>
      </c>
      <c r="M1667" s="890">
        <v>927896</v>
      </c>
      <c r="N1667" s="886"/>
      <c r="O1667" s="886"/>
      <c r="P1667" s="886"/>
      <c r="Q1667" s="1162">
        <f>ROUND(K1667*L1667/M1667,0)</f>
        <v>25113</v>
      </c>
      <c r="R1667" s="882"/>
      <c r="S1667" s="1269"/>
      <c r="T1667" s="1254"/>
      <c r="U1667" s="996" t="s">
        <v>11388</v>
      </c>
      <c r="V1667" s="996"/>
      <c r="W1667" s="992"/>
    </row>
    <row r="1668" spans="1:23" ht="14.5" customHeight="1">
      <c r="A1668" s="1034"/>
      <c r="B1668" s="1034"/>
      <c r="C1668" s="987"/>
      <c r="D1668" s="988" t="str">
        <f t="shared" si="258"/>
        <v/>
      </c>
      <c r="F1668" s="988" t="str">
        <f t="shared" si="259"/>
        <v/>
      </c>
      <c r="G1668" s="1095" t="str">
        <f>IF(F1668="",G1667,F1668)</f>
        <v>6311021</v>
      </c>
      <c r="H1668" s="1016" t="s">
        <v>5383</v>
      </c>
      <c r="I1668" s="944" t="str">
        <f t="shared" si="244"/>
        <v>6311021201</v>
      </c>
      <c r="J1668" s="991" t="s">
        <v>7406</v>
      </c>
      <c r="K1668" s="890">
        <v>93296</v>
      </c>
      <c r="L1668" s="890">
        <v>3387</v>
      </c>
      <c r="M1668" s="890">
        <v>78926</v>
      </c>
      <c r="N1668" s="886"/>
      <c r="O1668" s="886"/>
      <c r="P1668" s="886"/>
      <c r="Q1668" s="1162">
        <f>ROUND(K1668*L1668/M1668,0)</f>
        <v>4004</v>
      </c>
      <c r="R1668" s="882"/>
      <c r="S1668" s="1287">
        <f>'CT2015'!K1574</f>
        <v>10.1</v>
      </c>
      <c r="T1668" s="1254">
        <f t="shared" ref="T1668:T1675" si="262">ROUND(Q1668*S1668/100,0)</f>
        <v>404</v>
      </c>
      <c r="U1668" s="996" t="s">
        <v>10106</v>
      </c>
      <c r="V1668" s="996"/>
      <c r="W1668" s="991"/>
    </row>
    <row r="1669" spans="1:23" ht="14.5" customHeight="1">
      <c r="A1669" s="1034"/>
      <c r="B1669" s="1034"/>
      <c r="C1669" s="987"/>
      <c r="D1669" s="988" t="str">
        <f t="shared" si="258"/>
        <v/>
      </c>
      <c r="F1669" s="988" t="str">
        <f t="shared" si="259"/>
        <v/>
      </c>
      <c r="G1669" s="1095" t="str">
        <f t="shared" si="261"/>
        <v>6311021</v>
      </c>
      <c r="H1669" s="1016" t="s">
        <v>5421</v>
      </c>
      <c r="I1669" s="944" t="str">
        <f t="shared" si="244"/>
        <v>6311021301</v>
      </c>
      <c r="J1669" s="991" t="s">
        <v>7407</v>
      </c>
      <c r="K1669" s="890">
        <v>281011</v>
      </c>
      <c r="L1669" s="890">
        <v>12269</v>
      </c>
      <c r="M1669" s="890">
        <v>242095</v>
      </c>
      <c r="N1669" s="886"/>
      <c r="O1669" s="886"/>
      <c r="P1669" s="886"/>
      <c r="Q1669" s="1162">
        <f>ROUND(K1669*L1669/M1669,0)</f>
        <v>14241</v>
      </c>
      <c r="R1669" s="882"/>
      <c r="S1669" s="1287">
        <f>'CT2015'!K1575</f>
        <v>9.1999999999999993</v>
      </c>
      <c r="T1669" s="1254">
        <f t="shared" si="262"/>
        <v>1310</v>
      </c>
      <c r="U1669" s="996" t="s">
        <v>10106</v>
      </c>
      <c r="V1669" s="996"/>
      <c r="W1669" s="991"/>
    </row>
    <row r="1670" spans="1:23" ht="14.5" customHeight="1">
      <c r="A1670" s="1034"/>
      <c r="B1670" s="1034"/>
      <c r="C1670" s="987"/>
      <c r="F1670" s="988"/>
      <c r="G1670" s="1095" t="str">
        <f t="shared" si="261"/>
        <v>6311021</v>
      </c>
      <c r="H1670" s="1016" t="s">
        <v>5605</v>
      </c>
      <c r="I1670" s="944" t="str">
        <f t="shared" si="244"/>
        <v>6311021401</v>
      </c>
      <c r="J1670" s="991" t="s">
        <v>7408</v>
      </c>
      <c r="K1670" s="890">
        <v>1063847</v>
      </c>
      <c r="L1670" s="890">
        <f>33635+0+3169</f>
        <v>36804</v>
      </c>
      <c r="M1670" s="890">
        <f>1015093+2539+151521</f>
        <v>1169153</v>
      </c>
      <c r="N1670" s="886"/>
      <c r="O1670" s="886"/>
      <c r="P1670" s="886"/>
      <c r="Q1670" s="1162">
        <f>ROUND(K1670*L1670/M1670,0)</f>
        <v>33489</v>
      </c>
      <c r="R1670" s="882"/>
      <c r="S1670" s="1287">
        <f>'CT2015'!K1576</f>
        <v>8.9</v>
      </c>
      <c r="T1670" s="1254">
        <f t="shared" si="262"/>
        <v>2981</v>
      </c>
      <c r="U1670" s="996" t="s">
        <v>10106</v>
      </c>
      <c r="V1670" s="996"/>
      <c r="W1670" s="991"/>
    </row>
    <row r="1671" spans="1:23" ht="14.5" customHeight="1">
      <c r="A1671" s="1034"/>
      <c r="B1671" s="1034"/>
      <c r="C1671" s="987"/>
      <c r="D1671" s="988" t="str">
        <f t="shared" ref="D1671:D1707" si="263">IF(C1671="","",CONCATENATE(LEFT(C1671,4),MID(C1671,6,2)))</f>
        <v/>
      </c>
      <c r="F1671" s="988" t="str">
        <f t="shared" ref="F1671:F1707" si="264">IF(E1671="","",CONCATENATE(LEFT(E1671,4),MID(E1671,6,3)))</f>
        <v/>
      </c>
      <c r="G1671" s="1095" t="str">
        <f>IF(F1671="",G1669,F1671)</f>
        <v>6311021</v>
      </c>
      <c r="H1671" s="1016" t="s">
        <v>7409</v>
      </c>
      <c r="I1671" s="944" t="str">
        <f t="shared" si="244"/>
        <v>6311021402</v>
      </c>
      <c r="J1671" s="991" t="s">
        <v>7410</v>
      </c>
      <c r="K1671" s="890">
        <v>12073</v>
      </c>
      <c r="L1671" s="873"/>
      <c r="M1671" s="873"/>
      <c r="N1671" s="886"/>
      <c r="O1671" s="886"/>
      <c r="P1671" s="886"/>
      <c r="Q1671" s="1167">
        <v>0</v>
      </c>
      <c r="R1671" s="882"/>
      <c r="S1671" s="1287">
        <f>'CT2015'!K1577</f>
        <v>8.9</v>
      </c>
      <c r="T1671" s="1254">
        <f t="shared" si="262"/>
        <v>0</v>
      </c>
      <c r="U1671" s="996" t="s">
        <v>10106</v>
      </c>
      <c r="V1671" s="996"/>
      <c r="W1671" s="991" t="s">
        <v>11396</v>
      </c>
    </row>
    <row r="1672" spans="1:23" ht="14.5" customHeight="1">
      <c r="A1672" s="1034"/>
      <c r="B1672" s="1034"/>
      <c r="C1672" s="987"/>
      <c r="D1672" s="988" t="str">
        <f t="shared" si="263"/>
        <v/>
      </c>
      <c r="F1672" s="988" t="str">
        <f t="shared" si="264"/>
        <v/>
      </c>
      <c r="G1672" s="1095" t="str">
        <f t="shared" ref="G1672:G1713" si="265">IF(F1672="",G1671,F1672)</f>
        <v>6311021</v>
      </c>
      <c r="H1672" s="1016" t="s">
        <v>5740</v>
      </c>
      <c r="I1672" s="944" t="str">
        <f t="shared" si="244"/>
        <v>6311021501</v>
      </c>
      <c r="J1672" s="991" t="s">
        <v>7411</v>
      </c>
      <c r="K1672" s="890">
        <v>4236</v>
      </c>
      <c r="L1672" s="873"/>
      <c r="M1672" s="873"/>
      <c r="N1672" s="886"/>
      <c r="O1672" s="886"/>
      <c r="P1672" s="886"/>
      <c r="Q1672" s="1167">
        <v>0</v>
      </c>
      <c r="R1672" s="882"/>
      <c r="S1672" s="1269"/>
      <c r="T1672" s="1254"/>
      <c r="U1672" s="996" t="s">
        <v>10106</v>
      </c>
      <c r="V1672" s="996"/>
      <c r="W1672" s="991" t="s">
        <v>11396</v>
      </c>
    </row>
    <row r="1673" spans="1:23" ht="14.5" customHeight="1">
      <c r="A1673" s="1034"/>
      <c r="B1673" s="1034"/>
      <c r="C1673" s="987"/>
      <c r="D1673" s="988" t="str">
        <f t="shared" si="263"/>
        <v/>
      </c>
      <c r="F1673" s="988" t="str">
        <f t="shared" si="264"/>
        <v/>
      </c>
      <c r="G1673" s="1095" t="str">
        <f t="shared" si="265"/>
        <v>6311021</v>
      </c>
      <c r="H1673" s="1016" t="s">
        <v>5746</v>
      </c>
      <c r="I1673" s="944" t="str">
        <f t="shared" si="244"/>
        <v>6311021601</v>
      </c>
      <c r="J1673" s="991" t="s">
        <v>7412</v>
      </c>
      <c r="K1673" s="890">
        <v>3570209</v>
      </c>
      <c r="L1673" s="890">
        <v>99515</v>
      </c>
      <c r="M1673" s="890">
        <v>2158145</v>
      </c>
      <c r="N1673" s="886"/>
      <c r="O1673" s="886"/>
      <c r="P1673" s="886"/>
      <c r="Q1673" s="1162">
        <f>ROUND(K1673*L1673/M1673,0)</f>
        <v>164627</v>
      </c>
      <c r="R1673" s="882"/>
      <c r="S1673" s="1287">
        <f>'CT2015'!K1579</f>
        <v>5.7</v>
      </c>
      <c r="T1673" s="1254">
        <f t="shared" si="262"/>
        <v>9384</v>
      </c>
      <c r="U1673" s="996" t="s">
        <v>10106</v>
      </c>
      <c r="V1673" s="996"/>
      <c r="W1673" s="991"/>
    </row>
    <row r="1674" spans="1:23" ht="14.5" customHeight="1">
      <c r="A1674" s="1034"/>
      <c r="B1674" s="1034"/>
      <c r="C1674" s="987"/>
      <c r="D1674" s="988" t="str">
        <f t="shared" si="263"/>
        <v/>
      </c>
      <c r="F1674" s="988" t="str">
        <f t="shared" si="264"/>
        <v/>
      </c>
      <c r="G1674" s="1095" t="str">
        <f t="shared" si="265"/>
        <v>6311021</v>
      </c>
      <c r="H1674" s="1016" t="s">
        <v>6052</v>
      </c>
      <c r="I1674" s="944" t="str">
        <f t="shared" si="244"/>
        <v>6311021602</v>
      </c>
      <c r="J1674" s="991" t="s">
        <v>7413</v>
      </c>
      <c r="K1674" s="890">
        <v>166980</v>
      </c>
      <c r="L1674" s="890">
        <v>5914</v>
      </c>
      <c r="M1674" s="890">
        <v>102048</v>
      </c>
      <c r="N1674" s="886"/>
      <c r="O1674" s="886"/>
      <c r="P1674" s="886"/>
      <c r="Q1674" s="1162">
        <f>ROUND(K1674*L1674/M1674,0)</f>
        <v>9677</v>
      </c>
      <c r="R1674" s="882"/>
      <c r="S1674" s="1287">
        <f>'CT2015'!K1580</f>
        <v>5.7</v>
      </c>
      <c r="T1674" s="1254">
        <f t="shared" si="262"/>
        <v>552</v>
      </c>
      <c r="U1674" s="996" t="s">
        <v>10106</v>
      </c>
      <c r="V1674" s="996"/>
      <c r="W1674" s="991"/>
    </row>
    <row r="1675" spans="1:23" ht="14.5" customHeight="1">
      <c r="A1675" s="1034"/>
      <c r="B1675" s="1034"/>
      <c r="C1675" s="987"/>
      <c r="D1675" s="988" t="str">
        <f t="shared" si="263"/>
        <v/>
      </c>
      <c r="F1675" s="988" t="str">
        <f t="shared" si="264"/>
        <v/>
      </c>
      <c r="G1675" s="1095" t="str">
        <f t="shared" si="265"/>
        <v>6311021</v>
      </c>
      <c r="H1675" s="1016" t="s">
        <v>6054</v>
      </c>
      <c r="I1675" s="944" t="str">
        <f t="shared" si="244"/>
        <v>6311021603</v>
      </c>
      <c r="J1675" s="991" t="s">
        <v>7414</v>
      </c>
      <c r="K1675" s="890">
        <v>3072</v>
      </c>
      <c r="L1675" s="873"/>
      <c r="M1675" s="873"/>
      <c r="N1675" s="886"/>
      <c r="O1675" s="886"/>
      <c r="P1675" s="886"/>
      <c r="Q1675" s="1167">
        <v>0</v>
      </c>
      <c r="R1675" s="882"/>
      <c r="S1675" s="1287">
        <f>'CT2015'!K1581</f>
        <v>5.7</v>
      </c>
      <c r="T1675" s="1254">
        <f t="shared" si="262"/>
        <v>0</v>
      </c>
      <c r="U1675" s="996" t="s">
        <v>10106</v>
      </c>
      <c r="V1675" s="996"/>
      <c r="W1675" s="991" t="s">
        <v>11396</v>
      </c>
    </row>
    <row r="1676" spans="1:23" ht="14.5" customHeight="1">
      <c r="A1676" s="1034"/>
      <c r="B1676" s="1034"/>
      <c r="C1676" s="987"/>
      <c r="D1676" s="988" t="str">
        <f t="shared" si="263"/>
        <v/>
      </c>
      <c r="F1676" s="988" t="str">
        <f t="shared" si="264"/>
        <v/>
      </c>
      <c r="G1676" s="1095" t="str">
        <f t="shared" si="265"/>
        <v>6311021</v>
      </c>
      <c r="H1676" s="1016" t="s">
        <v>7104</v>
      </c>
      <c r="I1676" s="944" t="str">
        <f t="shared" si="244"/>
        <v>6311021701</v>
      </c>
      <c r="J1676" s="991" t="s">
        <v>7415</v>
      </c>
      <c r="K1676" s="890">
        <v>722946</v>
      </c>
      <c r="L1676" s="890">
        <v>18531</v>
      </c>
      <c r="M1676" s="890">
        <v>637135</v>
      </c>
      <c r="N1676" s="886"/>
      <c r="O1676" s="886"/>
      <c r="P1676" s="886"/>
      <c r="Q1676" s="1162">
        <f>ROUND(K1676*L1676/M1676,0)</f>
        <v>21027</v>
      </c>
      <c r="R1676" s="882"/>
      <c r="S1676" s="1269"/>
      <c r="T1676" s="1254"/>
      <c r="U1676" s="996" t="s">
        <v>10106</v>
      </c>
      <c r="V1676" s="996"/>
      <c r="W1676" s="991"/>
    </row>
    <row r="1677" spans="1:23" ht="14.5" customHeight="1">
      <c r="A1677" s="1034"/>
      <c r="B1677" s="1034"/>
      <c r="C1677" s="987"/>
      <c r="D1677" s="988" t="str">
        <f t="shared" si="263"/>
        <v/>
      </c>
      <c r="F1677" s="988" t="str">
        <f t="shared" si="264"/>
        <v/>
      </c>
      <c r="G1677" s="1095" t="str">
        <f t="shared" si="265"/>
        <v>6311021</v>
      </c>
      <c r="H1677" s="1016" t="s">
        <v>7416</v>
      </c>
      <c r="I1677" s="944" t="str">
        <f t="shared" si="244"/>
        <v>6311021702</v>
      </c>
      <c r="J1677" s="991" t="s">
        <v>7417</v>
      </c>
      <c r="K1677" s="890">
        <v>115348</v>
      </c>
      <c r="L1677" s="890">
        <v>7102</v>
      </c>
      <c r="M1677" s="890">
        <v>104704</v>
      </c>
      <c r="N1677" s="886"/>
      <c r="O1677" s="886"/>
      <c r="P1677" s="886"/>
      <c r="Q1677" s="1162">
        <f>ROUND(K1677*L1677/M1677,0)</f>
        <v>7824</v>
      </c>
      <c r="R1677" s="882"/>
      <c r="S1677" s="1269"/>
      <c r="T1677" s="1254"/>
      <c r="U1677" s="996" t="s">
        <v>10106</v>
      </c>
      <c r="V1677" s="996"/>
      <c r="W1677" s="991"/>
    </row>
    <row r="1678" spans="1:23" ht="14.5" customHeight="1">
      <c r="A1678" s="1034"/>
      <c r="C1678" s="998"/>
      <c r="D1678" s="999"/>
      <c r="E1678" s="1002"/>
      <c r="F1678" s="999"/>
      <c r="G1678" s="1095" t="str">
        <f t="shared" si="265"/>
        <v>6311021</v>
      </c>
      <c r="H1678" s="1005" t="s">
        <v>6012</v>
      </c>
      <c r="I1678" s="944" t="str">
        <f t="shared" si="244"/>
        <v>6311021901</v>
      </c>
      <c r="J1678" s="978" t="s">
        <v>7418</v>
      </c>
      <c r="K1678" s="895">
        <v>598678</v>
      </c>
      <c r="L1678" s="895">
        <v>50693</v>
      </c>
      <c r="M1678" s="895">
        <v>664292</v>
      </c>
      <c r="N1678" s="893"/>
      <c r="O1678" s="893"/>
      <c r="P1678" s="893"/>
      <c r="Q1678" s="1176">
        <f>ROUND(K1678*L1678/M1678,0)</f>
        <v>45686</v>
      </c>
      <c r="R1678" s="900"/>
      <c r="S1678" s="1272"/>
      <c r="T1678" s="900"/>
      <c r="U1678" s="1006" t="s">
        <v>10106</v>
      </c>
      <c r="V1678" s="1006"/>
      <c r="W1678" s="991"/>
    </row>
    <row r="1679" spans="1:23" ht="14.5" customHeight="1">
      <c r="C1679" s="981" t="s">
        <v>7421</v>
      </c>
      <c r="D1679" s="982" t="str">
        <f>IF(C1679="","",CONCATENATE(LEFT(C1679,4),MID(C1679,6,2)))</f>
        <v>631103</v>
      </c>
      <c r="E1679" s="983" t="s">
        <v>7422</v>
      </c>
      <c r="F1679" s="982" t="str">
        <f>IF(E1679="","",CONCATENATE(LEFT(E1679,4),MID(E1679,6,3)))</f>
        <v>6311031</v>
      </c>
      <c r="G1679" s="1103" t="str">
        <f>IF(F1679="",G515,F1679)</f>
        <v>6311031</v>
      </c>
      <c r="H1679" s="1102" t="s">
        <v>36</v>
      </c>
      <c r="I1679" s="947" t="str">
        <f>IF(H1679="","",CONCATENATE(G1679,H1679))</f>
        <v>6311031001</v>
      </c>
      <c r="J1679" s="984" t="s">
        <v>731</v>
      </c>
      <c r="K1679" s="923">
        <v>699738</v>
      </c>
      <c r="L1679" s="937">
        <f>274204+88196</f>
        <v>362400</v>
      </c>
      <c r="M1679" s="937">
        <f>6098167+2819208</f>
        <v>8917375</v>
      </c>
      <c r="N1679" s="889"/>
      <c r="O1679" s="889"/>
      <c r="P1679" s="881">
        <f>Q1679</f>
        <v>28437</v>
      </c>
      <c r="Q1679" s="1198">
        <f>ROUND(K1679*L1679/M1679,0)</f>
        <v>28437</v>
      </c>
      <c r="R1679" s="880"/>
      <c r="S1679" s="1270"/>
      <c r="T1679" s="880"/>
      <c r="U1679" s="1065" t="s">
        <v>11397</v>
      </c>
      <c r="V1679" s="993"/>
      <c r="W1679" s="986" t="s">
        <v>11398</v>
      </c>
    </row>
    <row r="1680" spans="1:23" ht="14.5" customHeight="1">
      <c r="C1680" s="1023" t="s">
        <v>7423</v>
      </c>
      <c r="D1680" s="1024" t="str">
        <f>IF(C1680="","",CONCATENATE(LEFT(C1680,4),MID(C1680,6,2)))</f>
        <v>631104</v>
      </c>
      <c r="E1680" s="1025" t="s">
        <v>7424</v>
      </c>
      <c r="F1680" s="1024" t="str">
        <f>IF(E1680="","",CONCATENATE(LEFT(E1680,4),MID(E1680,6,3)))</f>
        <v>6311041</v>
      </c>
      <c r="G1680" s="1111" t="str">
        <f>IF(F1680="",#REF!,F1680)</f>
        <v>6311041</v>
      </c>
      <c r="H1680" s="1112" t="s">
        <v>36</v>
      </c>
      <c r="I1680" s="1113" t="str">
        <f>IF(H1680="","",CONCATENATE(G1680,H1680))</f>
        <v>6311041001</v>
      </c>
      <c r="J1680" s="1026" t="s">
        <v>732</v>
      </c>
      <c r="K1680" s="930">
        <v>7078</v>
      </c>
      <c r="L1680" s="938">
        <v>15632</v>
      </c>
      <c r="M1680" s="938">
        <v>320087.5</v>
      </c>
      <c r="N1680" s="912"/>
      <c r="O1680" s="912"/>
      <c r="P1680" s="914">
        <f>Q1680</f>
        <v>346</v>
      </c>
      <c r="Q1680" s="1198">
        <f>ROUND(K1680*L1680/M1680,0)</f>
        <v>346</v>
      </c>
      <c r="R1680" s="929"/>
      <c r="S1680" s="1280"/>
      <c r="T1680" s="929"/>
      <c r="U1680" s="1031" t="s">
        <v>11399</v>
      </c>
      <c r="V1680" s="1022"/>
      <c r="W1680" s="1027" t="s">
        <v>11400</v>
      </c>
    </row>
    <row r="1681" spans="1:23" ht="14.5" customHeight="1">
      <c r="A1681" s="1034"/>
      <c r="B1681" s="1034"/>
      <c r="C1681" s="994" t="s">
        <v>7425</v>
      </c>
      <c r="D1681" s="988" t="str">
        <f t="shared" si="263"/>
        <v>631201</v>
      </c>
      <c r="E1681" s="989" t="s">
        <v>7426</v>
      </c>
      <c r="F1681" s="988" t="str">
        <f t="shared" si="264"/>
        <v>6312011</v>
      </c>
      <c r="G1681" s="1095" t="str">
        <f>IF(F1681="",G1677,F1681)</f>
        <v>6312011</v>
      </c>
      <c r="I1681" s="944" t="str">
        <f t="shared" ref="I1681:I1780" si="266">IF(H1681="","",CONCATENATE(G1681,H1681))</f>
        <v/>
      </c>
      <c r="J1681" s="990" t="s">
        <v>734</v>
      </c>
      <c r="K1681" s="886"/>
      <c r="L1681" s="886"/>
      <c r="M1681" s="886"/>
      <c r="N1681" s="886"/>
      <c r="O1681" s="886"/>
      <c r="P1681" s="896">
        <f>Q1681</f>
        <v>36425</v>
      </c>
      <c r="Q1681" s="1171">
        <f>SUM(Q1682:Q1685)</f>
        <v>36425</v>
      </c>
      <c r="R1681" s="882"/>
      <c r="S1681" s="1269"/>
      <c r="T1681" s="1254"/>
      <c r="U1681" s="996"/>
      <c r="V1681" s="996"/>
      <c r="W1681" s="992" t="s">
        <v>11401</v>
      </c>
    </row>
    <row r="1682" spans="1:23" ht="14.5" customHeight="1">
      <c r="A1682" s="1034"/>
      <c r="B1682" s="1034"/>
      <c r="C1682" s="987"/>
      <c r="D1682" s="988" t="str">
        <f t="shared" si="263"/>
        <v/>
      </c>
      <c r="F1682" s="988" t="str">
        <f t="shared" si="264"/>
        <v/>
      </c>
      <c r="G1682" s="1095" t="str">
        <f t="shared" si="265"/>
        <v>6312011</v>
      </c>
      <c r="H1682" s="1016" t="s">
        <v>36</v>
      </c>
      <c r="I1682" s="944" t="str">
        <f t="shared" si="266"/>
        <v>6312011001</v>
      </c>
      <c r="J1682" s="991" t="s">
        <v>7427</v>
      </c>
      <c r="K1682" s="890">
        <v>214012</v>
      </c>
      <c r="L1682" s="890">
        <v>739</v>
      </c>
      <c r="M1682" s="890">
        <v>23387</v>
      </c>
      <c r="N1682" s="886"/>
      <c r="O1682" s="886"/>
      <c r="P1682" s="886"/>
      <c r="Q1682" s="1162">
        <f>ROUND(K1682*L1682/M1682,0)</f>
        <v>6763</v>
      </c>
      <c r="R1682" s="882"/>
      <c r="S1682" s="1269"/>
      <c r="T1682" s="1254"/>
      <c r="U1682" s="996" t="s">
        <v>11250</v>
      </c>
      <c r="V1682" s="996"/>
      <c r="W1682" s="992"/>
    </row>
    <row r="1683" spans="1:23" ht="14.5" customHeight="1">
      <c r="A1683" s="1034"/>
      <c r="B1683" s="1034"/>
      <c r="C1683" s="987"/>
      <c r="D1683" s="988" t="str">
        <f t="shared" si="263"/>
        <v/>
      </c>
      <c r="F1683" s="988" t="str">
        <f t="shared" si="264"/>
        <v/>
      </c>
      <c r="G1683" s="1095" t="str">
        <f t="shared" si="265"/>
        <v>6312011</v>
      </c>
      <c r="H1683" s="1016" t="s">
        <v>5337</v>
      </c>
      <c r="I1683" s="944" t="str">
        <f t="shared" si="266"/>
        <v>6312011002</v>
      </c>
      <c r="J1683" s="991" t="s">
        <v>7428</v>
      </c>
      <c r="K1683" s="890">
        <v>274485</v>
      </c>
      <c r="L1683" s="890">
        <v>764</v>
      </c>
      <c r="M1683" s="890">
        <v>31532</v>
      </c>
      <c r="N1683" s="886"/>
      <c r="O1683" s="886"/>
      <c r="P1683" s="886"/>
      <c r="Q1683" s="1162">
        <f>ROUND(K1683*L1683/M1683,0)</f>
        <v>6651</v>
      </c>
      <c r="R1683" s="882"/>
      <c r="S1683" s="1269"/>
      <c r="T1683" s="1254"/>
      <c r="U1683" s="996" t="s">
        <v>10129</v>
      </c>
      <c r="V1683" s="996"/>
      <c r="W1683" s="992"/>
    </row>
    <row r="1684" spans="1:23" ht="14.5" customHeight="1">
      <c r="A1684" s="1034"/>
      <c r="B1684" s="1034"/>
      <c r="C1684" s="987"/>
      <c r="D1684" s="988" t="str">
        <f t="shared" si="263"/>
        <v/>
      </c>
      <c r="F1684" s="988" t="str">
        <f t="shared" si="264"/>
        <v/>
      </c>
      <c r="G1684" s="1095" t="str">
        <f t="shared" si="265"/>
        <v>6312011</v>
      </c>
      <c r="H1684" s="1016" t="s">
        <v>5339</v>
      </c>
      <c r="I1684" s="944" t="str">
        <f t="shared" si="266"/>
        <v>6312011003</v>
      </c>
      <c r="J1684" s="991" t="s">
        <v>7429</v>
      </c>
      <c r="K1684" s="890">
        <v>159738</v>
      </c>
      <c r="L1684" s="890">
        <v>649</v>
      </c>
      <c r="M1684" s="890">
        <v>17313</v>
      </c>
      <c r="N1684" s="886"/>
      <c r="O1684" s="886"/>
      <c r="P1684" s="886"/>
      <c r="Q1684" s="1162">
        <f>ROUND(K1684*L1684/M1684,0)</f>
        <v>5988</v>
      </c>
      <c r="R1684" s="882"/>
      <c r="S1684" s="1269"/>
      <c r="T1684" s="1254"/>
      <c r="U1684" s="996" t="s">
        <v>10129</v>
      </c>
      <c r="V1684" s="996"/>
      <c r="W1684" s="992" t="s">
        <v>11402</v>
      </c>
    </row>
    <row r="1685" spans="1:23" ht="14.5" customHeight="1">
      <c r="A1685" s="1034"/>
      <c r="B1685" s="1034"/>
      <c r="C1685" s="987"/>
      <c r="D1685" s="988" t="str">
        <f t="shared" si="263"/>
        <v/>
      </c>
      <c r="F1685" s="988" t="str">
        <f t="shared" si="264"/>
        <v/>
      </c>
      <c r="G1685" s="1095" t="str">
        <f t="shared" si="265"/>
        <v>6312011</v>
      </c>
      <c r="H1685" s="1016" t="s">
        <v>59</v>
      </c>
      <c r="I1685" s="944" t="str">
        <f t="shared" si="266"/>
        <v>6312011099</v>
      </c>
      <c r="J1685" s="992" t="s">
        <v>7430</v>
      </c>
      <c r="K1685" s="890">
        <v>274583</v>
      </c>
      <c r="L1685" s="890">
        <f>51+0+472</f>
        <v>523</v>
      </c>
      <c r="M1685" s="890">
        <f>1635+1+6800</f>
        <v>8436</v>
      </c>
      <c r="N1685" s="886"/>
      <c r="O1685" s="886"/>
      <c r="P1685" s="886"/>
      <c r="Q1685" s="1175">
        <f>ROUND(K1685*L1685/M1685,0)</f>
        <v>17023</v>
      </c>
      <c r="R1685" s="882"/>
      <c r="S1685" s="1269"/>
      <c r="T1685" s="1254"/>
      <c r="U1685" s="996" t="s">
        <v>10129</v>
      </c>
      <c r="V1685" s="996"/>
      <c r="W1685" s="992" t="s">
        <v>11403</v>
      </c>
    </row>
    <row r="1686" spans="1:23" s="944" customFormat="1" ht="14.5" customHeight="1">
      <c r="C1686" s="981" t="s">
        <v>7431</v>
      </c>
      <c r="D1686" s="982" t="str">
        <f t="shared" si="263"/>
        <v>631202</v>
      </c>
      <c r="E1686" s="983" t="s">
        <v>7432</v>
      </c>
      <c r="F1686" s="982" t="str">
        <f t="shared" si="264"/>
        <v>6312021</v>
      </c>
      <c r="G1686" s="1103" t="str">
        <f t="shared" si="265"/>
        <v>6312021</v>
      </c>
      <c r="H1686" s="1102" t="s">
        <v>7312</v>
      </c>
      <c r="I1686" s="947" t="str">
        <f t="shared" si="266"/>
        <v>6312021001</v>
      </c>
      <c r="J1686" s="984" t="s">
        <v>735</v>
      </c>
      <c r="K1686" s="923">
        <v>301345</v>
      </c>
      <c r="L1686" s="923">
        <v>1547</v>
      </c>
      <c r="M1686" s="923">
        <v>43996</v>
      </c>
      <c r="N1686" s="897"/>
      <c r="O1686" s="897"/>
      <c r="P1686" s="894">
        <f>Q1686</f>
        <v>10596</v>
      </c>
      <c r="Q1686" s="1171">
        <f>ROUND(K1686*L1686/M1686,0)</f>
        <v>10596</v>
      </c>
      <c r="R1686" s="915"/>
      <c r="S1686" s="1279"/>
      <c r="T1686" s="915"/>
      <c r="U1686" s="993" t="s">
        <v>11126</v>
      </c>
      <c r="V1686" s="993"/>
      <c r="W1686" s="986" t="s">
        <v>11404</v>
      </c>
    </row>
    <row r="1687" spans="1:23" ht="14.5" customHeight="1">
      <c r="A1687" s="1034"/>
      <c r="B1687" s="1034"/>
      <c r="C1687" s="1023" t="s">
        <v>7433</v>
      </c>
      <c r="D1687" s="1024" t="str">
        <f t="shared" si="263"/>
        <v>631203</v>
      </c>
      <c r="E1687" s="1025" t="s">
        <v>7434</v>
      </c>
      <c r="F1687" s="1024" t="str">
        <f t="shared" si="264"/>
        <v>6312031</v>
      </c>
      <c r="G1687" s="1111" t="str">
        <f>IF(F1687="",#REF!,F1687)</f>
        <v>6312031</v>
      </c>
      <c r="H1687" s="1112" t="s">
        <v>36</v>
      </c>
      <c r="I1687" s="1113" t="str">
        <f t="shared" si="266"/>
        <v>6312031001</v>
      </c>
      <c r="J1687" s="1063" t="s">
        <v>7435</v>
      </c>
      <c r="K1687" s="930">
        <v>516642</v>
      </c>
      <c r="L1687" s="930">
        <v>1391</v>
      </c>
      <c r="M1687" s="930">
        <v>51984</v>
      </c>
      <c r="N1687" s="912"/>
      <c r="O1687" s="912"/>
      <c r="P1687" s="914">
        <f t="shared" ref="P1687:P1717" si="267">Q1687</f>
        <v>13824</v>
      </c>
      <c r="Q1687" s="1198">
        <f t="shared" ref="Q1687:Q1698" si="268">ROUND(K1687*L1687/M1687,0)</f>
        <v>13824</v>
      </c>
      <c r="R1687" s="929"/>
      <c r="S1687" s="1270"/>
      <c r="T1687" s="880"/>
      <c r="U1687" s="993" t="s">
        <v>11250</v>
      </c>
      <c r="V1687" s="1022"/>
      <c r="W1687" s="1027" t="s">
        <v>11405</v>
      </c>
    </row>
    <row r="1688" spans="1:23" ht="14.5" customHeight="1">
      <c r="A1688" s="1034"/>
      <c r="B1688" s="1034"/>
      <c r="C1688" s="1023" t="s">
        <v>7436</v>
      </c>
      <c r="D1688" s="1024" t="str">
        <f t="shared" si="263"/>
        <v>631204</v>
      </c>
      <c r="E1688" s="1025" t="s">
        <v>7437</v>
      </c>
      <c r="F1688" s="1024" t="str">
        <f t="shared" si="264"/>
        <v>6312041</v>
      </c>
      <c r="G1688" s="1111" t="str">
        <f t="shared" ref="G1688:G1699" si="269">IF(F1688="",G1687,F1688)</f>
        <v>6312041</v>
      </c>
      <c r="H1688" s="1112" t="s">
        <v>36</v>
      </c>
      <c r="I1688" s="1113" t="str">
        <f t="shared" si="266"/>
        <v>6312041001</v>
      </c>
      <c r="J1688" s="1063" t="s">
        <v>737</v>
      </c>
      <c r="K1688" s="930">
        <v>982480</v>
      </c>
      <c r="L1688" s="930">
        <v>5005</v>
      </c>
      <c r="M1688" s="930">
        <v>115970</v>
      </c>
      <c r="N1688" s="912"/>
      <c r="O1688" s="912"/>
      <c r="P1688" s="914">
        <f t="shared" si="267"/>
        <v>42402</v>
      </c>
      <c r="Q1688" s="1198">
        <f t="shared" si="268"/>
        <v>42402</v>
      </c>
      <c r="R1688" s="929"/>
      <c r="S1688" s="1270"/>
      <c r="T1688" s="880"/>
      <c r="U1688" s="993" t="s">
        <v>11126</v>
      </c>
      <c r="V1688" s="1022"/>
      <c r="W1688" s="1027" t="s">
        <v>11406</v>
      </c>
    </row>
    <row r="1689" spans="1:23" ht="14.5" customHeight="1">
      <c r="A1689" s="1034"/>
      <c r="B1689" s="1034"/>
      <c r="C1689" s="981" t="s">
        <v>11407</v>
      </c>
      <c r="D1689" s="982" t="str">
        <f t="shared" si="263"/>
        <v>632101</v>
      </c>
      <c r="E1689" s="983" t="s">
        <v>11408</v>
      </c>
      <c r="F1689" s="982" t="str">
        <f>IF(E1689="","",CONCATENATE(LEFT(E1689,4),MID(E1689,6,3)))</f>
        <v>6321011</v>
      </c>
      <c r="G1689" s="1103" t="str">
        <f t="shared" si="269"/>
        <v>6321011</v>
      </c>
      <c r="H1689" s="1102"/>
      <c r="I1689" s="947" t="str">
        <f t="shared" si="266"/>
        <v/>
      </c>
      <c r="J1689" s="1028" t="s">
        <v>739</v>
      </c>
      <c r="K1689" s="897"/>
      <c r="L1689" s="897"/>
      <c r="M1689" s="897"/>
      <c r="N1689" s="889"/>
      <c r="O1689" s="889"/>
      <c r="P1689" s="881">
        <f>Q1689</f>
        <v>87919</v>
      </c>
      <c r="Q1689" s="1160">
        <f>SUM(Q1690:Q1691)</f>
        <v>87919</v>
      </c>
      <c r="R1689" s="880"/>
      <c r="S1689" s="1290">
        <f>'CT2015'!K1595</f>
        <v>2.4</v>
      </c>
      <c r="T1689" s="880">
        <f>ROUND(Q1689*S1689/100,0)</f>
        <v>2110</v>
      </c>
      <c r="U1689" s="993"/>
      <c r="V1689" s="993"/>
      <c r="W1689" s="986"/>
    </row>
    <row r="1690" spans="1:23" ht="14.5" customHeight="1">
      <c r="A1690" s="1034"/>
      <c r="B1690" s="1034"/>
      <c r="C1690" s="994"/>
      <c r="D1690" s="988" t="str">
        <f t="shared" si="263"/>
        <v/>
      </c>
      <c r="E1690" s="989"/>
      <c r="F1690" s="988" t="str">
        <f t="shared" si="264"/>
        <v/>
      </c>
      <c r="G1690" s="1095" t="str">
        <f t="shared" si="269"/>
        <v>6321011</v>
      </c>
      <c r="H1690" s="1016" t="s">
        <v>7312</v>
      </c>
      <c r="I1690" s="944" t="str">
        <f t="shared" si="266"/>
        <v>6321011001</v>
      </c>
      <c r="J1690" s="992" t="s">
        <v>11409</v>
      </c>
      <c r="K1690" s="890">
        <v>728273</v>
      </c>
      <c r="L1690" s="890">
        <v>556</v>
      </c>
      <c r="M1690" s="890">
        <v>25378</v>
      </c>
      <c r="N1690" s="886"/>
      <c r="O1690" s="886"/>
      <c r="P1690" s="886">
        <f t="shared" si="267"/>
        <v>15956</v>
      </c>
      <c r="Q1690" s="1162">
        <f t="shared" si="268"/>
        <v>15956</v>
      </c>
      <c r="R1690" s="882"/>
      <c r="S1690" s="1269"/>
      <c r="T1690" s="1254"/>
      <c r="U1690" s="996" t="s">
        <v>11410</v>
      </c>
      <c r="V1690" s="996"/>
      <c r="W1690" s="992" t="s">
        <v>11411</v>
      </c>
    </row>
    <row r="1691" spans="1:23" ht="14.5" customHeight="1">
      <c r="A1691" s="1034"/>
      <c r="B1691" s="1034"/>
      <c r="C1691" s="1015"/>
      <c r="D1691" s="999" t="str">
        <f t="shared" si="263"/>
        <v/>
      </c>
      <c r="E1691" s="1000"/>
      <c r="F1691" s="999" t="str">
        <f t="shared" si="264"/>
        <v/>
      </c>
      <c r="G1691" s="1104" t="str">
        <f t="shared" si="269"/>
        <v>6321011</v>
      </c>
      <c r="H1691" s="1005" t="s">
        <v>47</v>
      </c>
      <c r="I1691" s="1002" t="str">
        <f t="shared" si="266"/>
        <v>6321011099</v>
      </c>
      <c r="J1691" s="1003" t="s">
        <v>11412</v>
      </c>
      <c r="K1691" s="895">
        <v>3284680</v>
      </c>
      <c r="L1691" s="872">
        <f>L1690</f>
        <v>556</v>
      </c>
      <c r="M1691" s="872">
        <f>M1690</f>
        <v>25378</v>
      </c>
      <c r="N1691" s="893"/>
      <c r="O1691" s="893"/>
      <c r="P1691" s="893">
        <f t="shared" si="267"/>
        <v>71963</v>
      </c>
      <c r="Q1691" s="1176">
        <f t="shared" si="268"/>
        <v>71963</v>
      </c>
      <c r="R1691" s="900"/>
      <c r="S1691" s="1272"/>
      <c r="T1691" s="900"/>
      <c r="U1691" s="1006" t="s">
        <v>10145</v>
      </c>
      <c r="V1691" s="1006"/>
      <c r="W1691" s="1003" t="s">
        <v>11413</v>
      </c>
    </row>
    <row r="1692" spans="1:23" ht="14.5" customHeight="1">
      <c r="A1692" s="1034"/>
      <c r="B1692" s="1034"/>
      <c r="C1692" s="981" t="s">
        <v>11414</v>
      </c>
      <c r="D1692" s="982" t="str">
        <f t="shared" si="263"/>
        <v>632102</v>
      </c>
      <c r="E1692" s="983" t="s">
        <v>11415</v>
      </c>
      <c r="F1692" s="982" t="str">
        <f t="shared" si="264"/>
        <v>6321021</v>
      </c>
      <c r="G1692" s="1103" t="str">
        <f t="shared" si="269"/>
        <v>6321021</v>
      </c>
      <c r="H1692" s="1102"/>
      <c r="I1692" s="947" t="str">
        <f t="shared" si="266"/>
        <v/>
      </c>
      <c r="J1692" s="1028" t="s">
        <v>11416</v>
      </c>
      <c r="K1692" s="897"/>
      <c r="L1692" s="897"/>
      <c r="M1692" s="897"/>
      <c r="N1692" s="889"/>
      <c r="O1692" s="889"/>
      <c r="P1692" s="881">
        <f>Q1692</f>
        <v>7119</v>
      </c>
      <c r="Q1692" s="1160">
        <f>SUM(Q1693:Q1694)</f>
        <v>7119</v>
      </c>
      <c r="R1692" s="880"/>
      <c r="S1692" s="1290">
        <f>'CT2015'!K1596</f>
        <v>2.4</v>
      </c>
      <c r="T1692" s="880">
        <f>ROUND(Q1692*S1692/100,0)</f>
        <v>171</v>
      </c>
      <c r="U1692" s="993" t="s">
        <v>10145</v>
      </c>
      <c r="V1692" s="993"/>
      <c r="W1692" s="986"/>
    </row>
    <row r="1693" spans="1:23" ht="14.5" customHeight="1">
      <c r="A1693" s="1034"/>
      <c r="B1693" s="1034"/>
      <c r="C1693" s="994"/>
      <c r="D1693" s="988" t="str">
        <f t="shared" si="263"/>
        <v/>
      </c>
      <c r="E1693" s="989"/>
      <c r="F1693" s="988" t="str">
        <f t="shared" si="264"/>
        <v/>
      </c>
      <c r="G1693" s="1095" t="str">
        <f t="shared" si="269"/>
        <v>6321021</v>
      </c>
      <c r="H1693" s="1016" t="s">
        <v>7312</v>
      </c>
      <c r="I1693" s="944" t="str">
        <f t="shared" si="266"/>
        <v>6321021001</v>
      </c>
      <c r="J1693" s="992" t="s">
        <v>11417</v>
      </c>
      <c r="K1693" s="890">
        <v>153246</v>
      </c>
      <c r="L1693" s="890">
        <v>163</v>
      </c>
      <c r="M1693" s="890">
        <v>5733</v>
      </c>
      <c r="N1693" s="886"/>
      <c r="O1693" s="886"/>
      <c r="P1693" s="886">
        <f t="shared" si="267"/>
        <v>4357</v>
      </c>
      <c r="Q1693" s="1162">
        <f>ROUND(K1693*L1693/M1693,0)</f>
        <v>4357</v>
      </c>
      <c r="R1693" s="882"/>
      <c r="S1693" s="1269"/>
      <c r="T1693" s="1254"/>
      <c r="U1693" s="996" t="s">
        <v>10145</v>
      </c>
      <c r="V1693" s="996"/>
      <c r="W1693" s="992" t="s">
        <v>11418</v>
      </c>
    </row>
    <row r="1694" spans="1:23" ht="14.5" customHeight="1">
      <c r="A1694" s="1034"/>
      <c r="B1694" s="1034"/>
      <c r="C1694" s="994"/>
      <c r="D1694" s="988" t="str">
        <f t="shared" si="263"/>
        <v/>
      </c>
      <c r="E1694" s="989"/>
      <c r="F1694" s="988" t="str">
        <f t="shared" si="264"/>
        <v/>
      </c>
      <c r="G1694" s="1095" t="str">
        <f t="shared" si="269"/>
        <v>6321021</v>
      </c>
      <c r="H1694" s="1016" t="s">
        <v>47</v>
      </c>
      <c r="I1694" s="944" t="str">
        <f t="shared" si="266"/>
        <v>6321021099</v>
      </c>
      <c r="J1694" s="992" t="s">
        <v>11419</v>
      </c>
      <c r="K1694" s="890">
        <v>97146</v>
      </c>
      <c r="L1694" s="873">
        <f>L1693</f>
        <v>163</v>
      </c>
      <c r="M1694" s="873">
        <f>M1693</f>
        <v>5733</v>
      </c>
      <c r="N1694" s="886"/>
      <c r="O1694" s="886"/>
      <c r="P1694" s="886">
        <f t="shared" si="267"/>
        <v>2762</v>
      </c>
      <c r="Q1694" s="1162">
        <f>ROUND(K1694*L1694/M1694,0)</f>
        <v>2762</v>
      </c>
      <c r="R1694" s="882"/>
      <c r="S1694" s="1269"/>
      <c r="T1694" s="1254"/>
      <c r="U1694" s="996" t="s">
        <v>10145</v>
      </c>
      <c r="V1694" s="996"/>
      <c r="W1694" s="992" t="s">
        <v>11420</v>
      </c>
    </row>
    <row r="1695" spans="1:23" ht="14.5" customHeight="1">
      <c r="A1695" s="1034"/>
      <c r="B1695" s="1034"/>
      <c r="C1695" s="1023" t="s">
        <v>11421</v>
      </c>
      <c r="D1695" s="1024" t="str">
        <f t="shared" si="263"/>
        <v>632103</v>
      </c>
      <c r="E1695" s="1025" t="s">
        <v>11422</v>
      </c>
      <c r="F1695" s="1024" t="str">
        <f t="shared" si="264"/>
        <v>6321031</v>
      </c>
      <c r="G1695" s="1111" t="str">
        <f>IF(F1695="",G1694,F1695)</f>
        <v>6321031</v>
      </c>
      <c r="H1695" s="1112" t="s">
        <v>7312</v>
      </c>
      <c r="I1695" s="1113" t="str">
        <f>IF(H1695="","",CONCATENATE(G1695,H1695))</f>
        <v>6321031001</v>
      </c>
      <c r="J1695" s="1063" t="s">
        <v>741</v>
      </c>
      <c r="K1695" s="930">
        <v>1005467</v>
      </c>
      <c r="L1695" s="930">
        <f>2131+6</f>
        <v>2137</v>
      </c>
      <c r="M1695" s="930">
        <f>76423+147</f>
        <v>76570</v>
      </c>
      <c r="N1695" s="912"/>
      <c r="O1695" s="912"/>
      <c r="P1695" s="914">
        <f t="shared" si="267"/>
        <v>28062</v>
      </c>
      <c r="Q1695" s="1198">
        <f t="shared" si="268"/>
        <v>28062</v>
      </c>
      <c r="R1695" s="929"/>
      <c r="S1695" s="1289">
        <f>'CT2015'!K1597</f>
        <v>2.4</v>
      </c>
      <c r="T1695" s="929">
        <f>ROUND(Q1695*S1695/100,0)</f>
        <v>673</v>
      </c>
      <c r="U1695" s="1022" t="s">
        <v>10145</v>
      </c>
      <c r="V1695" s="1022"/>
      <c r="W1695" s="1027" t="s">
        <v>11423</v>
      </c>
    </row>
    <row r="1696" spans="1:23" ht="14.5" customHeight="1">
      <c r="A1696" s="1034"/>
      <c r="B1696" s="1034"/>
      <c r="C1696" s="1023" t="s">
        <v>11424</v>
      </c>
      <c r="D1696" s="1024" t="str">
        <f t="shared" si="263"/>
        <v>632104</v>
      </c>
      <c r="E1696" s="1025" t="s">
        <v>11425</v>
      </c>
      <c r="F1696" s="1024" t="str">
        <f t="shared" si="264"/>
        <v>6321041</v>
      </c>
      <c r="G1696" s="1111" t="str">
        <f t="shared" si="269"/>
        <v>6321041</v>
      </c>
      <c r="H1696" s="1112" t="s">
        <v>7312</v>
      </c>
      <c r="I1696" s="1113" t="str">
        <f t="shared" si="266"/>
        <v>6321041001</v>
      </c>
      <c r="J1696" s="1063" t="s">
        <v>11426</v>
      </c>
      <c r="K1696" s="930">
        <v>498972</v>
      </c>
      <c r="L1696" s="930">
        <f>145+4</f>
        <v>149</v>
      </c>
      <c r="M1696" s="930">
        <f>6716+151</f>
        <v>6867</v>
      </c>
      <c r="N1696" s="912"/>
      <c r="O1696" s="912"/>
      <c r="P1696" s="914">
        <f t="shared" si="267"/>
        <v>10827</v>
      </c>
      <c r="Q1696" s="1198">
        <f t="shared" si="268"/>
        <v>10827</v>
      </c>
      <c r="R1696" s="929"/>
      <c r="S1696" s="1290">
        <f>'CT2015'!K1598</f>
        <v>2.4</v>
      </c>
      <c r="T1696" s="929">
        <f t="shared" ref="T1696:T1698" si="270">ROUND(Q1696*S1696/100,0)</f>
        <v>260</v>
      </c>
      <c r="U1696" s="993" t="s">
        <v>10145</v>
      </c>
      <c r="V1696" s="1022"/>
      <c r="W1696" s="1027" t="s">
        <v>11427</v>
      </c>
    </row>
    <row r="1697" spans="1:23" ht="14.5" customHeight="1">
      <c r="A1697" s="1034"/>
      <c r="B1697" s="1034"/>
      <c r="C1697" s="1023" t="s">
        <v>11428</v>
      </c>
      <c r="D1697" s="1024" t="str">
        <f t="shared" si="263"/>
        <v>632105</v>
      </c>
      <c r="E1697" s="1025" t="s">
        <v>11429</v>
      </c>
      <c r="F1697" s="1024" t="str">
        <f t="shared" si="264"/>
        <v>6321051</v>
      </c>
      <c r="G1697" s="1111" t="str">
        <f t="shared" si="269"/>
        <v>6321051</v>
      </c>
      <c r="H1697" s="1112" t="s">
        <v>7312</v>
      </c>
      <c r="I1697" s="1113" t="str">
        <f t="shared" si="266"/>
        <v>6321051001</v>
      </c>
      <c r="J1697" s="1063" t="s">
        <v>11430</v>
      </c>
      <c r="K1697" s="930">
        <v>530246</v>
      </c>
      <c r="L1697" s="930">
        <f>5+11241</f>
        <v>11246</v>
      </c>
      <c r="M1697" s="930">
        <f>152+193229</f>
        <v>193381</v>
      </c>
      <c r="N1697" s="912"/>
      <c r="O1697" s="912"/>
      <c r="P1697" s="914">
        <f t="shared" si="267"/>
        <v>30836</v>
      </c>
      <c r="Q1697" s="1198">
        <f t="shared" si="268"/>
        <v>30836</v>
      </c>
      <c r="R1697" s="929"/>
      <c r="S1697" s="1290">
        <f>'CT2015'!K1599</f>
        <v>2.4</v>
      </c>
      <c r="T1697" s="929">
        <f t="shared" si="270"/>
        <v>740</v>
      </c>
      <c r="U1697" s="993" t="s">
        <v>10145</v>
      </c>
      <c r="V1697" s="1022"/>
      <c r="W1697" s="1027" t="s">
        <v>11431</v>
      </c>
    </row>
    <row r="1698" spans="1:23" ht="14.5" customHeight="1">
      <c r="A1698" s="1034"/>
      <c r="B1698" s="1034"/>
      <c r="C1698" s="1023" t="s">
        <v>11432</v>
      </c>
      <c r="D1698" s="1024" t="str">
        <f t="shared" si="263"/>
        <v>632106</v>
      </c>
      <c r="E1698" s="1025" t="s">
        <v>11433</v>
      </c>
      <c r="F1698" s="1024" t="str">
        <f t="shared" si="264"/>
        <v>6321061</v>
      </c>
      <c r="G1698" s="1111" t="str">
        <f t="shared" si="269"/>
        <v>6321061</v>
      </c>
      <c r="H1698" s="1112" t="s">
        <v>7312</v>
      </c>
      <c r="I1698" s="1113" t="str">
        <f t="shared" si="266"/>
        <v>6321061001</v>
      </c>
      <c r="J1698" s="1063" t="s">
        <v>11434</v>
      </c>
      <c r="K1698" s="930">
        <v>9234</v>
      </c>
      <c r="L1698" s="930">
        <f>0+20</f>
        <v>20</v>
      </c>
      <c r="M1698" s="930">
        <f>53+2052</f>
        <v>2105</v>
      </c>
      <c r="N1698" s="912"/>
      <c r="O1698" s="912"/>
      <c r="P1698" s="914">
        <f t="shared" si="267"/>
        <v>88</v>
      </c>
      <c r="Q1698" s="1198">
        <f t="shared" si="268"/>
        <v>88</v>
      </c>
      <c r="R1698" s="929"/>
      <c r="S1698" s="1290">
        <f>'CT2015'!K1600</f>
        <v>2.4</v>
      </c>
      <c r="T1698" s="929">
        <f t="shared" si="270"/>
        <v>2</v>
      </c>
      <c r="U1698" s="993" t="s">
        <v>10145</v>
      </c>
      <c r="V1698" s="1022"/>
      <c r="W1698" s="1027" t="s">
        <v>11435</v>
      </c>
    </row>
    <row r="1699" spans="1:23" ht="14.5" customHeight="1">
      <c r="A1699" s="1034"/>
      <c r="B1699" s="1034"/>
      <c r="C1699" s="1023" t="s">
        <v>11436</v>
      </c>
      <c r="D1699" s="1024" t="str">
        <f t="shared" si="263"/>
        <v>632201</v>
      </c>
      <c r="E1699" s="1025" t="s">
        <v>11437</v>
      </c>
      <c r="F1699" s="1024" t="str">
        <f t="shared" si="264"/>
        <v>6322011</v>
      </c>
      <c r="G1699" s="1111" t="str">
        <f t="shared" si="269"/>
        <v>6322011</v>
      </c>
      <c r="H1699" s="1112" t="s">
        <v>7312</v>
      </c>
      <c r="I1699" s="1113" t="str">
        <f t="shared" si="266"/>
        <v>6322011001</v>
      </c>
      <c r="J1699" s="1063" t="s">
        <v>746</v>
      </c>
      <c r="K1699" s="930">
        <v>13870147</v>
      </c>
      <c r="L1699" s="930">
        <f>4350+79570</f>
        <v>83920</v>
      </c>
      <c r="M1699" s="930">
        <f>102580+2548330</f>
        <v>2650910</v>
      </c>
      <c r="N1699" s="912"/>
      <c r="O1699" s="912"/>
      <c r="P1699" s="914">
        <f t="shared" si="267"/>
        <v>439088</v>
      </c>
      <c r="Q1699" s="1198">
        <f>ROUND(K1699*L1699/M1699,0)</f>
        <v>439088</v>
      </c>
      <c r="R1699" s="929"/>
      <c r="S1699" s="1270"/>
      <c r="T1699" s="880"/>
      <c r="U1699" s="993" t="s">
        <v>11438</v>
      </c>
      <c r="V1699" s="1022"/>
      <c r="W1699" s="1027" t="s">
        <v>11439</v>
      </c>
    </row>
    <row r="1700" spans="1:23" ht="14.5" customHeight="1">
      <c r="A1700" s="1034"/>
      <c r="B1700" s="1034"/>
      <c r="C1700" s="1023" t="s">
        <v>7452</v>
      </c>
      <c r="D1700" s="1024" t="str">
        <f t="shared" si="263"/>
        <v>641101</v>
      </c>
      <c r="E1700" s="1025" t="s">
        <v>7453</v>
      </c>
      <c r="F1700" s="1024" t="str">
        <f t="shared" si="264"/>
        <v>6411011</v>
      </c>
      <c r="G1700" s="1111" t="str">
        <f>IF(F1700="",#REF!,F1700)</f>
        <v>6411011</v>
      </c>
      <c r="H1700" s="1112" t="s">
        <v>36</v>
      </c>
      <c r="I1700" s="1113" t="str">
        <f t="shared" si="266"/>
        <v>6411011001</v>
      </c>
      <c r="J1700" s="1026" t="s">
        <v>11440</v>
      </c>
      <c r="K1700" s="930">
        <v>23609091</v>
      </c>
      <c r="L1700" s="930">
        <v>1009100.3652508832</v>
      </c>
      <c r="M1700" s="930">
        <f>16894154+6293632</f>
        <v>23187786</v>
      </c>
      <c r="N1700" s="912"/>
      <c r="O1700" s="912"/>
      <c r="P1700" s="914">
        <f t="shared" si="267"/>
        <v>1027435</v>
      </c>
      <c r="Q1700" s="1198">
        <f t="shared" ref="Q1700:Q1717" si="271">ROUND(K1700*L1700/M1700,0)</f>
        <v>1027435</v>
      </c>
      <c r="R1700" s="929"/>
      <c r="S1700" s="1289">
        <f>'CT2015'!K1602</f>
        <v>0.3</v>
      </c>
      <c r="T1700" s="929">
        <f>ROUND(Q1700*S1700/100,0)</f>
        <v>3082</v>
      </c>
      <c r="U1700" s="1022" t="s">
        <v>11441</v>
      </c>
      <c r="V1700" s="1022"/>
      <c r="W1700" s="1027" t="s">
        <v>11442</v>
      </c>
    </row>
    <row r="1701" spans="1:23" ht="14.5" customHeight="1">
      <c r="A1701" s="1034"/>
      <c r="B1701" s="1034"/>
      <c r="C1701" s="1023" t="s">
        <v>7455</v>
      </c>
      <c r="D1701" s="1024" t="str">
        <f t="shared" si="263"/>
        <v>641102</v>
      </c>
      <c r="E1701" s="1025" t="s">
        <v>7456</v>
      </c>
      <c r="F1701" s="1024" t="str">
        <f t="shared" si="264"/>
        <v>6411021</v>
      </c>
      <c r="G1701" s="1111" t="str">
        <f t="shared" si="265"/>
        <v>6411021</v>
      </c>
      <c r="H1701" s="1112" t="s">
        <v>36</v>
      </c>
      <c r="I1701" s="1113" t="str">
        <f t="shared" si="266"/>
        <v>6411021001</v>
      </c>
      <c r="J1701" s="1026" t="s">
        <v>11443</v>
      </c>
      <c r="K1701" s="930">
        <v>9457655</v>
      </c>
      <c r="L1701" s="930">
        <v>399530.63474911696</v>
      </c>
      <c r="M1701" s="930">
        <f>304280+8075352</f>
        <v>8379632</v>
      </c>
      <c r="N1701" s="912"/>
      <c r="O1701" s="912"/>
      <c r="P1701" s="914">
        <f t="shared" si="267"/>
        <v>450929</v>
      </c>
      <c r="Q1701" s="1198">
        <f t="shared" si="271"/>
        <v>450929</v>
      </c>
      <c r="R1701" s="929"/>
      <c r="S1701" s="1289">
        <f>'CT2015'!K1603</f>
        <v>0.3</v>
      </c>
      <c r="T1701" s="929">
        <f t="shared" ref="T1701:T1703" si="272">ROUND(Q1701*S1701/100,0)</f>
        <v>1353</v>
      </c>
      <c r="U1701" s="1022" t="s">
        <v>10106</v>
      </c>
      <c r="V1701" s="1022"/>
      <c r="W1701" s="1027" t="s">
        <v>10203</v>
      </c>
    </row>
    <row r="1702" spans="1:23" ht="14.5" customHeight="1">
      <c r="A1702" s="1034"/>
      <c r="B1702" s="1034"/>
      <c r="C1702" s="1023" t="s">
        <v>7458</v>
      </c>
      <c r="D1702" s="1024" t="str">
        <f t="shared" si="263"/>
        <v>641103</v>
      </c>
      <c r="E1702" s="1025" t="s">
        <v>7459</v>
      </c>
      <c r="F1702" s="1024" t="str">
        <f t="shared" si="264"/>
        <v>6411031</v>
      </c>
      <c r="G1702" s="1111" t="str">
        <f t="shared" si="265"/>
        <v>6411031</v>
      </c>
      <c r="H1702" s="1112" t="s">
        <v>36</v>
      </c>
      <c r="I1702" s="1113" t="str">
        <f t="shared" si="266"/>
        <v>6411031001</v>
      </c>
      <c r="J1702" s="1026" t="s">
        <v>7460</v>
      </c>
      <c r="K1702" s="930">
        <v>3809850</v>
      </c>
      <c r="L1702" s="930">
        <v>1413</v>
      </c>
      <c r="M1702" s="930">
        <v>30110.641829267501</v>
      </c>
      <c r="N1702" s="912"/>
      <c r="O1702" s="912"/>
      <c r="P1702" s="914">
        <f t="shared" si="267"/>
        <v>178785</v>
      </c>
      <c r="Q1702" s="1198">
        <f t="shared" si="271"/>
        <v>178785</v>
      </c>
      <c r="R1702" s="929"/>
      <c r="S1702" s="1289">
        <f>'CT2015'!K1604</f>
        <v>2.9</v>
      </c>
      <c r="T1702" s="929">
        <f t="shared" si="272"/>
        <v>5185</v>
      </c>
      <c r="U1702" s="1022" t="s">
        <v>11444</v>
      </c>
      <c r="V1702" s="1022"/>
      <c r="W1702" s="1027" t="s">
        <v>10203</v>
      </c>
    </row>
    <row r="1703" spans="1:23" ht="14.5" customHeight="1">
      <c r="A1703" s="1034"/>
      <c r="B1703" s="1034"/>
      <c r="C1703" s="1023" t="s">
        <v>7461</v>
      </c>
      <c r="D1703" s="1024" t="str">
        <f t="shared" si="263"/>
        <v>641104</v>
      </c>
      <c r="E1703" s="1025" t="s">
        <v>7462</v>
      </c>
      <c r="F1703" s="1024" t="str">
        <f t="shared" si="264"/>
        <v>6411041</v>
      </c>
      <c r="G1703" s="1111" t="str">
        <f t="shared" si="265"/>
        <v>6411041</v>
      </c>
      <c r="H1703" s="1112" t="s">
        <v>36</v>
      </c>
      <c r="I1703" s="1113" t="str">
        <f t="shared" si="266"/>
        <v>6411041001</v>
      </c>
      <c r="J1703" s="1026" t="s">
        <v>7463</v>
      </c>
      <c r="K1703" s="930">
        <v>7778379</v>
      </c>
      <c r="L1703" s="930">
        <v>3402</v>
      </c>
      <c r="M1703" s="930">
        <v>75909.814992450003</v>
      </c>
      <c r="N1703" s="912"/>
      <c r="O1703" s="912"/>
      <c r="P1703" s="914">
        <f t="shared" si="267"/>
        <v>348598</v>
      </c>
      <c r="Q1703" s="1198">
        <f t="shared" si="271"/>
        <v>348598</v>
      </c>
      <c r="R1703" s="929"/>
      <c r="S1703" s="1289">
        <f>'CT2015'!K1605</f>
        <v>0.3</v>
      </c>
      <c r="T1703" s="929">
        <f t="shared" si="272"/>
        <v>1046</v>
      </c>
      <c r="U1703" s="1022" t="s">
        <v>11444</v>
      </c>
      <c r="V1703" s="1022"/>
      <c r="W1703" s="1027" t="s">
        <v>10203</v>
      </c>
    </row>
    <row r="1704" spans="1:23" ht="14.5" customHeight="1">
      <c r="A1704" s="1034"/>
      <c r="B1704" s="1034"/>
      <c r="C1704" s="1023" t="s">
        <v>7464</v>
      </c>
      <c r="D1704" s="1024" t="str">
        <f>IF(C1704="","",CONCATENATE(LEFT(C1704,4),MID(C1704,6,2)))</f>
        <v>641105</v>
      </c>
      <c r="E1704" s="1025" t="s">
        <v>7465</v>
      </c>
      <c r="F1704" s="1024" t="str">
        <f>IF(E1704="","",CONCATENATE(LEFT(E1704,4),MID(E1704,6,3)))</f>
        <v>6411051</v>
      </c>
      <c r="G1704" s="1111" t="str">
        <f>IF(F1704="",G1703,F1704)</f>
        <v>6411051</v>
      </c>
      <c r="H1704" s="1112" t="s">
        <v>7312</v>
      </c>
      <c r="I1704" s="1113" t="str">
        <f>IF(H1704="","",CONCATENATE(G1704,H1704))</f>
        <v>6411051001</v>
      </c>
      <c r="J1704" s="1026" t="s">
        <v>7466</v>
      </c>
      <c r="K1704" s="930">
        <v>1839552</v>
      </c>
      <c r="L1704" s="930">
        <v>86018.43</v>
      </c>
      <c r="M1704" s="930">
        <v>2383918.11</v>
      </c>
      <c r="N1704" s="912"/>
      <c r="O1704" s="912"/>
      <c r="P1704" s="914">
        <f>Q1704</f>
        <v>66376</v>
      </c>
      <c r="Q1704" s="1198">
        <f>ROUND(K1704*L1704/M1704,0)</f>
        <v>66376</v>
      </c>
      <c r="R1704" s="929"/>
      <c r="S1704" s="1280"/>
      <c r="T1704" s="929"/>
      <c r="U1704" s="1022" t="s">
        <v>11445</v>
      </c>
      <c r="V1704" s="1022"/>
      <c r="W1704" s="1027" t="s">
        <v>11446</v>
      </c>
    </row>
    <row r="1705" spans="1:23" ht="14.5" customHeight="1">
      <c r="A1705" s="1034"/>
      <c r="B1705" s="1034"/>
      <c r="C1705" s="1023" t="s">
        <v>7467</v>
      </c>
      <c r="D1705" s="1024" t="str">
        <f>IF(C1705="","",CONCATENATE(LEFT(C1705,4),MID(C1705,6,2)))</f>
        <v>642101</v>
      </c>
      <c r="E1705" s="1025" t="s">
        <v>7468</v>
      </c>
      <c r="F1705" s="1024" t="str">
        <f>IF(E1705="","",CONCATENATE(LEFT(E1705,4),MID(E1705,6,3)))</f>
        <v>6421011</v>
      </c>
      <c r="G1705" s="1111" t="str">
        <f>IF(F1705="",G1702,F1705)</f>
        <v>6421011</v>
      </c>
      <c r="H1705" s="1112" t="s">
        <v>7312</v>
      </c>
      <c r="I1705" s="1113" t="str">
        <f>IF(H1705="","",CONCATENATE(G1705,H1705))</f>
        <v>6421011001</v>
      </c>
      <c r="J1705" s="1026" t="s">
        <v>7469</v>
      </c>
      <c r="K1705" s="930">
        <v>1413763</v>
      </c>
      <c r="L1705" s="930">
        <v>2808</v>
      </c>
      <c r="M1705" s="930">
        <v>78756</v>
      </c>
      <c r="N1705" s="912"/>
      <c r="O1705" s="912"/>
      <c r="P1705" s="914">
        <f>Q1705</f>
        <v>50407</v>
      </c>
      <c r="Q1705" s="1198">
        <f>ROUND(K1705*L1705/M1705,0)</f>
        <v>50407</v>
      </c>
      <c r="R1705" s="929"/>
      <c r="S1705" s="1280"/>
      <c r="T1705" s="929"/>
      <c r="U1705" s="1022" t="s">
        <v>11447</v>
      </c>
      <c r="V1705" s="1022"/>
      <c r="W1705" s="1027" t="s">
        <v>11448</v>
      </c>
    </row>
    <row r="1706" spans="1:23" ht="14.5" customHeight="1">
      <c r="A1706" s="1034"/>
      <c r="B1706" s="1034"/>
      <c r="C1706" s="1023" t="s">
        <v>7470</v>
      </c>
      <c r="D1706" s="1024" t="str">
        <f t="shared" si="263"/>
        <v>642102</v>
      </c>
      <c r="E1706" s="1025" t="s">
        <v>7471</v>
      </c>
      <c r="F1706" s="1024" t="str">
        <f t="shared" si="264"/>
        <v>6421021</v>
      </c>
      <c r="G1706" s="1111" t="str">
        <f>IF(F1706="",G1703,F1706)</f>
        <v>6421021</v>
      </c>
      <c r="H1706" s="1112" t="s">
        <v>36</v>
      </c>
      <c r="I1706" s="1113" t="str">
        <f t="shared" si="266"/>
        <v>6421021001</v>
      </c>
      <c r="J1706" s="1026" t="s">
        <v>757</v>
      </c>
      <c r="K1706" s="912">
        <v>575911</v>
      </c>
      <c r="L1706" s="913"/>
      <c r="M1706" s="913">
        <v>575910.51</v>
      </c>
      <c r="N1706" s="912"/>
      <c r="O1706" s="912"/>
      <c r="P1706" s="914">
        <f t="shared" si="267"/>
        <v>17770</v>
      </c>
      <c r="Q1706" s="1186">
        <v>17770</v>
      </c>
      <c r="R1706" s="929"/>
      <c r="S1706" s="1280"/>
      <c r="T1706" s="929"/>
      <c r="U1706" s="1022" t="s">
        <v>11126</v>
      </c>
      <c r="V1706" s="1022"/>
      <c r="W1706" s="1027" t="s">
        <v>11449</v>
      </c>
    </row>
    <row r="1707" spans="1:23" ht="14.5" customHeight="1">
      <c r="A1707" s="1034"/>
      <c r="B1707" s="1034"/>
      <c r="C1707" s="981" t="s">
        <v>7472</v>
      </c>
      <c r="D1707" s="982" t="str">
        <f t="shared" si="263"/>
        <v>643101</v>
      </c>
      <c r="E1707" s="983" t="s">
        <v>7473</v>
      </c>
      <c r="F1707" s="982" t="str">
        <f t="shared" si="264"/>
        <v>6431011</v>
      </c>
      <c r="G1707" s="1103" t="str">
        <f t="shared" si="265"/>
        <v>6431011</v>
      </c>
      <c r="H1707" s="1102"/>
      <c r="I1707" s="947" t="str">
        <f t="shared" si="266"/>
        <v/>
      </c>
      <c r="J1707" s="984" t="s">
        <v>7474</v>
      </c>
      <c r="K1707" s="889"/>
      <c r="L1707" s="897"/>
      <c r="M1707" s="897"/>
      <c r="N1707" s="889"/>
      <c r="O1707" s="889"/>
      <c r="P1707" s="881">
        <f t="shared" si="267"/>
        <v>63811</v>
      </c>
      <c r="Q1707" s="1160">
        <f>SUM(Q1708:Q1709)</f>
        <v>63811</v>
      </c>
      <c r="R1707" s="880"/>
      <c r="S1707" s="1270"/>
      <c r="T1707" s="880"/>
      <c r="U1707" s="993" t="s">
        <v>11450</v>
      </c>
      <c r="V1707" s="993"/>
      <c r="W1707" s="986" t="s">
        <v>11451</v>
      </c>
    </row>
    <row r="1708" spans="1:23" ht="14.5" customHeight="1">
      <c r="A1708" s="1034"/>
      <c r="B1708" s="1034"/>
      <c r="C1708" s="994"/>
      <c r="E1708" s="989"/>
      <c r="F1708" s="988"/>
      <c r="G1708" s="1095" t="str">
        <f t="shared" si="265"/>
        <v>6431011</v>
      </c>
      <c r="H1708" s="1016" t="s">
        <v>5349</v>
      </c>
      <c r="I1708" s="944" t="str">
        <f t="shared" si="266"/>
        <v>6431011001</v>
      </c>
      <c r="J1708" s="991" t="s">
        <v>7475</v>
      </c>
      <c r="K1708" s="890">
        <v>1030606</v>
      </c>
      <c r="L1708" s="890">
        <v>1885</v>
      </c>
      <c r="M1708" s="890">
        <v>57667</v>
      </c>
      <c r="N1708" s="886"/>
      <c r="O1708" s="886"/>
      <c r="P1708" s="886"/>
      <c r="Q1708" s="1172">
        <f t="shared" si="271"/>
        <v>33688</v>
      </c>
      <c r="R1708" s="882"/>
      <c r="S1708" s="1269"/>
      <c r="T1708" s="1254"/>
      <c r="U1708" s="996"/>
      <c r="V1708" s="996"/>
      <c r="W1708" s="992"/>
    </row>
    <row r="1709" spans="1:23" ht="14.5" customHeight="1">
      <c r="A1709" s="1034"/>
      <c r="B1709" s="1034"/>
      <c r="C1709" s="1015"/>
      <c r="D1709" s="999"/>
      <c r="E1709" s="1000"/>
      <c r="F1709" s="999"/>
      <c r="G1709" s="1104" t="str">
        <f t="shared" si="265"/>
        <v>6431011</v>
      </c>
      <c r="H1709" s="1005" t="s">
        <v>5327</v>
      </c>
      <c r="I1709" s="1002" t="str">
        <f t="shared" si="266"/>
        <v>6431011002</v>
      </c>
      <c r="J1709" s="978" t="s">
        <v>7476</v>
      </c>
      <c r="K1709" s="895">
        <v>921535</v>
      </c>
      <c r="L1709" s="872">
        <f>L1708</f>
        <v>1885</v>
      </c>
      <c r="M1709" s="872">
        <f>M1708</f>
        <v>57667</v>
      </c>
      <c r="N1709" s="893"/>
      <c r="O1709" s="893"/>
      <c r="P1709" s="893"/>
      <c r="Q1709" s="1175">
        <f t="shared" si="271"/>
        <v>30123</v>
      </c>
      <c r="R1709" s="900"/>
      <c r="S1709" s="1272"/>
      <c r="T1709" s="900"/>
      <c r="U1709" s="1006"/>
      <c r="V1709" s="1006"/>
      <c r="W1709" s="1003" t="s">
        <v>11452</v>
      </c>
    </row>
    <row r="1710" spans="1:23" ht="14.5" customHeight="1">
      <c r="A1710" s="1034"/>
      <c r="B1710" s="1034"/>
      <c r="C1710" s="1023" t="s">
        <v>7477</v>
      </c>
      <c r="D1710" s="1024" t="str">
        <f t="shared" ref="D1710:D1718" si="273">IF(C1710="","",CONCATENATE(LEFT(C1710,4),MID(C1710,6,2)))</f>
        <v>643102</v>
      </c>
      <c r="E1710" s="1025" t="s">
        <v>7478</v>
      </c>
      <c r="F1710" s="1024" t="str">
        <f t="shared" ref="F1710:F1717" si="274">IF(E1710="","",CONCATENATE(LEFT(E1710,4),MID(E1710,6,3)))</f>
        <v>6431021</v>
      </c>
      <c r="G1710" s="1111" t="str">
        <f>IF(F1710="",#REF!,F1710)</f>
        <v>6431021</v>
      </c>
      <c r="H1710" s="1112" t="s">
        <v>36</v>
      </c>
      <c r="I1710" s="1113" t="str">
        <f t="shared" si="266"/>
        <v>6431021001</v>
      </c>
      <c r="J1710" s="1026" t="s">
        <v>760</v>
      </c>
      <c r="K1710" s="930">
        <v>1785583</v>
      </c>
      <c r="L1710" s="930">
        <v>29860</v>
      </c>
      <c r="M1710" s="930">
        <v>875754</v>
      </c>
      <c r="N1710" s="912"/>
      <c r="O1710" s="912"/>
      <c r="P1710" s="914">
        <f t="shared" si="267"/>
        <v>60882</v>
      </c>
      <c r="Q1710" s="1198">
        <f t="shared" si="271"/>
        <v>60882</v>
      </c>
      <c r="R1710" s="929"/>
      <c r="S1710" s="1280"/>
      <c r="T1710" s="929"/>
      <c r="U1710" s="1022" t="s">
        <v>11453</v>
      </c>
      <c r="V1710" s="1022"/>
      <c r="W1710" s="1027" t="s">
        <v>11454</v>
      </c>
    </row>
    <row r="1711" spans="1:23" ht="14.5" customHeight="1">
      <c r="A1711" s="1034"/>
      <c r="B1711" s="1034"/>
      <c r="C1711" s="1023" t="s">
        <v>7479</v>
      </c>
      <c r="D1711" s="1024" t="str">
        <f t="shared" si="273"/>
        <v>643103</v>
      </c>
      <c r="E1711" s="1025" t="s">
        <v>7480</v>
      </c>
      <c r="F1711" s="1024" t="str">
        <f t="shared" si="274"/>
        <v>6431031</v>
      </c>
      <c r="G1711" s="1111" t="str">
        <f t="shared" si="265"/>
        <v>6431031</v>
      </c>
      <c r="H1711" s="1112" t="s">
        <v>36</v>
      </c>
      <c r="I1711" s="1113" t="str">
        <f t="shared" si="266"/>
        <v>6431031001</v>
      </c>
      <c r="J1711" s="1026" t="s">
        <v>761</v>
      </c>
      <c r="K1711" s="913"/>
      <c r="L1711" s="913"/>
      <c r="M1711" s="913"/>
      <c r="N1711" s="912"/>
      <c r="O1711" s="912"/>
      <c r="P1711" s="914">
        <f t="shared" si="267"/>
        <v>103392</v>
      </c>
      <c r="Q1711" s="1186">
        <v>103392</v>
      </c>
      <c r="R1711" s="929"/>
      <c r="S1711" s="1280"/>
      <c r="T1711" s="929"/>
      <c r="U1711" s="1022" t="s">
        <v>11455</v>
      </c>
      <c r="V1711" s="1022"/>
      <c r="W1711" s="1027" t="s">
        <v>11456</v>
      </c>
    </row>
    <row r="1712" spans="1:23" ht="14.5" customHeight="1">
      <c r="A1712" s="1034"/>
      <c r="B1712" s="1034"/>
      <c r="C1712" s="1023" t="s">
        <v>7481</v>
      </c>
      <c r="D1712" s="1024" t="str">
        <f t="shared" si="273"/>
        <v>643104</v>
      </c>
      <c r="E1712" s="1025" t="s">
        <v>7482</v>
      </c>
      <c r="F1712" s="1024" t="str">
        <f t="shared" si="274"/>
        <v>6431041</v>
      </c>
      <c r="G1712" s="1111" t="str">
        <f t="shared" si="265"/>
        <v>6431041</v>
      </c>
      <c r="H1712" s="1112" t="s">
        <v>5349</v>
      </c>
      <c r="I1712" s="1113" t="str">
        <f t="shared" si="266"/>
        <v>6431041001</v>
      </c>
      <c r="J1712" s="1026" t="s">
        <v>7483</v>
      </c>
      <c r="K1712" s="913"/>
      <c r="L1712" s="913"/>
      <c r="M1712" s="913"/>
      <c r="N1712" s="912"/>
      <c r="O1712" s="912"/>
      <c r="P1712" s="914">
        <f t="shared" si="267"/>
        <v>100505</v>
      </c>
      <c r="Q1712" s="1186">
        <v>100505</v>
      </c>
      <c r="R1712" s="929"/>
      <c r="S1712" s="1280"/>
      <c r="T1712" s="929"/>
      <c r="U1712" s="1022" t="s">
        <v>11455</v>
      </c>
      <c r="V1712" s="1022"/>
      <c r="W1712" s="1027" t="s">
        <v>11457</v>
      </c>
    </row>
    <row r="1713" spans="1:23" ht="14.5" customHeight="1">
      <c r="A1713" s="1034"/>
      <c r="B1713" s="1034"/>
      <c r="C1713" s="1023" t="s">
        <v>7484</v>
      </c>
      <c r="D1713" s="1024" t="str">
        <f t="shared" si="273"/>
        <v>643105</v>
      </c>
      <c r="E1713" s="1025" t="s">
        <v>7485</v>
      </c>
      <c r="F1713" s="1024" t="str">
        <f t="shared" si="274"/>
        <v>6431051</v>
      </c>
      <c r="G1713" s="1111" t="str">
        <f t="shared" si="265"/>
        <v>6431051</v>
      </c>
      <c r="H1713" s="1112"/>
      <c r="I1713" s="1113" t="str">
        <f t="shared" si="266"/>
        <v/>
      </c>
      <c r="J1713" s="1026" t="s">
        <v>7486</v>
      </c>
      <c r="K1713" s="930">
        <f>1000848+1747063+661106</f>
        <v>3409017</v>
      </c>
      <c r="L1713" s="930">
        <v>24636</v>
      </c>
      <c r="M1713" s="930">
        <v>770122</v>
      </c>
      <c r="N1713" s="912"/>
      <c r="O1713" s="912"/>
      <c r="P1713" s="914">
        <f>Q1713</f>
        <v>109054</v>
      </c>
      <c r="Q1713" s="1198">
        <f t="shared" si="271"/>
        <v>109054</v>
      </c>
      <c r="R1713" s="929"/>
      <c r="S1713" s="1280"/>
      <c r="T1713" s="929"/>
      <c r="U1713" s="1022" t="s">
        <v>11458</v>
      </c>
      <c r="V1713" s="1022"/>
      <c r="W1713" s="1027"/>
    </row>
    <row r="1714" spans="1:23" ht="14.5" customHeight="1">
      <c r="A1714" s="1034"/>
      <c r="B1714" s="1034"/>
      <c r="C1714" s="1023" t="s">
        <v>7487</v>
      </c>
      <c r="D1714" s="1024" t="str">
        <f t="shared" si="273"/>
        <v>644101</v>
      </c>
      <c r="E1714" s="1025" t="s">
        <v>7488</v>
      </c>
      <c r="F1714" s="1024" t="str">
        <f t="shared" si="274"/>
        <v>6441011</v>
      </c>
      <c r="G1714" s="1111" t="str">
        <f>IF(F1714="",G1711,F1714)</f>
        <v>6441011</v>
      </c>
      <c r="H1714" s="1112" t="s">
        <v>36</v>
      </c>
      <c r="I1714" s="1113" t="str">
        <f t="shared" si="266"/>
        <v>6441011001</v>
      </c>
      <c r="J1714" s="1026" t="s">
        <v>7489</v>
      </c>
      <c r="K1714" s="930">
        <v>4056104</v>
      </c>
      <c r="L1714" s="930">
        <v>146594114.57699999</v>
      </c>
      <c r="M1714" s="930">
        <v>3539844841.598</v>
      </c>
      <c r="N1714" s="912"/>
      <c r="O1714" s="912"/>
      <c r="P1714" s="914">
        <f t="shared" si="267"/>
        <v>167974</v>
      </c>
      <c r="Q1714" s="1198">
        <f t="shared" si="271"/>
        <v>167974</v>
      </c>
      <c r="R1714" s="929"/>
      <c r="S1714" s="1280"/>
      <c r="T1714" s="929"/>
      <c r="U1714" s="1022" t="s">
        <v>11459</v>
      </c>
      <c r="V1714" s="1022"/>
      <c r="W1714" s="1027" t="s">
        <v>10293</v>
      </c>
    </row>
    <row r="1715" spans="1:23" ht="14.5" customHeight="1">
      <c r="A1715" s="1034"/>
      <c r="B1715" s="1034"/>
      <c r="C1715" s="1023" t="s">
        <v>7490</v>
      </c>
      <c r="D1715" s="1024" t="str">
        <f t="shared" si="273"/>
        <v>644102</v>
      </c>
      <c r="E1715" s="1025" t="s">
        <v>7491</v>
      </c>
      <c r="F1715" s="1024" t="str">
        <f t="shared" si="274"/>
        <v>6441021</v>
      </c>
      <c r="G1715" s="1111" t="str">
        <f>IF(F1715="",G1714,F1715)</f>
        <v>6441021</v>
      </c>
      <c r="H1715" s="1112" t="s">
        <v>36</v>
      </c>
      <c r="I1715" s="1113" t="str">
        <f t="shared" si="266"/>
        <v>6441021001</v>
      </c>
      <c r="J1715" s="1026" t="s">
        <v>7492</v>
      </c>
      <c r="K1715" s="930">
        <v>7541109</v>
      </c>
      <c r="L1715" s="930">
        <f>465875881.687-146594114.577</f>
        <v>319281767.11000001</v>
      </c>
      <c r="M1715" s="930">
        <f>10724706685.813-3539844841.598</f>
        <v>7184861844.2150002</v>
      </c>
      <c r="N1715" s="912"/>
      <c r="O1715" s="912"/>
      <c r="P1715" s="914">
        <f t="shared" si="267"/>
        <v>335113</v>
      </c>
      <c r="Q1715" s="1198">
        <f t="shared" si="271"/>
        <v>335113</v>
      </c>
      <c r="R1715" s="929"/>
      <c r="S1715" s="1280"/>
      <c r="T1715" s="929"/>
      <c r="U1715" s="1022" t="s">
        <v>10129</v>
      </c>
      <c r="V1715" s="1022"/>
      <c r="W1715" s="1027" t="s">
        <v>11460</v>
      </c>
    </row>
    <row r="1716" spans="1:23" ht="14.5" customHeight="1">
      <c r="A1716" s="1034"/>
      <c r="B1716" s="1034"/>
      <c r="C1716" s="1023" t="s">
        <v>7493</v>
      </c>
      <c r="D1716" s="1024" t="str">
        <f t="shared" si="273"/>
        <v>659901</v>
      </c>
      <c r="E1716" s="1025" t="s">
        <v>7494</v>
      </c>
      <c r="F1716" s="1024" t="str">
        <f t="shared" si="274"/>
        <v>6599011</v>
      </c>
      <c r="G1716" s="1111" t="str">
        <f>IF(F1716="",G1715,F1716)</f>
        <v>6599011</v>
      </c>
      <c r="H1716" s="1112" t="s">
        <v>36</v>
      </c>
      <c r="I1716" s="1113" t="str">
        <f t="shared" si="266"/>
        <v>6599011001</v>
      </c>
      <c r="J1716" s="1026" t="s">
        <v>770</v>
      </c>
      <c r="K1716" s="930">
        <v>1066357</v>
      </c>
      <c r="L1716" s="930">
        <f>5189+253+4011</f>
        <v>9453</v>
      </c>
      <c r="M1716" s="930">
        <f>141016+4547+112481+8662</f>
        <v>266706</v>
      </c>
      <c r="N1716" s="912"/>
      <c r="O1716" s="912"/>
      <c r="P1716" s="914">
        <f t="shared" si="267"/>
        <v>37795</v>
      </c>
      <c r="Q1716" s="1198">
        <f t="shared" si="271"/>
        <v>37795</v>
      </c>
      <c r="R1716" s="929"/>
      <c r="S1716" s="1280"/>
      <c r="T1716" s="929"/>
      <c r="U1716" s="1022" t="s">
        <v>11250</v>
      </c>
      <c r="V1716" s="1022"/>
      <c r="W1716" s="1027" t="s">
        <v>11461</v>
      </c>
    </row>
    <row r="1717" spans="1:23" ht="14.5" customHeight="1">
      <c r="A1717" s="1034"/>
      <c r="B1717" s="1034"/>
      <c r="C1717" s="1023" t="s">
        <v>7495</v>
      </c>
      <c r="D1717" s="1024" t="str">
        <f t="shared" si="273"/>
        <v>659902</v>
      </c>
      <c r="E1717" s="1025" t="s">
        <v>7496</v>
      </c>
      <c r="F1717" s="1024" t="str">
        <f t="shared" si="274"/>
        <v>6599021</v>
      </c>
      <c r="G1717" s="1111" t="str">
        <f>IF(F1717="",G1716,F1717)</f>
        <v>6599021</v>
      </c>
      <c r="H1717" s="1112" t="s">
        <v>36</v>
      </c>
      <c r="I1717" s="1113" t="str">
        <f t="shared" si="266"/>
        <v>6599021001</v>
      </c>
      <c r="J1717" s="1063" t="s">
        <v>7497</v>
      </c>
      <c r="K1717" s="930">
        <v>3708323</v>
      </c>
      <c r="L1717" s="930">
        <f>1083+242+205+4222+11828+1979</f>
        <v>19559</v>
      </c>
      <c r="M1717" s="930">
        <f>31258+10211+6782+125111+256179+46546</f>
        <v>476087</v>
      </c>
      <c r="N1717" s="912"/>
      <c r="O1717" s="912"/>
      <c r="P1717" s="914">
        <f t="shared" si="267"/>
        <v>152348</v>
      </c>
      <c r="Q1717" s="1198">
        <f t="shared" si="271"/>
        <v>152348</v>
      </c>
      <c r="R1717" s="929"/>
      <c r="S1717" s="1289">
        <f>'CT2015'!K1619</f>
        <v>7.5064845246508831</v>
      </c>
      <c r="T1717" s="929">
        <f>ROUND(Q1717*S1717/100,0)</f>
        <v>11436</v>
      </c>
      <c r="U1717" s="1022" t="s">
        <v>11250</v>
      </c>
      <c r="V1717" s="1022"/>
      <c r="W1717" s="1027" t="s">
        <v>11462</v>
      </c>
    </row>
    <row r="1718" spans="1:23" ht="14.5" customHeight="1">
      <c r="A1718" s="1034"/>
      <c r="B1718" s="1034"/>
      <c r="C1718" s="981" t="s">
        <v>7498</v>
      </c>
      <c r="D1718" s="982" t="str">
        <f t="shared" si="273"/>
        <v>661101</v>
      </c>
      <c r="E1718" s="989"/>
      <c r="F1718" s="988"/>
      <c r="J1718" s="1013" t="s">
        <v>7499</v>
      </c>
      <c r="K1718" s="886"/>
      <c r="L1718" s="873"/>
      <c r="M1718" s="873"/>
      <c r="N1718" s="886"/>
      <c r="O1718" s="886"/>
      <c r="P1718" s="896">
        <f>Q1719+Q1748+Q1752+Q1756+Q1760</f>
        <v>214004</v>
      </c>
      <c r="Q1718" s="1171"/>
      <c r="R1718" s="882"/>
      <c r="S1718" s="1269"/>
      <c r="T1718" s="1254"/>
      <c r="U1718" s="996" t="s">
        <v>11463</v>
      </c>
      <c r="V1718" s="996"/>
      <c r="W1718" s="992" t="s">
        <v>11464</v>
      </c>
    </row>
    <row r="1719" spans="1:23" ht="14.5" customHeight="1">
      <c r="A1719" s="1034"/>
      <c r="B1719" s="1034"/>
      <c r="C1719" s="994"/>
      <c r="E1719" s="989" t="s">
        <v>7500</v>
      </c>
      <c r="F1719" s="988" t="str">
        <f>IF(E1719="","",CONCATENATE(LEFT(E1719,4),MID(E1719,6,3)))</f>
        <v>6611011</v>
      </c>
      <c r="G1719" s="1095" t="str">
        <f>IF(F1719="",G1717,F1719)</f>
        <v>6611011</v>
      </c>
      <c r="J1719" s="1013" t="s">
        <v>7501</v>
      </c>
      <c r="K1719" s="886"/>
      <c r="L1719" s="873"/>
      <c r="M1719" s="873"/>
      <c r="N1719" s="886"/>
      <c r="O1719" s="886"/>
      <c r="P1719" s="882"/>
      <c r="Q1719" s="1171">
        <f>SUM(Q1720,Q1724,Q1728,Q1732,Q1736,Q1740,Q1744)</f>
        <v>63986</v>
      </c>
      <c r="R1719" s="882"/>
      <c r="S1719" s="1269"/>
      <c r="T1719" s="1254"/>
      <c r="U1719" s="996"/>
      <c r="V1719" s="996"/>
      <c r="W1719" s="992"/>
    </row>
    <row r="1720" spans="1:23" ht="14.5" customHeight="1">
      <c r="A1720" s="1034"/>
      <c r="B1720" s="1034"/>
      <c r="C1720" s="994"/>
      <c r="E1720" s="989"/>
      <c r="F1720" s="988" t="str">
        <f>IF(E1720="","",CONCATENATE(LEFT(E1720,4),MID(E1720,6,3)))</f>
        <v/>
      </c>
      <c r="G1720" s="1095" t="str">
        <f>IF(F1720="",G1719,F1720)</f>
        <v>6611011</v>
      </c>
      <c r="J1720" s="1013" t="s">
        <v>11465</v>
      </c>
      <c r="K1720" s="886"/>
      <c r="L1720" s="873"/>
      <c r="M1720" s="873"/>
      <c r="N1720" s="886"/>
      <c r="O1720" s="886"/>
      <c r="P1720" s="882"/>
      <c r="Q1720" s="1171">
        <f>SUM(Q1721:Q1723)</f>
        <v>18384</v>
      </c>
      <c r="R1720" s="882"/>
      <c r="S1720" s="1269"/>
      <c r="T1720" s="1254"/>
      <c r="U1720" s="996"/>
      <c r="V1720" s="996"/>
      <c r="W1720" s="992"/>
    </row>
    <row r="1721" spans="1:23" ht="14.5" customHeight="1">
      <c r="A1721" s="1034"/>
      <c r="B1721" s="1034"/>
      <c r="C1721" s="994"/>
      <c r="E1721" s="989"/>
      <c r="F1721" s="988"/>
      <c r="G1721" s="1095" t="str">
        <f>IF(F1721="",G1719,F1721)</f>
        <v>6611011</v>
      </c>
      <c r="H1721" s="1016" t="s">
        <v>5637</v>
      </c>
      <c r="I1721" s="944" t="str">
        <f t="shared" ref="I1721" si="275">IF(H1721="","",CONCATENATE(G1721,H1721))</f>
        <v>6611011101</v>
      </c>
      <c r="J1721" s="992" t="s">
        <v>11466</v>
      </c>
      <c r="K1721" s="890">
        <v>137737</v>
      </c>
      <c r="L1721" s="890">
        <v>18707.05</v>
      </c>
      <c r="M1721" s="890">
        <v>795120.14</v>
      </c>
      <c r="N1721" s="886"/>
      <c r="O1721" s="886"/>
      <c r="P1721" s="882"/>
      <c r="Q1721" s="1162">
        <f>ROUND(K1721*L1721/M1721,0)</f>
        <v>3241</v>
      </c>
      <c r="R1721" s="882"/>
      <c r="S1721" s="1269"/>
      <c r="T1721" s="1254"/>
      <c r="U1721" s="996"/>
      <c r="V1721" s="996"/>
      <c r="W1721" s="992"/>
    </row>
    <row r="1722" spans="1:23" ht="14.5" customHeight="1">
      <c r="A1722" s="1034"/>
      <c r="B1722" s="1034"/>
      <c r="C1722" s="994"/>
      <c r="E1722" s="989"/>
      <c r="F1722" s="988"/>
      <c r="G1722" s="1095" t="str">
        <f>IF(F1722="",G1720,F1722)</f>
        <v>6611011</v>
      </c>
      <c r="H1722" s="1016" t="s">
        <v>5657</v>
      </c>
      <c r="I1722" s="944" t="str">
        <f t="shared" si="266"/>
        <v>6611011102</v>
      </c>
      <c r="J1722" s="992" t="s">
        <v>11467</v>
      </c>
      <c r="K1722" s="890">
        <v>195388</v>
      </c>
      <c r="L1722" s="890">
        <v>1262.75</v>
      </c>
      <c r="M1722" s="890">
        <v>98376.6</v>
      </c>
      <c r="N1722" s="886"/>
      <c r="O1722" s="886"/>
      <c r="P1722" s="882"/>
      <c r="Q1722" s="1162">
        <f>ROUND(K1722*L1722/M1722,0)</f>
        <v>2508</v>
      </c>
      <c r="R1722" s="882"/>
      <c r="S1722" s="1269"/>
      <c r="T1722" s="1254"/>
      <c r="U1722" s="996"/>
      <c r="V1722" s="996"/>
      <c r="W1722" s="992"/>
    </row>
    <row r="1723" spans="1:23" ht="14.5" customHeight="1">
      <c r="A1723" s="1034"/>
      <c r="B1723" s="1034"/>
      <c r="C1723" s="994"/>
      <c r="E1723" s="989"/>
      <c r="F1723" s="988"/>
      <c r="G1723" s="1095" t="str">
        <f t="shared" ref="G1723:G1758" si="276">IF(F1723="",G1722,F1723)</f>
        <v>6611011</v>
      </c>
      <c r="H1723" s="1016" t="s">
        <v>5659</v>
      </c>
      <c r="I1723" s="944" t="str">
        <f t="shared" si="266"/>
        <v>6611011103</v>
      </c>
      <c r="J1723" s="992" t="s">
        <v>7503</v>
      </c>
      <c r="K1723" s="890">
        <v>361225</v>
      </c>
      <c r="L1723" s="890">
        <v>12965.28</v>
      </c>
      <c r="M1723" s="890">
        <v>370676.71</v>
      </c>
      <c r="N1723" s="886"/>
      <c r="O1723" s="886"/>
      <c r="P1723" s="882"/>
      <c r="Q1723" s="1162">
        <f>ROUND(K1723*L1723/M1723,0)</f>
        <v>12635</v>
      </c>
      <c r="R1723" s="882"/>
      <c r="S1723" s="1269"/>
      <c r="T1723" s="1254"/>
      <c r="U1723" s="996"/>
      <c r="V1723" s="996"/>
      <c r="W1723" s="992"/>
    </row>
    <row r="1724" spans="1:23" ht="14.5" customHeight="1">
      <c r="A1724" s="1034"/>
      <c r="B1724" s="1034"/>
      <c r="C1724" s="994"/>
      <c r="E1724" s="989"/>
      <c r="F1724" s="988"/>
      <c r="G1724" s="1095" t="str">
        <f>IF(F1724="",G1719,F1724)</f>
        <v>6611011</v>
      </c>
      <c r="J1724" s="1013" t="s">
        <v>11468</v>
      </c>
      <c r="K1724" s="886"/>
      <c r="L1724" s="873"/>
      <c r="M1724" s="873"/>
      <c r="N1724" s="886"/>
      <c r="O1724" s="886"/>
      <c r="P1724" s="882"/>
      <c r="Q1724" s="1171">
        <f>SUM(Q1725:Q1727)</f>
        <v>5132</v>
      </c>
      <c r="R1724" s="882"/>
      <c r="S1724" s="1269"/>
      <c r="T1724" s="1254"/>
      <c r="U1724" s="996"/>
      <c r="V1724" s="996"/>
      <c r="W1724" s="992"/>
    </row>
    <row r="1725" spans="1:23" ht="14.5" customHeight="1">
      <c r="A1725" s="1034"/>
      <c r="B1725" s="1034"/>
      <c r="C1725" s="994"/>
      <c r="E1725" s="989"/>
      <c r="F1725" s="988"/>
      <c r="G1725" s="1095" t="str">
        <f t="shared" ref="G1725:G1726" si="277">IF(F1725="",G1724,F1725)</f>
        <v>6611011</v>
      </c>
      <c r="H1725" s="1016" t="s">
        <v>5455</v>
      </c>
      <c r="I1725" s="944" t="str">
        <f t="shared" ref="I1725:I1727" si="278">IF(H1725="","",CONCATENATE(G1725,H1725))</f>
        <v>6611011201</v>
      </c>
      <c r="J1725" s="992" t="s">
        <v>11469</v>
      </c>
      <c r="K1725" s="890">
        <v>15931</v>
      </c>
      <c r="L1725" s="890">
        <v>3505.15</v>
      </c>
      <c r="M1725" s="890">
        <v>99738.55</v>
      </c>
      <c r="N1725" s="886"/>
      <c r="O1725" s="886"/>
      <c r="P1725" s="886"/>
      <c r="Q1725" s="1162">
        <f t="shared" ref="Q1725:Q1727" si="279">ROUND(K1725*L1725/M1725,0)</f>
        <v>560</v>
      </c>
      <c r="R1725" s="882"/>
      <c r="S1725" s="1269"/>
      <c r="T1725" s="1254"/>
      <c r="U1725" s="996"/>
      <c r="V1725" s="996"/>
      <c r="W1725" s="992"/>
    </row>
    <row r="1726" spans="1:23" ht="14.5" customHeight="1">
      <c r="A1726" s="1034"/>
      <c r="B1726" s="1034"/>
      <c r="C1726" s="994"/>
      <c r="E1726" s="989"/>
      <c r="F1726" s="988"/>
      <c r="G1726" s="1095" t="str">
        <f t="shared" si="277"/>
        <v>6611011</v>
      </c>
      <c r="H1726" s="1016" t="s">
        <v>5457</v>
      </c>
      <c r="I1726" s="944" t="str">
        <f t="shared" si="278"/>
        <v>6611011202</v>
      </c>
      <c r="J1726" s="992" t="s">
        <v>11470</v>
      </c>
      <c r="K1726" s="890">
        <v>23298</v>
      </c>
      <c r="L1726" s="890">
        <v>139.18</v>
      </c>
      <c r="M1726" s="890">
        <v>11768.9</v>
      </c>
      <c r="N1726" s="886"/>
      <c r="O1726" s="886"/>
      <c r="P1726" s="886"/>
      <c r="Q1726" s="1162">
        <f t="shared" si="279"/>
        <v>276</v>
      </c>
      <c r="R1726" s="882"/>
      <c r="S1726" s="1269"/>
      <c r="T1726" s="1254"/>
      <c r="U1726" s="996"/>
      <c r="V1726" s="996"/>
      <c r="W1726" s="992"/>
    </row>
    <row r="1727" spans="1:23" ht="14.5" customHeight="1">
      <c r="A1727" s="1034"/>
      <c r="B1727" s="1034"/>
      <c r="C1727" s="994"/>
      <c r="E1727" s="989"/>
      <c r="F1727" s="988"/>
      <c r="G1727" s="1095" t="str">
        <f>IF(F1727="",G1725,F1727)</f>
        <v>6611011</v>
      </c>
      <c r="H1727" s="1016" t="s">
        <v>5387</v>
      </c>
      <c r="I1727" s="944" t="str">
        <f t="shared" si="278"/>
        <v>6611011203</v>
      </c>
      <c r="J1727" s="992" t="s">
        <v>7503</v>
      </c>
      <c r="K1727" s="890">
        <v>56276</v>
      </c>
      <c r="L1727" s="890">
        <v>4407.96</v>
      </c>
      <c r="M1727" s="890">
        <v>57748.160000000003</v>
      </c>
      <c r="N1727" s="886"/>
      <c r="O1727" s="886"/>
      <c r="P1727" s="886"/>
      <c r="Q1727" s="1162">
        <f t="shared" si="279"/>
        <v>4296</v>
      </c>
      <c r="R1727" s="882"/>
      <c r="S1727" s="1269"/>
      <c r="T1727" s="1254"/>
      <c r="U1727" s="996"/>
      <c r="V1727" s="996"/>
      <c r="W1727" s="992"/>
    </row>
    <row r="1728" spans="1:23" ht="14.5" customHeight="1">
      <c r="A1728" s="1034"/>
      <c r="B1728" s="1034"/>
      <c r="C1728" s="994"/>
      <c r="E1728" s="989"/>
      <c r="F1728" s="988"/>
      <c r="G1728" s="1095" t="str">
        <f>IF(F1728="",G1723,F1728)</f>
        <v>6611011</v>
      </c>
      <c r="J1728" s="1013" t="s">
        <v>11471</v>
      </c>
      <c r="K1728" s="886"/>
      <c r="L1728" s="873"/>
      <c r="M1728" s="873"/>
      <c r="N1728" s="886"/>
      <c r="O1728" s="886"/>
      <c r="P1728" s="882"/>
      <c r="Q1728" s="1171">
        <f>SUM(Q1729:Q1731)</f>
        <v>6391</v>
      </c>
      <c r="R1728" s="882"/>
      <c r="S1728" s="1269"/>
      <c r="T1728" s="1254"/>
      <c r="U1728" s="996"/>
      <c r="V1728" s="996"/>
      <c r="W1728" s="992"/>
    </row>
    <row r="1729" spans="1:23" ht="14.5" customHeight="1">
      <c r="A1729" s="1034"/>
      <c r="B1729" s="1034"/>
      <c r="C1729" s="994"/>
      <c r="E1729" s="989"/>
      <c r="F1729" s="988"/>
      <c r="G1729" s="1095" t="str">
        <f t="shared" ref="G1729:G1730" si="280">IF(F1729="",G1728,F1729)</f>
        <v>6611011</v>
      </c>
      <c r="H1729" s="1016" t="s">
        <v>5476</v>
      </c>
      <c r="I1729" s="944" t="str">
        <f t="shared" ref="I1729:I1731" si="281">IF(H1729="","",CONCATENATE(G1729,H1729))</f>
        <v>6611011301</v>
      </c>
      <c r="J1729" s="992" t="s">
        <v>11469</v>
      </c>
      <c r="K1729" s="890">
        <v>45036</v>
      </c>
      <c r="L1729" s="890">
        <v>11017.17</v>
      </c>
      <c r="M1729" s="890">
        <v>347457.66</v>
      </c>
      <c r="N1729" s="886"/>
      <c r="O1729" s="886"/>
      <c r="P1729" s="886"/>
      <c r="Q1729" s="1162">
        <f t="shared" ref="Q1729:Q1731" si="282">ROUND(K1729*L1729/M1729,0)</f>
        <v>1428</v>
      </c>
      <c r="R1729" s="882"/>
      <c r="S1729" s="1269"/>
      <c r="T1729" s="1254"/>
      <c r="U1729" s="996"/>
      <c r="V1729" s="996"/>
      <c r="W1729" s="992"/>
    </row>
    <row r="1730" spans="1:23" ht="14.5" customHeight="1">
      <c r="A1730" s="1034"/>
      <c r="B1730" s="1034"/>
      <c r="C1730" s="994"/>
      <c r="E1730" s="989"/>
      <c r="F1730" s="988"/>
      <c r="G1730" s="1095" t="str">
        <f t="shared" si="280"/>
        <v>6611011</v>
      </c>
      <c r="H1730" s="1016" t="s">
        <v>5777</v>
      </c>
      <c r="I1730" s="944" t="str">
        <f t="shared" si="281"/>
        <v>6611011302</v>
      </c>
      <c r="J1730" s="992" t="s">
        <v>11470</v>
      </c>
      <c r="K1730" s="890">
        <v>26507</v>
      </c>
      <c r="L1730" s="890">
        <v>133.30000000000001</v>
      </c>
      <c r="M1730" s="890">
        <v>19339.310000000001</v>
      </c>
      <c r="N1730" s="886"/>
      <c r="O1730" s="886"/>
      <c r="P1730" s="886"/>
      <c r="Q1730" s="1162">
        <f t="shared" si="282"/>
        <v>183</v>
      </c>
      <c r="R1730" s="882"/>
      <c r="S1730" s="1269"/>
      <c r="T1730" s="1254"/>
      <c r="U1730" s="996"/>
      <c r="V1730" s="996"/>
      <c r="W1730" s="992"/>
    </row>
    <row r="1731" spans="1:23" ht="14.5" customHeight="1">
      <c r="A1731" s="1034"/>
      <c r="B1731" s="1034"/>
      <c r="C1731" s="994"/>
      <c r="E1731" s="989"/>
      <c r="F1731" s="988"/>
      <c r="G1731" s="1095" t="str">
        <f>IF(F1731="",G1729,F1731)</f>
        <v>6611011</v>
      </c>
      <c r="H1731" s="1016" t="s">
        <v>5867</v>
      </c>
      <c r="I1731" s="944" t="str">
        <f t="shared" si="281"/>
        <v>6611011303</v>
      </c>
      <c r="J1731" s="992" t="s">
        <v>7503</v>
      </c>
      <c r="K1731" s="890">
        <v>164825</v>
      </c>
      <c r="L1731" s="890">
        <v>4905.54</v>
      </c>
      <c r="M1731" s="890">
        <v>169138.19</v>
      </c>
      <c r="N1731" s="886"/>
      <c r="O1731" s="886"/>
      <c r="P1731" s="886"/>
      <c r="Q1731" s="1162">
        <f t="shared" si="282"/>
        <v>4780</v>
      </c>
      <c r="R1731" s="882"/>
      <c r="S1731" s="1269"/>
      <c r="T1731" s="1254"/>
      <c r="U1731" s="996"/>
      <c r="V1731" s="996"/>
      <c r="W1731" s="992"/>
    </row>
    <row r="1732" spans="1:23" ht="14.5" customHeight="1">
      <c r="A1732" s="1034"/>
      <c r="B1732" s="1034"/>
      <c r="C1732" s="994"/>
      <c r="E1732" s="989"/>
      <c r="F1732" s="988"/>
      <c r="G1732" s="1095" t="str">
        <f>IF(F1732="",G1727,F1732)</f>
        <v>6611011</v>
      </c>
      <c r="J1732" s="1013" t="s">
        <v>11472</v>
      </c>
      <c r="K1732" s="886"/>
      <c r="L1732" s="873"/>
      <c r="M1732" s="873"/>
      <c r="N1732" s="886"/>
      <c r="O1732" s="886"/>
      <c r="P1732" s="882"/>
      <c r="Q1732" s="1171">
        <f>SUM(Q1733:Q1735)</f>
        <v>4384</v>
      </c>
      <c r="R1732" s="882"/>
      <c r="S1732" s="1269"/>
      <c r="T1732" s="1254"/>
      <c r="U1732" s="996"/>
      <c r="V1732" s="996"/>
      <c r="W1732" s="992"/>
    </row>
    <row r="1733" spans="1:23" ht="14.5" customHeight="1">
      <c r="A1733" s="1034"/>
      <c r="B1733" s="1034"/>
      <c r="C1733" s="994"/>
      <c r="E1733" s="989"/>
      <c r="F1733" s="988"/>
      <c r="G1733" s="1095" t="str">
        <f t="shared" ref="G1733:G1734" si="283">IF(F1733="",G1732,F1733)</f>
        <v>6611011</v>
      </c>
      <c r="H1733" s="1016" t="s">
        <v>5605</v>
      </c>
      <c r="I1733" s="944" t="str">
        <f t="shared" ref="I1733:I1735" si="284">IF(H1733="","",CONCATENATE(G1733,H1733))</f>
        <v>6611011401</v>
      </c>
      <c r="J1733" s="992" t="s">
        <v>11469</v>
      </c>
      <c r="K1733" s="890">
        <v>72685</v>
      </c>
      <c r="L1733" s="890">
        <v>5896.55</v>
      </c>
      <c r="M1733" s="890">
        <v>391839.76</v>
      </c>
      <c r="N1733" s="886"/>
      <c r="O1733" s="886"/>
      <c r="P1733" s="886"/>
      <c r="Q1733" s="1162">
        <f>ROUND(K1733*L1733/M1733,0)</f>
        <v>1094</v>
      </c>
      <c r="R1733" s="882"/>
      <c r="S1733" s="1269"/>
      <c r="T1733" s="1254"/>
      <c r="U1733" s="996"/>
      <c r="V1733" s="996"/>
      <c r="W1733" s="992"/>
    </row>
    <row r="1734" spans="1:23" ht="14.5" customHeight="1">
      <c r="A1734" s="1034"/>
      <c r="B1734" s="1034"/>
      <c r="C1734" s="994"/>
      <c r="E1734" s="989"/>
      <c r="F1734" s="988"/>
      <c r="G1734" s="1095" t="str">
        <f t="shared" si="283"/>
        <v>6611011</v>
      </c>
      <c r="H1734" s="1016" t="s">
        <v>7409</v>
      </c>
      <c r="I1734" s="944" t="str">
        <f t="shared" si="284"/>
        <v>6611011402</v>
      </c>
      <c r="J1734" s="992" t="s">
        <v>11470</v>
      </c>
      <c r="K1734" s="890">
        <v>32102</v>
      </c>
      <c r="L1734" s="890">
        <v>298.64999999999998</v>
      </c>
      <c r="M1734" s="890">
        <v>39784.269999999997</v>
      </c>
      <c r="N1734" s="886"/>
      <c r="O1734" s="886"/>
      <c r="P1734" s="886"/>
      <c r="Q1734" s="1162">
        <f t="shared" ref="Q1734:Q1735" si="285">ROUND(K1734*L1734/M1734,0)</f>
        <v>241</v>
      </c>
      <c r="R1734" s="882"/>
      <c r="S1734" s="1269"/>
      <c r="T1734" s="1254"/>
      <c r="U1734" s="996"/>
      <c r="V1734" s="996"/>
      <c r="W1734" s="992"/>
    </row>
    <row r="1735" spans="1:23" ht="14.5" customHeight="1">
      <c r="A1735" s="1034"/>
      <c r="B1735" s="1034"/>
      <c r="C1735" s="994"/>
      <c r="E1735" s="989"/>
      <c r="F1735" s="988"/>
      <c r="G1735" s="1095" t="str">
        <f>IF(F1735="",G1733,F1735)</f>
        <v>6611011</v>
      </c>
      <c r="H1735" s="1016" t="s">
        <v>11473</v>
      </c>
      <c r="I1735" s="944" t="str">
        <f t="shared" si="284"/>
        <v>6611011403</v>
      </c>
      <c r="J1735" s="992" t="s">
        <v>7503</v>
      </c>
      <c r="K1735" s="890">
        <v>138818</v>
      </c>
      <c r="L1735" s="890">
        <v>3128.57</v>
      </c>
      <c r="M1735" s="890">
        <v>142449.99</v>
      </c>
      <c r="N1735" s="886"/>
      <c r="O1735" s="886"/>
      <c r="P1735" s="886"/>
      <c r="Q1735" s="1162">
        <f t="shared" si="285"/>
        <v>3049</v>
      </c>
      <c r="R1735" s="882"/>
      <c r="S1735" s="1269"/>
      <c r="T1735" s="1254"/>
      <c r="U1735" s="996"/>
      <c r="V1735" s="996"/>
      <c r="W1735" s="992"/>
    </row>
    <row r="1736" spans="1:23" ht="14.5" customHeight="1">
      <c r="A1736" s="1034"/>
      <c r="B1736" s="1034"/>
      <c r="C1736" s="994"/>
      <c r="E1736" s="989"/>
      <c r="F1736" s="988"/>
      <c r="G1736" s="1095" t="str">
        <f>IF(F1736="",G1731,F1736)</f>
        <v>6611011</v>
      </c>
      <c r="J1736" s="1013" t="s">
        <v>11474</v>
      </c>
      <c r="K1736" s="886"/>
      <c r="L1736" s="873"/>
      <c r="M1736" s="873"/>
      <c r="N1736" s="886"/>
      <c r="O1736" s="886"/>
      <c r="P1736" s="882"/>
      <c r="Q1736" s="1171">
        <f>SUM(Q1737:Q1739)</f>
        <v>7742</v>
      </c>
      <c r="R1736" s="882"/>
      <c r="S1736" s="1269"/>
      <c r="T1736" s="1254"/>
      <c r="U1736" s="996"/>
      <c r="V1736" s="996"/>
      <c r="W1736" s="992"/>
    </row>
    <row r="1737" spans="1:23" ht="14.5" customHeight="1">
      <c r="A1737" s="1034"/>
      <c r="B1737" s="1034"/>
      <c r="C1737" s="994"/>
      <c r="E1737" s="989"/>
      <c r="F1737" s="988"/>
      <c r="G1737" s="1095" t="str">
        <f t="shared" ref="G1737:G1738" si="286">IF(F1737="",G1736,F1737)</f>
        <v>6611011</v>
      </c>
      <c r="H1737" s="1016" t="s">
        <v>5740</v>
      </c>
      <c r="I1737" s="944" t="str">
        <f t="shared" ref="I1737:I1739" si="287">IF(H1737="","",CONCATENATE(G1737,H1737))</f>
        <v>6611011501</v>
      </c>
      <c r="J1737" s="992" t="s">
        <v>11469</v>
      </c>
      <c r="K1737" s="890">
        <v>60611</v>
      </c>
      <c r="L1737" s="890">
        <v>22051.25</v>
      </c>
      <c r="M1737" s="890">
        <v>795371.74</v>
      </c>
      <c r="N1737" s="886"/>
      <c r="O1737" s="886"/>
      <c r="P1737" s="886"/>
      <c r="Q1737" s="1162">
        <f t="shared" ref="Q1737:Q1739" si="288">ROUND(K1737*L1737/M1737,0)</f>
        <v>1680</v>
      </c>
      <c r="R1737" s="882"/>
      <c r="S1737" s="1269"/>
      <c r="T1737" s="1254"/>
      <c r="U1737" s="996"/>
      <c r="V1737" s="996"/>
      <c r="W1737" s="992"/>
    </row>
    <row r="1738" spans="1:23" ht="14.5" customHeight="1">
      <c r="A1738" s="1034"/>
      <c r="B1738" s="1034"/>
      <c r="C1738" s="994"/>
      <c r="E1738" s="989"/>
      <c r="F1738" s="988"/>
      <c r="G1738" s="1095" t="str">
        <f t="shared" si="286"/>
        <v>6611011</v>
      </c>
      <c r="H1738" s="1016" t="s">
        <v>5742</v>
      </c>
      <c r="I1738" s="944" t="str">
        <f t="shared" si="287"/>
        <v>6611011502</v>
      </c>
      <c r="J1738" s="992" t="s">
        <v>11470</v>
      </c>
      <c r="K1738" s="890">
        <v>287439</v>
      </c>
      <c r="L1738" s="890">
        <v>154.1</v>
      </c>
      <c r="M1738" s="890">
        <v>19293.439999999999</v>
      </c>
      <c r="N1738" s="886"/>
      <c r="O1738" s="886"/>
      <c r="P1738" s="886"/>
      <c r="Q1738" s="1162">
        <f t="shared" si="288"/>
        <v>2296</v>
      </c>
      <c r="R1738" s="882"/>
      <c r="S1738" s="1269"/>
      <c r="T1738" s="1254"/>
      <c r="U1738" s="996"/>
      <c r="V1738" s="996"/>
      <c r="W1738" s="992"/>
    </row>
    <row r="1739" spans="1:23" ht="14.5" customHeight="1">
      <c r="A1739" s="1034"/>
      <c r="B1739" s="1034"/>
      <c r="C1739" s="994"/>
      <c r="E1739" s="989"/>
      <c r="F1739" s="988"/>
      <c r="G1739" s="1095" t="str">
        <f>IF(F1739="",G1737,F1739)</f>
        <v>6611011</v>
      </c>
      <c r="H1739" s="1016" t="s">
        <v>11475</v>
      </c>
      <c r="I1739" s="944" t="str">
        <f t="shared" si="287"/>
        <v>6611011503</v>
      </c>
      <c r="J1739" s="992" t="s">
        <v>7503</v>
      </c>
      <c r="K1739" s="890">
        <v>107705</v>
      </c>
      <c r="L1739" s="890">
        <v>3864.69</v>
      </c>
      <c r="M1739" s="890">
        <v>110523.48</v>
      </c>
      <c r="N1739" s="886"/>
      <c r="O1739" s="886"/>
      <c r="P1739" s="886"/>
      <c r="Q1739" s="1162">
        <f t="shared" si="288"/>
        <v>3766</v>
      </c>
      <c r="R1739" s="882"/>
      <c r="S1739" s="1269"/>
      <c r="T1739" s="1254"/>
      <c r="U1739" s="996"/>
      <c r="V1739" s="996"/>
      <c r="W1739" s="992"/>
    </row>
    <row r="1740" spans="1:23" ht="14.5" customHeight="1">
      <c r="A1740" s="1034"/>
      <c r="B1740" s="1034"/>
      <c r="C1740" s="994"/>
      <c r="E1740" s="989"/>
      <c r="F1740" s="988"/>
      <c r="G1740" s="1095" t="str">
        <f>IF(F1740="",G1735,F1740)</f>
        <v>6611011</v>
      </c>
      <c r="J1740" s="1013" t="s">
        <v>11476</v>
      </c>
      <c r="K1740" s="886"/>
      <c r="L1740" s="873"/>
      <c r="M1740" s="873"/>
      <c r="N1740" s="886"/>
      <c r="O1740" s="886"/>
      <c r="P1740" s="882"/>
      <c r="Q1740" s="1171">
        <f>SUM(Q1741:Q1743)</f>
        <v>4441</v>
      </c>
      <c r="R1740" s="882"/>
      <c r="S1740" s="1269"/>
      <c r="T1740" s="1254"/>
      <c r="U1740" s="996"/>
      <c r="V1740" s="996"/>
      <c r="W1740" s="992"/>
    </row>
    <row r="1741" spans="1:23" ht="14.5" customHeight="1">
      <c r="A1741" s="1034"/>
      <c r="B1741" s="1034"/>
      <c r="C1741" s="994"/>
      <c r="E1741" s="989"/>
      <c r="F1741" s="988"/>
      <c r="G1741" s="1095" t="str">
        <f t="shared" ref="G1741:G1742" si="289">IF(F1741="",G1740,F1741)</f>
        <v>6611011</v>
      </c>
      <c r="H1741" s="1016" t="s">
        <v>5746</v>
      </c>
      <c r="I1741" s="944" t="str">
        <f t="shared" ref="I1741:I1743" si="290">IF(H1741="","",CONCATENATE(G1741,H1741))</f>
        <v>6611011601</v>
      </c>
      <c r="J1741" s="992" t="s">
        <v>11469</v>
      </c>
      <c r="K1741" s="890">
        <v>57133</v>
      </c>
      <c r="L1741" s="890">
        <v>13056.55</v>
      </c>
      <c r="M1741" s="890">
        <v>340016.8</v>
      </c>
      <c r="N1741" s="886"/>
      <c r="O1741" s="886"/>
      <c r="P1741" s="886"/>
      <c r="Q1741" s="1162">
        <f t="shared" ref="Q1741:Q1743" si="291">ROUND(K1741*L1741/M1741,0)</f>
        <v>2194</v>
      </c>
      <c r="R1741" s="882"/>
      <c r="S1741" s="1269"/>
      <c r="T1741" s="1254"/>
      <c r="U1741" s="996"/>
      <c r="V1741" s="996"/>
      <c r="W1741" s="992"/>
    </row>
    <row r="1742" spans="1:23" ht="14.5" customHeight="1">
      <c r="A1742" s="1034"/>
      <c r="B1742" s="1034"/>
      <c r="C1742" s="994"/>
      <c r="E1742" s="989"/>
      <c r="F1742" s="988"/>
      <c r="G1742" s="1095" t="str">
        <f t="shared" si="289"/>
        <v>6611011</v>
      </c>
      <c r="H1742" s="1016" t="s">
        <v>6052</v>
      </c>
      <c r="I1742" s="944" t="str">
        <f t="shared" si="290"/>
        <v>6611011602</v>
      </c>
      <c r="J1742" s="992" t="s">
        <v>11470</v>
      </c>
      <c r="K1742" s="890">
        <v>55552</v>
      </c>
      <c r="L1742" s="890">
        <v>288.07</v>
      </c>
      <c r="M1742" s="890">
        <v>29792.1</v>
      </c>
      <c r="N1742" s="886"/>
      <c r="O1742" s="886"/>
      <c r="P1742" s="886"/>
      <c r="Q1742" s="1162">
        <f t="shared" si="291"/>
        <v>537</v>
      </c>
      <c r="R1742" s="882"/>
      <c r="S1742" s="1269"/>
      <c r="T1742" s="1254"/>
      <c r="U1742" s="996"/>
      <c r="V1742" s="996"/>
      <c r="W1742" s="992"/>
    </row>
    <row r="1743" spans="1:23" ht="14.5" customHeight="1">
      <c r="A1743" s="1034"/>
      <c r="B1743" s="1034"/>
      <c r="C1743" s="994"/>
      <c r="E1743" s="989"/>
      <c r="F1743" s="988"/>
      <c r="G1743" s="1095" t="str">
        <f>IF(F1743="",G1741,F1743)</f>
        <v>6611011</v>
      </c>
      <c r="H1743" s="1016" t="s">
        <v>6054</v>
      </c>
      <c r="I1743" s="944" t="str">
        <f t="shared" si="290"/>
        <v>6611011603</v>
      </c>
      <c r="J1743" s="992" t="s">
        <v>7503</v>
      </c>
      <c r="K1743" s="890">
        <v>95405</v>
      </c>
      <c r="L1743" s="890">
        <v>1755.09</v>
      </c>
      <c r="M1743" s="890">
        <v>97901.71</v>
      </c>
      <c r="N1743" s="886"/>
      <c r="O1743" s="886"/>
      <c r="P1743" s="886"/>
      <c r="Q1743" s="1162">
        <f t="shared" si="291"/>
        <v>1710</v>
      </c>
      <c r="R1743" s="882"/>
      <c r="S1743" s="1269"/>
      <c r="T1743" s="1254"/>
      <c r="U1743" s="996"/>
      <c r="V1743" s="996"/>
      <c r="W1743" s="992"/>
    </row>
    <row r="1744" spans="1:23" ht="14.5" customHeight="1">
      <c r="A1744" s="1034"/>
      <c r="B1744" s="1034"/>
      <c r="C1744" s="994"/>
      <c r="E1744" s="989"/>
      <c r="F1744" s="988"/>
      <c r="G1744" s="1095" t="str">
        <f>IF(F1744="",G1739,F1744)</f>
        <v>6611011</v>
      </c>
      <c r="J1744" s="1013" t="s">
        <v>11477</v>
      </c>
      <c r="K1744" s="886"/>
      <c r="L1744" s="873"/>
      <c r="M1744" s="873"/>
      <c r="N1744" s="886"/>
      <c r="O1744" s="886"/>
      <c r="P1744" s="882"/>
      <c r="Q1744" s="1171">
        <f>SUM(Q1745:Q1747)</f>
        <v>17512</v>
      </c>
      <c r="R1744" s="882"/>
      <c r="S1744" s="1269"/>
      <c r="T1744" s="1254"/>
      <c r="U1744" s="996"/>
      <c r="V1744" s="996"/>
      <c r="W1744" s="992"/>
    </row>
    <row r="1745" spans="1:23" ht="14.5" customHeight="1">
      <c r="A1745" s="1034"/>
      <c r="B1745" s="1034"/>
      <c r="C1745" s="994"/>
      <c r="E1745" s="989"/>
      <c r="F1745" s="988"/>
      <c r="G1745" s="1095" t="str">
        <f t="shared" ref="G1745:G1746" si="292">IF(F1745="",G1744,F1745)</f>
        <v>6611011</v>
      </c>
      <c r="H1745" s="1016" t="s">
        <v>5756</v>
      </c>
      <c r="I1745" s="944" t="str">
        <f t="shared" ref="I1745:I1747" si="293">IF(H1745="","",CONCATENATE(G1745,H1745))</f>
        <v>6611011701</v>
      </c>
      <c r="J1745" s="992" t="s">
        <v>11469</v>
      </c>
      <c r="K1745" s="890">
        <v>18588</v>
      </c>
      <c r="L1745" s="890">
        <v>7750.35</v>
      </c>
      <c r="M1745" s="890">
        <v>183871.84</v>
      </c>
      <c r="N1745" s="886"/>
      <c r="O1745" s="886"/>
      <c r="P1745" s="886"/>
      <c r="Q1745" s="1162">
        <f t="shared" ref="Q1745:Q1747" si="294">ROUND(K1745*L1745/M1745,0)</f>
        <v>783</v>
      </c>
      <c r="R1745" s="882"/>
      <c r="S1745" s="1269"/>
      <c r="T1745" s="1254"/>
      <c r="U1745" s="996"/>
      <c r="V1745" s="996"/>
      <c r="W1745" s="992"/>
    </row>
    <row r="1746" spans="1:23" ht="14.5" customHeight="1">
      <c r="A1746" s="1034"/>
      <c r="B1746" s="1034"/>
      <c r="C1746" s="994"/>
      <c r="E1746" s="989"/>
      <c r="F1746" s="988"/>
      <c r="G1746" s="1095" t="str">
        <f t="shared" si="292"/>
        <v>6611011</v>
      </c>
      <c r="H1746" s="1016" t="s">
        <v>11478</v>
      </c>
      <c r="I1746" s="944" t="str">
        <f t="shared" si="293"/>
        <v>6611011702</v>
      </c>
      <c r="J1746" s="992" t="s">
        <v>11470</v>
      </c>
      <c r="K1746" s="890">
        <v>176363</v>
      </c>
      <c r="L1746" s="890">
        <v>4187.63</v>
      </c>
      <c r="M1746" s="890">
        <v>179520.08</v>
      </c>
      <c r="N1746" s="886"/>
      <c r="O1746" s="886"/>
      <c r="P1746" s="886"/>
      <c r="Q1746" s="1162">
        <f t="shared" si="294"/>
        <v>4114</v>
      </c>
      <c r="R1746" s="882"/>
      <c r="S1746" s="1269"/>
      <c r="T1746" s="1254"/>
      <c r="U1746" s="996"/>
      <c r="V1746" s="996"/>
      <c r="W1746" s="992"/>
    </row>
    <row r="1747" spans="1:23" ht="14.5" customHeight="1">
      <c r="A1747" s="1034"/>
      <c r="B1747" s="1034"/>
      <c r="C1747" s="994"/>
      <c r="E1747" s="989"/>
      <c r="F1747" s="988"/>
      <c r="G1747" s="1095" t="str">
        <f>IF(F1747="",G1745,F1747)</f>
        <v>6611011</v>
      </c>
      <c r="H1747" s="1016" t="s">
        <v>10428</v>
      </c>
      <c r="I1747" s="944" t="str">
        <f t="shared" si="293"/>
        <v>6611011703</v>
      </c>
      <c r="J1747" s="992" t="s">
        <v>7503</v>
      </c>
      <c r="K1747" s="890">
        <v>323429</v>
      </c>
      <c r="L1747" s="890">
        <v>12945.07</v>
      </c>
      <c r="M1747" s="890">
        <v>331892.31</v>
      </c>
      <c r="N1747" s="886"/>
      <c r="O1747" s="886"/>
      <c r="P1747" s="886"/>
      <c r="Q1747" s="1162">
        <f t="shared" si="294"/>
        <v>12615</v>
      </c>
      <c r="R1747" s="882"/>
      <c r="S1747" s="1269"/>
      <c r="T1747" s="1254"/>
      <c r="U1747" s="996"/>
      <c r="V1747" s="996"/>
      <c r="W1747" s="992"/>
    </row>
    <row r="1748" spans="1:23" ht="14.5" customHeight="1">
      <c r="A1748" s="1034"/>
      <c r="B1748" s="1034"/>
      <c r="C1748" s="994"/>
      <c r="E1748" s="989" t="s">
        <v>11479</v>
      </c>
      <c r="F1748" s="988" t="str">
        <f>IF(E1748="","",CONCATENATE(LEFT(E1748,4),MID(E1748,6,3)))</f>
        <v>6611012</v>
      </c>
      <c r="G1748" s="1095" t="str">
        <f>IF(F1748="",G1723,F1748)</f>
        <v>6611012</v>
      </c>
      <c r="J1748" s="1013" t="s">
        <v>7505</v>
      </c>
      <c r="K1748" s="886"/>
      <c r="L1748" s="873"/>
      <c r="M1748" s="873"/>
      <c r="N1748" s="886"/>
      <c r="O1748" s="886"/>
      <c r="P1748" s="882"/>
      <c r="Q1748" s="1171">
        <f>SUM(Q1749:Q1751)</f>
        <v>71125</v>
      </c>
      <c r="R1748" s="882"/>
      <c r="S1748" s="1269"/>
      <c r="T1748" s="1254"/>
      <c r="U1748" s="996"/>
      <c r="V1748" s="996"/>
      <c r="W1748" s="992"/>
    </row>
    <row r="1749" spans="1:23" ht="14.5" customHeight="1">
      <c r="A1749" s="1034"/>
      <c r="B1749" s="1034"/>
      <c r="C1749" s="994"/>
      <c r="E1749" s="989"/>
      <c r="F1749" s="988"/>
      <c r="G1749" s="1095" t="str">
        <f t="shared" si="276"/>
        <v>6611012</v>
      </c>
      <c r="H1749" s="1016" t="s">
        <v>5349</v>
      </c>
      <c r="I1749" s="944" t="str">
        <f t="shared" si="266"/>
        <v>6611012001</v>
      </c>
      <c r="J1749" s="992" t="s">
        <v>11469</v>
      </c>
      <c r="K1749" s="890">
        <v>26962</v>
      </c>
      <c r="L1749" s="890">
        <v>12382.49</v>
      </c>
      <c r="M1749" s="890">
        <v>252894.19</v>
      </c>
      <c r="N1749" s="886"/>
      <c r="O1749" s="886"/>
      <c r="P1749" s="886"/>
      <c r="Q1749" s="1162">
        <f t="shared" ref="Q1749:Q1772" si="295">ROUND(K1749*L1749/M1749,0)</f>
        <v>1320</v>
      </c>
      <c r="R1749" s="882"/>
      <c r="S1749" s="1269"/>
      <c r="T1749" s="1254"/>
      <c r="U1749" s="996"/>
      <c r="V1749" s="996"/>
      <c r="W1749" s="992"/>
    </row>
    <row r="1750" spans="1:23" ht="14.5" customHeight="1">
      <c r="A1750" s="1034"/>
      <c r="B1750" s="1034"/>
      <c r="C1750" s="994"/>
      <c r="E1750" s="989"/>
      <c r="F1750" s="988"/>
      <c r="G1750" s="1095" t="str">
        <f t="shared" si="276"/>
        <v>6611012</v>
      </c>
      <c r="H1750" s="1016" t="s">
        <v>5327</v>
      </c>
      <c r="I1750" s="944" t="str">
        <f t="shared" si="266"/>
        <v>6611012002</v>
      </c>
      <c r="J1750" s="992" t="s">
        <v>11470</v>
      </c>
      <c r="K1750" s="890">
        <v>145619</v>
      </c>
      <c r="L1750" s="890">
        <v>5564.13</v>
      </c>
      <c r="M1750" s="890">
        <v>109925.3</v>
      </c>
      <c r="N1750" s="886"/>
      <c r="O1750" s="886"/>
      <c r="P1750" s="886"/>
      <c r="Q1750" s="1162">
        <f t="shared" si="295"/>
        <v>7371</v>
      </c>
      <c r="R1750" s="882"/>
      <c r="S1750" s="1269"/>
      <c r="T1750" s="1254"/>
      <c r="U1750" s="996"/>
      <c r="V1750" s="996"/>
      <c r="W1750" s="992"/>
    </row>
    <row r="1751" spans="1:23" ht="14.5" customHeight="1">
      <c r="A1751" s="1034"/>
      <c r="B1751" s="1034"/>
      <c r="C1751" s="994"/>
      <c r="E1751" s="989"/>
      <c r="F1751" s="988"/>
      <c r="G1751" s="1095" t="str">
        <f>IF(F1751="",G1749,F1751)</f>
        <v>6611012</v>
      </c>
      <c r="H1751" s="1016" t="s">
        <v>5329</v>
      </c>
      <c r="I1751" s="944" t="str">
        <f t="shared" si="266"/>
        <v>6611012003</v>
      </c>
      <c r="J1751" s="992" t="s">
        <v>7503</v>
      </c>
      <c r="K1751" s="890">
        <v>1881974</v>
      </c>
      <c r="L1751" s="890">
        <v>64067.31</v>
      </c>
      <c r="M1751" s="890">
        <v>1931217.64</v>
      </c>
      <c r="N1751" s="886"/>
      <c r="O1751" s="886"/>
      <c r="P1751" s="886"/>
      <c r="Q1751" s="1162">
        <f t="shared" si="295"/>
        <v>62434</v>
      </c>
      <c r="R1751" s="882"/>
      <c r="S1751" s="1269"/>
      <c r="T1751" s="1254"/>
      <c r="U1751" s="996"/>
      <c r="V1751" s="996"/>
      <c r="W1751" s="992"/>
    </row>
    <row r="1752" spans="1:23" ht="14.5" customHeight="1">
      <c r="A1752" s="1034"/>
      <c r="B1752" s="1034"/>
      <c r="C1752" s="994"/>
      <c r="E1752" s="989" t="s">
        <v>7506</v>
      </c>
      <c r="F1752" s="988" t="str">
        <f>IF(E1752="","",CONCATENATE(LEFT(E1752,4),MID(E1752,6,3)))</f>
        <v>6611013</v>
      </c>
      <c r="G1752" s="1095" t="str">
        <f t="shared" si="276"/>
        <v>6611013</v>
      </c>
      <c r="J1752" s="1013" t="s">
        <v>7507</v>
      </c>
      <c r="K1752" s="886"/>
      <c r="L1752" s="873"/>
      <c r="M1752" s="873"/>
      <c r="N1752" s="886"/>
      <c r="O1752" s="886"/>
      <c r="P1752" s="886"/>
      <c r="Q1752" s="1171">
        <f>SUM(Q1753:Q1755)</f>
        <v>14230</v>
      </c>
      <c r="R1752" s="882"/>
      <c r="S1752" s="1269"/>
      <c r="T1752" s="1254"/>
      <c r="U1752" s="996"/>
      <c r="V1752" s="996"/>
      <c r="W1752" s="992"/>
    </row>
    <row r="1753" spans="1:23" ht="14.5" customHeight="1">
      <c r="A1753" s="1034"/>
      <c r="B1753" s="1034"/>
      <c r="C1753" s="994"/>
      <c r="E1753" s="989"/>
      <c r="F1753" s="988"/>
      <c r="G1753" s="1095" t="str">
        <f>IF(F1753="",G1752,F1753)</f>
        <v>6611013</v>
      </c>
      <c r="H1753" s="1016" t="s">
        <v>5349</v>
      </c>
      <c r="I1753" s="944" t="str">
        <f t="shared" si="266"/>
        <v>6611013001</v>
      </c>
      <c r="J1753" s="992" t="s">
        <v>11469</v>
      </c>
      <c r="K1753" s="890">
        <v>158188</v>
      </c>
      <c r="L1753" s="890">
        <v>22838.66</v>
      </c>
      <c r="M1753" s="890">
        <v>1568939.36</v>
      </c>
      <c r="N1753" s="886"/>
      <c r="O1753" s="886"/>
      <c r="P1753" s="886"/>
      <c r="Q1753" s="1162">
        <f t="shared" si="295"/>
        <v>2303</v>
      </c>
      <c r="R1753" s="882"/>
      <c r="S1753" s="1269"/>
      <c r="T1753" s="1254"/>
      <c r="U1753" s="996"/>
      <c r="V1753" s="996"/>
      <c r="W1753" s="992"/>
    </row>
    <row r="1754" spans="1:23" ht="14.5" customHeight="1">
      <c r="A1754" s="1034"/>
      <c r="B1754" s="1034"/>
      <c r="C1754" s="994"/>
      <c r="E1754" s="989"/>
      <c r="F1754" s="988"/>
      <c r="G1754" s="1095" t="str">
        <f>IF(F1754="",G1753,F1754)</f>
        <v>6611013</v>
      </c>
      <c r="H1754" s="1016" t="s">
        <v>5327</v>
      </c>
      <c r="I1754" s="944" t="str">
        <f t="shared" si="266"/>
        <v>6611013002</v>
      </c>
      <c r="J1754" s="992" t="s">
        <v>11470</v>
      </c>
      <c r="K1754" s="890">
        <v>242998</v>
      </c>
      <c r="L1754" s="890">
        <v>1132.58</v>
      </c>
      <c r="M1754" s="890">
        <v>50803.93</v>
      </c>
      <c r="N1754" s="886"/>
      <c r="O1754" s="886"/>
      <c r="P1754" s="886"/>
      <c r="Q1754" s="1162">
        <f t="shared" si="295"/>
        <v>5417</v>
      </c>
      <c r="R1754" s="882"/>
      <c r="S1754" s="1269"/>
      <c r="T1754" s="1254"/>
      <c r="U1754" s="996"/>
      <c r="V1754" s="996"/>
      <c r="W1754" s="992"/>
    </row>
    <row r="1755" spans="1:23" ht="14.5" customHeight="1">
      <c r="A1755" s="1034"/>
      <c r="B1755" s="1034"/>
      <c r="C1755" s="994"/>
      <c r="E1755" s="989"/>
      <c r="F1755" s="988"/>
      <c r="G1755" s="1095" t="str">
        <f>IF(F1755="",G1754,F1755)</f>
        <v>6611013</v>
      </c>
      <c r="H1755" s="1016" t="s">
        <v>5329</v>
      </c>
      <c r="I1755" s="944" t="str">
        <f t="shared" si="266"/>
        <v>6611013003</v>
      </c>
      <c r="J1755" s="992" t="s">
        <v>7503</v>
      </c>
      <c r="K1755" s="890">
        <v>163201</v>
      </c>
      <c r="L1755" s="890">
        <v>6429.01</v>
      </c>
      <c r="M1755" s="890">
        <v>161161.39000000001</v>
      </c>
      <c r="N1755" s="886"/>
      <c r="O1755" s="886"/>
      <c r="P1755" s="886"/>
      <c r="Q1755" s="1162">
        <f t="shared" si="295"/>
        <v>6510</v>
      </c>
      <c r="R1755" s="882"/>
      <c r="S1755" s="1269"/>
      <c r="T1755" s="1254"/>
      <c r="U1755" s="996"/>
      <c r="V1755" s="996"/>
      <c r="W1755" s="992"/>
    </row>
    <row r="1756" spans="1:23" ht="14.5" customHeight="1">
      <c r="A1756" s="1034"/>
      <c r="B1756" s="1034"/>
      <c r="C1756" s="994"/>
      <c r="E1756" s="989" t="s">
        <v>7508</v>
      </c>
      <c r="F1756" s="988" t="str">
        <f>IF(E1756="","",CONCATENATE(LEFT(E1756,4),MID(E1756,6,3)))</f>
        <v>6611014</v>
      </c>
      <c r="G1756" s="1095" t="str">
        <f t="shared" si="276"/>
        <v>6611014</v>
      </c>
      <c r="J1756" s="1013" t="s">
        <v>7509</v>
      </c>
      <c r="K1756" s="886"/>
      <c r="L1756" s="873"/>
      <c r="M1756" s="873"/>
      <c r="N1756" s="886"/>
      <c r="O1756" s="886"/>
      <c r="P1756" s="886"/>
      <c r="Q1756" s="1171">
        <f>SUM(Q1757:Q1759)</f>
        <v>4730</v>
      </c>
      <c r="R1756" s="882"/>
      <c r="S1756" s="1269"/>
      <c r="T1756" s="1254"/>
      <c r="U1756" s="996"/>
      <c r="V1756" s="996"/>
      <c r="W1756" s="992"/>
    </row>
    <row r="1757" spans="1:23" ht="14.5" customHeight="1">
      <c r="A1757" s="1034"/>
      <c r="B1757" s="1034"/>
      <c r="C1757" s="994"/>
      <c r="E1757" s="989"/>
      <c r="F1757" s="988"/>
      <c r="G1757" s="1095" t="str">
        <f t="shared" si="276"/>
        <v>6611014</v>
      </c>
      <c r="H1757" s="1016" t="s">
        <v>5349</v>
      </c>
      <c r="I1757" s="944" t="str">
        <f t="shared" si="266"/>
        <v>6611014001</v>
      </c>
      <c r="J1757" s="992" t="s">
        <v>11469</v>
      </c>
      <c r="K1757" s="890">
        <v>55195</v>
      </c>
      <c r="L1757" s="890">
        <v>10654.06</v>
      </c>
      <c r="M1757" s="890">
        <v>474641.68</v>
      </c>
      <c r="N1757" s="886"/>
      <c r="O1757" s="886"/>
      <c r="P1757" s="886"/>
      <c r="Q1757" s="1162">
        <f t="shared" si="295"/>
        <v>1239</v>
      </c>
      <c r="R1757" s="882"/>
      <c r="S1757" s="1269"/>
      <c r="T1757" s="1254"/>
      <c r="U1757" s="996"/>
      <c r="V1757" s="996"/>
      <c r="W1757" s="992"/>
    </row>
    <row r="1758" spans="1:23" ht="14.5" customHeight="1">
      <c r="A1758" s="1034"/>
      <c r="B1758" s="1034"/>
      <c r="C1758" s="994"/>
      <c r="E1758" s="989"/>
      <c r="F1758" s="988"/>
      <c r="G1758" s="1095" t="str">
        <f t="shared" si="276"/>
        <v>6611014</v>
      </c>
      <c r="H1758" s="1016" t="s">
        <v>5327</v>
      </c>
      <c r="I1758" s="944" t="str">
        <f t="shared" si="266"/>
        <v>6611014002</v>
      </c>
      <c r="J1758" s="992" t="s">
        <v>11470</v>
      </c>
      <c r="K1758" s="890">
        <v>19187</v>
      </c>
      <c r="L1758" s="890">
        <v>641.09</v>
      </c>
      <c r="M1758" s="890">
        <v>25440.06</v>
      </c>
      <c r="N1758" s="886"/>
      <c r="O1758" s="886"/>
      <c r="P1758" s="886"/>
      <c r="Q1758" s="1162">
        <f t="shared" si="295"/>
        <v>484</v>
      </c>
      <c r="R1758" s="882"/>
      <c r="S1758" s="1269"/>
      <c r="T1758" s="1254"/>
      <c r="U1758" s="996"/>
      <c r="V1758" s="996"/>
      <c r="W1758" s="992"/>
    </row>
    <row r="1759" spans="1:23" ht="14.5" customHeight="1">
      <c r="A1759" s="1034"/>
      <c r="B1759" s="1034"/>
      <c r="C1759" s="994"/>
      <c r="E1759" s="989"/>
      <c r="F1759" s="988"/>
      <c r="G1759" s="1095" t="str">
        <f>IF(F1759="",G1757,F1759)</f>
        <v>6611014</v>
      </c>
      <c r="H1759" s="1016" t="s">
        <v>5329</v>
      </c>
      <c r="I1759" s="944" t="str">
        <f t="shared" si="266"/>
        <v>6611014003</v>
      </c>
      <c r="J1759" s="992" t="s">
        <v>7503</v>
      </c>
      <c r="K1759" s="890">
        <v>94473</v>
      </c>
      <c r="L1759" s="890">
        <v>2969.54</v>
      </c>
      <c r="M1759" s="890">
        <v>93292.25</v>
      </c>
      <c r="N1759" s="886"/>
      <c r="O1759" s="886"/>
      <c r="P1759" s="886"/>
      <c r="Q1759" s="1162">
        <f t="shared" si="295"/>
        <v>3007</v>
      </c>
      <c r="R1759" s="882"/>
      <c r="S1759" s="1269"/>
      <c r="T1759" s="1254"/>
      <c r="U1759" s="996"/>
      <c r="V1759" s="996"/>
      <c r="W1759" s="992"/>
    </row>
    <row r="1760" spans="1:23" ht="14.5" customHeight="1">
      <c r="A1760" s="1034"/>
      <c r="B1760" s="1034"/>
      <c r="C1760" s="994"/>
      <c r="E1760" s="989" t="s">
        <v>7510</v>
      </c>
      <c r="F1760" s="988" t="str">
        <f>IF(E1760="","",CONCATENATE(LEFT(E1760,4),MID(E1760,6,3)))</f>
        <v>6611015</v>
      </c>
      <c r="G1760" s="1095" t="str">
        <f t="shared" ref="G1760:G1772" si="296">IF(F1760="",G1759,F1760)</f>
        <v>6611015</v>
      </c>
      <c r="J1760" s="1013" t="s">
        <v>779</v>
      </c>
      <c r="K1760" s="873"/>
      <c r="L1760" s="873"/>
      <c r="M1760" s="873"/>
      <c r="N1760" s="886"/>
      <c r="O1760" s="886"/>
      <c r="P1760" s="886"/>
      <c r="Q1760" s="1171">
        <f>SUM(Q1761,Q1765,Q1769)</f>
        <v>59933</v>
      </c>
      <c r="R1760" s="882"/>
      <c r="S1760" s="1269"/>
      <c r="T1760" s="1254"/>
      <c r="U1760" s="996"/>
      <c r="V1760" s="996"/>
      <c r="W1760" s="992"/>
    </row>
    <row r="1761" spans="1:23" ht="14.5" customHeight="1">
      <c r="A1761" s="1034"/>
      <c r="B1761" s="1034"/>
      <c r="C1761" s="994"/>
      <c r="E1761" s="989"/>
      <c r="F1761" s="988" t="str">
        <f>IF(E1761="","",CONCATENATE(LEFT(E1761,4),MID(E1761,6,3)))</f>
        <v/>
      </c>
      <c r="G1761" s="1095" t="str">
        <f t="shared" si="296"/>
        <v>6611015</v>
      </c>
      <c r="J1761" s="1209" t="s">
        <v>11480</v>
      </c>
      <c r="K1761" s="1210"/>
      <c r="L1761" s="1210"/>
      <c r="M1761" s="1210"/>
      <c r="N1761" s="1210"/>
      <c r="O1761" s="1210"/>
      <c r="P1761" s="1210"/>
      <c r="Q1761" s="1211">
        <f>SUM(Q1762:Q1764)</f>
        <v>2117</v>
      </c>
      <c r="R1761" s="882"/>
      <c r="S1761" s="1287">
        <f>'CT2015'!K1634</f>
        <v>100</v>
      </c>
      <c r="T1761" s="1254">
        <f>ROUND(Q1761*S1761/100,0)</f>
        <v>2117</v>
      </c>
      <c r="U1761" s="996"/>
      <c r="V1761" s="996"/>
      <c r="W1761" s="992"/>
    </row>
    <row r="1762" spans="1:23" ht="14.5" customHeight="1">
      <c r="A1762" s="1034"/>
      <c r="B1762" s="1034"/>
      <c r="C1762" s="994"/>
      <c r="E1762" s="989"/>
      <c r="F1762" s="988"/>
      <c r="G1762" s="1095" t="str">
        <f t="shared" si="296"/>
        <v>6611015</v>
      </c>
      <c r="H1762" s="1016" t="s">
        <v>5349</v>
      </c>
      <c r="I1762" s="944" t="str">
        <f t="shared" ref="I1762:I1764" si="297">IF(H1762="","",CONCATENATE(G1762,H1762))</f>
        <v>6611015001</v>
      </c>
      <c r="J1762" s="992" t="s">
        <v>11481</v>
      </c>
      <c r="K1762" s="890">
        <v>678</v>
      </c>
      <c r="L1762" s="890">
        <v>2.97</v>
      </c>
      <c r="M1762" s="890">
        <v>4657.1400000000003</v>
      </c>
      <c r="N1762" s="886"/>
      <c r="O1762" s="886"/>
      <c r="P1762" s="886"/>
      <c r="Q1762" s="1162">
        <f t="shared" ref="Q1762:Q1764" si="298">ROUND(K1762*L1762/M1762,0)</f>
        <v>0</v>
      </c>
      <c r="R1762" s="882"/>
      <c r="S1762" s="1269"/>
      <c r="T1762" s="1254"/>
      <c r="U1762" s="996"/>
      <c r="V1762" s="996"/>
      <c r="W1762" s="992"/>
    </row>
    <row r="1763" spans="1:23" ht="14.5" customHeight="1">
      <c r="A1763" s="1034"/>
      <c r="B1763" s="1034"/>
      <c r="C1763" s="994"/>
      <c r="E1763" s="989"/>
      <c r="F1763" s="988"/>
      <c r="G1763" s="1095" t="str">
        <f t="shared" si="296"/>
        <v>6611015</v>
      </c>
      <c r="H1763" s="1016" t="s">
        <v>5327</v>
      </c>
      <c r="I1763" s="944" t="str">
        <f t="shared" si="297"/>
        <v>6611015002</v>
      </c>
      <c r="J1763" s="992" t="s">
        <v>11482</v>
      </c>
      <c r="K1763" s="890">
        <v>5281</v>
      </c>
      <c r="L1763" s="890">
        <v>59.1</v>
      </c>
      <c r="M1763" s="890">
        <v>6724.11</v>
      </c>
      <c r="N1763" s="886"/>
      <c r="O1763" s="886"/>
      <c r="P1763" s="886"/>
      <c r="Q1763" s="1162">
        <f t="shared" si="298"/>
        <v>46</v>
      </c>
      <c r="R1763" s="882"/>
      <c r="S1763" s="1269"/>
      <c r="T1763" s="1254"/>
      <c r="U1763" s="996"/>
      <c r="V1763" s="996"/>
      <c r="W1763" s="992"/>
    </row>
    <row r="1764" spans="1:23" ht="14.5" customHeight="1">
      <c r="A1764" s="1034"/>
      <c r="B1764" s="1034"/>
      <c r="C1764" s="994"/>
      <c r="E1764" s="989"/>
      <c r="F1764" s="988"/>
      <c r="G1764" s="1095" t="str">
        <f t="shared" si="296"/>
        <v>6611015</v>
      </c>
      <c r="H1764" s="1016" t="s">
        <v>5329</v>
      </c>
      <c r="I1764" s="944" t="str">
        <f t="shared" si="297"/>
        <v>6611015003</v>
      </c>
      <c r="J1764" s="992" t="s">
        <v>11483</v>
      </c>
      <c r="K1764" s="890">
        <v>64665</v>
      </c>
      <c r="L1764" s="890">
        <v>1903.32</v>
      </c>
      <c r="M1764" s="890">
        <v>59423.06</v>
      </c>
      <c r="N1764" s="886"/>
      <c r="O1764" s="886"/>
      <c r="P1764" s="886"/>
      <c r="Q1764" s="1162">
        <f t="shared" si="298"/>
        <v>2071</v>
      </c>
      <c r="R1764" s="882"/>
      <c r="S1764" s="1269"/>
      <c r="T1764" s="1254"/>
      <c r="U1764" s="996"/>
      <c r="V1764" s="996"/>
      <c r="W1764" s="992"/>
    </row>
    <row r="1765" spans="1:23" ht="14.5" customHeight="1">
      <c r="A1765" s="1034"/>
      <c r="B1765" s="1034"/>
      <c r="C1765" s="994"/>
      <c r="E1765" s="989"/>
      <c r="F1765" s="988" t="str">
        <f>IF(E1765="","",CONCATENATE(LEFT(E1765,4),MID(E1765,6,3)))</f>
        <v/>
      </c>
      <c r="G1765" s="1095" t="str">
        <f t="shared" si="296"/>
        <v>6611015</v>
      </c>
      <c r="J1765" s="992" t="s">
        <v>11484</v>
      </c>
      <c r="K1765" s="886"/>
      <c r="L1765" s="873"/>
      <c r="M1765" s="873"/>
      <c r="N1765" s="886"/>
      <c r="O1765" s="886"/>
      <c r="P1765" s="886"/>
      <c r="Q1765" s="1171">
        <f>SUM(Q1766:Q1768)</f>
        <v>26184</v>
      </c>
      <c r="R1765" s="882"/>
      <c r="S1765" s="1269"/>
      <c r="T1765" s="1254"/>
      <c r="U1765" s="996"/>
      <c r="V1765" s="996"/>
      <c r="W1765" s="992"/>
    </row>
    <row r="1766" spans="1:23" ht="14.5" customHeight="1">
      <c r="A1766" s="1034"/>
      <c r="B1766" s="1034"/>
      <c r="C1766" s="994"/>
      <c r="E1766" s="989"/>
      <c r="F1766" s="988"/>
      <c r="G1766" s="1095" t="str">
        <f t="shared" si="296"/>
        <v>6611015</v>
      </c>
      <c r="H1766" s="1016" t="s">
        <v>5455</v>
      </c>
      <c r="I1766" s="944" t="str">
        <f t="shared" ref="I1766:I1768" si="299">IF(H1766="","",CONCATENATE(G1766,H1766))</f>
        <v>6611015201</v>
      </c>
      <c r="J1766" s="992" t="s">
        <v>11481</v>
      </c>
      <c r="K1766" s="890">
        <v>392</v>
      </c>
      <c r="L1766" s="890">
        <v>0</v>
      </c>
      <c r="M1766" s="890">
        <v>3377.77</v>
      </c>
      <c r="N1766" s="886"/>
      <c r="O1766" s="886"/>
      <c r="P1766" s="886"/>
      <c r="Q1766" s="1162">
        <f t="shared" ref="Q1766:Q1768" si="300">ROUND(K1766*L1766/M1766,0)</f>
        <v>0</v>
      </c>
      <c r="R1766" s="882"/>
      <c r="S1766" s="1269"/>
      <c r="T1766" s="1254"/>
      <c r="U1766" s="996"/>
      <c r="V1766" s="996"/>
      <c r="W1766" s="992"/>
    </row>
    <row r="1767" spans="1:23" ht="14.5" customHeight="1">
      <c r="A1767" s="1034"/>
      <c r="B1767" s="1034"/>
      <c r="C1767" s="994"/>
      <c r="E1767" s="989"/>
      <c r="F1767" s="988"/>
      <c r="G1767" s="1095" t="str">
        <f t="shared" si="296"/>
        <v>6611015</v>
      </c>
      <c r="H1767" s="1016" t="s">
        <v>5457</v>
      </c>
      <c r="I1767" s="944" t="str">
        <f t="shared" si="299"/>
        <v>6611015202</v>
      </c>
      <c r="J1767" s="992" t="s">
        <v>11482</v>
      </c>
      <c r="K1767" s="890">
        <v>1488</v>
      </c>
      <c r="L1767" s="890">
        <v>31.02</v>
      </c>
      <c r="M1767" s="890">
        <v>1567.59</v>
      </c>
      <c r="N1767" s="886"/>
      <c r="O1767" s="886"/>
      <c r="P1767" s="886"/>
      <c r="Q1767" s="1162">
        <f t="shared" si="300"/>
        <v>29</v>
      </c>
      <c r="R1767" s="882"/>
      <c r="S1767" s="1269"/>
      <c r="T1767" s="1254"/>
      <c r="U1767" s="996"/>
      <c r="V1767" s="996"/>
      <c r="W1767" s="992"/>
    </row>
    <row r="1768" spans="1:23" ht="14.5" customHeight="1">
      <c r="A1768" s="1034"/>
      <c r="B1768" s="1034"/>
      <c r="C1768" s="994"/>
      <c r="E1768" s="989"/>
      <c r="F1768" s="988"/>
      <c r="G1768" s="1095" t="str">
        <f t="shared" si="296"/>
        <v>6611015</v>
      </c>
      <c r="H1768" s="1016" t="s">
        <v>5387</v>
      </c>
      <c r="I1768" s="944" t="str">
        <f t="shared" si="299"/>
        <v>6611015203</v>
      </c>
      <c r="J1768" s="992" t="s">
        <v>11483</v>
      </c>
      <c r="K1768" s="890">
        <v>376303</v>
      </c>
      <c r="L1768" s="890">
        <v>24876.83</v>
      </c>
      <c r="M1768" s="890">
        <v>357913.07</v>
      </c>
      <c r="N1768" s="886"/>
      <c r="O1768" s="886"/>
      <c r="P1768" s="886"/>
      <c r="Q1768" s="1162">
        <f t="shared" si="300"/>
        <v>26155</v>
      </c>
      <c r="R1768" s="882"/>
      <c r="S1768" s="1269"/>
      <c r="T1768" s="1254"/>
      <c r="U1768" s="996"/>
      <c r="V1768" s="996"/>
      <c r="W1768" s="992"/>
    </row>
    <row r="1769" spans="1:23" ht="14.5" customHeight="1">
      <c r="A1769" s="1034"/>
      <c r="B1769" s="1034"/>
      <c r="C1769" s="994"/>
      <c r="E1769" s="989"/>
      <c r="F1769" s="988" t="str">
        <f>IF(E1769="","",CONCATENATE(LEFT(E1769,4),MID(E1769,6,3)))</f>
        <v/>
      </c>
      <c r="G1769" s="1095" t="str">
        <f t="shared" si="296"/>
        <v>6611015</v>
      </c>
      <c r="J1769" s="992" t="s">
        <v>11485</v>
      </c>
      <c r="K1769" s="886"/>
      <c r="L1769" s="873"/>
      <c r="M1769" s="873"/>
      <c r="N1769" s="886"/>
      <c r="O1769" s="886"/>
      <c r="P1769" s="886"/>
      <c r="Q1769" s="1171">
        <f>SUM(Q1770:Q1772)</f>
        <v>31632</v>
      </c>
      <c r="R1769" s="882"/>
      <c r="S1769" s="1269"/>
      <c r="T1769" s="1254"/>
      <c r="U1769" s="996"/>
      <c r="V1769" s="996"/>
      <c r="W1769" s="992"/>
    </row>
    <row r="1770" spans="1:23" ht="14.5" customHeight="1">
      <c r="A1770" s="1034"/>
      <c r="B1770" s="1034"/>
      <c r="C1770" s="994"/>
      <c r="E1770" s="989"/>
      <c r="F1770" s="988"/>
      <c r="G1770" s="1095" t="str">
        <f t="shared" si="296"/>
        <v>6611015</v>
      </c>
      <c r="H1770" s="1016" t="s">
        <v>5476</v>
      </c>
      <c r="I1770" s="944" t="str">
        <f t="shared" si="266"/>
        <v>6611015301</v>
      </c>
      <c r="J1770" s="992" t="s">
        <v>11481</v>
      </c>
      <c r="K1770" s="890">
        <v>68854</v>
      </c>
      <c r="L1770" s="890">
        <v>5433.17</v>
      </c>
      <c r="M1770" s="890">
        <v>568667.88</v>
      </c>
      <c r="N1770" s="886"/>
      <c r="O1770" s="886"/>
      <c r="P1770" s="886"/>
      <c r="Q1770" s="1162">
        <f t="shared" si="295"/>
        <v>658</v>
      </c>
      <c r="R1770" s="882"/>
      <c r="S1770" s="1269"/>
      <c r="T1770" s="1254"/>
      <c r="U1770" s="996"/>
      <c r="V1770" s="996"/>
      <c r="W1770" s="992"/>
    </row>
    <row r="1771" spans="1:23" ht="14.5" customHeight="1">
      <c r="A1771" s="1034"/>
      <c r="B1771" s="1034"/>
      <c r="C1771" s="994"/>
      <c r="E1771" s="989"/>
      <c r="F1771" s="988"/>
      <c r="G1771" s="1095" t="str">
        <f t="shared" si="296"/>
        <v>6611015</v>
      </c>
      <c r="H1771" s="1016" t="s">
        <v>5777</v>
      </c>
      <c r="I1771" s="944" t="str">
        <f t="shared" si="266"/>
        <v>6611015302</v>
      </c>
      <c r="J1771" s="992" t="s">
        <v>11482</v>
      </c>
      <c r="K1771" s="890">
        <v>118563</v>
      </c>
      <c r="L1771" s="890">
        <v>3409.07</v>
      </c>
      <c r="M1771" s="890">
        <v>152158.35999999999</v>
      </c>
      <c r="N1771" s="886"/>
      <c r="O1771" s="886"/>
      <c r="P1771" s="886"/>
      <c r="Q1771" s="1162">
        <f t="shared" si="295"/>
        <v>2656</v>
      </c>
      <c r="R1771" s="882"/>
      <c r="S1771" s="1269"/>
      <c r="T1771" s="1254"/>
      <c r="U1771" s="996"/>
      <c r="V1771" s="996"/>
      <c r="W1771" s="992"/>
    </row>
    <row r="1772" spans="1:23" ht="14.5" customHeight="1">
      <c r="A1772" s="1034"/>
      <c r="B1772" s="1034"/>
      <c r="C1772" s="994"/>
      <c r="E1772" s="989"/>
      <c r="F1772" s="988"/>
      <c r="G1772" s="1095" t="str">
        <f t="shared" si="296"/>
        <v>6611015</v>
      </c>
      <c r="H1772" s="1016" t="s">
        <v>5867</v>
      </c>
      <c r="I1772" s="944" t="str">
        <f t="shared" si="266"/>
        <v>6611015303</v>
      </c>
      <c r="J1772" s="992" t="s">
        <v>11486</v>
      </c>
      <c r="K1772" s="890">
        <v>849374</v>
      </c>
      <c r="L1772" s="890">
        <v>26933.84</v>
      </c>
      <c r="M1772" s="890">
        <v>807865.68</v>
      </c>
      <c r="N1772" s="886"/>
      <c r="O1772" s="886"/>
      <c r="P1772" s="886"/>
      <c r="Q1772" s="1162">
        <f t="shared" si="295"/>
        <v>28318</v>
      </c>
      <c r="R1772" s="882"/>
      <c r="S1772" s="1269"/>
      <c r="T1772" s="1254"/>
      <c r="U1772" s="996"/>
      <c r="V1772" s="996"/>
      <c r="W1772" s="992"/>
    </row>
    <row r="1773" spans="1:23" ht="14.5" customHeight="1">
      <c r="C1773" s="981" t="s">
        <v>7515</v>
      </c>
      <c r="D1773" s="982" t="str">
        <f t="shared" ref="D1773:D1784" si="301">IF(C1773="","",CONCATENATE(LEFT(C1773,4),MID(C1773,6,2)))</f>
        <v>661201</v>
      </c>
      <c r="E1773" s="983" t="s">
        <v>7516</v>
      </c>
      <c r="F1773" s="982" t="str">
        <f t="shared" ref="F1773:F1784" si="302">IF(E1773="","",CONCATENATE(LEFT(E1773,4),MID(E1773,6,3)))</f>
        <v>6612011</v>
      </c>
      <c r="G1773" s="1103" t="str">
        <f>IF(F1773="",#REF!,F1773)</f>
        <v>6612011</v>
      </c>
      <c r="H1773" s="1102"/>
      <c r="I1773" s="1141" t="str">
        <f>IF(H1773="","",CONCATENATE(G1773,H1773))</f>
        <v/>
      </c>
      <c r="J1773" s="984" t="s">
        <v>781</v>
      </c>
      <c r="K1773" s="889"/>
      <c r="L1773" s="889"/>
      <c r="M1773" s="889"/>
      <c r="N1773" s="897"/>
      <c r="O1773" s="889"/>
      <c r="P1773" s="881">
        <f>Q1773</f>
        <v>40594</v>
      </c>
      <c r="Q1773" s="1160">
        <f>SUM(Q1774:Q1776)</f>
        <v>40594</v>
      </c>
      <c r="R1773" s="880"/>
      <c r="S1773" s="1270"/>
      <c r="T1773" s="880"/>
      <c r="U1773" s="993"/>
      <c r="V1773" s="993"/>
      <c r="W1773" s="986" t="s">
        <v>11487</v>
      </c>
    </row>
    <row r="1774" spans="1:23" ht="14.5" customHeight="1">
      <c r="C1774" s="987"/>
      <c r="D1774" s="988" t="str">
        <f t="shared" si="301"/>
        <v/>
      </c>
      <c r="F1774" s="988" t="str">
        <f t="shared" si="302"/>
        <v/>
      </c>
      <c r="G1774" s="1095" t="str">
        <f>IF(F1774="",G1773,F1774)</f>
        <v>6612011</v>
      </c>
      <c r="H1774" s="1016" t="s">
        <v>36</v>
      </c>
      <c r="I1774" s="1033" t="str">
        <f>IF(H1774="","",CONCATENATE(G1774,H1774))</f>
        <v>6612011001</v>
      </c>
      <c r="J1774" s="991" t="s">
        <v>11488</v>
      </c>
      <c r="K1774" s="890">
        <v>171145</v>
      </c>
      <c r="L1774" s="890">
        <f>20541.32+1779.93</f>
        <v>22321.25</v>
      </c>
      <c r="M1774" s="890">
        <f>1402872.7+222999.17</f>
        <v>1625871.8699999999</v>
      </c>
      <c r="N1774" s="873"/>
      <c r="O1774" s="886"/>
      <c r="P1774" s="886"/>
      <c r="Q1774" s="1162">
        <f>ROUND(K1774*L1774/M1774,0)</f>
        <v>2350</v>
      </c>
      <c r="R1774" s="882"/>
      <c r="S1774" s="1269"/>
      <c r="T1774" s="1254"/>
      <c r="U1774" s="996" t="s">
        <v>11463</v>
      </c>
      <c r="V1774" s="996"/>
      <c r="W1774" s="992"/>
    </row>
    <row r="1775" spans="1:23" ht="14.5" customHeight="1">
      <c r="C1775" s="987"/>
      <c r="D1775" s="988" t="str">
        <f t="shared" si="301"/>
        <v/>
      </c>
      <c r="F1775" s="988" t="str">
        <f t="shared" si="302"/>
        <v/>
      </c>
      <c r="G1775" s="1095" t="str">
        <f>IF(F1775="",G1774,F1775)</f>
        <v>6612011</v>
      </c>
      <c r="H1775" s="1016" t="s">
        <v>7203</v>
      </c>
      <c r="I1775" s="1033" t="str">
        <f>IF(H1775="","",CONCATENATE(G1775,H1775))</f>
        <v>6612011002</v>
      </c>
      <c r="J1775" s="991" t="s">
        <v>11489</v>
      </c>
      <c r="K1775" s="890">
        <v>1335829</v>
      </c>
      <c r="L1775" s="890">
        <f>16027.05+461.23</f>
        <v>16488.28</v>
      </c>
      <c r="M1775" s="890">
        <f>1146148.02+55897.26</f>
        <v>1202045.28</v>
      </c>
      <c r="N1775" s="873"/>
      <c r="O1775" s="886"/>
      <c r="P1775" s="886"/>
      <c r="Q1775" s="1162">
        <f>ROUND(K1775*L1775/M1775,0)</f>
        <v>18323</v>
      </c>
      <c r="R1775" s="882"/>
      <c r="S1775" s="1269"/>
      <c r="T1775" s="1254"/>
      <c r="U1775" s="996" t="s">
        <v>11490</v>
      </c>
      <c r="V1775" s="996"/>
      <c r="W1775" s="992"/>
    </row>
    <row r="1776" spans="1:23" ht="14.5" customHeight="1">
      <c r="C1776" s="998"/>
      <c r="D1776" s="999" t="str">
        <f t="shared" si="301"/>
        <v/>
      </c>
      <c r="E1776" s="1002"/>
      <c r="F1776" s="999" t="str">
        <f t="shared" si="302"/>
        <v/>
      </c>
      <c r="G1776" s="1104" t="str">
        <f>IF(F1776="",G1774,F1776)</f>
        <v>6612011</v>
      </c>
      <c r="H1776" s="1005" t="s">
        <v>7205</v>
      </c>
      <c r="I1776" s="1109" t="str">
        <f>IF(H1776="","",CONCATENATE(G1776,H1776))</f>
        <v>6612011003</v>
      </c>
      <c r="J1776" s="978" t="s">
        <v>11491</v>
      </c>
      <c r="K1776" s="895">
        <v>640418</v>
      </c>
      <c r="L1776" s="895">
        <f>11191.89+8988.21</f>
        <v>20180.099999999999</v>
      </c>
      <c r="M1776" s="895">
        <f>450115.31+198638.21</f>
        <v>648753.52</v>
      </c>
      <c r="N1776" s="872"/>
      <c r="O1776" s="893"/>
      <c r="P1776" s="893"/>
      <c r="Q1776" s="1176">
        <f>ROUND(K1776*L1776/M1776,0)</f>
        <v>19921</v>
      </c>
      <c r="R1776" s="900"/>
      <c r="S1776" s="1272"/>
      <c r="T1776" s="900"/>
      <c r="U1776" s="1006" t="s">
        <v>11490</v>
      </c>
      <c r="V1776" s="1006"/>
      <c r="W1776" s="1003"/>
    </row>
    <row r="1777" spans="1:23" ht="14.5" customHeight="1">
      <c r="A1777" s="1034"/>
      <c r="B1777" s="1034"/>
      <c r="C1777" s="994" t="s">
        <v>7519</v>
      </c>
      <c r="D1777" s="988" t="str">
        <f t="shared" si="301"/>
        <v>662101</v>
      </c>
      <c r="E1777" s="989"/>
      <c r="F1777" s="988" t="str">
        <f t="shared" si="302"/>
        <v/>
      </c>
      <c r="I1777" s="944" t="str">
        <f t="shared" si="266"/>
        <v/>
      </c>
      <c r="J1777" s="990" t="s">
        <v>7520</v>
      </c>
      <c r="K1777" s="882"/>
      <c r="L1777" s="882"/>
      <c r="M1777" s="882"/>
      <c r="N1777" s="882"/>
      <c r="O1777" s="882"/>
      <c r="P1777" s="906">
        <f>Q1778+Q1781</f>
        <v>42812</v>
      </c>
      <c r="Q1777" s="1171"/>
      <c r="R1777" s="882"/>
      <c r="S1777" s="1269"/>
      <c r="T1777" s="1254"/>
      <c r="U1777" s="991" t="s">
        <v>11463</v>
      </c>
      <c r="V1777" s="991"/>
      <c r="W1777" s="992" t="s">
        <v>11492</v>
      </c>
    </row>
    <row r="1778" spans="1:23" ht="14.5" customHeight="1">
      <c r="A1778" s="1034"/>
      <c r="B1778" s="1034"/>
      <c r="C1778" s="987"/>
      <c r="D1778" s="988" t="str">
        <f t="shared" si="301"/>
        <v/>
      </c>
      <c r="E1778" s="989" t="s">
        <v>7521</v>
      </c>
      <c r="F1778" s="988" t="str">
        <f t="shared" si="302"/>
        <v>6621011</v>
      </c>
      <c r="G1778" s="1095" t="str">
        <f t="shared" ref="G1778:G1791" si="303">IF(F1778="",G1777,F1778)</f>
        <v>6621011</v>
      </c>
      <c r="I1778" s="944" t="str">
        <f t="shared" si="266"/>
        <v/>
      </c>
      <c r="J1778" s="990" t="s">
        <v>783</v>
      </c>
      <c r="K1778" s="882"/>
      <c r="L1778" s="882"/>
      <c r="M1778" s="882"/>
      <c r="N1778" s="882"/>
      <c r="O1778" s="882"/>
      <c r="P1778" s="882"/>
      <c r="Q1778" s="1171">
        <f>SUM(Q1779:Q1780)</f>
        <v>8280</v>
      </c>
      <c r="R1778" s="882"/>
      <c r="S1778" s="1287">
        <f>'CT2015'!K1641</f>
        <v>0.5</v>
      </c>
      <c r="T1778" s="1254">
        <f>ROUND(Q1778*S1778/100,0)</f>
        <v>41</v>
      </c>
      <c r="U1778" s="991"/>
      <c r="V1778" s="991"/>
      <c r="W1778" s="992"/>
    </row>
    <row r="1779" spans="1:23" ht="14.5" customHeight="1">
      <c r="A1779" s="1034"/>
      <c r="B1779" s="1034"/>
      <c r="C1779" s="987"/>
      <c r="D1779" s="988" t="str">
        <f t="shared" si="301"/>
        <v/>
      </c>
      <c r="F1779" s="988" t="str">
        <f t="shared" si="302"/>
        <v/>
      </c>
      <c r="G1779" s="1095" t="str">
        <f t="shared" si="303"/>
        <v>6621011</v>
      </c>
      <c r="H1779" s="1016" t="s">
        <v>5349</v>
      </c>
      <c r="I1779" s="944" t="str">
        <f t="shared" si="266"/>
        <v>6621011001</v>
      </c>
      <c r="J1779" s="991" t="s">
        <v>11493</v>
      </c>
      <c r="K1779" s="884">
        <v>2043317</v>
      </c>
      <c r="L1779" s="884">
        <v>8289.3799999999992</v>
      </c>
      <c r="M1779" s="884">
        <v>2059698.05</v>
      </c>
      <c r="N1779" s="882"/>
      <c r="O1779" s="882"/>
      <c r="P1779" s="882"/>
      <c r="Q1779" s="1165">
        <f t="shared" ref="Q1779:Q1780" si="304">ROUND(K1779*L1779/M1779,0)</f>
        <v>8223</v>
      </c>
      <c r="R1779" s="882"/>
      <c r="S1779" s="1269"/>
      <c r="T1779" s="1254"/>
      <c r="U1779" s="991"/>
      <c r="V1779" s="991"/>
      <c r="W1779" s="992"/>
    </row>
    <row r="1780" spans="1:23" ht="14.5" customHeight="1">
      <c r="A1780" s="1034"/>
      <c r="B1780" s="1034"/>
      <c r="C1780" s="987"/>
      <c r="D1780" s="988" t="str">
        <f t="shared" si="301"/>
        <v/>
      </c>
      <c r="F1780" s="988" t="str">
        <f t="shared" si="302"/>
        <v/>
      </c>
      <c r="G1780" s="1095" t="str">
        <f t="shared" si="303"/>
        <v>6621011</v>
      </c>
      <c r="H1780" s="1016" t="s">
        <v>5327</v>
      </c>
      <c r="I1780" s="944" t="str">
        <f t="shared" si="266"/>
        <v>6621011002</v>
      </c>
      <c r="J1780" s="991" t="s">
        <v>11494</v>
      </c>
      <c r="K1780" s="884">
        <v>32171</v>
      </c>
      <c r="L1780" s="884">
        <v>57.76</v>
      </c>
      <c r="M1780" s="884">
        <v>32429.119999999999</v>
      </c>
      <c r="N1780" s="882"/>
      <c r="O1780" s="882"/>
      <c r="P1780" s="882"/>
      <c r="Q1780" s="1165">
        <f t="shared" si="304"/>
        <v>57</v>
      </c>
      <c r="R1780" s="882"/>
      <c r="S1780" s="1269"/>
      <c r="T1780" s="1254"/>
      <c r="U1780" s="991"/>
      <c r="V1780" s="991"/>
      <c r="W1780" s="992"/>
    </row>
    <row r="1781" spans="1:23" ht="14.5" customHeight="1">
      <c r="A1781" s="1034"/>
      <c r="B1781" s="1034"/>
      <c r="C1781" s="987"/>
      <c r="D1781" s="988" t="str">
        <f t="shared" si="301"/>
        <v/>
      </c>
      <c r="E1781" s="989" t="s">
        <v>7524</v>
      </c>
      <c r="F1781" s="988" t="str">
        <f t="shared" si="302"/>
        <v>6621012</v>
      </c>
      <c r="G1781" s="1095" t="str">
        <f t="shared" si="303"/>
        <v>6621012</v>
      </c>
      <c r="I1781" s="944" t="str">
        <f t="shared" ref="I1781:I1820" si="305">IF(H1781="","",CONCATENATE(G1781,H1781))</f>
        <v/>
      </c>
      <c r="J1781" s="990" t="s">
        <v>784</v>
      </c>
      <c r="K1781" s="882"/>
      <c r="L1781" s="882"/>
      <c r="M1781" s="882"/>
      <c r="N1781" s="882"/>
      <c r="O1781" s="882"/>
      <c r="P1781" s="882"/>
      <c r="Q1781" s="1161">
        <f>SUM(Q1782:Q1791)</f>
        <v>34532</v>
      </c>
      <c r="R1781" s="882"/>
      <c r="S1781" s="1287">
        <f>'CT2015'!K1644</f>
        <v>0.5</v>
      </c>
      <c r="T1781" s="1254">
        <f>ROUND(Q1781*S1781/100,0)</f>
        <v>173</v>
      </c>
      <c r="U1781" s="991"/>
      <c r="V1781" s="991"/>
      <c r="W1781" s="992"/>
    </row>
    <row r="1782" spans="1:23" ht="14.5" customHeight="1">
      <c r="C1782" s="987"/>
      <c r="D1782" s="988" t="str">
        <f t="shared" si="301"/>
        <v/>
      </c>
      <c r="F1782" s="988" t="str">
        <f t="shared" si="302"/>
        <v/>
      </c>
      <c r="G1782" s="1095" t="str">
        <f t="shared" si="303"/>
        <v>6621012</v>
      </c>
      <c r="H1782" s="1016" t="s">
        <v>5349</v>
      </c>
      <c r="I1782" s="944" t="str">
        <f t="shared" si="305"/>
        <v>6621012001</v>
      </c>
      <c r="J1782" s="991" t="s">
        <v>11495</v>
      </c>
      <c r="K1782" s="884">
        <v>567298</v>
      </c>
      <c r="L1782" s="884">
        <v>4517.6000000000004</v>
      </c>
      <c r="M1782" s="884">
        <v>571845.74</v>
      </c>
      <c r="N1782" s="882"/>
      <c r="O1782" s="882"/>
      <c r="P1782" s="882"/>
      <c r="Q1782" s="1165">
        <f t="shared" ref="Q1782:Q1791" si="306">ROUND(K1782*L1782/M1782,0)</f>
        <v>4482</v>
      </c>
      <c r="R1782" s="882"/>
      <c r="S1782" s="1269"/>
      <c r="T1782" s="1254"/>
      <c r="U1782" s="991"/>
      <c r="V1782" s="991"/>
      <c r="W1782" s="992"/>
    </row>
    <row r="1783" spans="1:23" ht="14.5" customHeight="1">
      <c r="C1783" s="987"/>
      <c r="D1783" s="988" t="str">
        <f t="shared" si="301"/>
        <v/>
      </c>
      <c r="F1783" s="988" t="str">
        <f t="shared" si="302"/>
        <v/>
      </c>
      <c r="G1783" s="1095" t="str">
        <f t="shared" si="303"/>
        <v>6621012</v>
      </c>
      <c r="H1783" s="1016" t="s">
        <v>5327</v>
      </c>
      <c r="I1783" s="944" t="str">
        <f t="shared" si="305"/>
        <v>6621012002</v>
      </c>
      <c r="J1783" s="991" t="s">
        <v>11496</v>
      </c>
      <c r="K1783" s="884">
        <v>75288</v>
      </c>
      <c r="L1783" s="884">
        <v>2929.53</v>
      </c>
      <c r="M1783" s="884">
        <v>75891.47</v>
      </c>
      <c r="N1783" s="882"/>
      <c r="O1783" s="882"/>
      <c r="P1783" s="882"/>
      <c r="Q1783" s="1165">
        <f t="shared" si="306"/>
        <v>2906</v>
      </c>
      <c r="R1783" s="882"/>
      <c r="S1783" s="1269"/>
      <c r="T1783" s="1254"/>
      <c r="U1783" s="991"/>
      <c r="V1783" s="991"/>
      <c r="W1783" s="992"/>
    </row>
    <row r="1784" spans="1:23" ht="14.5" customHeight="1">
      <c r="C1784" s="987"/>
      <c r="D1784" s="988" t="str">
        <f t="shared" si="301"/>
        <v/>
      </c>
      <c r="F1784" s="988" t="str">
        <f t="shared" si="302"/>
        <v/>
      </c>
      <c r="G1784" s="1095" t="str">
        <f t="shared" si="303"/>
        <v>6621012</v>
      </c>
      <c r="H1784" s="1016" t="s">
        <v>5329</v>
      </c>
      <c r="I1784" s="944" t="str">
        <f t="shared" si="305"/>
        <v>6621012003</v>
      </c>
      <c r="J1784" s="991" t="s">
        <v>11497</v>
      </c>
      <c r="K1784" s="884">
        <v>157258</v>
      </c>
      <c r="L1784" s="884">
        <v>869.98</v>
      </c>
      <c r="M1784" s="884">
        <v>158518.9</v>
      </c>
      <c r="N1784" s="882"/>
      <c r="O1784" s="882"/>
      <c r="P1784" s="882"/>
      <c r="Q1784" s="1165">
        <f t="shared" si="306"/>
        <v>863</v>
      </c>
      <c r="R1784" s="882"/>
      <c r="S1784" s="1269"/>
      <c r="T1784" s="1254"/>
      <c r="U1784" s="991"/>
      <c r="V1784" s="991"/>
      <c r="W1784" s="992"/>
    </row>
    <row r="1785" spans="1:23" ht="14.5" customHeight="1">
      <c r="C1785" s="987"/>
      <c r="F1785" s="988"/>
      <c r="G1785" s="1095" t="str">
        <f t="shared" si="303"/>
        <v>6621012</v>
      </c>
      <c r="H1785" s="1016" t="s">
        <v>5593</v>
      </c>
      <c r="I1785" s="944" t="str">
        <f t="shared" si="305"/>
        <v>6621012004</v>
      </c>
      <c r="J1785" s="991" t="s">
        <v>11498</v>
      </c>
      <c r="K1785" s="884">
        <v>14224</v>
      </c>
      <c r="L1785" s="884">
        <v>9.3699999999999992</v>
      </c>
      <c r="M1785" s="884">
        <v>14338.25</v>
      </c>
      <c r="N1785" s="882"/>
      <c r="O1785" s="882"/>
      <c r="P1785" s="882"/>
      <c r="Q1785" s="1165">
        <f t="shared" si="306"/>
        <v>9</v>
      </c>
      <c r="R1785" s="882"/>
      <c r="S1785" s="1269"/>
      <c r="T1785" s="1254"/>
      <c r="U1785" s="991"/>
      <c r="V1785" s="991"/>
      <c r="W1785" s="992"/>
    </row>
    <row r="1786" spans="1:23" ht="14.5" customHeight="1">
      <c r="C1786" s="987"/>
      <c r="F1786" s="988"/>
      <c r="G1786" s="1095" t="str">
        <f t="shared" si="303"/>
        <v>6621012</v>
      </c>
      <c r="H1786" s="1016" t="s">
        <v>7227</v>
      </c>
      <c r="I1786" s="944" t="str">
        <f t="shared" si="305"/>
        <v>6621012005</v>
      </c>
      <c r="J1786" s="991" t="s">
        <v>11499</v>
      </c>
      <c r="K1786" s="884">
        <v>1910548</v>
      </c>
      <c r="L1786" s="884">
        <v>4373.91</v>
      </c>
      <c r="M1786" s="884">
        <v>1925864.97</v>
      </c>
      <c r="N1786" s="882"/>
      <c r="O1786" s="882"/>
      <c r="P1786" s="882"/>
      <c r="Q1786" s="1165">
        <f t="shared" si="306"/>
        <v>4339</v>
      </c>
      <c r="R1786" s="882"/>
      <c r="S1786" s="1269"/>
      <c r="T1786" s="1254"/>
      <c r="U1786" s="991"/>
      <c r="V1786" s="991"/>
      <c r="W1786" s="992"/>
    </row>
    <row r="1787" spans="1:23" ht="14.5" customHeight="1">
      <c r="C1787" s="987"/>
      <c r="F1787" s="988"/>
      <c r="G1787" s="1095" t="str">
        <f t="shared" si="303"/>
        <v>6621012</v>
      </c>
      <c r="H1787" s="1016" t="s">
        <v>7229</v>
      </c>
      <c r="I1787" s="944" t="str">
        <f t="shared" si="305"/>
        <v>6621012006</v>
      </c>
      <c r="J1787" s="991" t="s">
        <v>11500</v>
      </c>
      <c r="K1787" s="884">
        <v>256347</v>
      </c>
      <c r="L1787" s="884">
        <v>646.52</v>
      </c>
      <c r="M1787" s="884">
        <v>258402.16</v>
      </c>
      <c r="N1787" s="882"/>
      <c r="O1787" s="882"/>
      <c r="P1787" s="882"/>
      <c r="Q1787" s="1165">
        <f t="shared" si="306"/>
        <v>641</v>
      </c>
      <c r="R1787" s="882"/>
      <c r="S1787" s="1269"/>
      <c r="T1787" s="1254"/>
      <c r="U1787" s="991"/>
      <c r="V1787" s="991"/>
      <c r="W1787" s="992"/>
    </row>
    <row r="1788" spans="1:23" ht="14.5" customHeight="1">
      <c r="C1788" s="987"/>
      <c r="F1788" s="988"/>
      <c r="G1788" s="1095" t="str">
        <f t="shared" si="303"/>
        <v>6621012</v>
      </c>
      <c r="H1788" s="1016" t="s">
        <v>7231</v>
      </c>
      <c r="I1788" s="944" t="str">
        <f t="shared" si="305"/>
        <v>6621012007</v>
      </c>
      <c r="J1788" s="991" t="s">
        <v>11501</v>
      </c>
      <c r="K1788" s="884">
        <v>287551</v>
      </c>
      <c r="L1788" s="884">
        <v>3597.93</v>
      </c>
      <c r="M1788" s="884">
        <v>289856.24</v>
      </c>
      <c r="N1788" s="882"/>
      <c r="O1788" s="882"/>
      <c r="P1788" s="882"/>
      <c r="Q1788" s="1165">
        <f t="shared" si="306"/>
        <v>3569</v>
      </c>
      <c r="R1788" s="882"/>
      <c r="S1788" s="1269"/>
      <c r="T1788" s="1254"/>
      <c r="U1788" s="991"/>
      <c r="V1788" s="991"/>
      <c r="W1788" s="992"/>
    </row>
    <row r="1789" spans="1:23" ht="14.5" customHeight="1">
      <c r="C1789" s="987"/>
      <c r="F1789" s="988"/>
      <c r="G1789" s="1095" t="str">
        <f t="shared" si="303"/>
        <v>6621012</v>
      </c>
      <c r="H1789" s="1016" t="s">
        <v>10398</v>
      </c>
      <c r="I1789" s="944" t="str">
        <f t="shared" si="305"/>
        <v>6621012008</v>
      </c>
      <c r="J1789" s="991" t="s">
        <v>11502</v>
      </c>
      <c r="K1789" s="884">
        <v>58925</v>
      </c>
      <c r="L1789" s="884">
        <v>31.19</v>
      </c>
      <c r="M1789" s="884">
        <v>59397.09</v>
      </c>
      <c r="N1789" s="882"/>
      <c r="O1789" s="882"/>
      <c r="P1789" s="882"/>
      <c r="Q1789" s="1165">
        <f t="shared" si="306"/>
        <v>31</v>
      </c>
      <c r="R1789" s="882"/>
      <c r="S1789" s="1269"/>
      <c r="T1789" s="1254"/>
      <c r="U1789" s="991"/>
      <c r="V1789" s="991"/>
      <c r="W1789" s="992"/>
    </row>
    <row r="1790" spans="1:23" ht="14.5" customHeight="1">
      <c r="C1790" s="987"/>
      <c r="F1790" s="988"/>
      <c r="G1790" s="1095" t="str">
        <f t="shared" si="303"/>
        <v>6621012</v>
      </c>
      <c r="H1790" s="1016" t="s">
        <v>11322</v>
      </c>
      <c r="I1790" s="944" t="str">
        <f t="shared" si="305"/>
        <v>6621012009</v>
      </c>
      <c r="J1790" s="991" t="s">
        <v>11503</v>
      </c>
      <c r="K1790" s="884">
        <v>2551716</v>
      </c>
      <c r="L1790" s="884">
        <v>16143.86</v>
      </c>
      <c r="M1790" s="884">
        <v>2572173.44</v>
      </c>
      <c r="N1790" s="882"/>
      <c r="O1790" s="882"/>
      <c r="P1790" s="882"/>
      <c r="Q1790" s="1165">
        <f t="shared" si="306"/>
        <v>16015</v>
      </c>
      <c r="R1790" s="882"/>
      <c r="S1790" s="1269"/>
      <c r="T1790" s="1254"/>
      <c r="U1790" s="991"/>
      <c r="V1790" s="991"/>
      <c r="W1790" s="992"/>
    </row>
    <row r="1791" spans="1:23" ht="14.5" customHeight="1">
      <c r="C1791" s="987"/>
      <c r="D1791" s="988" t="str">
        <f>IF(C1791="","",CONCATENATE(LEFT(C1791,4),MID(C1791,6,2)))</f>
        <v/>
      </c>
      <c r="F1791" s="988" t="str">
        <f>IF(E1791="","",CONCATENATE(LEFT(E1791,4),MID(E1791,6,3)))</f>
        <v/>
      </c>
      <c r="G1791" s="1104" t="str">
        <f t="shared" si="303"/>
        <v>6621012</v>
      </c>
      <c r="H1791" s="1016" t="s">
        <v>11324</v>
      </c>
      <c r="I1791" s="944" t="str">
        <f t="shared" si="305"/>
        <v>6621012010</v>
      </c>
      <c r="J1791" s="991" t="s">
        <v>11504</v>
      </c>
      <c r="K1791" s="884">
        <v>266121</v>
      </c>
      <c r="L1791" s="884">
        <v>1690.34</v>
      </c>
      <c r="M1791" s="884">
        <v>268254.96999999997</v>
      </c>
      <c r="N1791" s="882"/>
      <c r="O1791" s="882"/>
      <c r="P1791" s="882"/>
      <c r="Q1791" s="1165">
        <f t="shared" si="306"/>
        <v>1677</v>
      </c>
      <c r="R1791" s="882"/>
      <c r="S1791" s="1269"/>
      <c r="T1791" s="1254"/>
      <c r="U1791" s="992"/>
      <c r="V1791" s="991"/>
      <c r="W1791" s="1003"/>
    </row>
    <row r="1792" spans="1:23" ht="14.5" customHeight="1">
      <c r="A1792" s="1133"/>
      <c r="B1792" s="1133"/>
      <c r="C1792" s="981" t="s">
        <v>7533</v>
      </c>
      <c r="D1792" s="982" t="str">
        <f t="shared" ref="D1792:D1837" si="307">IF(C1792="","",CONCATENATE(LEFT(C1792,4),MID(C1792,6,2)))</f>
        <v>663110</v>
      </c>
      <c r="E1792" s="983" t="s">
        <v>7534</v>
      </c>
      <c r="F1792" s="982" t="str">
        <f t="shared" ref="F1792:F1837" si="308">IF(E1792="","",CONCATENATE(LEFT(E1792,4),MID(E1792,6,3)))</f>
        <v>6631101</v>
      </c>
      <c r="G1792" s="1095" t="str">
        <f>IF(F1792="",G1791,F1792)</f>
        <v>6631101</v>
      </c>
      <c r="H1792" s="1102"/>
      <c r="I1792" s="1141" t="str">
        <f t="shared" si="305"/>
        <v/>
      </c>
      <c r="J1792" s="984" t="s">
        <v>7535</v>
      </c>
      <c r="K1792" s="897"/>
      <c r="L1792" s="897"/>
      <c r="M1792" s="897"/>
      <c r="N1792" s="889"/>
      <c r="O1792" s="889"/>
      <c r="P1792" s="881">
        <f>Q1792</f>
        <v>154265</v>
      </c>
      <c r="Q1792" s="1160">
        <f>ROUND(SUM(Q1793:Q1795),0)</f>
        <v>154265</v>
      </c>
      <c r="R1792" s="880"/>
      <c r="S1792" s="1270"/>
      <c r="T1792" s="880"/>
      <c r="U1792" s="993"/>
      <c r="V1792" s="993"/>
      <c r="W1792" s="992"/>
    </row>
    <row r="1793" spans="1:23" ht="14.5" customHeight="1">
      <c r="C1793" s="994"/>
      <c r="E1793" s="989"/>
      <c r="F1793" s="988"/>
      <c r="G1793" s="1095" t="str">
        <f t="shared" ref="G1793:G1795" si="309">IF(F1793="",G1792,F1793)</f>
        <v>6631101</v>
      </c>
      <c r="I1793" s="1033"/>
      <c r="J1793" s="991" t="s">
        <v>7536</v>
      </c>
      <c r="K1793" s="890">
        <f>2236216+740485+253934</f>
        <v>3230635</v>
      </c>
      <c r="L1793" s="890">
        <f>55676.32+37440.9</f>
        <v>93117.22</v>
      </c>
      <c r="M1793" s="890">
        <f>1720516.49+1914340.37</f>
        <v>3634856.8600000003</v>
      </c>
      <c r="N1793" s="886"/>
      <c r="O1793" s="886"/>
      <c r="P1793" s="886"/>
      <c r="Q1793" s="1165">
        <f>ROUND(K1793*L1793/M1793,0)</f>
        <v>82762</v>
      </c>
      <c r="R1793" s="882"/>
      <c r="S1793" s="1269"/>
      <c r="T1793" s="1254"/>
      <c r="U1793" s="996" t="s">
        <v>11126</v>
      </c>
      <c r="V1793" s="996"/>
      <c r="W1793" s="992" t="s">
        <v>11505</v>
      </c>
    </row>
    <row r="1794" spans="1:23" ht="14.5" customHeight="1">
      <c r="C1794" s="994"/>
      <c r="E1794" s="989"/>
      <c r="F1794" s="988"/>
      <c r="G1794" s="1095" t="str">
        <f t="shared" si="309"/>
        <v>6631101</v>
      </c>
      <c r="I1794" s="1033"/>
      <c r="J1794" s="991" t="s">
        <v>7537</v>
      </c>
      <c r="K1794" s="873"/>
      <c r="L1794" s="873"/>
      <c r="M1794" s="873"/>
      <c r="N1794" s="886"/>
      <c r="O1794" s="886"/>
      <c r="P1794" s="886"/>
      <c r="Q1794" s="1167">
        <f>59602.89+1458.9+6031.37+726.66+2612.9+786.91</f>
        <v>71219.63</v>
      </c>
      <c r="R1794" s="882"/>
      <c r="S1794" s="1269"/>
      <c r="T1794" s="1254"/>
      <c r="U1794" s="996" t="s">
        <v>10558</v>
      </c>
      <c r="V1794" s="996"/>
      <c r="W1794" s="992" t="s">
        <v>11506</v>
      </c>
    </row>
    <row r="1795" spans="1:23" ht="14.5" customHeight="1">
      <c r="C1795" s="1015"/>
      <c r="D1795" s="999"/>
      <c r="E1795" s="1000"/>
      <c r="F1795" s="999"/>
      <c r="G1795" s="1104" t="str">
        <f t="shared" si="309"/>
        <v>6631101</v>
      </c>
      <c r="H1795" s="1005"/>
      <c r="I1795" s="1109"/>
      <c r="J1795" s="978" t="s">
        <v>7538</v>
      </c>
      <c r="K1795" s="872"/>
      <c r="L1795" s="872"/>
      <c r="M1795" s="872"/>
      <c r="N1795" s="893"/>
      <c r="O1795" s="893"/>
      <c r="P1795" s="893"/>
      <c r="Q1795" s="1170">
        <f>223.68+57.31+2.76</f>
        <v>283.75</v>
      </c>
      <c r="R1795" s="900"/>
      <c r="S1795" s="1272"/>
      <c r="T1795" s="900"/>
      <c r="U1795" s="1006" t="s">
        <v>10122</v>
      </c>
      <c r="V1795" s="1006"/>
      <c r="W1795" s="1003" t="s">
        <v>11507</v>
      </c>
    </row>
    <row r="1796" spans="1:23" ht="14.5" customHeight="1">
      <c r="C1796" s="994" t="s">
        <v>7539</v>
      </c>
      <c r="D1796" s="988" t="str">
        <f t="shared" si="307"/>
        <v>663210</v>
      </c>
      <c r="E1796" s="989" t="s">
        <v>7540</v>
      </c>
      <c r="F1796" s="988" t="str">
        <f t="shared" si="308"/>
        <v>6632101</v>
      </c>
      <c r="G1796" s="1095" t="str">
        <f>IF(F1796="",G1795,F1796)</f>
        <v>6632101</v>
      </c>
      <c r="I1796" s="1033" t="str">
        <f t="shared" si="305"/>
        <v/>
      </c>
      <c r="J1796" s="990" t="s">
        <v>788</v>
      </c>
      <c r="K1796" s="886"/>
      <c r="L1796" s="886"/>
      <c r="M1796" s="886"/>
      <c r="N1796" s="886"/>
      <c r="O1796" s="886"/>
      <c r="P1796" s="896">
        <f>Q1796</f>
        <v>209467</v>
      </c>
      <c r="Q1796" s="1201">
        <f>ROUND(SUM(Q1797:Q1801),0)</f>
        <v>209467</v>
      </c>
      <c r="R1796" s="882"/>
      <c r="S1796" s="1269"/>
      <c r="T1796" s="1254"/>
      <c r="U1796" s="996"/>
      <c r="V1796" s="996"/>
      <c r="W1796" s="992"/>
    </row>
    <row r="1797" spans="1:23" ht="14.5" customHeight="1">
      <c r="C1797" s="994"/>
      <c r="E1797" s="989"/>
      <c r="F1797" s="988"/>
      <c r="G1797" s="1095" t="str">
        <f>IF(F1797="",G1796,F1797)</f>
        <v>6632101</v>
      </c>
      <c r="H1797" s="1016" t="s">
        <v>5534</v>
      </c>
      <c r="I1797" s="1033"/>
      <c r="J1797" s="991" t="s">
        <v>11508</v>
      </c>
      <c r="K1797" s="886">
        <v>631653</v>
      </c>
      <c r="L1797" s="886"/>
      <c r="M1797" s="886">
        <v>631338.27</v>
      </c>
      <c r="N1797" s="886"/>
      <c r="O1797" s="886"/>
      <c r="P1797" s="886"/>
      <c r="Q1797" s="1167">
        <v>38022.589999999997</v>
      </c>
      <c r="R1797" s="882"/>
      <c r="S1797" s="1269"/>
      <c r="T1797" s="1254"/>
      <c r="U1797" s="996" t="s">
        <v>10424</v>
      </c>
      <c r="V1797" s="996"/>
      <c r="W1797" s="992" t="s">
        <v>11509</v>
      </c>
    </row>
    <row r="1798" spans="1:23" ht="14.5" customHeight="1">
      <c r="C1798" s="994"/>
      <c r="E1798" s="989"/>
      <c r="F1798" s="988"/>
      <c r="G1798" s="1095" t="str">
        <f t="shared" ref="G1798:G1801" si="310">IF(F1798="",G1797,F1798)</f>
        <v>6632101</v>
      </c>
      <c r="H1798" s="1016" t="s">
        <v>5602</v>
      </c>
      <c r="I1798" s="1033"/>
      <c r="J1798" s="991" t="s">
        <v>11510</v>
      </c>
      <c r="K1798" s="890">
        <v>967249</v>
      </c>
      <c r="L1798" s="890">
        <v>16918.060000000001</v>
      </c>
      <c r="M1798" s="890">
        <v>663342.61</v>
      </c>
      <c r="N1798" s="886"/>
      <c r="O1798" s="886"/>
      <c r="P1798" s="886"/>
      <c r="Q1798" s="1165">
        <f>ROUND(K1798*L1798/M1798,0)</f>
        <v>24669</v>
      </c>
      <c r="R1798" s="882"/>
      <c r="S1798" s="1269"/>
      <c r="T1798" s="1254"/>
      <c r="U1798" s="996" t="s">
        <v>10558</v>
      </c>
      <c r="V1798" s="996"/>
      <c r="W1798" s="992" t="s">
        <v>11511</v>
      </c>
    </row>
    <row r="1799" spans="1:23" ht="14.5" customHeight="1">
      <c r="C1799" s="994"/>
      <c r="E1799" s="989"/>
      <c r="F1799" s="988"/>
      <c r="G1799" s="1095" t="str">
        <f t="shared" si="310"/>
        <v>6632101</v>
      </c>
      <c r="H1799" s="1016" t="s">
        <v>5844</v>
      </c>
      <c r="I1799" s="1033"/>
      <c r="J1799" s="991" t="s">
        <v>11512</v>
      </c>
      <c r="K1799" s="873">
        <v>38550</v>
      </c>
      <c r="L1799" s="873"/>
      <c r="M1799" s="873">
        <v>61521.29</v>
      </c>
      <c r="N1799" s="886"/>
      <c r="O1799" s="886"/>
      <c r="P1799" s="886"/>
      <c r="Q1799" s="1167">
        <v>1212.96</v>
      </c>
      <c r="R1799" s="882"/>
      <c r="S1799" s="1269"/>
      <c r="T1799" s="1254"/>
      <c r="U1799" s="996" t="s">
        <v>10558</v>
      </c>
      <c r="V1799" s="996"/>
      <c r="W1799" s="992" t="s">
        <v>11513</v>
      </c>
    </row>
    <row r="1800" spans="1:23" ht="14.5" customHeight="1">
      <c r="C1800" s="994"/>
      <c r="E1800" s="989"/>
      <c r="F1800" s="988"/>
      <c r="G1800" s="1095" t="str">
        <f t="shared" si="310"/>
        <v>6632101</v>
      </c>
      <c r="H1800" s="1016" t="s">
        <v>7571</v>
      </c>
      <c r="I1800" s="1033"/>
      <c r="J1800" s="991" t="s">
        <v>11514</v>
      </c>
      <c r="K1800" s="886">
        <v>31833</v>
      </c>
      <c r="L1800" s="886"/>
      <c r="M1800" s="886">
        <v>35518.69</v>
      </c>
      <c r="N1800" s="886"/>
      <c r="O1800" s="886"/>
      <c r="P1800" s="886"/>
      <c r="Q1800" s="1167">
        <v>231.03</v>
      </c>
      <c r="R1800" s="882"/>
      <c r="S1800" s="1269"/>
      <c r="T1800" s="1254"/>
      <c r="U1800" s="996" t="s">
        <v>10558</v>
      </c>
      <c r="V1800" s="996"/>
      <c r="W1800" s="992" t="s">
        <v>11515</v>
      </c>
    </row>
    <row r="1801" spans="1:23" ht="14.5" customHeight="1">
      <c r="C1801" s="1015"/>
      <c r="D1801" s="999"/>
      <c r="E1801" s="1000"/>
      <c r="F1801" s="999"/>
      <c r="G1801" s="1104" t="str">
        <f t="shared" si="310"/>
        <v>6632101</v>
      </c>
      <c r="H1801" s="1146" t="s">
        <v>11516</v>
      </c>
      <c r="I1801" s="1109"/>
      <c r="J1801" s="978" t="s">
        <v>11517</v>
      </c>
      <c r="K1801" s="893">
        <v>5113230</v>
      </c>
      <c r="L1801" s="893"/>
      <c r="M1801" s="893"/>
      <c r="N1801" s="893"/>
      <c r="O1801" s="893"/>
      <c r="P1801" s="893"/>
      <c r="Q1801" s="1170">
        <v>145331</v>
      </c>
      <c r="R1801" s="900"/>
      <c r="S1801" s="1272"/>
      <c r="T1801" s="900"/>
      <c r="U1801" s="1006" t="s">
        <v>11518</v>
      </c>
      <c r="V1801" s="1006"/>
      <c r="W1801" s="1003" t="s">
        <v>11519</v>
      </c>
    </row>
    <row r="1802" spans="1:23" ht="14.5" customHeight="1">
      <c r="C1802" s="994" t="s">
        <v>7546</v>
      </c>
      <c r="D1802" s="988" t="str">
        <f t="shared" si="307"/>
        <v>669901</v>
      </c>
      <c r="E1802" s="989" t="s">
        <v>7547</v>
      </c>
      <c r="F1802" s="988" t="str">
        <f t="shared" si="308"/>
        <v>6699011</v>
      </c>
      <c r="G1802" s="1095" t="str">
        <f>IF(F1802="",G1805,F1802)</f>
        <v>6699011</v>
      </c>
      <c r="I1802" s="1033" t="str">
        <f t="shared" si="305"/>
        <v/>
      </c>
      <c r="J1802" s="990" t="s">
        <v>790</v>
      </c>
      <c r="K1802" s="886"/>
      <c r="L1802" s="886"/>
      <c r="M1802" s="886"/>
      <c r="N1802" s="886"/>
      <c r="O1802" s="886"/>
      <c r="P1802" s="896">
        <f>Q1802</f>
        <v>82699</v>
      </c>
      <c r="Q1802" s="1174">
        <v>82699</v>
      </c>
      <c r="R1802" s="882"/>
      <c r="S1802" s="1287">
        <f>'CT2015'!K1663</f>
        <v>0.9</v>
      </c>
      <c r="T1802" s="929">
        <f>ROUND(Q1802*S1802/100,0)</f>
        <v>744</v>
      </c>
      <c r="U1802" s="996" t="s">
        <v>11520</v>
      </c>
      <c r="V1802" s="996"/>
      <c r="W1802" s="992" t="s">
        <v>11521</v>
      </c>
    </row>
    <row r="1803" spans="1:23" ht="14.5" customHeight="1">
      <c r="A1803" s="1140"/>
      <c r="B1803" s="1140"/>
      <c r="C1803" s="1023" t="s">
        <v>7551</v>
      </c>
      <c r="D1803" s="1024" t="str">
        <f t="shared" si="307"/>
        <v>669902</v>
      </c>
      <c r="E1803" s="1025" t="s">
        <v>7552</v>
      </c>
      <c r="F1803" s="1024" t="str">
        <f t="shared" si="308"/>
        <v>6699021</v>
      </c>
      <c r="G1803" s="1111" t="str">
        <f>IF(F1803="",#REF!,F1803)</f>
        <v>6699021</v>
      </c>
      <c r="H1803" s="1112"/>
      <c r="I1803" s="1147" t="str">
        <f t="shared" si="305"/>
        <v/>
      </c>
      <c r="J1803" s="1026" t="s">
        <v>791</v>
      </c>
      <c r="K1803" s="913"/>
      <c r="L1803" s="913"/>
      <c r="M1803" s="913"/>
      <c r="N1803" s="913"/>
      <c r="O1803" s="912"/>
      <c r="P1803" s="914">
        <f>Q1803</f>
        <v>112676</v>
      </c>
      <c r="Q1803" s="1198">
        <v>112676</v>
      </c>
      <c r="R1803" s="929"/>
      <c r="S1803" s="1280"/>
      <c r="T1803" s="929"/>
      <c r="U1803" s="1022" t="s">
        <v>11312</v>
      </c>
      <c r="V1803" s="1022"/>
      <c r="W1803" s="1027" t="s">
        <v>11522</v>
      </c>
    </row>
    <row r="1804" spans="1:23" ht="14.5" customHeight="1">
      <c r="A1804" s="1140"/>
      <c r="B1804" s="1140"/>
      <c r="C1804" s="1023" t="s">
        <v>7553</v>
      </c>
      <c r="D1804" s="1024" t="str">
        <f t="shared" si="307"/>
        <v>669903</v>
      </c>
      <c r="E1804" s="1025" t="s">
        <v>7554</v>
      </c>
      <c r="F1804" s="1024" t="str">
        <f t="shared" si="308"/>
        <v>6699031</v>
      </c>
      <c r="G1804" s="1111" t="str">
        <f t="shared" ref="G1804:G1808" si="311">IF(F1804="",G1803,F1804)</f>
        <v>6699031</v>
      </c>
      <c r="H1804" s="1112" t="s">
        <v>36</v>
      </c>
      <c r="I1804" s="1147" t="str">
        <f t="shared" si="305"/>
        <v>6699031001</v>
      </c>
      <c r="J1804" s="1026" t="s">
        <v>792</v>
      </c>
      <c r="K1804" s="912"/>
      <c r="L1804" s="913"/>
      <c r="M1804" s="913"/>
      <c r="N1804" s="912"/>
      <c r="O1804" s="912"/>
      <c r="P1804" s="914">
        <f>Q1804</f>
        <v>221455</v>
      </c>
      <c r="Q1804" s="1186">
        <v>221455</v>
      </c>
      <c r="R1804" s="929"/>
      <c r="S1804" s="1280"/>
      <c r="T1804" s="929"/>
      <c r="U1804" s="1022" t="s">
        <v>11523</v>
      </c>
      <c r="V1804" s="1022"/>
      <c r="W1804" s="1027" t="s">
        <v>11524</v>
      </c>
    </row>
    <row r="1805" spans="1:23" ht="14.5" customHeight="1">
      <c r="C1805" s="981" t="s">
        <v>7555</v>
      </c>
      <c r="D1805" s="982" t="str">
        <f>IF(C1805="","",CONCATENATE(LEFT(C1805,4),MID(C1805,6,2)))</f>
        <v>669904</v>
      </c>
      <c r="E1805" s="983" t="s">
        <v>7556</v>
      </c>
      <c r="F1805" s="982" t="str">
        <f>IF(E1805="","",CONCATENATE(LEFT(E1805,4),MID(E1805,6,3)))</f>
        <v>6699041</v>
      </c>
      <c r="G1805" s="1103" t="str">
        <f t="shared" si="311"/>
        <v>6699041</v>
      </c>
      <c r="H1805" s="1102"/>
      <c r="I1805" s="1141" t="str">
        <f t="shared" si="305"/>
        <v/>
      </c>
      <c r="J1805" s="984" t="s">
        <v>793</v>
      </c>
      <c r="K1805" s="897"/>
      <c r="L1805" s="897"/>
      <c r="M1805" s="897"/>
      <c r="N1805" s="889"/>
      <c r="O1805" s="889"/>
      <c r="P1805" s="881">
        <f>Q1805</f>
        <v>199484</v>
      </c>
      <c r="Q1805" s="1160">
        <f>ROUND(SUM(Q1806:Q1807),0)</f>
        <v>199484</v>
      </c>
      <c r="R1805" s="880"/>
      <c r="S1805" s="1269"/>
      <c r="T1805" s="1254"/>
      <c r="U1805" s="996" t="s">
        <v>11520</v>
      </c>
      <c r="V1805" s="993"/>
      <c r="W1805" s="992" t="s">
        <v>11525</v>
      </c>
    </row>
    <row r="1806" spans="1:23" ht="14.5" customHeight="1">
      <c r="C1806" s="994"/>
      <c r="E1806" s="989"/>
      <c r="F1806" s="988" t="str">
        <f>IF(E1806="","",CONCATENATE(LEFT(E1806,4),MID(E1806,6,3)))</f>
        <v/>
      </c>
      <c r="G1806" s="1095" t="str">
        <f t="shared" si="311"/>
        <v>6699041</v>
      </c>
      <c r="H1806" s="1016" t="s">
        <v>5349</v>
      </c>
      <c r="I1806" s="1033" t="str">
        <f t="shared" si="305"/>
        <v>6699041001</v>
      </c>
      <c r="J1806" s="991" t="s">
        <v>7557</v>
      </c>
      <c r="K1806" s="873"/>
      <c r="L1806" s="873"/>
      <c r="M1806" s="873"/>
      <c r="N1806" s="886"/>
      <c r="O1806" s="886"/>
      <c r="P1806" s="886"/>
      <c r="Q1806" s="1167">
        <v>110194.25</v>
      </c>
      <c r="R1806" s="882"/>
      <c r="S1806" s="1269"/>
      <c r="T1806" s="1254"/>
      <c r="U1806" s="996"/>
      <c r="V1806" s="996"/>
      <c r="W1806" s="992"/>
    </row>
    <row r="1807" spans="1:23" ht="14.5" customHeight="1">
      <c r="C1807" s="994"/>
      <c r="E1807" s="989"/>
      <c r="F1807" s="988"/>
      <c r="G1807" s="1095" t="str">
        <f t="shared" si="311"/>
        <v>6699041</v>
      </c>
      <c r="H1807" s="1016" t="s">
        <v>5327</v>
      </c>
      <c r="I1807" s="1033" t="str">
        <f t="shared" si="305"/>
        <v>6699041002</v>
      </c>
      <c r="J1807" s="991" t="s">
        <v>11526</v>
      </c>
      <c r="K1807" s="873"/>
      <c r="L1807" s="873"/>
      <c r="M1807" s="873"/>
      <c r="N1807" s="886"/>
      <c r="O1807" s="886"/>
      <c r="P1807" s="886"/>
      <c r="Q1807" s="1167">
        <v>89289.25</v>
      </c>
      <c r="R1807" s="882"/>
      <c r="S1807" s="1269"/>
      <c r="T1807" s="1254"/>
      <c r="U1807" s="996"/>
      <c r="V1807" s="996"/>
      <c r="W1807" s="992"/>
    </row>
    <row r="1808" spans="1:23" ht="14.5" customHeight="1">
      <c r="C1808" s="1023" t="s">
        <v>7559</v>
      </c>
      <c r="D1808" s="1024" t="str">
        <f t="shared" si="307"/>
        <v>669905</v>
      </c>
      <c r="E1808" s="1025" t="s">
        <v>7560</v>
      </c>
      <c r="F1808" s="1024" t="str">
        <f t="shared" si="308"/>
        <v>6699051</v>
      </c>
      <c r="G1808" s="1111" t="str">
        <f t="shared" si="311"/>
        <v>6699051</v>
      </c>
      <c r="H1808" s="1112"/>
      <c r="I1808" s="1147" t="str">
        <f t="shared" si="305"/>
        <v/>
      </c>
      <c r="J1808" s="1026" t="s">
        <v>7561</v>
      </c>
      <c r="K1808" s="913"/>
      <c r="L1808" s="913"/>
      <c r="M1808" s="913"/>
      <c r="N1808" s="912"/>
      <c r="O1808" s="912"/>
      <c r="P1808" s="922">
        <f t="shared" ref="P1808:P1824" si="312">Q1808</f>
        <v>106043</v>
      </c>
      <c r="Q1808" s="1186">
        <v>106043</v>
      </c>
      <c r="R1808" s="929"/>
      <c r="S1808" s="1280"/>
      <c r="T1808" s="929"/>
      <c r="U1808" s="1022" t="s">
        <v>11520</v>
      </c>
      <c r="V1808" s="1022"/>
      <c r="W1808" s="1027" t="s">
        <v>11527</v>
      </c>
    </row>
    <row r="1809" spans="1:23" ht="14.5" customHeight="1">
      <c r="C1809" s="1023" t="s">
        <v>11528</v>
      </c>
      <c r="D1809" s="1024" t="str">
        <f>IF(C1809="","",CONCATENATE(LEFT(C1809,4),MID(C1809,6,2)))</f>
        <v>669906</v>
      </c>
      <c r="E1809" s="1025" t="s">
        <v>11529</v>
      </c>
      <c r="F1809" s="1024" t="str">
        <f>IF(E1809="","",CONCATENATE(LEFT(E1809,4),MID(E1809,6,3)))</f>
        <v>6699061</v>
      </c>
      <c r="G1809" s="1111" t="str">
        <f>IF(F1809="",G1808,F1809)</f>
        <v>6699061</v>
      </c>
      <c r="H1809" s="1112" t="s">
        <v>5349</v>
      </c>
      <c r="I1809" s="1147" t="str">
        <f t="shared" si="305"/>
        <v>6699061001</v>
      </c>
      <c r="J1809" s="1026" t="s">
        <v>11530</v>
      </c>
      <c r="K1809" s="930">
        <v>18288</v>
      </c>
      <c r="L1809" s="930">
        <v>164</v>
      </c>
      <c r="M1809" s="930">
        <v>31945</v>
      </c>
      <c r="N1809" s="912"/>
      <c r="O1809" s="912"/>
      <c r="P1809" s="922">
        <f t="shared" si="312"/>
        <v>94</v>
      </c>
      <c r="Q1809" s="1200">
        <f>ROUND(K1809*L1809/M1809,0)</f>
        <v>94</v>
      </c>
      <c r="R1809" s="929"/>
      <c r="S1809" s="1280"/>
      <c r="T1809" s="929"/>
      <c r="U1809" s="1022" t="s">
        <v>11531</v>
      </c>
      <c r="V1809" s="1022"/>
      <c r="W1809" s="1027" t="s">
        <v>11532</v>
      </c>
    </row>
    <row r="1810" spans="1:23" ht="14.5" customHeight="1">
      <c r="C1810" s="1023" t="s">
        <v>11533</v>
      </c>
      <c r="D1810" s="1024" t="str">
        <f>IF(C1810="","",CONCATENATE(LEFT(C1810,4),MID(C1810,6,2)))</f>
        <v>669907</v>
      </c>
      <c r="E1810" s="1025" t="s">
        <v>11534</v>
      </c>
      <c r="F1810" s="1024" t="str">
        <f>IF(E1810="","",CONCATENATE(LEFT(E1810,4),MID(E1810,6,3)))</f>
        <v>6699071</v>
      </c>
      <c r="G1810" s="1111" t="str">
        <f>IF(F1810="",G1809,F1810)</f>
        <v>6699071</v>
      </c>
      <c r="H1810" s="1112" t="s">
        <v>5349</v>
      </c>
      <c r="I1810" s="1147" t="str">
        <f t="shared" si="305"/>
        <v>6699071001</v>
      </c>
      <c r="J1810" s="1026" t="s">
        <v>11535</v>
      </c>
      <c r="K1810" s="913">
        <v>40488</v>
      </c>
      <c r="L1810" s="913"/>
      <c r="M1810" s="913">
        <v>40487.65</v>
      </c>
      <c r="N1810" s="912"/>
      <c r="O1810" s="912"/>
      <c r="P1810" s="922">
        <f t="shared" si="312"/>
        <v>749</v>
      </c>
      <c r="Q1810" s="1186">
        <v>749</v>
      </c>
      <c r="R1810" s="929"/>
      <c r="S1810" s="1280"/>
      <c r="T1810" s="929"/>
      <c r="U1810" s="1022" t="s">
        <v>11536</v>
      </c>
      <c r="V1810" s="1022"/>
      <c r="W1810" s="1027" t="s">
        <v>11537</v>
      </c>
    </row>
    <row r="1811" spans="1:23" ht="14.5" customHeight="1">
      <c r="C1811" s="994" t="s">
        <v>7562</v>
      </c>
      <c r="D1811" s="988" t="str">
        <f t="shared" si="307"/>
        <v>669909</v>
      </c>
      <c r="E1811" s="989" t="s">
        <v>7563</v>
      </c>
      <c r="F1811" s="988" t="str">
        <f t="shared" si="308"/>
        <v>6699099</v>
      </c>
      <c r="G1811" s="1095" t="str">
        <f>IF(F1811="",G1804,F1811)</f>
        <v>6699099</v>
      </c>
      <c r="I1811" s="1033" t="str">
        <f t="shared" si="305"/>
        <v/>
      </c>
      <c r="J1811" s="990" t="s">
        <v>795</v>
      </c>
      <c r="K1811" s="886"/>
      <c r="L1811" s="886"/>
      <c r="M1811" s="886"/>
      <c r="N1811" s="886"/>
      <c r="O1811" s="886"/>
      <c r="P1811" s="896">
        <f t="shared" si="312"/>
        <v>817356</v>
      </c>
      <c r="Q1811" s="1174">
        <v>817356</v>
      </c>
      <c r="R1811" s="882"/>
      <c r="S1811" s="1287">
        <f>'CT2015'!K1673</f>
        <v>0.2</v>
      </c>
      <c r="T1811" s="929">
        <f>ROUND(Q1811*S1811/100,0)</f>
        <v>1635</v>
      </c>
      <c r="U1811" s="1022" t="s">
        <v>11536</v>
      </c>
      <c r="V1811" s="996"/>
      <c r="W1811" s="992" t="s">
        <v>11538</v>
      </c>
    </row>
    <row r="1812" spans="1:23" ht="14.5" customHeight="1">
      <c r="A1812" s="1034"/>
      <c r="C1812" s="1023" t="s">
        <v>7580</v>
      </c>
      <c r="D1812" s="1024" t="str">
        <f t="shared" si="307"/>
        <v>671101</v>
      </c>
      <c r="E1812" s="1025" t="s">
        <v>7581</v>
      </c>
      <c r="F1812" s="1024" t="str">
        <f t="shared" si="308"/>
        <v>6711011</v>
      </c>
      <c r="G1812" s="1111" t="str">
        <f>IF(F1812="",#REF!,F1812)</f>
        <v>6711011</v>
      </c>
      <c r="H1812" s="1112"/>
      <c r="I1812" s="1147" t="str">
        <f t="shared" si="305"/>
        <v/>
      </c>
      <c r="J1812" s="1026" t="s">
        <v>7582</v>
      </c>
      <c r="K1812" s="912"/>
      <c r="L1812" s="912"/>
      <c r="M1812" s="912"/>
      <c r="N1812" s="912"/>
      <c r="O1812" s="912"/>
      <c r="P1812" s="914">
        <f t="shared" si="312"/>
        <v>118648</v>
      </c>
      <c r="Q1812" s="1198">
        <v>118648</v>
      </c>
      <c r="R1812" s="929"/>
      <c r="S1812" s="1289">
        <f>'CT2015'!K1687</f>
        <v>3.2</v>
      </c>
      <c r="T1812" s="929">
        <f>ROUND(Q1812*S1812/100,0)</f>
        <v>3797</v>
      </c>
      <c r="U1812" s="1022" t="s">
        <v>11536</v>
      </c>
      <c r="V1812" s="1022"/>
      <c r="W1812" s="1027" t="s">
        <v>11539</v>
      </c>
    </row>
    <row r="1813" spans="1:23" ht="14.5" customHeight="1">
      <c r="A1813" s="1148"/>
      <c r="B1813" s="1148"/>
      <c r="C1813" s="1015" t="s">
        <v>7583</v>
      </c>
      <c r="D1813" s="999" t="str">
        <f t="shared" si="307"/>
        <v>672101</v>
      </c>
      <c r="E1813" s="1000" t="s">
        <v>7584</v>
      </c>
      <c r="F1813" s="999" t="str">
        <f t="shared" si="308"/>
        <v>6721011</v>
      </c>
      <c r="G1813" s="1104" t="str">
        <f>IF(F1813="",#REF!,F1813)</f>
        <v>6721011</v>
      </c>
      <c r="H1813" s="1005" t="s">
        <v>36</v>
      </c>
      <c r="I1813" s="1109" t="str">
        <f t="shared" si="305"/>
        <v>6721011001</v>
      </c>
      <c r="J1813" s="1030" t="s">
        <v>7585</v>
      </c>
      <c r="K1813" s="893"/>
      <c r="L1813" s="872"/>
      <c r="M1813" s="872"/>
      <c r="N1813" s="893"/>
      <c r="O1813" s="893"/>
      <c r="P1813" s="888">
        <f t="shared" si="312"/>
        <v>509743</v>
      </c>
      <c r="Q1813" s="1164">
        <v>509743</v>
      </c>
      <c r="R1813" s="900"/>
      <c r="S1813" s="1289">
        <f>'CT2015'!K1688</f>
        <v>0.6</v>
      </c>
      <c r="T1813" s="929">
        <f t="shared" ref="T1813:T1814" si="313">ROUND(Q1813*S1813/100,0)</f>
        <v>3058</v>
      </c>
      <c r="U1813" s="1022" t="s">
        <v>11536</v>
      </c>
      <c r="V1813" s="1006"/>
      <c r="W1813" s="1003" t="s">
        <v>11540</v>
      </c>
    </row>
    <row r="1814" spans="1:23" ht="14.5" customHeight="1">
      <c r="A1814" s="1148"/>
      <c r="B1814" s="1148"/>
      <c r="C1814" s="1023" t="s">
        <v>7586</v>
      </c>
      <c r="D1814" s="1024" t="str">
        <f t="shared" si="307"/>
        <v>672102</v>
      </c>
      <c r="E1814" s="1025" t="s">
        <v>7587</v>
      </c>
      <c r="F1814" s="1024" t="str">
        <f t="shared" si="308"/>
        <v>6721021</v>
      </c>
      <c r="G1814" s="1111" t="str">
        <f>IF(F1814="",#REF!,F1814)</f>
        <v>6721021</v>
      </c>
      <c r="H1814" s="1112"/>
      <c r="I1814" s="1147" t="str">
        <f t="shared" si="305"/>
        <v/>
      </c>
      <c r="J1814" s="1026" t="s">
        <v>7588</v>
      </c>
      <c r="K1814" s="889"/>
      <c r="L1814" s="897"/>
      <c r="M1814" s="897"/>
      <c r="N1814" s="889"/>
      <c r="O1814" s="889"/>
      <c r="P1814" s="914">
        <f t="shared" si="312"/>
        <v>153637</v>
      </c>
      <c r="Q1814" s="1198">
        <v>153637</v>
      </c>
      <c r="R1814" s="880"/>
      <c r="S1814" s="1289">
        <f>'CT2015'!K1689</f>
        <v>0.6</v>
      </c>
      <c r="T1814" s="929">
        <f t="shared" si="313"/>
        <v>922</v>
      </c>
      <c r="U1814" s="1022" t="s">
        <v>11536</v>
      </c>
      <c r="V1814" s="993"/>
      <c r="W1814" s="986" t="s">
        <v>11541</v>
      </c>
    </row>
    <row r="1815" spans="1:23" ht="14.5" customHeight="1">
      <c r="A1815" s="1034"/>
      <c r="C1815" s="1023" t="s">
        <v>7589</v>
      </c>
      <c r="D1815" s="1024" t="str">
        <f t="shared" si="307"/>
        <v>673101</v>
      </c>
      <c r="E1815" s="1025" t="s">
        <v>7590</v>
      </c>
      <c r="F1815" s="1024" t="str">
        <f t="shared" si="308"/>
        <v>6731011</v>
      </c>
      <c r="G1815" s="1111" t="str">
        <f>IF(F1815="",#REF!,F1815)</f>
        <v>6731011</v>
      </c>
      <c r="H1815" s="1112"/>
      <c r="I1815" s="1147" t="str">
        <f t="shared" si="305"/>
        <v/>
      </c>
      <c r="J1815" s="1026" t="s">
        <v>7591</v>
      </c>
      <c r="K1815" s="913"/>
      <c r="L1815" s="913"/>
      <c r="M1815" s="913"/>
      <c r="N1815" s="912"/>
      <c r="O1815" s="912"/>
      <c r="P1815" s="914">
        <f t="shared" si="312"/>
        <v>55971</v>
      </c>
      <c r="Q1815" s="1198">
        <v>55971</v>
      </c>
      <c r="R1815" s="929"/>
      <c r="S1815" s="1280"/>
      <c r="T1815" s="929"/>
      <c r="U1815" s="1022" t="s">
        <v>11536</v>
      </c>
      <c r="V1815" s="1022"/>
      <c r="W1815" s="1027" t="s">
        <v>11542</v>
      </c>
    </row>
    <row r="1816" spans="1:23" ht="14.5" customHeight="1">
      <c r="A1816" s="1034"/>
      <c r="C1816" s="994" t="s">
        <v>7595</v>
      </c>
      <c r="D1816" s="988" t="str">
        <f t="shared" si="307"/>
        <v>673102</v>
      </c>
      <c r="E1816" s="989" t="s">
        <v>7596</v>
      </c>
      <c r="F1816" s="988" t="str">
        <f t="shared" si="308"/>
        <v>6731021</v>
      </c>
      <c r="G1816" s="1095" t="str">
        <f>IF(F1816="",#REF!,F1816)</f>
        <v>6731021</v>
      </c>
      <c r="H1816" s="1016" t="s">
        <v>36</v>
      </c>
      <c r="I1816" s="1033" t="str">
        <f t="shared" si="305"/>
        <v>6731021001</v>
      </c>
      <c r="J1816" s="990" t="s">
        <v>804</v>
      </c>
      <c r="K1816" s="873"/>
      <c r="L1816" s="873"/>
      <c r="M1816" s="873"/>
      <c r="N1816" s="886"/>
      <c r="O1816" s="886"/>
      <c r="P1816" s="896">
        <f t="shared" si="312"/>
        <v>16838</v>
      </c>
      <c r="Q1816" s="1171">
        <v>16838</v>
      </c>
      <c r="R1816" s="882"/>
      <c r="S1816" s="1269"/>
      <c r="T1816" s="1254"/>
      <c r="U1816" s="1022" t="s">
        <v>11536</v>
      </c>
      <c r="V1816" s="996"/>
      <c r="W1816" s="1027" t="s">
        <v>11542</v>
      </c>
    </row>
    <row r="1817" spans="1:23" ht="14.5" customHeight="1">
      <c r="A1817" s="1034"/>
      <c r="C1817" s="1023" t="s">
        <v>7597</v>
      </c>
      <c r="D1817" s="1024" t="str">
        <f t="shared" si="307"/>
        <v>673103</v>
      </c>
      <c r="E1817" s="1025" t="s">
        <v>7598</v>
      </c>
      <c r="F1817" s="1024" t="str">
        <f t="shared" si="308"/>
        <v>6731031</v>
      </c>
      <c r="G1817" s="1111" t="str">
        <f t="shared" ref="G1817:G1819" si="314">IF(F1817="",G1816,F1817)</f>
        <v>6731031</v>
      </c>
      <c r="H1817" s="1112" t="s">
        <v>36</v>
      </c>
      <c r="I1817" s="1147" t="str">
        <f t="shared" si="305"/>
        <v>6731031001</v>
      </c>
      <c r="J1817" s="1026" t="s">
        <v>805</v>
      </c>
      <c r="K1817" s="913"/>
      <c r="L1817" s="913"/>
      <c r="M1817" s="913"/>
      <c r="N1817" s="912"/>
      <c r="O1817" s="912"/>
      <c r="P1817" s="914">
        <f t="shared" si="312"/>
        <v>66472</v>
      </c>
      <c r="Q1817" s="1198">
        <v>66472</v>
      </c>
      <c r="R1817" s="929"/>
      <c r="S1817" s="1280"/>
      <c r="T1817" s="929"/>
      <c r="U1817" s="1022" t="s">
        <v>11536</v>
      </c>
      <c r="V1817" s="1022"/>
      <c r="W1817" s="1027" t="s">
        <v>11542</v>
      </c>
    </row>
    <row r="1818" spans="1:23" s="1149" customFormat="1" ht="14.5" customHeight="1">
      <c r="B1818" s="1110"/>
      <c r="C1818" s="1015" t="s">
        <v>7599</v>
      </c>
      <c r="D1818" s="999" t="str">
        <f t="shared" si="307"/>
        <v>673104</v>
      </c>
      <c r="E1818" s="1000" t="s">
        <v>7600</v>
      </c>
      <c r="F1818" s="999" t="str">
        <f t="shared" si="308"/>
        <v>6731041</v>
      </c>
      <c r="G1818" s="1104" t="str">
        <f t="shared" si="314"/>
        <v>6731041</v>
      </c>
      <c r="H1818" s="1005" t="s">
        <v>5349</v>
      </c>
      <c r="I1818" s="1147" t="str">
        <f t="shared" si="305"/>
        <v>6731041001</v>
      </c>
      <c r="J1818" s="1030" t="s">
        <v>806</v>
      </c>
      <c r="K1818" s="872"/>
      <c r="L1818" s="872"/>
      <c r="M1818" s="872"/>
      <c r="N1818" s="893"/>
      <c r="O1818" s="893"/>
      <c r="P1818" s="888">
        <f t="shared" si="312"/>
        <v>9519</v>
      </c>
      <c r="Q1818" s="1164">
        <v>9519</v>
      </c>
      <c r="R1818" s="900"/>
      <c r="S1818" s="1272"/>
      <c r="T1818" s="900"/>
      <c r="U1818" s="1022" t="s">
        <v>11536</v>
      </c>
      <c r="V1818" s="1006"/>
      <c r="W1818" s="1027" t="s">
        <v>11542</v>
      </c>
    </row>
    <row r="1819" spans="1:23" s="1150" customFormat="1" ht="14.5" customHeight="1">
      <c r="B1819" s="1133"/>
      <c r="C1819" s="981" t="s">
        <v>7601</v>
      </c>
      <c r="D1819" s="988" t="str">
        <f t="shared" si="307"/>
        <v>673109</v>
      </c>
      <c r="E1819" s="983" t="s">
        <v>7602</v>
      </c>
      <c r="F1819" s="988" t="str">
        <f t="shared" si="308"/>
        <v>6731099</v>
      </c>
      <c r="G1819" s="1095" t="str">
        <f t="shared" si="314"/>
        <v>6731099</v>
      </c>
      <c r="H1819" s="1102"/>
      <c r="I1819" s="1141" t="str">
        <f t="shared" si="305"/>
        <v/>
      </c>
      <c r="J1819" s="1028" t="s">
        <v>7603</v>
      </c>
      <c r="K1819" s="889"/>
      <c r="L1819" s="897"/>
      <c r="M1819" s="897"/>
      <c r="N1819" s="889"/>
      <c r="O1819" s="889"/>
      <c r="P1819" s="881">
        <f t="shared" si="312"/>
        <v>28295</v>
      </c>
      <c r="Q1819" s="1160">
        <v>28295</v>
      </c>
      <c r="R1819" s="880"/>
      <c r="S1819" s="1270"/>
      <c r="T1819" s="880"/>
      <c r="U1819" s="1022" t="s">
        <v>11536</v>
      </c>
      <c r="V1819" s="993"/>
      <c r="W1819" s="1027" t="s">
        <v>11542</v>
      </c>
    </row>
    <row r="1820" spans="1:23" ht="14.5" customHeight="1">
      <c r="A1820" s="1034"/>
      <c r="C1820" s="1023" t="s">
        <v>7607</v>
      </c>
      <c r="D1820" s="1024" t="str">
        <f t="shared" si="307"/>
        <v>674101</v>
      </c>
      <c r="E1820" s="1025" t="s">
        <v>7608</v>
      </c>
      <c r="F1820" s="1024" t="str">
        <f t="shared" si="308"/>
        <v>6741011</v>
      </c>
      <c r="G1820" s="1111" t="str">
        <f>IF(F1820="",#REF!,F1820)</f>
        <v>6741011</v>
      </c>
      <c r="H1820" s="1112"/>
      <c r="I1820" s="1147" t="str">
        <f t="shared" si="305"/>
        <v/>
      </c>
      <c r="J1820" s="1026" t="s">
        <v>809</v>
      </c>
      <c r="K1820" s="916"/>
      <c r="L1820" s="916"/>
      <c r="M1820" s="916"/>
      <c r="N1820" s="929"/>
      <c r="O1820" s="929"/>
      <c r="P1820" s="922">
        <f t="shared" si="312"/>
        <v>4474</v>
      </c>
      <c r="Q1820" s="1198">
        <v>4474</v>
      </c>
      <c r="R1820" s="929"/>
      <c r="S1820" s="1280"/>
      <c r="T1820" s="929"/>
      <c r="U1820" s="1022" t="s">
        <v>11536</v>
      </c>
      <c r="V1820" s="1031"/>
      <c r="W1820" s="1027" t="s">
        <v>11543</v>
      </c>
    </row>
    <row r="1821" spans="1:23" ht="14.5" customHeight="1">
      <c r="A1821" s="1034"/>
      <c r="C1821" s="994" t="s">
        <v>7609</v>
      </c>
      <c r="D1821" s="988" t="str">
        <f t="shared" si="307"/>
        <v>674102</v>
      </c>
      <c r="E1821" s="989" t="s">
        <v>7610</v>
      </c>
      <c r="F1821" s="988" t="str">
        <f t="shared" si="308"/>
        <v>6741021</v>
      </c>
      <c r="G1821" s="1095" t="str">
        <f>IF(F1821="",G1820,F1821)</f>
        <v>6741021</v>
      </c>
      <c r="I1821" s="1033"/>
      <c r="J1821" s="990" t="s">
        <v>7611</v>
      </c>
      <c r="K1821" s="887"/>
      <c r="L1821" s="887"/>
      <c r="M1821" s="887"/>
      <c r="N1821" s="882"/>
      <c r="O1821" s="882"/>
      <c r="P1821" s="906">
        <f t="shared" si="312"/>
        <v>29855</v>
      </c>
      <c r="Q1821" s="1202">
        <v>29855</v>
      </c>
      <c r="R1821" s="882"/>
      <c r="S1821" s="1287">
        <f>'CT2015'!K1702</f>
        <v>29.8</v>
      </c>
      <c r="T1821" s="1254">
        <f>ROUND(Q1821*S1821/100,0)</f>
        <v>8897</v>
      </c>
      <c r="U1821" s="1022" t="s">
        <v>11536</v>
      </c>
      <c r="V1821" s="991"/>
      <c r="W1821" s="1003" t="s">
        <v>11544</v>
      </c>
    </row>
    <row r="1822" spans="1:23" ht="14.5" customHeight="1">
      <c r="A1822" s="1034"/>
      <c r="C1822" s="1023" t="s">
        <v>7612</v>
      </c>
      <c r="D1822" s="1024" t="str">
        <f t="shared" si="307"/>
        <v>674103</v>
      </c>
      <c r="E1822" s="1025" t="s">
        <v>7613</v>
      </c>
      <c r="F1822" s="1024" t="str">
        <f t="shared" si="308"/>
        <v>6741031</v>
      </c>
      <c r="G1822" s="1111" t="str">
        <f>IF(F1822="",#REF!,F1822)</f>
        <v>6741031</v>
      </c>
      <c r="H1822" s="1112" t="s">
        <v>36</v>
      </c>
      <c r="I1822" s="1147" t="str">
        <f t="shared" ref="I1822:I1849" si="315">IF(H1822="","",CONCATENATE(G1822,H1822))</f>
        <v>6741031001</v>
      </c>
      <c r="J1822" s="1063" t="s">
        <v>7614</v>
      </c>
      <c r="K1822" s="916"/>
      <c r="L1822" s="916"/>
      <c r="M1822" s="916"/>
      <c r="N1822" s="929"/>
      <c r="O1822" s="929"/>
      <c r="P1822" s="922">
        <f t="shared" si="312"/>
        <v>16503</v>
      </c>
      <c r="Q1822" s="1187">
        <v>16503</v>
      </c>
      <c r="R1822" s="929"/>
      <c r="S1822" s="1288">
        <f>'CT2015'!K1703</f>
        <v>100</v>
      </c>
      <c r="T1822" s="929">
        <f>ROUND(Q1822*S1822/100,0)</f>
        <v>16503</v>
      </c>
      <c r="U1822" s="1022" t="s">
        <v>11536</v>
      </c>
      <c r="V1822" s="1031"/>
      <c r="W1822" s="1027" t="s">
        <v>11545</v>
      </c>
    </row>
    <row r="1823" spans="1:23" ht="14.5" customHeight="1">
      <c r="A1823" s="1034"/>
      <c r="C1823" s="994" t="s">
        <v>7615</v>
      </c>
      <c r="D1823" s="988" t="str">
        <f t="shared" si="307"/>
        <v>674104</v>
      </c>
      <c r="E1823" s="989" t="s">
        <v>7616</v>
      </c>
      <c r="F1823" s="988" t="str">
        <f t="shared" si="308"/>
        <v>6741041</v>
      </c>
      <c r="G1823" s="1095" t="str">
        <f>IF(F1823="",G1822,F1823)</f>
        <v>6741041</v>
      </c>
      <c r="I1823" s="1033" t="str">
        <f t="shared" si="315"/>
        <v/>
      </c>
      <c r="J1823" s="1212" t="s">
        <v>812</v>
      </c>
      <c r="K1823" s="882"/>
      <c r="L1823" s="882"/>
      <c r="M1823" s="882"/>
      <c r="N1823" s="882"/>
      <c r="O1823" s="882"/>
      <c r="P1823" s="906">
        <f t="shared" si="312"/>
        <v>97826</v>
      </c>
      <c r="Q1823" s="1211">
        <v>97826</v>
      </c>
      <c r="R1823" s="882"/>
      <c r="S1823" s="1287">
        <f>SUM('CT2015'!L1705:L1712)/'CT2015'!J1704*100</f>
        <v>92.093293979409125</v>
      </c>
      <c r="T1823" s="1254">
        <f>ROUND(Q1823*S1823/100,0)</f>
        <v>90091</v>
      </c>
      <c r="U1823" s="1022" t="s">
        <v>11536</v>
      </c>
      <c r="V1823" s="991"/>
      <c r="W1823" s="992" t="s">
        <v>11546</v>
      </c>
    </row>
    <row r="1824" spans="1:23" ht="14.5" customHeight="1">
      <c r="C1824" s="981" t="s">
        <v>11547</v>
      </c>
      <c r="D1824" s="982" t="str">
        <f t="shared" si="307"/>
        <v>674105</v>
      </c>
      <c r="E1824" s="983" t="s">
        <v>7626</v>
      </c>
      <c r="F1824" s="982" t="str">
        <f t="shared" si="308"/>
        <v>6741051</v>
      </c>
      <c r="G1824" s="1111" t="str">
        <f t="shared" ref="G1824:G1849" si="316">IF(F1824="",G1823,F1824)</f>
        <v>6741051</v>
      </c>
      <c r="H1824" s="1102"/>
      <c r="I1824" s="1141" t="str">
        <f t="shared" si="315"/>
        <v/>
      </c>
      <c r="J1824" s="984" t="s">
        <v>11548</v>
      </c>
      <c r="K1824" s="889"/>
      <c r="L1824" s="889"/>
      <c r="M1824" s="889"/>
      <c r="N1824" s="889"/>
      <c r="O1824" s="889"/>
      <c r="P1824" s="881">
        <f t="shared" si="312"/>
        <v>113994</v>
      </c>
      <c r="Q1824" s="1160">
        <f>SUM(Q1825:Q1834)</f>
        <v>113994</v>
      </c>
      <c r="R1824" s="880"/>
      <c r="S1824" s="1270"/>
      <c r="T1824" s="880"/>
      <c r="U1824" s="1022" t="s">
        <v>11536</v>
      </c>
      <c r="V1824" s="993"/>
      <c r="W1824" s="986" t="s">
        <v>11549</v>
      </c>
    </row>
    <row r="1825" spans="1:23" ht="14.5" customHeight="1">
      <c r="C1825" s="981"/>
      <c r="D1825" s="982"/>
      <c r="E1825" s="983"/>
      <c r="F1825" s="982"/>
      <c r="G1825" s="1111" t="str">
        <f t="shared" si="316"/>
        <v>6741051</v>
      </c>
      <c r="H1825" s="1151" t="s">
        <v>5534</v>
      </c>
      <c r="I1825" s="947" t="str">
        <f t="shared" si="315"/>
        <v>6741051101</v>
      </c>
      <c r="J1825" s="985" t="s">
        <v>11550</v>
      </c>
      <c r="K1825" s="923">
        <v>1892387</v>
      </c>
      <c r="L1825" s="923">
        <v>381719.77</v>
      </c>
      <c r="M1825" s="923">
        <v>12202437.470000001</v>
      </c>
      <c r="N1825" s="889"/>
      <c r="O1825" s="889"/>
      <c r="P1825" s="881"/>
      <c r="Q1825" s="1203">
        <f t="shared" ref="Q1825:Q1834" si="317">ROUND(K1825*L1825/M1825,0)</f>
        <v>59198</v>
      </c>
      <c r="R1825" s="880"/>
      <c r="S1825" s="1270"/>
      <c r="T1825" s="880"/>
      <c r="U1825" s="1022"/>
      <c r="V1825" s="993"/>
      <c r="W1825" s="986"/>
    </row>
    <row r="1826" spans="1:23" ht="14.5" customHeight="1">
      <c r="C1826" s="981"/>
      <c r="D1826" s="982"/>
      <c r="E1826" s="983"/>
      <c r="F1826" s="982"/>
      <c r="G1826" s="1111" t="str">
        <f t="shared" si="316"/>
        <v>6741051</v>
      </c>
      <c r="H1826" s="1151" t="s">
        <v>6000</v>
      </c>
      <c r="I1826" s="947" t="str">
        <f t="shared" si="315"/>
        <v>6741051102</v>
      </c>
      <c r="J1826" s="985" t="s">
        <v>11551</v>
      </c>
      <c r="K1826" s="923">
        <v>387251</v>
      </c>
      <c r="L1826" s="923">
        <v>11129.94</v>
      </c>
      <c r="M1826" s="923">
        <v>387500.74</v>
      </c>
      <c r="N1826" s="889"/>
      <c r="O1826" s="889"/>
      <c r="P1826" s="881"/>
      <c r="Q1826" s="1203">
        <f t="shared" si="317"/>
        <v>11123</v>
      </c>
      <c r="R1826" s="880"/>
      <c r="S1826" s="1270"/>
      <c r="T1826" s="880"/>
      <c r="U1826" s="1022"/>
      <c r="V1826" s="993"/>
      <c r="W1826" s="986"/>
    </row>
    <row r="1827" spans="1:23" ht="14.5" customHeight="1">
      <c r="C1827" s="981"/>
      <c r="D1827" s="982"/>
      <c r="E1827" s="983"/>
      <c r="F1827" s="982"/>
      <c r="G1827" s="1111" t="str">
        <f t="shared" si="316"/>
        <v>6741051</v>
      </c>
      <c r="H1827" s="1151" t="s">
        <v>6002</v>
      </c>
      <c r="I1827" s="947" t="str">
        <f t="shared" si="315"/>
        <v>6741051103</v>
      </c>
      <c r="J1827" s="985" t="s">
        <v>11552</v>
      </c>
      <c r="K1827" s="923">
        <v>147189</v>
      </c>
      <c r="L1827" s="923">
        <v>3400.9</v>
      </c>
      <c r="M1827" s="923">
        <v>148215.72</v>
      </c>
      <c r="N1827" s="889"/>
      <c r="O1827" s="889"/>
      <c r="P1827" s="881"/>
      <c r="Q1827" s="1203">
        <f t="shared" si="317"/>
        <v>3377</v>
      </c>
      <c r="R1827" s="880"/>
      <c r="S1827" s="1270"/>
      <c r="T1827" s="880"/>
      <c r="U1827" s="1022"/>
      <c r="V1827" s="993"/>
      <c r="W1827" s="986"/>
    </row>
    <row r="1828" spans="1:23" ht="14.5" customHeight="1">
      <c r="C1828" s="981"/>
      <c r="D1828" s="982"/>
      <c r="E1828" s="983"/>
      <c r="F1828" s="982"/>
      <c r="G1828" s="1111" t="str">
        <f t="shared" si="316"/>
        <v>6741051</v>
      </c>
      <c r="H1828" s="1151" t="s">
        <v>6146</v>
      </c>
      <c r="I1828" s="947" t="str">
        <f t="shared" si="315"/>
        <v>6741051104</v>
      </c>
      <c r="J1828" s="985" t="s">
        <v>11553</v>
      </c>
      <c r="K1828" s="923">
        <v>59901</v>
      </c>
      <c r="L1828" s="923">
        <v>1841.15</v>
      </c>
      <c r="M1828" s="923">
        <v>59932.06</v>
      </c>
      <c r="N1828" s="889"/>
      <c r="O1828" s="889"/>
      <c r="P1828" s="881"/>
      <c r="Q1828" s="1203">
        <f t="shared" si="317"/>
        <v>1840</v>
      </c>
      <c r="R1828" s="880"/>
      <c r="S1828" s="1270"/>
      <c r="T1828" s="880"/>
      <c r="U1828" s="1022"/>
      <c r="V1828" s="993"/>
      <c r="W1828" s="986"/>
    </row>
    <row r="1829" spans="1:23" ht="14.5" customHeight="1">
      <c r="C1829" s="981"/>
      <c r="D1829" s="982"/>
      <c r="E1829" s="983"/>
      <c r="F1829" s="982"/>
      <c r="G1829" s="1111" t="str">
        <f t="shared" si="316"/>
        <v>6741051</v>
      </c>
      <c r="H1829" s="1151" t="s">
        <v>6148</v>
      </c>
      <c r="I1829" s="947" t="str">
        <f t="shared" si="315"/>
        <v>6741051105</v>
      </c>
      <c r="J1829" s="985" t="s">
        <v>11554</v>
      </c>
      <c r="K1829" s="923">
        <v>70128</v>
      </c>
      <c r="L1829" s="923">
        <v>1768.83</v>
      </c>
      <c r="M1829" s="923">
        <v>73540.009999999995</v>
      </c>
      <c r="N1829" s="889"/>
      <c r="O1829" s="889"/>
      <c r="P1829" s="881"/>
      <c r="Q1829" s="1203">
        <f t="shared" si="317"/>
        <v>1687</v>
      </c>
      <c r="R1829" s="880"/>
      <c r="S1829" s="1270"/>
      <c r="T1829" s="880"/>
      <c r="U1829" s="1022"/>
      <c r="V1829" s="993"/>
      <c r="W1829" s="986"/>
    </row>
    <row r="1830" spans="1:23" ht="14.5" customHeight="1">
      <c r="C1830" s="981"/>
      <c r="D1830" s="982"/>
      <c r="E1830" s="983"/>
      <c r="F1830" s="982"/>
      <c r="G1830" s="1111" t="str">
        <f t="shared" si="316"/>
        <v>6741051</v>
      </c>
      <c r="H1830" s="1151" t="s">
        <v>6150</v>
      </c>
      <c r="I1830" s="947" t="str">
        <f t="shared" si="315"/>
        <v>6741051106</v>
      </c>
      <c r="J1830" s="985" t="s">
        <v>11555</v>
      </c>
      <c r="K1830" s="923">
        <v>2530</v>
      </c>
      <c r="L1830" s="923">
        <v>0</v>
      </c>
      <c r="M1830" s="923">
        <v>2530.3000000000002</v>
      </c>
      <c r="N1830" s="889"/>
      <c r="O1830" s="889"/>
      <c r="P1830" s="881"/>
      <c r="Q1830" s="1203">
        <f t="shared" si="317"/>
        <v>0</v>
      </c>
      <c r="R1830" s="880"/>
      <c r="S1830" s="1270"/>
      <c r="T1830" s="880"/>
      <c r="U1830" s="1022"/>
      <c r="V1830" s="993"/>
      <c r="W1830" s="986"/>
    </row>
    <row r="1831" spans="1:23" ht="14.5" customHeight="1">
      <c r="C1831" s="981"/>
      <c r="D1831" s="982"/>
      <c r="E1831" s="983"/>
      <c r="F1831" s="982"/>
      <c r="G1831" s="1111" t="str">
        <f>IF(F1831="",G1825,F1831)</f>
        <v>6741051</v>
      </c>
      <c r="H1831" s="1151" t="s">
        <v>5602</v>
      </c>
      <c r="I1831" s="947" t="str">
        <f>IF(H1831="","",CONCATENATE(G1831,H1831))</f>
        <v>6741051201</v>
      </c>
      <c r="J1831" s="985" t="s">
        <v>11556</v>
      </c>
      <c r="K1831" s="923">
        <v>240684</v>
      </c>
      <c r="L1831" s="923">
        <f>499.42</f>
        <v>499.42</v>
      </c>
      <c r="M1831" s="923">
        <v>28198.41</v>
      </c>
      <c r="N1831" s="889"/>
      <c r="O1831" s="889"/>
      <c r="P1831" s="881"/>
      <c r="Q1831" s="1203">
        <f t="shared" si="317"/>
        <v>4263</v>
      </c>
      <c r="R1831" s="880"/>
      <c r="S1831" s="1270"/>
      <c r="T1831" s="880"/>
      <c r="U1831" s="1022"/>
      <c r="V1831" s="993"/>
      <c r="W1831" s="986"/>
    </row>
    <row r="1832" spans="1:23" ht="14.5" customHeight="1">
      <c r="C1832" s="981"/>
      <c r="D1832" s="982"/>
      <c r="E1832" s="983"/>
      <c r="F1832" s="982"/>
      <c r="G1832" s="1111" t="str">
        <f t="shared" si="316"/>
        <v>6741051</v>
      </c>
      <c r="H1832" s="1151" t="s">
        <v>11557</v>
      </c>
      <c r="I1832" s="947"/>
      <c r="J1832" s="985" t="s">
        <v>11558</v>
      </c>
      <c r="K1832" s="923">
        <f>150541+238782</f>
        <v>389323</v>
      </c>
      <c r="L1832" s="923">
        <f>525.39+55233.57</f>
        <v>55758.96</v>
      </c>
      <c r="M1832" s="923">
        <f>150559.27+664497.57</f>
        <v>815056.84</v>
      </c>
      <c r="N1832" s="889"/>
      <c r="O1832" s="889"/>
      <c r="P1832" s="881"/>
      <c r="Q1832" s="1203">
        <f t="shared" si="317"/>
        <v>26634</v>
      </c>
      <c r="R1832" s="880"/>
      <c r="S1832" s="1270"/>
      <c r="T1832" s="880"/>
      <c r="U1832" s="1022"/>
      <c r="V1832" s="993"/>
      <c r="W1832" s="986"/>
    </row>
    <row r="1833" spans="1:23" ht="14.5" customHeight="1">
      <c r="C1833" s="981"/>
      <c r="D1833" s="982"/>
      <c r="E1833" s="983"/>
      <c r="F1833" s="982"/>
      <c r="G1833" s="1111" t="str">
        <f t="shared" si="316"/>
        <v>6741051</v>
      </c>
      <c r="H1833" s="1151" t="s">
        <v>5486</v>
      </c>
      <c r="I1833" s="947" t="str">
        <f t="shared" si="315"/>
        <v>6741051401</v>
      </c>
      <c r="J1833" s="985" t="s">
        <v>11559</v>
      </c>
      <c r="K1833" s="923">
        <v>101083</v>
      </c>
      <c r="L1833" s="889">
        <f>L1827</f>
        <v>3400.9</v>
      </c>
      <c r="M1833" s="889">
        <f>M1827</f>
        <v>148215.72</v>
      </c>
      <c r="N1833" s="889"/>
      <c r="O1833" s="889"/>
      <c r="P1833" s="881"/>
      <c r="Q1833" s="1203">
        <f t="shared" si="317"/>
        <v>2319</v>
      </c>
      <c r="R1833" s="880"/>
      <c r="S1833" s="1270"/>
      <c r="T1833" s="880"/>
      <c r="U1833" s="1022"/>
      <c r="V1833" s="993"/>
      <c r="W1833" s="986" t="s">
        <v>11560</v>
      </c>
    </row>
    <row r="1834" spans="1:23" ht="14.5" customHeight="1">
      <c r="C1834" s="981"/>
      <c r="D1834" s="982"/>
      <c r="E1834" s="983"/>
      <c r="F1834" s="982"/>
      <c r="G1834" s="1111" t="str">
        <f t="shared" si="316"/>
        <v>6741051</v>
      </c>
      <c r="H1834" s="1151" t="s">
        <v>5488</v>
      </c>
      <c r="I1834" s="947" t="str">
        <f t="shared" si="315"/>
        <v>6741051501</v>
      </c>
      <c r="J1834" s="985" t="s">
        <v>11561</v>
      </c>
      <c r="K1834" s="923">
        <v>115662</v>
      </c>
      <c r="L1834" s="889">
        <f>L1828</f>
        <v>1841.15</v>
      </c>
      <c r="M1834" s="889">
        <f>M1828</f>
        <v>59932.06</v>
      </c>
      <c r="N1834" s="889"/>
      <c r="O1834" s="889"/>
      <c r="P1834" s="881"/>
      <c r="Q1834" s="1203">
        <f t="shared" si="317"/>
        <v>3553</v>
      </c>
      <c r="R1834" s="880"/>
      <c r="S1834" s="1270"/>
      <c r="T1834" s="929"/>
      <c r="U1834" s="1022"/>
      <c r="V1834" s="993"/>
      <c r="W1834" s="986" t="s">
        <v>11562</v>
      </c>
    </row>
    <row r="1835" spans="1:23" ht="14.5" customHeight="1">
      <c r="C1835" s="981" t="s">
        <v>11563</v>
      </c>
      <c r="D1835" s="982" t="str">
        <f>IF(C1835="","",CONCATENATE(LEFT(C1835,4),MID(C1835,6,2)))</f>
        <v>675101</v>
      </c>
      <c r="E1835" s="983" t="s">
        <v>11564</v>
      </c>
      <c r="F1835" s="982" t="str">
        <f>IF(E1835="","",CONCATENATE(LEFT(E1835,4),MID(E1835,6,3)))</f>
        <v>6751011</v>
      </c>
      <c r="G1835" s="1111" t="str">
        <f>IF(F1835="",G1824,F1835)</f>
        <v>6751011</v>
      </c>
      <c r="H1835" s="1102"/>
      <c r="I1835" s="947" t="str">
        <f>IF(H1835="","",CONCATENATE(G1835,H1835))</f>
        <v/>
      </c>
      <c r="J1835" s="984" t="s">
        <v>75</v>
      </c>
      <c r="K1835" s="913"/>
      <c r="L1835" s="913"/>
      <c r="M1835" s="916"/>
      <c r="N1835" s="912"/>
      <c r="O1835" s="912"/>
      <c r="P1835" s="914">
        <f t="shared" ref="P1835:P1839" si="318">Q1835</f>
        <v>22741</v>
      </c>
      <c r="Q1835" s="1198">
        <v>22741</v>
      </c>
      <c r="R1835" s="929"/>
      <c r="S1835" s="1289">
        <f>'CT2015'!K190</f>
        <v>1.3</v>
      </c>
      <c r="T1835" s="1254">
        <f>ROUND(Q1835*S1835/100,0)</f>
        <v>296</v>
      </c>
      <c r="U1835" s="1022" t="s">
        <v>11536</v>
      </c>
      <c r="V1835" s="1022"/>
      <c r="W1835" s="1027" t="s">
        <v>11565</v>
      </c>
    </row>
    <row r="1836" spans="1:23" ht="14.5" customHeight="1">
      <c r="A1836" s="1034"/>
      <c r="B1836" s="1034"/>
      <c r="C1836" s="1023" t="s">
        <v>7633</v>
      </c>
      <c r="D1836" s="1024" t="str">
        <f t="shared" si="307"/>
        <v>679901</v>
      </c>
      <c r="E1836" s="1025" t="s">
        <v>7634</v>
      </c>
      <c r="F1836" s="1024" t="str">
        <f t="shared" si="308"/>
        <v>6799011</v>
      </c>
      <c r="G1836" s="1111" t="str">
        <f t="shared" si="316"/>
        <v>6799011</v>
      </c>
      <c r="H1836" s="1112"/>
      <c r="I1836" s="1147" t="str">
        <f t="shared" si="315"/>
        <v/>
      </c>
      <c r="J1836" s="1026" t="s">
        <v>816</v>
      </c>
      <c r="K1836" s="912"/>
      <c r="L1836" s="913"/>
      <c r="M1836" s="913"/>
      <c r="N1836" s="912"/>
      <c r="O1836" s="912"/>
      <c r="P1836" s="914">
        <f t="shared" si="318"/>
        <v>9385</v>
      </c>
      <c r="Q1836" s="1198">
        <v>9385</v>
      </c>
      <c r="R1836" s="929"/>
      <c r="S1836" s="1280"/>
      <c r="T1836" s="929"/>
      <c r="U1836" s="1022" t="s">
        <v>11536</v>
      </c>
      <c r="V1836" s="1031"/>
      <c r="W1836" s="1027" t="s">
        <v>11566</v>
      </c>
    </row>
    <row r="1837" spans="1:23" ht="14.5" customHeight="1">
      <c r="A1837" s="1034"/>
      <c r="B1837" s="1034"/>
      <c r="C1837" s="1023" t="s">
        <v>7635</v>
      </c>
      <c r="D1837" s="1024" t="str">
        <f t="shared" si="307"/>
        <v>679902</v>
      </c>
      <c r="E1837" s="1025" t="s">
        <v>7636</v>
      </c>
      <c r="F1837" s="1024" t="str">
        <f t="shared" si="308"/>
        <v>6799021</v>
      </c>
      <c r="G1837" s="1111" t="str">
        <f t="shared" si="316"/>
        <v>6799021</v>
      </c>
      <c r="H1837" s="1112"/>
      <c r="I1837" s="1147" t="str">
        <f t="shared" si="315"/>
        <v/>
      </c>
      <c r="J1837" s="1026" t="s">
        <v>817</v>
      </c>
      <c r="K1837" s="912"/>
      <c r="L1837" s="913"/>
      <c r="M1837" s="913"/>
      <c r="N1837" s="912"/>
      <c r="O1837" s="912"/>
      <c r="P1837" s="914">
        <f t="shared" si="318"/>
        <v>65512</v>
      </c>
      <c r="Q1837" s="1198">
        <v>65512</v>
      </c>
      <c r="R1837" s="929"/>
      <c r="S1837" s="1280"/>
      <c r="T1837" s="929"/>
      <c r="U1837" s="1022" t="s">
        <v>11567</v>
      </c>
      <c r="V1837" s="1022"/>
      <c r="W1837" s="1027" t="s">
        <v>11568</v>
      </c>
    </row>
    <row r="1838" spans="1:23" ht="14.5" customHeight="1">
      <c r="A1838" s="1034"/>
      <c r="B1838" s="1034"/>
      <c r="C1838" s="994" t="s">
        <v>7642</v>
      </c>
      <c r="D1838" s="988" t="str">
        <f>IF(C1838="","",CONCATENATE(LEFT(C1838,4),MID(C1838,6,2)))</f>
        <v>679903</v>
      </c>
      <c r="E1838" s="989" t="s">
        <v>7643</v>
      </c>
      <c r="F1838" s="988" t="str">
        <f>IF(E1838="","",CONCATENATE(LEFT(E1838,4),MID(E1838,6,3)))</f>
        <v>6799031</v>
      </c>
      <c r="G1838" s="1111" t="str">
        <f t="shared" si="316"/>
        <v>6799031</v>
      </c>
      <c r="I1838" s="1033" t="str">
        <f t="shared" si="315"/>
        <v/>
      </c>
      <c r="J1838" s="990" t="s">
        <v>7644</v>
      </c>
      <c r="K1838" s="886"/>
      <c r="L1838" s="873"/>
      <c r="M1838" s="873"/>
      <c r="N1838" s="886"/>
      <c r="O1838" s="886"/>
      <c r="P1838" s="896">
        <f t="shared" si="318"/>
        <v>112236</v>
      </c>
      <c r="Q1838" s="1171">
        <v>112236</v>
      </c>
      <c r="R1838" s="882"/>
      <c r="S1838" s="1287">
        <f>'CT2015'!J1732/'CT2015'!J1725*100</f>
        <v>19.345631150683765</v>
      </c>
      <c r="T1838" s="1254">
        <f>ROUND(Q1838*S1838/100,0)</f>
        <v>21713</v>
      </c>
      <c r="U1838" s="1022" t="s">
        <v>11567</v>
      </c>
      <c r="V1838" s="996"/>
      <c r="W1838" s="1027" t="s">
        <v>11566</v>
      </c>
    </row>
    <row r="1839" spans="1:23" ht="14.5" customHeight="1">
      <c r="A1839" s="1034"/>
      <c r="B1839" s="1034"/>
      <c r="C1839" s="1023" t="s">
        <v>7653</v>
      </c>
      <c r="D1839" s="1024" t="str">
        <f t="shared" ref="D1839:D1840" si="319">IF(C1839="","",CONCATENATE(LEFT(C1839,4),MID(C1839,6,2)))</f>
        <v>679904</v>
      </c>
      <c r="E1839" s="1025" t="s">
        <v>7654</v>
      </c>
      <c r="F1839" s="1024" t="str">
        <f t="shared" ref="F1839" si="320">IF(E1839="","",CONCATENATE(LEFT(E1839,4),MID(E1839,6,3)))</f>
        <v>6799041</v>
      </c>
      <c r="G1839" s="1111" t="str">
        <f t="shared" si="316"/>
        <v>6799041</v>
      </c>
      <c r="H1839" s="1112"/>
      <c r="I1839" s="1147" t="str">
        <f t="shared" si="315"/>
        <v/>
      </c>
      <c r="J1839" s="1026" t="s">
        <v>7655</v>
      </c>
      <c r="K1839" s="912"/>
      <c r="L1839" s="913"/>
      <c r="M1839" s="913"/>
      <c r="N1839" s="912"/>
      <c r="O1839" s="912"/>
      <c r="P1839" s="914">
        <f t="shared" si="318"/>
        <v>21913</v>
      </c>
      <c r="Q1839" s="1198">
        <v>21913</v>
      </c>
      <c r="R1839" s="929"/>
      <c r="S1839" s="1280"/>
      <c r="T1839" s="929"/>
      <c r="U1839" s="1022" t="s">
        <v>11567</v>
      </c>
      <c r="V1839" s="1022"/>
      <c r="W1839" s="1027" t="s">
        <v>11566</v>
      </c>
    </row>
    <row r="1840" spans="1:23" ht="14.5" customHeight="1">
      <c r="C1840" s="994" t="s">
        <v>7658</v>
      </c>
      <c r="D1840" s="988" t="str">
        <f t="shared" si="319"/>
        <v>679909</v>
      </c>
      <c r="E1840" s="989" t="s">
        <v>7659</v>
      </c>
      <c r="F1840" s="988" t="str">
        <f>IF(E1840="","",CONCATENATE(LEFT(E1840,4),MID(E1840,6,3)))</f>
        <v>6799099</v>
      </c>
      <c r="G1840" s="1095" t="str">
        <f>IF(F1840="",G1839,F1840)</f>
        <v>6799099</v>
      </c>
      <c r="I1840" s="1033" t="str">
        <f t="shared" si="315"/>
        <v/>
      </c>
      <c r="J1840" s="990" t="s">
        <v>820</v>
      </c>
      <c r="K1840" s="886"/>
      <c r="L1840" s="873"/>
      <c r="M1840" s="873"/>
      <c r="N1840" s="886"/>
      <c r="O1840" s="886"/>
      <c r="P1840" s="896">
        <f>Q1840</f>
        <v>46846</v>
      </c>
      <c r="Q1840" s="1171">
        <f>ROUND(SUM(Q1841:Q1849),0)</f>
        <v>46846</v>
      </c>
      <c r="R1840" s="882"/>
      <c r="S1840" s="1287">
        <f>'CT2015'!K1737</f>
        <v>3.7</v>
      </c>
      <c r="T1840" s="1254">
        <f>ROUND(Q1840*S1840/100,0)</f>
        <v>1733</v>
      </c>
      <c r="U1840" s="996"/>
      <c r="V1840" s="996"/>
      <c r="W1840" s="992"/>
    </row>
    <row r="1841" spans="1:24" ht="14.5" customHeight="1">
      <c r="C1841" s="994"/>
      <c r="E1841" s="989"/>
      <c r="F1841" s="988"/>
      <c r="G1841" s="1095" t="str">
        <f t="shared" si="316"/>
        <v>6799099</v>
      </c>
      <c r="H1841" s="1016" t="s">
        <v>7312</v>
      </c>
      <c r="I1841" s="1033" t="str">
        <f t="shared" si="315"/>
        <v>6799099001</v>
      </c>
      <c r="J1841" s="991" t="s">
        <v>11569</v>
      </c>
      <c r="K1841" s="886"/>
      <c r="L1841" s="873"/>
      <c r="M1841" s="873"/>
      <c r="N1841" s="886"/>
      <c r="O1841" s="886"/>
      <c r="P1841" s="896"/>
      <c r="Q1841" s="1167">
        <v>3508.13</v>
      </c>
      <c r="R1841" s="882"/>
      <c r="S1841" s="1269"/>
      <c r="T1841" s="1254"/>
      <c r="U1841" s="996" t="s">
        <v>11567</v>
      </c>
      <c r="V1841" s="996"/>
      <c r="W1841" s="992" t="s">
        <v>11570</v>
      </c>
    </row>
    <row r="1842" spans="1:24" ht="14.5" customHeight="1">
      <c r="C1842" s="994"/>
      <c r="E1842" s="989"/>
      <c r="F1842" s="988"/>
      <c r="G1842" s="1095" t="str">
        <f t="shared" si="316"/>
        <v>6799099</v>
      </c>
      <c r="H1842" s="1016" t="s">
        <v>7203</v>
      </c>
      <c r="I1842" s="1033" t="str">
        <f t="shared" si="315"/>
        <v>6799099002</v>
      </c>
      <c r="J1842" s="991" t="s">
        <v>11571</v>
      </c>
      <c r="K1842" s="886"/>
      <c r="L1842" s="873"/>
      <c r="M1842" s="873"/>
      <c r="N1842" s="886"/>
      <c r="O1842" s="886"/>
      <c r="P1842" s="896"/>
      <c r="Q1842" s="1167">
        <v>575.07000000000005</v>
      </c>
      <c r="R1842" s="882"/>
      <c r="S1842" s="1269"/>
      <c r="T1842" s="1254"/>
      <c r="U1842" s="996" t="s">
        <v>10800</v>
      </c>
      <c r="V1842" s="996"/>
      <c r="W1842" s="992" t="s">
        <v>11572</v>
      </c>
    </row>
    <row r="1843" spans="1:24" ht="14.5" customHeight="1">
      <c r="C1843" s="994"/>
      <c r="E1843" s="989"/>
      <c r="F1843" s="988"/>
      <c r="G1843" s="1095" t="str">
        <f>IF(F1843="",G1842,F1843)</f>
        <v>6799099</v>
      </c>
      <c r="H1843" s="1016" t="s">
        <v>7205</v>
      </c>
      <c r="I1843" s="1033" t="str">
        <f t="shared" si="315"/>
        <v>6799099003</v>
      </c>
      <c r="J1843" s="991" t="s">
        <v>11573</v>
      </c>
      <c r="K1843" s="886"/>
      <c r="L1843" s="873"/>
      <c r="M1843" s="873"/>
      <c r="N1843" s="886"/>
      <c r="O1843" s="886"/>
      <c r="P1843" s="896"/>
      <c r="Q1843" s="1167">
        <v>2206.92</v>
      </c>
      <c r="R1843" s="882"/>
      <c r="S1843" s="1269"/>
      <c r="T1843" s="1254"/>
      <c r="U1843" s="996" t="s">
        <v>10800</v>
      </c>
      <c r="V1843" s="996"/>
      <c r="W1843" s="992" t="s">
        <v>11570</v>
      </c>
    </row>
    <row r="1844" spans="1:24" ht="14.5" customHeight="1">
      <c r="C1844" s="994"/>
      <c r="E1844" s="989"/>
      <c r="F1844" s="988"/>
      <c r="G1844" s="1095" t="str">
        <f t="shared" si="316"/>
        <v>6799099</v>
      </c>
      <c r="H1844" s="1016" t="s">
        <v>7207</v>
      </c>
      <c r="I1844" s="1033" t="str">
        <f t="shared" si="315"/>
        <v>6799099004</v>
      </c>
      <c r="J1844" s="991" t="s">
        <v>11574</v>
      </c>
      <c r="K1844" s="886"/>
      <c r="L1844" s="873"/>
      <c r="M1844" s="873"/>
      <c r="N1844" s="886"/>
      <c r="O1844" s="886"/>
      <c r="P1844" s="896"/>
      <c r="Q1844" s="1167">
        <v>3264.08</v>
      </c>
      <c r="R1844" s="882"/>
      <c r="S1844" s="1269"/>
      <c r="T1844" s="1254"/>
      <c r="U1844" s="996" t="s">
        <v>10800</v>
      </c>
      <c r="V1844" s="996"/>
      <c r="W1844" s="992" t="s">
        <v>11572</v>
      </c>
    </row>
    <row r="1845" spans="1:24" ht="14.5" customHeight="1">
      <c r="C1845" s="994"/>
      <c r="E1845" s="989"/>
      <c r="F1845" s="988"/>
      <c r="G1845" s="1095" t="str">
        <f t="shared" si="316"/>
        <v>6799099</v>
      </c>
      <c r="H1845" s="1016" t="s">
        <v>10392</v>
      </c>
      <c r="I1845" s="1033" t="str">
        <f t="shared" si="315"/>
        <v>6799099005</v>
      </c>
      <c r="J1845" s="991" t="s">
        <v>11575</v>
      </c>
      <c r="K1845" s="886"/>
      <c r="L1845" s="873"/>
      <c r="M1845" s="873"/>
      <c r="N1845" s="886"/>
      <c r="O1845" s="886"/>
      <c r="P1845" s="896"/>
      <c r="Q1845" s="1167">
        <v>7888.51</v>
      </c>
      <c r="R1845" s="882"/>
      <c r="S1845" s="1269"/>
      <c r="T1845" s="1254"/>
      <c r="U1845" s="996" t="s">
        <v>10800</v>
      </c>
      <c r="V1845" s="996"/>
      <c r="W1845" s="992" t="s">
        <v>11570</v>
      </c>
    </row>
    <row r="1846" spans="1:24" ht="14.5" customHeight="1">
      <c r="C1846" s="994"/>
      <c r="E1846" s="989"/>
      <c r="F1846" s="988"/>
      <c r="G1846" s="1095" t="str">
        <f t="shared" si="316"/>
        <v>6799099</v>
      </c>
      <c r="H1846" s="1016" t="s">
        <v>10394</v>
      </c>
      <c r="I1846" s="1033" t="str">
        <f t="shared" si="315"/>
        <v>6799099006</v>
      </c>
      <c r="J1846" s="991" t="s">
        <v>11576</v>
      </c>
      <c r="K1846" s="886"/>
      <c r="L1846" s="873"/>
      <c r="M1846" s="873"/>
      <c r="N1846" s="886"/>
      <c r="O1846" s="886"/>
      <c r="P1846" s="896"/>
      <c r="Q1846" s="1167">
        <v>5642.52</v>
      </c>
      <c r="R1846" s="882"/>
      <c r="S1846" s="1269"/>
      <c r="T1846" s="1254"/>
      <c r="U1846" s="996" t="s">
        <v>10800</v>
      </c>
      <c r="V1846" s="996"/>
      <c r="W1846" s="992" t="s">
        <v>11577</v>
      </c>
    </row>
    <row r="1847" spans="1:24" ht="14.5" customHeight="1">
      <c r="C1847" s="994"/>
      <c r="E1847" s="989"/>
      <c r="F1847" s="988"/>
      <c r="G1847" s="1095" t="str">
        <f t="shared" si="316"/>
        <v>6799099</v>
      </c>
      <c r="H1847" s="1016" t="s">
        <v>10396</v>
      </c>
      <c r="I1847" s="1033" t="str">
        <f t="shared" si="315"/>
        <v>6799099007</v>
      </c>
      <c r="J1847" s="991" t="s">
        <v>11578</v>
      </c>
      <c r="K1847" s="886"/>
      <c r="L1847" s="873"/>
      <c r="M1847" s="873"/>
      <c r="N1847" s="886"/>
      <c r="O1847" s="886"/>
      <c r="P1847" s="896"/>
      <c r="Q1847" s="1167">
        <v>5567.15</v>
      </c>
      <c r="R1847" s="882"/>
      <c r="S1847" s="1269"/>
      <c r="T1847" s="1254"/>
      <c r="U1847" s="996" t="s">
        <v>10800</v>
      </c>
      <c r="V1847" s="996"/>
      <c r="W1847" s="992" t="s">
        <v>11579</v>
      </c>
    </row>
    <row r="1848" spans="1:24" ht="14.5" customHeight="1">
      <c r="C1848" s="994"/>
      <c r="E1848" s="989"/>
      <c r="F1848" s="988"/>
      <c r="G1848" s="1095" t="str">
        <f t="shared" si="316"/>
        <v>6799099</v>
      </c>
      <c r="H1848" s="1016" t="s">
        <v>10398</v>
      </c>
      <c r="I1848" s="1033" t="str">
        <f t="shared" si="315"/>
        <v>6799099008</v>
      </c>
      <c r="J1848" s="991" t="s">
        <v>11580</v>
      </c>
      <c r="K1848" s="886"/>
      <c r="L1848" s="873"/>
      <c r="M1848" s="873"/>
      <c r="N1848" s="886"/>
      <c r="O1848" s="886"/>
      <c r="P1848" s="896"/>
      <c r="Q1848" s="1167">
        <v>3445.27</v>
      </c>
      <c r="R1848" s="882"/>
      <c r="S1848" s="1269"/>
      <c r="T1848" s="1254"/>
      <c r="U1848" s="996" t="s">
        <v>10800</v>
      </c>
      <c r="V1848" s="996"/>
      <c r="W1848" s="992" t="s">
        <v>11570</v>
      </c>
    </row>
    <row r="1849" spans="1:24" ht="14.5" customHeight="1">
      <c r="C1849" s="994"/>
      <c r="E1849" s="989"/>
      <c r="F1849" s="988"/>
      <c r="G1849" s="1095" t="str">
        <f t="shared" si="316"/>
        <v>6799099</v>
      </c>
      <c r="H1849" s="1016" t="s">
        <v>11322</v>
      </c>
      <c r="I1849" s="1033" t="str">
        <f t="shared" si="315"/>
        <v>6799099009</v>
      </c>
      <c r="J1849" s="991" t="s">
        <v>11581</v>
      </c>
      <c r="K1849" s="886"/>
      <c r="L1849" s="873"/>
      <c r="M1849" s="873"/>
      <c r="N1849" s="886"/>
      <c r="O1849" s="886"/>
      <c r="P1849" s="896"/>
      <c r="Q1849" s="1167">
        <v>14748</v>
      </c>
      <c r="R1849" s="882"/>
      <c r="S1849" s="1269"/>
      <c r="T1849" s="1254"/>
      <c r="U1849" s="1010" t="s">
        <v>11582</v>
      </c>
      <c r="V1849" s="996"/>
      <c r="W1849" s="992" t="s">
        <v>11583</v>
      </c>
    </row>
    <row r="1850" spans="1:24" ht="14.5" customHeight="1">
      <c r="C1850" s="1015" t="s">
        <v>7665</v>
      </c>
      <c r="D1850" s="999" t="str">
        <f>IF(C1850="","",CONCATENATE(LEFT(C1850,4),MID(C1850,6,2)))</f>
        <v>681100</v>
      </c>
      <c r="E1850" s="1000" t="s">
        <v>7666</v>
      </c>
      <c r="F1850" s="999" t="str">
        <f>IF(E1850="","",CONCATENATE(LEFT(E1850,4),MID(E1850,6,3)))</f>
        <v>6811000</v>
      </c>
      <c r="G1850" s="1104" t="str">
        <f>IF(F1850="",#REF!,F1850)</f>
        <v>6811000</v>
      </c>
      <c r="H1850" s="1005" t="s">
        <v>5349</v>
      </c>
      <c r="I1850" s="1109" t="str">
        <f>IF(H1850="","",CONCATENATE(G1850,H1850))</f>
        <v>6811000001</v>
      </c>
      <c r="J1850" s="1030" t="s">
        <v>823</v>
      </c>
      <c r="K1850" s="872"/>
      <c r="L1850" s="872"/>
      <c r="M1850" s="872"/>
      <c r="N1850" s="872"/>
      <c r="O1850" s="872"/>
      <c r="P1850" s="939">
        <f>Q1850</f>
        <v>54569</v>
      </c>
      <c r="Q1850" s="1204">
        <v>54569</v>
      </c>
      <c r="R1850" s="908"/>
      <c r="S1850" s="1277"/>
      <c r="T1850" s="908"/>
      <c r="U1850" s="1006" t="s">
        <v>11584</v>
      </c>
      <c r="V1850" s="1006" t="s">
        <v>11235</v>
      </c>
      <c r="W1850" s="1003" t="s">
        <v>11585</v>
      </c>
    </row>
    <row r="1851" spans="1:24" ht="14.5" customHeight="1">
      <c r="C1851" s="1023" t="s">
        <v>7667</v>
      </c>
      <c r="D1851" s="1024" t="str">
        <f>IF(C1851="","",CONCATENATE(LEFT(C1851,4),MID(C1851,6,2)))</f>
        <v>691100</v>
      </c>
      <c r="E1851" s="1025" t="s">
        <v>7668</v>
      </c>
      <c r="F1851" s="1024" t="str">
        <f>IF(E1851="","",CONCATENATE(LEFT(E1851,4),MID(E1851,6,3)))</f>
        <v>6911000</v>
      </c>
      <c r="G1851" s="1111" t="str">
        <f t="shared" ref="G1851:G1852" si="321">IF(F1851="",G1850,F1851)</f>
        <v>6911000</v>
      </c>
      <c r="H1851" s="1112" t="s">
        <v>36</v>
      </c>
      <c r="I1851" s="1147" t="str">
        <f>IF(H1851="","",CONCATENATE(G1851,H1851))</f>
        <v>6911000001</v>
      </c>
      <c r="J1851" s="1026" t="s">
        <v>7669</v>
      </c>
      <c r="K1851" s="913"/>
      <c r="L1851" s="913"/>
      <c r="M1851" s="913"/>
      <c r="N1851" s="913"/>
      <c r="O1851" s="913"/>
      <c r="P1851" s="931">
        <f>Q1851</f>
        <v>189869</v>
      </c>
      <c r="Q1851" s="1197">
        <v>189869</v>
      </c>
      <c r="R1851" s="916"/>
      <c r="S1851" s="1285"/>
      <c r="T1851" s="916"/>
      <c r="U1851" s="1022" t="s">
        <v>11584</v>
      </c>
      <c r="V1851" s="1022" t="s">
        <v>11490</v>
      </c>
      <c r="W1851" s="1027" t="s">
        <v>11586</v>
      </c>
    </row>
    <row r="1852" spans="1:24" ht="14.5" customHeight="1">
      <c r="C1852" s="1015" t="s">
        <v>7670</v>
      </c>
      <c r="D1852" s="999" t="str">
        <f>IF(C1852="","",CONCATENATE(LEFT(C1852,4),MID(C1852,6,2)))</f>
        <v>909900</v>
      </c>
      <c r="E1852" s="1000" t="s">
        <v>7671</v>
      </c>
      <c r="F1852" s="999" t="str">
        <f>IF(E1852="","",CONCATENATE(LEFT(E1852,4),MID(E1852,6,3)))</f>
        <v>9099000</v>
      </c>
      <c r="G1852" s="1104" t="str">
        <f t="shared" si="321"/>
        <v>9099000</v>
      </c>
      <c r="H1852" s="1152"/>
      <c r="I1852" s="1153" t="str">
        <f>IF(H1852="","",CONCATENATE(G1852,H1852))</f>
        <v/>
      </c>
      <c r="J1852" s="1030" t="s">
        <v>7672</v>
      </c>
      <c r="K1852" s="893"/>
      <c r="L1852" s="893"/>
      <c r="M1852" s="893"/>
      <c r="N1852" s="893"/>
      <c r="O1852" s="893"/>
      <c r="P1852" s="893"/>
      <c r="Q1852" s="1176"/>
      <c r="R1852" s="900"/>
      <c r="S1852" s="1272"/>
      <c r="T1852" s="1260">
        <f>SUM(T8:T1851)</f>
        <v>375578</v>
      </c>
      <c r="U1852" s="1006"/>
      <c r="V1852" s="1006"/>
      <c r="W1852" s="1003"/>
      <c r="X1852" s="1286">
        <f>T1852/T1853*100</f>
        <v>77.439298276720919</v>
      </c>
    </row>
    <row r="1853" spans="1:24" ht="13.15" customHeight="1">
      <c r="R1853" s="876"/>
      <c r="S1853" s="1268">
        <v>2015</v>
      </c>
      <c r="T1853" s="921">
        <f>'CT2015'!L1745</f>
        <v>484996.64686773479</v>
      </c>
    </row>
    <row r="1854" spans="1:24" ht="13.15" customHeight="1">
      <c r="A1854" s="1034"/>
      <c r="B1854" s="1034"/>
    </row>
    <row r="1855" spans="1:24" ht="13.15" customHeight="1">
      <c r="A1855" s="1034"/>
      <c r="B1855" s="1034"/>
      <c r="C1855" s="1016" t="s">
        <v>7673</v>
      </c>
    </row>
    <row r="1856" spans="1:24" ht="13.15" customHeight="1">
      <c r="A1856" s="1034"/>
      <c r="B1856" s="1034"/>
      <c r="C1856" s="1016" t="s">
        <v>7674</v>
      </c>
    </row>
    <row r="1857" spans="1:2" ht="13.15" customHeight="1">
      <c r="A1857" s="1034"/>
      <c r="B1857" s="1034"/>
    </row>
  </sheetData>
  <phoneticPr fontId="1"/>
  <conditionalFormatting sqref="U8:U359">
    <cfRule type="cellIs" dxfId="15" priority="9" stopIfTrue="1" operator="equal">
      <formula>"組替"</formula>
    </cfRule>
  </conditionalFormatting>
  <conditionalFormatting sqref="U361:U380">
    <cfRule type="cellIs" dxfId="14" priority="13" stopIfTrue="1" operator="equal">
      <formula>"組替"</formula>
    </cfRule>
  </conditionalFormatting>
  <conditionalFormatting sqref="U381:U386">
    <cfRule type="cellIs" dxfId="13" priority="16" stopIfTrue="1" operator="greaterThanOrEqual">
      <formula>"組替"</formula>
    </cfRule>
  </conditionalFormatting>
  <conditionalFormatting sqref="U387:U391">
    <cfRule type="cellIs" dxfId="12" priority="6" stopIfTrue="1" operator="equal">
      <formula>"組替"</formula>
    </cfRule>
  </conditionalFormatting>
  <conditionalFormatting sqref="U392">
    <cfRule type="cellIs" dxfId="11" priority="5" stopIfTrue="1" operator="greaterThanOrEqual">
      <formula>"組替"</formula>
    </cfRule>
  </conditionalFormatting>
  <conditionalFormatting sqref="U393:U920">
    <cfRule type="cellIs" dxfId="10" priority="3" stopIfTrue="1" operator="equal">
      <formula>"組替"</formula>
    </cfRule>
  </conditionalFormatting>
  <conditionalFormatting sqref="U922:U950">
    <cfRule type="cellIs" dxfId="9" priority="10" stopIfTrue="1" operator="equal">
      <formula>"組替"</formula>
    </cfRule>
  </conditionalFormatting>
  <conditionalFormatting sqref="U952:U955">
    <cfRule type="cellIs" dxfId="8" priority="11" stopIfTrue="1" operator="equal">
      <formula>"組替"</formula>
    </cfRule>
  </conditionalFormatting>
  <conditionalFormatting sqref="U957:U1030">
    <cfRule type="cellIs" dxfId="7" priority="2" stopIfTrue="1" operator="equal">
      <formula>"組替"</formula>
    </cfRule>
  </conditionalFormatting>
  <conditionalFormatting sqref="U1032:U1043">
    <cfRule type="cellIs" dxfId="6" priority="12" stopIfTrue="1" operator="equal">
      <formula>"組替"</formula>
    </cfRule>
  </conditionalFormatting>
  <conditionalFormatting sqref="U1045:U1412">
    <cfRule type="cellIs" dxfId="5" priority="7" stopIfTrue="1" operator="equal">
      <formula>"組替"</formula>
    </cfRule>
  </conditionalFormatting>
  <conditionalFormatting sqref="U1420:U1851">
    <cfRule type="cellIs" dxfId="4" priority="1" stopIfTrue="1" operator="equal">
      <formula>"組替"</formula>
    </cfRule>
  </conditionalFormatting>
  <conditionalFormatting sqref="V177:V185 V1292 U1415 W1569:W1571">
    <cfRule type="cellIs" dxfId="3" priority="15" stopIfTrue="1" operator="equal">
      <formula>"組替"</formula>
    </cfRule>
  </conditionalFormatting>
  <conditionalFormatting sqref="W472">
    <cfRule type="cellIs" dxfId="2" priority="4" stopIfTrue="1" operator="equal">
      <formula>"組替"</formula>
    </cfRule>
  </conditionalFormatting>
  <conditionalFormatting sqref="W812:W818">
    <cfRule type="cellIs" dxfId="1" priority="8" stopIfTrue="1" operator="equal">
      <formula>"組替"</formula>
    </cfRule>
  </conditionalFormatting>
  <conditionalFormatting sqref="W1668:W1678">
    <cfRule type="cellIs" dxfId="0" priority="14" stopIfTrue="1" operator="equal">
      <formula>"組替"</formula>
    </cfRule>
  </conditionalFormatting>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9C71-85A3-41B1-B5FC-45396A665676}">
  <sheetPr>
    <tabColor theme="5" tint="0.79998168889431442"/>
  </sheetPr>
  <dimension ref="A1:M1748"/>
  <sheetViews>
    <sheetView workbookViewId="0">
      <pane xSplit="8" ySplit="5" topLeftCell="J1518" activePane="bottomRight" state="frozen"/>
      <selection pane="topRight" activeCell="K1" sqref="K1"/>
      <selection pane="bottomLeft" activeCell="A8" sqref="A8"/>
      <selection pane="bottomRight" activeCell="O1530" sqref="O1530"/>
    </sheetView>
  </sheetViews>
  <sheetFormatPr defaultColWidth="9" defaultRowHeight="12"/>
  <cols>
    <col min="1" max="1" width="6.5" style="334" customWidth="1"/>
    <col min="2" max="2" width="6.58203125" style="326" customWidth="1"/>
    <col min="3" max="3" width="7.5" style="327" customWidth="1"/>
    <col min="4" max="4" width="6.75" style="327" hidden="1" customWidth="1"/>
    <col min="5" max="5" width="6.58203125" style="359" hidden="1" customWidth="1"/>
    <col min="6" max="6" width="6" style="334" hidden="1" customWidth="1"/>
    <col min="7" max="7" width="10" style="327" hidden="1" customWidth="1"/>
    <col min="8" max="8" width="36.83203125" style="327" customWidth="1"/>
    <col min="9" max="9" width="10.58203125" style="371" customWidth="1"/>
    <col min="10" max="10" width="10.83203125" style="371" customWidth="1"/>
    <col min="11" max="12" width="10.58203125" style="345" customWidth="1"/>
    <col min="13" max="13" width="11.33203125" style="345" customWidth="1"/>
    <col min="14" max="14" width="9" style="345"/>
    <col min="15" max="15" width="9.33203125" style="345" bestFit="1" customWidth="1"/>
    <col min="16" max="16384" width="9" style="345"/>
  </cols>
  <sheetData>
    <row r="1" spans="1:13" ht="15" customHeight="1">
      <c r="A1" s="358" t="s">
        <v>5313</v>
      </c>
      <c r="J1" s="412">
        <v>45310</v>
      </c>
      <c r="L1" s="345" t="s">
        <v>9047</v>
      </c>
    </row>
    <row r="2" spans="1:13" ht="15" customHeight="1">
      <c r="A2" s="360" t="s">
        <v>5314</v>
      </c>
      <c r="B2" s="361"/>
      <c r="C2" s="362"/>
      <c r="D2" s="362"/>
      <c r="E2" s="363"/>
      <c r="F2" s="364"/>
      <c r="G2" s="362"/>
      <c r="H2" s="323"/>
      <c r="I2" s="372"/>
      <c r="J2" s="372"/>
      <c r="K2" s="486" t="s">
        <v>9884</v>
      </c>
      <c r="L2" s="486" t="s">
        <v>9049</v>
      </c>
      <c r="M2" s="415" t="s">
        <v>9050</v>
      </c>
    </row>
    <row r="3" spans="1:13" ht="15" customHeight="1">
      <c r="A3" s="302" t="s">
        <v>5315</v>
      </c>
      <c r="B3" s="303"/>
      <c r="C3" s="304"/>
      <c r="D3" s="305"/>
      <c r="E3" s="306"/>
      <c r="F3" s="307"/>
      <c r="G3" s="305"/>
      <c r="H3" s="304"/>
      <c r="I3" s="373"/>
      <c r="J3" s="373"/>
      <c r="K3" s="487" t="s">
        <v>9048</v>
      </c>
      <c r="L3" s="487" t="s">
        <v>9046</v>
      </c>
      <c r="M3" s="416"/>
    </row>
    <row r="4" spans="1:13" s="327" customFormat="1" ht="15" customHeight="1">
      <c r="A4" s="308" t="s">
        <v>5316</v>
      </c>
      <c r="B4" s="309"/>
      <c r="C4" s="310" t="s">
        <v>5316</v>
      </c>
      <c r="D4" s="311"/>
      <c r="E4" s="312"/>
      <c r="F4" s="313"/>
      <c r="G4" s="311"/>
      <c r="H4" s="314" t="s">
        <v>5317</v>
      </c>
      <c r="I4" s="393" t="s">
        <v>5318</v>
      </c>
      <c r="J4" s="394" t="s">
        <v>5319</v>
      </c>
      <c r="K4" s="328"/>
      <c r="L4" s="328"/>
      <c r="M4" s="328"/>
    </row>
    <row r="5" spans="1:13" s="327" customFormat="1" ht="15" customHeight="1">
      <c r="A5" s="315" t="s">
        <v>5320</v>
      </c>
      <c r="B5" s="316"/>
      <c r="C5" s="317" t="s">
        <v>5321</v>
      </c>
      <c r="D5" s="317"/>
      <c r="E5" s="318"/>
      <c r="F5" s="319" t="s">
        <v>5322</v>
      </c>
      <c r="G5" s="317"/>
      <c r="H5" s="320"/>
      <c r="I5" s="374"/>
      <c r="J5" s="375"/>
      <c r="K5" s="328"/>
      <c r="L5" s="328"/>
      <c r="M5" s="328"/>
    </row>
    <row r="6" spans="1:13" ht="15" customHeight="1">
      <c r="A6" s="321" t="s">
        <v>5323</v>
      </c>
      <c r="B6" s="322" t="s">
        <v>850</v>
      </c>
      <c r="C6" s="323"/>
      <c r="D6" s="323"/>
      <c r="E6" s="365"/>
      <c r="F6" s="366"/>
      <c r="G6" s="323"/>
      <c r="H6" s="324" t="s">
        <v>5324</v>
      </c>
      <c r="I6" s="376"/>
      <c r="J6" s="377"/>
      <c r="K6" s="459"/>
      <c r="L6" s="460"/>
      <c r="M6" s="417"/>
    </row>
    <row r="7" spans="1:13" ht="15" customHeight="1">
      <c r="A7" s="325"/>
      <c r="B7" s="326" t="s">
        <v>1594</v>
      </c>
      <c r="C7" s="327" t="s">
        <v>5325</v>
      </c>
      <c r="D7" s="326" t="s">
        <v>7675</v>
      </c>
      <c r="E7" s="359" t="s">
        <v>7675</v>
      </c>
      <c r="H7" s="328" t="s">
        <v>5324</v>
      </c>
      <c r="I7" s="378"/>
      <c r="J7" s="379">
        <v>43567</v>
      </c>
      <c r="K7" s="459"/>
      <c r="L7" s="460"/>
      <c r="M7" s="417"/>
    </row>
    <row r="8" spans="1:13" ht="15" customHeight="1">
      <c r="A8" s="325"/>
      <c r="B8" s="326" t="s">
        <v>1594</v>
      </c>
      <c r="D8" s="326" t="s">
        <v>1594</v>
      </c>
      <c r="E8" s="359" t="s">
        <v>7675</v>
      </c>
      <c r="F8" s="334" t="s">
        <v>36</v>
      </c>
      <c r="G8" s="327" t="s">
        <v>7676</v>
      </c>
      <c r="H8" s="328" t="s">
        <v>5326</v>
      </c>
      <c r="I8" s="378">
        <v>1498960</v>
      </c>
      <c r="J8" s="379">
        <v>43360.800000000003</v>
      </c>
      <c r="K8" s="459"/>
      <c r="L8" s="460"/>
      <c r="M8" s="417"/>
    </row>
    <row r="9" spans="1:13" ht="15" customHeight="1">
      <c r="A9" s="325"/>
      <c r="D9" s="326"/>
      <c r="E9" s="359" t="s">
        <v>7675</v>
      </c>
      <c r="F9" s="334" t="s">
        <v>5327</v>
      </c>
      <c r="G9" s="327" t="s">
        <v>7677</v>
      </c>
      <c r="H9" s="328" t="s">
        <v>5328</v>
      </c>
      <c r="I9" s="378">
        <v>5617</v>
      </c>
      <c r="J9" s="379">
        <v>10</v>
      </c>
      <c r="K9" s="459"/>
      <c r="L9" s="460"/>
      <c r="M9" s="417"/>
    </row>
    <row r="10" spans="1:13" ht="15" customHeight="1">
      <c r="A10" s="325"/>
      <c r="B10" s="326" t="s">
        <v>1594</v>
      </c>
      <c r="D10" s="326" t="s">
        <v>1594</v>
      </c>
      <c r="E10" s="359" t="s">
        <v>7675</v>
      </c>
      <c r="F10" s="334" t="s">
        <v>5329</v>
      </c>
      <c r="G10" s="327" t="s">
        <v>7678</v>
      </c>
      <c r="H10" s="328" t="s">
        <v>5330</v>
      </c>
      <c r="I10" s="378">
        <v>9159</v>
      </c>
      <c r="J10" s="380">
        <v>196</v>
      </c>
      <c r="K10" s="459"/>
      <c r="L10" s="460"/>
      <c r="M10" s="417"/>
    </row>
    <row r="11" spans="1:13" ht="15" customHeight="1">
      <c r="A11" s="325"/>
      <c r="B11" s="326" t="s">
        <v>1594</v>
      </c>
      <c r="C11" s="327" t="s">
        <v>5331</v>
      </c>
      <c r="D11" s="326" t="s">
        <v>7679</v>
      </c>
      <c r="E11" s="359" t="s">
        <v>7679</v>
      </c>
      <c r="F11" s="334" t="s">
        <v>36</v>
      </c>
      <c r="G11" s="327" t="s">
        <v>7680</v>
      </c>
      <c r="H11" s="328" t="s">
        <v>23</v>
      </c>
      <c r="I11" s="378">
        <v>47108</v>
      </c>
      <c r="J11" s="381">
        <v>1102</v>
      </c>
      <c r="K11" s="459"/>
      <c r="L11" s="460"/>
      <c r="M11" s="417"/>
    </row>
    <row r="12" spans="1:13" ht="15" customHeight="1">
      <c r="A12" s="321" t="s">
        <v>5332</v>
      </c>
      <c r="B12" s="322" t="s">
        <v>852</v>
      </c>
      <c r="C12" s="323"/>
      <c r="D12" s="322" t="s">
        <v>1594</v>
      </c>
      <c r="E12" s="365"/>
      <c r="F12" s="366"/>
      <c r="G12" s="323" t="s">
        <v>1594</v>
      </c>
      <c r="H12" s="324" t="s">
        <v>5333</v>
      </c>
      <c r="I12" s="376"/>
      <c r="J12" s="377"/>
      <c r="K12" s="459"/>
      <c r="L12" s="460"/>
      <c r="M12" s="417"/>
    </row>
    <row r="13" spans="1:13" ht="15" customHeight="1">
      <c r="A13" s="325"/>
      <c r="B13" s="326" t="s">
        <v>1594</v>
      </c>
      <c r="C13" s="327" t="s">
        <v>5334</v>
      </c>
      <c r="D13" s="326" t="s">
        <v>7681</v>
      </c>
      <c r="E13" s="359" t="s">
        <v>7681</v>
      </c>
      <c r="F13" s="334" t="s">
        <v>36</v>
      </c>
      <c r="G13" s="327" t="s">
        <v>7682</v>
      </c>
      <c r="H13" s="328" t="s">
        <v>25</v>
      </c>
      <c r="I13" s="378"/>
      <c r="J13" s="379">
        <v>115</v>
      </c>
      <c r="K13" s="459"/>
      <c r="L13" s="460"/>
      <c r="M13" s="417"/>
    </row>
    <row r="14" spans="1:13" ht="15" customHeight="1">
      <c r="A14" s="325"/>
      <c r="B14" s="326" t="s">
        <v>1594</v>
      </c>
      <c r="C14" s="327" t="s">
        <v>5335</v>
      </c>
      <c r="D14" s="326" t="s">
        <v>7683</v>
      </c>
      <c r="E14" s="359" t="s">
        <v>7683</v>
      </c>
      <c r="G14" s="327" t="s">
        <v>1594</v>
      </c>
      <c r="H14" s="328" t="s">
        <v>27</v>
      </c>
      <c r="I14" s="378"/>
      <c r="J14" s="379">
        <v>28</v>
      </c>
      <c r="K14" s="459"/>
      <c r="L14" s="460"/>
      <c r="M14" s="417"/>
    </row>
    <row r="15" spans="1:13" ht="15" customHeight="1">
      <c r="A15" s="325"/>
      <c r="B15" s="326" t="s">
        <v>1594</v>
      </c>
      <c r="D15" s="326" t="s">
        <v>1594</v>
      </c>
      <c r="E15" s="359" t="s">
        <v>7683</v>
      </c>
      <c r="F15" s="334" t="s">
        <v>36</v>
      </c>
      <c r="G15" s="327" t="s">
        <v>7684</v>
      </c>
      <c r="H15" s="328" t="s">
        <v>5336</v>
      </c>
      <c r="I15" s="378"/>
      <c r="J15" s="379">
        <v>27.06</v>
      </c>
      <c r="K15" s="459"/>
      <c r="L15" s="460"/>
      <c r="M15" s="417"/>
    </row>
    <row r="16" spans="1:13" ht="15" customHeight="1">
      <c r="A16" s="325"/>
      <c r="B16" s="326" t="s">
        <v>1594</v>
      </c>
      <c r="D16" s="326" t="s">
        <v>1594</v>
      </c>
      <c r="E16" s="359" t="s">
        <v>7683</v>
      </c>
      <c r="F16" s="334" t="s">
        <v>5337</v>
      </c>
      <c r="G16" s="327" t="s">
        <v>7685</v>
      </c>
      <c r="H16" s="328" t="s">
        <v>5338</v>
      </c>
      <c r="I16" s="378"/>
      <c r="J16" s="379">
        <v>0</v>
      </c>
      <c r="K16" s="459"/>
      <c r="L16" s="460"/>
      <c r="M16" s="417"/>
    </row>
    <row r="17" spans="1:13" ht="15" customHeight="1">
      <c r="A17" s="325"/>
      <c r="B17" s="326" t="s">
        <v>1594</v>
      </c>
      <c r="D17" s="326" t="s">
        <v>1594</v>
      </c>
      <c r="E17" s="359" t="s">
        <v>7683</v>
      </c>
      <c r="F17" s="334" t="s">
        <v>5339</v>
      </c>
      <c r="G17" s="327" t="s">
        <v>7686</v>
      </c>
      <c r="H17" s="328" t="s">
        <v>5340</v>
      </c>
      <c r="I17" s="378"/>
      <c r="J17" s="379">
        <v>1.0620000000000001</v>
      </c>
      <c r="K17" s="459"/>
      <c r="L17" s="460"/>
      <c r="M17" s="417"/>
    </row>
    <row r="18" spans="1:13" ht="15" customHeight="1">
      <c r="A18" s="321" t="s">
        <v>5341</v>
      </c>
      <c r="B18" s="322" t="s">
        <v>854</v>
      </c>
      <c r="C18" s="323"/>
      <c r="D18" s="322" t="s">
        <v>1594</v>
      </c>
      <c r="E18" s="365"/>
      <c r="F18" s="366"/>
      <c r="G18" s="323" t="s">
        <v>1594</v>
      </c>
      <c r="H18" s="324" t="s">
        <v>5342</v>
      </c>
      <c r="I18" s="376"/>
      <c r="J18" s="377"/>
      <c r="K18" s="459"/>
      <c r="L18" s="460"/>
      <c r="M18" s="417"/>
    </row>
    <row r="19" spans="1:13" ht="15" customHeight="1">
      <c r="A19" s="325"/>
      <c r="B19" s="326" t="s">
        <v>1594</v>
      </c>
      <c r="C19" s="327" t="s">
        <v>5343</v>
      </c>
      <c r="D19" s="326" t="s">
        <v>7687</v>
      </c>
      <c r="E19" s="359" t="s">
        <v>7687</v>
      </c>
      <c r="F19" s="334" t="s">
        <v>36</v>
      </c>
      <c r="G19" s="327" t="s">
        <v>7688</v>
      </c>
      <c r="H19" s="328" t="s">
        <v>30</v>
      </c>
      <c r="I19" s="378"/>
      <c r="J19" s="379">
        <v>0</v>
      </c>
      <c r="K19" s="459"/>
      <c r="L19" s="460"/>
      <c r="M19" s="417"/>
    </row>
    <row r="20" spans="1:13" ht="15" customHeight="1">
      <c r="A20" s="329"/>
      <c r="B20" s="330" t="s">
        <v>1594</v>
      </c>
      <c r="C20" s="331" t="s">
        <v>5344</v>
      </c>
      <c r="D20" s="330" t="s">
        <v>7689</v>
      </c>
      <c r="E20" s="367" t="s">
        <v>7689</v>
      </c>
      <c r="F20" s="332" t="s">
        <v>36</v>
      </c>
      <c r="G20" s="331" t="s">
        <v>7690</v>
      </c>
      <c r="H20" s="320" t="s">
        <v>31</v>
      </c>
      <c r="I20" s="378"/>
      <c r="J20" s="380">
        <v>555</v>
      </c>
      <c r="K20" s="459"/>
      <c r="L20" s="460"/>
      <c r="M20" s="417"/>
    </row>
    <row r="21" spans="1:13" ht="15" customHeight="1">
      <c r="A21" s="325" t="s">
        <v>5345</v>
      </c>
      <c r="B21" s="326" t="s">
        <v>856</v>
      </c>
      <c r="D21" s="326" t="s">
        <v>1594</v>
      </c>
      <c r="G21" s="327" t="s">
        <v>1594</v>
      </c>
      <c r="H21" s="328" t="s">
        <v>5346</v>
      </c>
      <c r="I21" s="376"/>
      <c r="J21" s="377"/>
      <c r="K21" s="459"/>
      <c r="L21" s="460"/>
      <c r="M21" s="417"/>
    </row>
    <row r="22" spans="1:13" ht="15" customHeight="1">
      <c r="A22" s="325"/>
      <c r="B22" s="326" t="s">
        <v>1594</v>
      </c>
      <c r="C22" s="327" t="s">
        <v>5347</v>
      </c>
      <c r="D22" s="326" t="s">
        <v>7691</v>
      </c>
      <c r="E22" s="359" t="s">
        <v>7691</v>
      </c>
      <c r="F22" s="334" t="s">
        <v>36</v>
      </c>
      <c r="G22" s="327" t="s">
        <v>7692</v>
      </c>
      <c r="H22" s="328" t="s">
        <v>32</v>
      </c>
      <c r="I22" s="378"/>
      <c r="J22" s="379">
        <v>2369</v>
      </c>
      <c r="K22" s="459"/>
      <c r="L22" s="460"/>
      <c r="M22" s="417"/>
    </row>
    <row r="23" spans="1:13" ht="15" customHeight="1">
      <c r="A23" s="325"/>
      <c r="B23" s="326" t="s">
        <v>1594</v>
      </c>
      <c r="C23" s="327" t="s">
        <v>5348</v>
      </c>
      <c r="D23" s="326" t="s">
        <v>7693</v>
      </c>
      <c r="E23" s="359" t="s">
        <v>7693</v>
      </c>
      <c r="G23" s="327" t="s">
        <v>1594</v>
      </c>
      <c r="H23" s="328" t="s">
        <v>34</v>
      </c>
      <c r="I23" s="378"/>
      <c r="J23" s="379">
        <v>583</v>
      </c>
      <c r="K23" s="459"/>
      <c r="L23" s="460"/>
      <c r="M23" s="417"/>
    </row>
    <row r="24" spans="1:13" ht="15" customHeight="1">
      <c r="A24" s="325"/>
      <c r="B24" s="326" t="s">
        <v>1594</v>
      </c>
      <c r="D24" s="326" t="s">
        <v>1594</v>
      </c>
      <c r="E24" s="359" t="s">
        <v>7693</v>
      </c>
      <c r="F24" s="334" t="s">
        <v>5349</v>
      </c>
      <c r="G24" s="327" t="s">
        <v>7694</v>
      </c>
      <c r="H24" s="328" t="s">
        <v>5350</v>
      </c>
      <c r="I24" s="378"/>
      <c r="J24" s="379">
        <v>0</v>
      </c>
      <c r="K24" s="459"/>
      <c r="L24" s="460"/>
      <c r="M24" s="417"/>
    </row>
    <row r="25" spans="1:13" ht="15" customHeight="1">
      <c r="A25" s="325"/>
      <c r="B25" s="326" t="s">
        <v>1594</v>
      </c>
      <c r="D25" s="326" t="s">
        <v>1594</v>
      </c>
      <c r="E25" s="359" t="s">
        <v>7693</v>
      </c>
      <c r="F25" s="334" t="s">
        <v>5337</v>
      </c>
      <c r="G25" s="327" t="s">
        <v>7695</v>
      </c>
      <c r="H25" s="328" t="s">
        <v>5351</v>
      </c>
      <c r="I25" s="378"/>
      <c r="J25" s="379">
        <v>583</v>
      </c>
      <c r="K25" s="459"/>
      <c r="L25" s="460"/>
      <c r="M25" s="417"/>
    </row>
    <row r="26" spans="1:13" ht="15" customHeight="1">
      <c r="A26" s="325"/>
      <c r="B26" s="326" t="s">
        <v>1594</v>
      </c>
      <c r="D26" s="326" t="s">
        <v>1594</v>
      </c>
      <c r="E26" s="359" t="s">
        <v>7693</v>
      </c>
      <c r="F26" s="334" t="s">
        <v>5339</v>
      </c>
      <c r="G26" s="327" t="s">
        <v>7696</v>
      </c>
      <c r="H26" s="328" t="s">
        <v>5352</v>
      </c>
      <c r="I26" s="378"/>
      <c r="J26" s="379">
        <v>0</v>
      </c>
      <c r="K26" s="459"/>
      <c r="L26" s="460"/>
      <c r="M26" s="417"/>
    </row>
    <row r="27" spans="1:13" ht="15" customHeight="1">
      <c r="A27" s="329"/>
      <c r="B27" s="330" t="s">
        <v>1594</v>
      </c>
      <c r="C27" s="331"/>
      <c r="D27" s="330" t="s">
        <v>1594</v>
      </c>
      <c r="E27" s="367" t="s">
        <v>7693</v>
      </c>
      <c r="F27" s="334" t="s">
        <v>5353</v>
      </c>
      <c r="G27" s="327" t="s">
        <v>7697</v>
      </c>
      <c r="H27" s="328" t="s">
        <v>5354</v>
      </c>
      <c r="I27" s="384"/>
      <c r="J27" s="382">
        <v>0</v>
      </c>
      <c r="K27" s="459"/>
      <c r="L27" s="460"/>
      <c r="M27" s="417"/>
    </row>
    <row r="28" spans="1:13" ht="15" customHeight="1">
      <c r="A28" s="325"/>
      <c r="C28" s="323" t="s">
        <v>5355</v>
      </c>
      <c r="D28" s="323">
        <v>113010</v>
      </c>
      <c r="E28" s="365"/>
      <c r="F28" s="366"/>
      <c r="G28" s="323" t="s">
        <v>1594</v>
      </c>
      <c r="H28" s="324" t="s">
        <v>37</v>
      </c>
      <c r="I28" s="378"/>
      <c r="J28" s="379">
        <v>42429</v>
      </c>
      <c r="K28" s="459"/>
      <c r="L28" s="460"/>
      <c r="M28" s="417"/>
    </row>
    <row r="29" spans="1:13" ht="15" customHeight="1">
      <c r="A29" s="325" t="s">
        <v>5356</v>
      </c>
      <c r="B29" s="326" t="s">
        <v>858</v>
      </c>
      <c r="D29" s="326">
        <v>113010</v>
      </c>
      <c r="E29" s="359">
        <v>113010</v>
      </c>
      <c r="G29" s="327" t="s">
        <v>1594</v>
      </c>
      <c r="H29" s="328" t="s">
        <v>5357</v>
      </c>
      <c r="I29" s="378"/>
      <c r="J29" s="379">
        <v>33256</v>
      </c>
      <c r="K29" s="459"/>
      <c r="L29" s="460"/>
      <c r="M29" s="417"/>
    </row>
    <row r="30" spans="1:13" ht="15" customHeight="1">
      <c r="A30" s="325"/>
      <c r="B30" s="326" t="s">
        <v>1594</v>
      </c>
      <c r="D30" s="326" t="s">
        <v>1594</v>
      </c>
      <c r="E30" s="359">
        <v>113010</v>
      </c>
      <c r="F30" s="334" t="s">
        <v>575</v>
      </c>
      <c r="G30" s="327" t="s">
        <v>7698</v>
      </c>
      <c r="H30" s="328" t="s">
        <v>5358</v>
      </c>
      <c r="I30" s="378">
        <v>30321</v>
      </c>
      <c r="J30" s="379">
        <v>247.93836457659987</v>
      </c>
      <c r="K30" s="459"/>
      <c r="L30" s="460"/>
      <c r="M30" s="417"/>
    </row>
    <row r="31" spans="1:13" ht="15" customHeight="1">
      <c r="A31" s="325"/>
      <c r="B31" s="326" t="s">
        <v>1594</v>
      </c>
      <c r="D31" s="326" t="s">
        <v>1594</v>
      </c>
      <c r="E31" s="359">
        <v>113010</v>
      </c>
      <c r="F31" s="334" t="s">
        <v>5359</v>
      </c>
      <c r="G31" s="327" t="s">
        <v>7699</v>
      </c>
      <c r="H31" s="328" t="s">
        <v>5360</v>
      </c>
      <c r="I31" s="378">
        <v>21886</v>
      </c>
      <c r="J31" s="379">
        <v>238.08790541566174</v>
      </c>
      <c r="K31" s="459"/>
      <c r="L31" s="460"/>
      <c r="M31" s="417"/>
    </row>
    <row r="32" spans="1:13" ht="15" customHeight="1">
      <c r="A32" s="325"/>
      <c r="B32" s="326" t="s">
        <v>1594</v>
      </c>
      <c r="D32" s="326" t="s">
        <v>1594</v>
      </c>
      <c r="E32" s="359">
        <v>113010</v>
      </c>
      <c r="F32" s="334" t="s">
        <v>5361</v>
      </c>
      <c r="G32" s="327" t="s">
        <v>7700</v>
      </c>
      <c r="H32" s="328" t="s">
        <v>5362</v>
      </c>
      <c r="I32" s="378">
        <v>53593</v>
      </c>
      <c r="J32" s="379">
        <v>248.83911024727351</v>
      </c>
      <c r="K32" s="459"/>
      <c r="L32" s="460"/>
      <c r="M32" s="417"/>
    </row>
    <row r="33" spans="1:13" ht="15" customHeight="1">
      <c r="A33" s="325"/>
      <c r="B33" s="326" t="s">
        <v>1594</v>
      </c>
      <c r="D33" s="326" t="s">
        <v>1594</v>
      </c>
      <c r="E33" s="359">
        <v>113010</v>
      </c>
      <c r="F33" s="334" t="s">
        <v>5363</v>
      </c>
      <c r="G33" s="327" t="s">
        <v>7701</v>
      </c>
      <c r="H33" s="328" t="s">
        <v>5364</v>
      </c>
      <c r="I33" s="378">
        <v>29648</v>
      </c>
      <c r="J33" s="379">
        <v>70.306677555122803</v>
      </c>
      <c r="K33" s="459"/>
      <c r="L33" s="460"/>
      <c r="M33" s="417"/>
    </row>
    <row r="34" spans="1:13" ht="15" customHeight="1">
      <c r="A34" s="325"/>
      <c r="B34" s="326" t="s">
        <v>1594</v>
      </c>
      <c r="D34" s="326" t="s">
        <v>1594</v>
      </c>
      <c r="E34" s="359">
        <v>113010</v>
      </c>
      <c r="F34" s="334" t="s">
        <v>5365</v>
      </c>
      <c r="G34" s="327" t="s">
        <v>7702</v>
      </c>
      <c r="H34" s="328" t="s">
        <v>5366</v>
      </c>
      <c r="I34" s="378">
        <v>32340</v>
      </c>
      <c r="J34" s="379">
        <v>185.7897370323011</v>
      </c>
      <c r="K34" s="459"/>
      <c r="L34" s="460"/>
      <c r="M34" s="417"/>
    </row>
    <row r="35" spans="1:13" ht="15" customHeight="1">
      <c r="A35" s="325"/>
      <c r="B35" s="326" t="s">
        <v>1594</v>
      </c>
      <c r="D35" s="326" t="s">
        <v>1594</v>
      </c>
      <c r="E35" s="359">
        <v>113010</v>
      </c>
      <c r="F35" s="334" t="s">
        <v>5367</v>
      </c>
      <c r="G35" s="327" t="s">
        <v>7703</v>
      </c>
      <c r="H35" s="328" t="s">
        <v>5368</v>
      </c>
      <c r="I35" s="378">
        <v>50694</v>
      </c>
      <c r="J35" s="379">
        <v>258.40607163443605</v>
      </c>
      <c r="K35" s="459"/>
      <c r="L35" s="460"/>
      <c r="M35" s="417"/>
    </row>
    <row r="36" spans="1:13" ht="15" customHeight="1">
      <c r="A36" s="325"/>
      <c r="B36" s="326" t="s">
        <v>1594</v>
      </c>
      <c r="D36" s="326" t="s">
        <v>1594</v>
      </c>
      <c r="E36" s="359">
        <v>113010</v>
      </c>
      <c r="F36" s="334" t="s">
        <v>5369</v>
      </c>
      <c r="G36" s="327" t="s">
        <v>7704</v>
      </c>
      <c r="H36" s="328" t="s">
        <v>5370</v>
      </c>
      <c r="I36" s="378">
        <v>58202</v>
      </c>
      <c r="J36" s="379">
        <v>435.88854471357678</v>
      </c>
      <c r="K36" s="459"/>
      <c r="L36" s="460"/>
      <c r="M36" s="417"/>
    </row>
    <row r="37" spans="1:13" ht="15" customHeight="1">
      <c r="A37" s="325"/>
      <c r="B37" s="326" t="s">
        <v>1594</v>
      </c>
      <c r="D37" s="326" t="s">
        <v>1594</v>
      </c>
      <c r="E37" s="359">
        <v>113010</v>
      </c>
      <c r="F37" s="334" t="s">
        <v>5371</v>
      </c>
      <c r="G37" s="327" t="s">
        <v>7705</v>
      </c>
      <c r="H37" s="328" t="s">
        <v>5372</v>
      </c>
      <c r="I37" s="378">
        <v>15164</v>
      </c>
      <c r="J37" s="379">
        <v>0</v>
      </c>
      <c r="K37" s="459"/>
      <c r="L37" s="460"/>
      <c r="M37" s="417"/>
    </row>
    <row r="38" spans="1:13" ht="15" customHeight="1">
      <c r="A38" s="325"/>
      <c r="B38" s="326" t="s">
        <v>1594</v>
      </c>
      <c r="D38" s="326" t="s">
        <v>1594</v>
      </c>
      <c r="E38" s="359">
        <v>113010</v>
      </c>
      <c r="F38" s="334" t="s">
        <v>5373</v>
      </c>
      <c r="G38" s="327" t="s">
        <v>7706</v>
      </c>
      <c r="H38" s="333" t="s">
        <v>5374</v>
      </c>
      <c r="I38" s="378">
        <v>18785</v>
      </c>
      <c r="J38" s="379">
        <v>384.49843260188089</v>
      </c>
      <c r="K38" s="459"/>
      <c r="L38" s="460"/>
      <c r="M38" s="417"/>
    </row>
    <row r="39" spans="1:13" ht="15" customHeight="1">
      <c r="A39" s="325"/>
      <c r="B39" s="326" t="s">
        <v>1594</v>
      </c>
      <c r="D39" s="326" t="s">
        <v>1594</v>
      </c>
      <c r="E39" s="359">
        <v>113010</v>
      </c>
      <c r="F39" s="334" t="s">
        <v>5375</v>
      </c>
      <c r="G39" s="327" t="s">
        <v>7707</v>
      </c>
      <c r="H39" s="328" t="s">
        <v>5376</v>
      </c>
      <c r="I39" s="378"/>
      <c r="J39" s="379">
        <v>147</v>
      </c>
      <c r="K39" s="459"/>
      <c r="L39" s="460"/>
      <c r="M39" s="417"/>
    </row>
    <row r="40" spans="1:13" ht="15" customHeight="1">
      <c r="A40" s="325"/>
      <c r="B40" s="326" t="s">
        <v>1594</v>
      </c>
      <c r="D40" s="326" t="s">
        <v>1594</v>
      </c>
      <c r="E40" s="359">
        <v>113010</v>
      </c>
      <c r="F40" s="334" t="s">
        <v>5377</v>
      </c>
      <c r="G40" s="327" t="s">
        <v>7708</v>
      </c>
      <c r="H40" s="328" t="s">
        <v>5378</v>
      </c>
      <c r="I40" s="378"/>
      <c r="J40" s="379">
        <v>804</v>
      </c>
      <c r="K40" s="459"/>
      <c r="L40" s="460"/>
      <c r="M40" s="417"/>
    </row>
    <row r="41" spans="1:13" ht="15" customHeight="1">
      <c r="A41" s="325"/>
      <c r="B41" s="326" t="s">
        <v>1594</v>
      </c>
      <c r="D41" s="326" t="s">
        <v>1594</v>
      </c>
      <c r="E41" s="359">
        <v>113010</v>
      </c>
      <c r="F41" s="334" t="s">
        <v>5379</v>
      </c>
      <c r="G41" s="327" t="s">
        <v>7709</v>
      </c>
      <c r="H41" s="333" t="s">
        <v>5380</v>
      </c>
      <c r="I41" s="378">
        <v>23207</v>
      </c>
      <c r="J41" s="379">
        <v>223.65423586774341</v>
      </c>
      <c r="K41" s="459"/>
      <c r="L41" s="460"/>
      <c r="M41" s="417"/>
    </row>
    <row r="42" spans="1:13" ht="15" customHeight="1">
      <c r="A42" s="325"/>
      <c r="B42" s="326" t="s">
        <v>1594</v>
      </c>
      <c r="D42" s="326" t="s">
        <v>1594</v>
      </c>
      <c r="E42" s="359">
        <v>113010</v>
      </c>
      <c r="F42" s="334" t="s">
        <v>5381</v>
      </c>
      <c r="G42" s="327" t="s">
        <v>7710</v>
      </c>
      <c r="H42" s="328" t="s">
        <v>5382</v>
      </c>
      <c r="I42" s="378">
        <v>24697</v>
      </c>
      <c r="J42" s="379">
        <v>173.15272122091994</v>
      </c>
      <c r="K42" s="459"/>
      <c r="L42" s="460"/>
      <c r="M42" s="417"/>
    </row>
    <row r="43" spans="1:13" ht="15" customHeight="1">
      <c r="A43" s="325"/>
      <c r="B43" s="326" t="s">
        <v>1594</v>
      </c>
      <c r="D43" s="326" t="s">
        <v>1594</v>
      </c>
      <c r="E43" s="359">
        <v>113010</v>
      </c>
      <c r="F43" s="334" t="s">
        <v>5383</v>
      </c>
      <c r="G43" s="327" t="s">
        <v>7711</v>
      </c>
      <c r="H43" s="328" t="s">
        <v>5384</v>
      </c>
      <c r="I43" s="378"/>
      <c r="J43" s="379">
        <v>2052</v>
      </c>
      <c r="K43" s="459"/>
      <c r="L43" s="460"/>
      <c r="M43" s="417"/>
    </row>
    <row r="44" spans="1:13" ht="15" customHeight="1">
      <c r="A44" s="325"/>
      <c r="B44" s="326" t="s">
        <v>1594</v>
      </c>
      <c r="D44" s="326" t="s">
        <v>1594</v>
      </c>
      <c r="E44" s="359">
        <v>113010</v>
      </c>
      <c r="F44" s="334" t="s">
        <v>5385</v>
      </c>
      <c r="G44" s="327" t="s">
        <v>7712</v>
      </c>
      <c r="H44" s="328" t="s">
        <v>5386</v>
      </c>
      <c r="I44" s="378"/>
      <c r="J44" s="379">
        <v>1164</v>
      </c>
      <c r="K44" s="459"/>
      <c r="L44" s="460"/>
      <c r="M44" s="417"/>
    </row>
    <row r="45" spans="1:13" ht="15" customHeight="1">
      <c r="A45" s="325"/>
      <c r="B45" s="326" t="s">
        <v>1594</v>
      </c>
      <c r="D45" s="326" t="s">
        <v>1594</v>
      </c>
      <c r="E45" s="359">
        <v>113010</v>
      </c>
      <c r="F45" s="334" t="s">
        <v>5387</v>
      </c>
      <c r="G45" s="327" t="s">
        <v>7713</v>
      </c>
      <c r="H45" s="328" t="s">
        <v>5388</v>
      </c>
      <c r="I45" s="378">
        <v>76680</v>
      </c>
      <c r="J45" s="379">
        <v>1186.1039945649497</v>
      </c>
      <c r="K45" s="459"/>
      <c r="L45" s="460"/>
      <c r="M45" s="417"/>
    </row>
    <row r="46" spans="1:13" ht="15" customHeight="1">
      <c r="A46" s="325"/>
      <c r="B46" s="326" t="s">
        <v>1594</v>
      </c>
      <c r="D46" s="326" t="s">
        <v>1594</v>
      </c>
      <c r="E46" s="359">
        <v>113010</v>
      </c>
      <c r="F46" s="334" t="s">
        <v>5389</v>
      </c>
      <c r="G46" s="327" t="s">
        <v>7714</v>
      </c>
      <c r="H46" s="328" t="s">
        <v>5390</v>
      </c>
      <c r="I46" s="378">
        <v>141650</v>
      </c>
      <c r="J46" s="379">
        <v>1998.7272411553229</v>
      </c>
      <c r="K46" s="459"/>
      <c r="L46" s="460"/>
      <c r="M46" s="417"/>
    </row>
    <row r="47" spans="1:13" ht="15" customHeight="1">
      <c r="A47" s="325"/>
      <c r="B47" s="326" t="s">
        <v>1594</v>
      </c>
      <c r="D47" s="326" t="s">
        <v>1594</v>
      </c>
      <c r="E47" s="359">
        <v>113010</v>
      </c>
      <c r="F47" s="334" t="s">
        <v>5391</v>
      </c>
      <c r="G47" s="327" t="s">
        <v>7715</v>
      </c>
      <c r="H47" s="328" t="s">
        <v>5392</v>
      </c>
      <c r="I47" s="378"/>
      <c r="J47" s="379">
        <v>12554</v>
      </c>
      <c r="K47" s="459"/>
      <c r="L47" s="460"/>
      <c r="M47" s="417"/>
    </row>
    <row r="48" spans="1:13" ht="15" customHeight="1">
      <c r="A48" s="325"/>
      <c r="B48" s="326" t="s">
        <v>1594</v>
      </c>
      <c r="D48" s="326" t="s">
        <v>1594</v>
      </c>
      <c r="E48" s="359">
        <v>113010</v>
      </c>
      <c r="F48" s="334" t="s">
        <v>5393</v>
      </c>
      <c r="G48" s="327" t="s">
        <v>7716</v>
      </c>
      <c r="H48" s="328" t="s">
        <v>5394</v>
      </c>
      <c r="I48" s="378">
        <v>11618</v>
      </c>
      <c r="J48" s="379">
        <v>39.218750995191236</v>
      </c>
      <c r="K48" s="459"/>
      <c r="L48" s="460"/>
      <c r="M48" s="417"/>
    </row>
    <row r="49" spans="1:13" ht="15" customHeight="1">
      <c r="A49" s="325"/>
      <c r="B49" s="326" t="s">
        <v>1594</v>
      </c>
      <c r="D49" s="326" t="s">
        <v>1594</v>
      </c>
      <c r="E49" s="359">
        <v>113010</v>
      </c>
      <c r="F49" s="334" t="s">
        <v>5395</v>
      </c>
      <c r="G49" s="327" t="s">
        <v>7717</v>
      </c>
      <c r="H49" s="328" t="s">
        <v>5396</v>
      </c>
      <c r="I49" s="378">
        <v>1608</v>
      </c>
      <c r="J49" s="379">
        <v>7.3683468452590768</v>
      </c>
      <c r="K49" s="459"/>
      <c r="L49" s="460"/>
      <c r="M49" s="417"/>
    </row>
    <row r="50" spans="1:13" ht="15" customHeight="1">
      <c r="A50" s="325"/>
      <c r="B50" s="326" t="s">
        <v>1594</v>
      </c>
      <c r="D50" s="326" t="s">
        <v>1594</v>
      </c>
      <c r="E50" s="359">
        <v>113010</v>
      </c>
      <c r="F50" s="334" t="s">
        <v>5397</v>
      </c>
      <c r="G50" s="327" t="s">
        <v>7718</v>
      </c>
      <c r="H50" s="328" t="s">
        <v>5398</v>
      </c>
      <c r="I50" s="378">
        <v>9480</v>
      </c>
      <c r="J50" s="379">
        <v>562.34601752156755</v>
      </c>
      <c r="K50" s="459"/>
      <c r="L50" s="460"/>
      <c r="M50" s="417"/>
    </row>
    <row r="51" spans="1:13" ht="15" customHeight="1">
      <c r="A51" s="325"/>
      <c r="B51" s="326" t="s">
        <v>1594</v>
      </c>
      <c r="D51" s="326" t="s">
        <v>1594</v>
      </c>
      <c r="E51" s="359">
        <v>113010</v>
      </c>
      <c r="F51" s="334" t="s">
        <v>5399</v>
      </c>
      <c r="G51" s="327" t="s">
        <v>7719</v>
      </c>
      <c r="H51" s="328" t="s">
        <v>5400</v>
      </c>
      <c r="I51" s="378"/>
      <c r="J51" s="379">
        <v>25</v>
      </c>
      <c r="K51" s="459"/>
      <c r="L51" s="460"/>
      <c r="M51" s="417"/>
    </row>
    <row r="52" spans="1:13" ht="15" customHeight="1">
      <c r="A52" s="325"/>
      <c r="B52" s="326" t="s">
        <v>1594</v>
      </c>
      <c r="D52" s="326" t="s">
        <v>1594</v>
      </c>
      <c r="E52" s="359">
        <v>113010</v>
      </c>
      <c r="F52" s="334" t="s">
        <v>5401</v>
      </c>
      <c r="G52" s="327" t="s">
        <v>7720</v>
      </c>
      <c r="H52" s="328" t="s">
        <v>5402</v>
      </c>
      <c r="I52" s="378">
        <v>95979</v>
      </c>
      <c r="J52" s="379">
        <v>5812.2561800729582</v>
      </c>
      <c r="K52" s="459"/>
      <c r="L52" s="460"/>
      <c r="M52" s="417"/>
    </row>
    <row r="53" spans="1:13" ht="15" customHeight="1">
      <c r="A53" s="325"/>
      <c r="B53" s="326" t="s">
        <v>1594</v>
      </c>
      <c r="D53" s="326" t="s">
        <v>1594</v>
      </c>
      <c r="E53" s="359">
        <v>113010</v>
      </c>
      <c r="F53" s="334" t="s">
        <v>5403</v>
      </c>
      <c r="G53" s="327" t="s">
        <v>7721</v>
      </c>
      <c r="H53" s="328" t="s">
        <v>5404</v>
      </c>
      <c r="I53" s="378">
        <v>3175</v>
      </c>
      <c r="J53" s="379">
        <v>4.0950128976784175</v>
      </c>
      <c r="K53" s="459"/>
      <c r="L53" s="460"/>
      <c r="M53" s="417"/>
    </row>
    <row r="54" spans="1:13" ht="15" customHeight="1">
      <c r="A54" s="325"/>
      <c r="B54" s="326" t="s">
        <v>1594</v>
      </c>
      <c r="D54" s="326" t="s">
        <v>1594</v>
      </c>
      <c r="E54" s="359">
        <v>113010</v>
      </c>
      <c r="F54" s="334" t="s">
        <v>5405</v>
      </c>
      <c r="G54" s="327" t="s">
        <v>7722</v>
      </c>
      <c r="H54" s="328" t="s">
        <v>5406</v>
      </c>
      <c r="I54" s="378"/>
      <c r="J54" s="379">
        <v>29</v>
      </c>
      <c r="K54" s="459"/>
      <c r="L54" s="460"/>
      <c r="M54" s="417"/>
    </row>
    <row r="55" spans="1:13" ht="15" customHeight="1">
      <c r="A55" s="325"/>
      <c r="B55" s="326" t="s">
        <v>1594</v>
      </c>
      <c r="D55" s="326" t="s">
        <v>1594</v>
      </c>
      <c r="E55" s="359">
        <v>113010</v>
      </c>
      <c r="F55" s="334" t="s">
        <v>5407</v>
      </c>
      <c r="G55" s="327" t="s">
        <v>7723</v>
      </c>
      <c r="H55" s="328" t="s">
        <v>5408</v>
      </c>
      <c r="I55" s="378"/>
      <c r="J55" s="379">
        <v>376</v>
      </c>
      <c r="K55" s="459"/>
      <c r="L55" s="460"/>
      <c r="M55" s="417"/>
    </row>
    <row r="56" spans="1:13" ht="15" customHeight="1">
      <c r="A56" s="325"/>
      <c r="D56" s="326"/>
      <c r="E56" s="359">
        <v>113010</v>
      </c>
      <c r="F56" s="334" t="s">
        <v>5409</v>
      </c>
      <c r="G56" s="327" t="s">
        <v>7724</v>
      </c>
      <c r="H56" s="328" t="s">
        <v>5410</v>
      </c>
      <c r="I56" s="378">
        <v>20722</v>
      </c>
      <c r="J56" s="379">
        <v>508.03827631496654</v>
      </c>
      <c r="K56" s="459"/>
      <c r="L56" s="460"/>
      <c r="M56" s="417"/>
    </row>
    <row r="57" spans="1:13" ht="15" customHeight="1">
      <c r="A57" s="325"/>
      <c r="B57" s="326" t="s">
        <v>1594</v>
      </c>
      <c r="D57" s="326" t="s">
        <v>1594</v>
      </c>
      <c r="E57" s="359">
        <v>113010</v>
      </c>
      <c r="F57" s="334" t="s">
        <v>5411</v>
      </c>
      <c r="G57" s="327" t="s">
        <v>7725</v>
      </c>
      <c r="H57" s="328" t="s">
        <v>5412</v>
      </c>
      <c r="I57" s="378">
        <v>13093</v>
      </c>
      <c r="J57" s="379">
        <v>11.960718635809988</v>
      </c>
      <c r="K57" s="459"/>
      <c r="L57" s="460"/>
      <c r="M57" s="417"/>
    </row>
    <row r="58" spans="1:13" ht="15" customHeight="1">
      <c r="A58" s="325"/>
      <c r="D58" s="326"/>
      <c r="E58" s="359">
        <v>113010</v>
      </c>
      <c r="F58" s="334" t="s">
        <v>5413</v>
      </c>
      <c r="G58" s="327" t="s">
        <v>7726</v>
      </c>
      <c r="H58" s="328" t="s">
        <v>5414</v>
      </c>
      <c r="I58" s="378">
        <v>1113</v>
      </c>
      <c r="J58" s="379">
        <v>11.975546136289534</v>
      </c>
      <c r="K58" s="459"/>
      <c r="L58" s="460"/>
      <c r="M58" s="417"/>
    </row>
    <row r="59" spans="1:13" ht="15" customHeight="1">
      <c r="A59" s="325"/>
      <c r="B59" s="326" t="s">
        <v>1594</v>
      </c>
      <c r="D59" s="326" t="s">
        <v>1594</v>
      </c>
      <c r="E59" s="359">
        <v>113010</v>
      </c>
      <c r="F59" s="334" t="s">
        <v>5415</v>
      </c>
      <c r="G59" s="327" t="s">
        <v>7727</v>
      </c>
      <c r="H59" s="328" t="s">
        <v>5416</v>
      </c>
      <c r="I59" s="378"/>
      <c r="J59" s="379">
        <v>0</v>
      </c>
      <c r="K59" s="459"/>
      <c r="L59" s="460"/>
      <c r="M59" s="417"/>
    </row>
    <row r="60" spans="1:13" ht="15" customHeight="1">
      <c r="A60" s="325"/>
      <c r="D60" s="326"/>
      <c r="E60" s="359">
        <v>113010</v>
      </c>
      <c r="F60" s="334" t="s">
        <v>5417</v>
      </c>
      <c r="G60" s="327" t="s">
        <v>7728</v>
      </c>
      <c r="H60" s="328" t="s">
        <v>5418</v>
      </c>
      <c r="I60" s="378">
        <v>4653</v>
      </c>
      <c r="J60" s="379">
        <v>115.5950313762572</v>
      </c>
      <c r="K60" s="459"/>
      <c r="L60" s="460"/>
      <c r="M60" s="417"/>
    </row>
    <row r="61" spans="1:13" s="327" customFormat="1" ht="15" customHeight="1">
      <c r="A61" s="325"/>
      <c r="B61" s="326" t="s">
        <v>1594</v>
      </c>
      <c r="D61" s="326" t="s">
        <v>1594</v>
      </c>
      <c r="E61" s="359">
        <v>113010</v>
      </c>
      <c r="F61" s="334" t="s">
        <v>5419</v>
      </c>
      <c r="G61" s="327" t="s">
        <v>7729</v>
      </c>
      <c r="H61" s="328" t="s">
        <v>5420</v>
      </c>
      <c r="I61" s="378">
        <v>94515</v>
      </c>
      <c r="J61" s="379">
        <v>712.22346971392039</v>
      </c>
      <c r="K61" s="461"/>
      <c r="L61" s="462"/>
      <c r="M61" s="328"/>
    </row>
    <row r="62" spans="1:13" ht="15" customHeight="1">
      <c r="A62" s="325"/>
      <c r="B62" s="326" t="s">
        <v>1594</v>
      </c>
      <c r="D62" s="326" t="s">
        <v>1594</v>
      </c>
      <c r="E62" s="359">
        <v>113010</v>
      </c>
      <c r="F62" s="334" t="s">
        <v>5421</v>
      </c>
      <c r="G62" s="327" t="s">
        <v>7730</v>
      </c>
      <c r="H62" s="328" t="s">
        <v>5422</v>
      </c>
      <c r="I62" s="378"/>
      <c r="J62" s="379">
        <v>810</v>
      </c>
      <c r="K62" s="459"/>
      <c r="L62" s="460"/>
      <c r="M62" s="417"/>
    </row>
    <row r="63" spans="1:13" ht="15" customHeight="1">
      <c r="A63" s="325"/>
      <c r="B63" s="326" t="s">
        <v>1594</v>
      </c>
      <c r="D63" s="326" t="s">
        <v>1594</v>
      </c>
      <c r="E63" s="359">
        <v>113010</v>
      </c>
      <c r="F63" s="334" t="s">
        <v>5423</v>
      </c>
      <c r="G63" s="327" t="s">
        <v>7731</v>
      </c>
      <c r="H63" s="328" t="s">
        <v>5424</v>
      </c>
      <c r="I63" s="378"/>
      <c r="J63" s="379">
        <v>146</v>
      </c>
      <c r="K63" s="459"/>
      <c r="L63" s="460"/>
      <c r="M63" s="417"/>
    </row>
    <row r="64" spans="1:13" ht="15" customHeight="1">
      <c r="A64" s="325"/>
      <c r="B64" s="326" t="s">
        <v>1594</v>
      </c>
      <c r="D64" s="326" t="s">
        <v>1594</v>
      </c>
      <c r="E64" s="359">
        <v>113010</v>
      </c>
      <c r="F64" s="334" t="s">
        <v>5425</v>
      </c>
      <c r="G64" s="327" t="s">
        <v>7732</v>
      </c>
      <c r="H64" s="328" t="s">
        <v>5426</v>
      </c>
      <c r="I64" s="378"/>
      <c r="J64" s="379">
        <v>439</v>
      </c>
      <c r="K64" s="459"/>
      <c r="L64" s="460"/>
      <c r="M64" s="417"/>
    </row>
    <row r="65" spans="1:13" ht="15" customHeight="1">
      <c r="A65" s="325"/>
      <c r="B65" s="326" t="s">
        <v>1594</v>
      </c>
      <c r="D65" s="326" t="s">
        <v>1594</v>
      </c>
      <c r="E65" s="359">
        <v>113010</v>
      </c>
      <c r="F65" s="334" t="s">
        <v>5427</v>
      </c>
      <c r="G65" s="327" t="s">
        <v>7733</v>
      </c>
      <c r="H65" s="328" t="s">
        <v>5428</v>
      </c>
      <c r="I65" s="378"/>
      <c r="J65" s="379">
        <v>43</v>
      </c>
      <c r="K65" s="459"/>
      <c r="L65" s="460"/>
      <c r="M65" s="417"/>
    </row>
    <row r="66" spans="1:13" ht="15" customHeight="1">
      <c r="A66" s="325"/>
      <c r="B66" s="326" t="s">
        <v>1594</v>
      </c>
      <c r="D66" s="326" t="s">
        <v>1594</v>
      </c>
      <c r="E66" s="359">
        <v>113010</v>
      </c>
      <c r="F66" s="334" t="s">
        <v>5429</v>
      </c>
      <c r="G66" s="327" t="s">
        <v>7734</v>
      </c>
      <c r="H66" s="328" t="s">
        <v>5430</v>
      </c>
      <c r="I66" s="378"/>
      <c r="J66" s="379">
        <v>388</v>
      </c>
      <c r="K66" s="459"/>
      <c r="L66" s="460"/>
      <c r="M66" s="417"/>
    </row>
    <row r="67" spans="1:13" ht="15" customHeight="1">
      <c r="A67" s="325"/>
      <c r="B67" s="326" t="s">
        <v>1594</v>
      </c>
      <c r="D67" s="326" t="s">
        <v>1594</v>
      </c>
      <c r="E67" s="359">
        <v>113010</v>
      </c>
      <c r="F67" s="334" t="s">
        <v>5431</v>
      </c>
      <c r="G67" s="327" t="s">
        <v>7735</v>
      </c>
      <c r="H67" s="328" t="s">
        <v>5432</v>
      </c>
      <c r="I67" s="378"/>
      <c r="J67" s="379">
        <v>570</v>
      </c>
      <c r="K67" s="459"/>
      <c r="L67" s="460"/>
      <c r="M67" s="417"/>
    </row>
    <row r="68" spans="1:13" ht="15" customHeight="1">
      <c r="A68" s="325"/>
      <c r="B68" s="326" t="s">
        <v>1594</v>
      </c>
      <c r="D68" s="326" t="s">
        <v>1594</v>
      </c>
      <c r="E68" s="359">
        <v>113010</v>
      </c>
      <c r="F68" s="334" t="s">
        <v>5433</v>
      </c>
      <c r="G68" s="327" t="s">
        <v>7736</v>
      </c>
      <c r="H68" s="328" t="s">
        <v>5434</v>
      </c>
      <c r="I68" s="378"/>
      <c r="J68" s="379">
        <v>250</v>
      </c>
      <c r="K68" s="459"/>
      <c r="L68" s="460"/>
      <c r="M68" s="417"/>
    </row>
    <row r="69" spans="1:13" ht="15" customHeight="1">
      <c r="A69" s="325"/>
      <c r="B69" s="326" t="s">
        <v>1594</v>
      </c>
      <c r="D69" s="326" t="s">
        <v>1594</v>
      </c>
      <c r="E69" s="359">
        <v>113010</v>
      </c>
      <c r="F69" s="334" t="s">
        <v>5435</v>
      </c>
      <c r="G69" s="327" t="s">
        <v>7737</v>
      </c>
      <c r="H69" s="328" t="s">
        <v>5436</v>
      </c>
      <c r="I69" s="378"/>
      <c r="J69" s="379">
        <v>17</v>
      </c>
      <c r="K69" s="459"/>
      <c r="L69" s="460"/>
      <c r="M69" s="417"/>
    </row>
    <row r="70" spans="1:13" s="327" customFormat="1" ht="15" customHeight="1">
      <c r="A70" s="325"/>
      <c r="B70" s="326" t="s">
        <v>1594</v>
      </c>
      <c r="D70" s="326" t="s">
        <v>1594</v>
      </c>
      <c r="E70" s="359">
        <v>113010</v>
      </c>
      <c r="F70" s="334" t="s">
        <v>5437</v>
      </c>
      <c r="G70" s="327" t="s">
        <v>7738</v>
      </c>
      <c r="H70" s="328" t="s">
        <v>5438</v>
      </c>
      <c r="I70" s="378"/>
      <c r="J70" s="379">
        <v>6</v>
      </c>
      <c r="K70" s="461"/>
      <c r="L70" s="462"/>
      <c r="M70" s="328"/>
    </row>
    <row r="71" spans="1:13" ht="15" customHeight="1">
      <c r="A71" s="325" t="s">
        <v>5439</v>
      </c>
      <c r="B71" s="326" t="s">
        <v>860</v>
      </c>
      <c r="D71" s="326">
        <v>113020</v>
      </c>
      <c r="E71" s="359">
        <v>113020</v>
      </c>
      <c r="G71" s="327" t="s">
        <v>1594</v>
      </c>
      <c r="H71" s="328" t="s">
        <v>5440</v>
      </c>
      <c r="I71" s="378"/>
      <c r="J71" s="379">
        <v>9173</v>
      </c>
      <c r="K71" s="459"/>
      <c r="L71" s="460"/>
      <c r="M71" s="417"/>
    </row>
    <row r="72" spans="1:13" ht="15" customHeight="1">
      <c r="A72" s="325"/>
      <c r="B72" s="326" t="s">
        <v>1594</v>
      </c>
      <c r="D72" s="326" t="s">
        <v>1594</v>
      </c>
      <c r="E72" s="359">
        <v>113020</v>
      </c>
      <c r="F72" s="334" t="s">
        <v>575</v>
      </c>
      <c r="G72" s="327" t="s">
        <v>7739</v>
      </c>
      <c r="H72" s="328" t="s">
        <v>5441</v>
      </c>
      <c r="I72" s="378">
        <v>619</v>
      </c>
      <c r="J72" s="379">
        <v>5.0616354234001291</v>
      </c>
      <c r="K72" s="459"/>
      <c r="L72" s="460"/>
      <c r="M72" s="417"/>
    </row>
    <row r="73" spans="1:13" ht="15" customHeight="1">
      <c r="A73" s="325"/>
      <c r="B73" s="326" t="s">
        <v>1594</v>
      </c>
      <c r="D73" s="326" t="s">
        <v>1594</v>
      </c>
      <c r="E73" s="359">
        <v>113020</v>
      </c>
      <c r="F73" s="334" t="s">
        <v>5359</v>
      </c>
      <c r="G73" s="327" t="s">
        <v>7740</v>
      </c>
      <c r="H73" s="328" t="s">
        <v>5442</v>
      </c>
      <c r="I73" s="378">
        <v>37405</v>
      </c>
      <c r="J73" s="379">
        <v>406.91209458433826</v>
      </c>
      <c r="K73" s="459"/>
      <c r="L73" s="460"/>
      <c r="M73" s="417"/>
    </row>
    <row r="74" spans="1:13" ht="15" customHeight="1">
      <c r="A74" s="325"/>
      <c r="B74" s="326" t="s">
        <v>1594</v>
      </c>
      <c r="D74" s="326" t="s">
        <v>1594</v>
      </c>
      <c r="E74" s="359">
        <v>113020</v>
      </c>
      <c r="F74" s="334" t="s">
        <v>5361</v>
      </c>
      <c r="G74" s="327" t="s">
        <v>7741</v>
      </c>
      <c r="H74" s="328" t="s">
        <v>5443</v>
      </c>
      <c r="I74" s="378">
        <v>94583</v>
      </c>
      <c r="J74" s="379">
        <v>439.16088975272646</v>
      </c>
      <c r="K74" s="459"/>
      <c r="L74" s="460"/>
      <c r="M74" s="417"/>
    </row>
    <row r="75" spans="1:13" ht="15" customHeight="1">
      <c r="A75" s="325"/>
      <c r="B75" s="326" t="s">
        <v>1594</v>
      </c>
      <c r="D75" s="326" t="s">
        <v>1594</v>
      </c>
      <c r="E75" s="359">
        <v>113020</v>
      </c>
      <c r="F75" s="334" t="s">
        <v>5363</v>
      </c>
      <c r="G75" s="327" t="s">
        <v>7742</v>
      </c>
      <c r="H75" s="328" t="s">
        <v>5444</v>
      </c>
      <c r="I75" s="378">
        <v>34028</v>
      </c>
      <c r="J75" s="379">
        <v>80.693322444877197</v>
      </c>
      <c r="K75" s="459"/>
      <c r="L75" s="460"/>
      <c r="M75" s="417"/>
    </row>
    <row r="76" spans="1:13" ht="15" customHeight="1">
      <c r="A76" s="325"/>
      <c r="B76" s="326" t="s">
        <v>1594</v>
      </c>
      <c r="D76" s="326" t="s">
        <v>1594</v>
      </c>
      <c r="E76" s="359">
        <v>113020</v>
      </c>
      <c r="F76" s="334" t="s">
        <v>5365</v>
      </c>
      <c r="G76" s="327" t="s">
        <v>7743</v>
      </c>
      <c r="H76" s="328" t="s">
        <v>5445</v>
      </c>
      <c r="I76" s="378">
        <v>21621</v>
      </c>
      <c r="J76" s="379">
        <v>124.2102629676989</v>
      </c>
      <c r="K76" s="459"/>
      <c r="L76" s="460"/>
      <c r="M76" s="417"/>
    </row>
    <row r="77" spans="1:13" ht="15" customHeight="1">
      <c r="A77" s="325"/>
      <c r="B77" s="326" t="s">
        <v>1594</v>
      </c>
      <c r="D77" s="326" t="s">
        <v>1594</v>
      </c>
      <c r="E77" s="359">
        <v>113020</v>
      </c>
      <c r="F77" s="334" t="s">
        <v>5367</v>
      </c>
      <c r="G77" s="327" t="s">
        <v>7744</v>
      </c>
      <c r="H77" s="328" t="s">
        <v>5446</v>
      </c>
      <c r="I77" s="378">
        <v>37783</v>
      </c>
      <c r="J77" s="379">
        <v>192.59392836556393</v>
      </c>
      <c r="K77" s="459"/>
      <c r="L77" s="460"/>
      <c r="M77" s="417"/>
    </row>
    <row r="78" spans="1:13" ht="15" customHeight="1">
      <c r="A78" s="325"/>
      <c r="B78" s="326" t="s">
        <v>1594</v>
      </c>
      <c r="D78" s="326" t="s">
        <v>1594</v>
      </c>
      <c r="E78" s="359">
        <v>113020</v>
      </c>
      <c r="F78" s="334" t="s">
        <v>5369</v>
      </c>
      <c r="G78" s="327" t="s">
        <v>7745</v>
      </c>
      <c r="H78" s="328" t="s">
        <v>5447</v>
      </c>
      <c r="I78" s="378">
        <v>185214</v>
      </c>
      <c r="J78" s="379">
        <v>1387.1114552864233</v>
      </c>
      <c r="K78" s="459"/>
      <c r="L78" s="460"/>
      <c r="M78" s="417"/>
    </row>
    <row r="79" spans="1:13" ht="15" customHeight="1">
      <c r="A79" s="325"/>
      <c r="B79" s="326" t="s">
        <v>1594</v>
      </c>
      <c r="D79" s="326" t="s">
        <v>1594</v>
      </c>
      <c r="E79" s="359">
        <v>113020</v>
      </c>
      <c r="F79" s="334" t="s">
        <v>5371</v>
      </c>
      <c r="G79" s="327" t="s">
        <v>7746</v>
      </c>
      <c r="H79" s="328" t="s">
        <v>5448</v>
      </c>
      <c r="I79" s="378">
        <v>154807</v>
      </c>
      <c r="J79" s="379">
        <v>1658</v>
      </c>
      <c r="K79" s="459"/>
      <c r="L79" s="460"/>
      <c r="M79" s="417"/>
    </row>
    <row r="80" spans="1:13" ht="15" customHeight="1">
      <c r="A80" s="325"/>
      <c r="D80" s="326"/>
      <c r="E80" s="359">
        <v>113020</v>
      </c>
      <c r="F80" s="334" t="s">
        <v>5449</v>
      </c>
      <c r="G80" s="327" t="s">
        <v>7747</v>
      </c>
      <c r="H80" s="328" t="s">
        <v>5450</v>
      </c>
      <c r="I80" s="378">
        <v>2907</v>
      </c>
      <c r="J80" s="379">
        <v>59.501567398119121</v>
      </c>
      <c r="K80" s="459"/>
      <c r="L80" s="460"/>
      <c r="M80" s="417"/>
    </row>
    <row r="81" spans="1:13" ht="15" customHeight="1">
      <c r="A81" s="325"/>
      <c r="D81" s="326"/>
      <c r="E81" s="359">
        <v>113020</v>
      </c>
      <c r="F81" s="334" t="s">
        <v>5451</v>
      </c>
      <c r="G81" s="327" t="s">
        <v>7748</v>
      </c>
      <c r="H81" s="328" t="s">
        <v>5452</v>
      </c>
      <c r="I81" s="378">
        <v>3045</v>
      </c>
      <c r="J81" s="379">
        <v>29.345764132256591</v>
      </c>
      <c r="K81" s="459"/>
      <c r="L81" s="460"/>
      <c r="M81" s="417"/>
    </row>
    <row r="82" spans="1:13" ht="15" customHeight="1">
      <c r="A82" s="325"/>
      <c r="D82" s="326"/>
      <c r="E82" s="359">
        <v>113020</v>
      </c>
      <c r="F82" s="334" t="s">
        <v>5453</v>
      </c>
      <c r="G82" s="327" t="s">
        <v>7749</v>
      </c>
      <c r="H82" s="328" t="s">
        <v>5454</v>
      </c>
      <c r="I82" s="378">
        <v>3544</v>
      </c>
      <c r="J82" s="379">
        <v>24.84727877908006</v>
      </c>
      <c r="K82" s="459"/>
      <c r="L82" s="460"/>
      <c r="M82" s="417"/>
    </row>
    <row r="83" spans="1:13" ht="15" customHeight="1">
      <c r="A83" s="325"/>
      <c r="D83" s="326"/>
      <c r="E83" s="359">
        <v>113020</v>
      </c>
      <c r="F83" s="334" t="s">
        <v>5455</v>
      </c>
      <c r="G83" s="327" t="s">
        <v>7750</v>
      </c>
      <c r="H83" s="328" t="s">
        <v>5456</v>
      </c>
      <c r="I83" s="378">
        <v>24883</v>
      </c>
      <c r="J83" s="379">
        <v>384.89600543505014</v>
      </c>
      <c r="K83" s="459"/>
      <c r="L83" s="460"/>
      <c r="M83" s="417"/>
    </row>
    <row r="84" spans="1:13" ht="15" customHeight="1">
      <c r="A84" s="325"/>
      <c r="D84" s="326"/>
      <c r="E84" s="359">
        <v>113020</v>
      </c>
      <c r="F84" s="334" t="s">
        <v>5457</v>
      </c>
      <c r="G84" s="327" t="s">
        <v>7751</v>
      </c>
      <c r="H84" s="328" t="s">
        <v>5458</v>
      </c>
      <c r="I84" s="378">
        <v>13839</v>
      </c>
      <c r="J84" s="379">
        <v>195.27275884467713</v>
      </c>
      <c r="K84" s="459"/>
      <c r="L84" s="460"/>
      <c r="M84" s="417"/>
    </row>
    <row r="85" spans="1:13" ht="15" customHeight="1">
      <c r="A85" s="325"/>
      <c r="D85" s="326"/>
      <c r="E85" s="359">
        <v>113020</v>
      </c>
      <c r="F85" s="334" t="s">
        <v>5387</v>
      </c>
      <c r="G85" s="327" t="s">
        <v>7752</v>
      </c>
      <c r="H85" s="328" t="s">
        <v>5459</v>
      </c>
      <c r="I85" s="378">
        <v>19783</v>
      </c>
      <c r="J85" s="379">
        <v>66.781249004808771</v>
      </c>
      <c r="K85" s="459"/>
      <c r="L85" s="460"/>
      <c r="M85" s="417"/>
    </row>
    <row r="86" spans="1:13" ht="15" customHeight="1">
      <c r="A86" s="325"/>
      <c r="D86" s="326"/>
      <c r="E86" s="359">
        <v>113020</v>
      </c>
      <c r="F86" s="334" t="s">
        <v>5389</v>
      </c>
      <c r="G86" s="327" t="s">
        <v>7753</v>
      </c>
      <c r="H86" s="328" t="s">
        <v>5460</v>
      </c>
      <c r="I86" s="378">
        <v>6903</v>
      </c>
      <c r="J86" s="379">
        <v>31.631653154740924</v>
      </c>
      <c r="K86" s="459"/>
      <c r="L86" s="460"/>
      <c r="M86" s="417"/>
    </row>
    <row r="87" spans="1:13" ht="15" customHeight="1">
      <c r="A87" s="325"/>
      <c r="D87" s="326"/>
      <c r="E87" s="359">
        <v>113020</v>
      </c>
      <c r="F87" s="334" t="s">
        <v>5391</v>
      </c>
      <c r="G87" s="327" t="s">
        <v>7754</v>
      </c>
      <c r="H87" s="328" t="s">
        <v>5461</v>
      </c>
      <c r="I87" s="378">
        <v>5473</v>
      </c>
      <c r="J87" s="379">
        <v>324.6539824784324</v>
      </c>
      <c r="K87" s="459"/>
      <c r="L87" s="460"/>
      <c r="M87" s="417"/>
    </row>
    <row r="88" spans="1:13" ht="15" customHeight="1">
      <c r="A88" s="325"/>
      <c r="B88" s="326" t="s">
        <v>1594</v>
      </c>
      <c r="D88" s="326" t="s">
        <v>1594</v>
      </c>
      <c r="E88" s="359">
        <v>113020</v>
      </c>
      <c r="F88" s="334" t="s">
        <v>5393</v>
      </c>
      <c r="G88" s="327" t="s">
        <v>7755</v>
      </c>
      <c r="H88" s="328" t="s">
        <v>5462</v>
      </c>
      <c r="I88" s="378">
        <v>2159</v>
      </c>
      <c r="J88" s="379">
        <v>130.7438199270415</v>
      </c>
      <c r="K88" s="459"/>
      <c r="L88" s="460"/>
      <c r="M88" s="417"/>
    </row>
    <row r="89" spans="1:13" ht="15" customHeight="1">
      <c r="A89" s="325"/>
      <c r="D89" s="326"/>
      <c r="E89" s="359">
        <v>113020</v>
      </c>
      <c r="F89" s="334" t="s">
        <v>5463</v>
      </c>
      <c r="G89" s="327" t="s">
        <v>7756</v>
      </c>
      <c r="H89" s="328" t="s">
        <v>5464</v>
      </c>
      <c r="I89" s="378">
        <v>3803</v>
      </c>
      <c r="J89" s="379">
        <v>4.9049871023215825</v>
      </c>
      <c r="K89" s="459"/>
      <c r="L89" s="460"/>
      <c r="M89" s="417"/>
    </row>
    <row r="90" spans="1:13" ht="15" customHeight="1">
      <c r="A90" s="325"/>
      <c r="D90" s="326"/>
      <c r="E90" s="359">
        <v>113020</v>
      </c>
      <c r="F90" s="334" t="s">
        <v>5465</v>
      </c>
      <c r="G90" s="327" t="s">
        <v>7757</v>
      </c>
      <c r="H90" s="328" t="s">
        <v>5466</v>
      </c>
      <c r="I90" s="378">
        <v>11256</v>
      </c>
      <c r="J90" s="379">
        <v>275.96172368503346</v>
      </c>
      <c r="K90" s="459"/>
      <c r="L90" s="460"/>
      <c r="M90" s="417"/>
    </row>
    <row r="91" spans="1:13" ht="15" customHeight="1">
      <c r="A91" s="325"/>
      <c r="D91" s="326"/>
      <c r="E91" s="359">
        <v>113020</v>
      </c>
      <c r="F91" s="334" t="s">
        <v>5467</v>
      </c>
      <c r="G91" s="327" t="s">
        <v>7758</v>
      </c>
      <c r="H91" s="328" t="s">
        <v>5468</v>
      </c>
      <c r="I91" s="378">
        <v>16463</v>
      </c>
      <c r="J91" s="379">
        <v>15.039281364190012</v>
      </c>
      <c r="K91" s="459"/>
      <c r="L91" s="460"/>
      <c r="M91" s="417"/>
    </row>
    <row r="92" spans="1:13" ht="15" customHeight="1">
      <c r="A92" s="325"/>
      <c r="D92" s="326"/>
      <c r="E92" s="359">
        <v>113020</v>
      </c>
      <c r="F92" s="334" t="s">
        <v>5469</v>
      </c>
      <c r="G92" s="327" t="s">
        <v>7759</v>
      </c>
      <c r="H92" s="328" t="s">
        <v>5470</v>
      </c>
      <c r="I92" s="378">
        <v>1954</v>
      </c>
      <c r="J92" s="379">
        <v>21.024453863710466</v>
      </c>
      <c r="K92" s="459"/>
      <c r="L92" s="460"/>
      <c r="M92" s="417"/>
    </row>
    <row r="93" spans="1:13" ht="15" customHeight="1">
      <c r="A93" s="325"/>
      <c r="D93" s="326"/>
      <c r="E93" s="359">
        <v>113020</v>
      </c>
      <c r="F93" s="334" t="s">
        <v>5471</v>
      </c>
      <c r="G93" s="327" t="s">
        <v>7760</v>
      </c>
      <c r="H93" s="328" t="s">
        <v>5472</v>
      </c>
      <c r="I93" s="378">
        <v>6980</v>
      </c>
      <c r="J93" s="379">
        <v>173.4049686237428</v>
      </c>
      <c r="K93" s="459"/>
      <c r="L93" s="460"/>
      <c r="M93" s="417"/>
    </row>
    <row r="94" spans="1:13" ht="15" customHeight="1">
      <c r="A94" s="325"/>
      <c r="D94" s="326"/>
      <c r="E94" s="359">
        <v>113020</v>
      </c>
      <c r="F94" s="334" t="s">
        <v>5405</v>
      </c>
      <c r="G94" s="327" t="s">
        <v>7761</v>
      </c>
      <c r="H94" s="328" t="s">
        <v>5473</v>
      </c>
      <c r="I94" s="378"/>
      <c r="J94" s="379">
        <v>2910</v>
      </c>
      <c r="K94" s="459"/>
      <c r="L94" s="460"/>
      <c r="M94" s="417"/>
    </row>
    <row r="95" spans="1:13" ht="15" customHeight="1">
      <c r="A95" s="325"/>
      <c r="D95" s="326"/>
      <c r="E95" s="359">
        <v>113020</v>
      </c>
      <c r="F95" s="334" t="s">
        <v>5474</v>
      </c>
      <c r="G95" s="327" t="s">
        <v>7762</v>
      </c>
      <c r="H95" s="328" t="s">
        <v>5475</v>
      </c>
      <c r="I95" s="378">
        <v>30625</v>
      </c>
      <c r="J95" s="379">
        <v>230.77653028607958</v>
      </c>
      <c r="K95" s="459"/>
      <c r="L95" s="460"/>
      <c r="M95" s="417"/>
    </row>
    <row r="96" spans="1:13" ht="15" customHeight="1">
      <c r="A96" s="329"/>
      <c r="B96" s="330"/>
      <c r="C96" s="331"/>
      <c r="D96" s="330"/>
      <c r="E96" s="367">
        <v>113020</v>
      </c>
      <c r="F96" s="332" t="s">
        <v>5476</v>
      </c>
      <c r="G96" s="331" t="s">
        <v>7763</v>
      </c>
      <c r="H96" s="320" t="s">
        <v>5477</v>
      </c>
      <c r="I96" s="384">
        <v>6257</v>
      </c>
      <c r="J96" s="381">
        <v>0</v>
      </c>
      <c r="K96" s="459"/>
      <c r="L96" s="460"/>
      <c r="M96" s="417"/>
    </row>
    <row r="97" spans="1:13" ht="15" customHeight="1">
      <c r="A97" s="325" t="s">
        <v>5478</v>
      </c>
      <c r="B97" s="326" t="s">
        <v>862</v>
      </c>
      <c r="C97" s="327" t="s">
        <v>5479</v>
      </c>
      <c r="D97" s="326" t="s">
        <v>7764</v>
      </c>
      <c r="E97" s="359" t="s">
        <v>7764</v>
      </c>
      <c r="G97" s="327" t="s">
        <v>1594</v>
      </c>
      <c r="H97" s="328" t="s">
        <v>5480</v>
      </c>
      <c r="I97" s="378"/>
      <c r="J97" s="379">
        <v>3576</v>
      </c>
      <c r="K97" s="459"/>
      <c r="L97" s="460"/>
      <c r="M97" s="417"/>
    </row>
    <row r="98" spans="1:13" ht="15" customHeight="1">
      <c r="A98" s="325"/>
      <c r="B98" s="326" t="s">
        <v>1594</v>
      </c>
      <c r="D98" s="326" t="s">
        <v>1594</v>
      </c>
      <c r="E98" s="359" t="s">
        <v>7764</v>
      </c>
      <c r="F98" s="334" t="s">
        <v>575</v>
      </c>
      <c r="G98" s="327" t="s">
        <v>7765</v>
      </c>
      <c r="H98" s="328" t="s">
        <v>5481</v>
      </c>
      <c r="I98" s="378"/>
      <c r="J98" s="379">
        <v>400</v>
      </c>
      <c r="K98" s="459"/>
      <c r="L98" s="460"/>
      <c r="M98" s="417"/>
    </row>
    <row r="99" spans="1:13" ht="15" customHeight="1">
      <c r="A99" s="325"/>
      <c r="B99" s="326" t="s">
        <v>1594</v>
      </c>
      <c r="D99" s="326" t="s">
        <v>1594</v>
      </c>
      <c r="E99" s="359" t="s">
        <v>7764</v>
      </c>
      <c r="F99" s="334" t="s">
        <v>5453</v>
      </c>
      <c r="G99" s="327" t="s">
        <v>7766</v>
      </c>
      <c r="H99" s="328" t="s">
        <v>5482</v>
      </c>
      <c r="I99" s="378"/>
      <c r="J99" s="379">
        <v>0</v>
      </c>
      <c r="K99" s="459"/>
      <c r="L99" s="460"/>
      <c r="M99" s="417"/>
    </row>
    <row r="100" spans="1:13" ht="15" customHeight="1">
      <c r="A100" s="325"/>
      <c r="B100" s="326" t="s">
        <v>1594</v>
      </c>
      <c r="D100" s="326" t="s">
        <v>1594</v>
      </c>
      <c r="E100" s="359" t="s">
        <v>7764</v>
      </c>
      <c r="F100" s="334" t="s">
        <v>5383</v>
      </c>
      <c r="G100" s="327" t="s">
        <v>7767</v>
      </c>
      <c r="H100" s="328" t="s">
        <v>5483</v>
      </c>
      <c r="I100" s="378"/>
      <c r="J100" s="379">
        <v>4</v>
      </c>
      <c r="K100" s="459"/>
      <c r="L100" s="460"/>
      <c r="M100" s="417"/>
    </row>
    <row r="101" spans="1:13" ht="15" customHeight="1">
      <c r="A101" s="325"/>
      <c r="B101" s="326" t="s">
        <v>1594</v>
      </c>
      <c r="D101" s="326" t="s">
        <v>1594</v>
      </c>
      <c r="E101" s="359" t="s">
        <v>7764</v>
      </c>
      <c r="F101" s="334" t="s">
        <v>5484</v>
      </c>
      <c r="G101" s="327" t="s">
        <v>7768</v>
      </c>
      <c r="H101" s="328" t="s">
        <v>5485</v>
      </c>
      <c r="I101" s="378"/>
      <c r="J101" s="379">
        <v>30</v>
      </c>
      <c r="K101" s="459"/>
      <c r="L101" s="460"/>
      <c r="M101" s="417"/>
    </row>
    <row r="102" spans="1:13" ht="15" customHeight="1">
      <c r="A102" s="325"/>
      <c r="B102" s="326" t="s">
        <v>1594</v>
      </c>
      <c r="D102" s="326" t="s">
        <v>1594</v>
      </c>
      <c r="E102" s="359" t="s">
        <v>7764</v>
      </c>
      <c r="F102" s="334" t="s">
        <v>5486</v>
      </c>
      <c r="G102" s="327" t="s">
        <v>7769</v>
      </c>
      <c r="H102" s="328" t="s">
        <v>5487</v>
      </c>
      <c r="I102" s="378"/>
      <c r="J102" s="379">
        <v>32</v>
      </c>
      <c r="K102" s="459"/>
      <c r="L102" s="460"/>
      <c r="M102" s="417"/>
    </row>
    <row r="103" spans="1:13" ht="15" customHeight="1">
      <c r="A103" s="325"/>
      <c r="B103" s="326" t="s">
        <v>1594</v>
      </c>
      <c r="D103" s="326" t="s">
        <v>1594</v>
      </c>
      <c r="E103" s="359" t="s">
        <v>7764</v>
      </c>
      <c r="F103" s="334" t="s">
        <v>5488</v>
      </c>
      <c r="G103" s="327" t="s">
        <v>7770</v>
      </c>
      <c r="H103" s="328" t="s">
        <v>5489</v>
      </c>
      <c r="I103" s="378"/>
      <c r="J103" s="379">
        <v>1317</v>
      </c>
      <c r="K103" s="459"/>
      <c r="L103" s="460"/>
      <c r="M103" s="417"/>
    </row>
    <row r="104" spans="1:13" ht="15" customHeight="1">
      <c r="A104" s="325"/>
      <c r="B104" s="326" t="s">
        <v>1594</v>
      </c>
      <c r="D104" s="326" t="s">
        <v>1594</v>
      </c>
      <c r="E104" s="359" t="s">
        <v>7764</v>
      </c>
      <c r="F104" s="334" t="s">
        <v>5490</v>
      </c>
      <c r="G104" s="327" t="s">
        <v>7771</v>
      </c>
      <c r="H104" s="328" t="s">
        <v>5491</v>
      </c>
      <c r="I104" s="378"/>
      <c r="J104" s="379">
        <v>392</v>
      </c>
      <c r="K104" s="459"/>
      <c r="L104" s="460"/>
      <c r="M104" s="417"/>
    </row>
    <row r="105" spans="1:13" ht="15" customHeight="1">
      <c r="A105" s="325"/>
      <c r="B105" s="326" t="s">
        <v>1594</v>
      </c>
      <c r="D105" s="326" t="s">
        <v>1594</v>
      </c>
      <c r="E105" s="359" t="s">
        <v>7764</v>
      </c>
      <c r="F105" s="334" t="s">
        <v>5492</v>
      </c>
      <c r="G105" s="327" t="s">
        <v>7772</v>
      </c>
      <c r="H105" s="328" t="s">
        <v>5493</v>
      </c>
      <c r="I105" s="378"/>
      <c r="J105" s="379">
        <v>0</v>
      </c>
      <c r="K105" s="459"/>
      <c r="L105" s="460"/>
      <c r="M105" s="417"/>
    </row>
    <row r="106" spans="1:13" ht="15" customHeight="1">
      <c r="A106" s="325"/>
      <c r="B106" s="326" t="s">
        <v>1594</v>
      </c>
      <c r="D106" s="326" t="s">
        <v>1594</v>
      </c>
      <c r="E106" s="359" t="s">
        <v>7764</v>
      </c>
      <c r="F106" s="334" t="s">
        <v>5494</v>
      </c>
      <c r="G106" s="327" t="s">
        <v>7773</v>
      </c>
      <c r="H106" s="328" t="s">
        <v>5495</v>
      </c>
      <c r="I106" s="378"/>
      <c r="J106" s="379">
        <v>104</v>
      </c>
      <c r="K106" s="459"/>
      <c r="L106" s="460"/>
      <c r="M106" s="417"/>
    </row>
    <row r="107" spans="1:13" ht="15" customHeight="1">
      <c r="A107" s="325"/>
      <c r="B107" s="326" t="s">
        <v>1594</v>
      </c>
      <c r="D107" s="326" t="s">
        <v>1594</v>
      </c>
      <c r="E107" s="359" t="s">
        <v>7764</v>
      </c>
      <c r="F107" s="334" t="s">
        <v>5496</v>
      </c>
      <c r="G107" s="327" t="s">
        <v>7774</v>
      </c>
      <c r="H107" s="328" t="s">
        <v>5497</v>
      </c>
      <c r="I107" s="378"/>
      <c r="J107" s="379">
        <v>1</v>
      </c>
      <c r="K107" s="459"/>
      <c r="L107" s="460"/>
      <c r="M107" s="417"/>
    </row>
    <row r="108" spans="1:13" ht="15" customHeight="1">
      <c r="A108" s="325"/>
      <c r="B108" s="326" t="s">
        <v>1594</v>
      </c>
      <c r="D108" s="326" t="s">
        <v>1594</v>
      </c>
      <c r="E108" s="359" t="s">
        <v>7764</v>
      </c>
      <c r="F108" s="334" t="s">
        <v>5498</v>
      </c>
      <c r="G108" s="327" t="s">
        <v>7775</v>
      </c>
      <c r="H108" s="328" t="s">
        <v>5499</v>
      </c>
      <c r="I108" s="378"/>
      <c r="J108" s="379">
        <v>0</v>
      </c>
      <c r="K108" s="459"/>
      <c r="L108" s="460"/>
      <c r="M108" s="417"/>
    </row>
    <row r="109" spans="1:13" ht="15" customHeight="1">
      <c r="A109" s="325"/>
      <c r="B109" s="326" t="s">
        <v>1594</v>
      </c>
      <c r="D109" s="326" t="s">
        <v>1594</v>
      </c>
      <c r="E109" s="359" t="s">
        <v>7764</v>
      </c>
      <c r="F109" s="334" t="s">
        <v>5500</v>
      </c>
      <c r="G109" s="327" t="s">
        <v>7776</v>
      </c>
      <c r="H109" s="328" t="s">
        <v>5501</v>
      </c>
      <c r="I109" s="378"/>
      <c r="J109" s="379">
        <v>38</v>
      </c>
      <c r="K109" s="459"/>
      <c r="L109" s="460"/>
      <c r="M109" s="417"/>
    </row>
    <row r="110" spans="1:13" ht="15" customHeight="1">
      <c r="A110" s="325"/>
      <c r="B110" s="326" t="s">
        <v>1594</v>
      </c>
      <c r="D110" s="326" t="s">
        <v>1594</v>
      </c>
      <c r="E110" s="359" t="s">
        <v>7764</v>
      </c>
      <c r="F110" s="334" t="s">
        <v>5502</v>
      </c>
      <c r="G110" s="327" t="s">
        <v>7777</v>
      </c>
      <c r="H110" s="328" t="s">
        <v>5503</v>
      </c>
      <c r="I110" s="378"/>
      <c r="J110" s="379">
        <v>111</v>
      </c>
      <c r="K110" s="459"/>
      <c r="L110" s="460"/>
      <c r="M110" s="417"/>
    </row>
    <row r="111" spans="1:13" ht="15" customHeight="1">
      <c r="A111" s="325"/>
      <c r="B111" s="326" t="s">
        <v>1594</v>
      </c>
      <c r="D111" s="326" t="s">
        <v>1594</v>
      </c>
      <c r="E111" s="359" t="s">
        <v>7764</v>
      </c>
      <c r="F111" s="334" t="s">
        <v>5504</v>
      </c>
      <c r="G111" s="327" t="s">
        <v>7778</v>
      </c>
      <c r="H111" s="328" t="s">
        <v>5505</v>
      </c>
      <c r="I111" s="378"/>
      <c r="J111" s="379">
        <v>111</v>
      </c>
      <c r="K111" s="459"/>
      <c r="L111" s="460"/>
      <c r="M111" s="417"/>
    </row>
    <row r="112" spans="1:13" ht="15" customHeight="1">
      <c r="A112" s="325"/>
      <c r="B112" s="326" t="s">
        <v>1594</v>
      </c>
      <c r="D112" s="326" t="s">
        <v>1594</v>
      </c>
      <c r="E112" s="359" t="s">
        <v>7764</v>
      </c>
      <c r="F112" s="334" t="s">
        <v>5506</v>
      </c>
      <c r="G112" s="327" t="s">
        <v>7779</v>
      </c>
      <c r="H112" s="328" t="s">
        <v>5507</v>
      </c>
      <c r="I112" s="378"/>
      <c r="J112" s="379">
        <v>185</v>
      </c>
      <c r="K112" s="459"/>
      <c r="L112" s="460"/>
      <c r="M112" s="417"/>
    </row>
    <row r="113" spans="1:13" ht="15" customHeight="1">
      <c r="A113" s="325"/>
      <c r="B113" s="326" t="s">
        <v>1594</v>
      </c>
      <c r="D113" s="326" t="s">
        <v>1594</v>
      </c>
      <c r="E113" s="359" t="s">
        <v>7764</v>
      </c>
      <c r="F113" s="334" t="s">
        <v>5508</v>
      </c>
      <c r="G113" s="327" t="s">
        <v>7780</v>
      </c>
      <c r="H113" s="328" t="s">
        <v>5509</v>
      </c>
      <c r="I113" s="378"/>
      <c r="J113" s="379">
        <v>18</v>
      </c>
      <c r="K113" s="459"/>
      <c r="L113" s="460"/>
      <c r="M113" s="417"/>
    </row>
    <row r="114" spans="1:13" ht="15" customHeight="1">
      <c r="A114" s="325"/>
      <c r="B114" s="326" t="s">
        <v>1594</v>
      </c>
      <c r="D114" s="326" t="s">
        <v>1594</v>
      </c>
      <c r="E114" s="359" t="s">
        <v>7764</v>
      </c>
      <c r="F114" s="334" t="s">
        <v>5510</v>
      </c>
      <c r="G114" s="327" t="s">
        <v>7781</v>
      </c>
      <c r="H114" s="328" t="s">
        <v>5511</v>
      </c>
      <c r="I114" s="378"/>
      <c r="J114" s="379">
        <v>0</v>
      </c>
      <c r="K114" s="459"/>
      <c r="L114" s="460"/>
      <c r="M114" s="417"/>
    </row>
    <row r="115" spans="1:13" ht="15" customHeight="1">
      <c r="A115" s="325"/>
      <c r="B115" s="326" t="s">
        <v>1594</v>
      </c>
      <c r="D115" s="326" t="s">
        <v>1594</v>
      </c>
      <c r="E115" s="359" t="s">
        <v>7764</v>
      </c>
      <c r="F115" s="334" t="s">
        <v>5512</v>
      </c>
      <c r="G115" s="327" t="s">
        <v>7782</v>
      </c>
      <c r="H115" s="328" t="s">
        <v>5513</v>
      </c>
      <c r="I115" s="378"/>
      <c r="J115" s="379">
        <v>733</v>
      </c>
      <c r="K115" s="459"/>
      <c r="L115" s="460"/>
      <c r="M115" s="417"/>
    </row>
    <row r="116" spans="1:13" ht="15" customHeight="1">
      <c r="A116" s="332"/>
      <c r="B116" s="330" t="s">
        <v>1594</v>
      </c>
      <c r="C116" s="331"/>
      <c r="D116" s="330" t="s">
        <v>1594</v>
      </c>
      <c r="E116" s="367" t="s">
        <v>7764</v>
      </c>
      <c r="F116" s="332" t="s">
        <v>5514</v>
      </c>
      <c r="G116" s="331" t="s">
        <v>7783</v>
      </c>
      <c r="H116" s="320" t="s">
        <v>5515</v>
      </c>
      <c r="I116" s="384"/>
      <c r="J116" s="381">
        <v>100</v>
      </c>
      <c r="K116" s="459"/>
      <c r="L116" s="460"/>
      <c r="M116" s="417"/>
    </row>
    <row r="117" spans="1:13" ht="15" customHeight="1">
      <c r="A117" s="325" t="s">
        <v>5516</v>
      </c>
      <c r="B117" s="326" t="s">
        <v>864</v>
      </c>
      <c r="C117" s="327" t="s">
        <v>5517</v>
      </c>
      <c r="D117" s="326" t="s">
        <v>7784</v>
      </c>
      <c r="E117" s="359" t="s">
        <v>7784</v>
      </c>
      <c r="G117" s="327" t="s">
        <v>1594</v>
      </c>
      <c r="H117" s="328" t="s">
        <v>41</v>
      </c>
      <c r="I117" s="378"/>
      <c r="J117" s="379">
        <v>0</v>
      </c>
      <c r="K117" s="459"/>
      <c r="L117" s="460"/>
      <c r="M117" s="417"/>
    </row>
    <row r="118" spans="1:13" ht="15" customHeight="1">
      <c r="A118" s="325"/>
      <c r="B118" s="326" t="s">
        <v>1594</v>
      </c>
      <c r="D118" s="326" t="s">
        <v>1594</v>
      </c>
      <c r="E118" s="359" t="s">
        <v>7784</v>
      </c>
      <c r="F118" s="334" t="s">
        <v>36</v>
      </c>
      <c r="G118" s="327" t="s">
        <v>7785</v>
      </c>
      <c r="H118" s="328" t="s">
        <v>5518</v>
      </c>
      <c r="I118" s="378"/>
      <c r="J118" s="379">
        <v>0</v>
      </c>
      <c r="K118" s="459"/>
      <c r="L118" s="460"/>
      <c r="M118" s="417"/>
    </row>
    <row r="119" spans="1:13" ht="15" customHeight="1">
      <c r="A119" s="325"/>
      <c r="B119" s="326" t="s">
        <v>1594</v>
      </c>
      <c r="D119" s="326" t="s">
        <v>1594</v>
      </c>
      <c r="E119" s="359" t="s">
        <v>7784</v>
      </c>
      <c r="F119" s="334" t="s">
        <v>5337</v>
      </c>
      <c r="G119" s="327" t="s">
        <v>7786</v>
      </c>
      <c r="H119" s="328" t="s">
        <v>5519</v>
      </c>
      <c r="I119" s="378"/>
      <c r="J119" s="379">
        <v>0</v>
      </c>
      <c r="K119" s="459"/>
      <c r="L119" s="460"/>
      <c r="M119" s="417"/>
    </row>
    <row r="120" spans="1:13" ht="15" customHeight="1">
      <c r="A120" s="321" t="s">
        <v>5520</v>
      </c>
      <c r="B120" s="322" t="s">
        <v>866</v>
      </c>
      <c r="C120" s="323"/>
      <c r="D120" s="322" t="s">
        <v>1594</v>
      </c>
      <c r="E120" s="365"/>
      <c r="F120" s="366"/>
      <c r="G120" s="323" t="s">
        <v>1594</v>
      </c>
      <c r="H120" s="324" t="s">
        <v>5521</v>
      </c>
      <c r="I120" s="376"/>
      <c r="J120" s="377"/>
      <c r="K120" s="459"/>
      <c r="L120" s="460"/>
      <c r="M120" s="417"/>
    </row>
    <row r="121" spans="1:13" ht="15" customHeight="1">
      <c r="A121" s="325"/>
      <c r="B121" s="326" t="s">
        <v>1594</v>
      </c>
      <c r="C121" s="327" t="s">
        <v>5522</v>
      </c>
      <c r="D121" s="326" t="s">
        <v>7787</v>
      </c>
      <c r="E121" s="359" t="s">
        <v>7787</v>
      </c>
      <c r="F121" s="334" t="s">
        <v>36</v>
      </c>
      <c r="G121" s="327" t="s">
        <v>7788</v>
      </c>
      <c r="H121" s="328" t="s">
        <v>43</v>
      </c>
      <c r="I121" s="378"/>
      <c r="J121" s="379">
        <v>0</v>
      </c>
      <c r="K121" s="459"/>
      <c r="L121" s="460"/>
      <c r="M121" s="417"/>
    </row>
    <row r="122" spans="1:13" ht="15" customHeight="1">
      <c r="A122" s="325"/>
      <c r="B122" s="326" t="s">
        <v>1594</v>
      </c>
      <c r="C122" s="327" t="s">
        <v>5523</v>
      </c>
      <c r="D122" s="326" t="s">
        <v>7789</v>
      </c>
      <c r="E122" s="359" t="s">
        <v>7789</v>
      </c>
      <c r="G122" s="327" t="s">
        <v>1594</v>
      </c>
      <c r="H122" s="328" t="s">
        <v>44</v>
      </c>
      <c r="I122" s="378"/>
      <c r="J122" s="379">
        <v>77</v>
      </c>
      <c r="K122" s="459"/>
      <c r="L122" s="460"/>
      <c r="M122" s="417"/>
    </row>
    <row r="123" spans="1:13" ht="15" customHeight="1">
      <c r="A123" s="325"/>
      <c r="B123" s="326" t="s">
        <v>1594</v>
      </c>
      <c r="D123" s="326" t="s">
        <v>1594</v>
      </c>
      <c r="E123" s="359" t="s">
        <v>7789</v>
      </c>
      <c r="F123" s="334" t="s">
        <v>36</v>
      </c>
      <c r="G123" s="327" t="s">
        <v>7790</v>
      </c>
      <c r="H123" s="328" t="s">
        <v>5524</v>
      </c>
      <c r="I123" s="378"/>
      <c r="J123" s="379">
        <v>77</v>
      </c>
      <c r="K123" s="459"/>
      <c r="L123" s="460"/>
      <c r="M123" s="417"/>
    </row>
    <row r="124" spans="1:13" ht="15" customHeight="1">
      <c r="A124" s="325"/>
      <c r="B124" s="326" t="s">
        <v>1594</v>
      </c>
      <c r="D124" s="326" t="s">
        <v>1594</v>
      </c>
      <c r="E124" s="359" t="s">
        <v>7789</v>
      </c>
      <c r="F124" s="334" t="s">
        <v>5337</v>
      </c>
      <c r="G124" s="327" t="s">
        <v>7791</v>
      </c>
      <c r="H124" s="328" t="s">
        <v>5525</v>
      </c>
      <c r="I124" s="378"/>
      <c r="J124" s="379">
        <v>0</v>
      </c>
      <c r="K124" s="459"/>
      <c r="L124" s="460"/>
      <c r="M124" s="417"/>
    </row>
    <row r="125" spans="1:13" ht="15" customHeight="1">
      <c r="A125" s="329"/>
      <c r="B125" s="330" t="s">
        <v>1594</v>
      </c>
      <c r="C125" s="331"/>
      <c r="D125" s="330" t="s">
        <v>1594</v>
      </c>
      <c r="E125" s="367" t="s">
        <v>7789</v>
      </c>
      <c r="F125" s="332" t="s">
        <v>5339</v>
      </c>
      <c r="G125" s="331" t="s">
        <v>7792</v>
      </c>
      <c r="H125" s="320" t="s">
        <v>5526</v>
      </c>
      <c r="I125" s="384"/>
      <c r="J125" s="381">
        <v>0</v>
      </c>
      <c r="K125" s="459"/>
      <c r="L125" s="460"/>
      <c r="M125" s="417"/>
    </row>
    <row r="126" spans="1:13" ht="15" customHeight="1">
      <c r="A126" s="325" t="s">
        <v>5527</v>
      </c>
      <c r="B126" s="326" t="s">
        <v>868</v>
      </c>
      <c r="D126" s="326" t="s">
        <v>1594</v>
      </c>
      <c r="G126" s="327" t="s">
        <v>1594</v>
      </c>
      <c r="H126" s="328" t="s">
        <v>5528</v>
      </c>
      <c r="I126" s="378"/>
      <c r="J126" s="379"/>
      <c r="K126" s="459"/>
      <c r="L126" s="460"/>
      <c r="M126" s="417"/>
    </row>
    <row r="127" spans="1:13" ht="15" customHeight="1">
      <c r="A127" s="325"/>
      <c r="B127" s="326" t="s">
        <v>1594</v>
      </c>
      <c r="C127" s="327" t="s">
        <v>5529</v>
      </c>
      <c r="D127" s="326" t="s">
        <v>7793</v>
      </c>
      <c r="E127" s="359" t="s">
        <v>7793</v>
      </c>
      <c r="G127" s="327" t="s">
        <v>1594</v>
      </c>
      <c r="H127" s="328" t="s">
        <v>46</v>
      </c>
      <c r="I127" s="378"/>
      <c r="J127" s="379">
        <v>23</v>
      </c>
      <c r="K127" s="459"/>
      <c r="L127" s="460"/>
      <c r="M127" s="417"/>
    </row>
    <row r="128" spans="1:13" ht="15" customHeight="1">
      <c r="A128" s="325"/>
      <c r="B128" s="326" t="s">
        <v>1594</v>
      </c>
      <c r="D128" s="326" t="s">
        <v>1594</v>
      </c>
      <c r="E128" s="359" t="s">
        <v>7793</v>
      </c>
      <c r="F128" s="334" t="s">
        <v>5349</v>
      </c>
      <c r="G128" s="327" t="s">
        <v>7794</v>
      </c>
      <c r="H128" s="328" t="s">
        <v>5530</v>
      </c>
      <c r="I128" s="378"/>
      <c r="J128" s="379">
        <v>23</v>
      </c>
      <c r="K128" s="459"/>
      <c r="L128" s="460"/>
      <c r="M128" s="417"/>
    </row>
    <row r="129" spans="1:13" ht="15" customHeight="1">
      <c r="A129" s="325"/>
      <c r="B129" s="326" t="s">
        <v>1594</v>
      </c>
      <c r="D129" s="326" t="s">
        <v>1594</v>
      </c>
      <c r="E129" s="359" t="s">
        <v>7793</v>
      </c>
      <c r="F129" s="334" t="s">
        <v>5353</v>
      </c>
      <c r="G129" s="327" t="s">
        <v>7795</v>
      </c>
      <c r="H129" s="328" t="s">
        <v>5531</v>
      </c>
      <c r="I129" s="378"/>
      <c r="J129" s="379">
        <v>0</v>
      </c>
      <c r="K129" s="459"/>
      <c r="L129" s="460"/>
      <c r="M129" s="417"/>
    </row>
    <row r="130" spans="1:13" ht="15" customHeight="1">
      <c r="A130" s="325"/>
      <c r="C130" s="327" t="s">
        <v>5532</v>
      </c>
      <c r="D130" s="326" t="s">
        <v>7796</v>
      </c>
      <c r="E130" s="359" t="s">
        <v>7796</v>
      </c>
      <c r="G130" s="327" t="s">
        <v>1594</v>
      </c>
      <c r="H130" s="328" t="s">
        <v>5533</v>
      </c>
      <c r="I130" s="378"/>
      <c r="J130" s="379">
        <v>12</v>
      </c>
      <c r="K130" s="459"/>
      <c r="L130" s="460"/>
      <c r="M130" s="417"/>
    </row>
    <row r="131" spans="1:13" ht="15" customHeight="1">
      <c r="A131" s="325"/>
      <c r="B131" s="326" t="s">
        <v>1594</v>
      </c>
      <c r="D131" s="326" t="s">
        <v>1594</v>
      </c>
      <c r="E131" s="359" t="s">
        <v>7796</v>
      </c>
      <c r="F131" s="334" t="s">
        <v>5534</v>
      </c>
      <c r="G131" s="327" t="s">
        <v>7797</v>
      </c>
      <c r="H131" s="328" t="s">
        <v>5535</v>
      </c>
      <c r="I131" s="378"/>
      <c r="J131" s="379">
        <v>2</v>
      </c>
      <c r="K131" s="459"/>
      <c r="L131" s="460"/>
      <c r="M131" s="417"/>
    </row>
    <row r="132" spans="1:13" ht="15" customHeight="1">
      <c r="A132" s="325"/>
      <c r="B132" s="326" t="s">
        <v>1594</v>
      </c>
      <c r="D132" s="326" t="s">
        <v>1594</v>
      </c>
      <c r="E132" s="359" t="s">
        <v>7796</v>
      </c>
      <c r="F132" s="334" t="s">
        <v>5453</v>
      </c>
      <c r="G132" s="327" t="s">
        <v>7798</v>
      </c>
      <c r="H132" s="328" t="s">
        <v>5536</v>
      </c>
      <c r="I132" s="378">
        <v>1</v>
      </c>
      <c r="J132" s="379">
        <v>1</v>
      </c>
      <c r="K132" s="459"/>
      <c r="L132" s="460"/>
      <c r="M132" s="417"/>
    </row>
    <row r="133" spans="1:13" ht="15" customHeight="1">
      <c r="A133" s="329"/>
      <c r="B133" s="330"/>
      <c r="C133" s="331"/>
      <c r="D133" s="330"/>
      <c r="E133" s="367" t="s">
        <v>7796</v>
      </c>
      <c r="F133" s="332" t="s">
        <v>5537</v>
      </c>
      <c r="G133" s="331" t="s">
        <v>7799</v>
      </c>
      <c r="H133" s="320" t="s">
        <v>5538</v>
      </c>
      <c r="I133" s="384"/>
      <c r="J133" s="381">
        <v>9</v>
      </c>
      <c r="K133" s="459"/>
      <c r="L133" s="460"/>
      <c r="M133" s="417"/>
    </row>
    <row r="134" spans="1:13" ht="15" customHeight="1">
      <c r="A134" s="325" t="s">
        <v>5539</v>
      </c>
      <c r="B134" s="326" t="s">
        <v>870</v>
      </c>
      <c r="C134" s="327" t="s">
        <v>5540</v>
      </c>
      <c r="D134" s="326" t="s">
        <v>7800</v>
      </c>
      <c r="E134" s="359" t="s">
        <v>7800</v>
      </c>
      <c r="G134" s="327" t="s">
        <v>1594</v>
      </c>
      <c r="H134" s="328" t="s">
        <v>5541</v>
      </c>
      <c r="I134" s="378"/>
      <c r="J134" s="379">
        <v>679</v>
      </c>
      <c r="K134" s="459"/>
      <c r="L134" s="460"/>
      <c r="M134" s="417"/>
    </row>
    <row r="135" spans="1:13" ht="15" customHeight="1">
      <c r="A135" s="325"/>
      <c r="B135" s="326" t="s">
        <v>1594</v>
      </c>
      <c r="D135" s="326" t="s">
        <v>1594</v>
      </c>
      <c r="E135" s="359" t="s">
        <v>7800</v>
      </c>
      <c r="F135" s="334" t="s">
        <v>5349</v>
      </c>
      <c r="G135" s="327" t="s">
        <v>7801</v>
      </c>
      <c r="H135" s="328" t="s">
        <v>5542</v>
      </c>
      <c r="I135" s="378">
        <v>143456</v>
      </c>
      <c r="J135" s="379">
        <v>203</v>
      </c>
      <c r="K135" s="459"/>
      <c r="L135" s="460"/>
      <c r="M135" s="417"/>
    </row>
    <row r="136" spans="1:13" ht="15" customHeight="1">
      <c r="A136" s="325"/>
      <c r="B136" s="326" t="s">
        <v>1594</v>
      </c>
      <c r="D136" s="326" t="s">
        <v>1594</v>
      </c>
      <c r="E136" s="359" t="s">
        <v>7800</v>
      </c>
      <c r="F136" s="334" t="s">
        <v>5327</v>
      </c>
      <c r="G136" s="327" t="s">
        <v>7802</v>
      </c>
      <c r="H136" s="328" t="s">
        <v>5543</v>
      </c>
      <c r="I136" s="378">
        <v>36152</v>
      </c>
      <c r="J136" s="379">
        <v>36</v>
      </c>
      <c r="K136" s="459"/>
      <c r="L136" s="460"/>
      <c r="M136" s="417"/>
    </row>
    <row r="137" spans="1:13" ht="15" customHeight="1">
      <c r="A137" s="325"/>
      <c r="B137" s="326" t="s">
        <v>1594</v>
      </c>
      <c r="D137" s="326" t="s">
        <v>1594</v>
      </c>
      <c r="E137" s="359" t="s">
        <v>7800</v>
      </c>
      <c r="F137" s="334" t="s">
        <v>5329</v>
      </c>
      <c r="G137" s="327" t="s">
        <v>7803</v>
      </c>
      <c r="H137" s="328" t="s">
        <v>5544</v>
      </c>
      <c r="I137" s="378">
        <v>5597</v>
      </c>
      <c r="J137" s="379">
        <v>186</v>
      </c>
      <c r="K137" s="459"/>
      <c r="L137" s="460"/>
      <c r="M137" s="417"/>
    </row>
    <row r="138" spans="1:13" ht="15" customHeight="1">
      <c r="A138" s="325"/>
      <c r="B138" s="326" t="s">
        <v>1594</v>
      </c>
      <c r="D138" s="326" t="s">
        <v>1594</v>
      </c>
      <c r="E138" s="359" t="s">
        <v>7800</v>
      </c>
      <c r="F138" s="334" t="s">
        <v>5353</v>
      </c>
      <c r="G138" s="327" t="s">
        <v>7804</v>
      </c>
      <c r="H138" s="328" t="s">
        <v>5545</v>
      </c>
      <c r="I138" s="378">
        <v>18473</v>
      </c>
      <c r="J138" s="379">
        <v>254</v>
      </c>
      <c r="K138" s="459"/>
      <c r="L138" s="460"/>
      <c r="M138" s="417"/>
    </row>
    <row r="139" spans="1:13" ht="15" customHeight="1">
      <c r="A139" s="321" t="s">
        <v>5546</v>
      </c>
      <c r="B139" s="322" t="s">
        <v>872</v>
      </c>
      <c r="C139" s="323" t="s">
        <v>5547</v>
      </c>
      <c r="D139" s="322" t="s">
        <v>7805</v>
      </c>
      <c r="E139" s="365" t="s">
        <v>7805</v>
      </c>
      <c r="F139" s="366"/>
      <c r="G139" s="323" t="s">
        <v>1594</v>
      </c>
      <c r="H139" s="324" t="s">
        <v>51</v>
      </c>
      <c r="I139" s="376"/>
      <c r="J139" s="377">
        <v>790</v>
      </c>
      <c r="K139" s="459"/>
      <c r="L139" s="460"/>
      <c r="M139" s="417"/>
    </row>
    <row r="140" spans="1:13" ht="15" customHeight="1">
      <c r="A140" s="325"/>
      <c r="B140" s="326" t="s">
        <v>1594</v>
      </c>
      <c r="D140" s="326" t="s">
        <v>1594</v>
      </c>
      <c r="E140" s="359" t="s">
        <v>7805</v>
      </c>
      <c r="F140" s="334" t="s">
        <v>5349</v>
      </c>
      <c r="G140" s="327" t="s">
        <v>7806</v>
      </c>
      <c r="H140" s="328" t="s">
        <v>5548</v>
      </c>
      <c r="I140" s="378">
        <v>95872</v>
      </c>
      <c r="J140" s="379">
        <v>782</v>
      </c>
      <c r="K140" s="459"/>
      <c r="L140" s="460"/>
      <c r="M140" s="417"/>
    </row>
    <row r="141" spans="1:13" ht="15" customHeight="1">
      <c r="A141" s="325"/>
      <c r="B141" s="326" t="s">
        <v>1594</v>
      </c>
      <c r="D141" s="326" t="s">
        <v>1594</v>
      </c>
      <c r="E141" s="359" t="s">
        <v>7805</v>
      </c>
      <c r="F141" s="334" t="s">
        <v>5327</v>
      </c>
      <c r="G141" s="327" t="s">
        <v>7807</v>
      </c>
      <c r="H141" s="328" t="s">
        <v>5549</v>
      </c>
      <c r="I141" s="378"/>
      <c r="J141" s="379">
        <v>6</v>
      </c>
      <c r="K141" s="459"/>
      <c r="L141" s="460"/>
      <c r="M141" s="417"/>
    </row>
    <row r="142" spans="1:13" ht="15" customHeight="1">
      <c r="A142" s="329"/>
      <c r="B142" s="330" t="s">
        <v>1594</v>
      </c>
      <c r="C142" s="331"/>
      <c r="D142" s="330" t="s">
        <v>1594</v>
      </c>
      <c r="E142" s="367" t="s">
        <v>7805</v>
      </c>
      <c r="F142" s="332" t="s">
        <v>5329</v>
      </c>
      <c r="G142" s="331" t="s">
        <v>7808</v>
      </c>
      <c r="H142" s="320" t="s">
        <v>5550</v>
      </c>
      <c r="I142" s="384"/>
      <c r="J142" s="381">
        <v>2</v>
      </c>
      <c r="K142" s="459"/>
      <c r="L142" s="460"/>
      <c r="M142" s="417"/>
    </row>
    <row r="143" spans="1:13" ht="15" customHeight="1">
      <c r="A143" s="325" t="s">
        <v>5551</v>
      </c>
      <c r="B143" s="326" t="s">
        <v>874</v>
      </c>
      <c r="C143" s="327" t="s">
        <v>5552</v>
      </c>
      <c r="D143" s="326" t="s">
        <v>7809</v>
      </c>
      <c r="E143" s="359" t="s">
        <v>7809</v>
      </c>
      <c r="G143" s="327" t="s">
        <v>1594</v>
      </c>
      <c r="H143" s="328" t="s">
        <v>53</v>
      </c>
      <c r="I143" s="378"/>
      <c r="J143" s="379">
        <v>4636</v>
      </c>
      <c r="K143" s="459"/>
      <c r="L143" s="460"/>
      <c r="M143" s="417"/>
    </row>
    <row r="144" spans="1:13" ht="15" customHeight="1">
      <c r="A144" s="325"/>
      <c r="B144" s="326" t="s">
        <v>1594</v>
      </c>
      <c r="D144" s="326" t="s">
        <v>1594</v>
      </c>
      <c r="E144" s="359" t="s">
        <v>7809</v>
      </c>
      <c r="F144" s="334" t="s">
        <v>5349</v>
      </c>
      <c r="G144" s="327" t="s">
        <v>7810</v>
      </c>
      <c r="H144" s="328" t="s">
        <v>5553</v>
      </c>
      <c r="I144" s="378"/>
      <c r="J144" s="379">
        <v>2535</v>
      </c>
      <c r="K144" s="459"/>
      <c r="L144" s="460"/>
      <c r="M144" s="417"/>
    </row>
    <row r="145" spans="1:13" ht="15" customHeight="1">
      <c r="A145" s="325"/>
      <c r="B145" s="326" t="s">
        <v>1594</v>
      </c>
      <c r="D145" s="326" t="s">
        <v>1594</v>
      </c>
      <c r="E145" s="359" t="s">
        <v>7809</v>
      </c>
      <c r="F145" s="334" t="s">
        <v>5327</v>
      </c>
      <c r="G145" s="327" t="s">
        <v>7811</v>
      </c>
      <c r="H145" s="328" t="s">
        <v>5554</v>
      </c>
      <c r="I145" s="378"/>
      <c r="J145" s="379">
        <v>383</v>
      </c>
      <c r="K145" s="459"/>
      <c r="L145" s="460"/>
      <c r="M145" s="417"/>
    </row>
    <row r="146" spans="1:13" ht="15" customHeight="1">
      <c r="A146" s="325"/>
      <c r="B146" s="326" t="s">
        <v>1594</v>
      </c>
      <c r="D146" s="326" t="s">
        <v>1594</v>
      </c>
      <c r="E146" s="359" t="s">
        <v>7809</v>
      </c>
      <c r="F146" s="334" t="s">
        <v>5329</v>
      </c>
      <c r="G146" s="327" t="s">
        <v>7812</v>
      </c>
      <c r="H146" s="328" t="s">
        <v>5555</v>
      </c>
      <c r="I146" s="378"/>
      <c r="J146" s="379">
        <v>36</v>
      </c>
      <c r="K146" s="459"/>
      <c r="L146" s="460"/>
      <c r="M146" s="417"/>
    </row>
    <row r="147" spans="1:13" ht="15" customHeight="1">
      <c r="A147" s="325"/>
      <c r="B147" s="326" t="s">
        <v>1594</v>
      </c>
      <c r="D147" s="326" t="s">
        <v>1594</v>
      </c>
      <c r="E147" s="359" t="s">
        <v>7809</v>
      </c>
      <c r="F147" s="334" t="s">
        <v>5556</v>
      </c>
      <c r="G147" s="327" t="s">
        <v>7813</v>
      </c>
      <c r="H147" s="328" t="s">
        <v>5557</v>
      </c>
      <c r="I147" s="378"/>
      <c r="J147" s="379">
        <v>1682</v>
      </c>
      <c r="K147" s="459"/>
      <c r="L147" s="460"/>
      <c r="M147" s="417"/>
    </row>
    <row r="148" spans="1:13" ht="15" customHeight="1">
      <c r="A148" s="329"/>
      <c r="B148" s="330" t="s">
        <v>1594</v>
      </c>
      <c r="C148" s="331"/>
      <c r="D148" s="330" t="s">
        <v>1594</v>
      </c>
      <c r="E148" s="367" t="s">
        <v>7809</v>
      </c>
      <c r="F148" s="332" t="s">
        <v>5353</v>
      </c>
      <c r="G148" s="331" t="s">
        <v>7814</v>
      </c>
      <c r="H148" s="320" t="s">
        <v>5558</v>
      </c>
      <c r="I148" s="384"/>
      <c r="J148" s="381">
        <v>0</v>
      </c>
      <c r="K148" s="459"/>
      <c r="L148" s="460"/>
      <c r="M148" s="417"/>
    </row>
    <row r="149" spans="1:13" ht="15" customHeight="1">
      <c r="A149" s="325" t="s">
        <v>5559</v>
      </c>
      <c r="B149" s="326" t="s">
        <v>876</v>
      </c>
      <c r="D149" s="326" t="s">
        <v>1594</v>
      </c>
      <c r="G149" s="327" t="s">
        <v>1594</v>
      </c>
      <c r="H149" s="328" t="s">
        <v>5560</v>
      </c>
      <c r="I149" s="378"/>
      <c r="J149" s="379"/>
      <c r="K149" s="459"/>
      <c r="L149" s="460"/>
      <c r="M149" s="417"/>
    </row>
    <row r="150" spans="1:13" ht="15" customHeight="1">
      <c r="A150" s="325"/>
      <c r="B150" s="326" t="s">
        <v>1594</v>
      </c>
      <c r="C150" s="327" t="s">
        <v>5561</v>
      </c>
      <c r="D150" s="326" t="s">
        <v>7815</v>
      </c>
      <c r="E150" s="359" t="s">
        <v>7815</v>
      </c>
      <c r="F150" s="334" t="s">
        <v>36</v>
      </c>
      <c r="G150" s="327" t="s">
        <v>7816</v>
      </c>
      <c r="H150" s="328" t="s">
        <v>54</v>
      </c>
      <c r="I150" s="378"/>
      <c r="J150" s="379">
        <v>0</v>
      </c>
      <c r="K150" s="459"/>
      <c r="L150" s="460"/>
      <c r="M150" s="417"/>
    </row>
    <row r="151" spans="1:13" ht="15" customHeight="1">
      <c r="A151" s="325"/>
      <c r="B151" s="326" t="s">
        <v>1594</v>
      </c>
      <c r="C151" s="327" t="s">
        <v>5562</v>
      </c>
      <c r="D151" s="326" t="s">
        <v>7817</v>
      </c>
      <c r="E151" s="359" t="s">
        <v>7817</v>
      </c>
      <c r="F151" s="334" t="s">
        <v>36</v>
      </c>
      <c r="G151" s="327" t="s">
        <v>7818</v>
      </c>
      <c r="H151" s="328" t="s">
        <v>56</v>
      </c>
      <c r="I151" s="378"/>
      <c r="J151" s="379">
        <v>0</v>
      </c>
      <c r="K151" s="459"/>
      <c r="L151" s="460"/>
      <c r="M151" s="417"/>
    </row>
    <row r="152" spans="1:13" ht="15" customHeight="1">
      <c r="A152" s="325"/>
      <c r="B152" s="326" t="s">
        <v>1594</v>
      </c>
      <c r="C152" s="327" t="s">
        <v>5563</v>
      </c>
      <c r="D152" s="326" t="s">
        <v>7819</v>
      </c>
      <c r="E152" s="359" t="s">
        <v>7819</v>
      </c>
      <c r="F152" s="334" t="s">
        <v>36</v>
      </c>
      <c r="G152" s="327" t="s">
        <v>7820</v>
      </c>
      <c r="H152" s="328" t="s">
        <v>58</v>
      </c>
      <c r="I152" s="378"/>
      <c r="J152" s="379">
        <v>0</v>
      </c>
      <c r="K152" s="459"/>
      <c r="L152" s="460"/>
      <c r="M152" s="417"/>
    </row>
    <row r="153" spans="1:13" ht="15" customHeight="1">
      <c r="A153" s="325"/>
      <c r="B153" s="326" t="s">
        <v>1594</v>
      </c>
      <c r="C153" s="327" t="s">
        <v>5564</v>
      </c>
      <c r="D153" s="326" t="s">
        <v>7821</v>
      </c>
      <c r="E153" s="359" t="s">
        <v>7821</v>
      </c>
      <c r="G153" s="327" t="s">
        <v>1594</v>
      </c>
      <c r="H153" s="333" t="s">
        <v>5565</v>
      </c>
      <c r="I153" s="378"/>
      <c r="J153" s="379">
        <v>34</v>
      </c>
      <c r="K153" s="459"/>
      <c r="L153" s="460"/>
      <c r="M153" s="417"/>
    </row>
    <row r="154" spans="1:13" ht="15" customHeight="1">
      <c r="A154" s="325"/>
      <c r="B154" s="326" t="s">
        <v>1594</v>
      </c>
      <c r="D154" s="326" t="s">
        <v>1594</v>
      </c>
      <c r="E154" s="359" t="s">
        <v>7821</v>
      </c>
      <c r="F154" s="334" t="s">
        <v>5349</v>
      </c>
      <c r="G154" s="327" t="s">
        <v>7822</v>
      </c>
      <c r="H154" s="328" t="s">
        <v>5566</v>
      </c>
      <c r="I154" s="378"/>
      <c r="J154" s="379">
        <v>0</v>
      </c>
      <c r="K154" s="459"/>
      <c r="L154" s="460"/>
      <c r="M154" s="417"/>
    </row>
    <row r="155" spans="1:13" ht="15" customHeight="1">
      <c r="A155" s="329"/>
      <c r="B155" s="330" t="s">
        <v>1594</v>
      </c>
      <c r="C155" s="331"/>
      <c r="D155" s="330" t="s">
        <v>1594</v>
      </c>
      <c r="E155" s="367" t="s">
        <v>7821</v>
      </c>
      <c r="F155" s="332" t="s">
        <v>5353</v>
      </c>
      <c r="G155" s="331" t="s">
        <v>7823</v>
      </c>
      <c r="H155" s="344" t="s">
        <v>5567</v>
      </c>
      <c r="I155" s="384"/>
      <c r="J155" s="381">
        <v>34</v>
      </c>
      <c r="K155" s="459"/>
      <c r="L155" s="460"/>
      <c r="M155" s="417"/>
    </row>
    <row r="156" spans="1:13" ht="15" customHeight="1">
      <c r="A156" s="325" t="s">
        <v>5568</v>
      </c>
      <c r="B156" s="326" t="s">
        <v>878</v>
      </c>
      <c r="D156" s="326" t="s">
        <v>1594</v>
      </c>
      <c r="G156" s="327" t="s">
        <v>1594</v>
      </c>
      <c r="H156" s="328" t="s">
        <v>5569</v>
      </c>
      <c r="I156" s="378"/>
      <c r="J156" s="379"/>
      <c r="K156" s="459"/>
      <c r="L156" s="460"/>
      <c r="M156" s="417"/>
    </row>
    <row r="157" spans="1:13" ht="15" customHeight="1">
      <c r="A157" s="325"/>
      <c r="B157" s="326" t="s">
        <v>1594</v>
      </c>
      <c r="C157" s="327" t="s">
        <v>5570</v>
      </c>
      <c r="D157" s="326" t="s">
        <v>7824</v>
      </c>
      <c r="E157" s="359" t="s">
        <v>7824</v>
      </c>
      <c r="F157" s="334" t="s">
        <v>36</v>
      </c>
      <c r="G157" s="327" t="s">
        <v>7825</v>
      </c>
      <c r="H157" s="328" t="s">
        <v>5571</v>
      </c>
      <c r="I157" s="378"/>
      <c r="J157" s="379">
        <v>10206</v>
      </c>
      <c r="K157" s="459"/>
      <c r="L157" s="460"/>
      <c r="M157" s="417"/>
    </row>
    <row r="158" spans="1:13" ht="15" customHeight="1">
      <c r="A158" s="325"/>
      <c r="B158" s="326" t="s">
        <v>1594</v>
      </c>
      <c r="C158" s="327" t="s">
        <v>5572</v>
      </c>
      <c r="D158" s="326" t="s">
        <v>7826</v>
      </c>
      <c r="E158" s="359" t="s">
        <v>7826</v>
      </c>
      <c r="G158" s="327" t="s">
        <v>1594</v>
      </c>
      <c r="H158" s="328" t="s">
        <v>64</v>
      </c>
      <c r="I158" s="378"/>
      <c r="J158" s="379">
        <v>2312</v>
      </c>
      <c r="K158" s="459"/>
      <c r="L158" s="460"/>
      <c r="M158" s="417"/>
    </row>
    <row r="159" spans="1:13" ht="15" customHeight="1">
      <c r="A159" s="325"/>
      <c r="B159" s="326" t="s">
        <v>1594</v>
      </c>
      <c r="D159" s="326" t="s">
        <v>1594</v>
      </c>
      <c r="E159" s="359" t="s">
        <v>7826</v>
      </c>
      <c r="F159" s="334" t="s">
        <v>575</v>
      </c>
      <c r="G159" s="327" t="s">
        <v>7827</v>
      </c>
      <c r="H159" s="328" t="s">
        <v>5573</v>
      </c>
      <c r="I159" s="378">
        <v>1388</v>
      </c>
      <c r="J159" s="379">
        <v>17</v>
      </c>
      <c r="K159" s="459"/>
      <c r="L159" s="460"/>
      <c r="M159" s="417"/>
    </row>
    <row r="160" spans="1:13" ht="15" customHeight="1">
      <c r="A160" s="325"/>
      <c r="B160" s="326" t="s">
        <v>1594</v>
      </c>
      <c r="D160" s="326" t="s">
        <v>1594</v>
      </c>
      <c r="E160" s="359" t="s">
        <v>7826</v>
      </c>
      <c r="F160" s="334" t="s">
        <v>5359</v>
      </c>
      <c r="G160" s="327" t="s">
        <v>7828</v>
      </c>
      <c r="H160" s="328" t="s">
        <v>5574</v>
      </c>
      <c r="I160" s="378">
        <v>64883</v>
      </c>
      <c r="J160" s="379">
        <v>784</v>
      </c>
      <c r="K160" s="459"/>
      <c r="L160" s="460"/>
      <c r="M160" s="417"/>
    </row>
    <row r="161" spans="1:13" ht="15" customHeight="1">
      <c r="A161" s="325"/>
      <c r="B161" s="326" t="s">
        <v>1594</v>
      </c>
      <c r="D161" s="326" t="s">
        <v>1594</v>
      </c>
      <c r="E161" s="359" t="s">
        <v>7826</v>
      </c>
      <c r="F161" s="334" t="s">
        <v>5383</v>
      </c>
      <c r="G161" s="327" t="s">
        <v>7829</v>
      </c>
      <c r="H161" s="328" t="s">
        <v>5575</v>
      </c>
      <c r="I161" s="378">
        <v>32623</v>
      </c>
      <c r="J161" s="379">
        <v>349</v>
      </c>
      <c r="K161" s="459"/>
      <c r="L161" s="460"/>
      <c r="M161" s="417"/>
    </row>
    <row r="162" spans="1:13" ht="15" customHeight="1">
      <c r="A162" s="325"/>
      <c r="B162" s="326" t="s">
        <v>1594</v>
      </c>
      <c r="D162" s="326" t="s">
        <v>1594</v>
      </c>
      <c r="E162" s="359" t="s">
        <v>7826</v>
      </c>
      <c r="F162" s="334" t="s">
        <v>5576</v>
      </c>
      <c r="G162" s="327" t="s">
        <v>7830</v>
      </c>
      <c r="H162" s="368" t="s">
        <v>5577</v>
      </c>
      <c r="I162" s="378">
        <v>106394</v>
      </c>
      <c r="J162" s="379">
        <v>943</v>
      </c>
      <c r="K162" s="459"/>
      <c r="L162" s="460"/>
      <c r="M162" s="417"/>
    </row>
    <row r="163" spans="1:13" ht="15" customHeight="1">
      <c r="A163" s="329"/>
      <c r="B163" s="330" t="s">
        <v>1594</v>
      </c>
      <c r="C163" s="331"/>
      <c r="D163" s="330" t="s">
        <v>1594</v>
      </c>
      <c r="E163" s="367" t="s">
        <v>7826</v>
      </c>
      <c r="F163" s="332" t="s">
        <v>5578</v>
      </c>
      <c r="G163" s="331" t="s">
        <v>7831</v>
      </c>
      <c r="H163" s="320" t="s">
        <v>5579</v>
      </c>
      <c r="I163" s="384">
        <v>18892</v>
      </c>
      <c r="J163" s="381">
        <v>219</v>
      </c>
      <c r="K163" s="459"/>
      <c r="L163" s="460"/>
      <c r="M163" s="417"/>
    </row>
    <row r="164" spans="1:13" ht="15" customHeight="1">
      <c r="A164" s="325" t="s">
        <v>5580</v>
      </c>
      <c r="B164" s="326" t="s">
        <v>880</v>
      </c>
      <c r="C164" s="327" t="s">
        <v>5581</v>
      </c>
      <c r="D164" s="326" t="s">
        <v>7832</v>
      </c>
      <c r="E164" s="359" t="s">
        <v>7832</v>
      </c>
      <c r="G164" s="327" t="s">
        <v>1594</v>
      </c>
      <c r="H164" s="328" t="s">
        <v>66</v>
      </c>
      <c r="I164" s="378"/>
      <c r="J164" s="379">
        <v>18258</v>
      </c>
      <c r="K164" s="459"/>
      <c r="L164" s="460"/>
      <c r="M164" s="417"/>
    </row>
    <row r="165" spans="1:13" ht="15" customHeight="1">
      <c r="A165" s="325"/>
      <c r="B165" s="326" t="s">
        <v>1594</v>
      </c>
      <c r="D165" s="326" t="s">
        <v>1594</v>
      </c>
      <c r="E165" s="359" t="s">
        <v>7832</v>
      </c>
      <c r="F165" s="334" t="s">
        <v>5349</v>
      </c>
      <c r="G165" s="327" t="s">
        <v>7833</v>
      </c>
      <c r="H165" s="333" t="s">
        <v>5582</v>
      </c>
      <c r="I165" s="378">
        <v>706024</v>
      </c>
      <c r="J165" s="379">
        <v>12131</v>
      </c>
      <c r="K165" s="459"/>
      <c r="L165" s="460"/>
      <c r="M165" s="417"/>
    </row>
    <row r="166" spans="1:13" ht="15" customHeight="1">
      <c r="A166" s="325"/>
      <c r="B166" s="326" t="s">
        <v>1594</v>
      </c>
      <c r="D166" s="326" t="s">
        <v>1594</v>
      </c>
      <c r="E166" s="359" t="s">
        <v>7832</v>
      </c>
      <c r="F166" s="334" t="s">
        <v>5327</v>
      </c>
      <c r="G166" s="327" t="s">
        <v>7834</v>
      </c>
      <c r="H166" s="328" t="s">
        <v>5583</v>
      </c>
      <c r="I166" s="378">
        <v>261243</v>
      </c>
      <c r="J166" s="379">
        <v>5742</v>
      </c>
      <c r="K166" s="459"/>
      <c r="L166" s="460"/>
      <c r="M166" s="417"/>
    </row>
    <row r="167" spans="1:13" ht="15" customHeight="1">
      <c r="A167" s="329"/>
      <c r="B167" s="330" t="s">
        <v>1594</v>
      </c>
      <c r="C167" s="331"/>
      <c r="D167" s="330" t="s">
        <v>1594</v>
      </c>
      <c r="E167" s="367" t="s">
        <v>7832</v>
      </c>
      <c r="F167" s="332" t="s">
        <v>5329</v>
      </c>
      <c r="G167" s="331" t="s">
        <v>7835</v>
      </c>
      <c r="H167" s="320" t="s">
        <v>5579</v>
      </c>
      <c r="I167" s="384">
        <v>14880</v>
      </c>
      <c r="J167" s="381">
        <v>385</v>
      </c>
      <c r="K167" s="459"/>
      <c r="L167" s="460"/>
      <c r="M167" s="417"/>
    </row>
    <row r="168" spans="1:13" ht="15" customHeight="1">
      <c r="A168" s="325" t="s">
        <v>5584</v>
      </c>
      <c r="B168" s="326" t="s">
        <v>882</v>
      </c>
      <c r="C168" s="327" t="s">
        <v>5585</v>
      </c>
      <c r="D168" s="326" t="s">
        <v>7836</v>
      </c>
      <c r="E168" s="359" t="s">
        <v>7836</v>
      </c>
      <c r="G168" s="327" t="s">
        <v>1594</v>
      </c>
      <c r="H168" s="328" t="s">
        <v>68</v>
      </c>
      <c r="I168" s="378"/>
      <c r="J168" s="379">
        <v>1871</v>
      </c>
      <c r="K168" s="459"/>
      <c r="L168" s="460"/>
      <c r="M168" s="417"/>
    </row>
    <row r="169" spans="1:13" ht="15" customHeight="1">
      <c r="A169" s="325"/>
      <c r="B169" s="326" t="s">
        <v>1594</v>
      </c>
      <c r="D169" s="326" t="s">
        <v>1594</v>
      </c>
      <c r="E169" s="359" t="s">
        <v>7836</v>
      </c>
      <c r="F169" s="334" t="s">
        <v>36</v>
      </c>
      <c r="G169" s="327" t="s">
        <v>7837</v>
      </c>
      <c r="H169" s="333" t="s">
        <v>5586</v>
      </c>
      <c r="I169" s="378"/>
      <c r="J169" s="379">
        <v>1869</v>
      </c>
      <c r="K169" s="459"/>
      <c r="L169" s="460"/>
      <c r="M169" s="417"/>
    </row>
    <row r="170" spans="1:13" ht="15" customHeight="1">
      <c r="A170" s="329"/>
      <c r="B170" s="330" t="s">
        <v>1594</v>
      </c>
      <c r="C170" s="331"/>
      <c r="D170" s="330" t="s">
        <v>1594</v>
      </c>
      <c r="E170" s="367" t="s">
        <v>7836</v>
      </c>
      <c r="F170" s="332" t="s">
        <v>5337</v>
      </c>
      <c r="G170" s="331" t="s">
        <v>7838</v>
      </c>
      <c r="H170" s="320" t="s">
        <v>5579</v>
      </c>
      <c r="I170" s="384">
        <v>901</v>
      </c>
      <c r="J170" s="381">
        <v>2</v>
      </c>
      <c r="K170" s="459"/>
      <c r="L170" s="460"/>
      <c r="M170" s="417"/>
    </row>
    <row r="171" spans="1:13" ht="15" customHeight="1">
      <c r="A171" s="321" t="s">
        <v>5587</v>
      </c>
      <c r="B171" s="322" t="s">
        <v>884</v>
      </c>
      <c r="C171" s="323" t="s">
        <v>5588</v>
      </c>
      <c r="D171" s="322" t="s">
        <v>7839</v>
      </c>
      <c r="E171" s="365" t="s">
        <v>7839</v>
      </c>
      <c r="F171" s="366"/>
      <c r="G171" s="323" t="s">
        <v>1594</v>
      </c>
      <c r="H171" s="324" t="s">
        <v>5589</v>
      </c>
      <c r="I171" s="378"/>
      <c r="J171" s="379">
        <v>20680</v>
      </c>
      <c r="K171" s="459"/>
      <c r="L171" s="460"/>
      <c r="M171" s="417"/>
    </row>
    <row r="172" spans="1:13" ht="15" customHeight="1">
      <c r="A172" s="325"/>
      <c r="B172" s="326" t="s">
        <v>1594</v>
      </c>
      <c r="D172" s="326" t="s">
        <v>1594</v>
      </c>
      <c r="E172" s="359" t="s">
        <v>7839</v>
      </c>
      <c r="F172" s="334" t="s">
        <v>36</v>
      </c>
      <c r="G172" s="327" t="s">
        <v>7840</v>
      </c>
      <c r="H172" s="328" t="s">
        <v>5590</v>
      </c>
      <c r="I172" s="378"/>
      <c r="J172" s="379">
        <v>20284</v>
      </c>
      <c r="K172" s="459"/>
      <c r="L172" s="460"/>
      <c r="M172" s="417"/>
    </row>
    <row r="173" spans="1:13" ht="15" customHeight="1">
      <c r="A173" s="325"/>
      <c r="B173" s="326" t="s">
        <v>1594</v>
      </c>
      <c r="D173" s="326" t="s">
        <v>1594</v>
      </c>
      <c r="E173" s="359" t="s">
        <v>7839</v>
      </c>
      <c r="F173" s="334" t="s">
        <v>5337</v>
      </c>
      <c r="G173" s="327" t="s">
        <v>7841</v>
      </c>
      <c r="H173" s="333" t="s">
        <v>5591</v>
      </c>
      <c r="I173" s="378">
        <v>832</v>
      </c>
      <c r="J173" s="379">
        <v>32</v>
      </c>
      <c r="K173" s="459"/>
      <c r="L173" s="460"/>
      <c r="M173" s="417"/>
    </row>
    <row r="174" spans="1:13" ht="15" customHeight="1">
      <c r="A174" s="325"/>
      <c r="B174" s="326" t="s">
        <v>1594</v>
      </c>
      <c r="D174" s="326" t="s">
        <v>1594</v>
      </c>
      <c r="E174" s="359" t="s">
        <v>7839</v>
      </c>
      <c r="F174" s="334" t="s">
        <v>5339</v>
      </c>
      <c r="G174" s="327" t="s">
        <v>7842</v>
      </c>
      <c r="H174" s="328" t="s">
        <v>5592</v>
      </c>
      <c r="I174" s="378">
        <v>3496</v>
      </c>
      <c r="J174" s="379">
        <v>129</v>
      </c>
      <c r="K174" s="459"/>
      <c r="L174" s="460"/>
      <c r="M174" s="417"/>
    </row>
    <row r="175" spans="1:13" ht="15" customHeight="1">
      <c r="A175" s="325"/>
      <c r="B175" s="326" t="s">
        <v>1594</v>
      </c>
      <c r="D175" s="326" t="s">
        <v>1594</v>
      </c>
      <c r="E175" s="359" t="s">
        <v>7839</v>
      </c>
      <c r="F175" s="334" t="s">
        <v>5593</v>
      </c>
      <c r="G175" s="327" t="s">
        <v>7843</v>
      </c>
      <c r="H175" s="328" t="s">
        <v>5594</v>
      </c>
      <c r="I175" s="378">
        <v>6163</v>
      </c>
      <c r="J175" s="379">
        <v>235</v>
      </c>
      <c r="K175" s="459"/>
      <c r="L175" s="460"/>
      <c r="M175" s="417"/>
    </row>
    <row r="176" spans="1:13" ht="15" customHeight="1">
      <c r="A176" s="321" t="s">
        <v>5595</v>
      </c>
      <c r="B176" s="322" t="s">
        <v>886</v>
      </c>
      <c r="C176" s="323" t="s">
        <v>5596</v>
      </c>
      <c r="D176" s="322" t="s">
        <v>7844</v>
      </c>
      <c r="E176" s="365" t="s">
        <v>7844</v>
      </c>
      <c r="F176" s="366"/>
      <c r="G176" s="323" t="s">
        <v>1594</v>
      </c>
      <c r="H176" s="324" t="s">
        <v>72</v>
      </c>
      <c r="I176" s="376"/>
      <c r="J176" s="377">
        <v>8415</v>
      </c>
      <c r="K176" s="459"/>
      <c r="L176" s="460"/>
      <c r="M176" s="417"/>
    </row>
    <row r="177" spans="1:13" ht="15" customHeight="1">
      <c r="A177" s="325"/>
      <c r="B177" s="326" t="s">
        <v>1594</v>
      </c>
      <c r="D177" s="326" t="s">
        <v>1594</v>
      </c>
      <c r="E177" s="359" t="s">
        <v>7844</v>
      </c>
      <c r="F177" s="334" t="s">
        <v>36</v>
      </c>
      <c r="G177" s="327" t="s">
        <v>7845</v>
      </c>
      <c r="H177" s="328" t="s">
        <v>5597</v>
      </c>
      <c r="I177" s="378"/>
      <c r="J177" s="379">
        <v>8321</v>
      </c>
      <c r="K177" s="459"/>
      <c r="L177" s="460"/>
      <c r="M177" s="417"/>
    </row>
    <row r="178" spans="1:13" ht="15" customHeight="1">
      <c r="A178" s="329"/>
      <c r="B178" s="330" t="s">
        <v>1594</v>
      </c>
      <c r="C178" s="331"/>
      <c r="D178" s="330" t="s">
        <v>1594</v>
      </c>
      <c r="E178" s="367" t="s">
        <v>7844</v>
      </c>
      <c r="F178" s="332" t="s">
        <v>5337</v>
      </c>
      <c r="G178" s="331" t="s">
        <v>7846</v>
      </c>
      <c r="H178" s="320" t="s">
        <v>5594</v>
      </c>
      <c r="I178" s="384">
        <v>5320</v>
      </c>
      <c r="J178" s="381">
        <v>94</v>
      </c>
      <c r="K178" s="459"/>
      <c r="L178" s="460"/>
      <c r="M178" s="417"/>
    </row>
    <row r="179" spans="1:13" ht="15" customHeight="1">
      <c r="A179" s="325" t="s">
        <v>5598</v>
      </c>
      <c r="B179" s="326" t="s">
        <v>888</v>
      </c>
      <c r="C179" s="327" t="s">
        <v>5599</v>
      </c>
      <c r="D179" s="326" t="s">
        <v>7847</v>
      </c>
      <c r="E179" s="359" t="s">
        <v>7847</v>
      </c>
      <c r="G179" s="327" t="s">
        <v>1594</v>
      </c>
      <c r="H179" s="328" t="s">
        <v>5600</v>
      </c>
      <c r="I179" s="378"/>
      <c r="J179" s="379">
        <v>347</v>
      </c>
      <c r="K179" s="459"/>
      <c r="L179" s="460"/>
      <c r="M179" s="417"/>
    </row>
    <row r="180" spans="1:13" ht="15" customHeight="1">
      <c r="A180" s="325"/>
      <c r="B180" s="326" t="s">
        <v>1594</v>
      </c>
      <c r="D180" s="326" t="s">
        <v>1594</v>
      </c>
      <c r="E180" s="359" t="s">
        <v>7847</v>
      </c>
      <c r="F180" s="334" t="s">
        <v>5534</v>
      </c>
      <c r="G180" s="327" t="s">
        <v>7848</v>
      </c>
      <c r="H180" s="328" t="s">
        <v>5601</v>
      </c>
      <c r="I180" s="378"/>
      <c r="J180" s="379">
        <v>0</v>
      </c>
      <c r="K180" s="459"/>
      <c r="L180" s="460"/>
      <c r="M180" s="417"/>
    </row>
    <row r="181" spans="1:13" ht="15" customHeight="1">
      <c r="A181" s="325"/>
      <c r="B181" s="326" t="s">
        <v>1594</v>
      </c>
      <c r="D181" s="326" t="s">
        <v>1594</v>
      </c>
      <c r="E181" s="388" t="s">
        <v>7847</v>
      </c>
      <c r="F181" s="389" t="s">
        <v>5602</v>
      </c>
      <c r="G181" s="390" t="s">
        <v>7849</v>
      </c>
      <c r="H181" s="391" t="s">
        <v>5603</v>
      </c>
      <c r="I181" s="413">
        <v>5111</v>
      </c>
      <c r="J181" s="392">
        <v>0</v>
      </c>
      <c r="K181" s="807">
        <v>46.6</v>
      </c>
      <c r="L181" s="464">
        <v>0</v>
      </c>
      <c r="M181" s="417"/>
    </row>
    <row r="182" spans="1:13" ht="15" customHeight="1">
      <c r="A182" s="325"/>
      <c r="B182" s="326" t="s">
        <v>1594</v>
      </c>
      <c r="D182" s="326" t="s">
        <v>1594</v>
      </c>
      <c r="E182" s="359" t="s">
        <v>7847</v>
      </c>
      <c r="F182" s="334" t="s">
        <v>5476</v>
      </c>
      <c r="G182" s="327" t="s">
        <v>7850</v>
      </c>
      <c r="H182" s="328" t="s">
        <v>5604</v>
      </c>
      <c r="I182" s="378">
        <v>40530</v>
      </c>
      <c r="J182" s="379">
        <v>0</v>
      </c>
      <c r="K182" s="459"/>
      <c r="L182" s="460"/>
      <c r="M182" s="417"/>
    </row>
    <row r="183" spans="1:13" ht="15" customHeight="1">
      <c r="A183" s="325"/>
      <c r="B183" s="326" t="s">
        <v>1594</v>
      </c>
      <c r="D183" s="326" t="s">
        <v>1594</v>
      </c>
      <c r="E183" s="359" t="s">
        <v>7847</v>
      </c>
      <c r="F183" s="334" t="s">
        <v>5605</v>
      </c>
      <c r="G183" s="327" t="s">
        <v>7851</v>
      </c>
      <c r="H183" s="328" t="s">
        <v>5606</v>
      </c>
      <c r="I183" s="378">
        <v>136</v>
      </c>
      <c r="J183" s="379">
        <v>0</v>
      </c>
      <c r="K183" s="459"/>
      <c r="L183" s="460"/>
      <c r="M183" s="417"/>
    </row>
    <row r="184" spans="1:13" ht="15" customHeight="1">
      <c r="A184" s="325"/>
      <c r="B184" s="326" t="s">
        <v>1594</v>
      </c>
      <c r="D184" s="326" t="s">
        <v>1594</v>
      </c>
      <c r="E184" s="359" t="s">
        <v>7847</v>
      </c>
      <c r="F184" s="334" t="s">
        <v>5607</v>
      </c>
      <c r="G184" s="327" t="s">
        <v>7852</v>
      </c>
      <c r="H184" s="328" t="s">
        <v>5608</v>
      </c>
      <c r="I184" s="378">
        <v>115</v>
      </c>
      <c r="J184" s="379">
        <v>0</v>
      </c>
      <c r="K184" s="459"/>
      <c r="L184" s="460"/>
      <c r="M184" s="417"/>
    </row>
    <row r="185" spans="1:13" ht="15" customHeight="1">
      <c r="A185" s="325"/>
      <c r="B185" s="326" t="s">
        <v>1594</v>
      </c>
      <c r="D185" s="326" t="s">
        <v>1594</v>
      </c>
      <c r="E185" s="359" t="s">
        <v>7847</v>
      </c>
      <c r="F185" s="334" t="s">
        <v>5609</v>
      </c>
      <c r="G185" s="327" t="s">
        <v>7853</v>
      </c>
      <c r="H185" s="328" t="s">
        <v>5610</v>
      </c>
      <c r="I185" s="378">
        <v>223</v>
      </c>
      <c r="J185" s="379">
        <v>0</v>
      </c>
      <c r="K185" s="459"/>
      <c r="L185" s="460"/>
      <c r="M185" s="417"/>
    </row>
    <row r="186" spans="1:13" ht="15" customHeight="1">
      <c r="A186" s="325"/>
      <c r="B186" s="326" t="s">
        <v>1594</v>
      </c>
      <c r="D186" s="326" t="s">
        <v>1594</v>
      </c>
      <c r="E186" s="359" t="s">
        <v>7847</v>
      </c>
      <c r="F186" s="334" t="s">
        <v>5611</v>
      </c>
      <c r="G186" s="327" t="s">
        <v>7854</v>
      </c>
      <c r="H186" s="328" t="s">
        <v>5612</v>
      </c>
      <c r="I186" s="378">
        <v>5908</v>
      </c>
      <c r="J186" s="379">
        <v>153</v>
      </c>
      <c r="K186" s="459"/>
      <c r="L186" s="460"/>
      <c r="M186" s="417"/>
    </row>
    <row r="187" spans="1:13" ht="15" customHeight="1">
      <c r="A187" s="325"/>
      <c r="B187" s="326" t="s">
        <v>1594</v>
      </c>
      <c r="D187" s="326" t="s">
        <v>1594</v>
      </c>
      <c r="E187" s="359" t="s">
        <v>7847</v>
      </c>
      <c r="F187" s="334" t="s">
        <v>5613</v>
      </c>
      <c r="G187" s="327" t="s">
        <v>7855</v>
      </c>
      <c r="H187" s="328" t="s">
        <v>5614</v>
      </c>
      <c r="I187" s="378">
        <v>4846</v>
      </c>
      <c r="J187" s="379">
        <v>0</v>
      </c>
      <c r="K187" s="459"/>
      <c r="L187" s="460"/>
      <c r="M187" s="417"/>
    </row>
    <row r="188" spans="1:13" ht="15" customHeight="1">
      <c r="A188" s="325"/>
      <c r="B188" s="326" t="s">
        <v>1594</v>
      </c>
      <c r="D188" s="326" t="s">
        <v>1594</v>
      </c>
      <c r="E188" s="359" t="s">
        <v>7847</v>
      </c>
      <c r="F188" s="334" t="s">
        <v>5615</v>
      </c>
      <c r="G188" s="327" t="s">
        <v>7856</v>
      </c>
      <c r="H188" s="328" t="s">
        <v>5616</v>
      </c>
      <c r="I188" s="378">
        <v>28</v>
      </c>
      <c r="J188" s="379">
        <v>0</v>
      </c>
      <c r="K188" s="459"/>
      <c r="L188" s="460"/>
      <c r="M188" s="417"/>
    </row>
    <row r="189" spans="1:13" ht="15" customHeight="1">
      <c r="A189" s="325"/>
      <c r="B189" s="326" t="s">
        <v>1594</v>
      </c>
      <c r="D189" s="326" t="s">
        <v>1594</v>
      </c>
      <c r="E189" s="359" t="s">
        <v>7847</v>
      </c>
      <c r="F189" s="334" t="s">
        <v>5617</v>
      </c>
      <c r="G189" s="327" t="s">
        <v>7857</v>
      </c>
      <c r="H189" s="328" t="s">
        <v>5618</v>
      </c>
      <c r="I189" s="378">
        <v>18738</v>
      </c>
      <c r="J189" s="379">
        <v>194</v>
      </c>
      <c r="K189" s="459"/>
      <c r="L189" s="460"/>
      <c r="M189" s="417"/>
    </row>
    <row r="190" spans="1:13" ht="15" customHeight="1">
      <c r="A190" s="406" t="s">
        <v>5619</v>
      </c>
      <c r="B190" s="407" t="s">
        <v>890</v>
      </c>
      <c r="C190" s="408" t="s">
        <v>5620</v>
      </c>
      <c r="D190" s="407" t="s">
        <v>7858</v>
      </c>
      <c r="E190" s="409" t="s">
        <v>7858</v>
      </c>
      <c r="F190" s="410" t="s">
        <v>5349</v>
      </c>
      <c r="G190" s="408" t="s">
        <v>7859</v>
      </c>
      <c r="H190" s="411" t="s">
        <v>75</v>
      </c>
      <c r="I190" s="396"/>
      <c r="J190" s="397">
        <v>18696</v>
      </c>
      <c r="K190" s="463">
        <v>1.3</v>
      </c>
      <c r="L190" s="464">
        <f>J190*K190/100</f>
        <v>243.048</v>
      </c>
      <c r="M190" s="417"/>
    </row>
    <row r="191" spans="1:13" ht="15" customHeight="1">
      <c r="A191" s="321" t="s">
        <v>5621</v>
      </c>
      <c r="B191" s="322" t="s">
        <v>892</v>
      </c>
      <c r="C191" s="323" t="s">
        <v>5622</v>
      </c>
      <c r="D191" s="322" t="s">
        <v>7860</v>
      </c>
      <c r="E191" s="365" t="s">
        <v>7860</v>
      </c>
      <c r="F191" s="366"/>
      <c r="G191" s="323" t="s">
        <v>1594</v>
      </c>
      <c r="H191" s="324" t="s">
        <v>5623</v>
      </c>
      <c r="I191" s="378">
        <v>460458</v>
      </c>
      <c r="J191" s="379">
        <v>9455</v>
      </c>
      <c r="K191" s="459"/>
      <c r="L191" s="460"/>
      <c r="M191" s="417"/>
    </row>
    <row r="192" spans="1:13" ht="15" customHeight="1">
      <c r="A192" s="325"/>
      <c r="B192" s="326" t="s">
        <v>1594</v>
      </c>
      <c r="D192" s="326" t="s">
        <v>1594</v>
      </c>
      <c r="E192" s="359" t="s">
        <v>7860</v>
      </c>
      <c r="F192" s="334" t="s">
        <v>5349</v>
      </c>
      <c r="G192" s="327" t="s">
        <v>7861</v>
      </c>
      <c r="H192" s="328" t="s">
        <v>5624</v>
      </c>
      <c r="I192" s="378">
        <v>88758</v>
      </c>
      <c r="J192" s="379">
        <v>2628</v>
      </c>
      <c r="K192" s="459"/>
      <c r="L192" s="460"/>
      <c r="M192" s="417"/>
    </row>
    <row r="193" spans="1:13" ht="15" customHeight="1">
      <c r="A193" s="325"/>
      <c r="B193" s="326" t="s">
        <v>1594</v>
      </c>
      <c r="D193" s="326" t="s">
        <v>1594</v>
      </c>
      <c r="E193" s="359" t="s">
        <v>7860</v>
      </c>
      <c r="F193" s="334" t="s">
        <v>5327</v>
      </c>
      <c r="G193" s="327" t="s">
        <v>7862</v>
      </c>
      <c r="H193" s="328" t="s">
        <v>5625</v>
      </c>
      <c r="I193" s="378">
        <v>72073</v>
      </c>
      <c r="J193" s="379">
        <v>2082</v>
      </c>
      <c r="K193" s="459"/>
      <c r="L193" s="460"/>
      <c r="M193" s="417"/>
    </row>
    <row r="194" spans="1:13" ht="15" customHeight="1">
      <c r="A194" s="325"/>
      <c r="B194" s="326" t="s">
        <v>1594</v>
      </c>
      <c r="D194" s="326" t="s">
        <v>1594</v>
      </c>
      <c r="E194" s="359" t="s">
        <v>7860</v>
      </c>
      <c r="F194" s="334" t="s">
        <v>5329</v>
      </c>
      <c r="G194" s="327" t="s">
        <v>7863</v>
      </c>
      <c r="H194" s="328" t="s">
        <v>5626</v>
      </c>
      <c r="I194" s="378">
        <v>18154</v>
      </c>
      <c r="J194" s="379">
        <v>193</v>
      </c>
      <c r="K194" s="459"/>
      <c r="L194" s="460"/>
      <c r="M194" s="417"/>
    </row>
    <row r="195" spans="1:13" ht="15" customHeight="1">
      <c r="A195" s="325"/>
      <c r="B195" s="326" t="s">
        <v>1594</v>
      </c>
      <c r="D195" s="326" t="s">
        <v>1594</v>
      </c>
      <c r="E195" s="359" t="s">
        <v>7860</v>
      </c>
      <c r="F195" s="334" t="s">
        <v>5556</v>
      </c>
      <c r="G195" s="327" t="s">
        <v>7864</v>
      </c>
      <c r="H195" s="328" t="s">
        <v>5627</v>
      </c>
      <c r="I195" s="378">
        <v>84165</v>
      </c>
      <c r="J195" s="379">
        <v>1126</v>
      </c>
      <c r="K195" s="459"/>
      <c r="L195" s="460"/>
      <c r="M195" s="417"/>
    </row>
    <row r="196" spans="1:13" ht="15" customHeight="1">
      <c r="A196" s="325"/>
      <c r="B196" s="326" t="s">
        <v>1594</v>
      </c>
      <c r="D196" s="326" t="s">
        <v>1594</v>
      </c>
      <c r="E196" s="359" t="s">
        <v>7860</v>
      </c>
      <c r="F196" s="334" t="s">
        <v>5628</v>
      </c>
      <c r="G196" s="327" t="s">
        <v>7865</v>
      </c>
      <c r="H196" s="328" t="s">
        <v>5629</v>
      </c>
      <c r="I196" s="378">
        <v>30848</v>
      </c>
      <c r="J196" s="379">
        <v>765</v>
      </c>
      <c r="K196" s="459"/>
      <c r="L196" s="460"/>
      <c r="M196" s="417"/>
    </row>
    <row r="197" spans="1:13" ht="15" customHeight="1">
      <c r="A197" s="325"/>
      <c r="B197" s="326" t="s">
        <v>1594</v>
      </c>
      <c r="D197" s="326" t="s">
        <v>1594</v>
      </c>
      <c r="E197" s="359" t="s">
        <v>7860</v>
      </c>
      <c r="F197" s="334" t="s">
        <v>5630</v>
      </c>
      <c r="G197" s="327" t="s">
        <v>7866</v>
      </c>
      <c r="H197" s="328" t="s">
        <v>5631</v>
      </c>
      <c r="I197" s="378">
        <v>44120</v>
      </c>
      <c r="J197" s="379">
        <v>753</v>
      </c>
      <c r="K197" s="459"/>
      <c r="L197" s="460"/>
      <c r="M197" s="417"/>
    </row>
    <row r="198" spans="1:13" ht="15" customHeight="1">
      <c r="A198" s="325"/>
      <c r="B198" s="326" t="s">
        <v>1594</v>
      </c>
      <c r="D198" s="326" t="s">
        <v>1594</v>
      </c>
      <c r="E198" s="359" t="s">
        <v>7860</v>
      </c>
      <c r="F198" s="334" t="s">
        <v>5632</v>
      </c>
      <c r="G198" s="327" t="s">
        <v>7867</v>
      </c>
      <c r="H198" s="328" t="s">
        <v>5633</v>
      </c>
      <c r="I198" s="378">
        <v>88253</v>
      </c>
      <c r="J198" s="379">
        <v>1583</v>
      </c>
      <c r="K198" s="459"/>
      <c r="L198" s="460"/>
      <c r="M198" s="417"/>
    </row>
    <row r="199" spans="1:13" ht="15" customHeight="1">
      <c r="A199" s="329"/>
      <c r="B199" s="330"/>
      <c r="C199" s="331"/>
      <c r="D199" s="330"/>
      <c r="E199" s="367" t="s">
        <v>7860</v>
      </c>
      <c r="F199" s="332" t="s">
        <v>5353</v>
      </c>
      <c r="G199" s="331" t="s">
        <v>7868</v>
      </c>
      <c r="H199" s="320" t="s">
        <v>5634</v>
      </c>
      <c r="I199" s="384">
        <v>34087</v>
      </c>
      <c r="J199" s="381">
        <v>325</v>
      </c>
      <c r="K199" s="459"/>
      <c r="L199" s="460"/>
      <c r="M199" s="417"/>
    </row>
    <row r="200" spans="1:13" ht="15" customHeight="1">
      <c r="A200" s="325" t="s">
        <v>5635</v>
      </c>
      <c r="B200" s="326" t="s">
        <v>894</v>
      </c>
      <c r="C200" s="327" t="s">
        <v>5636</v>
      </c>
      <c r="D200" s="326" t="s">
        <v>7869</v>
      </c>
      <c r="E200" s="359" t="s">
        <v>7869</v>
      </c>
      <c r="G200" s="327" t="s">
        <v>1594</v>
      </c>
      <c r="H200" s="328" t="s">
        <v>78</v>
      </c>
      <c r="I200" s="378"/>
      <c r="J200" s="379">
        <v>6640</v>
      </c>
      <c r="K200" s="459"/>
      <c r="L200" s="460"/>
      <c r="M200" s="417"/>
    </row>
    <row r="201" spans="1:13" ht="15" customHeight="1">
      <c r="A201" s="325"/>
      <c r="D201" s="326"/>
      <c r="E201" s="359" t="s">
        <v>7869</v>
      </c>
      <c r="F201" s="334" t="s">
        <v>5637</v>
      </c>
      <c r="G201" s="327" t="s">
        <v>7870</v>
      </c>
      <c r="H201" s="328" t="s">
        <v>5638</v>
      </c>
      <c r="I201" s="378"/>
      <c r="J201" s="379">
        <v>36</v>
      </c>
      <c r="K201" s="459"/>
      <c r="L201" s="460"/>
      <c r="M201" s="417"/>
    </row>
    <row r="202" spans="1:13" ht="15" customHeight="1">
      <c r="A202" s="325"/>
      <c r="D202" s="326"/>
      <c r="E202" s="359" t="s">
        <v>7869</v>
      </c>
      <c r="F202" s="334" t="s">
        <v>5455</v>
      </c>
      <c r="G202" s="327" t="s">
        <v>7871</v>
      </c>
      <c r="H202" s="328" t="s">
        <v>5639</v>
      </c>
      <c r="I202" s="378">
        <v>75471</v>
      </c>
      <c r="J202" s="379">
        <v>1013</v>
      </c>
      <c r="K202" s="459"/>
      <c r="L202" s="460"/>
      <c r="M202" s="417"/>
    </row>
    <row r="203" spans="1:13" ht="15" customHeight="1">
      <c r="A203" s="329"/>
      <c r="B203" s="330"/>
      <c r="C203" s="331"/>
      <c r="D203" s="330"/>
      <c r="E203" s="367" t="s">
        <v>7869</v>
      </c>
      <c r="F203" s="332" t="s">
        <v>5576</v>
      </c>
      <c r="G203" s="331" t="s">
        <v>7872</v>
      </c>
      <c r="H203" s="320" t="s">
        <v>5640</v>
      </c>
      <c r="I203" s="384">
        <v>243122</v>
      </c>
      <c r="J203" s="381">
        <v>5591</v>
      </c>
      <c r="K203" s="459"/>
      <c r="L203" s="460"/>
      <c r="M203" s="417"/>
    </row>
    <row r="204" spans="1:13" ht="15" customHeight="1">
      <c r="A204" s="325" t="s">
        <v>5641</v>
      </c>
      <c r="B204" s="326" t="s">
        <v>896</v>
      </c>
      <c r="C204" s="327" t="s">
        <v>5642</v>
      </c>
      <c r="D204" s="326" t="s">
        <v>7873</v>
      </c>
      <c r="E204" s="359" t="s">
        <v>7873</v>
      </c>
      <c r="G204" s="327" t="s">
        <v>1594</v>
      </c>
      <c r="H204" s="328" t="s">
        <v>5643</v>
      </c>
      <c r="I204" s="378"/>
      <c r="J204" s="379">
        <v>2751</v>
      </c>
      <c r="K204" s="459"/>
      <c r="L204" s="460"/>
      <c r="M204" s="417"/>
    </row>
    <row r="205" spans="1:13" ht="15" customHeight="1">
      <c r="A205" s="325"/>
      <c r="B205" s="326" t="s">
        <v>1594</v>
      </c>
      <c r="D205" s="326" t="s">
        <v>1594</v>
      </c>
      <c r="E205" s="359" t="s">
        <v>7873</v>
      </c>
      <c r="F205" s="334" t="s">
        <v>575</v>
      </c>
      <c r="G205" s="327" t="s">
        <v>7874</v>
      </c>
      <c r="H205" s="328" t="s">
        <v>5644</v>
      </c>
      <c r="I205" s="378">
        <v>125257</v>
      </c>
      <c r="J205" s="379">
        <v>1549</v>
      </c>
      <c r="K205" s="459"/>
      <c r="L205" s="460"/>
      <c r="M205" s="417"/>
    </row>
    <row r="206" spans="1:13" ht="15" customHeight="1">
      <c r="A206" s="325"/>
      <c r="B206" s="326" t="s">
        <v>1594</v>
      </c>
      <c r="D206" s="326" t="s">
        <v>1594</v>
      </c>
      <c r="E206" s="359" t="s">
        <v>7873</v>
      </c>
      <c r="F206" s="334" t="s">
        <v>5359</v>
      </c>
      <c r="G206" s="327" t="s">
        <v>7875</v>
      </c>
      <c r="H206" s="328" t="s">
        <v>5645</v>
      </c>
      <c r="I206" s="378">
        <v>37001</v>
      </c>
      <c r="J206" s="379">
        <v>723</v>
      </c>
      <c r="K206" s="459"/>
      <c r="L206" s="460"/>
      <c r="M206" s="417"/>
    </row>
    <row r="207" spans="1:13" ht="15" customHeight="1">
      <c r="A207" s="325"/>
      <c r="B207" s="326" t="s">
        <v>1594</v>
      </c>
      <c r="D207" s="326" t="s">
        <v>1594</v>
      </c>
      <c r="E207" s="359" t="s">
        <v>7873</v>
      </c>
      <c r="F207" s="334" t="s">
        <v>5361</v>
      </c>
      <c r="G207" s="327" t="s">
        <v>7876</v>
      </c>
      <c r="H207" s="328" t="s">
        <v>5646</v>
      </c>
      <c r="I207" s="378">
        <v>7028</v>
      </c>
      <c r="J207" s="379">
        <v>12</v>
      </c>
      <c r="K207" s="459"/>
      <c r="L207" s="460"/>
      <c r="M207" s="417"/>
    </row>
    <row r="208" spans="1:13" ht="15" customHeight="1">
      <c r="A208" s="325"/>
      <c r="B208" s="326" t="s">
        <v>1594</v>
      </c>
      <c r="D208" s="326" t="s">
        <v>1594</v>
      </c>
      <c r="E208" s="359" t="s">
        <v>7873</v>
      </c>
      <c r="F208" s="334" t="s">
        <v>5363</v>
      </c>
      <c r="G208" s="327" t="s">
        <v>7877</v>
      </c>
      <c r="H208" s="333" t="s">
        <v>5647</v>
      </c>
      <c r="I208" s="378">
        <v>37671</v>
      </c>
      <c r="J208" s="379">
        <v>0</v>
      </c>
      <c r="K208" s="459"/>
      <c r="L208" s="460"/>
      <c r="M208" s="417"/>
    </row>
    <row r="209" spans="1:13" ht="15" customHeight="1">
      <c r="A209" s="325"/>
      <c r="B209" s="326" t="s">
        <v>1594</v>
      </c>
      <c r="D209" s="326" t="s">
        <v>1594</v>
      </c>
      <c r="E209" s="359" t="s">
        <v>7873</v>
      </c>
      <c r="F209" s="334" t="s">
        <v>5365</v>
      </c>
      <c r="G209" s="327" t="s">
        <v>7878</v>
      </c>
      <c r="H209" s="328" t="s">
        <v>5648</v>
      </c>
      <c r="I209" s="378">
        <v>2340</v>
      </c>
      <c r="J209" s="379">
        <v>126</v>
      </c>
      <c r="K209" s="459"/>
      <c r="L209" s="460"/>
      <c r="M209" s="417"/>
    </row>
    <row r="210" spans="1:13" ht="15" customHeight="1">
      <c r="A210" s="325"/>
      <c r="B210" s="326" t="s">
        <v>1594</v>
      </c>
      <c r="D210" s="326" t="s">
        <v>1594</v>
      </c>
      <c r="E210" s="359" t="s">
        <v>7873</v>
      </c>
      <c r="F210" s="334" t="s">
        <v>5367</v>
      </c>
      <c r="G210" s="327" t="s">
        <v>7879</v>
      </c>
      <c r="H210" s="328" t="s">
        <v>5649</v>
      </c>
      <c r="I210" s="378">
        <v>21614</v>
      </c>
      <c r="J210" s="379">
        <v>137</v>
      </c>
      <c r="K210" s="459"/>
      <c r="L210" s="460"/>
      <c r="M210" s="417"/>
    </row>
    <row r="211" spans="1:13" ht="15" customHeight="1">
      <c r="A211" s="325"/>
      <c r="B211" s="326" t="s">
        <v>1594</v>
      </c>
      <c r="D211" s="326" t="s">
        <v>1594</v>
      </c>
      <c r="E211" s="359" t="s">
        <v>7873</v>
      </c>
      <c r="F211" s="334" t="s">
        <v>5650</v>
      </c>
      <c r="G211" s="327" t="s">
        <v>7880</v>
      </c>
      <c r="H211" s="333" t="s">
        <v>5651</v>
      </c>
      <c r="I211" s="378">
        <v>9093</v>
      </c>
      <c r="J211" s="379">
        <v>146</v>
      </c>
      <c r="K211" s="459"/>
      <c r="L211" s="460"/>
      <c r="M211" s="417"/>
    </row>
    <row r="212" spans="1:13" ht="15" customHeight="1">
      <c r="A212" s="329"/>
      <c r="B212" s="330"/>
      <c r="C212" s="331"/>
      <c r="D212" s="330"/>
      <c r="E212" s="367" t="s">
        <v>7873</v>
      </c>
      <c r="F212" s="332" t="s">
        <v>5385</v>
      </c>
      <c r="G212" s="331" t="s">
        <v>7881</v>
      </c>
      <c r="H212" s="344" t="s">
        <v>5652</v>
      </c>
      <c r="I212" s="384">
        <v>10106</v>
      </c>
      <c r="J212" s="381">
        <v>58</v>
      </c>
      <c r="K212" s="459"/>
      <c r="L212" s="460"/>
      <c r="M212" s="417"/>
    </row>
    <row r="213" spans="1:13" ht="15" customHeight="1">
      <c r="A213" s="325" t="s">
        <v>5653</v>
      </c>
      <c r="B213" s="326" t="s">
        <v>898</v>
      </c>
      <c r="C213" s="327" t="s">
        <v>5654</v>
      </c>
      <c r="D213" s="326" t="s">
        <v>7882</v>
      </c>
      <c r="E213" s="359" t="s">
        <v>7882</v>
      </c>
      <c r="G213" s="327" t="s">
        <v>1594</v>
      </c>
      <c r="H213" s="328" t="s">
        <v>5655</v>
      </c>
      <c r="I213" s="378">
        <v>221356</v>
      </c>
      <c r="J213" s="379">
        <v>1405</v>
      </c>
      <c r="K213" s="459"/>
      <c r="L213" s="460"/>
      <c r="M213" s="417"/>
    </row>
    <row r="214" spans="1:13" ht="15" customHeight="1">
      <c r="A214" s="325"/>
      <c r="B214" s="326" t="s">
        <v>1594</v>
      </c>
      <c r="D214" s="326" t="s">
        <v>1594</v>
      </c>
      <c r="E214" s="359" t="s">
        <v>7882</v>
      </c>
      <c r="F214" s="334" t="s">
        <v>5637</v>
      </c>
      <c r="G214" s="327" t="s">
        <v>7883</v>
      </c>
      <c r="H214" s="328" t="s">
        <v>5656</v>
      </c>
      <c r="I214" s="378">
        <v>1586</v>
      </c>
      <c r="J214" s="379">
        <v>10</v>
      </c>
      <c r="K214" s="459"/>
      <c r="L214" s="460"/>
      <c r="M214" s="417"/>
    </row>
    <row r="215" spans="1:13" ht="15" customHeight="1">
      <c r="A215" s="325"/>
      <c r="B215" s="326" t="s">
        <v>1594</v>
      </c>
      <c r="D215" s="326" t="s">
        <v>1594</v>
      </c>
      <c r="E215" s="359" t="s">
        <v>7882</v>
      </c>
      <c r="F215" s="334" t="s">
        <v>5657</v>
      </c>
      <c r="G215" s="327" t="s">
        <v>7884</v>
      </c>
      <c r="H215" s="328" t="s">
        <v>5658</v>
      </c>
      <c r="I215" s="378">
        <v>61850</v>
      </c>
      <c r="J215" s="379">
        <v>1090</v>
      </c>
      <c r="K215" s="459"/>
      <c r="L215" s="460"/>
      <c r="M215" s="417"/>
    </row>
    <row r="216" spans="1:13" ht="15" customHeight="1">
      <c r="A216" s="325"/>
      <c r="B216" s="326" t="s">
        <v>1594</v>
      </c>
      <c r="D216" s="326" t="s">
        <v>1594</v>
      </c>
      <c r="E216" s="359" t="s">
        <v>7882</v>
      </c>
      <c r="F216" s="334" t="s">
        <v>5659</v>
      </c>
      <c r="G216" s="327" t="s">
        <v>7885</v>
      </c>
      <c r="H216" s="328" t="s">
        <v>5660</v>
      </c>
      <c r="I216" s="378">
        <v>11728</v>
      </c>
      <c r="J216" s="379">
        <v>40</v>
      </c>
      <c r="K216" s="459"/>
      <c r="L216" s="460"/>
      <c r="M216" s="417"/>
    </row>
    <row r="217" spans="1:13" ht="15" customHeight="1">
      <c r="A217" s="325"/>
      <c r="B217" s="326" t="s">
        <v>1594</v>
      </c>
      <c r="D217" s="326" t="s">
        <v>1594</v>
      </c>
      <c r="E217" s="359" t="s">
        <v>7882</v>
      </c>
      <c r="F217" s="334" t="s">
        <v>5661</v>
      </c>
      <c r="G217" s="327" t="s">
        <v>7886</v>
      </c>
      <c r="H217" s="328" t="s">
        <v>5662</v>
      </c>
      <c r="I217" s="378">
        <v>9584</v>
      </c>
      <c r="J217" s="379">
        <v>0</v>
      </c>
      <c r="K217" s="459"/>
      <c r="L217" s="460"/>
      <c r="M217" s="417"/>
    </row>
    <row r="218" spans="1:13" ht="15" customHeight="1">
      <c r="A218" s="325"/>
      <c r="B218" s="326" t="s">
        <v>1594</v>
      </c>
      <c r="D218" s="326" t="s">
        <v>1594</v>
      </c>
      <c r="E218" s="359" t="s">
        <v>7882</v>
      </c>
      <c r="F218" s="334" t="s">
        <v>5663</v>
      </c>
      <c r="G218" s="327" t="s">
        <v>7887</v>
      </c>
      <c r="H218" s="328" t="s">
        <v>5664</v>
      </c>
      <c r="I218" s="378">
        <v>31165</v>
      </c>
      <c r="J218" s="379">
        <v>6</v>
      </c>
      <c r="K218" s="459"/>
      <c r="L218" s="460"/>
      <c r="M218" s="417"/>
    </row>
    <row r="219" spans="1:13" ht="15" customHeight="1">
      <c r="A219" s="325"/>
      <c r="B219" s="326" t="s">
        <v>1594</v>
      </c>
      <c r="D219" s="326" t="s">
        <v>1594</v>
      </c>
      <c r="E219" s="359" t="s">
        <v>7882</v>
      </c>
      <c r="F219" s="334" t="s">
        <v>5665</v>
      </c>
      <c r="G219" s="327" t="s">
        <v>7888</v>
      </c>
      <c r="H219" s="328" t="s">
        <v>5666</v>
      </c>
      <c r="I219" s="378">
        <v>1661</v>
      </c>
      <c r="J219" s="379">
        <v>20</v>
      </c>
      <c r="K219" s="459"/>
      <c r="L219" s="460"/>
      <c r="M219" s="417"/>
    </row>
    <row r="220" spans="1:13" ht="15" customHeight="1">
      <c r="A220" s="325"/>
      <c r="D220" s="326"/>
      <c r="E220" s="359" t="s">
        <v>7882</v>
      </c>
      <c r="F220" s="334" t="s">
        <v>5667</v>
      </c>
      <c r="G220" s="327" t="s">
        <v>7889</v>
      </c>
      <c r="H220" s="328" t="s">
        <v>5668</v>
      </c>
      <c r="I220" s="378">
        <v>45352</v>
      </c>
      <c r="J220" s="379">
        <v>190</v>
      </c>
      <c r="K220" s="459"/>
      <c r="L220" s="460"/>
      <c r="M220" s="417"/>
    </row>
    <row r="221" spans="1:13" ht="15" customHeight="1">
      <c r="A221" s="325"/>
      <c r="D221" s="326"/>
      <c r="E221" s="359" t="s">
        <v>7882</v>
      </c>
      <c r="F221" s="334" t="s">
        <v>5371</v>
      </c>
      <c r="G221" s="327" t="s">
        <v>7890</v>
      </c>
      <c r="H221" s="328" t="s">
        <v>5669</v>
      </c>
      <c r="I221" s="378">
        <v>27605</v>
      </c>
      <c r="J221" s="379">
        <v>0</v>
      </c>
      <c r="K221" s="459"/>
      <c r="L221" s="460"/>
      <c r="M221" s="417"/>
    </row>
    <row r="222" spans="1:13" ht="15" customHeight="1">
      <c r="A222" s="325"/>
      <c r="D222" s="326"/>
      <c r="E222" s="359" t="s">
        <v>7882</v>
      </c>
      <c r="F222" s="334" t="s">
        <v>5373</v>
      </c>
      <c r="G222" s="327" t="s">
        <v>7891</v>
      </c>
      <c r="H222" s="328" t="s">
        <v>5670</v>
      </c>
      <c r="I222" s="378">
        <v>18466</v>
      </c>
      <c r="J222" s="379">
        <v>18</v>
      </c>
      <c r="K222" s="459"/>
      <c r="L222" s="460"/>
      <c r="M222" s="417"/>
    </row>
    <row r="223" spans="1:13" ht="15" customHeight="1">
      <c r="A223" s="325"/>
      <c r="B223" s="326" t="s">
        <v>1594</v>
      </c>
      <c r="D223" s="326" t="s">
        <v>1594</v>
      </c>
      <c r="E223" s="359" t="s">
        <v>7882</v>
      </c>
      <c r="F223" s="334" t="s">
        <v>5453</v>
      </c>
      <c r="G223" s="327" t="s">
        <v>7892</v>
      </c>
      <c r="H223" s="328" t="s">
        <v>5671</v>
      </c>
      <c r="I223" s="378">
        <v>3572</v>
      </c>
      <c r="J223" s="379">
        <v>1</v>
      </c>
      <c r="K223" s="459"/>
      <c r="L223" s="460"/>
      <c r="M223" s="417"/>
    </row>
    <row r="224" spans="1:13" ht="15" customHeight="1">
      <c r="A224" s="325"/>
      <c r="B224" s="326" t="s">
        <v>1594</v>
      </c>
      <c r="D224" s="326" t="s">
        <v>1594</v>
      </c>
      <c r="E224" s="359" t="s">
        <v>7882</v>
      </c>
      <c r="F224" s="334" t="s">
        <v>5455</v>
      </c>
      <c r="G224" s="327" t="s">
        <v>7893</v>
      </c>
      <c r="H224" s="328" t="s">
        <v>5672</v>
      </c>
      <c r="I224" s="378">
        <v>2904</v>
      </c>
      <c r="J224" s="379">
        <v>6</v>
      </c>
      <c r="K224" s="459"/>
      <c r="L224" s="460"/>
      <c r="M224" s="417"/>
    </row>
    <row r="225" spans="1:13" ht="15" customHeight="1">
      <c r="A225" s="325"/>
      <c r="B225" s="326" t="s">
        <v>1594</v>
      </c>
      <c r="D225" s="326" t="s">
        <v>1594</v>
      </c>
      <c r="E225" s="359" t="s">
        <v>7882</v>
      </c>
      <c r="F225" s="334" t="s">
        <v>5476</v>
      </c>
      <c r="G225" s="327" t="s">
        <v>7894</v>
      </c>
      <c r="H225" s="328" t="s">
        <v>5673</v>
      </c>
      <c r="I225" s="378">
        <v>571</v>
      </c>
      <c r="J225" s="379">
        <v>0</v>
      </c>
      <c r="K225" s="459"/>
      <c r="L225" s="460"/>
      <c r="M225" s="417"/>
    </row>
    <row r="226" spans="1:13" ht="15" customHeight="1">
      <c r="A226" s="325"/>
      <c r="B226" s="326" t="s">
        <v>1594</v>
      </c>
      <c r="D226" s="326" t="s">
        <v>1594</v>
      </c>
      <c r="E226" s="359" t="s">
        <v>7882</v>
      </c>
      <c r="F226" s="334" t="s">
        <v>5423</v>
      </c>
      <c r="G226" s="327" t="s">
        <v>7895</v>
      </c>
      <c r="H226" s="328" t="s">
        <v>5674</v>
      </c>
      <c r="I226" s="378">
        <v>1827</v>
      </c>
      <c r="J226" s="379">
        <v>13</v>
      </c>
      <c r="K226" s="459"/>
      <c r="L226" s="460"/>
      <c r="M226" s="417"/>
    </row>
    <row r="227" spans="1:13" ht="15" customHeight="1">
      <c r="A227" s="325"/>
      <c r="B227" s="326" t="s">
        <v>1594</v>
      </c>
      <c r="D227" s="326" t="s">
        <v>1594</v>
      </c>
      <c r="E227" s="359" t="s">
        <v>7882</v>
      </c>
      <c r="F227" s="334" t="s">
        <v>5425</v>
      </c>
      <c r="G227" s="327" t="s">
        <v>7896</v>
      </c>
      <c r="H227" s="328" t="s">
        <v>5675</v>
      </c>
      <c r="I227" s="378">
        <v>3485</v>
      </c>
      <c r="J227" s="379">
        <v>11</v>
      </c>
      <c r="K227" s="459"/>
      <c r="L227" s="460"/>
      <c r="M227" s="417"/>
    </row>
    <row r="228" spans="1:13" ht="15" customHeight="1">
      <c r="A228" s="329"/>
      <c r="B228" s="330"/>
      <c r="C228" s="331"/>
      <c r="D228" s="330"/>
      <c r="E228" s="367" t="s">
        <v>7882</v>
      </c>
      <c r="F228" s="332" t="s">
        <v>5676</v>
      </c>
      <c r="G228" s="331" t="s">
        <v>7897</v>
      </c>
      <c r="H228" s="320" t="s">
        <v>5677</v>
      </c>
      <c r="I228" s="384"/>
      <c r="J228" s="381">
        <v>0</v>
      </c>
      <c r="K228" s="459"/>
      <c r="L228" s="460"/>
      <c r="M228" s="417"/>
    </row>
    <row r="229" spans="1:13" ht="15" customHeight="1">
      <c r="A229" s="325" t="s">
        <v>5678</v>
      </c>
      <c r="B229" s="326" t="s">
        <v>900</v>
      </c>
      <c r="C229" s="327" t="s">
        <v>5679</v>
      </c>
      <c r="D229" s="326" t="s">
        <v>7898</v>
      </c>
      <c r="E229" s="359" t="s">
        <v>7898</v>
      </c>
      <c r="H229" s="328" t="s">
        <v>5680</v>
      </c>
      <c r="I229" s="378"/>
      <c r="J229" s="379">
        <v>26420</v>
      </c>
      <c r="K229" s="459"/>
      <c r="L229" s="460"/>
      <c r="M229" s="417"/>
    </row>
    <row r="230" spans="1:13" ht="15" customHeight="1">
      <c r="A230" s="325"/>
      <c r="D230" s="326" t="s">
        <v>1594</v>
      </c>
      <c r="E230" s="359" t="s">
        <v>7898</v>
      </c>
      <c r="F230" s="334" t="s">
        <v>5637</v>
      </c>
      <c r="G230" s="327" t="s">
        <v>7899</v>
      </c>
      <c r="H230" s="328" t="s">
        <v>5681</v>
      </c>
      <c r="I230" s="378"/>
      <c r="J230" s="379">
        <v>4</v>
      </c>
      <c r="K230" s="459"/>
      <c r="L230" s="460"/>
      <c r="M230" s="417"/>
    </row>
    <row r="231" spans="1:13" ht="15" customHeight="1">
      <c r="A231" s="325"/>
      <c r="D231" s="326"/>
      <c r="E231" s="359" t="s">
        <v>7898</v>
      </c>
      <c r="F231" s="334" t="s">
        <v>5657</v>
      </c>
      <c r="G231" s="327" t="s">
        <v>7900</v>
      </c>
      <c r="H231" s="328" t="s">
        <v>5682</v>
      </c>
      <c r="I231" s="378"/>
      <c r="J231" s="379">
        <v>0</v>
      </c>
      <c r="K231" s="459"/>
      <c r="L231" s="460"/>
      <c r="M231" s="417"/>
    </row>
    <row r="232" spans="1:13" ht="15" customHeight="1">
      <c r="A232" s="325"/>
      <c r="D232" s="326"/>
      <c r="E232" s="359" t="s">
        <v>7898</v>
      </c>
      <c r="F232" s="334" t="s">
        <v>5361</v>
      </c>
      <c r="G232" s="327" t="s">
        <v>7901</v>
      </c>
      <c r="H232" s="328" t="s">
        <v>5683</v>
      </c>
      <c r="I232" s="378"/>
      <c r="J232" s="379">
        <v>0</v>
      </c>
      <c r="K232" s="459"/>
      <c r="L232" s="460"/>
      <c r="M232" s="417"/>
    </row>
    <row r="233" spans="1:13" ht="15" customHeight="1">
      <c r="A233" s="325"/>
      <c r="D233" s="326"/>
      <c r="E233" s="359" t="s">
        <v>7898</v>
      </c>
      <c r="F233" s="334" t="s">
        <v>5363</v>
      </c>
      <c r="G233" s="327" t="s">
        <v>7902</v>
      </c>
      <c r="H233" s="328" t="s">
        <v>5684</v>
      </c>
      <c r="I233" s="378"/>
      <c r="J233" s="379">
        <v>1</v>
      </c>
      <c r="K233" s="459"/>
      <c r="L233" s="460"/>
      <c r="M233" s="417"/>
    </row>
    <row r="234" spans="1:13" ht="15" customHeight="1">
      <c r="A234" s="325"/>
      <c r="D234" s="326"/>
      <c r="E234" s="359" t="s">
        <v>7898</v>
      </c>
      <c r="F234" s="334" t="s">
        <v>5365</v>
      </c>
      <c r="G234" s="327" t="s">
        <v>7903</v>
      </c>
      <c r="H234" s="328" t="s">
        <v>5685</v>
      </c>
      <c r="I234" s="378"/>
      <c r="J234" s="379">
        <v>0</v>
      </c>
      <c r="K234" s="459"/>
      <c r="L234" s="460"/>
      <c r="M234" s="417"/>
    </row>
    <row r="235" spans="1:13" ht="15" customHeight="1">
      <c r="A235" s="325"/>
      <c r="D235" s="326"/>
      <c r="E235" s="359" t="s">
        <v>7898</v>
      </c>
      <c r="F235" s="334" t="s">
        <v>5367</v>
      </c>
      <c r="G235" s="327" t="s">
        <v>7904</v>
      </c>
      <c r="H235" s="328" t="s">
        <v>5686</v>
      </c>
      <c r="I235" s="378"/>
      <c r="J235" s="379">
        <v>6</v>
      </c>
      <c r="K235" s="459"/>
      <c r="L235" s="460"/>
      <c r="M235" s="417"/>
    </row>
    <row r="236" spans="1:13" ht="15" customHeight="1">
      <c r="A236" s="325"/>
      <c r="D236" s="326"/>
      <c r="E236" s="359" t="s">
        <v>7898</v>
      </c>
      <c r="F236" s="334" t="s">
        <v>5369</v>
      </c>
      <c r="G236" s="327" t="s">
        <v>7905</v>
      </c>
      <c r="H236" s="328" t="s">
        <v>5687</v>
      </c>
      <c r="I236" s="378"/>
      <c r="J236" s="379">
        <v>0</v>
      </c>
      <c r="K236" s="459"/>
      <c r="L236" s="460"/>
      <c r="M236" s="417"/>
    </row>
    <row r="237" spans="1:13" ht="15" customHeight="1">
      <c r="A237" s="325"/>
      <c r="D237" s="326"/>
      <c r="E237" s="359" t="s">
        <v>7898</v>
      </c>
      <c r="F237" s="334" t="s">
        <v>5371</v>
      </c>
      <c r="G237" s="327" t="s">
        <v>7906</v>
      </c>
      <c r="H237" s="328" t="s">
        <v>5688</v>
      </c>
      <c r="I237" s="378"/>
      <c r="J237" s="379">
        <v>5177</v>
      </c>
      <c r="K237" s="459"/>
      <c r="L237" s="460"/>
      <c r="M237" s="417"/>
    </row>
    <row r="238" spans="1:13" ht="15" customHeight="1">
      <c r="A238" s="325"/>
      <c r="D238" s="326"/>
      <c r="E238" s="359" t="s">
        <v>7898</v>
      </c>
      <c r="F238" s="334" t="s">
        <v>5373</v>
      </c>
      <c r="G238" s="327" t="s">
        <v>7907</v>
      </c>
      <c r="H238" s="328" t="s">
        <v>5689</v>
      </c>
      <c r="I238" s="378"/>
      <c r="J238" s="379">
        <v>495</v>
      </c>
      <c r="K238" s="459"/>
      <c r="L238" s="460"/>
      <c r="M238" s="417"/>
    </row>
    <row r="239" spans="1:13" ht="15" customHeight="1">
      <c r="A239" s="325"/>
      <c r="D239" s="326"/>
      <c r="E239" s="359" t="s">
        <v>7898</v>
      </c>
      <c r="F239" s="334" t="s">
        <v>5375</v>
      </c>
      <c r="G239" s="327" t="s">
        <v>7908</v>
      </c>
      <c r="H239" s="328" t="s">
        <v>5690</v>
      </c>
      <c r="I239" s="378"/>
      <c r="J239" s="379">
        <v>225</v>
      </c>
      <c r="K239" s="459"/>
      <c r="L239" s="460"/>
      <c r="M239" s="417"/>
    </row>
    <row r="240" spans="1:13" ht="15" customHeight="1">
      <c r="A240" s="325"/>
      <c r="D240" s="326"/>
      <c r="E240" s="359" t="s">
        <v>7898</v>
      </c>
      <c r="F240" s="334" t="s">
        <v>5377</v>
      </c>
      <c r="G240" s="327" t="s">
        <v>7909</v>
      </c>
      <c r="H240" s="328" t="s">
        <v>5691</v>
      </c>
      <c r="I240" s="378"/>
      <c r="J240" s="379">
        <v>0</v>
      </c>
      <c r="K240" s="459"/>
      <c r="L240" s="460"/>
      <c r="M240" s="417"/>
    </row>
    <row r="241" spans="1:13" ht="15" customHeight="1">
      <c r="A241" s="325"/>
      <c r="D241" s="326"/>
      <c r="E241" s="359" t="s">
        <v>7898</v>
      </c>
      <c r="F241" s="334" t="s">
        <v>5379</v>
      </c>
      <c r="G241" s="327" t="s">
        <v>7910</v>
      </c>
      <c r="H241" s="328" t="s">
        <v>5692</v>
      </c>
      <c r="I241" s="378"/>
      <c r="J241" s="379">
        <v>110</v>
      </c>
      <c r="K241" s="459"/>
      <c r="L241" s="460"/>
      <c r="M241" s="417"/>
    </row>
    <row r="242" spans="1:13" ht="15" customHeight="1">
      <c r="A242" s="325"/>
      <c r="D242" s="326"/>
      <c r="E242" s="359" t="s">
        <v>7898</v>
      </c>
      <c r="F242" s="334" t="s">
        <v>5693</v>
      </c>
      <c r="G242" s="327" t="s">
        <v>7911</v>
      </c>
      <c r="H242" s="328" t="s">
        <v>5694</v>
      </c>
      <c r="I242" s="378"/>
      <c r="J242" s="379">
        <v>2032</v>
      </c>
      <c r="K242" s="459"/>
      <c r="L242" s="460"/>
      <c r="M242" s="417"/>
    </row>
    <row r="243" spans="1:13" ht="15" customHeight="1">
      <c r="A243" s="325"/>
      <c r="D243" s="326"/>
      <c r="E243" s="359" t="s">
        <v>7898</v>
      </c>
      <c r="F243" s="334" t="s">
        <v>5695</v>
      </c>
      <c r="G243" s="327" t="s">
        <v>7912</v>
      </c>
      <c r="H243" s="328" t="s">
        <v>5696</v>
      </c>
      <c r="I243" s="378"/>
      <c r="J243" s="379">
        <v>37</v>
      </c>
      <c r="K243" s="459"/>
      <c r="L243" s="460"/>
      <c r="M243" s="417"/>
    </row>
    <row r="244" spans="1:13" ht="15" customHeight="1">
      <c r="A244" s="325"/>
      <c r="D244" s="326"/>
      <c r="E244" s="359" t="s">
        <v>7898</v>
      </c>
      <c r="F244" s="334" t="s">
        <v>5697</v>
      </c>
      <c r="G244" s="327" t="s">
        <v>7913</v>
      </c>
      <c r="H244" s="328" t="s">
        <v>5698</v>
      </c>
      <c r="I244" s="378"/>
      <c r="J244" s="379">
        <v>0</v>
      </c>
      <c r="K244" s="459"/>
      <c r="L244" s="460"/>
      <c r="M244" s="417"/>
    </row>
    <row r="245" spans="1:13" ht="15" customHeight="1">
      <c r="A245" s="325"/>
      <c r="D245" s="326"/>
      <c r="E245" s="359" t="s">
        <v>7898</v>
      </c>
      <c r="F245" s="334" t="s">
        <v>5699</v>
      </c>
      <c r="G245" s="327" t="s">
        <v>7914</v>
      </c>
      <c r="H245" s="328" t="s">
        <v>5700</v>
      </c>
      <c r="I245" s="378"/>
      <c r="J245" s="379">
        <v>0</v>
      </c>
      <c r="K245" s="459"/>
      <c r="L245" s="460"/>
      <c r="M245" s="417"/>
    </row>
    <row r="246" spans="1:13" ht="15" customHeight="1">
      <c r="A246" s="325"/>
      <c r="D246" s="326"/>
      <c r="E246" s="359" t="s">
        <v>7898</v>
      </c>
      <c r="F246" s="334" t="s">
        <v>5701</v>
      </c>
      <c r="G246" s="327" t="s">
        <v>7915</v>
      </c>
      <c r="H246" s="328" t="s">
        <v>5702</v>
      </c>
      <c r="I246" s="378"/>
      <c r="J246" s="379">
        <v>530</v>
      </c>
      <c r="K246" s="459"/>
      <c r="L246" s="460"/>
      <c r="M246" s="417"/>
    </row>
    <row r="247" spans="1:13" ht="15" customHeight="1">
      <c r="A247" s="325"/>
      <c r="D247" s="326"/>
      <c r="E247" s="359" t="s">
        <v>7898</v>
      </c>
      <c r="F247" s="334" t="s">
        <v>5703</v>
      </c>
      <c r="G247" s="327" t="s">
        <v>7916</v>
      </c>
      <c r="H247" s="328" t="s">
        <v>5704</v>
      </c>
      <c r="I247" s="378"/>
      <c r="J247" s="379">
        <v>42</v>
      </c>
      <c r="K247" s="459"/>
      <c r="L247" s="460"/>
      <c r="M247" s="417"/>
    </row>
    <row r="248" spans="1:13" ht="15" customHeight="1">
      <c r="A248" s="325"/>
      <c r="D248" s="326"/>
      <c r="E248" s="359" t="s">
        <v>7898</v>
      </c>
      <c r="F248" s="334" t="s">
        <v>5705</v>
      </c>
      <c r="G248" s="327" t="s">
        <v>7917</v>
      </c>
      <c r="H248" s="328" t="s">
        <v>5706</v>
      </c>
      <c r="I248" s="378"/>
      <c r="J248" s="379">
        <v>245</v>
      </c>
      <c r="K248" s="459"/>
      <c r="L248" s="460"/>
      <c r="M248" s="417"/>
    </row>
    <row r="249" spans="1:13" ht="15" customHeight="1">
      <c r="A249" s="325"/>
      <c r="D249" s="326"/>
      <c r="E249" s="359" t="s">
        <v>7898</v>
      </c>
      <c r="F249" s="334" t="s">
        <v>5707</v>
      </c>
      <c r="G249" s="327" t="s">
        <v>7918</v>
      </c>
      <c r="H249" s="328" t="s">
        <v>5708</v>
      </c>
      <c r="I249" s="378"/>
      <c r="J249" s="379">
        <v>403</v>
      </c>
      <c r="K249" s="459"/>
      <c r="L249" s="460"/>
      <c r="M249" s="417"/>
    </row>
    <row r="250" spans="1:13" ht="15" customHeight="1">
      <c r="A250" s="325"/>
      <c r="D250" s="326"/>
      <c r="E250" s="359" t="s">
        <v>7898</v>
      </c>
      <c r="F250" s="334" t="s">
        <v>5709</v>
      </c>
      <c r="G250" s="327" t="s">
        <v>7919</v>
      </c>
      <c r="H250" s="328" t="s">
        <v>5710</v>
      </c>
      <c r="I250" s="378"/>
      <c r="J250" s="379">
        <v>1079</v>
      </c>
      <c r="K250" s="459"/>
      <c r="L250" s="460"/>
      <c r="M250" s="417"/>
    </row>
    <row r="251" spans="1:13" ht="15" customHeight="1">
      <c r="A251" s="325"/>
      <c r="D251" s="326"/>
      <c r="E251" s="359" t="s">
        <v>7898</v>
      </c>
      <c r="F251" s="334" t="s">
        <v>5711</v>
      </c>
      <c r="G251" s="327" t="s">
        <v>7920</v>
      </c>
      <c r="H251" s="328" t="s">
        <v>5712</v>
      </c>
      <c r="I251" s="378"/>
      <c r="J251" s="379">
        <v>6</v>
      </c>
      <c r="K251" s="459"/>
      <c r="L251" s="460"/>
      <c r="M251" s="417"/>
    </row>
    <row r="252" spans="1:13" ht="15" customHeight="1">
      <c r="A252" s="325"/>
      <c r="D252" s="326"/>
      <c r="E252" s="359" t="s">
        <v>7898</v>
      </c>
      <c r="F252" s="334" t="s">
        <v>5713</v>
      </c>
      <c r="G252" s="327" t="s">
        <v>7921</v>
      </c>
      <c r="H252" s="328" t="s">
        <v>5714</v>
      </c>
      <c r="I252" s="378"/>
      <c r="J252" s="379">
        <v>330</v>
      </c>
      <c r="K252" s="459"/>
      <c r="L252" s="460"/>
      <c r="M252" s="417"/>
    </row>
    <row r="253" spans="1:13" ht="15" customHeight="1">
      <c r="A253" s="325"/>
      <c r="D253" s="326"/>
      <c r="E253" s="359" t="s">
        <v>7898</v>
      </c>
      <c r="F253" s="334" t="s">
        <v>5715</v>
      </c>
      <c r="G253" s="327" t="s">
        <v>7922</v>
      </c>
      <c r="H253" s="328" t="s">
        <v>5716</v>
      </c>
      <c r="I253" s="378"/>
      <c r="J253" s="379">
        <v>487</v>
      </c>
      <c r="K253" s="459"/>
      <c r="L253" s="460"/>
      <c r="M253" s="417"/>
    </row>
    <row r="254" spans="1:13" ht="15" customHeight="1">
      <c r="A254" s="325"/>
      <c r="D254" s="326"/>
      <c r="E254" s="359" t="s">
        <v>7898</v>
      </c>
      <c r="F254" s="334" t="s">
        <v>5717</v>
      </c>
      <c r="G254" s="327" t="s">
        <v>7923</v>
      </c>
      <c r="H254" s="328" t="s">
        <v>5718</v>
      </c>
      <c r="I254" s="378"/>
      <c r="J254" s="379">
        <v>2001</v>
      </c>
      <c r="K254" s="459"/>
      <c r="L254" s="460"/>
      <c r="M254" s="417"/>
    </row>
    <row r="255" spans="1:13" ht="15" customHeight="1">
      <c r="A255" s="325"/>
      <c r="D255" s="326"/>
      <c r="E255" s="359" t="s">
        <v>7898</v>
      </c>
      <c r="F255" s="334" t="s">
        <v>5719</v>
      </c>
      <c r="G255" s="327" t="s">
        <v>7924</v>
      </c>
      <c r="H255" s="328" t="s">
        <v>5720</v>
      </c>
      <c r="I255" s="378"/>
      <c r="J255" s="379">
        <v>5</v>
      </c>
      <c r="K255" s="459"/>
      <c r="L255" s="460"/>
      <c r="M255" s="417"/>
    </row>
    <row r="256" spans="1:13" ht="15" customHeight="1">
      <c r="A256" s="325"/>
      <c r="D256" s="326"/>
      <c r="E256" s="359" t="s">
        <v>7898</v>
      </c>
      <c r="F256" s="334" t="s">
        <v>5721</v>
      </c>
      <c r="G256" s="327" t="s">
        <v>7925</v>
      </c>
      <c r="H256" s="328" t="s">
        <v>5722</v>
      </c>
      <c r="I256" s="378"/>
      <c r="J256" s="379">
        <v>39</v>
      </c>
      <c r="K256" s="459"/>
      <c r="L256" s="460"/>
      <c r="M256" s="417"/>
    </row>
    <row r="257" spans="1:13" ht="15" customHeight="1">
      <c r="A257" s="325"/>
      <c r="D257" s="326"/>
      <c r="E257" s="359" t="s">
        <v>7898</v>
      </c>
      <c r="F257" s="334" t="s">
        <v>5453</v>
      </c>
      <c r="G257" s="327" t="s">
        <v>7926</v>
      </c>
      <c r="H257" s="328" t="s">
        <v>5723</v>
      </c>
      <c r="I257" s="378"/>
      <c r="J257" s="379">
        <v>2888</v>
      </c>
      <c r="K257" s="459"/>
      <c r="L257" s="460"/>
      <c r="M257" s="417"/>
    </row>
    <row r="258" spans="1:13" ht="15" customHeight="1">
      <c r="A258" s="325"/>
      <c r="D258" s="326"/>
      <c r="E258" s="359" t="s">
        <v>7898</v>
      </c>
      <c r="F258" s="334" t="s">
        <v>5455</v>
      </c>
      <c r="G258" s="327" t="s">
        <v>7927</v>
      </c>
      <c r="H258" s="328" t="s">
        <v>5724</v>
      </c>
      <c r="I258" s="378"/>
      <c r="J258" s="379">
        <v>42</v>
      </c>
      <c r="K258" s="459"/>
      <c r="L258" s="460"/>
      <c r="M258" s="417"/>
    </row>
    <row r="259" spans="1:13" ht="15" customHeight="1">
      <c r="A259" s="325"/>
      <c r="D259" s="326"/>
      <c r="E259" s="359" t="s">
        <v>7898</v>
      </c>
      <c r="F259" s="334" t="s">
        <v>5385</v>
      </c>
      <c r="G259" s="327" t="s">
        <v>7928</v>
      </c>
      <c r="H259" s="328" t="s">
        <v>5725</v>
      </c>
      <c r="I259" s="378"/>
      <c r="J259" s="379">
        <v>43</v>
      </c>
      <c r="K259" s="459"/>
      <c r="L259" s="460"/>
      <c r="M259" s="417"/>
    </row>
    <row r="260" spans="1:13" ht="15" customHeight="1">
      <c r="A260" s="325"/>
      <c r="D260" s="326"/>
      <c r="E260" s="359" t="s">
        <v>7898</v>
      </c>
      <c r="F260" s="334" t="s">
        <v>5474</v>
      </c>
      <c r="G260" s="327" t="s">
        <v>7929</v>
      </c>
      <c r="H260" s="328" t="s">
        <v>5726</v>
      </c>
      <c r="I260" s="378"/>
      <c r="J260" s="379">
        <v>922</v>
      </c>
      <c r="K260" s="459"/>
      <c r="L260" s="460"/>
      <c r="M260" s="417"/>
    </row>
    <row r="261" spans="1:13" ht="15" customHeight="1">
      <c r="A261" s="325"/>
      <c r="D261" s="326"/>
      <c r="E261" s="359" t="s">
        <v>7898</v>
      </c>
      <c r="F261" s="334" t="s">
        <v>5476</v>
      </c>
      <c r="G261" s="327" t="s">
        <v>7930</v>
      </c>
      <c r="H261" s="328" t="s">
        <v>5727</v>
      </c>
      <c r="I261" s="378"/>
      <c r="J261" s="379">
        <v>4111</v>
      </c>
      <c r="K261" s="459"/>
      <c r="L261" s="460"/>
      <c r="M261" s="417"/>
    </row>
    <row r="262" spans="1:13" ht="15" customHeight="1">
      <c r="A262" s="325"/>
      <c r="D262" s="326"/>
      <c r="E262" s="359" t="s">
        <v>7898</v>
      </c>
      <c r="F262" s="334" t="s">
        <v>5423</v>
      </c>
      <c r="G262" s="327" t="s">
        <v>7931</v>
      </c>
      <c r="H262" s="328" t="s">
        <v>5728</v>
      </c>
      <c r="I262" s="378"/>
      <c r="J262" s="379">
        <v>918</v>
      </c>
      <c r="K262" s="459"/>
      <c r="L262" s="460"/>
      <c r="M262" s="417"/>
    </row>
    <row r="263" spans="1:13" ht="15" customHeight="1">
      <c r="A263" s="325"/>
      <c r="D263" s="326"/>
      <c r="E263" s="359" t="s">
        <v>7898</v>
      </c>
      <c r="F263" s="334" t="s">
        <v>5425</v>
      </c>
      <c r="G263" s="327" t="s">
        <v>7932</v>
      </c>
      <c r="H263" s="328" t="s">
        <v>5729</v>
      </c>
      <c r="I263" s="378"/>
      <c r="J263" s="379">
        <v>80</v>
      </c>
      <c r="K263" s="459"/>
      <c r="L263" s="460"/>
      <c r="M263" s="417"/>
    </row>
    <row r="264" spans="1:13" ht="15" customHeight="1">
      <c r="A264" s="325"/>
      <c r="D264" s="326"/>
      <c r="E264" s="359" t="s">
        <v>7898</v>
      </c>
      <c r="F264" s="334" t="s">
        <v>5676</v>
      </c>
      <c r="G264" s="327" t="s">
        <v>7933</v>
      </c>
      <c r="H264" s="328" t="s">
        <v>5730</v>
      </c>
      <c r="I264" s="378"/>
      <c r="J264" s="379">
        <v>6</v>
      </c>
      <c r="K264" s="459"/>
      <c r="L264" s="460"/>
      <c r="M264" s="417"/>
    </row>
    <row r="265" spans="1:13" ht="15" customHeight="1">
      <c r="A265" s="325"/>
      <c r="D265" s="326"/>
      <c r="E265" s="359" t="s">
        <v>7898</v>
      </c>
      <c r="F265" s="334" t="s">
        <v>5605</v>
      </c>
      <c r="G265" s="327" t="s">
        <v>7934</v>
      </c>
      <c r="H265" s="328" t="s">
        <v>5731</v>
      </c>
      <c r="I265" s="378"/>
      <c r="J265" s="379">
        <v>87</v>
      </c>
      <c r="K265" s="459"/>
      <c r="L265" s="460"/>
      <c r="M265" s="417"/>
    </row>
    <row r="266" spans="1:13" ht="15" customHeight="1">
      <c r="A266" s="325"/>
      <c r="D266" s="326"/>
      <c r="E266" s="359" t="s">
        <v>7898</v>
      </c>
      <c r="F266" s="334" t="s">
        <v>5732</v>
      </c>
      <c r="G266" s="327" t="s">
        <v>7935</v>
      </c>
      <c r="H266" s="328" t="s">
        <v>5733</v>
      </c>
      <c r="I266" s="378"/>
      <c r="J266" s="379">
        <v>97</v>
      </c>
      <c r="K266" s="459"/>
      <c r="L266" s="460"/>
      <c r="M266" s="417"/>
    </row>
    <row r="267" spans="1:13" ht="15" customHeight="1">
      <c r="A267" s="325"/>
      <c r="D267" s="326"/>
      <c r="E267" s="359" t="s">
        <v>7898</v>
      </c>
      <c r="F267" s="334" t="s">
        <v>5734</v>
      </c>
      <c r="G267" s="327" t="s">
        <v>7936</v>
      </c>
      <c r="H267" s="328" t="s">
        <v>5735</v>
      </c>
      <c r="I267" s="378"/>
      <c r="J267" s="379">
        <v>2</v>
      </c>
      <c r="K267" s="459"/>
      <c r="L267" s="460"/>
      <c r="M267" s="417"/>
    </row>
    <row r="268" spans="1:13" ht="15" customHeight="1">
      <c r="A268" s="325"/>
      <c r="D268" s="326"/>
      <c r="E268" s="359" t="s">
        <v>7898</v>
      </c>
      <c r="F268" s="334" t="s">
        <v>5736</v>
      </c>
      <c r="G268" s="327" t="s">
        <v>7937</v>
      </c>
      <c r="H268" s="328" t="s">
        <v>5737</v>
      </c>
      <c r="I268" s="378"/>
      <c r="J268" s="379">
        <v>0</v>
      </c>
      <c r="K268" s="459"/>
      <c r="L268" s="460"/>
      <c r="M268" s="417"/>
    </row>
    <row r="269" spans="1:13" ht="15" customHeight="1">
      <c r="A269" s="325"/>
      <c r="D269" s="326"/>
      <c r="E269" s="359" t="s">
        <v>7898</v>
      </c>
      <c r="F269" s="334" t="s">
        <v>5738</v>
      </c>
      <c r="G269" s="327" t="s">
        <v>7938</v>
      </c>
      <c r="H269" s="328" t="s">
        <v>5739</v>
      </c>
      <c r="I269" s="378"/>
      <c r="J269" s="379">
        <v>178</v>
      </c>
      <c r="K269" s="459"/>
      <c r="L269" s="460"/>
      <c r="M269" s="417"/>
    </row>
    <row r="270" spans="1:13" ht="15" customHeight="1">
      <c r="A270" s="325"/>
      <c r="D270" s="326"/>
      <c r="E270" s="359" t="s">
        <v>7898</v>
      </c>
      <c r="F270" s="334" t="s">
        <v>5740</v>
      </c>
      <c r="G270" s="327" t="s">
        <v>7939</v>
      </c>
      <c r="H270" s="328" t="s">
        <v>5741</v>
      </c>
      <c r="I270" s="378"/>
      <c r="J270" s="379">
        <v>276</v>
      </c>
      <c r="K270" s="459"/>
      <c r="L270" s="460"/>
      <c r="M270" s="417"/>
    </row>
    <row r="271" spans="1:13" ht="15" customHeight="1">
      <c r="A271" s="325"/>
      <c r="D271" s="326"/>
      <c r="E271" s="359" t="s">
        <v>7898</v>
      </c>
      <c r="F271" s="334" t="s">
        <v>5742</v>
      </c>
      <c r="G271" s="327" t="s">
        <v>7940</v>
      </c>
      <c r="H271" s="328" t="s">
        <v>5743</v>
      </c>
      <c r="I271" s="378"/>
      <c r="J271" s="379">
        <v>0</v>
      </c>
      <c r="K271" s="459"/>
      <c r="L271" s="460"/>
      <c r="M271" s="417"/>
    </row>
    <row r="272" spans="1:13" ht="15" customHeight="1">
      <c r="A272" s="325"/>
      <c r="D272" s="326"/>
      <c r="E272" s="359" t="s">
        <v>7898</v>
      </c>
      <c r="F272" s="334" t="s">
        <v>5744</v>
      </c>
      <c r="G272" s="327" t="s">
        <v>7941</v>
      </c>
      <c r="H272" s="328" t="s">
        <v>5745</v>
      </c>
      <c r="I272" s="378"/>
      <c r="J272" s="379">
        <v>1645</v>
      </c>
      <c r="K272" s="459"/>
      <c r="L272" s="460"/>
      <c r="M272" s="417"/>
    </row>
    <row r="273" spans="1:13" ht="15" customHeight="1">
      <c r="A273" s="325"/>
      <c r="D273" s="326"/>
      <c r="E273" s="359" t="s">
        <v>7898</v>
      </c>
      <c r="F273" s="334" t="s">
        <v>5746</v>
      </c>
      <c r="G273" s="327" t="s">
        <v>7942</v>
      </c>
      <c r="H273" s="328" t="s">
        <v>5747</v>
      </c>
      <c r="I273" s="378"/>
      <c r="J273" s="379">
        <v>0</v>
      </c>
      <c r="K273" s="459"/>
      <c r="L273" s="460"/>
      <c r="M273" s="417"/>
    </row>
    <row r="274" spans="1:13" ht="15" customHeight="1">
      <c r="A274" s="325"/>
      <c r="D274" s="326"/>
      <c r="E274" s="359" t="s">
        <v>7898</v>
      </c>
      <c r="F274" s="334" t="s">
        <v>5748</v>
      </c>
      <c r="G274" s="327" t="s">
        <v>7943</v>
      </c>
      <c r="H274" s="328" t="s">
        <v>5749</v>
      </c>
      <c r="I274" s="378"/>
      <c r="J274" s="379">
        <v>1592</v>
      </c>
      <c r="K274" s="459"/>
      <c r="L274" s="460"/>
      <c r="M274" s="417"/>
    </row>
    <row r="275" spans="1:13" ht="15" customHeight="1">
      <c r="A275" s="325"/>
      <c r="D275" s="326"/>
      <c r="E275" s="359" t="s">
        <v>7898</v>
      </c>
      <c r="F275" s="334" t="s">
        <v>5750</v>
      </c>
      <c r="G275" s="327" t="s">
        <v>7944</v>
      </c>
      <c r="H275" s="328" t="s">
        <v>5751</v>
      </c>
      <c r="I275" s="378"/>
      <c r="J275" s="379">
        <v>27</v>
      </c>
      <c r="K275" s="459"/>
      <c r="L275" s="460"/>
      <c r="M275" s="417"/>
    </row>
    <row r="276" spans="1:13" ht="15" customHeight="1">
      <c r="A276" s="325"/>
      <c r="D276" s="326"/>
      <c r="E276" s="359" t="s">
        <v>7898</v>
      </c>
      <c r="F276" s="334" t="s">
        <v>5752</v>
      </c>
      <c r="G276" s="327" t="s">
        <v>7945</v>
      </c>
      <c r="H276" s="328" t="s">
        <v>5753</v>
      </c>
      <c r="I276" s="378"/>
      <c r="J276" s="379">
        <v>0</v>
      </c>
      <c r="K276" s="459"/>
      <c r="L276" s="460"/>
      <c r="M276" s="417"/>
    </row>
    <row r="277" spans="1:13" ht="15" customHeight="1">
      <c r="A277" s="325"/>
      <c r="D277" s="326"/>
      <c r="E277" s="359" t="s">
        <v>7898</v>
      </c>
      <c r="F277" s="334" t="s">
        <v>5754</v>
      </c>
      <c r="G277" s="327" t="s">
        <v>7946</v>
      </c>
      <c r="H277" s="328" t="s">
        <v>5755</v>
      </c>
      <c r="I277" s="378"/>
      <c r="J277" s="379">
        <v>225</v>
      </c>
      <c r="K277" s="459"/>
      <c r="L277" s="460"/>
      <c r="M277" s="417"/>
    </row>
    <row r="278" spans="1:13" ht="15" customHeight="1">
      <c r="A278" s="325"/>
      <c r="D278" s="326"/>
      <c r="E278" s="359" t="s">
        <v>7898</v>
      </c>
      <c r="F278" s="334" t="s">
        <v>5756</v>
      </c>
      <c r="G278" s="327" t="s">
        <v>7947</v>
      </c>
      <c r="H278" s="328" t="s">
        <v>5757</v>
      </c>
      <c r="I278" s="378"/>
      <c r="J278" s="379">
        <v>0</v>
      </c>
      <c r="K278" s="459"/>
      <c r="L278" s="460"/>
      <c r="M278" s="417"/>
    </row>
    <row r="279" spans="1:13" ht="15" customHeight="1">
      <c r="A279" s="325"/>
      <c r="D279" s="326"/>
      <c r="E279" s="359" t="s">
        <v>7898</v>
      </c>
      <c r="F279" s="334" t="s">
        <v>5758</v>
      </c>
      <c r="G279" s="327" t="s">
        <v>7948</v>
      </c>
      <c r="H279" s="328" t="s">
        <v>5759</v>
      </c>
      <c r="I279" s="378"/>
      <c r="J279" s="379">
        <v>27</v>
      </c>
      <c r="K279" s="459"/>
      <c r="L279" s="460"/>
      <c r="M279" s="417"/>
    </row>
    <row r="280" spans="1:13" ht="15" customHeight="1">
      <c r="A280" s="329"/>
      <c r="B280" s="330"/>
      <c r="C280" s="331"/>
      <c r="D280" s="330"/>
      <c r="E280" s="367" t="s">
        <v>7898</v>
      </c>
      <c r="F280" s="332" t="s">
        <v>5607</v>
      </c>
      <c r="G280" s="331" t="s">
        <v>7949</v>
      </c>
      <c r="H280" s="320" t="s">
        <v>5760</v>
      </c>
      <c r="I280" s="384"/>
      <c r="J280" s="381">
        <v>0</v>
      </c>
      <c r="K280" s="459"/>
      <c r="L280" s="460"/>
      <c r="M280" s="417"/>
    </row>
    <row r="281" spans="1:13" ht="15" customHeight="1">
      <c r="A281" s="325" t="s">
        <v>5761</v>
      </c>
      <c r="B281" s="326" t="s">
        <v>902</v>
      </c>
      <c r="C281" s="327" t="s">
        <v>5762</v>
      </c>
      <c r="D281" s="326" t="s">
        <v>7950</v>
      </c>
      <c r="E281" s="359" t="s">
        <v>7950</v>
      </c>
      <c r="G281" s="327" t="s">
        <v>1594</v>
      </c>
      <c r="H281" s="328" t="s">
        <v>88</v>
      </c>
      <c r="I281" s="378"/>
      <c r="J281" s="379">
        <v>19248</v>
      </c>
      <c r="K281" s="459"/>
      <c r="L281" s="460"/>
      <c r="M281" s="417"/>
    </row>
    <row r="282" spans="1:13" ht="15" customHeight="1">
      <c r="A282" s="325"/>
      <c r="B282" s="326" t="s">
        <v>1594</v>
      </c>
      <c r="D282" s="326" t="s">
        <v>1594</v>
      </c>
      <c r="E282" s="359" t="s">
        <v>7950</v>
      </c>
      <c r="F282" s="334" t="s">
        <v>5637</v>
      </c>
      <c r="G282" s="327" t="s">
        <v>7951</v>
      </c>
      <c r="H282" s="328" t="s">
        <v>5763</v>
      </c>
      <c r="I282" s="378">
        <v>6689</v>
      </c>
      <c r="J282" s="379">
        <v>0</v>
      </c>
      <c r="K282" s="459"/>
      <c r="L282" s="460"/>
      <c r="M282" s="417"/>
    </row>
    <row r="283" spans="1:13" ht="15" customHeight="1">
      <c r="A283" s="325"/>
      <c r="B283" s="326" t="s">
        <v>1594</v>
      </c>
      <c r="D283" s="326" t="s">
        <v>1594</v>
      </c>
      <c r="E283" s="359" t="s">
        <v>7950</v>
      </c>
      <c r="F283" s="334" t="s">
        <v>5657</v>
      </c>
      <c r="G283" s="327" t="s">
        <v>7952</v>
      </c>
      <c r="H283" s="328" t="s">
        <v>5764</v>
      </c>
      <c r="I283" s="378">
        <v>120112</v>
      </c>
      <c r="J283" s="379">
        <v>567</v>
      </c>
      <c r="K283" s="459"/>
      <c r="L283" s="460"/>
      <c r="M283" s="417"/>
    </row>
    <row r="284" spans="1:13" ht="15" customHeight="1">
      <c r="A284" s="325"/>
      <c r="B284" s="326" t="s">
        <v>1594</v>
      </c>
      <c r="D284" s="326" t="s">
        <v>1594</v>
      </c>
      <c r="E284" s="359" t="s">
        <v>7950</v>
      </c>
      <c r="F284" s="334" t="s">
        <v>5659</v>
      </c>
      <c r="G284" s="327" t="s">
        <v>7953</v>
      </c>
      <c r="H284" s="328" t="s">
        <v>5765</v>
      </c>
      <c r="I284" s="378">
        <v>799</v>
      </c>
      <c r="J284" s="379">
        <v>0</v>
      </c>
      <c r="K284" s="459"/>
      <c r="L284" s="460"/>
      <c r="M284" s="417"/>
    </row>
    <row r="285" spans="1:13" ht="15" customHeight="1">
      <c r="A285" s="325"/>
      <c r="B285" s="326" t="s">
        <v>1594</v>
      </c>
      <c r="D285" s="326" t="s">
        <v>1594</v>
      </c>
      <c r="E285" s="359" t="s">
        <v>7950</v>
      </c>
      <c r="F285" s="334" t="s">
        <v>5363</v>
      </c>
      <c r="G285" s="327" t="s">
        <v>7954</v>
      </c>
      <c r="H285" s="328" t="s">
        <v>5766</v>
      </c>
      <c r="I285" s="378">
        <v>4956</v>
      </c>
      <c r="J285" s="379">
        <v>0</v>
      </c>
      <c r="K285" s="459"/>
      <c r="L285" s="460"/>
      <c r="M285" s="417"/>
    </row>
    <row r="286" spans="1:13" ht="15" customHeight="1">
      <c r="A286" s="325"/>
      <c r="B286" s="326" t="s">
        <v>1594</v>
      </c>
      <c r="D286" s="326" t="s">
        <v>1594</v>
      </c>
      <c r="E286" s="359" t="s">
        <v>7950</v>
      </c>
      <c r="F286" s="334" t="s">
        <v>5365</v>
      </c>
      <c r="G286" s="327" t="s">
        <v>7955</v>
      </c>
      <c r="H286" s="328" t="s">
        <v>5767</v>
      </c>
      <c r="I286" s="378">
        <v>43893</v>
      </c>
      <c r="J286" s="379">
        <v>207</v>
      </c>
      <c r="K286" s="459"/>
      <c r="L286" s="460"/>
      <c r="M286" s="417"/>
    </row>
    <row r="287" spans="1:13" ht="15" customHeight="1">
      <c r="A287" s="325"/>
      <c r="B287" s="326" t="s">
        <v>1594</v>
      </c>
      <c r="D287" s="326" t="s">
        <v>1594</v>
      </c>
      <c r="E287" s="359" t="s">
        <v>7950</v>
      </c>
      <c r="F287" s="334" t="s">
        <v>5367</v>
      </c>
      <c r="G287" s="327" t="s">
        <v>7956</v>
      </c>
      <c r="H287" s="328" t="s">
        <v>5768</v>
      </c>
      <c r="I287" s="378">
        <v>4144</v>
      </c>
      <c r="J287" s="379">
        <v>20</v>
      </c>
      <c r="K287" s="459"/>
      <c r="L287" s="460"/>
      <c r="M287" s="417"/>
    </row>
    <row r="288" spans="1:13" ht="15" customHeight="1">
      <c r="A288" s="325"/>
      <c r="B288" s="326" t="s">
        <v>1594</v>
      </c>
      <c r="D288" s="326" t="s">
        <v>1594</v>
      </c>
      <c r="E288" s="359" t="s">
        <v>7950</v>
      </c>
      <c r="F288" s="334" t="s">
        <v>5369</v>
      </c>
      <c r="G288" s="327" t="s">
        <v>7957</v>
      </c>
      <c r="H288" s="328" t="s">
        <v>5769</v>
      </c>
      <c r="I288" s="378">
        <v>9386</v>
      </c>
      <c r="J288" s="379">
        <v>691</v>
      </c>
      <c r="K288" s="459"/>
      <c r="L288" s="460"/>
      <c r="M288" s="417"/>
    </row>
    <row r="289" spans="1:13" ht="15" customHeight="1">
      <c r="A289" s="325"/>
      <c r="D289" s="326"/>
      <c r="E289" s="359" t="s">
        <v>7950</v>
      </c>
      <c r="F289" s="334" t="s">
        <v>5770</v>
      </c>
      <c r="G289" s="327" t="s">
        <v>7958</v>
      </c>
      <c r="H289" s="328" t="s">
        <v>5771</v>
      </c>
      <c r="I289" s="378">
        <v>44065</v>
      </c>
      <c r="J289" s="379">
        <v>0</v>
      </c>
      <c r="K289" s="459"/>
      <c r="L289" s="460"/>
      <c r="M289" s="417"/>
    </row>
    <row r="290" spans="1:13" ht="15" customHeight="1">
      <c r="A290" s="325"/>
      <c r="D290" s="326"/>
      <c r="E290" s="359" t="s">
        <v>7950</v>
      </c>
      <c r="F290" s="334" t="s">
        <v>5453</v>
      </c>
      <c r="G290" s="327" t="s">
        <v>7959</v>
      </c>
      <c r="H290" s="328" t="s">
        <v>5772</v>
      </c>
      <c r="I290" s="378">
        <v>3288</v>
      </c>
      <c r="J290" s="379">
        <v>0</v>
      </c>
      <c r="K290" s="459"/>
      <c r="L290" s="460"/>
      <c r="M290" s="417"/>
    </row>
    <row r="291" spans="1:13" ht="15" customHeight="1">
      <c r="A291" s="325"/>
      <c r="D291" s="326"/>
      <c r="E291" s="359" t="s">
        <v>7950</v>
      </c>
      <c r="F291" s="334" t="s">
        <v>5455</v>
      </c>
      <c r="G291" s="327" t="s">
        <v>7960</v>
      </c>
      <c r="H291" s="328" t="s">
        <v>5773</v>
      </c>
      <c r="I291" s="378">
        <v>60750</v>
      </c>
      <c r="J291" s="379">
        <v>0</v>
      </c>
      <c r="K291" s="459"/>
      <c r="L291" s="460"/>
      <c r="M291" s="417"/>
    </row>
    <row r="292" spans="1:13" ht="15" customHeight="1">
      <c r="A292" s="325"/>
      <c r="D292" s="326"/>
      <c r="E292" s="359" t="s">
        <v>7950</v>
      </c>
      <c r="F292" s="334" t="s">
        <v>5457</v>
      </c>
      <c r="G292" s="327" t="s">
        <v>7961</v>
      </c>
      <c r="H292" s="328" t="s">
        <v>5774</v>
      </c>
      <c r="I292" s="378">
        <v>38424</v>
      </c>
      <c r="J292" s="379">
        <v>1886</v>
      </c>
      <c r="K292" s="459"/>
      <c r="L292" s="460"/>
      <c r="M292" s="417"/>
    </row>
    <row r="293" spans="1:13" ht="15" customHeight="1">
      <c r="A293" s="325"/>
      <c r="D293" s="326"/>
      <c r="E293" s="359" t="s">
        <v>7950</v>
      </c>
      <c r="F293" s="334" t="s">
        <v>5474</v>
      </c>
      <c r="G293" s="327" t="s">
        <v>7962</v>
      </c>
      <c r="H293" s="328" t="s">
        <v>5775</v>
      </c>
      <c r="I293" s="378">
        <v>690</v>
      </c>
      <c r="J293" s="379">
        <v>26</v>
      </c>
      <c r="K293" s="459"/>
      <c r="L293" s="460"/>
      <c r="M293" s="417"/>
    </row>
    <row r="294" spans="1:13" ht="15" customHeight="1">
      <c r="A294" s="325"/>
      <c r="D294" s="326"/>
      <c r="E294" s="359" t="s">
        <v>7950</v>
      </c>
      <c r="F294" s="334" t="s">
        <v>5476</v>
      </c>
      <c r="G294" s="327" t="s">
        <v>7963</v>
      </c>
      <c r="H294" s="328" t="s">
        <v>5776</v>
      </c>
      <c r="I294" s="378">
        <v>7475</v>
      </c>
      <c r="J294" s="379">
        <v>283</v>
      </c>
      <c r="K294" s="459"/>
      <c r="L294" s="460"/>
      <c r="M294" s="417"/>
    </row>
    <row r="295" spans="1:13" ht="15" customHeight="1">
      <c r="A295" s="325"/>
      <c r="D295" s="326"/>
      <c r="E295" s="359" t="s">
        <v>7950</v>
      </c>
      <c r="F295" s="334" t="s">
        <v>5777</v>
      </c>
      <c r="G295" s="327" t="s">
        <v>7964</v>
      </c>
      <c r="H295" s="328" t="s">
        <v>5778</v>
      </c>
      <c r="I295" s="378">
        <v>1150</v>
      </c>
      <c r="J295" s="379">
        <v>0</v>
      </c>
      <c r="K295" s="459"/>
      <c r="L295" s="460"/>
      <c r="M295" s="417"/>
    </row>
    <row r="296" spans="1:13" ht="15" customHeight="1">
      <c r="A296" s="325"/>
      <c r="D296" s="326"/>
      <c r="E296" s="359" t="s">
        <v>7950</v>
      </c>
      <c r="F296" s="334" t="s">
        <v>5676</v>
      </c>
      <c r="G296" s="327" t="s">
        <v>7965</v>
      </c>
      <c r="H296" s="328" t="s">
        <v>5779</v>
      </c>
      <c r="I296" s="378">
        <v>476</v>
      </c>
      <c r="J296" s="379">
        <v>0</v>
      </c>
      <c r="K296" s="459"/>
      <c r="L296" s="460"/>
      <c r="M296" s="417"/>
    </row>
    <row r="297" spans="1:13" ht="15" customHeight="1">
      <c r="A297" s="325"/>
      <c r="D297" s="326"/>
      <c r="E297" s="359" t="s">
        <v>7950</v>
      </c>
      <c r="F297" s="334" t="s">
        <v>5605</v>
      </c>
      <c r="G297" s="327" t="s">
        <v>7966</v>
      </c>
      <c r="H297" s="328" t="s">
        <v>5780</v>
      </c>
      <c r="I297" s="378">
        <v>15873</v>
      </c>
      <c r="J297" s="379">
        <v>0</v>
      </c>
      <c r="K297" s="459"/>
      <c r="L297" s="460"/>
      <c r="M297" s="417"/>
    </row>
    <row r="298" spans="1:13" ht="15" customHeight="1">
      <c r="A298" s="325"/>
      <c r="D298" s="326"/>
      <c r="E298" s="359" t="s">
        <v>7950</v>
      </c>
      <c r="F298" s="334" t="s">
        <v>5740</v>
      </c>
      <c r="G298" s="327" t="s">
        <v>7967</v>
      </c>
      <c r="H298" s="328" t="s">
        <v>5781</v>
      </c>
      <c r="I298" s="378">
        <v>8807</v>
      </c>
      <c r="J298" s="379">
        <v>0</v>
      </c>
      <c r="K298" s="459"/>
      <c r="L298" s="460"/>
      <c r="M298" s="417"/>
    </row>
    <row r="299" spans="1:13" ht="15" customHeight="1">
      <c r="A299" s="325"/>
      <c r="D299" s="326"/>
      <c r="E299" s="359" t="s">
        <v>7950</v>
      </c>
      <c r="F299" s="334" t="s">
        <v>5782</v>
      </c>
      <c r="G299" s="327" t="s">
        <v>7968</v>
      </c>
      <c r="H299" s="328" t="s">
        <v>5783</v>
      </c>
      <c r="I299" s="378">
        <v>7971</v>
      </c>
      <c r="J299" s="379">
        <v>301</v>
      </c>
      <c r="K299" s="459"/>
      <c r="L299" s="460"/>
      <c r="M299" s="417"/>
    </row>
    <row r="300" spans="1:13" ht="15" customHeight="1">
      <c r="A300" s="325"/>
      <c r="D300" s="326"/>
      <c r="E300" s="359" t="s">
        <v>7950</v>
      </c>
      <c r="F300" s="334" t="s">
        <v>5784</v>
      </c>
      <c r="G300" s="327" t="s">
        <v>7969</v>
      </c>
      <c r="H300" s="328" t="s">
        <v>5785</v>
      </c>
      <c r="I300" s="378">
        <v>85081</v>
      </c>
      <c r="J300" s="379">
        <v>14986</v>
      </c>
      <c r="K300" s="459"/>
      <c r="L300" s="460"/>
      <c r="M300" s="417"/>
    </row>
    <row r="301" spans="1:13" ht="15" customHeight="1">
      <c r="A301" s="325"/>
      <c r="D301" s="326"/>
      <c r="E301" s="359" t="s">
        <v>7950</v>
      </c>
      <c r="F301" s="334" t="s">
        <v>5786</v>
      </c>
      <c r="G301" s="327" t="s">
        <v>7970</v>
      </c>
      <c r="H301" s="328" t="s">
        <v>5787</v>
      </c>
      <c r="I301" s="378">
        <v>2111</v>
      </c>
      <c r="J301" s="379">
        <v>0</v>
      </c>
      <c r="K301" s="459"/>
      <c r="L301" s="460"/>
      <c r="M301" s="417"/>
    </row>
    <row r="302" spans="1:13" ht="15" customHeight="1">
      <c r="A302" s="325"/>
      <c r="D302" s="326"/>
      <c r="E302" s="359" t="s">
        <v>7950</v>
      </c>
      <c r="F302" s="334" t="s">
        <v>5744</v>
      </c>
      <c r="G302" s="327" t="s">
        <v>7971</v>
      </c>
      <c r="H302" s="328" t="s">
        <v>5788</v>
      </c>
      <c r="I302" s="378">
        <v>1119</v>
      </c>
      <c r="J302" s="379">
        <v>0</v>
      </c>
      <c r="K302" s="459"/>
      <c r="L302" s="460"/>
      <c r="M302" s="417"/>
    </row>
    <row r="303" spans="1:13" ht="15" customHeight="1">
      <c r="A303" s="325"/>
      <c r="D303" s="326"/>
      <c r="E303" s="359" t="s">
        <v>7950</v>
      </c>
      <c r="F303" s="334" t="s">
        <v>5746</v>
      </c>
      <c r="G303" s="327" t="s">
        <v>7972</v>
      </c>
      <c r="H303" s="328" t="s">
        <v>5789</v>
      </c>
      <c r="I303" s="378">
        <v>2875</v>
      </c>
      <c r="J303" s="379">
        <v>0</v>
      </c>
      <c r="K303" s="459"/>
      <c r="L303" s="460"/>
      <c r="M303" s="417"/>
    </row>
    <row r="304" spans="1:13" ht="15" customHeight="1">
      <c r="A304" s="325"/>
      <c r="D304" s="326"/>
      <c r="E304" s="359" t="s">
        <v>7950</v>
      </c>
      <c r="F304" s="334" t="s">
        <v>5748</v>
      </c>
      <c r="G304" s="327" t="s">
        <v>7973</v>
      </c>
      <c r="H304" s="328" t="s">
        <v>5790</v>
      </c>
      <c r="I304" s="378">
        <v>3757</v>
      </c>
      <c r="J304" s="379">
        <v>0</v>
      </c>
      <c r="K304" s="459"/>
      <c r="L304" s="460"/>
      <c r="M304" s="417"/>
    </row>
    <row r="305" spans="1:13" ht="15" customHeight="1">
      <c r="A305" s="325"/>
      <c r="D305" s="326"/>
      <c r="E305" s="359" t="s">
        <v>7950</v>
      </c>
      <c r="F305" s="334" t="s">
        <v>5750</v>
      </c>
      <c r="G305" s="327" t="s">
        <v>7974</v>
      </c>
      <c r="H305" s="328" t="s">
        <v>5791</v>
      </c>
      <c r="I305" s="378">
        <v>633</v>
      </c>
      <c r="J305" s="379">
        <v>0</v>
      </c>
      <c r="K305" s="459"/>
      <c r="L305" s="460"/>
      <c r="M305" s="417"/>
    </row>
    <row r="306" spans="1:13" ht="15" customHeight="1">
      <c r="A306" s="325"/>
      <c r="D306" s="326"/>
      <c r="E306" s="359" t="s">
        <v>7950</v>
      </c>
      <c r="F306" s="334" t="s">
        <v>5752</v>
      </c>
      <c r="G306" s="327" t="s">
        <v>7975</v>
      </c>
      <c r="H306" s="328" t="s">
        <v>5792</v>
      </c>
      <c r="I306" s="378">
        <v>1098</v>
      </c>
      <c r="J306" s="379">
        <v>0</v>
      </c>
      <c r="K306" s="459"/>
      <c r="L306" s="460"/>
      <c r="M306" s="417"/>
    </row>
    <row r="307" spans="1:13" ht="15" customHeight="1">
      <c r="A307" s="325"/>
      <c r="D307" s="326"/>
      <c r="E307" s="359" t="s">
        <v>7950</v>
      </c>
      <c r="F307" s="334" t="s">
        <v>5793</v>
      </c>
      <c r="G307" s="327" t="s">
        <v>7976</v>
      </c>
      <c r="H307" s="328" t="s">
        <v>5794</v>
      </c>
      <c r="I307" s="378">
        <v>9820</v>
      </c>
      <c r="J307" s="379">
        <v>0</v>
      </c>
      <c r="K307" s="459"/>
      <c r="L307" s="460"/>
      <c r="M307" s="417"/>
    </row>
    <row r="308" spans="1:13" ht="15" customHeight="1">
      <c r="A308" s="325"/>
      <c r="D308" s="326"/>
      <c r="E308" s="359" t="s">
        <v>7950</v>
      </c>
      <c r="F308" s="334" t="s">
        <v>5795</v>
      </c>
      <c r="G308" s="327" t="s">
        <v>7977</v>
      </c>
      <c r="H308" s="328" t="s">
        <v>5796</v>
      </c>
      <c r="I308" s="378">
        <v>400</v>
      </c>
      <c r="J308" s="379">
        <v>0</v>
      </c>
      <c r="K308" s="459"/>
      <c r="L308" s="460"/>
      <c r="M308" s="417"/>
    </row>
    <row r="309" spans="1:13" ht="15" customHeight="1">
      <c r="A309" s="325"/>
      <c r="D309" s="326"/>
      <c r="E309" s="359" t="s">
        <v>7950</v>
      </c>
      <c r="F309" s="334" t="s">
        <v>5797</v>
      </c>
      <c r="G309" s="327" t="s">
        <v>7978</v>
      </c>
      <c r="H309" s="328" t="s">
        <v>5798</v>
      </c>
      <c r="I309" s="378">
        <v>276</v>
      </c>
      <c r="J309" s="379">
        <v>0</v>
      </c>
      <c r="K309" s="459"/>
      <c r="L309" s="460"/>
      <c r="M309" s="417"/>
    </row>
    <row r="310" spans="1:13" ht="15" customHeight="1">
      <c r="A310" s="325"/>
      <c r="D310" s="326"/>
      <c r="E310" s="359" t="s">
        <v>7950</v>
      </c>
      <c r="F310" s="334" t="s">
        <v>5799</v>
      </c>
      <c r="G310" s="327" t="s">
        <v>7979</v>
      </c>
      <c r="H310" s="328" t="s">
        <v>5800</v>
      </c>
      <c r="I310" s="378">
        <v>43</v>
      </c>
      <c r="J310" s="379">
        <v>0</v>
      </c>
      <c r="K310" s="459"/>
      <c r="L310" s="460"/>
      <c r="M310" s="417"/>
    </row>
    <row r="311" spans="1:13" ht="15" customHeight="1">
      <c r="A311" s="325"/>
      <c r="D311" s="326"/>
      <c r="E311" s="359" t="s">
        <v>7950</v>
      </c>
      <c r="F311" s="334" t="s">
        <v>5801</v>
      </c>
      <c r="G311" s="327" t="s">
        <v>7980</v>
      </c>
      <c r="H311" s="328" t="s">
        <v>5802</v>
      </c>
      <c r="I311" s="378">
        <v>437</v>
      </c>
      <c r="J311" s="379">
        <v>17</v>
      </c>
      <c r="K311" s="459"/>
      <c r="L311" s="460"/>
      <c r="M311" s="417"/>
    </row>
    <row r="312" spans="1:13" ht="15" customHeight="1">
      <c r="A312" s="329"/>
      <c r="B312" s="330"/>
      <c r="C312" s="331"/>
      <c r="D312" s="330"/>
      <c r="E312" s="367" t="s">
        <v>7950</v>
      </c>
      <c r="F312" s="332" t="s">
        <v>5756</v>
      </c>
      <c r="G312" s="331" t="s">
        <v>7981</v>
      </c>
      <c r="H312" s="320" t="s">
        <v>5803</v>
      </c>
      <c r="I312" s="384">
        <v>6766</v>
      </c>
      <c r="J312" s="381">
        <v>264</v>
      </c>
      <c r="K312" s="459"/>
      <c r="L312" s="460"/>
      <c r="M312" s="417"/>
    </row>
    <row r="313" spans="1:13" ht="15" customHeight="1">
      <c r="A313" s="325"/>
      <c r="C313" s="327" t="s">
        <v>5804</v>
      </c>
      <c r="D313" s="334" t="s">
        <v>5805</v>
      </c>
      <c r="E313" s="359" t="s">
        <v>7982</v>
      </c>
      <c r="H313" s="328" t="s">
        <v>5806</v>
      </c>
      <c r="I313" s="378"/>
      <c r="J313" s="379">
        <v>181</v>
      </c>
      <c r="K313" s="459"/>
      <c r="L313" s="460"/>
      <c r="M313" s="417"/>
    </row>
    <row r="314" spans="1:13" ht="15" customHeight="1">
      <c r="A314" s="325" t="s">
        <v>5807</v>
      </c>
      <c r="B314" s="326" t="s">
        <v>904</v>
      </c>
      <c r="G314" s="327" t="s">
        <v>1594</v>
      </c>
      <c r="H314" s="328" t="s">
        <v>5808</v>
      </c>
      <c r="I314" s="378"/>
      <c r="J314" s="379"/>
      <c r="K314" s="459"/>
      <c r="L314" s="460"/>
      <c r="M314" s="417"/>
    </row>
    <row r="315" spans="1:13" ht="15" customHeight="1">
      <c r="A315" s="325"/>
      <c r="B315" s="326" t="s">
        <v>1594</v>
      </c>
      <c r="D315" s="326" t="s">
        <v>1594</v>
      </c>
      <c r="E315" s="359" t="s">
        <v>7982</v>
      </c>
      <c r="F315" s="334" t="s">
        <v>5637</v>
      </c>
      <c r="G315" s="327" t="s">
        <v>7983</v>
      </c>
      <c r="H315" s="328" t="s">
        <v>5809</v>
      </c>
      <c r="I315" s="378">
        <v>1309</v>
      </c>
      <c r="J315" s="379">
        <v>0</v>
      </c>
      <c r="K315" s="459"/>
      <c r="L315" s="460"/>
      <c r="M315" s="417"/>
    </row>
    <row r="316" spans="1:13" ht="15" customHeight="1">
      <c r="A316" s="325"/>
      <c r="B316" s="326" t="s">
        <v>1594</v>
      </c>
      <c r="D316" s="326" t="s">
        <v>1594</v>
      </c>
      <c r="E316" s="359" t="s">
        <v>7982</v>
      </c>
      <c r="F316" s="334" t="s">
        <v>5359</v>
      </c>
      <c r="G316" s="327" t="s">
        <v>7984</v>
      </c>
      <c r="H316" s="328" t="s">
        <v>5810</v>
      </c>
      <c r="I316" s="378">
        <v>619</v>
      </c>
      <c r="J316" s="379">
        <v>5</v>
      </c>
      <c r="K316" s="459"/>
      <c r="L316" s="460"/>
      <c r="M316" s="417"/>
    </row>
    <row r="317" spans="1:13" ht="15" customHeight="1">
      <c r="A317" s="325"/>
      <c r="B317" s="326" t="s">
        <v>1594</v>
      </c>
      <c r="D317" s="326" t="s">
        <v>1594</v>
      </c>
      <c r="E317" s="359" t="s">
        <v>7982</v>
      </c>
      <c r="F317" s="334" t="s">
        <v>5361</v>
      </c>
      <c r="G317" s="327" t="s">
        <v>7985</v>
      </c>
      <c r="H317" s="328" t="s">
        <v>5811</v>
      </c>
      <c r="I317" s="378">
        <v>474</v>
      </c>
      <c r="J317" s="379">
        <v>0</v>
      </c>
      <c r="K317" s="459"/>
      <c r="L317" s="460"/>
      <c r="M317" s="417"/>
    </row>
    <row r="318" spans="1:13" ht="15" customHeight="1">
      <c r="A318" s="325"/>
      <c r="B318" s="326" t="s">
        <v>1594</v>
      </c>
      <c r="D318" s="326" t="s">
        <v>1594</v>
      </c>
      <c r="E318" s="359" t="s">
        <v>7982</v>
      </c>
      <c r="F318" s="334" t="s">
        <v>5363</v>
      </c>
      <c r="G318" s="327" t="s">
        <v>7986</v>
      </c>
      <c r="H318" s="328" t="s">
        <v>5812</v>
      </c>
      <c r="I318" s="378">
        <v>6670</v>
      </c>
      <c r="J318" s="379">
        <v>55</v>
      </c>
      <c r="K318" s="459"/>
      <c r="L318" s="460"/>
      <c r="M318" s="417"/>
    </row>
    <row r="319" spans="1:13" ht="15" customHeight="1">
      <c r="A319" s="325"/>
      <c r="B319" s="326" t="s">
        <v>1594</v>
      </c>
      <c r="D319" s="326" t="s">
        <v>1594</v>
      </c>
      <c r="E319" s="359" t="s">
        <v>7982</v>
      </c>
      <c r="F319" s="334" t="s">
        <v>5365</v>
      </c>
      <c r="G319" s="327" t="s">
        <v>7987</v>
      </c>
      <c r="H319" s="328" t="s">
        <v>5813</v>
      </c>
      <c r="I319" s="378">
        <v>1074</v>
      </c>
      <c r="J319" s="379">
        <v>0</v>
      </c>
      <c r="K319" s="459"/>
      <c r="L319" s="460"/>
      <c r="M319" s="417"/>
    </row>
    <row r="320" spans="1:13" ht="15" customHeight="1">
      <c r="A320" s="325"/>
      <c r="B320" s="326" t="s">
        <v>1594</v>
      </c>
      <c r="D320" s="326" t="s">
        <v>1594</v>
      </c>
      <c r="E320" s="359" t="s">
        <v>7982</v>
      </c>
      <c r="F320" s="334" t="s">
        <v>5367</v>
      </c>
      <c r="G320" s="327" t="s">
        <v>7988</v>
      </c>
      <c r="H320" s="328" t="s">
        <v>5814</v>
      </c>
      <c r="I320" s="378">
        <v>113</v>
      </c>
      <c r="J320" s="379">
        <v>0</v>
      </c>
      <c r="K320" s="459"/>
      <c r="L320" s="460"/>
      <c r="M320" s="417"/>
    </row>
    <row r="321" spans="1:13" ht="15" customHeight="1">
      <c r="A321" s="325"/>
      <c r="B321" s="326" t="s">
        <v>1594</v>
      </c>
      <c r="D321" s="326" t="s">
        <v>1594</v>
      </c>
      <c r="E321" s="359" t="s">
        <v>7982</v>
      </c>
      <c r="F321" s="334" t="s">
        <v>5369</v>
      </c>
      <c r="G321" s="327" t="s">
        <v>7989</v>
      </c>
      <c r="H321" s="333" t="s">
        <v>5815</v>
      </c>
      <c r="I321" s="378">
        <v>249</v>
      </c>
      <c r="J321" s="379">
        <v>0</v>
      </c>
      <c r="K321" s="459"/>
      <c r="L321" s="460"/>
      <c r="M321" s="417"/>
    </row>
    <row r="322" spans="1:13" ht="15" customHeight="1">
      <c r="A322" s="325"/>
      <c r="B322" s="326" t="s">
        <v>1594</v>
      </c>
      <c r="D322" s="326" t="s">
        <v>1594</v>
      </c>
      <c r="E322" s="359" t="s">
        <v>7982</v>
      </c>
      <c r="F322" s="334" t="s">
        <v>5371</v>
      </c>
      <c r="G322" s="327" t="s">
        <v>7990</v>
      </c>
      <c r="H322" s="328" t="s">
        <v>5816</v>
      </c>
      <c r="I322" s="378">
        <v>232</v>
      </c>
      <c r="J322" s="379">
        <v>0</v>
      </c>
      <c r="K322" s="459"/>
      <c r="L322" s="460"/>
      <c r="M322" s="417"/>
    </row>
    <row r="323" spans="1:13" ht="15" customHeight="1">
      <c r="A323" s="325"/>
      <c r="B323" s="326" t="s">
        <v>1594</v>
      </c>
      <c r="D323" s="326" t="s">
        <v>1594</v>
      </c>
      <c r="E323" s="359" t="s">
        <v>7982</v>
      </c>
      <c r="F323" s="334" t="s">
        <v>5373</v>
      </c>
      <c r="G323" s="327" t="s">
        <v>7991</v>
      </c>
      <c r="H323" s="328" t="s">
        <v>5817</v>
      </c>
      <c r="I323" s="378">
        <v>404</v>
      </c>
      <c r="J323" s="379">
        <v>17</v>
      </c>
      <c r="K323" s="459"/>
      <c r="L323" s="460"/>
      <c r="M323" s="417"/>
    </row>
    <row r="324" spans="1:13" ht="15" customHeight="1">
      <c r="A324" s="325"/>
      <c r="B324" s="326" t="s">
        <v>1594</v>
      </c>
      <c r="D324" s="326" t="s">
        <v>1594</v>
      </c>
      <c r="E324" s="359" t="s">
        <v>7982</v>
      </c>
      <c r="F324" s="334" t="s">
        <v>5375</v>
      </c>
      <c r="G324" s="327" t="s">
        <v>7992</v>
      </c>
      <c r="H324" s="328" t="s">
        <v>5818</v>
      </c>
      <c r="I324" s="378">
        <v>97</v>
      </c>
      <c r="J324" s="379">
        <v>0</v>
      </c>
      <c r="K324" s="459"/>
      <c r="L324" s="460"/>
      <c r="M324" s="417"/>
    </row>
    <row r="325" spans="1:13" ht="15" customHeight="1">
      <c r="A325" s="325"/>
      <c r="B325" s="326" t="s">
        <v>1594</v>
      </c>
      <c r="D325" s="326" t="s">
        <v>1594</v>
      </c>
      <c r="E325" s="359" t="s">
        <v>7982</v>
      </c>
      <c r="F325" s="334" t="s">
        <v>5453</v>
      </c>
      <c r="G325" s="327" t="s">
        <v>7993</v>
      </c>
      <c r="H325" s="328" t="s">
        <v>5772</v>
      </c>
      <c r="I325" s="378">
        <v>181</v>
      </c>
      <c r="J325" s="379">
        <v>0</v>
      </c>
      <c r="K325" s="459"/>
      <c r="L325" s="460"/>
      <c r="M325" s="417"/>
    </row>
    <row r="326" spans="1:13" ht="15" customHeight="1">
      <c r="A326" s="325"/>
      <c r="B326" s="326" t="s">
        <v>1594</v>
      </c>
      <c r="D326" s="326" t="s">
        <v>1594</v>
      </c>
      <c r="E326" s="359" t="s">
        <v>7982</v>
      </c>
      <c r="F326" s="334" t="s">
        <v>5455</v>
      </c>
      <c r="G326" s="327" t="s">
        <v>7994</v>
      </c>
      <c r="H326" s="328" t="s">
        <v>5819</v>
      </c>
      <c r="I326" s="378">
        <v>5549</v>
      </c>
      <c r="J326" s="379">
        <v>1</v>
      </c>
      <c r="K326" s="459"/>
      <c r="L326" s="460"/>
      <c r="M326" s="417"/>
    </row>
    <row r="327" spans="1:13" ht="15" customHeight="1">
      <c r="A327" s="325"/>
      <c r="B327" s="326" t="s">
        <v>1594</v>
      </c>
      <c r="D327" s="326" t="s">
        <v>1594</v>
      </c>
      <c r="E327" s="359" t="s">
        <v>7982</v>
      </c>
      <c r="F327" s="334" t="s">
        <v>5474</v>
      </c>
      <c r="G327" s="327" t="s">
        <v>7995</v>
      </c>
      <c r="H327" s="328" t="s">
        <v>5820</v>
      </c>
      <c r="I327" s="378">
        <v>605</v>
      </c>
      <c r="J327" s="379">
        <v>0</v>
      </c>
      <c r="K327" s="459"/>
      <c r="L327" s="460"/>
      <c r="M327" s="417"/>
    </row>
    <row r="328" spans="1:13" ht="15" customHeight="1">
      <c r="A328" s="325"/>
      <c r="B328" s="326" t="s">
        <v>1594</v>
      </c>
      <c r="D328" s="326" t="s">
        <v>1594</v>
      </c>
      <c r="E328" s="359" t="s">
        <v>7982</v>
      </c>
      <c r="F328" s="334" t="s">
        <v>5476</v>
      </c>
      <c r="G328" s="327" t="s">
        <v>7996</v>
      </c>
      <c r="H328" s="328" t="s">
        <v>5821</v>
      </c>
      <c r="I328" s="378">
        <v>149</v>
      </c>
      <c r="J328" s="379">
        <v>0</v>
      </c>
      <c r="K328" s="459"/>
      <c r="L328" s="460"/>
      <c r="M328" s="417"/>
    </row>
    <row r="329" spans="1:13" ht="15" customHeight="1">
      <c r="A329" s="325"/>
      <c r="B329" s="326" t="s">
        <v>1594</v>
      </c>
      <c r="D329" s="326" t="s">
        <v>1594</v>
      </c>
      <c r="E329" s="359" t="s">
        <v>7982</v>
      </c>
      <c r="F329" s="334" t="s">
        <v>5676</v>
      </c>
      <c r="G329" s="327" t="s">
        <v>7997</v>
      </c>
      <c r="H329" s="328" t="s">
        <v>5822</v>
      </c>
      <c r="I329" s="378">
        <v>627</v>
      </c>
      <c r="J329" s="379">
        <v>9</v>
      </c>
      <c r="K329" s="459"/>
      <c r="L329" s="460"/>
      <c r="M329" s="417"/>
    </row>
    <row r="330" spans="1:13" ht="15" customHeight="1">
      <c r="A330" s="325" t="s">
        <v>5823</v>
      </c>
      <c r="B330" s="326" t="s">
        <v>906</v>
      </c>
      <c r="D330" s="334" t="s">
        <v>5824</v>
      </c>
      <c r="E330" s="359" t="s">
        <v>7998</v>
      </c>
      <c r="H330" s="328" t="s">
        <v>5825</v>
      </c>
      <c r="I330" s="378"/>
      <c r="J330" s="379"/>
      <c r="K330" s="459"/>
      <c r="L330" s="460"/>
      <c r="M330" s="417"/>
    </row>
    <row r="331" spans="1:13" ht="15" customHeight="1">
      <c r="D331" s="326" t="s">
        <v>1594</v>
      </c>
      <c r="E331" s="359" t="s">
        <v>7998</v>
      </c>
      <c r="F331" s="334" t="s">
        <v>5637</v>
      </c>
      <c r="G331" s="327" t="s">
        <v>7999</v>
      </c>
      <c r="H331" s="328" t="s">
        <v>5826</v>
      </c>
      <c r="I331" s="378">
        <v>8484</v>
      </c>
      <c r="J331" s="379">
        <v>54</v>
      </c>
      <c r="K331" s="459"/>
      <c r="L331" s="460"/>
      <c r="M331" s="417"/>
    </row>
    <row r="332" spans="1:13" ht="15" customHeight="1">
      <c r="A332" s="325"/>
      <c r="D332" s="326" t="s">
        <v>1594</v>
      </c>
      <c r="E332" s="359" t="s">
        <v>7998</v>
      </c>
      <c r="F332" s="334" t="s">
        <v>5359</v>
      </c>
      <c r="G332" s="327" t="s">
        <v>8000</v>
      </c>
      <c r="H332" s="328" t="s">
        <v>5812</v>
      </c>
      <c r="I332" s="378">
        <v>9020</v>
      </c>
      <c r="J332" s="379">
        <v>2</v>
      </c>
      <c r="K332" s="459"/>
      <c r="L332" s="460"/>
      <c r="M332" s="417"/>
    </row>
    <row r="333" spans="1:13" ht="15" customHeight="1">
      <c r="A333" s="325"/>
      <c r="D333" s="326" t="s">
        <v>1594</v>
      </c>
      <c r="E333" s="359" t="s">
        <v>7998</v>
      </c>
      <c r="F333" s="334" t="s">
        <v>5361</v>
      </c>
      <c r="G333" s="327" t="s">
        <v>8001</v>
      </c>
      <c r="H333" s="328" t="s">
        <v>5814</v>
      </c>
      <c r="I333" s="378">
        <v>1584</v>
      </c>
      <c r="J333" s="379">
        <v>0</v>
      </c>
      <c r="K333" s="459"/>
      <c r="L333" s="460"/>
      <c r="M333" s="417"/>
    </row>
    <row r="334" spans="1:13" ht="15" customHeight="1">
      <c r="A334" s="325"/>
      <c r="D334" s="326" t="s">
        <v>1594</v>
      </c>
      <c r="E334" s="359" t="s">
        <v>7998</v>
      </c>
      <c r="F334" s="334" t="s">
        <v>5363</v>
      </c>
      <c r="G334" s="327" t="s">
        <v>8002</v>
      </c>
      <c r="H334" s="328" t="s">
        <v>5817</v>
      </c>
      <c r="I334" s="378">
        <v>58114</v>
      </c>
      <c r="J334" s="379">
        <v>0</v>
      </c>
      <c r="K334" s="459"/>
      <c r="L334" s="460"/>
      <c r="M334" s="417"/>
    </row>
    <row r="335" spans="1:13" ht="15" customHeight="1">
      <c r="A335" s="325"/>
      <c r="D335" s="326" t="s">
        <v>1594</v>
      </c>
      <c r="E335" s="359" t="s">
        <v>7998</v>
      </c>
      <c r="F335" s="334" t="s">
        <v>5453</v>
      </c>
      <c r="G335" s="327" t="s">
        <v>8003</v>
      </c>
      <c r="H335" s="328" t="s">
        <v>5827</v>
      </c>
      <c r="I335" s="378">
        <v>7999</v>
      </c>
      <c r="J335" s="379">
        <v>0</v>
      </c>
      <c r="K335" s="459"/>
      <c r="L335" s="460"/>
      <c r="M335" s="417"/>
    </row>
    <row r="336" spans="1:13" ht="15" customHeight="1">
      <c r="A336" s="325"/>
      <c r="D336" s="326" t="s">
        <v>1594</v>
      </c>
      <c r="E336" s="359" t="s">
        <v>7998</v>
      </c>
      <c r="F336" s="334" t="s">
        <v>5455</v>
      </c>
      <c r="G336" s="327" t="s">
        <v>8004</v>
      </c>
      <c r="H336" s="328" t="s">
        <v>5828</v>
      </c>
      <c r="I336" s="378">
        <v>66</v>
      </c>
      <c r="J336" s="379">
        <v>0</v>
      </c>
      <c r="K336" s="459"/>
      <c r="L336" s="460"/>
      <c r="M336" s="417"/>
    </row>
    <row r="337" spans="1:13" ht="15" customHeight="1">
      <c r="A337" s="325"/>
      <c r="B337" s="326" t="s">
        <v>1594</v>
      </c>
      <c r="D337" s="326" t="s">
        <v>1594</v>
      </c>
      <c r="E337" s="359" t="s">
        <v>7998</v>
      </c>
      <c r="F337" s="334" t="s">
        <v>5476</v>
      </c>
      <c r="G337" s="331" t="s">
        <v>8005</v>
      </c>
      <c r="H337" s="328" t="s">
        <v>5829</v>
      </c>
      <c r="I337" s="378">
        <v>4941</v>
      </c>
      <c r="J337" s="379">
        <v>38</v>
      </c>
      <c r="K337" s="459"/>
      <c r="L337" s="460"/>
      <c r="M337" s="417"/>
    </row>
    <row r="338" spans="1:13" ht="15" customHeight="1">
      <c r="A338" s="321" t="s">
        <v>5830</v>
      </c>
      <c r="B338" s="322" t="s">
        <v>908</v>
      </c>
      <c r="C338" s="323"/>
      <c r="D338" s="322" t="s">
        <v>1594</v>
      </c>
      <c r="E338" s="365"/>
      <c r="F338" s="366"/>
      <c r="G338" s="323" t="s">
        <v>1594</v>
      </c>
      <c r="H338" s="324" t="s">
        <v>5831</v>
      </c>
      <c r="I338" s="376"/>
      <c r="J338" s="377"/>
      <c r="K338" s="459"/>
      <c r="L338" s="460"/>
      <c r="M338" s="417"/>
    </row>
    <row r="339" spans="1:13" ht="15" customHeight="1">
      <c r="A339" s="325"/>
      <c r="B339" s="326" t="s">
        <v>1594</v>
      </c>
      <c r="C339" s="327" t="s">
        <v>5832</v>
      </c>
      <c r="D339" s="326" t="s">
        <v>8006</v>
      </c>
      <c r="E339" s="359" t="s">
        <v>8006</v>
      </c>
      <c r="G339" s="327" t="s">
        <v>1594</v>
      </c>
      <c r="H339" s="328" t="s">
        <v>5833</v>
      </c>
      <c r="I339" s="378"/>
      <c r="J339" s="379">
        <v>0</v>
      </c>
      <c r="K339" s="459"/>
      <c r="L339" s="460"/>
      <c r="M339" s="417"/>
    </row>
    <row r="340" spans="1:13" ht="15" customHeight="1">
      <c r="A340" s="325"/>
      <c r="B340" s="326" t="s">
        <v>1594</v>
      </c>
      <c r="C340" s="327" t="s">
        <v>5834</v>
      </c>
      <c r="D340" s="326" t="s">
        <v>8007</v>
      </c>
      <c r="E340" s="359" t="s">
        <v>8007</v>
      </c>
      <c r="H340" s="328" t="s">
        <v>95</v>
      </c>
      <c r="I340" s="378"/>
      <c r="J340" s="379">
        <v>0</v>
      </c>
      <c r="K340" s="459"/>
      <c r="L340" s="460"/>
      <c r="M340" s="417"/>
    </row>
    <row r="341" spans="1:13" ht="15" customHeight="1">
      <c r="A341" s="329"/>
      <c r="B341" s="330" t="s">
        <v>1594</v>
      </c>
      <c r="C341" s="331" t="s">
        <v>5835</v>
      </c>
      <c r="D341" s="330" t="s">
        <v>8008</v>
      </c>
      <c r="E341" s="367" t="s">
        <v>8008</v>
      </c>
      <c r="F341" s="332"/>
      <c r="G341" s="331" t="s">
        <v>1594</v>
      </c>
      <c r="H341" s="320" t="s">
        <v>97</v>
      </c>
      <c r="I341" s="384"/>
      <c r="J341" s="381">
        <v>0</v>
      </c>
      <c r="K341" s="459"/>
      <c r="L341" s="460"/>
      <c r="M341" s="417"/>
    </row>
    <row r="342" spans="1:13" ht="15" customHeight="1">
      <c r="A342" s="329" t="s">
        <v>5836</v>
      </c>
      <c r="B342" s="330" t="s">
        <v>910</v>
      </c>
      <c r="C342" s="331" t="s">
        <v>5837</v>
      </c>
      <c r="D342" s="330" t="s">
        <v>8009</v>
      </c>
      <c r="E342" s="367" t="s">
        <v>8009</v>
      </c>
      <c r="F342" s="332"/>
      <c r="G342" s="331" t="s">
        <v>1594</v>
      </c>
      <c r="H342" s="320" t="s">
        <v>5838</v>
      </c>
      <c r="I342" s="384"/>
      <c r="J342" s="381">
        <v>4972</v>
      </c>
      <c r="K342" s="459"/>
      <c r="L342" s="460"/>
      <c r="M342" s="417"/>
    </row>
    <row r="343" spans="1:13" ht="15" customHeight="1">
      <c r="A343" s="321" t="s">
        <v>5839</v>
      </c>
      <c r="B343" s="322" t="s">
        <v>912</v>
      </c>
      <c r="C343" s="323" t="s">
        <v>5840</v>
      </c>
      <c r="D343" s="322" t="s">
        <v>8010</v>
      </c>
      <c r="E343" s="365" t="s">
        <v>8010</v>
      </c>
      <c r="F343" s="366"/>
      <c r="G343" s="323" t="s">
        <v>1594</v>
      </c>
      <c r="H343" s="324" t="s">
        <v>5841</v>
      </c>
      <c r="I343" s="376"/>
      <c r="J343" s="379">
        <v>12719</v>
      </c>
      <c r="K343" s="459"/>
      <c r="L343" s="460"/>
      <c r="M343" s="417"/>
    </row>
    <row r="344" spans="1:13" ht="15" customHeight="1">
      <c r="A344" s="325"/>
      <c r="B344" s="326" t="s">
        <v>1594</v>
      </c>
      <c r="D344" s="326" t="s">
        <v>1594</v>
      </c>
      <c r="E344" s="359" t="s">
        <v>8010</v>
      </c>
      <c r="F344" s="334" t="s">
        <v>575</v>
      </c>
      <c r="G344" s="327" t="s">
        <v>8011</v>
      </c>
      <c r="H344" s="328" t="s">
        <v>5842</v>
      </c>
      <c r="I344" s="378"/>
      <c r="J344" s="379">
        <v>10588</v>
      </c>
      <c r="K344" s="459"/>
      <c r="L344" s="460"/>
      <c r="M344" s="417"/>
    </row>
    <row r="345" spans="1:13" ht="15" customHeight="1">
      <c r="A345" s="325"/>
      <c r="B345" s="326" t="s">
        <v>1594</v>
      </c>
      <c r="D345" s="326" t="s">
        <v>1594</v>
      </c>
      <c r="E345" s="359" t="s">
        <v>8010</v>
      </c>
      <c r="F345" s="334" t="s">
        <v>5602</v>
      </c>
      <c r="G345" s="327" t="s">
        <v>8012</v>
      </c>
      <c r="H345" s="328" t="s">
        <v>5843</v>
      </c>
      <c r="I345" s="378">
        <v>44041</v>
      </c>
      <c r="J345" s="379">
        <v>647</v>
      </c>
      <c r="K345" s="459"/>
      <c r="L345" s="460"/>
      <c r="M345" s="417"/>
    </row>
    <row r="346" spans="1:13" ht="15" customHeight="1">
      <c r="A346" s="329"/>
      <c r="B346" s="330" t="s">
        <v>1594</v>
      </c>
      <c r="C346" s="331"/>
      <c r="D346" s="330" t="s">
        <v>1594</v>
      </c>
      <c r="E346" s="367" t="s">
        <v>8010</v>
      </c>
      <c r="F346" s="332" t="s">
        <v>5844</v>
      </c>
      <c r="G346" s="331" t="s">
        <v>8013</v>
      </c>
      <c r="H346" s="320" t="s">
        <v>5845</v>
      </c>
      <c r="I346" s="384">
        <v>25480</v>
      </c>
      <c r="J346" s="381">
        <v>1484</v>
      </c>
      <c r="K346" s="459"/>
      <c r="L346" s="460"/>
      <c r="M346" s="417"/>
    </row>
    <row r="347" spans="1:13" ht="15" customHeight="1">
      <c r="A347" s="325" t="s">
        <v>5846</v>
      </c>
      <c r="B347" s="326" t="s">
        <v>914</v>
      </c>
      <c r="D347" s="326" t="s">
        <v>1594</v>
      </c>
      <c r="G347" s="327" t="s">
        <v>1594</v>
      </c>
      <c r="H347" s="328" t="s">
        <v>5847</v>
      </c>
      <c r="I347" s="378"/>
      <c r="J347" s="379"/>
      <c r="K347" s="459"/>
      <c r="L347" s="460"/>
      <c r="M347" s="417"/>
    </row>
    <row r="348" spans="1:13" ht="15" customHeight="1">
      <c r="A348" s="325"/>
      <c r="B348" s="326" t="s">
        <v>1594</v>
      </c>
      <c r="C348" s="327" t="s">
        <v>5848</v>
      </c>
      <c r="D348" s="326" t="s">
        <v>8014</v>
      </c>
      <c r="E348" s="359" t="s">
        <v>8014</v>
      </c>
      <c r="G348" s="327" t="s">
        <v>1594</v>
      </c>
      <c r="H348" s="328" t="s">
        <v>103</v>
      </c>
      <c r="I348" s="378"/>
      <c r="J348" s="379">
        <v>0</v>
      </c>
      <c r="K348" s="459"/>
      <c r="L348" s="460"/>
      <c r="M348" s="417"/>
    </row>
    <row r="349" spans="1:13" ht="15" customHeight="1">
      <c r="A349" s="325"/>
      <c r="B349" s="326" t="s">
        <v>1594</v>
      </c>
      <c r="C349" s="327" t="s">
        <v>5849</v>
      </c>
      <c r="D349" s="326" t="s">
        <v>8015</v>
      </c>
      <c r="E349" s="359" t="s">
        <v>8015</v>
      </c>
      <c r="G349" s="327" t="s">
        <v>1594</v>
      </c>
      <c r="H349" s="328" t="s">
        <v>105</v>
      </c>
      <c r="I349" s="378"/>
      <c r="J349" s="379">
        <v>0</v>
      </c>
      <c r="K349" s="459"/>
      <c r="L349" s="460"/>
      <c r="M349" s="417"/>
    </row>
    <row r="350" spans="1:13" ht="15" customHeight="1">
      <c r="A350" s="325"/>
      <c r="B350" s="326" t="s">
        <v>1594</v>
      </c>
      <c r="C350" s="327" t="s">
        <v>5850</v>
      </c>
      <c r="D350" s="326" t="s">
        <v>8016</v>
      </c>
      <c r="E350" s="359" t="s">
        <v>8016</v>
      </c>
      <c r="G350" s="327" t="s">
        <v>1594</v>
      </c>
      <c r="H350" s="328" t="s">
        <v>107</v>
      </c>
      <c r="I350" s="378"/>
      <c r="J350" s="379">
        <v>0</v>
      </c>
      <c r="K350" s="459"/>
      <c r="L350" s="460"/>
      <c r="M350" s="417"/>
    </row>
    <row r="351" spans="1:13" ht="15" customHeight="1">
      <c r="A351" s="325"/>
      <c r="B351" s="326" t="s">
        <v>1594</v>
      </c>
      <c r="C351" s="327" t="s">
        <v>5851</v>
      </c>
      <c r="D351" s="326" t="s">
        <v>8017</v>
      </c>
      <c r="E351" s="359" t="s">
        <v>8017</v>
      </c>
      <c r="G351" s="327" t="s">
        <v>1594</v>
      </c>
      <c r="H351" s="328" t="s">
        <v>5852</v>
      </c>
      <c r="I351" s="378"/>
      <c r="J351" s="379">
        <v>988</v>
      </c>
      <c r="K351" s="459"/>
      <c r="L351" s="460"/>
      <c r="M351" s="417"/>
    </row>
    <row r="352" spans="1:13" ht="15" customHeight="1">
      <c r="A352" s="325"/>
      <c r="C352" s="327" t="s">
        <v>5853</v>
      </c>
      <c r="D352" s="326" t="s">
        <v>8018</v>
      </c>
      <c r="E352" s="359" t="s">
        <v>8018</v>
      </c>
      <c r="G352" s="327" t="s">
        <v>1594</v>
      </c>
      <c r="H352" s="328" t="s">
        <v>5854</v>
      </c>
      <c r="I352" s="378"/>
      <c r="J352" s="379">
        <v>83</v>
      </c>
      <c r="K352" s="459"/>
      <c r="L352" s="460"/>
      <c r="M352" s="417"/>
    </row>
    <row r="353" spans="1:13" ht="15" customHeight="1">
      <c r="A353" s="321" t="s">
        <v>5855</v>
      </c>
      <c r="B353" s="322" t="s">
        <v>916</v>
      </c>
      <c r="C353" s="323"/>
      <c r="D353" s="322" t="s">
        <v>1594</v>
      </c>
      <c r="E353" s="365"/>
      <c r="F353" s="366"/>
      <c r="G353" s="323" t="s">
        <v>1594</v>
      </c>
      <c r="H353" s="324" t="s">
        <v>5856</v>
      </c>
      <c r="I353" s="376"/>
      <c r="J353" s="377"/>
      <c r="K353" s="459"/>
      <c r="L353" s="460"/>
      <c r="M353" s="417"/>
    </row>
    <row r="354" spans="1:13" ht="15" customHeight="1">
      <c r="A354" s="325"/>
      <c r="B354" s="326" t="s">
        <v>1594</v>
      </c>
      <c r="C354" s="327" t="s">
        <v>5857</v>
      </c>
      <c r="D354" s="326" t="s">
        <v>8019</v>
      </c>
      <c r="E354" s="359" t="s">
        <v>8019</v>
      </c>
      <c r="G354" s="327" t="s">
        <v>1594</v>
      </c>
      <c r="H354" s="328" t="s">
        <v>5858</v>
      </c>
      <c r="I354" s="378"/>
      <c r="J354" s="379">
        <v>68151</v>
      </c>
      <c r="K354" s="459"/>
      <c r="L354" s="460"/>
      <c r="M354" s="417"/>
    </row>
    <row r="355" spans="1:13" ht="15" customHeight="1">
      <c r="A355" s="325"/>
      <c r="B355" s="326" t="s">
        <v>1594</v>
      </c>
      <c r="D355" s="326" t="s">
        <v>1594</v>
      </c>
      <c r="E355" s="359" t="s">
        <v>8019</v>
      </c>
      <c r="F355" s="334" t="s">
        <v>575</v>
      </c>
      <c r="G355" s="327" t="s">
        <v>8020</v>
      </c>
      <c r="H355" s="328" t="s">
        <v>5859</v>
      </c>
      <c r="I355" s="378">
        <v>234457</v>
      </c>
      <c r="J355" s="379">
        <v>26879</v>
      </c>
      <c r="K355" s="459"/>
      <c r="L355" s="460"/>
      <c r="M355" s="417"/>
    </row>
    <row r="356" spans="1:13" ht="15" customHeight="1">
      <c r="A356" s="325"/>
      <c r="B356" s="326" t="s">
        <v>1594</v>
      </c>
      <c r="D356" s="326" t="s">
        <v>1594</v>
      </c>
      <c r="E356" s="359" t="s">
        <v>8019</v>
      </c>
      <c r="F356" s="334" t="s">
        <v>5359</v>
      </c>
      <c r="G356" s="327" t="s">
        <v>8021</v>
      </c>
      <c r="H356" s="328" t="s">
        <v>5860</v>
      </c>
      <c r="I356" s="378">
        <v>340774</v>
      </c>
      <c r="J356" s="379">
        <v>22951</v>
      </c>
      <c r="K356" s="459"/>
      <c r="L356" s="460"/>
      <c r="M356" s="417"/>
    </row>
    <row r="357" spans="1:13" ht="15" customHeight="1">
      <c r="A357" s="325"/>
      <c r="B357" s="326" t="s">
        <v>1594</v>
      </c>
      <c r="D357" s="326" t="s">
        <v>1594</v>
      </c>
      <c r="E357" s="359" t="s">
        <v>8019</v>
      </c>
      <c r="F357" s="334" t="s">
        <v>5361</v>
      </c>
      <c r="G357" s="327" t="s">
        <v>8022</v>
      </c>
      <c r="H357" s="328" t="s">
        <v>5861</v>
      </c>
      <c r="I357" s="378">
        <v>118</v>
      </c>
      <c r="J357" s="379">
        <v>4</v>
      </c>
      <c r="K357" s="459"/>
      <c r="L357" s="460"/>
      <c r="M357" s="417"/>
    </row>
    <row r="358" spans="1:13" ht="15" customHeight="1">
      <c r="A358" s="325"/>
      <c r="B358" s="326" t="s">
        <v>1594</v>
      </c>
      <c r="D358" s="326" t="s">
        <v>1594</v>
      </c>
      <c r="E358" s="359" t="s">
        <v>8019</v>
      </c>
      <c r="F358" s="334" t="s">
        <v>5383</v>
      </c>
      <c r="G358" s="327" t="s">
        <v>8023</v>
      </c>
      <c r="H358" s="328" t="s">
        <v>5862</v>
      </c>
      <c r="I358" s="378">
        <v>60200</v>
      </c>
      <c r="J358" s="379">
        <v>1728</v>
      </c>
      <c r="K358" s="459"/>
      <c r="L358" s="460"/>
      <c r="M358" s="417"/>
    </row>
    <row r="359" spans="1:13" ht="15" customHeight="1">
      <c r="A359" s="325"/>
      <c r="D359" s="326"/>
      <c r="E359" s="359" t="s">
        <v>8019</v>
      </c>
      <c r="F359" s="334" t="s">
        <v>5457</v>
      </c>
      <c r="G359" s="327" t="s">
        <v>8024</v>
      </c>
      <c r="H359" s="328" t="s">
        <v>5863</v>
      </c>
      <c r="I359" s="378">
        <v>150960</v>
      </c>
      <c r="J359" s="379">
        <v>7610</v>
      </c>
      <c r="K359" s="459"/>
      <c r="L359" s="460"/>
      <c r="M359" s="417"/>
    </row>
    <row r="360" spans="1:13" ht="15" customHeight="1">
      <c r="A360" s="325"/>
      <c r="B360" s="326" t="s">
        <v>1594</v>
      </c>
      <c r="D360" s="326" t="s">
        <v>1594</v>
      </c>
      <c r="E360" s="359" t="s">
        <v>8019</v>
      </c>
      <c r="F360" s="334" t="s">
        <v>5387</v>
      </c>
      <c r="G360" s="327" t="s">
        <v>8025</v>
      </c>
      <c r="H360" s="328" t="s">
        <v>5864</v>
      </c>
      <c r="I360" s="378">
        <v>242</v>
      </c>
      <c r="J360" s="379">
        <v>0</v>
      </c>
      <c r="K360" s="459"/>
      <c r="L360" s="460"/>
      <c r="M360" s="417"/>
    </row>
    <row r="361" spans="1:13" ht="15" customHeight="1">
      <c r="A361" s="325"/>
      <c r="B361" s="326" t="s">
        <v>1594</v>
      </c>
      <c r="D361" s="326" t="s">
        <v>1594</v>
      </c>
      <c r="E361" s="359" t="s">
        <v>8019</v>
      </c>
      <c r="F361" s="334" t="s">
        <v>5421</v>
      </c>
      <c r="G361" s="327" t="s">
        <v>8026</v>
      </c>
      <c r="H361" s="328" t="s">
        <v>5865</v>
      </c>
      <c r="I361" s="378">
        <v>92010</v>
      </c>
      <c r="J361" s="379">
        <v>5499</v>
      </c>
      <c r="K361" s="459"/>
      <c r="L361" s="460"/>
      <c r="M361" s="417"/>
    </row>
    <row r="362" spans="1:13" ht="15" customHeight="1">
      <c r="A362" s="325"/>
      <c r="B362" s="326" t="s">
        <v>1594</v>
      </c>
      <c r="D362" s="326" t="s">
        <v>1594</v>
      </c>
      <c r="E362" s="359" t="s">
        <v>8019</v>
      </c>
      <c r="F362" s="334" t="s">
        <v>5423</v>
      </c>
      <c r="G362" s="327" t="s">
        <v>8027</v>
      </c>
      <c r="H362" s="328" t="s">
        <v>5866</v>
      </c>
      <c r="I362" s="378">
        <v>117725</v>
      </c>
      <c r="J362" s="379">
        <v>3401</v>
      </c>
      <c r="K362" s="459"/>
      <c r="L362" s="460"/>
      <c r="M362" s="417"/>
    </row>
    <row r="363" spans="1:13" ht="15" customHeight="1">
      <c r="A363" s="325"/>
      <c r="B363" s="326" t="s">
        <v>1594</v>
      </c>
      <c r="D363" s="326" t="s">
        <v>1594</v>
      </c>
      <c r="E363" s="359" t="s">
        <v>8019</v>
      </c>
      <c r="F363" s="334" t="s">
        <v>5867</v>
      </c>
      <c r="G363" s="327" t="s">
        <v>8028</v>
      </c>
      <c r="H363" s="328" t="s">
        <v>5868</v>
      </c>
      <c r="I363" s="378">
        <v>13</v>
      </c>
      <c r="J363" s="379">
        <v>0</v>
      </c>
      <c r="K363" s="459"/>
      <c r="L363" s="460"/>
      <c r="M363" s="417"/>
    </row>
    <row r="364" spans="1:13" ht="15" customHeight="1">
      <c r="A364" s="325"/>
      <c r="D364" s="326"/>
      <c r="E364" s="359" t="s">
        <v>8019</v>
      </c>
      <c r="F364" s="334" t="s">
        <v>5605</v>
      </c>
      <c r="G364" s="327" t="s">
        <v>8029</v>
      </c>
      <c r="H364" s="328" t="s">
        <v>5869</v>
      </c>
      <c r="I364" s="378">
        <v>516</v>
      </c>
      <c r="J364" s="379">
        <v>11</v>
      </c>
      <c r="K364" s="459"/>
      <c r="L364" s="460"/>
      <c r="M364" s="417"/>
    </row>
    <row r="365" spans="1:13" ht="15" customHeight="1">
      <c r="A365" s="325"/>
      <c r="D365" s="326"/>
      <c r="E365" s="359" t="s">
        <v>8019</v>
      </c>
      <c r="F365" s="334" t="s">
        <v>5732</v>
      </c>
      <c r="G365" s="327" t="s">
        <v>8030</v>
      </c>
      <c r="H365" s="328" t="s">
        <v>5870</v>
      </c>
      <c r="I365" s="378">
        <v>7486</v>
      </c>
      <c r="J365" s="379">
        <v>65</v>
      </c>
      <c r="K365" s="459"/>
      <c r="L365" s="460"/>
      <c r="M365" s="417"/>
    </row>
    <row r="366" spans="1:13" ht="15" customHeight="1">
      <c r="A366" s="325"/>
      <c r="D366" s="326"/>
      <c r="E366" s="359" t="s">
        <v>8019</v>
      </c>
      <c r="F366" s="334" t="s">
        <v>5734</v>
      </c>
      <c r="G366" s="327" t="s">
        <v>8031</v>
      </c>
      <c r="H366" s="328" t="s">
        <v>5871</v>
      </c>
      <c r="I366" s="378">
        <v>22</v>
      </c>
      <c r="J366" s="379">
        <v>0</v>
      </c>
      <c r="K366" s="459"/>
      <c r="L366" s="460"/>
      <c r="M366" s="417"/>
    </row>
    <row r="367" spans="1:13" ht="15" customHeight="1">
      <c r="A367" s="325"/>
      <c r="D367" s="326"/>
      <c r="E367" s="359" t="s">
        <v>8019</v>
      </c>
      <c r="F367" s="334" t="s">
        <v>5740</v>
      </c>
      <c r="G367" s="327" t="s">
        <v>8032</v>
      </c>
      <c r="H367" s="328" t="s">
        <v>5872</v>
      </c>
      <c r="I367" s="378">
        <v>513</v>
      </c>
      <c r="J367" s="379">
        <v>3</v>
      </c>
      <c r="K367" s="459"/>
      <c r="L367" s="460"/>
      <c r="M367" s="417"/>
    </row>
    <row r="368" spans="1:13" ht="15" customHeight="1">
      <c r="A368" s="325"/>
      <c r="B368" s="326" t="s">
        <v>1594</v>
      </c>
      <c r="C368" s="327" t="s">
        <v>5873</v>
      </c>
      <c r="D368" s="326" t="s">
        <v>8033</v>
      </c>
      <c r="E368" s="359" t="s">
        <v>8033</v>
      </c>
      <c r="F368" s="334" t="s">
        <v>36</v>
      </c>
      <c r="G368" s="327" t="s">
        <v>8034</v>
      </c>
      <c r="H368" s="328" t="s">
        <v>5874</v>
      </c>
      <c r="I368" s="378">
        <v>738773</v>
      </c>
      <c r="J368" s="379">
        <v>4539</v>
      </c>
      <c r="K368" s="459"/>
      <c r="L368" s="460"/>
      <c r="M368" s="417"/>
    </row>
    <row r="369" spans="1:13" ht="15" customHeight="1">
      <c r="A369" s="325"/>
      <c r="B369" s="326" t="s">
        <v>1594</v>
      </c>
      <c r="C369" s="327" t="s">
        <v>5875</v>
      </c>
      <c r="D369" s="326" t="s">
        <v>8035</v>
      </c>
      <c r="E369" s="359" t="s">
        <v>8035</v>
      </c>
      <c r="G369" s="327" t="s">
        <v>1594</v>
      </c>
      <c r="H369" s="328" t="s">
        <v>116</v>
      </c>
      <c r="I369" s="378"/>
      <c r="J369" s="379">
        <v>17664</v>
      </c>
      <c r="K369" s="459"/>
      <c r="L369" s="460"/>
      <c r="M369" s="417"/>
    </row>
    <row r="370" spans="1:13" ht="15" customHeight="1">
      <c r="A370" s="325"/>
      <c r="B370" s="326" t="s">
        <v>1594</v>
      </c>
      <c r="D370" s="326" t="s">
        <v>1594</v>
      </c>
      <c r="E370" s="359" t="s">
        <v>8035</v>
      </c>
      <c r="F370" s="334" t="s">
        <v>36</v>
      </c>
      <c r="G370" s="327" t="s">
        <v>8036</v>
      </c>
      <c r="H370" s="328" t="s">
        <v>5876</v>
      </c>
      <c r="I370" s="378"/>
      <c r="J370" s="379">
        <v>15152</v>
      </c>
      <c r="K370" s="459"/>
      <c r="L370" s="460"/>
      <c r="M370" s="417"/>
    </row>
    <row r="371" spans="1:13" ht="15" customHeight="1">
      <c r="A371" s="325"/>
      <c r="B371" s="326" t="s">
        <v>1594</v>
      </c>
      <c r="D371" s="326" t="s">
        <v>1594</v>
      </c>
      <c r="E371" s="359" t="s">
        <v>8035</v>
      </c>
      <c r="F371" s="334" t="s">
        <v>5337</v>
      </c>
      <c r="G371" s="327" t="s">
        <v>8037</v>
      </c>
      <c r="H371" s="328" t="s">
        <v>5877</v>
      </c>
      <c r="I371" s="378">
        <v>1514</v>
      </c>
      <c r="J371" s="379">
        <v>78</v>
      </c>
      <c r="K371" s="459"/>
      <c r="L371" s="460"/>
      <c r="M371" s="417"/>
    </row>
    <row r="372" spans="1:13" ht="15" customHeight="1">
      <c r="A372" s="325"/>
      <c r="D372" s="326"/>
      <c r="E372" s="359" t="s">
        <v>8035</v>
      </c>
      <c r="F372" s="334" t="s">
        <v>5329</v>
      </c>
      <c r="G372" s="327" t="s">
        <v>8038</v>
      </c>
      <c r="H372" s="328" t="s">
        <v>5878</v>
      </c>
      <c r="I372" s="378">
        <v>20815</v>
      </c>
      <c r="J372" s="379">
        <v>2434</v>
      </c>
      <c r="K372" s="459"/>
      <c r="L372" s="460"/>
      <c r="M372" s="417"/>
    </row>
    <row r="373" spans="1:13" ht="15" customHeight="1">
      <c r="A373" s="325"/>
      <c r="B373" s="326" t="s">
        <v>1594</v>
      </c>
      <c r="C373" s="327" t="s">
        <v>5879</v>
      </c>
      <c r="D373" s="326" t="s">
        <v>8039</v>
      </c>
      <c r="E373" s="359" t="s">
        <v>8039</v>
      </c>
      <c r="G373" s="327" t="s">
        <v>1594</v>
      </c>
      <c r="H373" s="328" t="s">
        <v>5880</v>
      </c>
      <c r="I373" s="378">
        <v>3088</v>
      </c>
      <c r="J373" s="379">
        <v>0</v>
      </c>
      <c r="K373" s="459"/>
      <c r="L373" s="460"/>
      <c r="M373" s="417"/>
    </row>
    <row r="374" spans="1:13" ht="15" customHeight="1">
      <c r="A374" s="325"/>
      <c r="B374" s="326" t="s">
        <v>1594</v>
      </c>
      <c r="D374" s="326" t="s">
        <v>1594</v>
      </c>
      <c r="E374" s="359" t="s">
        <v>8039</v>
      </c>
      <c r="F374" s="334" t="s">
        <v>36</v>
      </c>
      <c r="G374" s="327" t="s">
        <v>8040</v>
      </c>
      <c r="H374" s="328" t="s">
        <v>5881</v>
      </c>
      <c r="I374" s="378">
        <v>2976</v>
      </c>
      <c r="J374" s="379">
        <v>0</v>
      </c>
      <c r="K374" s="459"/>
      <c r="L374" s="460"/>
      <c r="M374" s="417"/>
    </row>
    <row r="375" spans="1:13" ht="15" customHeight="1">
      <c r="A375" s="325"/>
      <c r="B375" s="326" t="s">
        <v>1594</v>
      </c>
      <c r="D375" s="326" t="s">
        <v>1594</v>
      </c>
      <c r="E375" s="359" t="s">
        <v>8039</v>
      </c>
      <c r="F375" s="334" t="s">
        <v>5353</v>
      </c>
      <c r="G375" s="327" t="s">
        <v>8041</v>
      </c>
      <c r="H375" s="328" t="s">
        <v>5882</v>
      </c>
      <c r="I375" s="378"/>
      <c r="J375" s="379">
        <v>0</v>
      </c>
      <c r="K375" s="459"/>
      <c r="L375" s="460"/>
      <c r="M375" s="417"/>
    </row>
    <row r="376" spans="1:13" ht="15" customHeight="1">
      <c r="A376" s="325"/>
      <c r="B376" s="326" t="s">
        <v>1594</v>
      </c>
      <c r="C376" s="327" t="s">
        <v>5883</v>
      </c>
      <c r="D376" s="326" t="s">
        <v>8042</v>
      </c>
      <c r="E376" s="359" t="s">
        <v>8042</v>
      </c>
      <c r="G376" s="327" t="s">
        <v>1594</v>
      </c>
      <c r="H376" s="333" t="s">
        <v>5884</v>
      </c>
      <c r="I376" s="378"/>
      <c r="J376" s="379">
        <v>3205</v>
      </c>
      <c r="K376" s="459"/>
      <c r="L376" s="460"/>
      <c r="M376" s="417"/>
    </row>
    <row r="377" spans="1:13" ht="15" customHeight="1">
      <c r="A377" s="325"/>
      <c r="B377" s="326" t="s">
        <v>1594</v>
      </c>
      <c r="D377" s="326" t="s">
        <v>1594</v>
      </c>
      <c r="E377" s="359" t="s">
        <v>8042</v>
      </c>
      <c r="F377" s="334" t="s">
        <v>575</v>
      </c>
      <c r="G377" s="327" t="s">
        <v>8043</v>
      </c>
      <c r="H377" s="328" t="s">
        <v>5885</v>
      </c>
      <c r="I377" s="378">
        <v>2673</v>
      </c>
      <c r="J377" s="379">
        <v>146</v>
      </c>
      <c r="K377" s="459"/>
      <c r="L377" s="460"/>
      <c r="M377" s="417"/>
    </row>
    <row r="378" spans="1:13" ht="15" customHeight="1">
      <c r="A378" s="325"/>
      <c r="B378" s="326" t="s">
        <v>1594</v>
      </c>
      <c r="D378" s="326" t="s">
        <v>1594</v>
      </c>
      <c r="E378" s="359" t="s">
        <v>8042</v>
      </c>
      <c r="F378" s="334" t="s">
        <v>5359</v>
      </c>
      <c r="G378" s="327" t="s">
        <v>8044</v>
      </c>
      <c r="H378" s="328" t="s">
        <v>5886</v>
      </c>
      <c r="I378" s="378">
        <v>2</v>
      </c>
      <c r="J378" s="379">
        <v>0</v>
      </c>
      <c r="K378" s="459"/>
      <c r="L378" s="460"/>
      <c r="M378" s="417"/>
    </row>
    <row r="379" spans="1:13" ht="15" customHeight="1">
      <c r="A379" s="325"/>
      <c r="B379" s="326" t="s">
        <v>1594</v>
      </c>
      <c r="D379" s="326" t="s">
        <v>1594</v>
      </c>
      <c r="E379" s="359" t="s">
        <v>8042</v>
      </c>
      <c r="F379" s="334" t="s">
        <v>5361</v>
      </c>
      <c r="G379" s="327" t="s">
        <v>8045</v>
      </c>
      <c r="H379" s="328" t="s">
        <v>5887</v>
      </c>
      <c r="I379" s="378">
        <v>2916</v>
      </c>
      <c r="J379" s="379">
        <v>16</v>
      </c>
      <c r="K379" s="459"/>
      <c r="L379" s="460"/>
      <c r="M379" s="417"/>
    </row>
    <row r="380" spans="1:13" ht="15" customHeight="1">
      <c r="A380" s="325"/>
      <c r="B380" s="326" t="s">
        <v>1594</v>
      </c>
      <c r="D380" s="326" t="s">
        <v>1594</v>
      </c>
      <c r="E380" s="359" t="s">
        <v>8042</v>
      </c>
      <c r="F380" s="334" t="s">
        <v>5363</v>
      </c>
      <c r="G380" s="327" t="s">
        <v>8046</v>
      </c>
      <c r="H380" s="328" t="s">
        <v>5888</v>
      </c>
      <c r="I380" s="378">
        <v>6</v>
      </c>
      <c r="J380" s="379">
        <v>0</v>
      </c>
      <c r="K380" s="459"/>
      <c r="L380" s="460"/>
      <c r="M380" s="417"/>
    </row>
    <row r="381" spans="1:13" ht="15" customHeight="1">
      <c r="A381" s="325"/>
      <c r="B381" s="326" t="s">
        <v>1594</v>
      </c>
      <c r="D381" s="326" t="s">
        <v>1594</v>
      </c>
      <c r="E381" s="359" t="s">
        <v>8042</v>
      </c>
      <c r="F381" s="334" t="s">
        <v>5889</v>
      </c>
      <c r="G381" s="327" t="s">
        <v>8047</v>
      </c>
      <c r="H381" s="328" t="s">
        <v>5890</v>
      </c>
      <c r="I381" s="378">
        <v>25626</v>
      </c>
      <c r="J381" s="379">
        <v>2511</v>
      </c>
      <c r="K381" s="459"/>
      <c r="L381" s="460"/>
      <c r="M381" s="417"/>
    </row>
    <row r="382" spans="1:13" ht="15" customHeight="1">
      <c r="A382" s="325"/>
      <c r="B382" s="326" t="s">
        <v>1594</v>
      </c>
      <c r="D382" s="326" t="s">
        <v>1594</v>
      </c>
      <c r="E382" s="359" t="s">
        <v>8042</v>
      </c>
      <c r="F382" s="334" t="s">
        <v>5891</v>
      </c>
      <c r="G382" s="327" t="s">
        <v>8048</v>
      </c>
      <c r="H382" s="328" t="s">
        <v>5892</v>
      </c>
      <c r="I382" s="378">
        <v>32647</v>
      </c>
      <c r="J382" s="379">
        <v>532</v>
      </c>
      <c r="K382" s="459"/>
      <c r="L382" s="460"/>
      <c r="M382" s="417"/>
    </row>
    <row r="383" spans="1:13" ht="15" customHeight="1">
      <c r="A383" s="329"/>
      <c r="B383" s="330" t="s">
        <v>1594</v>
      </c>
      <c r="C383" s="331"/>
      <c r="D383" s="330" t="s">
        <v>1594</v>
      </c>
      <c r="E383" s="367" t="s">
        <v>8042</v>
      </c>
      <c r="F383" s="332" t="s">
        <v>5893</v>
      </c>
      <c r="G383" s="331" t="s">
        <v>8049</v>
      </c>
      <c r="H383" s="320" t="s">
        <v>5894</v>
      </c>
      <c r="I383" s="384">
        <v>5</v>
      </c>
      <c r="J383" s="381">
        <v>0</v>
      </c>
      <c r="K383" s="459"/>
      <c r="L383" s="460"/>
      <c r="M383" s="417"/>
    </row>
    <row r="384" spans="1:13" ht="15" customHeight="1">
      <c r="A384" s="325" t="s">
        <v>5895</v>
      </c>
      <c r="B384" s="326" t="s">
        <v>8050</v>
      </c>
      <c r="D384" s="326" t="s">
        <v>1594</v>
      </c>
      <c r="G384" s="327" t="s">
        <v>1594</v>
      </c>
      <c r="H384" s="328" t="s">
        <v>5896</v>
      </c>
      <c r="I384" s="378"/>
      <c r="J384" s="379"/>
      <c r="K384" s="459"/>
      <c r="L384" s="460"/>
      <c r="M384" s="417"/>
    </row>
    <row r="385" spans="1:13" ht="15" customHeight="1">
      <c r="A385" s="325"/>
      <c r="B385" s="326" t="s">
        <v>1594</v>
      </c>
      <c r="C385" s="327" t="s">
        <v>5897</v>
      </c>
      <c r="D385" s="326" t="s">
        <v>8051</v>
      </c>
      <c r="E385" s="359" t="s">
        <v>8051</v>
      </c>
      <c r="G385" s="327" t="s">
        <v>1594</v>
      </c>
      <c r="H385" s="328" t="s">
        <v>122</v>
      </c>
      <c r="I385" s="378"/>
      <c r="J385" s="379">
        <v>26532</v>
      </c>
      <c r="K385" s="459"/>
      <c r="L385" s="460"/>
      <c r="M385" s="417"/>
    </row>
    <row r="386" spans="1:13" ht="15" customHeight="1">
      <c r="A386" s="325"/>
      <c r="B386" s="326" t="s">
        <v>1594</v>
      </c>
      <c r="D386" s="326" t="s">
        <v>1594</v>
      </c>
      <c r="E386" s="359" t="s">
        <v>8051</v>
      </c>
      <c r="F386" s="334" t="s">
        <v>36</v>
      </c>
      <c r="G386" s="327" t="s">
        <v>8052</v>
      </c>
      <c r="H386" s="328" t="s">
        <v>5898</v>
      </c>
      <c r="I386" s="378">
        <v>468780</v>
      </c>
      <c r="J386" s="379">
        <v>22590</v>
      </c>
      <c r="K386" s="459"/>
      <c r="L386" s="460"/>
      <c r="M386" s="417"/>
    </row>
    <row r="387" spans="1:13" ht="15" customHeight="1">
      <c r="A387" s="325"/>
      <c r="B387" s="326" t="s">
        <v>1594</v>
      </c>
      <c r="D387" s="326" t="s">
        <v>1594</v>
      </c>
      <c r="E387" s="359" t="s">
        <v>8051</v>
      </c>
      <c r="F387" s="334" t="s">
        <v>5337</v>
      </c>
      <c r="G387" s="327" t="s">
        <v>8053</v>
      </c>
      <c r="H387" s="328" t="s">
        <v>5899</v>
      </c>
      <c r="I387" s="378">
        <v>60490</v>
      </c>
      <c r="J387" s="379">
        <v>3942</v>
      </c>
      <c r="K387" s="459"/>
      <c r="L387" s="460"/>
      <c r="M387" s="417"/>
    </row>
    <row r="388" spans="1:13" ht="15" customHeight="1">
      <c r="A388" s="325"/>
      <c r="B388" s="326" t="s">
        <v>1594</v>
      </c>
      <c r="C388" s="327" t="s">
        <v>5900</v>
      </c>
      <c r="D388" s="326" t="s">
        <v>8054</v>
      </c>
      <c r="E388" s="359" t="s">
        <v>8054</v>
      </c>
      <c r="G388" s="327" t="s">
        <v>1594</v>
      </c>
      <c r="H388" s="328" t="s">
        <v>123</v>
      </c>
      <c r="I388" s="378"/>
      <c r="J388" s="379">
        <v>81088</v>
      </c>
      <c r="K388" s="459"/>
      <c r="L388" s="460"/>
      <c r="M388" s="417"/>
    </row>
    <row r="389" spans="1:13" ht="15" customHeight="1">
      <c r="A389" s="325"/>
      <c r="B389" s="326" t="s">
        <v>1594</v>
      </c>
      <c r="D389" s="326" t="s">
        <v>1594</v>
      </c>
      <c r="E389" s="359" t="s">
        <v>8054</v>
      </c>
      <c r="F389" s="334" t="s">
        <v>5637</v>
      </c>
      <c r="G389" s="327" t="s">
        <v>8055</v>
      </c>
      <c r="H389" s="328" t="s">
        <v>5901</v>
      </c>
      <c r="I389" s="378">
        <v>194120</v>
      </c>
      <c r="J389" s="379">
        <v>21126</v>
      </c>
      <c r="K389" s="459"/>
      <c r="L389" s="460"/>
      <c r="M389" s="417"/>
    </row>
    <row r="390" spans="1:13" ht="15" customHeight="1">
      <c r="A390" s="325"/>
      <c r="D390" s="326"/>
      <c r="E390" s="359" t="s">
        <v>8054</v>
      </c>
      <c r="F390" s="334" t="s">
        <v>5359</v>
      </c>
      <c r="G390" s="327" t="s">
        <v>8056</v>
      </c>
      <c r="H390" s="328" t="s">
        <v>5902</v>
      </c>
      <c r="I390" s="378">
        <v>82540</v>
      </c>
      <c r="J390" s="379">
        <v>2043</v>
      </c>
      <c r="K390" s="459"/>
      <c r="L390" s="460"/>
      <c r="M390" s="417"/>
    </row>
    <row r="391" spans="1:13" ht="15" customHeight="1">
      <c r="A391" s="325"/>
      <c r="D391" s="326"/>
      <c r="E391" s="359" t="s">
        <v>8054</v>
      </c>
      <c r="F391" s="334" t="s">
        <v>5361</v>
      </c>
      <c r="G391" s="327" t="s">
        <v>8057</v>
      </c>
      <c r="H391" s="328" t="s">
        <v>5903</v>
      </c>
      <c r="I391" s="378">
        <v>399900</v>
      </c>
      <c r="J391" s="379">
        <v>10657</v>
      </c>
      <c r="K391" s="459"/>
      <c r="L391" s="460"/>
      <c r="M391" s="417"/>
    </row>
    <row r="392" spans="1:13" ht="15" customHeight="1">
      <c r="A392" s="325"/>
      <c r="B392" s="326" t="s">
        <v>1594</v>
      </c>
      <c r="D392" s="326" t="s">
        <v>1594</v>
      </c>
      <c r="E392" s="359" t="s">
        <v>8054</v>
      </c>
      <c r="F392" s="334" t="s">
        <v>5455</v>
      </c>
      <c r="G392" s="327" t="s">
        <v>8058</v>
      </c>
      <c r="H392" s="328" t="s">
        <v>5904</v>
      </c>
      <c r="I392" s="378">
        <v>45</v>
      </c>
      <c r="J392" s="379">
        <v>16</v>
      </c>
      <c r="K392" s="459"/>
      <c r="L392" s="460"/>
      <c r="M392" s="417"/>
    </row>
    <row r="393" spans="1:13" ht="15" customHeight="1">
      <c r="A393" s="325"/>
      <c r="D393" s="326"/>
      <c r="E393" s="359" t="s">
        <v>8054</v>
      </c>
      <c r="F393" s="334" t="s">
        <v>5385</v>
      </c>
      <c r="G393" s="327" t="s">
        <v>8059</v>
      </c>
      <c r="H393" s="328" t="s">
        <v>5905</v>
      </c>
      <c r="I393" s="378">
        <v>2323</v>
      </c>
      <c r="J393" s="379">
        <v>845</v>
      </c>
      <c r="K393" s="459"/>
      <c r="L393" s="460"/>
      <c r="M393" s="417"/>
    </row>
    <row r="394" spans="1:13" ht="15" customHeight="1">
      <c r="A394" s="325"/>
      <c r="D394" s="326"/>
      <c r="E394" s="359" t="s">
        <v>8054</v>
      </c>
      <c r="F394" s="334" t="s">
        <v>5906</v>
      </c>
      <c r="G394" s="327" t="s">
        <v>8060</v>
      </c>
      <c r="H394" s="328" t="s">
        <v>5907</v>
      </c>
      <c r="I394" s="378">
        <v>473</v>
      </c>
      <c r="J394" s="379">
        <v>172</v>
      </c>
      <c r="K394" s="459"/>
      <c r="L394" s="460"/>
      <c r="M394" s="417"/>
    </row>
    <row r="395" spans="1:13" ht="15" customHeight="1">
      <c r="A395" s="325"/>
      <c r="D395" s="326"/>
      <c r="E395" s="359" t="s">
        <v>8054</v>
      </c>
      <c r="F395" s="334" t="s">
        <v>5908</v>
      </c>
      <c r="G395" s="327" t="s">
        <v>8061</v>
      </c>
      <c r="H395" s="328" t="s">
        <v>5909</v>
      </c>
      <c r="I395" s="378">
        <v>350</v>
      </c>
      <c r="J395" s="379">
        <v>127</v>
      </c>
      <c r="K395" s="459"/>
      <c r="L395" s="460"/>
      <c r="M395" s="417"/>
    </row>
    <row r="396" spans="1:13" ht="15" customHeight="1">
      <c r="A396" s="325"/>
      <c r="B396" s="326" t="s">
        <v>1594</v>
      </c>
      <c r="D396" s="326" t="s">
        <v>1594</v>
      </c>
      <c r="E396" s="359" t="s">
        <v>8054</v>
      </c>
      <c r="F396" s="334" t="s">
        <v>5421</v>
      </c>
      <c r="G396" s="327" t="s">
        <v>8062</v>
      </c>
      <c r="H396" s="328" t="s">
        <v>5910</v>
      </c>
      <c r="I396" s="378"/>
      <c r="J396" s="379">
        <v>0</v>
      </c>
      <c r="K396" s="459"/>
      <c r="L396" s="460"/>
      <c r="M396" s="417"/>
    </row>
    <row r="397" spans="1:13" ht="15" customHeight="1">
      <c r="A397" s="325"/>
      <c r="B397" s="326" t="s">
        <v>1594</v>
      </c>
      <c r="D397" s="326" t="s">
        <v>1594</v>
      </c>
      <c r="E397" s="359" t="s">
        <v>8054</v>
      </c>
      <c r="F397" s="334" t="s">
        <v>5423</v>
      </c>
      <c r="G397" s="327" t="s">
        <v>8063</v>
      </c>
      <c r="H397" s="328" t="s">
        <v>5911</v>
      </c>
      <c r="I397" s="378">
        <v>162020</v>
      </c>
      <c r="J397" s="379">
        <v>26429</v>
      </c>
      <c r="K397" s="459"/>
      <c r="L397" s="460"/>
      <c r="M397" s="417"/>
    </row>
    <row r="398" spans="1:13" ht="15" customHeight="1">
      <c r="A398" s="325"/>
      <c r="B398" s="326" t="s">
        <v>1594</v>
      </c>
      <c r="D398" s="326" t="s">
        <v>1594</v>
      </c>
      <c r="E398" s="359" t="s">
        <v>8054</v>
      </c>
      <c r="F398" s="334" t="s">
        <v>5425</v>
      </c>
      <c r="G398" s="327" t="s">
        <v>8064</v>
      </c>
      <c r="H398" s="328" t="s">
        <v>5912</v>
      </c>
      <c r="I398" s="378">
        <v>102311</v>
      </c>
      <c r="J398" s="379">
        <v>4745</v>
      </c>
      <c r="K398" s="459"/>
      <c r="L398" s="460"/>
      <c r="M398" s="417"/>
    </row>
    <row r="399" spans="1:13" ht="15" customHeight="1">
      <c r="A399" s="325"/>
      <c r="B399" s="326" t="s">
        <v>1594</v>
      </c>
      <c r="D399" s="326" t="s">
        <v>1594</v>
      </c>
      <c r="E399" s="359" t="s">
        <v>8054</v>
      </c>
      <c r="F399" s="334" t="s">
        <v>5605</v>
      </c>
      <c r="G399" s="327" t="s">
        <v>8065</v>
      </c>
      <c r="H399" s="328" t="s">
        <v>5913</v>
      </c>
      <c r="I399" s="378">
        <v>142700</v>
      </c>
      <c r="J399" s="379">
        <v>5538</v>
      </c>
      <c r="K399" s="459"/>
      <c r="L399" s="460"/>
      <c r="M399" s="417"/>
    </row>
    <row r="400" spans="1:13" ht="15" customHeight="1">
      <c r="A400" s="325"/>
      <c r="D400" s="326"/>
      <c r="E400" s="359" t="s">
        <v>8054</v>
      </c>
      <c r="F400" s="334" t="s">
        <v>5732</v>
      </c>
      <c r="G400" s="327" t="s">
        <v>8066</v>
      </c>
      <c r="H400" s="328" t="s">
        <v>5914</v>
      </c>
      <c r="I400" s="378">
        <v>91900</v>
      </c>
      <c r="J400" s="379">
        <v>3401</v>
      </c>
      <c r="K400" s="459"/>
      <c r="L400" s="460"/>
      <c r="M400" s="417"/>
    </row>
    <row r="401" spans="1:13" ht="15" customHeight="1">
      <c r="A401" s="325"/>
      <c r="D401" s="326"/>
      <c r="E401" s="359" t="s">
        <v>8054</v>
      </c>
      <c r="F401" s="334" t="s">
        <v>5734</v>
      </c>
      <c r="G401" s="327" t="s">
        <v>8067</v>
      </c>
      <c r="H401" s="328" t="s">
        <v>5915</v>
      </c>
      <c r="I401" s="378">
        <v>151500</v>
      </c>
      <c r="J401" s="379">
        <v>5607</v>
      </c>
      <c r="K401" s="459"/>
      <c r="L401" s="460"/>
      <c r="M401" s="417"/>
    </row>
    <row r="402" spans="1:13" ht="15" customHeight="1">
      <c r="A402" s="325"/>
      <c r="D402" s="326"/>
      <c r="E402" s="359" t="s">
        <v>8054</v>
      </c>
      <c r="F402" s="334" t="s">
        <v>5740</v>
      </c>
      <c r="G402" s="327" t="s">
        <v>8068</v>
      </c>
      <c r="H402" s="328" t="s">
        <v>5916</v>
      </c>
      <c r="I402" s="378">
        <v>21384</v>
      </c>
      <c r="J402" s="379">
        <v>325</v>
      </c>
      <c r="K402" s="459"/>
      <c r="L402" s="460"/>
      <c r="M402" s="417"/>
    </row>
    <row r="403" spans="1:13" ht="15" customHeight="1">
      <c r="A403" s="329"/>
      <c r="B403" s="330" t="s">
        <v>1594</v>
      </c>
      <c r="C403" s="331"/>
      <c r="D403" s="330" t="s">
        <v>1594</v>
      </c>
      <c r="E403" s="367" t="s">
        <v>8054</v>
      </c>
      <c r="F403" s="332" t="s">
        <v>5917</v>
      </c>
      <c r="G403" s="331" t="s">
        <v>8069</v>
      </c>
      <c r="H403" s="320" t="s">
        <v>5918</v>
      </c>
      <c r="I403" s="384"/>
      <c r="J403" s="381">
        <v>57</v>
      </c>
      <c r="K403" s="459"/>
      <c r="L403" s="460"/>
      <c r="M403" s="417"/>
    </row>
    <row r="404" spans="1:13" ht="15" customHeight="1">
      <c r="A404" s="325" t="s">
        <v>5919</v>
      </c>
      <c r="B404" s="326" t="s">
        <v>8070</v>
      </c>
      <c r="C404" s="327" t="s">
        <v>5920</v>
      </c>
      <c r="D404" s="326" t="s">
        <v>8071</v>
      </c>
      <c r="E404" s="359" t="s">
        <v>8071</v>
      </c>
      <c r="G404" s="327" t="s">
        <v>1594</v>
      </c>
      <c r="H404" s="328" t="s">
        <v>124</v>
      </c>
      <c r="I404" s="378"/>
      <c r="J404" s="379">
        <v>103664</v>
      </c>
      <c r="K404" s="459"/>
      <c r="L404" s="460"/>
      <c r="M404" s="417"/>
    </row>
    <row r="405" spans="1:13" ht="15" customHeight="1">
      <c r="A405" s="325"/>
      <c r="B405" s="326" t="s">
        <v>1594</v>
      </c>
      <c r="D405" s="326" t="s">
        <v>1594</v>
      </c>
      <c r="E405" s="359" t="s">
        <v>8071</v>
      </c>
      <c r="F405" s="334" t="s">
        <v>575</v>
      </c>
      <c r="G405" s="327" t="s">
        <v>8072</v>
      </c>
      <c r="H405" s="328" t="s">
        <v>5921</v>
      </c>
      <c r="I405" s="378">
        <v>801735</v>
      </c>
      <c r="J405" s="379">
        <v>84576</v>
      </c>
      <c r="K405" s="459"/>
      <c r="L405" s="460"/>
      <c r="M405" s="417"/>
    </row>
    <row r="406" spans="1:13" ht="15" customHeight="1">
      <c r="A406" s="325"/>
      <c r="B406" s="326" t="s">
        <v>1594</v>
      </c>
      <c r="D406" s="326" t="s">
        <v>1594</v>
      </c>
      <c r="E406" s="359" t="s">
        <v>8071</v>
      </c>
      <c r="F406" s="334" t="s">
        <v>5359</v>
      </c>
      <c r="G406" s="327" t="s">
        <v>8073</v>
      </c>
      <c r="H406" s="328" t="s">
        <v>5922</v>
      </c>
      <c r="I406" s="378">
        <v>53809</v>
      </c>
      <c r="J406" s="379">
        <v>819</v>
      </c>
      <c r="K406" s="459"/>
      <c r="L406" s="460"/>
      <c r="M406" s="417"/>
    </row>
    <row r="407" spans="1:13" ht="15" customHeight="1">
      <c r="A407" s="335"/>
      <c r="B407" s="336" t="s">
        <v>1594</v>
      </c>
      <c r="C407" s="337"/>
      <c r="D407" s="336" t="s">
        <v>1594</v>
      </c>
      <c r="E407" s="359" t="s">
        <v>8071</v>
      </c>
      <c r="F407" s="334" t="s">
        <v>5602</v>
      </c>
      <c r="G407" s="327" t="s">
        <v>8074</v>
      </c>
      <c r="H407" s="328" t="s">
        <v>5923</v>
      </c>
      <c r="I407" s="378"/>
      <c r="J407" s="379">
        <v>0</v>
      </c>
      <c r="K407" s="459"/>
      <c r="L407" s="460"/>
      <c r="M407" s="417"/>
    </row>
    <row r="408" spans="1:13" ht="15" customHeight="1">
      <c r="A408" s="335"/>
      <c r="B408" s="336"/>
      <c r="C408" s="337"/>
      <c r="D408" s="336"/>
      <c r="E408" s="359" t="s">
        <v>8071</v>
      </c>
      <c r="F408" s="334" t="s">
        <v>5484</v>
      </c>
      <c r="G408" s="327" t="s">
        <v>8075</v>
      </c>
      <c r="H408" s="328" t="s">
        <v>5924</v>
      </c>
      <c r="I408" s="378">
        <v>403149</v>
      </c>
      <c r="J408" s="379">
        <v>18311</v>
      </c>
      <c r="K408" s="459"/>
      <c r="L408" s="460"/>
      <c r="M408" s="417"/>
    </row>
    <row r="409" spans="1:13" ht="15" customHeight="1">
      <c r="A409" s="329"/>
      <c r="B409" s="330"/>
      <c r="C409" s="331"/>
      <c r="D409" s="330"/>
      <c r="E409" s="367" t="s">
        <v>8071</v>
      </c>
      <c r="F409" s="332" t="s">
        <v>5576</v>
      </c>
      <c r="G409" s="331" t="s">
        <v>8076</v>
      </c>
      <c r="H409" s="320" t="s">
        <v>5925</v>
      </c>
      <c r="I409" s="384"/>
      <c r="J409" s="381">
        <v>-42</v>
      </c>
      <c r="K409" s="459"/>
      <c r="L409" s="460"/>
      <c r="M409" s="417"/>
    </row>
    <row r="410" spans="1:13" ht="15" customHeight="1">
      <c r="A410" s="321" t="s">
        <v>5926</v>
      </c>
      <c r="B410" s="322" t="s">
        <v>8077</v>
      </c>
      <c r="C410" s="323" t="s">
        <v>5927</v>
      </c>
      <c r="D410" s="322" t="s">
        <v>8078</v>
      </c>
      <c r="E410" s="365" t="s">
        <v>8078</v>
      </c>
      <c r="F410" s="366"/>
      <c r="G410" s="323" t="s">
        <v>1594</v>
      </c>
      <c r="H410" s="324" t="s">
        <v>126</v>
      </c>
      <c r="I410" s="376"/>
      <c r="J410" s="377">
        <v>6618</v>
      </c>
      <c r="K410" s="459"/>
      <c r="L410" s="460"/>
      <c r="M410" s="417"/>
    </row>
    <row r="411" spans="1:13" ht="15" customHeight="1">
      <c r="A411" s="325"/>
      <c r="B411" s="326" t="s">
        <v>1594</v>
      </c>
      <c r="D411" s="326" t="s">
        <v>1594</v>
      </c>
      <c r="E411" s="359" t="s">
        <v>8078</v>
      </c>
      <c r="F411" s="334" t="s">
        <v>575</v>
      </c>
      <c r="G411" s="327" t="s">
        <v>8079</v>
      </c>
      <c r="H411" s="328" t="s">
        <v>5928</v>
      </c>
      <c r="I411" s="378">
        <v>1053677</v>
      </c>
      <c r="J411" s="379">
        <v>4931</v>
      </c>
      <c r="K411" s="459"/>
      <c r="L411" s="460"/>
      <c r="M411" s="417"/>
    </row>
    <row r="412" spans="1:13" ht="15" customHeight="1">
      <c r="A412" s="325"/>
      <c r="B412" s="326" t="s">
        <v>1594</v>
      </c>
      <c r="D412" s="326" t="s">
        <v>1594</v>
      </c>
      <c r="E412" s="359" t="s">
        <v>8078</v>
      </c>
      <c r="F412" s="334" t="s">
        <v>5383</v>
      </c>
      <c r="G412" s="327" t="s">
        <v>8080</v>
      </c>
      <c r="H412" s="328" t="s">
        <v>5929</v>
      </c>
      <c r="I412" s="378">
        <v>108531</v>
      </c>
      <c r="J412" s="379">
        <v>1683</v>
      </c>
      <c r="K412" s="459"/>
      <c r="L412" s="460"/>
      <c r="M412" s="417"/>
    </row>
    <row r="413" spans="1:13" ht="15" customHeight="1">
      <c r="A413" s="329"/>
      <c r="B413" s="330" t="s">
        <v>1594</v>
      </c>
      <c r="C413" s="331"/>
      <c r="D413" s="330" t="s">
        <v>1594</v>
      </c>
      <c r="E413" s="367" t="s">
        <v>8078</v>
      </c>
      <c r="F413" s="332" t="s">
        <v>5421</v>
      </c>
      <c r="G413" s="331" t="s">
        <v>8081</v>
      </c>
      <c r="H413" s="320" t="s">
        <v>5930</v>
      </c>
      <c r="I413" s="384">
        <v>625</v>
      </c>
      <c r="J413" s="381">
        <v>4</v>
      </c>
      <c r="K413" s="459"/>
      <c r="L413" s="460"/>
      <c r="M413" s="417"/>
    </row>
    <row r="414" spans="1:13" ht="15" customHeight="1">
      <c r="A414" s="325" t="s">
        <v>5931</v>
      </c>
      <c r="B414" s="326" t="s">
        <v>8082</v>
      </c>
      <c r="C414" s="327" t="s">
        <v>5932</v>
      </c>
      <c r="D414" s="326" t="s">
        <v>8083</v>
      </c>
      <c r="E414" s="359" t="s">
        <v>8083</v>
      </c>
      <c r="G414" s="327" t="s">
        <v>1594</v>
      </c>
      <c r="H414" s="328" t="s">
        <v>127</v>
      </c>
      <c r="I414" s="378"/>
      <c r="J414" s="379">
        <v>14264</v>
      </c>
      <c r="K414" s="459"/>
      <c r="L414" s="460"/>
      <c r="M414" s="417"/>
    </row>
    <row r="415" spans="1:13" ht="15" customHeight="1">
      <c r="A415" s="325"/>
      <c r="B415" s="326" t="s">
        <v>1594</v>
      </c>
      <c r="D415" s="326" t="s">
        <v>1594</v>
      </c>
      <c r="E415" s="359" t="s">
        <v>8083</v>
      </c>
      <c r="F415" s="334" t="s">
        <v>575</v>
      </c>
      <c r="G415" s="327" t="s">
        <v>8084</v>
      </c>
      <c r="H415" s="328" t="s">
        <v>5933</v>
      </c>
      <c r="I415" s="378">
        <v>376099</v>
      </c>
      <c r="J415" s="379">
        <v>7875</v>
      </c>
      <c r="K415" s="459"/>
      <c r="L415" s="460"/>
      <c r="M415" s="417"/>
    </row>
    <row r="416" spans="1:13" ht="15" customHeight="1">
      <c r="A416" s="325"/>
      <c r="B416" s="326" t="s">
        <v>1594</v>
      </c>
      <c r="D416" s="326" t="s">
        <v>1594</v>
      </c>
      <c r="E416" s="359" t="s">
        <v>8083</v>
      </c>
      <c r="F416" s="334" t="s">
        <v>5359</v>
      </c>
      <c r="G416" s="327" t="s">
        <v>8085</v>
      </c>
      <c r="H416" s="328" t="s">
        <v>5934</v>
      </c>
      <c r="I416" s="378">
        <v>95931</v>
      </c>
      <c r="J416" s="379">
        <v>6276</v>
      </c>
      <c r="K416" s="459"/>
      <c r="L416" s="460"/>
      <c r="M416" s="417"/>
    </row>
    <row r="417" spans="1:13" ht="15" customHeight="1">
      <c r="A417" s="325"/>
      <c r="B417" s="326" t="s">
        <v>1594</v>
      </c>
      <c r="D417" s="326" t="s">
        <v>1594</v>
      </c>
      <c r="E417" s="359" t="s">
        <v>8083</v>
      </c>
      <c r="F417" s="334" t="s">
        <v>5659</v>
      </c>
      <c r="G417" s="327" t="s">
        <v>8086</v>
      </c>
      <c r="H417" s="328" t="s">
        <v>5935</v>
      </c>
      <c r="I417" s="378">
        <v>9997</v>
      </c>
      <c r="J417" s="379">
        <v>34</v>
      </c>
      <c r="K417" s="459"/>
      <c r="L417" s="460"/>
      <c r="M417" s="417"/>
    </row>
    <row r="418" spans="1:13" ht="15" customHeight="1">
      <c r="A418" s="325"/>
      <c r="B418" s="326" t="s">
        <v>1594</v>
      </c>
      <c r="D418" s="326" t="s">
        <v>1594</v>
      </c>
      <c r="E418" s="359" t="s">
        <v>8083</v>
      </c>
      <c r="F418" s="334" t="s">
        <v>5383</v>
      </c>
      <c r="G418" s="327" t="s">
        <v>8087</v>
      </c>
      <c r="H418" s="328" t="s">
        <v>5930</v>
      </c>
      <c r="I418" s="378">
        <v>2301</v>
      </c>
      <c r="J418" s="379">
        <v>68</v>
      </c>
      <c r="K418" s="459"/>
      <c r="L418" s="460"/>
      <c r="M418" s="417"/>
    </row>
    <row r="419" spans="1:13" ht="15" customHeight="1">
      <c r="A419" s="329"/>
      <c r="B419" s="330" t="s">
        <v>1594</v>
      </c>
      <c r="C419" s="331"/>
      <c r="D419" s="330" t="s">
        <v>1594</v>
      </c>
      <c r="E419" s="367" t="s">
        <v>8083</v>
      </c>
      <c r="F419" s="332" t="s">
        <v>5917</v>
      </c>
      <c r="G419" s="331" t="s">
        <v>8088</v>
      </c>
      <c r="H419" s="320" t="s">
        <v>5925</v>
      </c>
      <c r="I419" s="384"/>
      <c r="J419" s="381">
        <v>11</v>
      </c>
      <c r="K419" s="459"/>
      <c r="L419" s="460"/>
      <c r="M419" s="417"/>
    </row>
    <row r="420" spans="1:13" s="327" customFormat="1" ht="15" customHeight="1">
      <c r="A420" s="325" t="s">
        <v>5936</v>
      </c>
      <c r="B420" s="326" t="s">
        <v>8089</v>
      </c>
      <c r="C420" s="327" t="s">
        <v>5937</v>
      </c>
      <c r="D420" s="326" t="s">
        <v>8090</v>
      </c>
      <c r="E420" s="359" t="s">
        <v>8090</v>
      </c>
      <c r="F420" s="334"/>
      <c r="G420" s="327" t="s">
        <v>1594</v>
      </c>
      <c r="H420" s="328" t="s">
        <v>128</v>
      </c>
      <c r="I420" s="378"/>
      <c r="J420" s="379">
        <v>808</v>
      </c>
      <c r="K420" s="461"/>
      <c r="L420" s="462"/>
      <c r="M420" s="328"/>
    </row>
    <row r="421" spans="1:13" s="327" customFormat="1" ht="15" customHeight="1">
      <c r="A421" s="325"/>
      <c r="B421" s="326" t="s">
        <v>1594</v>
      </c>
      <c r="D421" s="326" t="s">
        <v>1594</v>
      </c>
      <c r="E421" s="359" t="s">
        <v>8090</v>
      </c>
      <c r="F421" s="334" t="s">
        <v>575</v>
      </c>
      <c r="G421" s="327" t="s">
        <v>8091</v>
      </c>
      <c r="H421" s="328" t="s">
        <v>5938</v>
      </c>
      <c r="I421" s="378">
        <v>115100</v>
      </c>
      <c r="J421" s="379">
        <v>810</v>
      </c>
      <c r="K421" s="461"/>
      <c r="L421" s="462"/>
      <c r="M421" s="328"/>
    </row>
    <row r="422" spans="1:13" s="327" customFormat="1" ht="15" customHeight="1">
      <c r="A422" s="325"/>
      <c r="B422" s="326" t="s">
        <v>1594</v>
      </c>
      <c r="D422" s="326" t="s">
        <v>1594</v>
      </c>
      <c r="E422" s="359" t="s">
        <v>8090</v>
      </c>
      <c r="F422" s="334" t="s">
        <v>5383</v>
      </c>
      <c r="G422" s="327" t="s">
        <v>8092</v>
      </c>
      <c r="H422" s="328" t="s">
        <v>5930</v>
      </c>
      <c r="I422" s="378">
        <v>102</v>
      </c>
      <c r="J422" s="379">
        <v>1</v>
      </c>
      <c r="K422" s="461"/>
      <c r="L422" s="462"/>
      <c r="M422" s="328"/>
    </row>
    <row r="423" spans="1:13" s="327" customFormat="1" ht="15" customHeight="1">
      <c r="A423" s="329"/>
      <c r="B423" s="330"/>
      <c r="C423" s="331"/>
      <c r="D423" s="330"/>
      <c r="E423" s="367" t="s">
        <v>8090</v>
      </c>
      <c r="F423" s="332" t="s">
        <v>5576</v>
      </c>
      <c r="G423" s="331" t="s">
        <v>8093</v>
      </c>
      <c r="H423" s="320" t="s">
        <v>5939</v>
      </c>
      <c r="I423" s="384"/>
      <c r="J423" s="381">
        <v>-3</v>
      </c>
      <c r="K423" s="461"/>
      <c r="L423" s="462"/>
      <c r="M423" s="328"/>
    </row>
    <row r="424" spans="1:13" ht="15" customHeight="1">
      <c r="A424" s="325" t="s">
        <v>5940</v>
      </c>
      <c r="B424" s="326" t="s">
        <v>8094</v>
      </c>
      <c r="C424" s="327" t="s">
        <v>5941</v>
      </c>
      <c r="D424" s="326" t="s">
        <v>8095</v>
      </c>
      <c r="E424" s="359" t="s">
        <v>8095</v>
      </c>
      <c r="G424" s="327" t="s">
        <v>1594</v>
      </c>
      <c r="H424" s="328" t="s">
        <v>130</v>
      </c>
      <c r="I424" s="378"/>
      <c r="J424" s="379">
        <v>36347</v>
      </c>
      <c r="K424" s="459"/>
      <c r="L424" s="460"/>
      <c r="M424" s="417"/>
    </row>
    <row r="425" spans="1:13" ht="15" customHeight="1">
      <c r="A425" s="325"/>
      <c r="B425" s="326" t="s">
        <v>1594</v>
      </c>
      <c r="D425" s="326" t="s">
        <v>1594</v>
      </c>
      <c r="E425" s="359" t="s">
        <v>8095</v>
      </c>
      <c r="F425" s="334" t="s">
        <v>575</v>
      </c>
      <c r="G425" s="327" t="s">
        <v>8096</v>
      </c>
      <c r="H425" s="328" t="s">
        <v>5942</v>
      </c>
      <c r="I425" s="378">
        <v>383438</v>
      </c>
      <c r="J425" s="379">
        <v>36084</v>
      </c>
      <c r="K425" s="459"/>
      <c r="L425" s="460"/>
      <c r="M425" s="417"/>
    </row>
    <row r="426" spans="1:13" ht="15" customHeight="1">
      <c r="A426" s="325"/>
      <c r="B426" s="326" t="s">
        <v>1594</v>
      </c>
      <c r="D426" s="326" t="s">
        <v>1594</v>
      </c>
      <c r="E426" s="359" t="s">
        <v>8095</v>
      </c>
      <c r="F426" s="334" t="s">
        <v>5455</v>
      </c>
      <c r="G426" s="327" t="s">
        <v>8097</v>
      </c>
      <c r="H426" s="328" t="s">
        <v>5930</v>
      </c>
      <c r="I426" s="378">
        <v>2785</v>
      </c>
      <c r="J426" s="379">
        <v>262</v>
      </c>
      <c r="K426" s="459"/>
      <c r="L426" s="460"/>
      <c r="M426" s="417"/>
    </row>
    <row r="427" spans="1:13" ht="15" customHeight="1">
      <c r="A427" s="329"/>
      <c r="B427" s="330"/>
      <c r="C427" s="331"/>
      <c r="D427" s="330"/>
      <c r="E427" s="367" t="s">
        <v>8095</v>
      </c>
      <c r="F427" s="332" t="s">
        <v>5576</v>
      </c>
      <c r="G427" s="331" t="s">
        <v>8098</v>
      </c>
      <c r="H427" s="320" t="s">
        <v>5939</v>
      </c>
      <c r="I427" s="384"/>
      <c r="J427" s="381">
        <v>1</v>
      </c>
      <c r="K427" s="459"/>
      <c r="L427" s="460"/>
      <c r="M427" s="417"/>
    </row>
    <row r="428" spans="1:13" ht="15" customHeight="1">
      <c r="A428" s="325" t="s">
        <v>5943</v>
      </c>
      <c r="B428" s="326" t="s">
        <v>8099</v>
      </c>
      <c r="C428" s="327" t="s">
        <v>5944</v>
      </c>
      <c r="D428" s="326" t="s">
        <v>8100</v>
      </c>
      <c r="E428" s="359" t="s">
        <v>8100</v>
      </c>
      <c r="G428" s="327" t="s">
        <v>1594</v>
      </c>
      <c r="H428" s="328" t="s">
        <v>131</v>
      </c>
      <c r="I428" s="378"/>
      <c r="J428" s="379">
        <v>46527</v>
      </c>
      <c r="K428" s="459"/>
      <c r="L428" s="460"/>
      <c r="M428" s="417"/>
    </row>
    <row r="429" spans="1:13" ht="15" customHeight="1">
      <c r="A429" s="325"/>
      <c r="B429" s="326" t="s">
        <v>1594</v>
      </c>
      <c r="D429" s="326" t="s">
        <v>1594</v>
      </c>
      <c r="E429" s="359" t="s">
        <v>8100</v>
      </c>
      <c r="F429" s="334" t="s">
        <v>575</v>
      </c>
      <c r="G429" s="327" t="s">
        <v>8101</v>
      </c>
      <c r="H429" s="328" t="s">
        <v>5945</v>
      </c>
      <c r="I429" s="378"/>
      <c r="J429" s="379">
        <v>9115</v>
      </c>
      <c r="K429" s="459"/>
      <c r="L429" s="460"/>
      <c r="M429" s="417"/>
    </row>
    <row r="430" spans="1:13" ht="15" customHeight="1">
      <c r="A430" s="325"/>
      <c r="B430" s="326" t="s">
        <v>1594</v>
      </c>
      <c r="D430" s="326" t="s">
        <v>1594</v>
      </c>
      <c r="E430" s="359" t="s">
        <v>8100</v>
      </c>
      <c r="F430" s="334" t="s">
        <v>5455</v>
      </c>
      <c r="G430" s="327" t="s">
        <v>8102</v>
      </c>
      <c r="H430" s="328" t="s">
        <v>5946</v>
      </c>
      <c r="I430" s="378">
        <v>644956</v>
      </c>
      <c r="J430" s="379">
        <v>37354</v>
      </c>
      <c r="K430" s="459"/>
      <c r="L430" s="460"/>
      <c r="M430" s="417"/>
    </row>
    <row r="431" spans="1:13" ht="15" customHeight="1">
      <c r="A431" s="325"/>
      <c r="B431" s="326" t="s">
        <v>1594</v>
      </c>
      <c r="D431" s="326" t="s">
        <v>1594</v>
      </c>
      <c r="E431" s="359" t="s">
        <v>8100</v>
      </c>
      <c r="F431" s="334" t="s">
        <v>5476</v>
      </c>
      <c r="G431" s="327" t="s">
        <v>8103</v>
      </c>
      <c r="H431" s="328" t="s">
        <v>5947</v>
      </c>
      <c r="I431" s="378">
        <v>786</v>
      </c>
      <c r="J431" s="379">
        <v>40</v>
      </c>
      <c r="K431" s="459"/>
      <c r="L431" s="460"/>
      <c r="M431" s="417"/>
    </row>
    <row r="432" spans="1:13" ht="15" customHeight="1">
      <c r="A432" s="329"/>
      <c r="B432" s="330" t="s">
        <v>1594</v>
      </c>
      <c r="C432" s="331"/>
      <c r="D432" s="330" t="s">
        <v>1594</v>
      </c>
      <c r="E432" s="367" t="s">
        <v>8100</v>
      </c>
      <c r="F432" s="332" t="s">
        <v>5576</v>
      </c>
      <c r="G432" s="331" t="s">
        <v>8104</v>
      </c>
      <c r="H432" s="320" t="s">
        <v>5939</v>
      </c>
      <c r="I432" s="384"/>
      <c r="J432" s="381">
        <v>18</v>
      </c>
      <c r="K432" s="459"/>
      <c r="L432" s="460"/>
      <c r="M432" s="417"/>
    </row>
    <row r="433" spans="1:13" ht="15" customHeight="1">
      <c r="A433" s="325" t="s">
        <v>5948</v>
      </c>
      <c r="B433" s="326" t="s">
        <v>8105</v>
      </c>
      <c r="D433" s="326" t="s">
        <v>1594</v>
      </c>
      <c r="G433" s="327" t="s">
        <v>1594</v>
      </c>
      <c r="H433" s="328" t="s">
        <v>5949</v>
      </c>
      <c r="I433" s="378"/>
      <c r="J433" s="379"/>
      <c r="K433" s="459"/>
      <c r="L433" s="460"/>
      <c r="M433" s="417"/>
    </row>
    <row r="434" spans="1:13" ht="15" customHeight="1">
      <c r="A434" s="325"/>
      <c r="B434" s="326" t="s">
        <v>1594</v>
      </c>
      <c r="C434" s="327" t="s">
        <v>5950</v>
      </c>
      <c r="D434" s="326" t="s">
        <v>8106</v>
      </c>
      <c r="E434" s="359" t="s">
        <v>8106</v>
      </c>
      <c r="F434" s="334" t="s">
        <v>5349</v>
      </c>
      <c r="G434" s="327" t="s">
        <v>8107</v>
      </c>
      <c r="H434" s="328" t="s">
        <v>133</v>
      </c>
      <c r="I434" s="378">
        <v>2013034</v>
      </c>
      <c r="J434" s="379">
        <v>58090</v>
      </c>
      <c r="K434" s="459"/>
      <c r="L434" s="460"/>
      <c r="M434" s="417"/>
    </row>
    <row r="435" spans="1:13" ht="15" customHeight="1">
      <c r="A435" s="325"/>
      <c r="B435" s="326" t="s">
        <v>1594</v>
      </c>
      <c r="C435" s="327" t="s">
        <v>5951</v>
      </c>
      <c r="D435" s="326" t="s">
        <v>8108</v>
      </c>
      <c r="E435" s="359" t="s">
        <v>8108</v>
      </c>
      <c r="G435" s="327" t="s">
        <v>1594</v>
      </c>
      <c r="H435" s="328" t="s">
        <v>135</v>
      </c>
      <c r="I435" s="378"/>
      <c r="J435" s="379">
        <v>685</v>
      </c>
      <c r="K435" s="459"/>
      <c r="L435" s="460"/>
      <c r="M435" s="417"/>
    </row>
    <row r="436" spans="1:13" ht="15" customHeight="1">
      <c r="A436" s="325"/>
      <c r="B436" s="326" t="s">
        <v>1594</v>
      </c>
      <c r="D436" s="326" t="s">
        <v>1594</v>
      </c>
      <c r="E436" s="359" t="s">
        <v>8108</v>
      </c>
      <c r="F436" s="334" t="s">
        <v>5349</v>
      </c>
      <c r="G436" s="327" t="s">
        <v>8109</v>
      </c>
      <c r="H436" s="328" t="s">
        <v>5952</v>
      </c>
      <c r="I436" s="378"/>
      <c r="J436" s="379">
        <v>1</v>
      </c>
      <c r="K436" s="459"/>
      <c r="L436" s="460"/>
      <c r="M436" s="417"/>
    </row>
    <row r="437" spans="1:13" ht="15" customHeight="1">
      <c r="A437" s="329"/>
      <c r="B437" s="330" t="s">
        <v>1594</v>
      </c>
      <c r="C437" s="331"/>
      <c r="D437" s="330" t="s">
        <v>1594</v>
      </c>
      <c r="E437" s="367" t="s">
        <v>8108</v>
      </c>
      <c r="F437" s="332" t="s">
        <v>5327</v>
      </c>
      <c r="G437" s="331" t="s">
        <v>8110</v>
      </c>
      <c r="H437" s="320" t="s">
        <v>5953</v>
      </c>
      <c r="I437" s="384"/>
      <c r="J437" s="381">
        <v>684</v>
      </c>
      <c r="K437" s="459"/>
      <c r="L437" s="460"/>
      <c r="M437" s="417"/>
    </row>
    <row r="438" spans="1:13" ht="15" customHeight="1">
      <c r="A438" s="325" t="s">
        <v>5954</v>
      </c>
      <c r="B438" s="326" t="s">
        <v>8111</v>
      </c>
      <c r="D438" s="326" t="s">
        <v>1594</v>
      </c>
      <c r="G438" s="327" t="s">
        <v>1594</v>
      </c>
      <c r="H438" s="328" t="s">
        <v>5955</v>
      </c>
      <c r="I438" s="378"/>
      <c r="J438" s="379"/>
      <c r="K438" s="459"/>
      <c r="L438" s="460"/>
      <c r="M438" s="417"/>
    </row>
    <row r="439" spans="1:13" ht="15" customHeight="1">
      <c r="A439" s="325"/>
      <c r="B439" s="326" t="s">
        <v>1594</v>
      </c>
      <c r="C439" s="327" t="s">
        <v>5956</v>
      </c>
      <c r="D439" s="326" t="s">
        <v>8112</v>
      </c>
      <c r="E439" s="359" t="s">
        <v>8112</v>
      </c>
      <c r="F439" s="334" t="s">
        <v>5349</v>
      </c>
      <c r="G439" s="327" t="s">
        <v>8113</v>
      </c>
      <c r="H439" s="328" t="s">
        <v>136</v>
      </c>
      <c r="I439" s="378">
        <v>480831</v>
      </c>
      <c r="J439" s="379">
        <v>70487</v>
      </c>
      <c r="K439" s="459"/>
      <c r="L439" s="460"/>
      <c r="M439" s="417"/>
    </row>
    <row r="440" spans="1:13" ht="15" customHeight="1">
      <c r="A440" s="329"/>
      <c r="B440" s="330" t="s">
        <v>1594</v>
      </c>
      <c r="C440" s="331" t="s">
        <v>5957</v>
      </c>
      <c r="D440" s="330" t="s">
        <v>8114</v>
      </c>
      <c r="E440" s="367" t="s">
        <v>8114</v>
      </c>
      <c r="F440" s="332" t="s">
        <v>5349</v>
      </c>
      <c r="G440" s="331" t="s">
        <v>8115</v>
      </c>
      <c r="H440" s="320" t="s">
        <v>137</v>
      </c>
      <c r="I440" s="384"/>
      <c r="J440" s="381">
        <v>4774</v>
      </c>
      <c r="K440" s="459"/>
      <c r="L440" s="460"/>
      <c r="M440" s="417"/>
    </row>
    <row r="441" spans="1:13" ht="15" customHeight="1">
      <c r="A441" s="325" t="s">
        <v>5958</v>
      </c>
      <c r="B441" s="326" t="s">
        <v>8116</v>
      </c>
      <c r="C441" s="327" t="s">
        <v>5959</v>
      </c>
      <c r="D441" s="326" t="s">
        <v>8117</v>
      </c>
      <c r="E441" s="359" t="s">
        <v>8117</v>
      </c>
      <c r="G441" s="327" t="s">
        <v>1594</v>
      </c>
      <c r="H441" s="328" t="s">
        <v>139</v>
      </c>
      <c r="I441" s="378"/>
      <c r="J441" s="379">
        <v>78973</v>
      </c>
      <c r="K441" s="459"/>
      <c r="L441" s="460"/>
      <c r="M441" s="417"/>
    </row>
    <row r="442" spans="1:13" ht="15" customHeight="1">
      <c r="A442" s="325"/>
      <c r="B442" s="326" t="s">
        <v>1594</v>
      </c>
      <c r="D442" s="326" t="s">
        <v>1594</v>
      </c>
      <c r="E442" s="359" t="s">
        <v>8117</v>
      </c>
      <c r="F442" s="334" t="s">
        <v>5637</v>
      </c>
      <c r="G442" s="327" t="s">
        <v>8118</v>
      </c>
      <c r="H442" s="328" t="s">
        <v>5960</v>
      </c>
      <c r="I442" s="378">
        <v>973796</v>
      </c>
      <c r="J442" s="379">
        <v>78887</v>
      </c>
      <c r="K442" s="459"/>
      <c r="L442" s="460"/>
      <c r="M442" s="417"/>
    </row>
    <row r="443" spans="1:13" ht="15" customHeight="1">
      <c r="A443" s="325"/>
      <c r="B443" s="326" t="s">
        <v>1594</v>
      </c>
      <c r="D443" s="326" t="s">
        <v>1594</v>
      </c>
      <c r="E443" s="359" t="s">
        <v>8117</v>
      </c>
      <c r="F443" s="334" t="s">
        <v>5657</v>
      </c>
      <c r="G443" s="327" t="s">
        <v>8119</v>
      </c>
      <c r="H443" s="328" t="s">
        <v>5916</v>
      </c>
      <c r="I443" s="378">
        <v>2518</v>
      </c>
      <c r="J443" s="379">
        <v>38</v>
      </c>
      <c r="K443" s="459"/>
      <c r="L443" s="460"/>
      <c r="M443" s="417"/>
    </row>
    <row r="444" spans="1:13" ht="15" customHeight="1">
      <c r="A444" s="329"/>
      <c r="B444" s="330" t="s">
        <v>1594</v>
      </c>
      <c r="C444" s="331"/>
      <c r="D444" s="330" t="s">
        <v>1594</v>
      </c>
      <c r="E444" s="367" t="s">
        <v>8117</v>
      </c>
      <c r="F444" s="332" t="s">
        <v>5576</v>
      </c>
      <c r="G444" s="331" t="s">
        <v>8120</v>
      </c>
      <c r="H444" s="320" t="s">
        <v>5939</v>
      </c>
      <c r="I444" s="384"/>
      <c r="J444" s="381">
        <v>48</v>
      </c>
      <c r="K444" s="459"/>
      <c r="L444" s="460"/>
      <c r="M444" s="417"/>
    </row>
    <row r="445" spans="1:13" ht="15" customHeight="1">
      <c r="A445" s="325" t="s">
        <v>5961</v>
      </c>
      <c r="B445" s="326" t="s">
        <v>8121</v>
      </c>
      <c r="C445" s="327" t="s">
        <v>5962</v>
      </c>
      <c r="D445" s="326" t="s">
        <v>8122</v>
      </c>
      <c r="E445" s="359" t="s">
        <v>8122</v>
      </c>
      <c r="G445" s="327" t="s">
        <v>1594</v>
      </c>
      <c r="H445" s="328" t="s">
        <v>140</v>
      </c>
      <c r="I445" s="378"/>
      <c r="J445" s="379">
        <v>92630</v>
      </c>
      <c r="K445" s="459"/>
      <c r="L445" s="460"/>
      <c r="M445" s="417"/>
    </row>
    <row r="446" spans="1:13" ht="15" customHeight="1">
      <c r="A446" s="325"/>
      <c r="B446" s="326" t="s">
        <v>1594</v>
      </c>
      <c r="D446" s="326" t="s">
        <v>1594</v>
      </c>
      <c r="E446" s="359" t="s">
        <v>8122</v>
      </c>
      <c r="F446" s="334" t="s">
        <v>5637</v>
      </c>
      <c r="G446" s="327" t="s">
        <v>8123</v>
      </c>
      <c r="H446" s="328" t="s">
        <v>5963</v>
      </c>
      <c r="I446" s="378"/>
      <c r="J446" s="379">
        <v>78866</v>
      </c>
      <c r="K446" s="459"/>
      <c r="L446" s="460"/>
      <c r="M446" s="417"/>
    </row>
    <row r="447" spans="1:13" ht="15" customHeight="1">
      <c r="A447" s="325"/>
      <c r="B447" s="326" t="s">
        <v>1594</v>
      </c>
      <c r="D447" s="326" t="s">
        <v>1594</v>
      </c>
      <c r="E447" s="359" t="s">
        <v>8122</v>
      </c>
      <c r="F447" s="334" t="s">
        <v>5661</v>
      </c>
      <c r="G447" s="327" t="s">
        <v>8124</v>
      </c>
      <c r="H447" s="328" t="s">
        <v>5964</v>
      </c>
      <c r="I447" s="378">
        <v>321163</v>
      </c>
      <c r="J447" s="379">
        <v>13726</v>
      </c>
      <c r="K447" s="459"/>
      <c r="L447" s="460"/>
      <c r="M447" s="417"/>
    </row>
    <row r="448" spans="1:13" ht="15" customHeight="1">
      <c r="A448" s="325"/>
      <c r="B448" s="326" t="s">
        <v>1594</v>
      </c>
      <c r="D448" s="326" t="s">
        <v>1594</v>
      </c>
      <c r="E448" s="359" t="s">
        <v>8122</v>
      </c>
      <c r="F448" s="334" t="s">
        <v>5663</v>
      </c>
      <c r="G448" s="327" t="s">
        <v>8125</v>
      </c>
      <c r="H448" s="328" t="s">
        <v>5916</v>
      </c>
      <c r="I448" s="378">
        <v>2518</v>
      </c>
      <c r="J448" s="379">
        <v>38</v>
      </c>
      <c r="K448" s="459"/>
      <c r="L448" s="460"/>
      <c r="M448" s="417"/>
    </row>
    <row r="449" spans="1:13" ht="15" customHeight="1">
      <c r="A449" s="329"/>
      <c r="B449" s="330" t="s">
        <v>1594</v>
      </c>
      <c r="C449" s="331"/>
      <c r="D449" s="330" t="s">
        <v>1594</v>
      </c>
      <c r="E449" s="367" t="s">
        <v>8122</v>
      </c>
      <c r="F449" s="332" t="s">
        <v>5576</v>
      </c>
      <c r="G449" s="331" t="s">
        <v>8126</v>
      </c>
      <c r="H449" s="320" t="s">
        <v>5939</v>
      </c>
      <c r="I449" s="384"/>
      <c r="J449" s="381"/>
      <c r="K449" s="459"/>
      <c r="L449" s="460"/>
      <c r="M449" s="417"/>
    </row>
    <row r="450" spans="1:13" ht="15" customHeight="1">
      <c r="A450" s="325" t="s">
        <v>5965</v>
      </c>
      <c r="B450" s="326" t="s">
        <v>8127</v>
      </c>
      <c r="C450" s="327" t="s">
        <v>5966</v>
      </c>
      <c r="D450" s="326" t="s">
        <v>8128</v>
      </c>
      <c r="E450" s="359" t="s">
        <v>8128</v>
      </c>
      <c r="G450" s="327" t="s">
        <v>1594</v>
      </c>
      <c r="H450" s="328" t="s">
        <v>141</v>
      </c>
      <c r="I450" s="378"/>
      <c r="J450" s="379">
        <v>154785</v>
      </c>
      <c r="K450" s="459"/>
      <c r="L450" s="460"/>
      <c r="M450" s="417"/>
    </row>
    <row r="451" spans="1:13" ht="15" customHeight="1">
      <c r="A451" s="325"/>
      <c r="B451" s="326" t="s">
        <v>1594</v>
      </c>
      <c r="D451" s="326" t="s">
        <v>1594</v>
      </c>
      <c r="E451" s="359" t="s">
        <v>8128</v>
      </c>
      <c r="F451" s="334" t="s">
        <v>575</v>
      </c>
      <c r="G451" s="327" t="s">
        <v>8129</v>
      </c>
      <c r="H451" s="328" t="s">
        <v>5967</v>
      </c>
      <c r="I451" s="378">
        <v>2618985</v>
      </c>
      <c r="J451" s="379">
        <v>129924</v>
      </c>
      <c r="K451" s="459"/>
      <c r="L451" s="460"/>
      <c r="M451" s="417"/>
    </row>
    <row r="452" spans="1:13" ht="15" customHeight="1">
      <c r="A452" s="325"/>
      <c r="D452" s="326"/>
      <c r="E452" s="359" t="s">
        <v>8128</v>
      </c>
      <c r="F452" s="334" t="s">
        <v>5746</v>
      </c>
      <c r="G452" s="327" t="s">
        <v>8130</v>
      </c>
      <c r="H452" s="328" t="s">
        <v>5968</v>
      </c>
      <c r="I452" s="378"/>
      <c r="J452" s="379">
        <v>24436</v>
      </c>
      <c r="K452" s="459"/>
      <c r="L452" s="460"/>
      <c r="M452" s="417"/>
    </row>
    <row r="453" spans="1:13" ht="15" customHeight="1">
      <c r="A453" s="325"/>
      <c r="D453" s="326"/>
      <c r="E453" s="359" t="s">
        <v>8128</v>
      </c>
      <c r="F453" s="334" t="s">
        <v>5756</v>
      </c>
      <c r="G453" s="327" t="s">
        <v>8131</v>
      </c>
      <c r="H453" s="328" t="s">
        <v>5916</v>
      </c>
      <c r="I453" s="378">
        <v>12998</v>
      </c>
      <c r="J453" s="379">
        <v>198</v>
      </c>
      <c r="K453" s="459"/>
      <c r="L453" s="460"/>
      <c r="M453" s="417"/>
    </row>
    <row r="454" spans="1:13" ht="15" customHeight="1">
      <c r="A454" s="329"/>
      <c r="B454" s="330" t="s">
        <v>1594</v>
      </c>
      <c r="C454" s="331"/>
      <c r="D454" s="330" t="s">
        <v>1594</v>
      </c>
      <c r="E454" s="367" t="s">
        <v>8128</v>
      </c>
      <c r="F454" s="332" t="s">
        <v>5576</v>
      </c>
      <c r="G454" s="331" t="s">
        <v>8132</v>
      </c>
      <c r="H454" s="320" t="s">
        <v>5939</v>
      </c>
      <c r="I454" s="384"/>
      <c r="J454" s="381">
        <v>227</v>
      </c>
      <c r="K454" s="459"/>
      <c r="L454" s="460"/>
      <c r="M454" s="417"/>
    </row>
    <row r="455" spans="1:13" ht="15" customHeight="1">
      <c r="A455" s="325" t="s">
        <v>5969</v>
      </c>
      <c r="B455" s="326" t="s">
        <v>8133</v>
      </c>
      <c r="C455" s="327" t="s">
        <v>5970</v>
      </c>
      <c r="D455" s="326" t="s">
        <v>8134</v>
      </c>
      <c r="E455" s="359" t="s">
        <v>8134</v>
      </c>
      <c r="G455" s="327" t="s">
        <v>1594</v>
      </c>
      <c r="H455" s="333" t="s">
        <v>143</v>
      </c>
      <c r="I455" s="378"/>
      <c r="J455" s="379">
        <v>39076</v>
      </c>
      <c r="K455" s="459"/>
      <c r="L455" s="460"/>
      <c r="M455" s="417"/>
    </row>
    <row r="456" spans="1:13" ht="15" customHeight="1">
      <c r="A456" s="325"/>
      <c r="B456" s="326" t="s">
        <v>1594</v>
      </c>
      <c r="D456" s="326" t="s">
        <v>1594</v>
      </c>
      <c r="E456" s="359" t="s">
        <v>8134</v>
      </c>
      <c r="F456" s="334" t="s">
        <v>575</v>
      </c>
      <c r="G456" s="327" t="s">
        <v>8135</v>
      </c>
      <c r="H456" s="328" t="s">
        <v>5971</v>
      </c>
      <c r="I456" s="378">
        <v>324580</v>
      </c>
      <c r="J456" s="379">
        <v>3950</v>
      </c>
      <c r="K456" s="459"/>
      <c r="L456" s="460"/>
      <c r="M456" s="417"/>
    </row>
    <row r="457" spans="1:13" ht="15" customHeight="1">
      <c r="A457" s="325"/>
      <c r="B457" s="326" t="s">
        <v>1594</v>
      </c>
      <c r="D457" s="326" t="s">
        <v>1594</v>
      </c>
      <c r="E457" s="359" t="s">
        <v>8134</v>
      </c>
      <c r="F457" s="334" t="s">
        <v>5359</v>
      </c>
      <c r="G457" s="327" t="s">
        <v>8136</v>
      </c>
      <c r="H457" s="328" t="s">
        <v>5972</v>
      </c>
      <c r="I457" s="378">
        <v>28761</v>
      </c>
      <c r="J457" s="379">
        <v>226</v>
      </c>
      <c r="K457" s="459"/>
      <c r="L457" s="460"/>
      <c r="M457" s="417"/>
    </row>
    <row r="458" spans="1:13" s="327" customFormat="1" ht="15" customHeight="1">
      <c r="A458" s="335"/>
      <c r="B458" s="336" t="s">
        <v>1594</v>
      </c>
      <c r="C458" s="337"/>
      <c r="D458" s="336" t="s">
        <v>1594</v>
      </c>
      <c r="E458" s="359" t="s">
        <v>8134</v>
      </c>
      <c r="F458" s="334" t="s">
        <v>5484</v>
      </c>
      <c r="G458" s="327" t="s">
        <v>8137</v>
      </c>
      <c r="H458" s="328" t="s">
        <v>5973</v>
      </c>
      <c r="I458" s="378">
        <v>21400</v>
      </c>
      <c r="J458" s="379">
        <v>1</v>
      </c>
      <c r="K458" s="461"/>
      <c r="L458" s="462"/>
      <c r="M458" s="328"/>
    </row>
    <row r="459" spans="1:13" s="327" customFormat="1" ht="15" customHeight="1">
      <c r="A459" s="335"/>
      <c r="B459" s="336" t="s">
        <v>1594</v>
      </c>
      <c r="C459" s="337"/>
      <c r="D459" s="336" t="s">
        <v>1594</v>
      </c>
      <c r="E459" s="359" t="s">
        <v>8134</v>
      </c>
      <c r="F459" s="334" t="s">
        <v>5605</v>
      </c>
      <c r="G459" s="327" t="s">
        <v>8138</v>
      </c>
      <c r="H459" s="328" t="s">
        <v>5974</v>
      </c>
      <c r="I459" s="378">
        <v>20063</v>
      </c>
      <c r="J459" s="379">
        <v>14</v>
      </c>
      <c r="K459" s="461"/>
      <c r="L459" s="462"/>
      <c r="M459" s="328"/>
    </row>
    <row r="460" spans="1:13" s="327" customFormat="1" ht="15" customHeight="1">
      <c r="A460" s="335"/>
      <c r="B460" s="336" t="s">
        <v>1594</v>
      </c>
      <c r="C460" s="337"/>
      <c r="D460" s="336" t="s">
        <v>1594</v>
      </c>
      <c r="E460" s="359" t="s">
        <v>8134</v>
      </c>
      <c r="F460" s="334" t="s">
        <v>5740</v>
      </c>
      <c r="G460" s="327" t="s">
        <v>8139</v>
      </c>
      <c r="H460" s="328" t="s">
        <v>5975</v>
      </c>
      <c r="I460" s="378">
        <v>24000</v>
      </c>
      <c r="J460" s="379">
        <v>5114</v>
      </c>
      <c r="K460" s="461"/>
      <c r="L460" s="462"/>
      <c r="M460" s="328"/>
    </row>
    <row r="461" spans="1:13" s="327" customFormat="1" ht="15" customHeight="1">
      <c r="A461" s="335"/>
      <c r="B461" s="336" t="s">
        <v>1594</v>
      </c>
      <c r="C461" s="337"/>
      <c r="D461" s="336" t="s">
        <v>1594</v>
      </c>
      <c r="E461" s="359" t="s">
        <v>8134</v>
      </c>
      <c r="F461" s="334" t="s">
        <v>5746</v>
      </c>
      <c r="G461" s="327" t="s">
        <v>8140</v>
      </c>
      <c r="H461" s="328" t="s">
        <v>5976</v>
      </c>
      <c r="I461" s="378">
        <v>5520</v>
      </c>
      <c r="J461" s="379">
        <v>22</v>
      </c>
      <c r="K461" s="461"/>
      <c r="L461" s="462"/>
      <c r="M461" s="328"/>
    </row>
    <row r="462" spans="1:13" ht="15" customHeight="1">
      <c r="A462" s="325"/>
      <c r="B462" s="326" t="s">
        <v>1594</v>
      </c>
      <c r="D462" s="326" t="s">
        <v>1594</v>
      </c>
      <c r="E462" s="359" t="s">
        <v>8134</v>
      </c>
      <c r="F462" s="334" t="s">
        <v>5756</v>
      </c>
      <c r="G462" s="327" t="s">
        <v>8141</v>
      </c>
      <c r="H462" s="328" t="s">
        <v>5977</v>
      </c>
      <c r="I462" s="378"/>
      <c r="J462" s="379">
        <v>28888</v>
      </c>
      <c r="K462" s="459"/>
      <c r="L462" s="460"/>
      <c r="M462" s="417"/>
    </row>
    <row r="463" spans="1:13" ht="15" customHeight="1">
      <c r="A463" s="325"/>
      <c r="B463" s="326" t="s">
        <v>1594</v>
      </c>
      <c r="D463" s="326" t="s">
        <v>1594</v>
      </c>
      <c r="E463" s="359" t="s">
        <v>8134</v>
      </c>
      <c r="F463" s="334" t="s">
        <v>5607</v>
      </c>
      <c r="G463" s="327" t="s">
        <v>8142</v>
      </c>
      <c r="H463" s="328" t="s">
        <v>5916</v>
      </c>
      <c r="I463" s="378">
        <v>59919</v>
      </c>
      <c r="J463" s="379">
        <v>912</v>
      </c>
      <c r="K463" s="459"/>
      <c r="L463" s="460"/>
      <c r="M463" s="417"/>
    </row>
    <row r="464" spans="1:13" ht="15" customHeight="1">
      <c r="A464" s="329"/>
      <c r="B464" s="330" t="s">
        <v>1594</v>
      </c>
      <c r="C464" s="331"/>
      <c r="D464" s="330" t="s">
        <v>1594</v>
      </c>
      <c r="E464" s="367" t="s">
        <v>8134</v>
      </c>
      <c r="F464" s="332" t="s">
        <v>5576</v>
      </c>
      <c r="G464" s="331" t="s">
        <v>8143</v>
      </c>
      <c r="H464" s="320" t="s">
        <v>5939</v>
      </c>
      <c r="I464" s="384"/>
      <c r="J464" s="381">
        <v>-51</v>
      </c>
      <c r="K464" s="459"/>
      <c r="L464" s="460"/>
      <c r="M464" s="417"/>
    </row>
    <row r="465" spans="1:13" ht="15" customHeight="1">
      <c r="A465" s="325" t="s">
        <v>5978</v>
      </c>
      <c r="B465" s="326" t="s">
        <v>8144</v>
      </c>
      <c r="D465" s="326" t="s">
        <v>1594</v>
      </c>
      <c r="G465" s="327" t="s">
        <v>1594</v>
      </c>
      <c r="H465" s="328" t="s">
        <v>5979</v>
      </c>
      <c r="I465" s="378"/>
      <c r="J465" s="379"/>
      <c r="K465" s="459"/>
      <c r="L465" s="460"/>
      <c r="M465" s="417"/>
    </row>
    <row r="466" spans="1:13" ht="15" customHeight="1">
      <c r="A466" s="325"/>
      <c r="B466" s="326" t="s">
        <v>1594</v>
      </c>
      <c r="C466" s="327" t="s">
        <v>5980</v>
      </c>
      <c r="D466" s="326" t="s">
        <v>8145</v>
      </c>
      <c r="E466" s="359" t="s">
        <v>8145</v>
      </c>
      <c r="G466" s="327" t="s">
        <v>1594</v>
      </c>
      <c r="H466" s="328" t="s">
        <v>145</v>
      </c>
      <c r="I466" s="378">
        <v>310569</v>
      </c>
      <c r="J466" s="379">
        <v>31778</v>
      </c>
      <c r="K466" s="459"/>
      <c r="L466" s="460"/>
      <c r="M466" s="417"/>
    </row>
    <row r="467" spans="1:13" ht="15" customHeight="1">
      <c r="A467" s="325"/>
      <c r="B467" s="326" t="s">
        <v>1594</v>
      </c>
      <c r="C467" s="327" t="s">
        <v>5981</v>
      </c>
      <c r="D467" s="326" t="s">
        <v>8146</v>
      </c>
      <c r="E467" s="359" t="s">
        <v>8146</v>
      </c>
      <c r="G467" s="327" t="s">
        <v>1594</v>
      </c>
      <c r="H467" s="328" t="s">
        <v>146</v>
      </c>
      <c r="I467" s="378"/>
      <c r="J467" s="379">
        <v>2</v>
      </c>
      <c r="K467" s="459"/>
      <c r="L467" s="460"/>
      <c r="M467" s="417"/>
    </row>
    <row r="468" spans="1:13" ht="15" customHeight="1">
      <c r="A468" s="325"/>
      <c r="B468" s="326" t="s">
        <v>1594</v>
      </c>
      <c r="D468" s="326" t="s">
        <v>1594</v>
      </c>
      <c r="E468" s="359" t="s">
        <v>8146</v>
      </c>
      <c r="F468" s="334" t="s">
        <v>575</v>
      </c>
      <c r="G468" s="327" t="s">
        <v>8147</v>
      </c>
      <c r="H468" s="328" t="s">
        <v>5982</v>
      </c>
      <c r="I468" s="378"/>
      <c r="J468" s="379">
        <v>0</v>
      </c>
      <c r="K468" s="459"/>
      <c r="L468" s="460"/>
      <c r="M468" s="417"/>
    </row>
    <row r="469" spans="1:13" ht="15" customHeight="1">
      <c r="A469" s="325"/>
      <c r="B469" s="326" t="s">
        <v>1594</v>
      </c>
      <c r="D469" s="326" t="s">
        <v>1594</v>
      </c>
      <c r="E469" s="359" t="s">
        <v>8146</v>
      </c>
      <c r="F469" s="334" t="s">
        <v>5383</v>
      </c>
      <c r="G469" s="327" t="s">
        <v>8148</v>
      </c>
      <c r="H469" s="328" t="s">
        <v>5983</v>
      </c>
      <c r="I469" s="378">
        <v>688</v>
      </c>
      <c r="J469" s="379">
        <v>2</v>
      </c>
      <c r="K469" s="459"/>
      <c r="L469" s="460"/>
      <c r="M469" s="417"/>
    </row>
    <row r="470" spans="1:13" ht="15" customHeight="1">
      <c r="A470" s="329"/>
      <c r="B470" s="330" t="s">
        <v>1594</v>
      </c>
      <c r="C470" s="331"/>
      <c r="D470" s="330" t="s">
        <v>1594</v>
      </c>
      <c r="E470" s="367" t="s">
        <v>8146</v>
      </c>
      <c r="F470" s="332" t="s">
        <v>5385</v>
      </c>
      <c r="G470" s="331" t="s">
        <v>8149</v>
      </c>
      <c r="H470" s="320" t="s">
        <v>5984</v>
      </c>
      <c r="I470" s="384"/>
      <c r="J470" s="381">
        <v>0</v>
      </c>
      <c r="K470" s="459"/>
      <c r="L470" s="460"/>
      <c r="M470" s="417"/>
    </row>
    <row r="471" spans="1:13" ht="15" customHeight="1">
      <c r="A471" s="325" t="s">
        <v>5985</v>
      </c>
      <c r="B471" s="326" t="s">
        <v>8150</v>
      </c>
      <c r="C471" s="327" t="s">
        <v>5986</v>
      </c>
      <c r="D471" s="326" t="s">
        <v>8151</v>
      </c>
      <c r="E471" s="359" t="s">
        <v>8151</v>
      </c>
      <c r="G471" s="327" t="s">
        <v>1594</v>
      </c>
      <c r="H471" s="328" t="s">
        <v>147</v>
      </c>
      <c r="I471" s="378"/>
      <c r="J471" s="379">
        <v>5040</v>
      </c>
      <c r="K471" s="459"/>
      <c r="L471" s="460"/>
      <c r="M471" s="417"/>
    </row>
    <row r="472" spans="1:13" ht="15" customHeight="1">
      <c r="A472" s="325"/>
      <c r="B472" s="326" t="s">
        <v>1594</v>
      </c>
      <c r="D472" s="326" t="s">
        <v>1594</v>
      </c>
      <c r="E472" s="359" t="s">
        <v>8151</v>
      </c>
      <c r="F472" s="334" t="s">
        <v>5637</v>
      </c>
      <c r="G472" s="327" t="s">
        <v>8152</v>
      </c>
      <c r="H472" s="328" t="s">
        <v>5987</v>
      </c>
      <c r="I472" s="378">
        <v>180117</v>
      </c>
      <c r="J472" s="379">
        <v>5042</v>
      </c>
      <c r="K472" s="459"/>
      <c r="L472" s="460"/>
      <c r="M472" s="417"/>
    </row>
    <row r="473" spans="1:13" ht="15" customHeight="1">
      <c r="A473" s="325"/>
      <c r="B473" s="326" t="s">
        <v>1594</v>
      </c>
      <c r="D473" s="326" t="s">
        <v>1594</v>
      </c>
      <c r="E473" s="359" t="s">
        <v>8151</v>
      </c>
      <c r="F473" s="334" t="s">
        <v>5383</v>
      </c>
      <c r="G473" s="327" t="s">
        <v>8153</v>
      </c>
      <c r="H473" s="328" t="s">
        <v>5988</v>
      </c>
      <c r="I473" s="378"/>
      <c r="J473" s="379">
        <v>0</v>
      </c>
      <c r="K473" s="459"/>
      <c r="L473" s="460"/>
      <c r="M473" s="417"/>
    </row>
    <row r="474" spans="1:13" ht="15" customHeight="1">
      <c r="A474" s="329"/>
      <c r="B474" s="330"/>
      <c r="C474" s="331"/>
      <c r="D474" s="330"/>
      <c r="E474" s="367" t="s">
        <v>8151</v>
      </c>
      <c r="F474" s="332" t="s">
        <v>5576</v>
      </c>
      <c r="G474" s="331" t="s">
        <v>8154</v>
      </c>
      <c r="H474" s="320" t="s">
        <v>5939</v>
      </c>
      <c r="I474" s="384"/>
      <c r="J474" s="381">
        <v>-2</v>
      </c>
      <c r="K474" s="459"/>
      <c r="L474" s="460"/>
      <c r="M474" s="417"/>
    </row>
    <row r="475" spans="1:13" ht="15" customHeight="1">
      <c r="A475" s="325" t="s">
        <v>5989</v>
      </c>
      <c r="B475" s="326" t="s">
        <v>8155</v>
      </c>
      <c r="C475" s="327" t="s">
        <v>5990</v>
      </c>
      <c r="D475" s="326" t="s">
        <v>8156</v>
      </c>
      <c r="E475" s="359" t="s">
        <v>8156</v>
      </c>
      <c r="G475" s="327" t="s">
        <v>1594</v>
      </c>
      <c r="H475" s="328" t="s">
        <v>148</v>
      </c>
      <c r="I475" s="378"/>
      <c r="J475" s="379">
        <v>18809</v>
      </c>
      <c r="K475" s="459"/>
      <c r="L475" s="460"/>
      <c r="M475" s="417"/>
    </row>
    <row r="476" spans="1:13" ht="15" customHeight="1">
      <c r="A476" s="325"/>
      <c r="B476" s="326" t="s">
        <v>1594</v>
      </c>
      <c r="D476" s="326" t="s">
        <v>1594</v>
      </c>
      <c r="E476" s="359" t="s">
        <v>8156</v>
      </c>
      <c r="F476" s="334" t="s">
        <v>5637</v>
      </c>
      <c r="G476" s="327" t="s">
        <v>8157</v>
      </c>
      <c r="H476" s="328" t="s">
        <v>5991</v>
      </c>
      <c r="I476" s="378"/>
      <c r="J476" s="379">
        <v>0</v>
      </c>
      <c r="K476" s="459"/>
      <c r="L476" s="460"/>
      <c r="M476" s="417"/>
    </row>
    <row r="477" spans="1:13" ht="15" customHeight="1">
      <c r="A477" s="325"/>
      <c r="B477" s="326" t="s">
        <v>1594</v>
      </c>
      <c r="D477" s="326" t="s">
        <v>1594</v>
      </c>
      <c r="E477" s="359" t="s">
        <v>8156</v>
      </c>
      <c r="F477" s="334" t="s">
        <v>5383</v>
      </c>
      <c r="G477" s="327" t="s">
        <v>8158</v>
      </c>
      <c r="H477" s="328" t="s">
        <v>5992</v>
      </c>
      <c r="I477" s="378">
        <v>56391</v>
      </c>
      <c r="J477" s="379">
        <v>18</v>
      </c>
      <c r="K477" s="459"/>
      <c r="L477" s="460"/>
      <c r="M477" s="417"/>
    </row>
    <row r="478" spans="1:13" ht="15" customHeight="1">
      <c r="A478" s="325"/>
      <c r="B478" s="326" t="s">
        <v>1594</v>
      </c>
      <c r="D478" s="326" t="s">
        <v>1594</v>
      </c>
      <c r="E478" s="359" t="s">
        <v>8156</v>
      </c>
      <c r="F478" s="334" t="s">
        <v>5421</v>
      </c>
      <c r="G478" s="327" t="s">
        <v>8159</v>
      </c>
      <c r="H478" s="328" t="s">
        <v>5993</v>
      </c>
      <c r="I478" s="378">
        <v>92712</v>
      </c>
      <c r="J478" s="379">
        <v>18791</v>
      </c>
      <c r="K478" s="459"/>
      <c r="L478" s="460"/>
      <c r="M478" s="417"/>
    </row>
    <row r="479" spans="1:13" ht="15" customHeight="1">
      <c r="A479" s="329"/>
      <c r="B479" s="330"/>
      <c r="C479" s="331"/>
      <c r="D479" s="330"/>
      <c r="E479" s="367" t="s">
        <v>8156</v>
      </c>
      <c r="F479" s="332" t="s">
        <v>5576</v>
      </c>
      <c r="G479" s="331" t="s">
        <v>8160</v>
      </c>
      <c r="H479" s="320" t="s">
        <v>5939</v>
      </c>
      <c r="I479" s="384"/>
      <c r="J479" s="381">
        <v>0</v>
      </c>
      <c r="K479" s="459"/>
      <c r="L479" s="460"/>
      <c r="M479" s="417"/>
    </row>
    <row r="480" spans="1:13" ht="15" customHeight="1">
      <c r="A480" s="325" t="s">
        <v>5994</v>
      </c>
      <c r="B480" s="326" t="s">
        <v>8161</v>
      </c>
      <c r="D480" s="326" t="s">
        <v>1594</v>
      </c>
      <c r="G480" s="327" t="s">
        <v>1594</v>
      </c>
      <c r="H480" s="328" t="s">
        <v>5995</v>
      </c>
      <c r="I480" s="378"/>
      <c r="J480" s="379"/>
      <c r="K480" s="459"/>
      <c r="L480" s="460"/>
      <c r="M480" s="417"/>
    </row>
    <row r="481" spans="1:13" ht="15" customHeight="1">
      <c r="A481" s="325"/>
      <c r="B481" s="326" t="s">
        <v>1594</v>
      </c>
      <c r="C481" s="327" t="s">
        <v>5996</v>
      </c>
      <c r="D481" s="326" t="s">
        <v>8162</v>
      </c>
      <c r="E481" s="359" t="s">
        <v>8162</v>
      </c>
      <c r="G481" s="327" t="s">
        <v>1594</v>
      </c>
      <c r="H481" s="328" t="s">
        <v>149</v>
      </c>
      <c r="I481" s="378">
        <v>322311</v>
      </c>
      <c r="J481" s="379">
        <v>40428</v>
      </c>
      <c r="K481" s="459"/>
      <c r="L481" s="460"/>
      <c r="M481" s="417"/>
    </row>
    <row r="482" spans="1:13" ht="15" customHeight="1">
      <c r="A482" s="325"/>
      <c r="C482" s="327" t="s">
        <v>5997</v>
      </c>
      <c r="D482" s="326" t="s">
        <v>8163</v>
      </c>
      <c r="E482" s="359" t="s">
        <v>8163</v>
      </c>
      <c r="H482" s="328" t="s">
        <v>5998</v>
      </c>
      <c r="I482" s="378"/>
      <c r="J482" s="379">
        <v>624</v>
      </c>
      <c r="K482" s="459"/>
      <c r="L482" s="460"/>
      <c r="M482" s="417"/>
    </row>
    <row r="483" spans="1:13" ht="15" customHeight="1">
      <c r="A483" s="325"/>
      <c r="D483" s="326" t="s">
        <v>1594</v>
      </c>
      <c r="E483" s="359" t="s">
        <v>8163</v>
      </c>
      <c r="F483" s="334" t="s">
        <v>5534</v>
      </c>
      <c r="G483" s="327" t="s">
        <v>8164</v>
      </c>
      <c r="H483" s="328" t="s">
        <v>5999</v>
      </c>
      <c r="I483" s="378">
        <v>5957</v>
      </c>
      <c r="J483" s="379">
        <v>368</v>
      </c>
      <c r="K483" s="459"/>
      <c r="L483" s="460"/>
      <c r="M483" s="417"/>
    </row>
    <row r="484" spans="1:13" ht="15" customHeight="1">
      <c r="A484" s="325"/>
      <c r="D484" s="326" t="s">
        <v>1594</v>
      </c>
      <c r="E484" s="359" t="s">
        <v>8163</v>
      </c>
      <c r="F484" s="334" t="s">
        <v>6000</v>
      </c>
      <c r="G484" s="327" t="s">
        <v>8165</v>
      </c>
      <c r="H484" s="328" t="s">
        <v>6001</v>
      </c>
      <c r="I484" s="378">
        <v>13334</v>
      </c>
      <c r="J484" s="379">
        <v>256</v>
      </c>
      <c r="K484" s="459"/>
      <c r="L484" s="460"/>
      <c r="M484" s="417"/>
    </row>
    <row r="485" spans="1:13" ht="15" customHeight="1">
      <c r="A485" s="325"/>
      <c r="D485" s="326" t="s">
        <v>1594</v>
      </c>
      <c r="E485" s="359" t="s">
        <v>8163</v>
      </c>
      <c r="F485" s="334" t="s">
        <v>6002</v>
      </c>
      <c r="G485" s="327" t="s">
        <v>8166</v>
      </c>
      <c r="H485" s="328" t="s">
        <v>6003</v>
      </c>
      <c r="I485" s="378"/>
      <c r="J485" s="379">
        <v>0</v>
      </c>
      <c r="K485" s="459"/>
      <c r="L485" s="460"/>
      <c r="M485" s="417"/>
    </row>
    <row r="486" spans="1:13" ht="15" customHeight="1">
      <c r="A486" s="325"/>
      <c r="D486" s="326" t="s">
        <v>1594</v>
      </c>
      <c r="E486" s="359" t="s">
        <v>8163</v>
      </c>
      <c r="F486" s="334" t="s">
        <v>5453</v>
      </c>
      <c r="G486" s="327" t="s">
        <v>8167</v>
      </c>
      <c r="H486" s="328" t="s">
        <v>6004</v>
      </c>
      <c r="I486" s="378"/>
      <c r="J486" s="379">
        <v>0</v>
      </c>
      <c r="K486" s="459"/>
      <c r="L486" s="460"/>
      <c r="M486" s="417"/>
    </row>
    <row r="487" spans="1:13" ht="15" customHeight="1">
      <c r="A487" s="325"/>
      <c r="D487" s="326" t="s">
        <v>1594</v>
      </c>
      <c r="E487" s="359" t="s">
        <v>8163</v>
      </c>
      <c r="F487" s="334" t="s">
        <v>5576</v>
      </c>
      <c r="G487" s="327" t="s">
        <v>8168</v>
      </c>
      <c r="H487" s="328" t="s">
        <v>5939</v>
      </c>
      <c r="I487" s="378"/>
      <c r="J487" s="379">
        <v>0</v>
      </c>
      <c r="K487" s="459"/>
      <c r="L487" s="460"/>
      <c r="M487" s="417"/>
    </row>
    <row r="488" spans="1:13" ht="15" customHeight="1">
      <c r="A488" s="325"/>
      <c r="B488" s="326" t="s">
        <v>1594</v>
      </c>
      <c r="C488" s="327" t="s">
        <v>6005</v>
      </c>
      <c r="D488" s="326" t="s">
        <v>8169</v>
      </c>
      <c r="E488" s="359" t="s">
        <v>8169</v>
      </c>
      <c r="G488" s="327" t="s">
        <v>1594</v>
      </c>
      <c r="H488" s="328" t="s">
        <v>153</v>
      </c>
      <c r="I488" s="378">
        <v>202479</v>
      </c>
      <c r="J488" s="379">
        <v>50546</v>
      </c>
      <c r="K488" s="459"/>
      <c r="L488" s="460"/>
      <c r="M488" s="417"/>
    </row>
    <row r="489" spans="1:13" ht="15" customHeight="1">
      <c r="A489" s="329"/>
      <c r="B489" s="330" t="s">
        <v>1594</v>
      </c>
      <c r="C489" s="331" t="s">
        <v>6006</v>
      </c>
      <c r="D489" s="330" t="s">
        <v>8170</v>
      </c>
      <c r="E489" s="367" t="s">
        <v>8170</v>
      </c>
      <c r="F489" s="332"/>
      <c r="G489" s="331" t="s">
        <v>1594</v>
      </c>
      <c r="H489" s="320" t="s">
        <v>155</v>
      </c>
      <c r="I489" s="384">
        <v>146614</v>
      </c>
      <c r="J489" s="381">
        <v>23903</v>
      </c>
      <c r="K489" s="459"/>
      <c r="L489" s="460"/>
      <c r="M489" s="417"/>
    </row>
    <row r="490" spans="1:13" ht="15" customHeight="1">
      <c r="A490" s="325" t="s">
        <v>6007</v>
      </c>
      <c r="B490" s="326" t="s">
        <v>8171</v>
      </c>
      <c r="C490" s="327" t="s">
        <v>6008</v>
      </c>
      <c r="D490" s="326" t="s">
        <v>8172</v>
      </c>
      <c r="E490" s="359" t="s">
        <v>8172</v>
      </c>
      <c r="G490" s="327" t="s">
        <v>1594</v>
      </c>
      <c r="H490" s="328" t="s">
        <v>6009</v>
      </c>
      <c r="I490" s="378"/>
      <c r="J490" s="379">
        <v>92808</v>
      </c>
      <c r="K490" s="459"/>
      <c r="L490" s="460"/>
      <c r="M490" s="417"/>
    </row>
    <row r="491" spans="1:13" ht="15" customHeight="1">
      <c r="A491" s="325"/>
      <c r="B491" s="326" t="s">
        <v>1594</v>
      </c>
      <c r="D491" s="326" t="s">
        <v>1594</v>
      </c>
      <c r="E491" s="359" t="s">
        <v>8172</v>
      </c>
      <c r="G491" s="327" t="s">
        <v>1594</v>
      </c>
      <c r="H491" s="333" t="s">
        <v>6010</v>
      </c>
      <c r="I491" s="378"/>
      <c r="J491" s="379">
        <v>92758</v>
      </c>
      <c r="K491" s="459"/>
      <c r="L491" s="460"/>
      <c r="M491" s="417"/>
    </row>
    <row r="492" spans="1:13" ht="15" customHeight="1">
      <c r="A492" s="325"/>
      <c r="B492" s="326" t="s">
        <v>1594</v>
      </c>
      <c r="D492" s="326" t="s">
        <v>1594</v>
      </c>
      <c r="E492" s="359" t="s">
        <v>8172</v>
      </c>
      <c r="F492" s="334" t="s">
        <v>5746</v>
      </c>
      <c r="G492" s="327" t="s">
        <v>8173</v>
      </c>
      <c r="H492" s="328" t="s">
        <v>6011</v>
      </c>
      <c r="I492" s="378">
        <v>3298</v>
      </c>
      <c r="J492" s="379">
        <v>50</v>
      </c>
      <c r="K492" s="459"/>
      <c r="L492" s="460"/>
      <c r="M492" s="417"/>
    </row>
    <row r="493" spans="1:13" ht="15" customHeight="1">
      <c r="A493" s="329"/>
      <c r="B493" s="330"/>
      <c r="C493" s="331"/>
      <c r="D493" s="330"/>
      <c r="E493" s="367" t="s">
        <v>8172</v>
      </c>
      <c r="F493" s="332" t="s">
        <v>6012</v>
      </c>
      <c r="G493" s="331" t="s">
        <v>8174</v>
      </c>
      <c r="H493" s="320" t="s">
        <v>6013</v>
      </c>
      <c r="I493" s="384"/>
      <c r="J493" s="381"/>
      <c r="K493" s="459"/>
      <c r="L493" s="460"/>
      <c r="M493" s="417"/>
    </row>
    <row r="494" spans="1:13" ht="15" customHeight="1">
      <c r="A494" s="325" t="s">
        <v>6014</v>
      </c>
      <c r="B494" s="326" t="s">
        <v>936</v>
      </c>
      <c r="C494" s="327" t="s">
        <v>6015</v>
      </c>
      <c r="D494" s="326" t="s">
        <v>8175</v>
      </c>
      <c r="E494" s="359" t="s">
        <v>8175</v>
      </c>
      <c r="H494" s="328" t="s">
        <v>158</v>
      </c>
      <c r="I494" s="378"/>
      <c r="J494" s="379">
        <v>20828</v>
      </c>
      <c r="K494" s="459"/>
      <c r="L494" s="460"/>
      <c r="M494" s="417"/>
    </row>
    <row r="495" spans="1:13" ht="15" customHeight="1">
      <c r="A495" s="325"/>
      <c r="D495" s="326" t="s">
        <v>1594</v>
      </c>
      <c r="E495" s="359" t="s">
        <v>8175</v>
      </c>
      <c r="F495" s="334" t="s">
        <v>5637</v>
      </c>
      <c r="G495" s="327" t="s">
        <v>8176</v>
      </c>
      <c r="H495" s="328" t="s">
        <v>6016</v>
      </c>
      <c r="I495" s="378">
        <v>570017</v>
      </c>
      <c r="J495" s="379">
        <v>20826</v>
      </c>
      <c r="K495" s="459"/>
      <c r="L495" s="460"/>
      <c r="M495" s="417"/>
    </row>
    <row r="496" spans="1:13" ht="15" customHeight="1">
      <c r="A496" s="325"/>
      <c r="D496" s="326"/>
      <c r="E496" s="359" t="s">
        <v>8175</v>
      </c>
      <c r="F496" s="334" t="s">
        <v>5576</v>
      </c>
      <c r="G496" s="327" t="s">
        <v>8177</v>
      </c>
      <c r="H496" s="328" t="s">
        <v>6017</v>
      </c>
      <c r="I496" s="378"/>
      <c r="J496" s="381">
        <v>2</v>
      </c>
      <c r="K496" s="459"/>
      <c r="L496" s="460"/>
      <c r="M496" s="417"/>
    </row>
    <row r="497" spans="1:13" s="327" customFormat="1" ht="15" customHeight="1">
      <c r="A497" s="321" t="s">
        <v>6018</v>
      </c>
      <c r="B497" s="322" t="s">
        <v>938</v>
      </c>
      <c r="C497" s="323" t="s">
        <v>6019</v>
      </c>
      <c r="D497" s="322" t="s">
        <v>8178</v>
      </c>
      <c r="E497" s="365" t="s">
        <v>8178</v>
      </c>
      <c r="F497" s="366"/>
      <c r="G497" s="323" t="s">
        <v>1594</v>
      </c>
      <c r="H497" s="324" t="s">
        <v>159</v>
      </c>
      <c r="I497" s="376"/>
      <c r="J497" s="377">
        <v>3120</v>
      </c>
      <c r="K497" s="461"/>
      <c r="L497" s="462"/>
      <c r="M497" s="328"/>
    </row>
    <row r="498" spans="1:13" s="327" customFormat="1" ht="15" customHeight="1">
      <c r="A498" s="325"/>
      <c r="B498" s="326" t="s">
        <v>1594</v>
      </c>
      <c r="D498" s="326" t="s">
        <v>1594</v>
      </c>
      <c r="E498" s="359" t="s">
        <v>8178</v>
      </c>
      <c r="F498" s="334" t="s">
        <v>5637</v>
      </c>
      <c r="G498" s="327" t="s">
        <v>8179</v>
      </c>
      <c r="H498" s="328" t="s">
        <v>6020</v>
      </c>
      <c r="I498" s="378">
        <v>238174</v>
      </c>
      <c r="J498" s="379">
        <v>3120</v>
      </c>
      <c r="K498" s="461"/>
      <c r="L498" s="462"/>
      <c r="M498" s="328"/>
    </row>
    <row r="499" spans="1:13" s="327" customFormat="1" ht="15" customHeight="1">
      <c r="A499" s="329"/>
      <c r="B499" s="330" t="s">
        <v>1594</v>
      </c>
      <c r="C499" s="331"/>
      <c r="D499" s="330" t="s">
        <v>1594</v>
      </c>
      <c r="E499" s="367" t="s">
        <v>8178</v>
      </c>
      <c r="F499" s="332" t="s">
        <v>5576</v>
      </c>
      <c r="G499" s="331" t="s">
        <v>8180</v>
      </c>
      <c r="H499" s="320" t="s">
        <v>5939</v>
      </c>
      <c r="I499" s="384"/>
      <c r="J499" s="381"/>
      <c r="K499" s="461"/>
      <c r="L499" s="462"/>
      <c r="M499" s="328"/>
    </row>
    <row r="500" spans="1:13" ht="15" customHeight="1">
      <c r="A500" s="325" t="s">
        <v>6021</v>
      </c>
      <c r="B500" s="326" t="s">
        <v>940</v>
      </c>
      <c r="C500" s="327" t="s">
        <v>6022</v>
      </c>
      <c r="D500" s="326" t="s">
        <v>8181</v>
      </c>
      <c r="E500" s="359" t="s">
        <v>8181</v>
      </c>
      <c r="G500" s="327" t="s">
        <v>1594</v>
      </c>
      <c r="H500" s="328" t="s">
        <v>160</v>
      </c>
      <c r="I500" s="378"/>
      <c r="J500" s="379">
        <v>225998</v>
      </c>
      <c r="K500" s="459"/>
      <c r="L500" s="460"/>
      <c r="M500" s="417"/>
    </row>
    <row r="501" spans="1:13" ht="15" customHeight="1">
      <c r="A501" s="325"/>
      <c r="B501" s="326" t="s">
        <v>1594</v>
      </c>
      <c r="D501" s="326" t="s">
        <v>1594</v>
      </c>
      <c r="E501" s="359" t="s">
        <v>8181</v>
      </c>
      <c r="F501" s="334" t="s">
        <v>5637</v>
      </c>
      <c r="G501" s="327" t="s">
        <v>8182</v>
      </c>
      <c r="H501" s="328" t="s">
        <v>6023</v>
      </c>
      <c r="I501" s="378"/>
      <c r="J501" s="379">
        <v>92732</v>
      </c>
      <c r="K501" s="459"/>
      <c r="L501" s="460"/>
      <c r="M501" s="417"/>
    </row>
    <row r="502" spans="1:13" ht="15" customHeight="1">
      <c r="A502" s="325"/>
      <c r="B502" s="326" t="s">
        <v>1594</v>
      </c>
      <c r="D502" s="326" t="s">
        <v>1594</v>
      </c>
      <c r="E502" s="359" t="s">
        <v>8181</v>
      </c>
      <c r="F502" s="334" t="s">
        <v>5657</v>
      </c>
      <c r="G502" s="327" t="s">
        <v>8183</v>
      </c>
      <c r="H502" s="328" t="s">
        <v>6024</v>
      </c>
      <c r="I502" s="378"/>
      <c r="J502" s="379">
        <v>56279</v>
      </c>
      <c r="K502" s="459"/>
      <c r="L502" s="460"/>
      <c r="M502" s="417"/>
    </row>
    <row r="503" spans="1:13" ht="15" customHeight="1">
      <c r="A503" s="325"/>
      <c r="B503" s="326" t="s">
        <v>1594</v>
      </c>
      <c r="D503" s="326" t="s">
        <v>1594</v>
      </c>
      <c r="E503" s="359" t="s">
        <v>8181</v>
      </c>
      <c r="F503" s="334" t="s">
        <v>5659</v>
      </c>
      <c r="G503" s="327" t="s">
        <v>8184</v>
      </c>
      <c r="H503" s="328" t="s">
        <v>6025</v>
      </c>
      <c r="I503" s="378"/>
      <c r="J503" s="379">
        <v>76721</v>
      </c>
      <c r="K503" s="459"/>
      <c r="L503" s="460"/>
      <c r="M503" s="417"/>
    </row>
    <row r="504" spans="1:13" ht="15" customHeight="1">
      <c r="A504" s="325"/>
      <c r="D504" s="326"/>
      <c r="E504" s="359" t="s">
        <v>8181</v>
      </c>
      <c r="F504" s="334" t="s">
        <v>5661</v>
      </c>
      <c r="G504" s="327" t="s">
        <v>8185</v>
      </c>
      <c r="H504" s="328" t="s">
        <v>5916</v>
      </c>
      <c r="I504" s="378">
        <v>17477</v>
      </c>
      <c r="J504" s="379">
        <v>266</v>
      </c>
      <c r="K504" s="459"/>
      <c r="L504" s="460"/>
      <c r="M504" s="417"/>
    </row>
    <row r="505" spans="1:13" ht="15" customHeight="1">
      <c r="A505" s="325"/>
      <c r="D505" s="326"/>
      <c r="E505" s="359" t="s">
        <v>8181</v>
      </c>
      <c r="F505" s="334" t="s">
        <v>5576</v>
      </c>
      <c r="G505" s="327" t="s">
        <v>8186</v>
      </c>
      <c r="H505" s="328" t="s">
        <v>5939</v>
      </c>
      <c r="I505" s="378"/>
      <c r="J505" s="379"/>
      <c r="K505" s="459"/>
      <c r="L505" s="460"/>
      <c r="M505" s="417"/>
    </row>
    <row r="506" spans="1:13" ht="15" customHeight="1">
      <c r="A506" s="321" t="s">
        <v>6026</v>
      </c>
      <c r="B506" s="322" t="s">
        <v>942</v>
      </c>
      <c r="C506" s="323" t="s">
        <v>6027</v>
      </c>
      <c r="D506" s="322" t="s">
        <v>8187</v>
      </c>
      <c r="E506" s="365" t="s">
        <v>8187</v>
      </c>
      <c r="F506" s="366"/>
      <c r="G506" s="323" t="s">
        <v>1594</v>
      </c>
      <c r="H506" s="324" t="s">
        <v>161</v>
      </c>
      <c r="I506" s="376"/>
      <c r="J506" s="377">
        <v>122611</v>
      </c>
      <c r="K506" s="459"/>
      <c r="L506" s="460"/>
      <c r="M506" s="417"/>
    </row>
    <row r="507" spans="1:13" ht="15" customHeight="1">
      <c r="A507" s="325"/>
      <c r="B507" s="326" t="s">
        <v>1594</v>
      </c>
      <c r="D507" s="326" t="s">
        <v>1594</v>
      </c>
      <c r="E507" s="359" t="s">
        <v>8187</v>
      </c>
      <c r="F507" s="334" t="s">
        <v>575</v>
      </c>
      <c r="G507" s="327" t="s">
        <v>8188</v>
      </c>
      <c r="H507" s="328" t="s">
        <v>6028</v>
      </c>
      <c r="I507" s="378"/>
      <c r="J507" s="379">
        <v>122349</v>
      </c>
      <c r="K507" s="459"/>
      <c r="L507" s="460"/>
      <c r="M507" s="417"/>
    </row>
    <row r="508" spans="1:13" ht="15" customHeight="1">
      <c r="A508" s="325"/>
      <c r="B508" s="326" t="s">
        <v>1594</v>
      </c>
      <c r="D508" s="326" t="s">
        <v>1594</v>
      </c>
      <c r="E508" s="359" t="s">
        <v>8187</v>
      </c>
      <c r="F508" s="334" t="s">
        <v>5605</v>
      </c>
      <c r="G508" s="327" t="s">
        <v>8189</v>
      </c>
      <c r="H508" s="328" t="s">
        <v>5916</v>
      </c>
      <c r="I508" s="378">
        <v>17204</v>
      </c>
      <c r="J508" s="379">
        <v>262</v>
      </c>
      <c r="K508" s="459"/>
      <c r="L508" s="460"/>
      <c r="M508" s="417"/>
    </row>
    <row r="509" spans="1:13" ht="15" customHeight="1">
      <c r="A509" s="325"/>
      <c r="D509" s="326"/>
      <c r="E509" s="359" t="s">
        <v>8187</v>
      </c>
      <c r="F509" s="334" t="s">
        <v>6012</v>
      </c>
      <c r="G509" s="327" t="s">
        <v>8190</v>
      </c>
      <c r="H509" s="328" t="s">
        <v>5939</v>
      </c>
      <c r="I509" s="378"/>
      <c r="J509" s="379"/>
      <c r="K509" s="459"/>
      <c r="L509" s="460"/>
      <c r="M509" s="417"/>
    </row>
    <row r="510" spans="1:13" ht="15" customHeight="1">
      <c r="A510" s="338" t="s">
        <v>6029</v>
      </c>
      <c r="B510" s="339" t="s">
        <v>944</v>
      </c>
      <c r="C510" s="340" t="s">
        <v>6030</v>
      </c>
      <c r="D510" s="339" t="s">
        <v>8191</v>
      </c>
      <c r="E510" s="369" t="s">
        <v>8191</v>
      </c>
      <c r="F510" s="350"/>
      <c r="G510" s="340" t="s">
        <v>1594</v>
      </c>
      <c r="H510" s="341" t="s">
        <v>163</v>
      </c>
      <c r="I510" s="385"/>
      <c r="J510" s="383">
        <v>115974</v>
      </c>
      <c r="K510" s="459"/>
      <c r="L510" s="460"/>
      <c r="M510" s="417"/>
    </row>
    <row r="511" spans="1:13" ht="15" customHeight="1">
      <c r="A511" s="325" t="s">
        <v>6031</v>
      </c>
      <c r="B511" s="326" t="s">
        <v>946</v>
      </c>
      <c r="C511" s="327" t="s">
        <v>6032</v>
      </c>
      <c r="D511" s="326" t="s">
        <v>8192</v>
      </c>
      <c r="E511" s="359" t="s">
        <v>8192</v>
      </c>
      <c r="G511" s="327" t="s">
        <v>1594</v>
      </c>
      <c r="H511" s="328" t="s">
        <v>6033</v>
      </c>
      <c r="I511" s="378"/>
      <c r="J511" s="379">
        <v>58441</v>
      </c>
      <c r="K511" s="459"/>
      <c r="L511" s="460"/>
      <c r="M511" s="417"/>
    </row>
    <row r="512" spans="1:13" ht="15" customHeight="1">
      <c r="A512" s="321" t="s">
        <v>6034</v>
      </c>
      <c r="B512" s="322" t="s">
        <v>948</v>
      </c>
      <c r="C512" s="323" t="s">
        <v>6035</v>
      </c>
      <c r="D512" s="322" t="s">
        <v>8193</v>
      </c>
      <c r="E512" s="365" t="s">
        <v>8193</v>
      </c>
      <c r="F512" s="366"/>
      <c r="G512" s="323" t="s">
        <v>1594</v>
      </c>
      <c r="H512" s="324" t="s">
        <v>6036</v>
      </c>
      <c r="I512" s="376"/>
      <c r="J512" s="377">
        <v>297</v>
      </c>
      <c r="K512" s="459"/>
      <c r="L512" s="460"/>
      <c r="M512" s="417"/>
    </row>
    <row r="513" spans="1:13" ht="15" customHeight="1">
      <c r="A513" s="338" t="s">
        <v>6037</v>
      </c>
      <c r="B513" s="339" t="s">
        <v>950</v>
      </c>
      <c r="C513" s="340" t="s">
        <v>6038</v>
      </c>
      <c r="D513" s="339" t="s">
        <v>8194</v>
      </c>
      <c r="E513" s="369" t="s">
        <v>8194</v>
      </c>
      <c r="F513" s="350"/>
      <c r="G513" s="340" t="s">
        <v>1594</v>
      </c>
      <c r="H513" s="341" t="s">
        <v>166</v>
      </c>
      <c r="I513" s="385"/>
      <c r="J513" s="383">
        <v>35354</v>
      </c>
      <c r="K513" s="459"/>
      <c r="L513" s="460"/>
      <c r="M513" s="417"/>
    </row>
    <row r="514" spans="1:13" ht="15" customHeight="1">
      <c r="A514" s="325" t="s">
        <v>6039</v>
      </c>
      <c r="B514" s="326" t="s">
        <v>952</v>
      </c>
      <c r="C514" s="327" t="s">
        <v>6040</v>
      </c>
      <c r="D514" s="326" t="s">
        <v>8195</v>
      </c>
      <c r="E514" s="359" t="s">
        <v>8195</v>
      </c>
      <c r="G514" s="327" t="s">
        <v>1594</v>
      </c>
      <c r="H514" s="328" t="s">
        <v>168</v>
      </c>
      <c r="I514" s="378"/>
      <c r="J514" s="379">
        <v>52909</v>
      </c>
      <c r="K514" s="459"/>
      <c r="L514" s="460"/>
      <c r="M514" s="417"/>
    </row>
    <row r="515" spans="1:13" ht="15" customHeight="1">
      <c r="A515" s="325"/>
      <c r="B515" s="326" t="s">
        <v>1594</v>
      </c>
      <c r="D515" s="326" t="s">
        <v>1594</v>
      </c>
      <c r="E515" s="359" t="s">
        <v>8195</v>
      </c>
      <c r="F515" s="334" t="s">
        <v>575</v>
      </c>
      <c r="G515" s="327" t="s">
        <v>8196</v>
      </c>
      <c r="H515" s="328" t="s">
        <v>6041</v>
      </c>
      <c r="I515" s="378"/>
      <c r="J515" s="379">
        <v>52186</v>
      </c>
      <c r="K515" s="459"/>
      <c r="L515" s="460"/>
      <c r="M515" s="417"/>
    </row>
    <row r="516" spans="1:13" ht="15" customHeight="1">
      <c r="A516" s="325"/>
      <c r="B516" s="326" t="s">
        <v>1594</v>
      </c>
      <c r="D516" s="326" t="s">
        <v>1594</v>
      </c>
      <c r="E516" s="359" t="s">
        <v>8195</v>
      </c>
      <c r="F516" s="334" t="s">
        <v>5421</v>
      </c>
      <c r="G516" s="327" t="s">
        <v>8197</v>
      </c>
      <c r="H516" s="328" t="s">
        <v>5916</v>
      </c>
      <c r="I516" s="378">
        <v>47536</v>
      </c>
      <c r="J516" s="379">
        <v>723</v>
      </c>
      <c r="K516" s="459"/>
      <c r="L516" s="460"/>
      <c r="M516" s="417"/>
    </row>
    <row r="517" spans="1:13" ht="15" customHeight="1">
      <c r="A517" s="329"/>
      <c r="B517" s="330" t="s">
        <v>1594</v>
      </c>
      <c r="C517" s="331"/>
      <c r="D517" s="330" t="s">
        <v>1594</v>
      </c>
      <c r="E517" s="367" t="s">
        <v>8195</v>
      </c>
      <c r="F517" s="332" t="s">
        <v>5576</v>
      </c>
      <c r="G517" s="331" t="s">
        <v>8198</v>
      </c>
      <c r="H517" s="320" t="s">
        <v>5939</v>
      </c>
      <c r="I517" s="384"/>
      <c r="J517" s="381"/>
      <c r="K517" s="459"/>
      <c r="L517" s="460"/>
      <c r="M517" s="417"/>
    </row>
    <row r="518" spans="1:13" ht="15" customHeight="1">
      <c r="A518" s="325" t="s">
        <v>6042</v>
      </c>
      <c r="B518" s="326" t="s">
        <v>954</v>
      </c>
      <c r="C518" s="327" t="s">
        <v>6043</v>
      </c>
      <c r="D518" s="326" t="s">
        <v>8199</v>
      </c>
      <c r="E518" s="359" t="s">
        <v>8199</v>
      </c>
      <c r="G518" s="327" t="s">
        <v>1594</v>
      </c>
      <c r="H518" s="328" t="s">
        <v>169</v>
      </c>
      <c r="I518" s="378"/>
      <c r="J518" s="379">
        <v>66168</v>
      </c>
      <c r="K518" s="459"/>
      <c r="L518" s="460"/>
      <c r="M518" s="417"/>
    </row>
    <row r="519" spans="1:13" ht="15" customHeight="1">
      <c r="A519" s="325"/>
      <c r="B519" s="326" t="s">
        <v>1594</v>
      </c>
      <c r="D519" s="326" t="s">
        <v>1594</v>
      </c>
      <c r="E519" s="359" t="s">
        <v>8199</v>
      </c>
      <c r="F519" s="334" t="s">
        <v>5637</v>
      </c>
      <c r="G519" s="327" t="s">
        <v>8200</v>
      </c>
      <c r="H519" s="328" t="s">
        <v>6044</v>
      </c>
      <c r="I519" s="378"/>
      <c r="J519" s="379">
        <v>10926</v>
      </c>
      <c r="K519" s="459"/>
      <c r="L519" s="460"/>
      <c r="M519" s="417"/>
    </row>
    <row r="520" spans="1:13" ht="15" customHeight="1">
      <c r="A520" s="325"/>
      <c r="D520" s="326"/>
      <c r="E520" s="359" t="s">
        <v>8199</v>
      </c>
      <c r="F520" s="334" t="s">
        <v>5455</v>
      </c>
      <c r="G520" s="327" t="s">
        <v>8201</v>
      </c>
      <c r="H520" s="328" t="s">
        <v>6045</v>
      </c>
      <c r="I520" s="378">
        <v>264518</v>
      </c>
      <c r="J520" s="379">
        <v>3402</v>
      </c>
      <c r="K520" s="459"/>
      <c r="L520" s="460"/>
      <c r="M520" s="417"/>
    </row>
    <row r="521" spans="1:13" ht="15" customHeight="1">
      <c r="A521" s="325"/>
      <c r="D521" s="326"/>
      <c r="E521" s="359" t="s">
        <v>8199</v>
      </c>
      <c r="F521" s="334" t="s">
        <v>5484</v>
      </c>
      <c r="G521" s="327" t="s">
        <v>8202</v>
      </c>
      <c r="H521" s="328" t="s">
        <v>6046</v>
      </c>
      <c r="I521" s="378"/>
      <c r="J521" s="379"/>
      <c r="K521" s="459"/>
      <c r="L521" s="460"/>
      <c r="M521" s="417"/>
    </row>
    <row r="522" spans="1:13" ht="15" customHeight="1">
      <c r="A522" s="325"/>
      <c r="D522" s="326"/>
      <c r="E522" s="359" t="s">
        <v>8199</v>
      </c>
      <c r="F522" s="334" t="s">
        <v>6047</v>
      </c>
      <c r="G522" s="327" t="s">
        <v>8203</v>
      </c>
      <c r="H522" s="328" t="s">
        <v>6048</v>
      </c>
      <c r="I522" s="378"/>
      <c r="J522" s="379"/>
      <c r="K522" s="459"/>
      <c r="L522" s="460"/>
      <c r="M522" s="417"/>
    </row>
    <row r="523" spans="1:13" ht="15" customHeight="1">
      <c r="A523" s="325"/>
      <c r="D523" s="326"/>
      <c r="E523" s="359" t="s">
        <v>8199</v>
      </c>
      <c r="F523" s="334" t="s">
        <v>5605</v>
      </c>
      <c r="G523" s="327" t="s">
        <v>8204</v>
      </c>
      <c r="H523" s="328" t="s">
        <v>6049</v>
      </c>
      <c r="I523" s="378"/>
      <c r="J523" s="379">
        <v>25527</v>
      </c>
      <c r="K523" s="459"/>
      <c r="L523" s="460"/>
      <c r="M523" s="417"/>
    </row>
    <row r="524" spans="1:13" ht="15" customHeight="1">
      <c r="A524" s="325"/>
      <c r="D524" s="326"/>
      <c r="E524" s="359" t="s">
        <v>8199</v>
      </c>
      <c r="F524" s="334" t="s">
        <v>5740</v>
      </c>
      <c r="G524" s="327" t="s">
        <v>8205</v>
      </c>
      <c r="H524" s="328" t="s">
        <v>6050</v>
      </c>
      <c r="I524" s="378"/>
      <c r="J524" s="379">
        <v>16173</v>
      </c>
      <c r="K524" s="459"/>
      <c r="L524" s="460"/>
      <c r="M524" s="417"/>
    </row>
    <row r="525" spans="1:13" ht="15" customHeight="1">
      <c r="A525" s="325"/>
      <c r="D525" s="326"/>
      <c r="E525" s="359" t="s">
        <v>8199</v>
      </c>
      <c r="F525" s="334" t="s">
        <v>5746</v>
      </c>
      <c r="G525" s="327" t="s">
        <v>8206</v>
      </c>
      <c r="H525" s="328" t="s">
        <v>6051</v>
      </c>
      <c r="I525" s="378">
        <v>32623</v>
      </c>
      <c r="J525" s="379">
        <v>496</v>
      </c>
      <c r="K525" s="459"/>
      <c r="L525" s="460"/>
      <c r="M525" s="417"/>
    </row>
    <row r="526" spans="1:13" ht="15" customHeight="1">
      <c r="A526" s="325"/>
      <c r="D526" s="326"/>
      <c r="E526" s="359" t="s">
        <v>8199</v>
      </c>
      <c r="F526" s="334" t="s">
        <v>6052</v>
      </c>
      <c r="G526" s="327" t="s">
        <v>8207</v>
      </c>
      <c r="H526" s="328" t="s">
        <v>6053</v>
      </c>
      <c r="I526" s="378"/>
      <c r="J526" s="379">
        <v>4208</v>
      </c>
      <c r="K526" s="459"/>
      <c r="L526" s="460"/>
      <c r="M526" s="417"/>
    </row>
    <row r="527" spans="1:13" ht="15" customHeight="1">
      <c r="A527" s="325"/>
      <c r="D527" s="326"/>
      <c r="E527" s="388" t="s">
        <v>8199</v>
      </c>
      <c r="F527" s="389" t="s">
        <v>6054</v>
      </c>
      <c r="G527" s="390" t="s">
        <v>8208</v>
      </c>
      <c r="H527" s="403" t="s">
        <v>6055</v>
      </c>
      <c r="I527" s="413">
        <v>187717</v>
      </c>
      <c r="J527" s="392">
        <v>2851</v>
      </c>
      <c r="K527" s="463">
        <v>100</v>
      </c>
      <c r="L527" s="464">
        <f>J527*K527/100</f>
        <v>2851</v>
      </c>
      <c r="M527" s="417"/>
    </row>
    <row r="528" spans="1:13" ht="15" customHeight="1">
      <c r="A528" s="325"/>
      <c r="D528" s="326"/>
      <c r="E528" s="359" t="s">
        <v>8199</v>
      </c>
      <c r="F528" s="334" t="s">
        <v>6056</v>
      </c>
      <c r="G528" s="327" t="s">
        <v>8209</v>
      </c>
      <c r="H528" s="328" t="s">
        <v>6057</v>
      </c>
      <c r="I528" s="378">
        <v>92088</v>
      </c>
      <c r="J528" s="379">
        <v>1399</v>
      </c>
      <c r="K528" s="459"/>
      <c r="L528" s="460"/>
      <c r="M528" s="417"/>
    </row>
    <row r="529" spans="1:13" ht="15" customHeight="1">
      <c r="A529" s="325"/>
      <c r="D529" s="326"/>
      <c r="E529" s="359" t="s">
        <v>8199</v>
      </c>
      <c r="F529" s="334" t="s">
        <v>5754</v>
      </c>
      <c r="G529" s="327" t="s">
        <v>8210</v>
      </c>
      <c r="H529" s="328" t="s">
        <v>6058</v>
      </c>
      <c r="I529" s="378">
        <v>51883</v>
      </c>
      <c r="J529" s="379">
        <v>788</v>
      </c>
      <c r="K529" s="459"/>
      <c r="L529" s="460"/>
      <c r="M529" s="417"/>
    </row>
    <row r="530" spans="1:13" ht="15" customHeight="1">
      <c r="A530" s="325"/>
      <c r="D530" s="326"/>
      <c r="E530" s="359" t="s">
        <v>8199</v>
      </c>
      <c r="F530" s="334" t="s">
        <v>6059</v>
      </c>
      <c r="G530" s="327" t="s">
        <v>8211</v>
      </c>
      <c r="H530" s="328" t="s">
        <v>6060</v>
      </c>
      <c r="I530" s="378">
        <v>26445</v>
      </c>
      <c r="J530" s="379">
        <v>402</v>
      </c>
      <c r="K530" s="459"/>
      <c r="L530" s="460"/>
      <c r="M530" s="417"/>
    </row>
    <row r="531" spans="1:13" ht="15" customHeight="1">
      <c r="A531" s="325"/>
      <c r="B531" s="326" t="s">
        <v>1594</v>
      </c>
      <c r="D531" s="326" t="s">
        <v>1594</v>
      </c>
      <c r="E531" s="359" t="s">
        <v>8199</v>
      </c>
      <c r="F531" s="334" t="s">
        <v>5576</v>
      </c>
      <c r="G531" s="327" t="s">
        <v>8212</v>
      </c>
      <c r="H531" s="328" t="s">
        <v>5939</v>
      </c>
      <c r="I531" s="378"/>
      <c r="J531" s="379">
        <v>-4</v>
      </c>
      <c r="K531" s="459"/>
      <c r="L531" s="460"/>
      <c r="M531" s="417"/>
    </row>
    <row r="532" spans="1:13" ht="15" customHeight="1">
      <c r="A532" s="338" t="s">
        <v>6061</v>
      </c>
      <c r="B532" s="339" t="s">
        <v>956</v>
      </c>
      <c r="C532" s="340" t="s">
        <v>6062</v>
      </c>
      <c r="D532" s="339" t="s">
        <v>8213</v>
      </c>
      <c r="E532" s="369" t="s">
        <v>8213</v>
      </c>
      <c r="F532" s="350" t="s">
        <v>6063</v>
      </c>
      <c r="G532" s="340" t="s">
        <v>8214</v>
      </c>
      <c r="H532" s="341" t="s">
        <v>170</v>
      </c>
      <c r="I532" s="385"/>
      <c r="J532" s="383">
        <v>2005</v>
      </c>
      <c r="K532" s="459"/>
      <c r="L532" s="460"/>
      <c r="M532" s="417"/>
    </row>
    <row r="533" spans="1:13" ht="15" customHeight="1">
      <c r="A533" s="325" t="s">
        <v>6064</v>
      </c>
      <c r="B533" s="326" t="s">
        <v>958</v>
      </c>
      <c r="C533" s="327" t="s">
        <v>6065</v>
      </c>
      <c r="D533" s="326" t="s">
        <v>8215</v>
      </c>
      <c r="E533" s="359" t="s">
        <v>8215</v>
      </c>
      <c r="G533" s="327" t="s">
        <v>1594</v>
      </c>
      <c r="H533" s="328" t="s">
        <v>172</v>
      </c>
      <c r="I533" s="378"/>
      <c r="J533" s="379">
        <v>56148</v>
      </c>
      <c r="K533" s="459"/>
      <c r="L533" s="460"/>
      <c r="M533" s="417"/>
    </row>
    <row r="534" spans="1:13" ht="15" customHeight="1">
      <c r="A534" s="321" t="s">
        <v>6066</v>
      </c>
      <c r="B534" s="322" t="s">
        <v>960</v>
      </c>
      <c r="C534" s="323" t="s">
        <v>6067</v>
      </c>
      <c r="D534" s="322" t="s">
        <v>8216</v>
      </c>
      <c r="E534" s="365" t="s">
        <v>8216</v>
      </c>
      <c r="F534" s="366"/>
      <c r="G534" s="323" t="s">
        <v>1594</v>
      </c>
      <c r="H534" s="324" t="s">
        <v>6068</v>
      </c>
      <c r="I534" s="376"/>
      <c r="J534" s="377">
        <v>1737</v>
      </c>
      <c r="K534" s="459"/>
      <c r="L534" s="460"/>
      <c r="M534" s="417"/>
    </row>
    <row r="535" spans="1:13" ht="15" customHeight="1">
      <c r="A535" s="325"/>
      <c r="B535" s="326" t="s">
        <v>1594</v>
      </c>
      <c r="D535" s="326" t="s">
        <v>1594</v>
      </c>
      <c r="E535" s="359" t="s">
        <v>8216</v>
      </c>
      <c r="F535" s="334" t="s">
        <v>5637</v>
      </c>
      <c r="G535" s="327" t="s">
        <v>8217</v>
      </c>
      <c r="H535" s="328" t="s">
        <v>6069</v>
      </c>
      <c r="I535" s="378"/>
      <c r="J535" s="379">
        <v>1737</v>
      </c>
      <c r="K535" s="459"/>
      <c r="L535" s="460"/>
      <c r="M535" s="417"/>
    </row>
    <row r="536" spans="1:13" ht="15" customHeight="1">
      <c r="A536" s="329"/>
      <c r="B536" s="330" t="s">
        <v>1594</v>
      </c>
      <c r="C536" s="331"/>
      <c r="D536" s="330" t="s">
        <v>1594</v>
      </c>
      <c r="E536" s="367" t="s">
        <v>8216</v>
      </c>
      <c r="F536" s="332" t="s">
        <v>5917</v>
      </c>
      <c r="G536" s="331" t="s">
        <v>8218</v>
      </c>
      <c r="H536" s="320" t="s">
        <v>5925</v>
      </c>
      <c r="I536" s="384"/>
      <c r="J536" s="381"/>
      <c r="K536" s="459"/>
      <c r="L536" s="460"/>
      <c r="M536" s="417"/>
    </row>
    <row r="537" spans="1:13" ht="15" customHeight="1">
      <c r="A537" s="321" t="s">
        <v>6070</v>
      </c>
      <c r="B537" s="322" t="s">
        <v>962</v>
      </c>
      <c r="C537" s="323" t="s">
        <v>6071</v>
      </c>
      <c r="D537" s="322" t="s">
        <v>8219</v>
      </c>
      <c r="E537" s="365" t="s">
        <v>8219</v>
      </c>
      <c r="F537" s="366"/>
      <c r="G537" s="323"/>
      <c r="H537" s="324" t="s">
        <v>175</v>
      </c>
      <c r="I537" s="376"/>
      <c r="J537" s="377">
        <v>0</v>
      </c>
      <c r="K537" s="459"/>
      <c r="L537" s="460"/>
      <c r="M537" s="417"/>
    </row>
    <row r="538" spans="1:13" ht="15" customHeight="1">
      <c r="A538" s="325"/>
      <c r="D538" s="326"/>
      <c r="E538" s="359" t="s">
        <v>8219</v>
      </c>
      <c r="F538" s="334" t="s">
        <v>5534</v>
      </c>
      <c r="G538" s="327" t="s">
        <v>8220</v>
      </c>
      <c r="H538" s="328" t="s">
        <v>6072</v>
      </c>
      <c r="I538" s="378"/>
      <c r="J538" s="379">
        <v>0</v>
      </c>
      <c r="K538" s="459"/>
      <c r="L538" s="460"/>
      <c r="M538" s="417"/>
    </row>
    <row r="539" spans="1:13" ht="15" customHeight="1">
      <c r="A539" s="329"/>
      <c r="B539" s="330"/>
      <c r="C539" s="331"/>
      <c r="D539" s="330"/>
      <c r="E539" s="367" t="s">
        <v>8219</v>
      </c>
      <c r="F539" s="332" t="s">
        <v>6012</v>
      </c>
      <c r="G539" s="331" t="s">
        <v>8221</v>
      </c>
      <c r="H539" s="320" t="s">
        <v>6073</v>
      </c>
      <c r="I539" s="384"/>
      <c r="J539" s="381">
        <v>0</v>
      </c>
      <c r="K539" s="459"/>
      <c r="L539" s="460"/>
      <c r="M539" s="417"/>
    </row>
    <row r="540" spans="1:13" ht="15" customHeight="1">
      <c r="A540" s="325" t="s">
        <v>6074</v>
      </c>
      <c r="B540" s="326" t="s">
        <v>964</v>
      </c>
      <c r="C540" s="327" t="s">
        <v>6075</v>
      </c>
      <c r="D540" s="326" t="s">
        <v>8222</v>
      </c>
      <c r="E540" s="359" t="s">
        <v>8222</v>
      </c>
      <c r="G540" s="327" t="s">
        <v>1594</v>
      </c>
      <c r="H540" s="328" t="s">
        <v>6076</v>
      </c>
      <c r="I540" s="378"/>
      <c r="J540" s="379">
        <v>2219</v>
      </c>
      <c r="K540" s="459"/>
      <c r="L540" s="460"/>
      <c r="M540" s="417"/>
    </row>
    <row r="541" spans="1:13" ht="15" customHeight="1">
      <c r="A541" s="338" t="s">
        <v>6077</v>
      </c>
      <c r="B541" s="339" t="s">
        <v>966</v>
      </c>
      <c r="C541" s="340" t="s">
        <v>6078</v>
      </c>
      <c r="D541" s="339" t="s">
        <v>8223</v>
      </c>
      <c r="E541" s="369" t="s">
        <v>8223</v>
      </c>
      <c r="F541" s="350"/>
      <c r="G541" s="340" t="s">
        <v>1594</v>
      </c>
      <c r="H541" s="342" t="s">
        <v>6079</v>
      </c>
      <c r="I541" s="385"/>
      <c r="J541" s="383">
        <v>2342</v>
      </c>
      <c r="K541" s="459"/>
      <c r="L541" s="460"/>
      <c r="M541" s="417"/>
    </row>
    <row r="542" spans="1:13" ht="15" customHeight="1">
      <c r="A542" s="338" t="s">
        <v>6080</v>
      </c>
      <c r="B542" s="339" t="s">
        <v>968</v>
      </c>
      <c r="C542" s="340" t="s">
        <v>6081</v>
      </c>
      <c r="D542" s="339" t="s">
        <v>8224</v>
      </c>
      <c r="E542" s="369" t="s">
        <v>8224</v>
      </c>
      <c r="F542" s="350"/>
      <c r="G542" s="340" t="s">
        <v>1594</v>
      </c>
      <c r="H542" s="343" t="s">
        <v>6082</v>
      </c>
      <c r="I542" s="385"/>
      <c r="J542" s="383">
        <v>0</v>
      </c>
      <c r="K542" s="459"/>
      <c r="L542" s="460"/>
      <c r="M542" s="417"/>
    </row>
    <row r="543" spans="1:13" ht="15" customHeight="1">
      <c r="A543" s="338" t="s">
        <v>6083</v>
      </c>
      <c r="B543" s="339" t="s">
        <v>970</v>
      </c>
      <c r="C543" s="340" t="s">
        <v>6084</v>
      </c>
      <c r="D543" s="339" t="s">
        <v>8225</v>
      </c>
      <c r="E543" s="369" t="s">
        <v>8225</v>
      </c>
      <c r="F543" s="350"/>
      <c r="G543" s="340" t="s">
        <v>1594</v>
      </c>
      <c r="H543" s="344" t="s">
        <v>6085</v>
      </c>
      <c r="I543" s="385"/>
      <c r="J543" s="383">
        <v>10841</v>
      </c>
      <c r="K543" s="459"/>
      <c r="L543" s="460"/>
      <c r="M543" s="417"/>
    </row>
    <row r="544" spans="1:13" ht="15" customHeight="1">
      <c r="A544" s="338" t="s">
        <v>6086</v>
      </c>
      <c r="B544" s="339" t="s">
        <v>972</v>
      </c>
      <c r="C544" s="340" t="s">
        <v>6087</v>
      </c>
      <c r="D544" s="339" t="s">
        <v>8226</v>
      </c>
      <c r="E544" s="369" t="s">
        <v>8226</v>
      </c>
      <c r="F544" s="350"/>
      <c r="G544" s="340" t="s">
        <v>1594</v>
      </c>
      <c r="H544" s="341" t="s">
        <v>184</v>
      </c>
      <c r="I544" s="385"/>
      <c r="J544" s="383">
        <v>0</v>
      </c>
      <c r="K544" s="459"/>
      <c r="L544" s="460"/>
      <c r="M544" s="417"/>
    </row>
    <row r="545" spans="1:13" ht="15" customHeight="1">
      <c r="A545" s="321" t="s">
        <v>6088</v>
      </c>
      <c r="B545" s="322" t="s">
        <v>974</v>
      </c>
      <c r="C545" s="323" t="s">
        <v>6089</v>
      </c>
      <c r="D545" s="322" t="s">
        <v>8227</v>
      </c>
      <c r="E545" s="365" t="s">
        <v>8227</v>
      </c>
      <c r="F545" s="366"/>
      <c r="G545" s="323" t="s">
        <v>1594</v>
      </c>
      <c r="H545" s="324" t="s">
        <v>186</v>
      </c>
      <c r="I545" s="376"/>
      <c r="J545" s="377">
        <v>2593</v>
      </c>
      <c r="K545" s="459"/>
      <c r="L545" s="460"/>
      <c r="M545" s="417"/>
    </row>
    <row r="546" spans="1:13" ht="15" customHeight="1">
      <c r="A546" s="325"/>
      <c r="D546" s="326"/>
      <c r="H546" s="333" t="s">
        <v>6090</v>
      </c>
      <c r="I546" s="378"/>
      <c r="J546" s="379">
        <v>16</v>
      </c>
      <c r="K546" s="459"/>
      <c r="L546" s="460"/>
      <c r="M546" s="417"/>
    </row>
    <row r="547" spans="1:13" ht="15" customHeight="1">
      <c r="A547" s="325"/>
      <c r="D547" s="326"/>
      <c r="H547" s="333" t="s">
        <v>6091</v>
      </c>
      <c r="I547" s="378"/>
      <c r="J547" s="379">
        <v>0</v>
      </c>
      <c r="K547" s="459"/>
      <c r="L547" s="460"/>
      <c r="M547" s="417"/>
    </row>
    <row r="548" spans="1:13" ht="15" customHeight="1">
      <c r="A548" s="325"/>
      <c r="D548" s="326"/>
      <c r="H548" s="333" t="s">
        <v>6092</v>
      </c>
      <c r="I548" s="378"/>
      <c r="J548" s="379">
        <v>771</v>
      </c>
      <c r="K548" s="459"/>
      <c r="L548" s="460"/>
      <c r="M548" s="417"/>
    </row>
    <row r="549" spans="1:13" ht="15" customHeight="1">
      <c r="A549" s="325"/>
      <c r="D549" s="326"/>
      <c r="H549" s="328" t="s">
        <v>6093</v>
      </c>
      <c r="I549" s="378"/>
      <c r="J549" s="379">
        <v>0</v>
      </c>
      <c r="K549" s="459"/>
      <c r="L549" s="460"/>
      <c r="M549" s="417"/>
    </row>
    <row r="550" spans="1:13" ht="15" customHeight="1">
      <c r="A550" s="325"/>
      <c r="D550" s="326"/>
      <c r="H550" s="328" t="s">
        <v>6094</v>
      </c>
      <c r="I550" s="378"/>
      <c r="J550" s="379">
        <v>0</v>
      </c>
      <c r="K550" s="459"/>
      <c r="L550" s="460"/>
      <c r="M550" s="417"/>
    </row>
    <row r="551" spans="1:13" ht="15" customHeight="1">
      <c r="A551" s="325"/>
      <c r="D551" s="326"/>
      <c r="H551" s="328" t="s">
        <v>6095</v>
      </c>
      <c r="I551" s="378"/>
      <c r="J551" s="379">
        <v>0</v>
      </c>
      <c r="K551" s="459"/>
      <c r="L551" s="460"/>
      <c r="M551" s="417"/>
    </row>
    <row r="552" spans="1:13" ht="15" customHeight="1">
      <c r="A552" s="325"/>
      <c r="D552" s="326"/>
      <c r="H552" s="328" t="s">
        <v>6096</v>
      </c>
      <c r="I552" s="378"/>
      <c r="J552" s="379">
        <v>0</v>
      </c>
      <c r="K552" s="459"/>
      <c r="L552" s="460"/>
      <c r="M552" s="417"/>
    </row>
    <row r="553" spans="1:13" ht="15" customHeight="1">
      <c r="A553" s="325"/>
      <c r="D553" s="326"/>
      <c r="H553" s="328" t="s">
        <v>6097</v>
      </c>
      <c r="I553" s="378"/>
      <c r="J553" s="379">
        <v>0</v>
      </c>
      <c r="K553" s="459"/>
      <c r="L553" s="460"/>
      <c r="M553" s="417"/>
    </row>
    <row r="554" spans="1:13" ht="15" customHeight="1">
      <c r="A554" s="325"/>
      <c r="D554" s="326"/>
      <c r="H554" s="328" t="s">
        <v>6098</v>
      </c>
      <c r="I554" s="378"/>
      <c r="J554" s="379">
        <v>0</v>
      </c>
      <c r="K554" s="459"/>
      <c r="L554" s="460"/>
      <c r="M554" s="417"/>
    </row>
    <row r="555" spans="1:13" ht="15" customHeight="1">
      <c r="A555" s="325"/>
      <c r="D555" s="326"/>
      <c r="H555" s="328" t="s">
        <v>6099</v>
      </c>
      <c r="I555" s="378"/>
      <c r="J555" s="379">
        <v>1806</v>
      </c>
      <c r="K555" s="459"/>
      <c r="L555" s="460"/>
      <c r="M555" s="417"/>
    </row>
    <row r="556" spans="1:13" ht="15" customHeight="1">
      <c r="A556" s="325"/>
      <c r="D556" s="326"/>
      <c r="H556" s="328" t="s">
        <v>6100</v>
      </c>
      <c r="I556" s="378"/>
      <c r="J556" s="379">
        <v>0</v>
      </c>
      <c r="K556" s="459"/>
      <c r="L556" s="460"/>
      <c r="M556" s="417"/>
    </row>
    <row r="557" spans="1:13" ht="15" customHeight="1">
      <c r="A557" s="321" t="s">
        <v>6101</v>
      </c>
      <c r="B557" s="322" t="s">
        <v>976</v>
      </c>
      <c r="C557" s="323"/>
      <c r="D557" s="322" t="s">
        <v>1594</v>
      </c>
      <c r="E557" s="365"/>
      <c r="F557" s="366"/>
      <c r="G557" s="323" t="s">
        <v>1594</v>
      </c>
      <c r="H557" s="324" t="s">
        <v>6102</v>
      </c>
      <c r="I557" s="376"/>
      <c r="J557" s="377"/>
      <c r="K557" s="459"/>
      <c r="L557" s="460"/>
      <c r="M557" s="417"/>
    </row>
    <row r="558" spans="1:13" ht="15" customHeight="1">
      <c r="A558" s="325"/>
      <c r="B558" s="326" t="s">
        <v>1594</v>
      </c>
      <c r="C558" s="327" t="s">
        <v>6103</v>
      </c>
      <c r="D558" s="326" t="s">
        <v>8228</v>
      </c>
      <c r="E558" s="359" t="s">
        <v>8228</v>
      </c>
      <c r="G558" s="327" t="s">
        <v>1594</v>
      </c>
      <c r="H558" s="328" t="s">
        <v>6104</v>
      </c>
      <c r="I558" s="378"/>
      <c r="J558" s="379">
        <v>465</v>
      </c>
      <c r="K558" s="459"/>
      <c r="L558" s="460"/>
      <c r="M558" s="417"/>
    </row>
    <row r="559" spans="1:13" ht="15" customHeight="1">
      <c r="A559" s="329"/>
      <c r="B559" s="330" t="s">
        <v>1594</v>
      </c>
      <c r="C559" s="331" t="s">
        <v>6105</v>
      </c>
      <c r="D559" s="330" t="s">
        <v>8229</v>
      </c>
      <c r="E559" s="367" t="s">
        <v>8229</v>
      </c>
      <c r="F559" s="332"/>
      <c r="G559" s="331" t="s">
        <v>1594</v>
      </c>
      <c r="H559" s="320" t="s">
        <v>6106</v>
      </c>
      <c r="I559" s="384"/>
      <c r="J559" s="381">
        <v>14500</v>
      </c>
      <c r="K559" s="459"/>
      <c r="L559" s="460"/>
      <c r="M559" s="417"/>
    </row>
    <row r="560" spans="1:13" ht="15" customHeight="1">
      <c r="A560" s="398" t="s">
        <v>6107</v>
      </c>
      <c r="B560" s="399" t="s">
        <v>978</v>
      </c>
      <c r="C560" s="400" t="s">
        <v>6108</v>
      </c>
      <c r="D560" s="399" t="s">
        <v>8230</v>
      </c>
      <c r="E560" s="401" t="s">
        <v>8230</v>
      </c>
      <c r="F560" s="402"/>
      <c r="G560" s="400" t="s">
        <v>1594</v>
      </c>
      <c r="H560" s="395" t="s">
        <v>191</v>
      </c>
      <c r="I560" s="396"/>
      <c r="J560" s="397">
        <v>4997</v>
      </c>
      <c r="K560" s="463">
        <v>5.2</v>
      </c>
      <c r="L560" s="464">
        <f>J560*K560/100</f>
        <v>259.84399999999999</v>
      </c>
      <c r="M560" s="417"/>
    </row>
    <row r="561" spans="1:13" ht="15" customHeight="1">
      <c r="A561" s="398" t="s">
        <v>6109</v>
      </c>
      <c r="B561" s="399" t="s">
        <v>980</v>
      </c>
      <c r="C561" s="400" t="s">
        <v>6110</v>
      </c>
      <c r="D561" s="399" t="s">
        <v>8231</v>
      </c>
      <c r="E561" s="401" t="s">
        <v>8231</v>
      </c>
      <c r="F561" s="402"/>
      <c r="G561" s="400" t="s">
        <v>1594</v>
      </c>
      <c r="H561" s="395" t="s">
        <v>192</v>
      </c>
      <c r="I561" s="396"/>
      <c r="J561" s="397">
        <v>12308</v>
      </c>
      <c r="K561" s="463">
        <f>K560</f>
        <v>5.2</v>
      </c>
      <c r="L561" s="464">
        <f>J561*K561/100</f>
        <v>640.01600000000008</v>
      </c>
      <c r="M561" s="417"/>
    </row>
    <row r="562" spans="1:13" ht="15" customHeight="1">
      <c r="A562" s="398" t="s">
        <v>6111</v>
      </c>
      <c r="B562" s="399" t="s">
        <v>982</v>
      </c>
      <c r="C562" s="400" t="s">
        <v>6112</v>
      </c>
      <c r="D562" s="399" t="s">
        <v>8232</v>
      </c>
      <c r="E562" s="401" t="s">
        <v>8232</v>
      </c>
      <c r="F562" s="402"/>
      <c r="G562" s="400" t="s">
        <v>1594</v>
      </c>
      <c r="H562" s="395" t="s">
        <v>194</v>
      </c>
      <c r="I562" s="396"/>
      <c r="J562" s="397">
        <v>8018</v>
      </c>
      <c r="K562" s="463">
        <f>K560</f>
        <v>5.2</v>
      </c>
      <c r="L562" s="464">
        <f>J562*K562/100</f>
        <v>416.93599999999998</v>
      </c>
      <c r="M562" s="417"/>
    </row>
    <row r="563" spans="1:13" ht="15" customHeight="1">
      <c r="A563" s="338" t="s">
        <v>6113</v>
      </c>
      <c r="B563" s="339" t="s">
        <v>984</v>
      </c>
      <c r="C563" s="340" t="s">
        <v>6114</v>
      </c>
      <c r="D563" s="339" t="s">
        <v>8233</v>
      </c>
      <c r="E563" s="369" t="s">
        <v>8233</v>
      </c>
      <c r="F563" s="350"/>
      <c r="G563" s="340" t="s">
        <v>1594</v>
      </c>
      <c r="H563" s="341" t="s">
        <v>196</v>
      </c>
      <c r="I563" s="385"/>
      <c r="J563" s="383">
        <v>5142</v>
      </c>
      <c r="K563" s="459"/>
      <c r="L563" s="460"/>
      <c r="M563" s="417"/>
    </row>
    <row r="564" spans="1:13" ht="15" customHeight="1">
      <c r="A564" s="338" t="s">
        <v>6115</v>
      </c>
      <c r="B564" s="339" t="s">
        <v>986</v>
      </c>
      <c r="C564" s="340" t="s">
        <v>6116</v>
      </c>
      <c r="D564" s="339" t="s">
        <v>8234</v>
      </c>
      <c r="E564" s="369" t="s">
        <v>8234</v>
      </c>
      <c r="F564" s="350"/>
      <c r="G564" s="340"/>
      <c r="H564" s="341" t="s">
        <v>6117</v>
      </c>
      <c r="I564" s="385"/>
      <c r="J564" s="383">
        <v>7223</v>
      </c>
      <c r="K564" s="459"/>
      <c r="L564" s="460"/>
      <c r="M564" s="417"/>
    </row>
    <row r="565" spans="1:13" ht="15" customHeight="1">
      <c r="A565" s="321" t="s">
        <v>6118</v>
      </c>
      <c r="B565" s="322" t="s">
        <v>988</v>
      </c>
      <c r="C565" s="323"/>
      <c r="D565" s="322" t="s">
        <v>1594</v>
      </c>
      <c r="E565" s="365"/>
      <c r="F565" s="366"/>
      <c r="G565" s="323" t="s">
        <v>1594</v>
      </c>
      <c r="H565" s="324" t="s">
        <v>6119</v>
      </c>
      <c r="I565" s="376"/>
      <c r="J565" s="377"/>
      <c r="K565" s="459"/>
      <c r="L565" s="460"/>
      <c r="M565" s="417"/>
    </row>
    <row r="566" spans="1:13" ht="15" customHeight="1">
      <c r="A566" s="325"/>
      <c r="C566" s="327" t="s">
        <v>6120</v>
      </c>
      <c r="D566" s="326" t="s">
        <v>8235</v>
      </c>
      <c r="E566" s="359" t="s">
        <v>8235</v>
      </c>
      <c r="H566" s="328" t="s">
        <v>6121</v>
      </c>
      <c r="I566" s="378"/>
      <c r="J566" s="379">
        <v>177</v>
      </c>
      <c r="K566" s="459"/>
      <c r="L566" s="460"/>
      <c r="M566" s="417"/>
    </row>
    <row r="567" spans="1:13" ht="15" customHeight="1">
      <c r="A567" s="325"/>
      <c r="C567" s="327" t="s">
        <v>6122</v>
      </c>
      <c r="D567" s="326" t="s">
        <v>8236</v>
      </c>
      <c r="E567" s="359" t="s">
        <v>8236</v>
      </c>
      <c r="H567" s="328" t="s">
        <v>6123</v>
      </c>
      <c r="I567" s="378"/>
      <c r="J567" s="379">
        <v>9890</v>
      </c>
      <c r="K567" s="459"/>
      <c r="L567" s="460"/>
      <c r="M567" s="417"/>
    </row>
    <row r="568" spans="1:13" ht="15" customHeight="1">
      <c r="A568" s="321" t="s">
        <v>6124</v>
      </c>
      <c r="B568" s="322" t="s">
        <v>990</v>
      </c>
      <c r="C568" s="323" t="s">
        <v>6125</v>
      </c>
      <c r="D568" s="322" t="s">
        <v>8237</v>
      </c>
      <c r="E568" s="365" t="s">
        <v>8237</v>
      </c>
      <c r="F568" s="366"/>
      <c r="G568" s="323" t="s">
        <v>1594</v>
      </c>
      <c r="H568" s="324" t="s">
        <v>202</v>
      </c>
      <c r="I568" s="376"/>
      <c r="J568" s="377">
        <v>9635</v>
      </c>
      <c r="K568" s="459"/>
      <c r="L568" s="460"/>
      <c r="M568" s="417"/>
    </row>
    <row r="569" spans="1:13" ht="15" customHeight="1">
      <c r="A569" s="338" t="s">
        <v>6126</v>
      </c>
      <c r="B569" s="339" t="s">
        <v>992</v>
      </c>
      <c r="C569" s="340" t="s">
        <v>6127</v>
      </c>
      <c r="D569" s="339" t="s">
        <v>8238</v>
      </c>
      <c r="E569" s="369" t="s">
        <v>8238</v>
      </c>
      <c r="F569" s="350"/>
      <c r="G569" s="340" t="s">
        <v>1594</v>
      </c>
      <c r="H569" s="341" t="s">
        <v>6128</v>
      </c>
      <c r="I569" s="385"/>
      <c r="J569" s="383">
        <v>6051</v>
      </c>
      <c r="K569" s="459"/>
      <c r="L569" s="460"/>
      <c r="M569" s="417"/>
    </row>
    <row r="570" spans="1:13" ht="15" customHeight="1">
      <c r="A570" s="329" t="s">
        <v>6129</v>
      </c>
      <c r="B570" s="330" t="s">
        <v>994</v>
      </c>
      <c r="C570" s="331" t="s">
        <v>6130</v>
      </c>
      <c r="D570" s="330" t="s">
        <v>8239</v>
      </c>
      <c r="E570" s="367" t="s">
        <v>8239</v>
      </c>
      <c r="F570" s="332"/>
      <c r="G570" s="331" t="s">
        <v>1594</v>
      </c>
      <c r="H570" s="320" t="s">
        <v>205</v>
      </c>
      <c r="I570" s="384"/>
      <c r="J570" s="381">
        <v>1736</v>
      </c>
      <c r="K570" s="459"/>
      <c r="L570" s="460"/>
      <c r="M570" s="417"/>
    </row>
    <row r="571" spans="1:13" ht="15" customHeight="1">
      <c r="A571" s="325" t="s">
        <v>6131</v>
      </c>
      <c r="B571" s="326" t="s">
        <v>996</v>
      </c>
      <c r="D571" s="326" t="s">
        <v>1594</v>
      </c>
      <c r="G571" s="327" t="s">
        <v>1594</v>
      </c>
      <c r="H571" s="328" t="s">
        <v>6132</v>
      </c>
      <c r="I571" s="378"/>
      <c r="J571" s="379"/>
      <c r="K571" s="459"/>
      <c r="L571" s="460"/>
      <c r="M571" s="417"/>
    </row>
    <row r="572" spans="1:13" ht="15" customHeight="1">
      <c r="A572" s="325"/>
      <c r="B572" s="326" t="s">
        <v>1594</v>
      </c>
      <c r="C572" s="327" t="s">
        <v>6133</v>
      </c>
      <c r="D572" s="326" t="s">
        <v>8240</v>
      </c>
      <c r="E572" s="359" t="s">
        <v>8240</v>
      </c>
      <c r="G572" s="327" t="s">
        <v>1594</v>
      </c>
      <c r="H572" s="328" t="s">
        <v>6134</v>
      </c>
      <c r="I572" s="378"/>
      <c r="J572" s="386">
        <v>9668</v>
      </c>
      <c r="K572" s="459"/>
      <c r="L572" s="460"/>
      <c r="M572" s="417"/>
    </row>
    <row r="573" spans="1:13" ht="15" customHeight="1">
      <c r="A573" s="325"/>
      <c r="B573" s="326" t="s">
        <v>1594</v>
      </c>
      <c r="C573" s="327" t="s">
        <v>6135</v>
      </c>
      <c r="D573" s="326" t="s">
        <v>8241</v>
      </c>
      <c r="E573" s="359" t="s">
        <v>8241</v>
      </c>
      <c r="G573" s="327" t="s">
        <v>1594</v>
      </c>
      <c r="H573" s="328" t="s">
        <v>6136</v>
      </c>
      <c r="I573" s="378"/>
      <c r="J573" s="379">
        <v>13516</v>
      </c>
      <c r="K573" s="459"/>
      <c r="L573" s="460"/>
      <c r="M573" s="417"/>
    </row>
    <row r="574" spans="1:13" ht="15" customHeight="1">
      <c r="A574" s="338" t="s">
        <v>6137</v>
      </c>
      <c r="B574" s="339" t="s">
        <v>998</v>
      </c>
      <c r="C574" s="340" t="s">
        <v>6138</v>
      </c>
      <c r="D574" s="339" t="s">
        <v>8242</v>
      </c>
      <c r="E574" s="369" t="s">
        <v>8242</v>
      </c>
      <c r="F574" s="350"/>
      <c r="G574" s="340" t="s">
        <v>1594</v>
      </c>
      <c r="H574" s="341" t="s">
        <v>6139</v>
      </c>
      <c r="I574" s="385"/>
      <c r="J574" s="383">
        <v>15029</v>
      </c>
      <c r="K574" s="459"/>
      <c r="L574" s="460"/>
      <c r="M574" s="417"/>
    </row>
    <row r="575" spans="1:13" ht="15" customHeight="1">
      <c r="A575" s="321" t="s">
        <v>6140</v>
      </c>
      <c r="B575" s="322" t="s">
        <v>1000</v>
      </c>
      <c r="C575" s="323" t="s">
        <v>6141</v>
      </c>
      <c r="D575" s="322" t="s">
        <v>8243</v>
      </c>
      <c r="E575" s="365" t="s">
        <v>8243</v>
      </c>
      <c r="F575" s="366"/>
      <c r="G575" s="323" t="s">
        <v>1594</v>
      </c>
      <c r="H575" s="324" t="s">
        <v>6142</v>
      </c>
      <c r="I575" s="376"/>
      <c r="J575" s="377">
        <v>1000</v>
      </c>
      <c r="K575" s="459"/>
      <c r="L575" s="460"/>
      <c r="M575" s="417"/>
    </row>
    <row r="576" spans="1:13" ht="15" customHeight="1">
      <c r="A576" s="325"/>
      <c r="D576" s="326"/>
      <c r="E576" s="359" t="s">
        <v>8243</v>
      </c>
      <c r="F576" s="334" t="s">
        <v>575</v>
      </c>
      <c r="G576" s="327" t="s">
        <v>8244</v>
      </c>
      <c r="H576" s="328" t="s">
        <v>6143</v>
      </c>
      <c r="I576" s="378"/>
      <c r="J576" s="379">
        <v>416</v>
      </c>
      <c r="K576" s="459"/>
      <c r="L576" s="460"/>
      <c r="M576" s="417"/>
    </row>
    <row r="577" spans="1:13" ht="15" customHeight="1">
      <c r="A577" s="325"/>
      <c r="D577" s="326"/>
      <c r="E577" s="359" t="s">
        <v>8243</v>
      </c>
      <c r="F577" s="334" t="s">
        <v>5359</v>
      </c>
      <c r="G577" s="327" t="s">
        <v>8245</v>
      </c>
      <c r="H577" s="328" t="s">
        <v>6144</v>
      </c>
      <c r="I577" s="378"/>
      <c r="J577" s="379">
        <v>14</v>
      </c>
      <c r="K577" s="459"/>
      <c r="L577" s="460"/>
      <c r="M577" s="417"/>
    </row>
    <row r="578" spans="1:13" ht="15" customHeight="1">
      <c r="A578" s="325"/>
      <c r="D578" s="326"/>
      <c r="E578" s="359" t="s">
        <v>8243</v>
      </c>
      <c r="F578" s="334" t="s">
        <v>5361</v>
      </c>
      <c r="G578" s="327" t="s">
        <v>8246</v>
      </c>
      <c r="H578" s="328" t="s">
        <v>6145</v>
      </c>
      <c r="I578" s="378"/>
      <c r="J578" s="379">
        <v>3</v>
      </c>
      <c r="K578" s="459"/>
      <c r="L578" s="460"/>
      <c r="M578" s="417"/>
    </row>
    <row r="579" spans="1:13" ht="15" customHeight="1">
      <c r="A579" s="325"/>
      <c r="D579" s="326"/>
      <c r="E579" s="359" t="s">
        <v>8243</v>
      </c>
      <c r="F579" s="334" t="s">
        <v>6146</v>
      </c>
      <c r="G579" s="327" t="s">
        <v>8247</v>
      </c>
      <c r="H579" s="328" t="s">
        <v>6147</v>
      </c>
      <c r="I579" s="378"/>
      <c r="J579" s="379">
        <v>0</v>
      </c>
      <c r="K579" s="459"/>
      <c r="L579" s="460"/>
      <c r="M579" s="417"/>
    </row>
    <row r="580" spans="1:13" ht="15" customHeight="1">
      <c r="A580" s="325"/>
      <c r="D580" s="326"/>
      <c r="E580" s="359" t="s">
        <v>8243</v>
      </c>
      <c r="F580" s="334" t="s">
        <v>6148</v>
      </c>
      <c r="G580" s="327" t="s">
        <v>8248</v>
      </c>
      <c r="H580" s="328" t="s">
        <v>6149</v>
      </c>
      <c r="I580" s="378"/>
      <c r="J580" s="379">
        <v>0</v>
      </c>
      <c r="K580" s="459"/>
      <c r="L580" s="460"/>
      <c r="M580" s="417"/>
    </row>
    <row r="581" spans="1:13" ht="15" customHeight="1">
      <c r="A581" s="325"/>
      <c r="D581" s="326"/>
      <c r="E581" s="359" t="s">
        <v>8243</v>
      </c>
      <c r="F581" s="334" t="s">
        <v>6150</v>
      </c>
      <c r="G581" s="327" t="s">
        <v>8249</v>
      </c>
      <c r="H581" s="328" t="s">
        <v>6151</v>
      </c>
      <c r="I581" s="378"/>
      <c r="J581" s="379">
        <v>0</v>
      </c>
      <c r="K581" s="459"/>
      <c r="L581" s="460"/>
      <c r="M581" s="417"/>
    </row>
    <row r="582" spans="1:13" ht="15" customHeight="1">
      <c r="A582" s="325"/>
      <c r="D582" s="326"/>
      <c r="E582" s="359" t="s">
        <v>8243</v>
      </c>
      <c r="F582" s="334" t="s">
        <v>6152</v>
      </c>
      <c r="G582" s="327" t="s">
        <v>8250</v>
      </c>
      <c r="H582" s="328" t="s">
        <v>6153</v>
      </c>
      <c r="I582" s="378"/>
      <c r="J582" s="379">
        <v>599</v>
      </c>
      <c r="K582" s="459"/>
      <c r="L582" s="460"/>
      <c r="M582" s="417"/>
    </row>
    <row r="583" spans="1:13" ht="15" customHeight="1">
      <c r="A583" s="325"/>
      <c r="D583" s="326"/>
      <c r="E583" s="359" t="s">
        <v>8243</v>
      </c>
      <c r="F583" s="334" t="s">
        <v>5770</v>
      </c>
      <c r="G583" s="327" t="s">
        <v>8251</v>
      </c>
      <c r="H583" s="328" t="s">
        <v>6154</v>
      </c>
      <c r="I583" s="378"/>
      <c r="J583" s="379">
        <v>0</v>
      </c>
      <c r="K583" s="459"/>
      <c r="L583" s="460"/>
      <c r="M583" s="417"/>
    </row>
    <row r="584" spans="1:13" ht="15" customHeight="1">
      <c r="A584" s="325"/>
      <c r="D584" s="326"/>
      <c r="E584" s="359" t="s">
        <v>8243</v>
      </c>
      <c r="F584" s="334" t="s">
        <v>6012</v>
      </c>
      <c r="G584" s="327" t="s">
        <v>8252</v>
      </c>
      <c r="H584" s="328" t="s">
        <v>6155</v>
      </c>
      <c r="I584" s="378"/>
      <c r="J584" s="379">
        <v>-32</v>
      </c>
      <c r="K584" s="459"/>
      <c r="L584" s="460"/>
      <c r="M584" s="417"/>
    </row>
    <row r="585" spans="1:13" ht="15" customHeight="1">
      <c r="A585" s="338" t="s">
        <v>6156</v>
      </c>
      <c r="B585" s="339" t="s">
        <v>1002</v>
      </c>
      <c r="C585" s="340" t="s">
        <v>6157</v>
      </c>
      <c r="D585" s="339" t="s">
        <v>8253</v>
      </c>
      <c r="E585" s="369" t="s">
        <v>8253</v>
      </c>
      <c r="F585" s="350"/>
      <c r="G585" s="340" t="s">
        <v>1594</v>
      </c>
      <c r="H585" s="341" t="s">
        <v>212</v>
      </c>
      <c r="I585" s="385"/>
      <c r="J585" s="383">
        <v>9111</v>
      </c>
      <c r="K585" s="459"/>
      <c r="L585" s="460"/>
      <c r="M585" s="417"/>
    </row>
    <row r="586" spans="1:13" ht="15" customHeight="1">
      <c r="A586" s="329" t="s">
        <v>6158</v>
      </c>
      <c r="B586" s="330" t="s">
        <v>1004</v>
      </c>
      <c r="C586" s="331" t="s">
        <v>6159</v>
      </c>
      <c r="D586" s="330" t="s">
        <v>8254</v>
      </c>
      <c r="E586" s="369" t="s">
        <v>8254</v>
      </c>
      <c r="F586" s="332"/>
      <c r="G586" s="331"/>
      <c r="H586" s="320" t="s">
        <v>6160</v>
      </c>
      <c r="I586" s="384"/>
      <c r="J586" s="381">
        <v>5737</v>
      </c>
      <c r="K586" s="459"/>
      <c r="L586" s="460"/>
      <c r="M586" s="417"/>
    </row>
    <row r="587" spans="1:13" ht="15" customHeight="1">
      <c r="A587" s="325" t="s">
        <v>6161</v>
      </c>
      <c r="B587" s="326" t="s">
        <v>1006</v>
      </c>
      <c r="C587" s="327" t="s">
        <v>6162</v>
      </c>
      <c r="D587" s="326" t="s">
        <v>8255</v>
      </c>
      <c r="E587" s="359" t="s">
        <v>8255</v>
      </c>
      <c r="G587" s="327" t="s">
        <v>1594</v>
      </c>
      <c r="H587" s="328" t="s">
        <v>215</v>
      </c>
      <c r="I587" s="378"/>
      <c r="J587" s="379">
        <v>12592</v>
      </c>
      <c r="K587" s="459"/>
      <c r="L587" s="460"/>
      <c r="M587" s="417"/>
    </row>
    <row r="588" spans="1:13" ht="15" customHeight="1">
      <c r="A588" s="325"/>
      <c r="D588" s="326"/>
      <c r="E588" s="359" t="s">
        <v>8255</v>
      </c>
      <c r="F588" s="334" t="s">
        <v>5534</v>
      </c>
      <c r="G588" s="327" t="s">
        <v>8256</v>
      </c>
      <c r="H588" s="328" t="s">
        <v>6163</v>
      </c>
      <c r="I588" s="378"/>
      <c r="J588" s="379">
        <v>0</v>
      </c>
      <c r="K588" s="459"/>
      <c r="L588" s="460"/>
      <c r="M588" s="417"/>
    </row>
    <row r="589" spans="1:13" ht="15" customHeight="1">
      <c r="A589" s="325"/>
      <c r="D589" s="326"/>
      <c r="E589" s="359" t="s">
        <v>8255</v>
      </c>
      <c r="F589" s="334" t="s">
        <v>6000</v>
      </c>
      <c r="G589" s="327" t="s">
        <v>8257</v>
      </c>
      <c r="H589" s="328" t="s">
        <v>6164</v>
      </c>
      <c r="I589" s="378"/>
      <c r="J589" s="379">
        <v>0</v>
      </c>
      <c r="K589" s="459"/>
      <c r="L589" s="460"/>
      <c r="M589" s="417"/>
    </row>
    <row r="590" spans="1:13" ht="15" customHeight="1">
      <c r="A590" s="325"/>
      <c r="D590" s="326"/>
      <c r="E590" s="359" t="s">
        <v>8255</v>
      </c>
      <c r="F590" s="334" t="s">
        <v>5361</v>
      </c>
      <c r="G590" s="327" t="s">
        <v>8258</v>
      </c>
      <c r="H590" s="328" t="s">
        <v>6165</v>
      </c>
      <c r="I590" s="378"/>
      <c r="J590" s="379">
        <v>12592</v>
      </c>
      <c r="K590" s="459"/>
      <c r="L590" s="460"/>
      <c r="M590" s="417"/>
    </row>
    <row r="591" spans="1:13" ht="15" customHeight="1">
      <c r="A591" s="325"/>
      <c r="D591" s="326"/>
      <c r="E591" s="359" t="s">
        <v>8255</v>
      </c>
      <c r="F591" s="334" t="s">
        <v>5363</v>
      </c>
      <c r="G591" s="327" t="s">
        <v>8259</v>
      </c>
      <c r="H591" s="328" t="s">
        <v>6166</v>
      </c>
      <c r="I591" s="378"/>
      <c r="J591" s="379">
        <v>0</v>
      </c>
      <c r="K591" s="459"/>
      <c r="L591" s="460"/>
      <c r="M591" s="417"/>
    </row>
    <row r="592" spans="1:13" ht="15" customHeight="1">
      <c r="A592" s="325"/>
      <c r="D592" s="326"/>
      <c r="E592" s="359" t="s">
        <v>8255</v>
      </c>
      <c r="F592" s="334" t="s">
        <v>5365</v>
      </c>
      <c r="G592" s="327" t="s">
        <v>8260</v>
      </c>
      <c r="H592" s="328" t="s">
        <v>6167</v>
      </c>
      <c r="I592" s="378"/>
      <c r="J592" s="379">
        <v>0</v>
      </c>
      <c r="K592" s="459"/>
      <c r="L592" s="460"/>
      <c r="M592" s="417"/>
    </row>
    <row r="593" spans="1:13" ht="15" customHeight="1">
      <c r="A593" s="325"/>
      <c r="D593" s="326"/>
      <c r="E593" s="359" t="s">
        <v>8255</v>
      </c>
      <c r="F593" s="334" t="s">
        <v>5367</v>
      </c>
      <c r="G593" s="327" t="s">
        <v>8261</v>
      </c>
      <c r="H593" s="328" t="s">
        <v>6168</v>
      </c>
      <c r="I593" s="378"/>
      <c r="J593" s="379">
        <v>0</v>
      </c>
      <c r="K593" s="459"/>
      <c r="L593" s="460"/>
      <c r="M593" s="417"/>
    </row>
    <row r="594" spans="1:13" ht="15" customHeight="1">
      <c r="A594" s="325"/>
      <c r="D594" s="326"/>
      <c r="E594" s="359" t="s">
        <v>8255</v>
      </c>
      <c r="F594" s="334" t="s">
        <v>5369</v>
      </c>
      <c r="G594" s="327" t="s">
        <v>8262</v>
      </c>
      <c r="H594" s="328" t="s">
        <v>6169</v>
      </c>
      <c r="I594" s="378"/>
      <c r="J594" s="379">
        <v>0</v>
      </c>
      <c r="K594" s="459"/>
      <c r="L594" s="460"/>
      <c r="M594" s="417"/>
    </row>
    <row r="595" spans="1:13" ht="15" customHeight="1">
      <c r="A595" s="325"/>
      <c r="D595" s="326"/>
      <c r="E595" s="359" t="s">
        <v>8255</v>
      </c>
      <c r="F595" s="334" t="s">
        <v>5371</v>
      </c>
      <c r="G595" s="327" t="s">
        <v>8263</v>
      </c>
      <c r="H595" s="328" t="s">
        <v>6170</v>
      </c>
      <c r="I595" s="378"/>
      <c r="J595" s="379">
        <v>0</v>
      </c>
      <c r="K595" s="459"/>
      <c r="L595" s="460"/>
      <c r="M595" s="417"/>
    </row>
    <row r="596" spans="1:13" ht="15" customHeight="1">
      <c r="A596" s="325"/>
      <c r="D596" s="326"/>
      <c r="E596" s="359" t="s">
        <v>8255</v>
      </c>
      <c r="F596" s="334" t="s">
        <v>6012</v>
      </c>
      <c r="G596" s="327" t="s">
        <v>8264</v>
      </c>
      <c r="H596" s="328" t="s">
        <v>6155</v>
      </c>
      <c r="I596" s="378"/>
      <c r="J596" s="379">
        <v>0</v>
      </c>
      <c r="K596" s="459"/>
      <c r="L596" s="460"/>
      <c r="M596" s="417"/>
    </row>
    <row r="597" spans="1:13" ht="15" customHeight="1">
      <c r="A597" s="325"/>
      <c r="B597" s="326" t="s">
        <v>1594</v>
      </c>
      <c r="C597" s="327" t="s">
        <v>6171</v>
      </c>
      <c r="D597" s="326" t="s">
        <v>8265</v>
      </c>
      <c r="E597" s="359" t="s">
        <v>8265</v>
      </c>
      <c r="G597" s="327" t="s">
        <v>1594</v>
      </c>
      <c r="H597" s="328" t="s">
        <v>217</v>
      </c>
      <c r="I597" s="378"/>
      <c r="J597" s="379">
        <v>0</v>
      </c>
      <c r="K597" s="459"/>
      <c r="L597" s="460"/>
      <c r="M597" s="417"/>
    </row>
    <row r="598" spans="1:13" ht="15" customHeight="1">
      <c r="A598" s="338" t="s">
        <v>6172</v>
      </c>
      <c r="B598" s="339" t="s">
        <v>1008</v>
      </c>
      <c r="C598" s="340" t="s">
        <v>6173</v>
      </c>
      <c r="D598" s="339" t="s">
        <v>8266</v>
      </c>
      <c r="E598" s="369" t="s">
        <v>8266</v>
      </c>
      <c r="F598" s="350"/>
      <c r="G598" s="340" t="s">
        <v>1594</v>
      </c>
      <c r="H598" s="341" t="s">
        <v>219</v>
      </c>
      <c r="I598" s="385"/>
      <c r="J598" s="383">
        <v>12124</v>
      </c>
      <c r="K598" s="459"/>
      <c r="L598" s="460"/>
      <c r="M598" s="417"/>
    </row>
    <row r="599" spans="1:13" ht="15" customHeight="1">
      <c r="A599" s="321" t="s">
        <v>6174</v>
      </c>
      <c r="B599" s="322" t="s">
        <v>1010</v>
      </c>
      <c r="C599" s="323" t="s">
        <v>6175</v>
      </c>
      <c r="D599" s="322" t="s">
        <v>8267</v>
      </c>
      <c r="E599" s="365" t="s">
        <v>8267</v>
      </c>
      <c r="F599" s="366"/>
      <c r="G599" s="323" t="s">
        <v>1594</v>
      </c>
      <c r="H599" s="324" t="s">
        <v>220</v>
      </c>
      <c r="I599" s="376"/>
      <c r="J599" s="377">
        <v>36208</v>
      </c>
      <c r="K599" s="459"/>
      <c r="L599" s="460"/>
      <c r="M599" s="417"/>
    </row>
    <row r="600" spans="1:13" ht="15" customHeight="1">
      <c r="A600" s="325"/>
      <c r="D600" s="326"/>
      <c r="E600" s="359" t="s">
        <v>8267</v>
      </c>
      <c r="F600" s="334" t="s">
        <v>5637</v>
      </c>
      <c r="G600" s="327" t="s">
        <v>8268</v>
      </c>
      <c r="H600" s="328" t="s">
        <v>6176</v>
      </c>
      <c r="I600" s="378"/>
      <c r="J600" s="379">
        <v>10834</v>
      </c>
      <c r="K600" s="459"/>
      <c r="L600" s="460"/>
      <c r="M600" s="417"/>
    </row>
    <row r="601" spans="1:13" ht="15" customHeight="1">
      <c r="A601" s="325"/>
      <c r="D601" s="326"/>
      <c r="E601" s="359" t="s">
        <v>8267</v>
      </c>
      <c r="F601" s="334" t="s">
        <v>5657</v>
      </c>
      <c r="G601" s="327" t="s">
        <v>8269</v>
      </c>
      <c r="H601" s="328" t="s">
        <v>6177</v>
      </c>
      <c r="I601" s="378"/>
      <c r="J601" s="379">
        <v>6011</v>
      </c>
      <c r="K601" s="459"/>
      <c r="L601" s="460"/>
      <c r="M601" s="417"/>
    </row>
    <row r="602" spans="1:13" ht="15" customHeight="1">
      <c r="A602" s="325"/>
      <c r="D602" s="326"/>
      <c r="E602" s="359" t="s">
        <v>8267</v>
      </c>
      <c r="F602" s="334" t="s">
        <v>5361</v>
      </c>
      <c r="G602" s="327" t="s">
        <v>8270</v>
      </c>
      <c r="H602" s="328" t="s">
        <v>6178</v>
      </c>
      <c r="I602" s="378"/>
      <c r="J602" s="379">
        <v>1390</v>
      </c>
      <c r="K602" s="459"/>
      <c r="L602" s="460"/>
      <c r="M602" s="417"/>
    </row>
    <row r="603" spans="1:13" ht="15" customHeight="1">
      <c r="A603" s="325"/>
      <c r="D603" s="326"/>
      <c r="E603" s="359" t="s">
        <v>8267</v>
      </c>
      <c r="F603" s="334" t="s">
        <v>5363</v>
      </c>
      <c r="G603" s="327" t="s">
        <v>8271</v>
      </c>
      <c r="H603" s="328" t="s">
        <v>6179</v>
      </c>
      <c r="I603" s="378"/>
      <c r="J603" s="379">
        <v>14489</v>
      </c>
      <c r="K603" s="459"/>
      <c r="L603" s="460"/>
      <c r="M603" s="417"/>
    </row>
    <row r="604" spans="1:13" ht="15" customHeight="1">
      <c r="A604" s="325"/>
      <c r="D604" s="326"/>
      <c r="E604" s="359" t="s">
        <v>8267</v>
      </c>
      <c r="F604" s="334" t="s">
        <v>5455</v>
      </c>
      <c r="G604" s="327" t="s">
        <v>8272</v>
      </c>
      <c r="H604" s="328" t="s">
        <v>6180</v>
      </c>
      <c r="I604" s="378"/>
      <c r="J604" s="379">
        <v>0</v>
      </c>
      <c r="K604" s="459"/>
      <c r="L604" s="460"/>
      <c r="M604" s="417"/>
    </row>
    <row r="605" spans="1:13" ht="15" customHeight="1">
      <c r="A605" s="325"/>
      <c r="D605" s="326"/>
      <c r="E605" s="359" t="s">
        <v>8267</v>
      </c>
      <c r="F605" s="334" t="s">
        <v>5457</v>
      </c>
      <c r="G605" s="327" t="s">
        <v>8273</v>
      </c>
      <c r="H605" s="328" t="s">
        <v>6181</v>
      </c>
      <c r="I605" s="378"/>
      <c r="J605" s="379">
        <v>0</v>
      </c>
      <c r="K605" s="459"/>
      <c r="L605" s="460"/>
      <c r="M605" s="417"/>
    </row>
    <row r="606" spans="1:13" ht="15" customHeight="1">
      <c r="A606" s="325"/>
      <c r="D606" s="326"/>
      <c r="E606" s="359" t="s">
        <v>8267</v>
      </c>
      <c r="F606" s="334" t="s">
        <v>5476</v>
      </c>
      <c r="G606" s="327" t="s">
        <v>8274</v>
      </c>
      <c r="H606" s="328" t="s">
        <v>6182</v>
      </c>
      <c r="I606" s="378"/>
      <c r="J606" s="379">
        <v>0</v>
      </c>
      <c r="K606" s="459"/>
      <c r="L606" s="460"/>
      <c r="M606" s="417"/>
    </row>
    <row r="607" spans="1:13" ht="15" customHeight="1">
      <c r="A607" s="325"/>
      <c r="D607" s="326"/>
      <c r="E607" s="359" t="s">
        <v>8267</v>
      </c>
      <c r="F607" s="334" t="s">
        <v>5423</v>
      </c>
      <c r="G607" s="327" t="s">
        <v>8275</v>
      </c>
      <c r="H607" s="328" t="s">
        <v>6183</v>
      </c>
      <c r="I607" s="378"/>
      <c r="J607" s="379">
        <v>0</v>
      </c>
      <c r="K607" s="459"/>
      <c r="L607" s="460"/>
      <c r="M607" s="417"/>
    </row>
    <row r="608" spans="1:13" ht="15" customHeight="1">
      <c r="A608" s="325"/>
      <c r="D608" s="326"/>
      <c r="E608" s="359" t="s">
        <v>8267</v>
      </c>
      <c r="F608" s="334" t="s">
        <v>5425</v>
      </c>
      <c r="G608" s="327" t="s">
        <v>8276</v>
      </c>
      <c r="H608" s="328" t="s">
        <v>6184</v>
      </c>
      <c r="I608" s="378"/>
      <c r="J608" s="379">
        <v>3100</v>
      </c>
      <c r="K608" s="459"/>
      <c r="L608" s="460"/>
      <c r="M608" s="417"/>
    </row>
    <row r="609" spans="1:13" ht="15" customHeight="1">
      <c r="A609" s="325"/>
      <c r="D609" s="326"/>
      <c r="E609" s="359" t="s">
        <v>8267</v>
      </c>
      <c r="F609" s="334" t="s">
        <v>5427</v>
      </c>
      <c r="G609" s="327" t="s">
        <v>8277</v>
      </c>
      <c r="H609" s="328" t="s">
        <v>6185</v>
      </c>
      <c r="I609" s="378"/>
      <c r="J609" s="379">
        <v>386</v>
      </c>
      <c r="K609" s="459"/>
      <c r="L609" s="460"/>
      <c r="M609" s="417"/>
    </row>
    <row r="610" spans="1:13" ht="15" customHeight="1">
      <c r="A610" s="329"/>
      <c r="B610" s="330"/>
      <c r="C610" s="331"/>
      <c r="D610" s="330"/>
      <c r="E610" s="359" t="s">
        <v>8267</v>
      </c>
      <c r="F610" s="332" t="s">
        <v>5576</v>
      </c>
      <c r="G610" s="331" t="s">
        <v>8278</v>
      </c>
      <c r="H610" s="320" t="s">
        <v>6017</v>
      </c>
      <c r="I610" s="384"/>
      <c r="J610" s="381">
        <v>-2</v>
      </c>
      <c r="K610" s="459"/>
      <c r="L610" s="460"/>
      <c r="M610" s="417"/>
    </row>
    <row r="611" spans="1:13" ht="15" customHeight="1">
      <c r="A611" s="321" t="s">
        <v>6186</v>
      </c>
      <c r="B611" s="322" t="s">
        <v>1012</v>
      </c>
      <c r="C611" s="327" t="s">
        <v>6187</v>
      </c>
      <c r="D611" s="326" t="s">
        <v>8279</v>
      </c>
      <c r="E611" s="365" t="s">
        <v>8279</v>
      </c>
      <c r="F611" s="366"/>
      <c r="G611" s="327" t="s">
        <v>1594</v>
      </c>
      <c r="H611" s="324" t="s">
        <v>222</v>
      </c>
      <c r="I611" s="376"/>
      <c r="J611" s="377">
        <v>30559</v>
      </c>
      <c r="K611" s="459"/>
      <c r="L611" s="460"/>
      <c r="M611" s="417"/>
    </row>
    <row r="612" spans="1:13" ht="15" customHeight="1">
      <c r="A612" s="325"/>
      <c r="E612" s="359" t="s">
        <v>8279</v>
      </c>
      <c r="F612" s="334" t="s">
        <v>575</v>
      </c>
      <c r="G612" s="327" t="s">
        <v>8280</v>
      </c>
      <c r="H612" s="328" t="s">
        <v>6188</v>
      </c>
      <c r="I612" s="378"/>
      <c r="J612" s="379">
        <v>26553</v>
      </c>
      <c r="K612" s="459"/>
      <c r="L612" s="460"/>
      <c r="M612" s="417"/>
    </row>
    <row r="613" spans="1:13" ht="15" customHeight="1">
      <c r="A613" s="325"/>
      <c r="D613" s="326"/>
      <c r="E613" s="359" t="s">
        <v>8279</v>
      </c>
      <c r="F613" s="334" t="s">
        <v>6000</v>
      </c>
      <c r="G613" s="327" t="s">
        <v>8281</v>
      </c>
      <c r="H613" s="328" t="s">
        <v>6189</v>
      </c>
      <c r="I613" s="378"/>
      <c r="J613" s="379">
        <v>3990</v>
      </c>
      <c r="K613" s="459"/>
      <c r="L613" s="460"/>
      <c r="M613" s="417"/>
    </row>
    <row r="614" spans="1:13" ht="15" customHeight="1">
      <c r="A614" s="325"/>
      <c r="C614" s="345"/>
      <c r="D614" s="345"/>
      <c r="E614" s="359" t="s">
        <v>8279</v>
      </c>
      <c r="F614" s="334" t="s">
        <v>5659</v>
      </c>
      <c r="G614" s="327" t="s">
        <v>8282</v>
      </c>
      <c r="H614" s="328" t="s">
        <v>6190</v>
      </c>
      <c r="I614" s="378"/>
      <c r="J614" s="379">
        <v>17</v>
      </c>
      <c r="K614" s="459"/>
      <c r="L614" s="460"/>
      <c r="M614" s="417"/>
    </row>
    <row r="615" spans="1:13" ht="15" customHeight="1">
      <c r="A615" s="329"/>
      <c r="B615" s="330"/>
      <c r="C615" s="331"/>
      <c r="D615" s="330" t="s">
        <v>1594</v>
      </c>
      <c r="E615" s="359" t="s">
        <v>8279</v>
      </c>
      <c r="F615" s="332" t="s">
        <v>5576</v>
      </c>
      <c r="G615" s="331" t="s">
        <v>8283</v>
      </c>
      <c r="H615" s="320" t="s">
        <v>6017</v>
      </c>
      <c r="I615" s="384"/>
      <c r="J615" s="381">
        <v>-1</v>
      </c>
      <c r="K615" s="459"/>
      <c r="L615" s="460"/>
      <c r="M615" s="417"/>
    </row>
    <row r="616" spans="1:13" ht="15" customHeight="1">
      <c r="A616" s="338" t="s">
        <v>6191</v>
      </c>
      <c r="B616" s="339" t="s">
        <v>1014</v>
      </c>
      <c r="C616" s="340" t="s">
        <v>6192</v>
      </c>
      <c r="D616" s="339" t="s">
        <v>8284</v>
      </c>
      <c r="E616" s="369" t="s">
        <v>8284</v>
      </c>
      <c r="F616" s="350"/>
      <c r="G616" s="340" t="s">
        <v>1594</v>
      </c>
      <c r="H616" s="341" t="s">
        <v>223</v>
      </c>
      <c r="I616" s="385"/>
      <c r="J616" s="383">
        <v>54140</v>
      </c>
      <c r="K616" s="459"/>
      <c r="L616" s="460"/>
      <c r="M616" s="417"/>
    </row>
    <row r="617" spans="1:13" ht="15" customHeight="1">
      <c r="A617" s="338" t="s">
        <v>6193</v>
      </c>
      <c r="B617" s="339" t="s">
        <v>1016</v>
      </c>
      <c r="C617" s="340" t="s">
        <v>6194</v>
      </c>
      <c r="D617" s="339" t="s">
        <v>8285</v>
      </c>
      <c r="E617" s="369" t="s">
        <v>8285</v>
      </c>
      <c r="F617" s="350"/>
      <c r="G617" s="340" t="s">
        <v>1594</v>
      </c>
      <c r="H617" s="341" t="s">
        <v>225</v>
      </c>
      <c r="I617" s="385"/>
      <c r="J617" s="383">
        <v>57118</v>
      </c>
      <c r="K617" s="459"/>
      <c r="L617" s="460"/>
      <c r="M617" s="417"/>
    </row>
    <row r="618" spans="1:13" ht="15" customHeight="1">
      <c r="A618" s="338" t="s">
        <v>6195</v>
      </c>
      <c r="B618" s="339" t="s">
        <v>1018</v>
      </c>
      <c r="C618" s="340" t="s">
        <v>6196</v>
      </c>
      <c r="D618" s="339" t="s">
        <v>8286</v>
      </c>
      <c r="E618" s="369" t="s">
        <v>8286</v>
      </c>
      <c r="F618" s="350"/>
      <c r="G618" s="340" t="s">
        <v>1594</v>
      </c>
      <c r="H618" s="341" t="s">
        <v>226</v>
      </c>
      <c r="I618" s="385"/>
      <c r="J618" s="383">
        <v>27767</v>
      </c>
      <c r="K618" s="459"/>
      <c r="L618" s="460"/>
      <c r="M618" s="417"/>
    </row>
    <row r="619" spans="1:13" ht="15" customHeight="1">
      <c r="A619" s="338" t="s">
        <v>6197</v>
      </c>
      <c r="B619" s="339" t="s">
        <v>1020</v>
      </c>
      <c r="C619" s="340" t="s">
        <v>6198</v>
      </c>
      <c r="D619" s="339" t="s">
        <v>8287</v>
      </c>
      <c r="E619" s="369" t="s">
        <v>8287</v>
      </c>
      <c r="F619" s="350"/>
      <c r="G619" s="340" t="s">
        <v>1594</v>
      </c>
      <c r="H619" s="341" t="s">
        <v>228</v>
      </c>
      <c r="I619" s="385"/>
      <c r="J619" s="383">
        <v>5099</v>
      </c>
      <c r="K619" s="459"/>
      <c r="L619" s="460"/>
      <c r="M619" s="417"/>
    </row>
    <row r="620" spans="1:13" ht="15" customHeight="1">
      <c r="A620" s="329" t="s">
        <v>6199</v>
      </c>
      <c r="B620" s="330" t="s">
        <v>1022</v>
      </c>
      <c r="C620" s="331" t="s">
        <v>6200</v>
      </c>
      <c r="D620" s="330" t="s">
        <v>8288</v>
      </c>
      <c r="E620" s="367" t="s">
        <v>8288</v>
      </c>
      <c r="F620" s="332"/>
      <c r="G620" s="331" t="s">
        <v>1594</v>
      </c>
      <c r="H620" s="344" t="s">
        <v>6201</v>
      </c>
      <c r="I620" s="384"/>
      <c r="J620" s="381">
        <v>43156</v>
      </c>
      <c r="K620" s="459"/>
      <c r="L620" s="460"/>
      <c r="M620" s="417"/>
    </row>
    <row r="621" spans="1:13" ht="15" customHeight="1">
      <c r="A621" s="321" t="s">
        <v>6202</v>
      </c>
      <c r="B621" s="322" t="s">
        <v>1024</v>
      </c>
      <c r="C621" s="323" t="s">
        <v>6203</v>
      </c>
      <c r="D621" s="322" t="s">
        <v>8289</v>
      </c>
      <c r="E621" s="365" t="s">
        <v>8289</v>
      </c>
      <c r="F621" s="366"/>
      <c r="G621" s="323" t="s">
        <v>1594</v>
      </c>
      <c r="H621" s="324" t="s">
        <v>6204</v>
      </c>
      <c r="I621" s="378"/>
      <c r="J621" s="379">
        <v>122242</v>
      </c>
      <c r="K621" s="459"/>
      <c r="L621" s="460"/>
      <c r="M621" s="417"/>
    </row>
    <row r="622" spans="1:13" ht="15" customHeight="1">
      <c r="A622" s="325"/>
      <c r="D622" s="326"/>
      <c r="E622" s="359" t="s">
        <v>8289</v>
      </c>
      <c r="F622" s="334" t="s">
        <v>575</v>
      </c>
      <c r="G622" s="327" t="s">
        <v>8290</v>
      </c>
      <c r="H622" s="328" t="s">
        <v>6205</v>
      </c>
      <c r="I622" s="378"/>
      <c r="J622" s="379">
        <v>103580</v>
      </c>
      <c r="K622" s="459"/>
      <c r="L622" s="460"/>
      <c r="M622" s="417"/>
    </row>
    <row r="623" spans="1:13" ht="15" customHeight="1">
      <c r="A623" s="325"/>
      <c r="D623" s="326"/>
      <c r="E623" s="359" t="s">
        <v>8289</v>
      </c>
      <c r="F623" s="334" t="s">
        <v>5602</v>
      </c>
      <c r="G623" s="327" t="s">
        <v>8291</v>
      </c>
      <c r="H623" s="328" t="s">
        <v>6206</v>
      </c>
      <c r="I623" s="378"/>
      <c r="J623" s="379">
        <v>4015</v>
      </c>
      <c r="K623" s="459"/>
      <c r="L623" s="460"/>
      <c r="M623" s="417"/>
    </row>
    <row r="624" spans="1:13" ht="15" customHeight="1">
      <c r="A624" s="325"/>
      <c r="D624" s="326"/>
      <c r="E624" s="359" t="s">
        <v>8289</v>
      </c>
      <c r="F624" s="334" t="s">
        <v>5844</v>
      </c>
      <c r="G624" s="327" t="s">
        <v>8292</v>
      </c>
      <c r="H624" s="328" t="s">
        <v>6207</v>
      </c>
      <c r="I624" s="378"/>
      <c r="J624" s="379">
        <v>-15</v>
      </c>
      <c r="K624" s="459"/>
      <c r="L624" s="460"/>
      <c r="M624" s="417"/>
    </row>
    <row r="625" spans="1:13" ht="15" customHeight="1">
      <c r="A625" s="325"/>
      <c r="D625" s="326"/>
      <c r="E625" s="359" t="s">
        <v>8289</v>
      </c>
      <c r="F625" s="334" t="s">
        <v>5484</v>
      </c>
      <c r="G625" s="327" t="s">
        <v>8293</v>
      </c>
      <c r="H625" s="328" t="s">
        <v>6208</v>
      </c>
      <c r="I625" s="378"/>
      <c r="J625" s="379">
        <v>5503</v>
      </c>
      <c r="K625" s="459"/>
      <c r="L625" s="460"/>
      <c r="M625" s="417"/>
    </row>
    <row r="626" spans="1:13" ht="15" customHeight="1">
      <c r="A626" s="325"/>
      <c r="D626" s="326"/>
      <c r="E626" s="359" t="s">
        <v>8289</v>
      </c>
      <c r="F626" s="334" t="s">
        <v>5486</v>
      </c>
      <c r="G626" s="327" t="s">
        <v>8294</v>
      </c>
      <c r="H626" s="328" t="s">
        <v>6209</v>
      </c>
      <c r="I626" s="378"/>
      <c r="J626" s="379">
        <v>1701</v>
      </c>
      <c r="K626" s="459"/>
      <c r="L626" s="460"/>
      <c r="M626" s="417"/>
    </row>
    <row r="627" spans="1:13" ht="15" customHeight="1">
      <c r="A627" s="325"/>
      <c r="D627" s="326"/>
      <c r="E627" s="359" t="s">
        <v>8289</v>
      </c>
      <c r="F627" s="334" t="s">
        <v>6210</v>
      </c>
      <c r="G627" s="327" t="s">
        <v>8295</v>
      </c>
      <c r="H627" s="328" t="s">
        <v>6211</v>
      </c>
      <c r="I627" s="378"/>
      <c r="J627" s="379">
        <v>0</v>
      </c>
      <c r="K627" s="459"/>
      <c r="L627" s="460"/>
      <c r="M627" s="417"/>
    </row>
    <row r="628" spans="1:13" ht="15" customHeight="1">
      <c r="A628" s="325"/>
      <c r="D628" s="326"/>
      <c r="E628" s="359" t="s">
        <v>8289</v>
      </c>
      <c r="F628" s="334" t="s">
        <v>6212</v>
      </c>
      <c r="G628" s="327" t="s">
        <v>8296</v>
      </c>
      <c r="H628" s="328" t="s">
        <v>6213</v>
      </c>
      <c r="I628" s="378"/>
      <c r="J628" s="379">
        <v>0</v>
      </c>
      <c r="K628" s="459"/>
      <c r="L628" s="460"/>
      <c r="M628" s="417"/>
    </row>
    <row r="629" spans="1:13" ht="15" customHeight="1">
      <c r="A629" s="325"/>
      <c r="D629" s="326"/>
      <c r="E629" s="359" t="s">
        <v>8289</v>
      </c>
      <c r="F629" s="334" t="s">
        <v>6214</v>
      </c>
      <c r="G629" s="327" t="s">
        <v>8297</v>
      </c>
      <c r="H629" s="328" t="s">
        <v>6215</v>
      </c>
      <c r="I629" s="378"/>
      <c r="J629" s="379">
        <v>169</v>
      </c>
      <c r="K629" s="459"/>
      <c r="L629" s="460"/>
      <c r="M629" s="417"/>
    </row>
    <row r="630" spans="1:13" ht="15" customHeight="1">
      <c r="A630" s="325"/>
      <c r="D630" s="326"/>
      <c r="E630" s="359" t="s">
        <v>8289</v>
      </c>
      <c r="F630" s="334" t="s">
        <v>6216</v>
      </c>
      <c r="G630" s="327" t="s">
        <v>8298</v>
      </c>
      <c r="H630" s="328" t="s">
        <v>6217</v>
      </c>
      <c r="I630" s="378"/>
      <c r="J630" s="379">
        <v>62</v>
      </c>
      <c r="K630" s="459"/>
      <c r="L630" s="460"/>
      <c r="M630" s="417"/>
    </row>
    <row r="631" spans="1:13" ht="15" customHeight="1">
      <c r="A631" s="325"/>
      <c r="D631" s="326"/>
      <c r="E631" s="359" t="s">
        <v>8289</v>
      </c>
      <c r="F631" s="334" t="s">
        <v>5488</v>
      </c>
      <c r="G631" s="327" t="s">
        <v>8299</v>
      </c>
      <c r="H631" s="328" t="s">
        <v>6218</v>
      </c>
      <c r="I631" s="378"/>
      <c r="J631" s="379">
        <v>6146</v>
      </c>
      <c r="K631" s="459"/>
      <c r="L631" s="460"/>
      <c r="M631" s="417"/>
    </row>
    <row r="632" spans="1:13" ht="15" customHeight="1">
      <c r="A632" s="325"/>
      <c r="D632" s="326"/>
      <c r="E632" s="359" t="s">
        <v>8289</v>
      </c>
      <c r="F632" s="334" t="s">
        <v>5514</v>
      </c>
      <c r="G632" s="327" t="s">
        <v>8300</v>
      </c>
      <c r="H632" s="328" t="s">
        <v>6219</v>
      </c>
      <c r="I632" s="378"/>
      <c r="J632" s="379">
        <v>974</v>
      </c>
      <c r="K632" s="459"/>
      <c r="L632" s="460"/>
      <c r="M632" s="417"/>
    </row>
    <row r="633" spans="1:13" ht="15" customHeight="1">
      <c r="A633" s="325"/>
      <c r="D633" s="326"/>
      <c r="E633" s="359" t="s">
        <v>8289</v>
      </c>
      <c r="F633" s="334" t="s">
        <v>6059</v>
      </c>
      <c r="G633" s="327" t="s">
        <v>8301</v>
      </c>
      <c r="H633" s="328" t="s">
        <v>6220</v>
      </c>
      <c r="I633" s="378"/>
      <c r="J633" s="379">
        <v>10</v>
      </c>
      <c r="K633" s="459"/>
      <c r="L633" s="460"/>
      <c r="M633" s="417"/>
    </row>
    <row r="634" spans="1:13" ht="15" customHeight="1">
      <c r="A634" s="325"/>
      <c r="D634" s="326"/>
      <c r="E634" s="359" t="s">
        <v>8289</v>
      </c>
      <c r="F634" s="334" t="s">
        <v>6221</v>
      </c>
      <c r="G634" s="327" t="s">
        <v>8302</v>
      </c>
      <c r="H634" s="328" t="s">
        <v>6222</v>
      </c>
      <c r="I634" s="378"/>
      <c r="J634" s="379">
        <v>0</v>
      </c>
      <c r="K634" s="459"/>
      <c r="L634" s="460"/>
      <c r="M634" s="417"/>
    </row>
    <row r="635" spans="1:13" ht="15" customHeight="1">
      <c r="A635" s="329"/>
      <c r="B635" s="330"/>
      <c r="C635" s="331"/>
      <c r="D635" s="330"/>
      <c r="E635" s="367" t="s">
        <v>8289</v>
      </c>
      <c r="F635" s="332" t="s">
        <v>6012</v>
      </c>
      <c r="G635" s="331" t="s">
        <v>8303</v>
      </c>
      <c r="H635" s="320" t="s">
        <v>5939</v>
      </c>
      <c r="I635" s="384"/>
      <c r="J635" s="381">
        <v>97</v>
      </c>
      <c r="K635" s="459"/>
      <c r="L635" s="460"/>
      <c r="M635" s="417"/>
    </row>
    <row r="636" spans="1:13" ht="15" customHeight="1">
      <c r="A636" s="346" t="s">
        <v>6223</v>
      </c>
      <c r="B636" s="330" t="s">
        <v>1026</v>
      </c>
      <c r="C636" s="331" t="s">
        <v>6224</v>
      </c>
      <c r="D636" s="330" t="s">
        <v>8304</v>
      </c>
      <c r="E636" s="367" t="s">
        <v>8304</v>
      </c>
      <c r="F636" s="332"/>
      <c r="G636" s="331" t="s">
        <v>1594</v>
      </c>
      <c r="H636" s="320" t="s">
        <v>234</v>
      </c>
      <c r="I636" s="384"/>
      <c r="J636" s="381">
        <v>16691</v>
      </c>
      <c r="K636" s="459"/>
      <c r="L636" s="460"/>
      <c r="M636" s="417"/>
    </row>
    <row r="637" spans="1:13" ht="15" customHeight="1">
      <c r="A637" s="347" t="s">
        <v>6225</v>
      </c>
      <c r="B637" s="326" t="s">
        <v>1028</v>
      </c>
      <c r="D637" s="326" t="s">
        <v>1594</v>
      </c>
      <c r="G637" s="327" t="s">
        <v>1594</v>
      </c>
      <c r="H637" s="328" t="s">
        <v>6226</v>
      </c>
      <c r="I637" s="378"/>
      <c r="J637" s="379"/>
      <c r="K637" s="459"/>
      <c r="L637" s="460"/>
      <c r="M637" s="417"/>
    </row>
    <row r="638" spans="1:13" ht="15" customHeight="1">
      <c r="A638" s="325"/>
      <c r="B638" s="326" t="s">
        <v>1594</v>
      </c>
      <c r="C638" s="327" t="s">
        <v>6227</v>
      </c>
      <c r="D638" s="326" t="s">
        <v>8305</v>
      </c>
      <c r="E638" s="359" t="s">
        <v>8305</v>
      </c>
      <c r="G638" s="327" t="s">
        <v>1594</v>
      </c>
      <c r="H638" s="328" t="s">
        <v>237</v>
      </c>
      <c r="I638" s="378"/>
      <c r="J638" s="379">
        <v>0</v>
      </c>
      <c r="K638" s="459"/>
      <c r="L638" s="460"/>
      <c r="M638" s="417"/>
    </row>
    <row r="639" spans="1:13" ht="15" customHeight="1">
      <c r="A639" s="325"/>
      <c r="B639" s="326" t="s">
        <v>1594</v>
      </c>
      <c r="C639" s="327" t="s">
        <v>6228</v>
      </c>
      <c r="D639" s="326" t="s">
        <v>8306</v>
      </c>
      <c r="E639" s="359" t="s">
        <v>8306</v>
      </c>
      <c r="G639" s="327" t="s">
        <v>1594</v>
      </c>
      <c r="H639" s="328" t="s">
        <v>238</v>
      </c>
      <c r="I639" s="378"/>
      <c r="J639" s="379">
        <v>11766</v>
      </c>
      <c r="K639" s="459"/>
      <c r="L639" s="460"/>
      <c r="M639" s="417"/>
    </row>
    <row r="640" spans="1:13" ht="15" customHeight="1">
      <c r="A640" s="325"/>
      <c r="D640" s="326"/>
      <c r="H640" s="328" t="s">
        <v>6229</v>
      </c>
      <c r="I640" s="378"/>
      <c r="J640" s="379">
        <v>11727</v>
      </c>
      <c r="K640" s="459"/>
      <c r="L640" s="460"/>
      <c r="M640" s="417"/>
    </row>
    <row r="641" spans="1:13" ht="15" customHeight="1">
      <c r="A641" s="325"/>
      <c r="D641" s="326"/>
      <c r="H641" s="328" t="s">
        <v>6017</v>
      </c>
      <c r="I641" s="378"/>
      <c r="J641" s="379">
        <v>39</v>
      </c>
      <c r="K641" s="459"/>
      <c r="L641" s="460"/>
      <c r="M641" s="417"/>
    </row>
    <row r="642" spans="1:13" ht="15" customHeight="1">
      <c r="A642" s="325"/>
      <c r="B642" s="326" t="s">
        <v>1594</v>
      </c>
      <c r="C642" s="327" t="s">
        <v>6230</v>
      </c>
      <c r="D642" s="326" t="s">
        <v>8307</v>
      </c>
      <c r="E642" s="359" t="s">
        <v>8307</v>
      </c>
      <c r="G642" s="327" t="s">
        <v>1594</v>
      </c>
      <c r="H642" s="328" t="s">
        <v>239</v>
      </c>
      <c r="I642" s="378"/>
      <c r="J642" s="379">
        <v>1599</v>
      </c>
      <c r="K642" s="459"/>
      <c r="L642" s="460"/>
      <c r="M642" s="417"/>
    </row>
    <row r="643" spans="1:13" ht="15" customHeight="1">
      <c r="A643" s="325"/>
      <c r="D643" s="326"/>
      <c r="H643" s="328" t="s">
        <v>6231</v>
      </c>
      <c r="I643" s="378"/>
      <c r="J643" s="379">
        <v>1588</v>
      </c>
      <c r="K643" s="459"/>
      <c r="L643" s="460"/>
      <c r="M643" s="417"/>
    </row>
    <row r="644" spans="1:13" ht="15" customHeight="1">
      <c r="A644" s="325"/>
      <c r="D644" s="326"/>
      <c r="H644" s="328" t="s">
        <v>6017</v>
      </c>
      <c r="I644" s="378"/>
      <c r="J644" s="379">
        <v>11</v>
      </c>
      <c r="K644" s="459"/>
      <c r="L644" s="460"/>
      <c r="M644" s="417"/>
    </row>
    <row r="645" spans="1:13" ht="15" customHeight="1">
      <c r="A645" s="325"/>
      <c r="B645" s="326" t="s">
        <v>1594</v>
      </c>
      <c r="C645" s="327" t="s">
        <v>6232</v>
      </c>
      <c r="D645" s="326" t="s">
        <v>8308</v>
      </c>
      <c r="E645" s="359" t="s">
        <v>8308</v>
      </c>
      <c r="G645" s="327" t="s">
        <v>1594</v>
      </c>
      <c r="H645" s="328" t="s">
        <v>240</v>
      </c>
      <c r="I645" s="378"/>
      <c r="J645" s="379">
        <v>5278</v>
      </c>
      <c r="K645" s="459"/>
      <c r="L645" s="460"/>
      <c r="M645" s="417"/>
    </row>
    <row r="646" spans="1:13" ht="15" customHeight="1">
      <c r="A646" s="348" t="s">
        <v>6233</v>
      </c>
      <c r="B646" s="322" t="s">
        <v>1030</v>
      </c>
      <c r="C646" s="323"/>
      <c r="D646" s="322" t="s">
        <v>1594</v>
      </c>
      <c r="E646" s="365"/>
      <c r="F646" s="366"/>
      <c r="G646" s="323" t="s">
        <v>1594</v>
      </c>
      <c r="H646" s="324" t="s">
        <v>6234</v>
      </c>
      <c r="I646" s="376"/>
      <c r="J646" s="377"/>
      <c r="K646" s="459"/>
      <c r="L646" s="460"/>
      <c r="M646" s="417"/>
    </row>
    <row r="647" spans="1:13" ht="15" customHeight="1">
      <c r="A647" s="347"/>
      <c r="D647" s="326"/>
      <c r="H647" s="328" t="s">
        <v>6235</v>
      </c>
      <c r="I647" s="378"/>
      <c r="J647" s="379">
        <v>3114</v>
      </c>
      <c r="K647" s="459"/>
      <c r="L647" s="460"/>
      <c r="M647" s="417"/>
    </row>
    <row r="648" spans="1:13" ht="15" customHeight="1">
      <c r="A648" s="325"/>
      <c r="B648" s="326" t="s">
        <v>1594</v>
      </c>
      <c r="C648" s="327" t="s">
        <v>6236</v>
      </c>
      <c r="D648" s="326" t="s">
        <v>8309</v>
      </c>
      <c r="E648" s="359" t="s">
        <v>8309</v>
      </c>
      <c r="G648" s="327" t="s">
        <v>1594</v>
      </c>
      <c r="H648" s="328" t="s">
        <v>6237</v>
      </c>
      <c r="I648" s="378"/>
      <c r="J648" s="379">
        <v>3157</v>
      </c>
      <c r="K648" s="459"/>
      <c r="L648" s="460"/>
      <c r="M648" s="417"/>
    </row>
    <row r="649" spans="1:13" ht="15" customHeight="1">
      <c r="A649" s="325"/>
      <c r="D649" s="326"/>
      <c r="H649" s="328" t="s">
        <v>6238</v>
      </c>
      <c r="I649" s="378"/>
      <c r="J649" s="379">
        <v>0</v>
      </c>
      <c r="K649" s="459"/>
      <c r="L649" s="460"/>
      <c r="M649" s="417"/>
    </row>
    <row r="650" spans="1:13" ht="15" customHeight="1">
      <c r="A650" s="325"/>
      <c r="D650" s="326"/>
      <c r="H650" s="328" t="s">
        <v>6017</v>
      </c>
      <c r="I650" s="378"/>
      <c r="J650" s="379">
        <v>-43</v>
      </c>
      <c r="K650" s="459"/>
      <c r="L650" s="460"/>
      <c r="M650" s="417"/>
    </row>
    <row r="651" spans="1:13" ht="15" customHeight="1">
      <c r="A651" s="325"/>
      <c r="B651" s="326" t="s">
        <v>1594</v>
      </c>
      <c r="C651" s="327" t="s">
        <v>6239</v>
      </c>
      <c r="D651" s="326" t="s">
        <v>8310</v>
      </c>
      <c r="E651" s="359" t="s">
        <v>8310</v>
      </c>
      <c r="G651" s="327" t="s">
        <v>1594</v>
      </c>
      <c r="H651" s="328" t="s">
        <v>243</v>
      </c>
      <c r="I651" s="378"/>
      <c r="J651" s="379">
        <v>0</v>
      </c>
      <c r="K651" s="459"/>
      <c r="L651" s="460"/>
      <c r="M651" s="417"/>
    </row>
    <row r="652" spans="1:13" ht="15" customHeight="1">
      <c r="A652" s="325"/>
      <c r="D652" s="326"/>
      <c r="H652" s="328" t="s">
        <v>6240</v>
      </c>
      <c r="I652" s="378"/>
      <c r="J652" s="379">
        <v>0</v>
      </c>
      <c r="K652" s="459"/>
      <c r="L652" s="460"/>
      <c r="M652" s="417"/>
    </row>
    <row r="653" spans="1:13" ht="15" customHeight="1">
      <c r="A653" s="325"/>
      <c r="D653" s="326"/>
      <c r="H653" s="328" t="s">
        <v>6017</v>
      </c>
      <c r="I653" s="378"/>
      <c r="J653" s="379">
        <v>0</v>
      </c>
      <c r="K653" s="459"/>
      <c r="L653" s="460"/>
      <c r="M653" s="417"/>
    </row>
    <row r="654" spans="1:13" ht="15" customHeight="1">
      <c r="A654" s="325"/>
      <c r="B654" s="326" t="s">
        <v>1594</v>
      </c>
      <c r="C654" s="327" t="s">
        <v>6241</v>
      </c>
      <c r="D654" s="326" t="s">
        <v>8311</v>
      </c>
      <c r="E654" s="359" t="s">
        <v>8311</v>
      </c>
      <c r="G654" s="327" t="s">
        <v>1594</v>
      </c>
      <c r="H654" s="328" t="s">
        <v>244</v>
      </c>
      <c r="I654" s="378"/>
      <c r="J654" s="379">
        <v>6061</v>
      </c>
      <c r="K654" s="459"/>
      <c r="L654" s="460"/>
      <c r="M654" s="417"/>
    </row>
    <row r="655" spans="1:13" ht="15" customHeight="1">
      <c r="A655" s="349" t="s">
        <v>6242</v>
      </c>
      <c r="B655" s="339" t="s">
        <v>1032</v>
      </c>
      <c r="C655" s="340" t="s">
        <v>6243</v>
      </c>
      <c r="D655" s="339" t="s">
        <v>8312</v>
      </c>
      <c r="E655" s="369" t="s">
        <v>8312</v>
      </c>
      <c r="F655" s="350"/>
      <c r="G655" s="340" t="s">
        <v>1594</v>
      </c>
      <c r="H655" s="341" t="s">
        <v>6244</v>
      </c>
      <c r="I655" s="385"/>
      <c r="J655" s="383">
        <v>32555</v>
      </c>
      <c r="K655" s="459"/>
      <c r="L655" s="460"/>
      <c r="M655" s="417"/>
    </row>
    <row r="656" spans="1:13" ht="15" customHeight="1">
      <c r="A656" s="347" t="s">
        <v>6245</v>
      </c>
      <c r="B656" s="326" t="s">
        <v>1034</v>
      </c>
      <c r="D656" s="326" t="s">
        <v>1594</v>
      </c>
      <c r="G656" s="327" t="s">
        <v>1594</v>
      </c>
      <c r="H656" s="328" t="s">
        <v>248</v>
      </c>
      <c r="I656" s="378"/>
      <c r="J656" s="379"/>
      <c r="K656" s="459"/>
      <c r="L656" s="460"/>
      <c r="M656" s="417"/>
    </row>
    <row r="657" spans="1:13" ht="15" customHeight="1">
      <c r="A657" s="325"/>
      <c r="B657" s="326" t="s">
        <v>1594</v>
      </c>
      <c r="C657" s="327" t="s">
        <v>6246</v>
      </c>
      <c r="D657" s="326" t="s">
        <v>8313</v>
      </c>
      <c r="E657" s="359" t="s">
        <v>8313</v>
      </c>
      <c r="F657" s="334" t="s">
        <v>36</v>
      </c>
      <c r="G657" s="327" t="s">
        <v>8314</v>
      </c>
      <c r="H657" s="328" t="s">
        <v>6247</v>
      </c>
      <c r="I657" s="378"/>
      <c r="J657" s="379">
        <v>0</v>
      </c>
      <c r="K657" s="459"/>
      <c r="L657" s="460"/>
      <c r="M657" s="417"/>
    </row>
    <row r="658" spans="1:13" ht="15" customHeight="1">
      <c r="A658" s="325"/>
      <c r="B658" s="326" t="s">
        <v>1594</v>
      </c>
      <c r="C658" s="327" t="s">
        <v>6248</v>
      </c>
      <c r="D658" s="326" t="s">
        <v>8315</v>
      </c>
      <c r="E658" s="359" t="s">
        <v>8315</v>
      </c>
      <c r="G658" s="327" t="s">
        <v>1594</v>
      </c>
      <c r="H658" s="328" t="s">
        <v>248</v>
      </c>
      <c r="I658" s="378"/>
      <c r="J658" s="379">
        <v>7826</v>
      </c>
      <c r="K658" s="459"/>
      <c r="L658" s="460"/>
      <c r="M658" s="417"/>
    </row>
    <row r="659" spans="1:13" ht="15" customHeight="1">
      <c r="A659" s="325"/>
      <c r="B659" s="326" t="s">
        <v>1594</v>
      </c>
      <c r="D659" s="326" t="s">
        <v>1594</v>
      </c>
      <c r="E659" s="359" t="s">
        <v>8315</v>
      </c>
      <c r="F659" s="334" t="s">
        <v>5534</v>
      </c>
      <c r="G659" s="327" t="s">
        <v>8316</v>
      </c>
      <c r="H659" s="328" t="s">
        <v>6249</v>
      </c>
      <c r="I659" s="378"/>
      <c r="J659" s="379">
        <v>7822</v>
      </c>
      <c r="K659" s="459"/>
      <c r="L659" s="460"/>
      <c r="M659" s="417"/>
    </row>
    <row r="660" spans="1:13" ht="15" customHeight="1">
      <c r="A660" s="325"/>
      <c r="B660" s="326" t="s">
        <v>1594</v>
      </c>
      <c r="D660" s="326" t="s">
        <v>1594</v>
      </c>
      <c r="E660" s="359" t="s">
        <v>8315</v>
      </c>
      <c r="F660" s="334" t="s">
        <v>5576</v>
      </c>
      <c r="G660" s="327" t="s">
        <v>8317</v>
      </c>
      <c r="H660" s="328" t="s">
        <v>6155</v>
      </c>
      <c r="I660" s="378"/>
      <c r="J660" s="379">
        <v>4</v>
      </c>
      <c r="K660" s="459"/>
      <c r="L660" s="460"/>
      <c r="M660" s="417"/>
    </row>
    <row r="661" spans="1:13" ht="15" customHeight="1">
      <c r="A661" s="348" t="s">
        <v>6250</v>
      </c>
      <c r="B661" s="322" t="s">
        <v>1036</v>
      </c>
      <c r="C661" s="323" t="s">
        <v>6251</v>
      </c>
      <c r="D661" s="322" t="s">
        <v>8318</v>
      </c>
      <c r="E661" s="365" t="s">
        <v>8318</v>
      </c>
      <c r="F661" s="366"/>
      <c r="G661" s="323" t="s">
        <v>1594</v>
      </c>
      <c r="H661" s="324" t="s">
        <v>249</v>
      </c>
      <c r="I661" s="376"/>
      <c r="J661" s="377">
        <v>49584</v>
      </c>
      <c r="K661" s="459"/>
      <c r="L661" s="460"/>
      <c r="M661" s="417"/>
    </row>
    <row r="662" spans="1:13" ht="15" customHeight="1">
      <c r="A662" s="347"/>
      <c r="D662" s="326"/>
      <c r="H662" s="328" t="s">
        <v>6252</v>
      </c>
      <c r="I662" s="378"/>
      <c r="J662" s="379">
        <v>0</v>
      </c>
      <c r="K662" s="459"/>
      <c r="L662" s="460"/>
      <c r="M662" s="417"/>
    </row>
    <row r="663" spans="1:13" ht="15" customHeight="1">
      <c r="A663" s="347"/>
      <c r="D663" s="326"/>
      <c r="H663" s="328" t="s">
        <v>6253</v>
      </c>
      <c r="I663" s="378"/>
      <c r="J663" s="379">
        <v>0</v>
      </c>
      <c r="K663" s="459"/>
      <c r="L663" s="460"/>
      <c r="M663" s="417"/>
    </row>
    <row r="664" spans="1:13" ht="15" customHeight="1">
      <c r="A664" s="347"/>
      <c r="D664" s="326"/>
      <c r="H664" s="328" t="s">
        <v>6254</v>
      </c>
      <c r="I664" s="378"/>
      <c r="J664" s="379">
        <v>0</v>
      </c>
      <c r="K664" s="459"/>
      <c r="L664" s="460"/>
      <c r="M664" s="417"/>
    </row>
    <row r="665" spans="1:13" ht="15" customHeight="1">
      <c r="A665" s="347"/>
      <c r="D665" s="326"/>
      <c r="H665" s="328" t="s">
        <v>6255</v>
      </c>
      <c r="I665" s="378"/>
      <c r="J665" s="379">
        <v>0</v>
      </c>
      <c r="K665" s="459"/>
      <c r="L665" s="460"/>
      <c r="M665" s="417"/>
    </row>
    <row r="666" spans="1:13" ht="15" customHeight="1">
      <c r="A666" s="347"/>
      <c r="D666" s="326"/>
      <c r="H666" s="328" t="s">
        <v>6256</v>
      </c>
      <c r="I666" s="378"/>
      <c r="J666" s="379">
        <v>939</v>
      </c>
      <c r="K666" s="459"/>
      <c r="L666" s="460"/>
      <c r="M666" s="417"/>
    </row>
    <row r="667" spans="1:13" ht="15" customHeight="1">
      <c r="A667" s="347"/>
      <c r="D667" s="326"/>
      <c r="H667" s="328" t="s">
        <v>6257</v>
      </c>
      <c r="I667" s="378"/>
      <c r="J667" s="379">
        <v>0</v>
      </c>
      <c r="K667" s="459"/>
      <c r="L667" s="460"/>
      <c r="M667" s="417"/>
    </row>
    <row r="668" spans="1:13" ht="15" customHeight="1">
      <c r="A668" s="347"/>
      <c r="D668" s="326"/>
      <c r="H668" s="328" t="s">
        <v>6258</v>
      </c>
      <c r="I668" s="378"/>
      <c r="J668" s="379">
        <v>807</v>
      </c>
      <c r="K668" s="459"/>
      <c r="L668" s="460"/>
      <c r="M668" s="417"/>
    </row>
    <row r="669" spans="1:13" ht="15" customHeight="1">
      <c r="A669" s="347"/>
      <c r="D669" s="326"/>
      <c r="H669" s="328" t="s">
        <v>6259</v>
      </c>
      <c r="I669" s="378"/>
      <c r="J669" s="379">
        <v>0</v>
      </c>
      <c r="K669" s="459"/>
      <c r="L669" s="460"/>
      <c r="M669" s="417"/>
    </row>
    <row r="670" spans="1:13" ht="15" customHeight="1">
      <c r="A670" s="347"/>
      <c r="D670" s="326"/>
      <c r="H670" s="328" t="s">
        <v>6260</v>
      </c>
      <c r="I670" s="378"/>
      <c r="J670" s="379">
        <v>26</v>
      </c>
      <c r="K670" s="459"/>
      <c r="L670" s="460"/>
      <c r="M670" s="417"/>
    </row>
    <row r="671" spans="1:13" ht="15" customHeight="1">
      <c r="A671" s="347"/>
      <c r="D671" s="326"/>
      <c r="H671" s="328" t="s">
        <v>6261</v>
      </c>
      <c r="I671" s="378"/>
      <c r="J671" s="379">
        <v>0</v>
      </c>
      <c r="K671" s="459"/>
      <c r="L671" s="460"/>
      <c r="M671" s="417"/>
    </row>
    <row r="672" spans="1:13" ht="15" customHeight="1">
      <c r="A672" s="347"/>
      <c r="D672" s="326"/>
      <c r="H672" s="328" t="s">
        <v>6262</v>
      </c>
      <c r="I672" s="378"/>
      <c r="J672" s="379">
        <v>0</v>
      </c>
      <c r="K672" s="459"/>
      <c r="L672" s="460"/>
      <c r="M672" s="417"/>
    </row>
    <row r="673" spans="1:13" ht="15" customHeight="1">
      <c r="A673" s="347"/>
      <c r="D673" s="326"/>
      <c r="H673" s="328" t="s">
        <v>6263</v>
      </c>
      <c r="I673" s="378"/>
      <c r="J673" s="379">
        <v>285</v>
      </c>
      <c r="K673" s="459"/>
      <c r="L673" s="460"/>
      <c r="M673" s="417"/>
    </row>
    <row r="674" spans="1:13" ht="15" customHeight="1">
      <c r="A674" s="347"/>
      <c r="D674" s="326"/>
      <c r="H674" s="328" t="s">
        <v>6264</v>
      </c>
      <c r="I674" s="378"/>
      <c r="J674" s="379">
        <v>487</v>
      </c>
      <c r="K674" s="459"/>
      <c r="L674" s="460"/>
      <c r="M674" s="417"/>
    </row>
    <row r="675" spans="1:13" ht="15" customHeight="1">
      <c r="A675" s="347"/>
      <c r="D675" s="326"/>
      <c r="H675" s="328" t="s">
        <v>6265</v>
      </c>
      <c r="I675" s="378"/>
      <c r="J675" s="379">
        <v>1539</v>
      </c>
      <c r="K675" s="459"/>
      <c r="L675" s="460"/>
      <c r="M675" s="417"/>
    </row>
    <row r="676" spans="1:13" ht="15" customHeight="1">
      <c r="A676" s="347"/>
      <c r="D676" s="326"/>
      <c r="H676" s="328" t="s">
        <v>6266</v>
      </c>
      <c r="I676" s="378"/>
      <c r="J676" s="379">
        <v>0</v>
      </c>
      <c r="K676" s="459"/>
      <c r="L676" s="460"/>
      <c r="M676" s="417"/>
    </row>
    <row r="677" spans="1:13" ht="15" customHeight="1">
      <c r="A677" s="347"/>
      <c r="D677" s="326"/>
      <c r="H677" s="328" t="s">
        <v>6267</v>
      </c>
      <c r="I677" s="378"/>
      <c r="J677" s="379">
        <v>0</v>
      </c>
      <c r="K677" s="459"/>
      <c r="L677" s="460"/>
      <c r="M677" s="417"/>
    </row>
    <row r="678" spans="1:13" ht="15" customHeight="1">
      <c r="A678" s="347"/>
      <c r="D678" s="326"/>
      <c r="H678" s="328" t="s">
        <v>6268</v>
      </c>
      <c r="I678" s="378"/>
      <c r="J678" s="379">
        <v>0</v>
      </c>
      <c r="K678" s="459"/>
      <c r="L678" s="460"/>
      <c r="M678" s="417"/>
    </row>
    <row r="679" spans="1:13" ht="15" customHeight="1">
      <c r="A679" s="347"/>
      <c r="D679" s="326"/>
      <c r="H679" s="328" t="s">
        <v>6269</v>
      </c>
      <c r="I679" s="378"/>
      <c r="J679" s="379">
        <v>0</v>
      </c>
      <c r="K679" s="459"/>
      <c r="L679" s="460"/>
      <c r="M679" s="417"/>
    </row>
    <row r="680" spans="1:13" ht="15" customHeight="1">
      <c r="A680" s="347"/>
      <c r="D680" s="326"/>
      <c r="H680" s="328" t="s">
        <v>6270</v>
      </c>
      <c r="I680" s="378"/>
      <c r="J680" s="379">
        <v>2034</v>
      </c>
      <c r="K680" s="459"/>
      <c r="L680" s="460"/>
      <c r="M680" s="417"/>
    </row>
    <row r="681" spans="1:13" ht="15" customHeight="1">
      <c r="A681" s="347"/>
      <c r="D681" s="326"/>
      <c r="H681" s="328" t="s">
        <v>6271</v>
      </c>
      <c r="I681" s="378"/>
      <c r="J681" s="379">
        <v>43174</v>
      </c>
      <c r="K681" s="459"/>
      <c r="L681" s="460"/>
      <c r="M681" s="417"/>
    </row>
    <row r="682" spans="1:13" ht="15" customHeight="1">
      <c r="A682" s="346"/>
      <c r="B682" s="330"/>
      <c r="C682" s="331"/>
      <c r="D682" s="330"/>
      <c r="E682" s="367"/>
      <c r="F682" s="332"/>
      <c r="G682" s="331"/>
      <c r="H682" s="320" t="s">
        <v>6155</v>
      </c>
      <c r="I682" s="384"/>
      <c r="J682" s="381">
        <v>293</v>
      </c>
      <c r="K682" s="459"/>
      <c r="L682" s="460"/>
      <c r="M682" s="417"/>
    </row>
    <row r="683" spans="1:13" ht="15" customHeight="1">
      <c r="A683" s="347" t="s">
        <v>6272</v>
      </c>
      <c r="B683" s="326" t="s">
        <v>1038</v>
      </c>
      <c r="D683" s="326" t="s">
        <v>1594</v>
      </c>
      <c r="G683" s="327" t="s">
        <v>1594</v>
      </c>
      <c r="H683" s="328" t="s">
        <v>6273</v>
      </c>
      <c r="I683" s="378"/>
      <c r="J683" s="379"/>
      <c r="K683" s="459"/>
      <c r="L683" s="460"/>
      <c r="M683" s="417"/>
    </row>
    <row r="684" spans="1:13" ht="15" customHeight="1">
      <c r="A684" s="325"/>
      <c r="B684" s="326" t="s">
        <v>1594</v>
      </c>
      <c r="C684" s="327" t="s">
        <v>6274</v>
      </c>
      <c r="D684" s="326" t="s">
        <v>8319</v>
      </c>
      <c r="E684" s="359" t="s">
        <v>8319</v>
      </c>
      <c r="G684" s="327" t="s">
        <v>1594</v>
      </c>
      <c r="H684" s="328" t="s">
        <v>251</v>
      </c>
      <c r="I684" s="378"/>
      <c r="J684" s="379">
        <v>0</v>
      </c>
      <c r="K684" s="459"/>
      <c r="L684" s="460"/>
      <c r="M684" s="417"/>
    </row>
    <row r="685" spans="1:13" ht="15" customHeight="1">
      <c r="A685" s="325"/>
      <c r="B685" s="326" t="s">
        <v>1594</v>
      </c>
      <c r="C685" s="327" t="s">
        <v>6275</v>
      </c>
      <c r="D685" s="326" t="s">
        <v>8320</v>
      </c>
      <c r="E685" s="359" t="s">
        <v>8320</v>
      </c>
      <c r="G685" s="327" t="s">
        <v>1594</v>
      </c>
      <c r="H685" s="328" t="s">
        <v>252</v>
      </c>
      <c r="I685" s="378"/>
      <c r="J685" s="379">
        <v>0</v>
      </c>
      <c r="K685" s="459"/>
      <c r="L685" s="460"/>
      <c r="M685" s="417"/>
    </row>
    <row r="686" spans="1:13" ht="15" customHeight="1">
      <c r="A686" s="329"/>
      <c r="B686" s="330" t="s">
        <v>1594</v>
      </c>
      <c r="C686" s="331" t="s">
        <v>6276</v>
      </c>
      <c r="D686" s="330" t="s">
        <v>8321</v>
      </c>
      <c r="E686" s="367" t="s">
        <v>8321</v>
      </c>
      <c r="F686" s="332"/>
      <c r="G686" s="331" t="s">
        <v>1594</v>
      </c>
      <c r="H686" s="320" t="s">
        <v>253</v>
      </c>
      <c r="I686" s="384"/>
      <c r="J686" s="381">
        <v>0</v>
      </c>
      <c r="K686" s="459"/>
      <c r="L686" s="460"/>
      <c r="M686" s="417"/>
    </row>
    <row r="687" spans="1:13" ht="15" customHeight="1">
      <c r="A687" s="347" t="s">
        <v>6277</v>
      </c>
      <c r="B687" s="326" t="s">
        <v>1040</v>
      </c>
      <c r="D687" s="326" t="s">
        <v>1594</v>
      </c>
      <c r="G687" s="327" t="s">
        <v>1594</v>
      </c>
      <c r="H687" s="328" t="s">
        <v>6278</v>
      </c>
      <c r="I687" s="378"/>
      <c r="J687" s="379"/>
      <c r="K687" s="459"/>
      <c r="L687" s="460"/>
      <c r="M687" s="417"/>
    </row>
    <row r="688" spans="1:13" ht="15" customHeight="1">
      <c r="A688" s="325"/>
      <c r="B688" s="326" t="s">
        <v>1594</v>
      </c>
      <c r="C688" s="327" t="s">
        <v>6279</v>
      </c>
      <c r="D688" s="326" t="s">
        <v>8322</v>
      </c>
      <c r="E688" s="359" t="s">
        <v>8322</v>
      </c>
      <c r="G688" s="327" t="s">
        <v>1594</v>
      </c>
      <c r="H688" s="328" t="s">
        <v>254</v>
      </c>
      <c r="I688" s="378"/>
      <c r="J688" s="379">
        <v>5563</v>
      </c>
      <c r="K688" s="459"/>
      <c r="L688" s="460"/>
      <c r="M688" s="417"/>
    </row>
    <row r="689" spans="1:13" ht="15" customHeight="1">
      <c r="A689" s="325"/>
      <c r="D689" s="326"/>
      <c r="H689" s="328" t="s">
        <v>6280</v>
      </c>
      <c r="I689" s="378"/>
      <c r="J689" s="379">
        <v>5563</v>
      </c>
      <c r="K689" s="459"/>
      <c r="L689" s="460"/>
      <c r="M689" s="417"/>
    </row>
    <row r="690" spans="1:13" ht="15" customHeight="1">
      <c r="A690" s="325"/>
      <c r="D690" s="326"/>
      <c r="H690" s="328" t="s">
        <v>5939</v>
      </c>
      <c r="I690" s="378"/>
      <c r="J690" s="379">
        <v>0</v>
      </c>
      <c r="K690" s="459"/>
      <c r="L690" s="460"/>
      <c r="M690" s="417"/>
    </row>
    <row r="691" spans="1:13" ht="15" customHeight="1">
      <c r="A691" s="325"/>
      <c r="B691" s="326" t="s">
        <v>1594</v>
      </c>
      <c r="C691" s="327" t="s">
        <v>6281</v>
      </c>
      <c r="D691" s="326" t="s">
        <v>8323</v>
      </c>
      <c r="E691" s="359" t="s">
        <v>8323</v>
      </c>
      <c r="G691" s="327" t="s">
        <v>1594</v>
      </c>
      <c r="H691" s="328" t="s">
        <v>256</v>
      </c>
      <c r="I691" s="378"/>
      <c r="J691" s="379">
        <v>743</v>
      </c>
      <c r="K691" s="459"/>
      <c r="L691" s="460"/>
      <c r="M691" s="417"/>
    </row>
    <row r="692" spans="1:13" ht="15" customHeight="1">
      <c r="A692" s="325"/>
      <c r="D692" s="326"/>
      <c r="H692" s="328" t="s">
        <v>6282</v>
      </c>
      <c r="I692" s="378"/>
      <c r="J692" s="379">
        <v>743</v>
      </c>
      <c r="K692" s="459"/>
      <c r="L692" s="460"/>
      <c r="M692" s="417"/>
    </row>
    <row r="693" spans="1:13" ht="15" customHeight="1">
      <c r="A693" s="325"/>
      <c r="D693" s="326"/>
      <c r="H693" s="328" t="s">
        <v>5939</v>
      </c>
      <c r="I693" s="378"/>
      <c r="J693" s="379">
        <v>0</v>
      </c>
      <c r="K693" s="459"/>
      <c r="L693" s="460"/>
      <c r="M693" s="417"/>
    </row>
    <row r="694" spans="1:13" ht="15" customHeight="1">
      <c r="A694" s="325"/>
      <c r="B694" s="326" t="s">
        <v>1594</v>
      </c>
      <c r="C694" s="327" t="s">
        <v>6283</v>
      </c>
      <c r="D694" s="326" t="s">
        <v>8324</v>
      </c>
      <c r="E694" s="359" t="s">
        <v>8324</v>
      </c>
      <c r="G694" s="327" t="s">
        <v>1594</v>
      </c>
      <c r="H694" s="328" t="s">
        <v>258</v>
      </c>
      <c r="I694" s="378"/>
      <c r="J694" s="379">
        <v>0</v>
      </c>
      <c r="K694" s="459"/>
      <c r="L694" s="460"/>
      <c r="M694" s="417"/>
    </row>
    <row r="695" spans="1:13" ht="15" customHeight="1">
      <c r="A695" s="329"/>
      <c r="B695" s="330" t="s">
        <v>1594</v>
      </c>
      <c r="C695" s="331" t="s">
        <v>6284</v>
      </c>
      <c r="D695" s="330" t="s">
        <v>8325</v>
      </c>
      <c r="E695" s="367" t="s">
        <v>8325</v>
      </c>
      <c r="F695" s="332"/>
      <c r="G695" s="331" t="s">
        <v>1594</v>
      </c>
      <c r="H695" s="344" t="s">
        <v>259</v>
      </c>
      <c r="I695" s="384"/>
      <c r="J695" s="381">
        <v>0</v>
      </c>
      <c r="K695" s="459"/>
      <c r="L695" s="460"/>
      <c r="M695" s="417"/>
    </row>
    <row r="696" spans="1:13" ht="15" customHeight="1">
      <c r="A696" s="347" t="s">
        <v>6285</v>
      </c>
      <c r="B696" s="326" t="s">
        <v>1042</v>
      </c>
      <c r="D696" s="326" t="s">
        <v>1594</v>
      </c>
      <c r="G696" s="327" t="s">
        <v>1594</v>
      </c>
      <c r="H696" s="328" t="s">
        <v>6286</v>
      </c>
      <c r="I696" s="378"/>
      <c r="J696" s="379"/>
      <c r="K696" s="459"/>
      <c r="L696" s="460"/>
      <c r="M696" s="417"/>
    </row>
    <row r="697" spans="1:13" ht="15" customHeight="1">
      <c r="A697" s="325"/>
      <c r="B697" s="326" t="s">
        <v>1594</v>
      </c>
      <c r="C697" s="327" t="s">
        <v>6287</v>
      </c>
      <c r="D697" s="326" t="s">
        <v>8326</v>
      </c>
      <c r="E697" s="359" t="s">
        <v>8326</v>
      </c>
      <c r="G697" s="327" t="s">
        <v>1594</v>
      </c>
      <c r="H697" s="328" t="s">
        <v>261</v>
      </c>
      <c r="I697" s="378"/>
      <c r="J697" s="379">
        <v>0</v>
      </c>
      <c r="K697" s="459"/>
      <c r="L697" s="460"/>
      <c r="M697" s="417"/>
    </row>
    <row r="698" spans="1:13" ht="15" customHeight="1">
      <c r="A698" s="325"/>
      <c r="B698" s="326" t="s">
        <v>1594</v>
      </c>
      <c r="C698" s="327" t="s">
        <v>6288</v>
      </c>
      <c r="D698" s="326" t="s">
        <v>8327</v>
      </c>
      <c r="E698" s="359" t="s">
        <v>8327</v>
      </c>
      <c r="G698" s="327" t="s">
        <v>1594</v>
      </c>
      <c r="H698" s="328" t="s">
        <v>263</v>
      </c>
      <c r="I698" s="378"/>
      <c r="J698" s="379">
        <v>20729</v>
      </c>
      <c r="K698" s="459"/>
      <c r="L698" s="460"/>
      <c r="M698" s="417"/>
    </row>
    <row r="699" spans="1:13" ht="15" customHeight="1">
      <c r="A699" s="325"/>
      <c r="D699" s="326"/>
      <c r="H699" s="328" t="s">
        <v>6289</v>
      </c>
      <c r="I699" s="378"/>
      <c r="J699" s="379">
        <v>20729</v>
      </c>
      <c r="K699" s="459"/>
      <c r="L699" s="460"/>
      <c r="M699" s="417"/>
    </row>
    <row r="700" spans="1:13" ht="15" customHeight="1">
      <c r="A700" s="325"/>
      <c r="D700" s="326"/>
      <c r="H700" s="328" t="s">
        <v>6155</v>
      </c>
      <c r="I700" s="378"/>
      <c r="J700" s="379">
        <v>0</v>
      </c>
      <c r="K700" s="459"/>
      <c r="L700" s="460"/>
      <c r="M700" s="417"/>
    </row>
    <row r="701" spans="1:13" ht="15" customHeight="1">
      <c r="A701" s="325"/>
      <c r="B701" s="326" t="s">
        <v>1594</v>
      </c>
      <c r="C701" s="327" t="s">
        <v>6290</v>
      </c>
      <c r="D701" s="326" t="s">
        <v>8328</v>
      </c>
      <c r="E701" s="359" t="s">
        <v>8328</v>
      </c>
      <c r="G701" s="327" t="s">
        <v>1594</v>
      </c>
      <c r="H701" s="328" t="s">
        <v>264</v>
      </c>
      <c r="I701" s="378"/>
      <c r="J701" s="379">
        <v>56674</v>
      </c>
      <c r="K701" s="459"/>
      <c r="L701" s="460"/>
      <c r="M701" s="417"/>
    </row>
    <row r="702" spans="1:13" ht="15" customHeight="1">
      <c r="A702" s="325"/>
      <c r="D702" s="326"/>
      <c r="H702" s="328" t="s">
        <v>6291</v>
      </c>
      <c r="I702" s="378"/>
      <c r="J702" s="379">
        <v>56674</v>
      </c>
      <c r="K702" s="459"/>
      <c r="L702" s="460"/>
      <c r="M702" s="417"/>
    </row>
    <row r="703" spans="1:13" ht="15" customHeight="1">
      <c r="A703" s="325"/>
      <c r="D703" s="326"/>
      <c r="H703" s="328" t="s">
        <v>6155</v>
      </c>
      <c r="I703" s="378"/>
      <c r="J703" s="379">
        <v>0</v>
      </c>
      <c r="K703" s="459"/>
      <c r="L703" s="460"/>
      <c r="M703" s="417"/>
    </row>
    <row r="704" spans="1:13" ht="15" customHeight="1">
      <c r="A704" s="325"/>
      <c r="B704" s="326" t="s">
        <v>1594</v>
      </c>
      <c r="C704" s="327" t="s">
        <v>6292</v>
      </c>
      <c r="D704" s="326" t="s">
        <v>8329</v>
      </c>
      <c r="E704" s="359" t="s">
        <v>8329</v>
      </c>
      <c r="G704" s="327" t="s">
        <v>1594</v>
      </c>
      <c r="H704" s="328" t="s">
        <v>265</v>
      </c>
      <c r="I704" s="378"/>
      <c r="J704" s="379">
        <v>0</v>
      </c>
      <c r="K704" s="459"/>
      <c r="L704" s="460"/>
      <c r="M704" s="417"/>
    </row>
    <row r="705" spans="1:13" ht="15" customHeight="1">
      <c r="A705" s="325"/>
      <c r="B705" s="326" t="s">
        <v>1594</v>
      </c>
      <c r="C705" s="327" t="s">
        <v>6293</v>
      </c>
      <c r="D705" s="326" t="s">
        <v>8330</v>
      </c>
      <c r="E705" s="359" t="s">
        <v>8330</v>
      </c>
      <c r="G705" s="327" t="s">
        <v>1594</v>
      </c>
      <c r="H705" s="328" t="s">
        <v>266</v>
      </c>
      <c r="I705" s="378"/>
      <c r="J705" s="379">
        <v>0</v>
      </c>
      <c r="K705" s="459"/>
      <c r="L705" s="460"/>
      <c r="M705" s="417"/>
    </row>
    <row r="706" spans="1:13" ht="15" customHeight="1">
      <c r="A706" s="325"/>
      <c r="B706" s="326" t="s">
        <v>1594</v>
      </c>
      <c r="C706" s="327" t="s">
        <v>6294</v>
      </c>
      <c r="D706" s="326" t="s">
        <v>8331</v>
      </c>
      <c r="E706" s="359" t="s">
        <v>8331</v>
      </c>
      <c r="G706" s="327" t="s">
        <v>1594</v>
      </c>
      <c r="H706" s="328" t="s">
        <v>268</v>
      </c>
      <c r="I706" s="378"/>
      <c r="J706" s="379">
        <v>0</v>
      </c>
      <c r="K706" s="459"/>
      <c r="L706" s="460"/>
      <c r="M706" s="417"/>
    </row>
    <row r="707" spans="1:13" ht="15" customHeight="1">
      <c r="A707" s="329"/>
      <c r="B707" s="330" t="s">
        <v>1594</v>
      </c>
      <c r="C707" s="331" t="s">
        <v>6295</v>
      </c>
      <c r="D707" s="330" t="s">
        <v>8332</v>
      </c>
      <c r="E707" s="367" t="s">
        <v>8332</v>
      </c>
      <c r="F707" s="332"/>
      <c r="G707" s="331" t="s">
        <v>1594</v>
      </c>
      <c r="H707" s="320" t="s">
        <v>269</v>
      </c>
      <c r="I707" s="384"/>
      <c r="J707" s="381">
        <v>89093</v>
      </c>
      <c r="K707" s="459"/>
      <c r="L707" s="460"/>
      <c r="M707" s="417"/>
    </row>
    <row r="708" spans="1:13" ht="15" customHeight="1">
      <c r="A708" s="347" t="s">
        <v>6296</v>
      </c>
      <c r="B708" s="326" t="s">
        <v>1044</v>
      </c>
      <c r="D708" s="326" t="s">
        <v>1594</v>
      </c>
      <c r="G708" s="327" t="s">
        <v>1594</v>
      </c>
      <c r="H708" s="328" t="s">
        <v>6297</v>
      </c>
      <c r="I708" s="378"/>
      <c r="J708" s="379"/>
      <c r="K708" s="459"/>
      <c r="L708" s="460"/>
      <c r="M708" s="417"/>
    </row>
    <row r="709" spans="1:13" ht="15" customHeight="1">
      <c r="A709" s="347"/>
      <c r="C709" s="327" t="s">
        <v>6298</v>
      </c>
      <c r="D709" s="326" t="s">
        <v>8333</v>
      </c>
      <c r="E709" s="359" t="s">
        <v>8333</v>
      </c>
      <c r="G709" s="327" t="s">
        <v>1594</v>
      </c>
      <c r="H709" s="328" t="s">
        <v>6299</v>
      </c>
      <c r="I709" s="378"/>
      <c r="J709" s="379">
        <v>2671</v>
      </c>
      <c r="K709" s="459"/>
      <c r="L709" s="460"/>
      <c r="M709" s="417"/>
    </row>
    <row r="710" spans="1:13" ht="15" customHeight="1">
      <c r="A710" s="347"/>
      <c r="D710" s="326"/>
      <c r="H710" s="328" t="s">
        <v>6300</v>
      </c>
      <c r="I710" s="378"/>
      <c r="J710" s="379">
        <v>0</v>
      </c>
      <c r="K710" s="459"/>
      <c r="L710" s="460"/>
      <c r="M710" s="417"/>
    </row>
    <row r="711" spans="1:13" ht="15" customHeight="1">
      <c r="A711" s="347"/>
      <c r="D711" s="326"/>
      <c r="H711" s="328" t="s">
        <v>6301</v>
      </c>
      <c r="I711" s="378"/>
      <c r="J711" s="379">
        <v>1060</v>
      </c>
      <c r="K711" s="459"/>
      <c r="L711" s="460"/>
      <c r="M711" s="417"/>
    </row>
    <row r="712" spans="1:13" ht="15" customHeight="1">
      <c r="A712" s="347"/>
      <c r="D712" s="326"/>
      <c r="H712" s="328" t="s">
        <v>6302</v>
      </c>
      <c r="I712" s="378"/>
      <c r="J712" s="379">
        <v>1576</v>
      </c>
      <c r="K712" s="459"/>
      <c r="L712" s="460"/>
      <c r="M712" s="417"/>
    </row>
    <row r="713" spans="1:13" ht="15" customHeight="1">
      <c r="A713" s="347"/>
      <c r="D713" s="326"/>
      <c r="H713" s="328" t="s">
        <v>5939</v>
      </c>
      <c r="I713" s="378"/>
      <c r="J713" s="379">
        <v>35</v>
      </c>
      <c r="K713" s="459"/>
      <c r="L713" s="460"/>
      <c r="M713" s="417"/>
    </row>
    <row r="714" spans="1:13" ht="15" customHeight="1">
      <c r="A714" s="325"/>
      <c r="B714" s="326" t="s">
        <v>1594</v>
      </c>
      <c r="C714" s="327" t="s">
        <v>6303</v>
      </c>
      <c r="D714" s="326" t="s">
        <v>8334</v>
      </c>
      <c r="E714" s="359" t="s">
        <v>8334</v>
      </c>
      <c r="G714" s="327" t="s">
        <v>1594</v>
      </c>
      <c r="H714" s="328" t="s">
        <v>271</v>
      </c>
      <c r="I714" s="378"/>
      <c r="J714" s="379">
        <v>0</v>
      </c>
      <c r="K714" s="459"/>
      <c r="L714" s="460"/>
      <c r="M714" s="417"/>
    </row>
    <row r="715" spans="1:13" ht="15" customHeight="1">
      <c r="A715" s="325"/>
      <c r="B715" s="326" t="s">
        <v>1594</v>
      </c>
      <c r="C715" s="327" t="s">
        <v>6304</v>
      </c>
      <c r="D715" s="326" t="s">
        <v>8335</v>
      </c>
      <c r="E715" s="359" t="s">
        <v>8335</v>
      </c>
      <c r="G715" s="327" t="s">
        <v>1594</v>
      </c>
      <c r="H715" s="328" t="s">
        <v>273</v>
      </c>
      <c r="I715" s="378"/>
      <c r="J715" s="379">
        <v>0</v>
      </c>
      <c r="K715" s="459"/>
      <c r="L715" s="460"/>
      <c r="M715" s="417"/>
    </row>
    <row r="716" spans="1:13" ht="15" customHeight="1">
      <c r="A716" s="325"/>
      <c r="B716" s="326" t="s">
        <v>1594</v>
      </c>
      <c r="C716" s="327" t="s">
        <v>6305</v>
      </c>
      <c r="D716" s="326" t="s">
        <v>8336</v>
      </c>
      <c r="E716" s="359" t="s">
        <v>8336</v>
      </c>
      <c r="G716" s="327" t="s">
        <v>1594</v>
      </c>
      <c r="H716" s="328" t="s">
        <v>275</v>
      </c>
      <c r="I716" s="378"/>
      <c r="J716" s="379">
        <v>0</v>
      </c>
      <c r="K716" s="459"/>
      <c r="L716" s="460"/>
      <c r="M716" s="417"/>
    </row>
    <row r="717" spans="1:13" ht="15" customHeight="1">
      <c r="A717" s="325"/>
      <c r="B717" s="326" t="s">
        <v>1594</v>
      </c>
      <c r="C717" s="327" t="s">
        <v>6306</v>
      </c>
      <c r="D717" s="326" t="s">
        <v>8337</v>
      </c>
      <c r="E717" s="359" t="s">
        <v>8337</v>
      </c>
      <c r="G717" s="327" t="s">
        <v>1594</v>
      </c>
      <c r="H717" s="328" t="s">
        <v>277</v>
      </c>
      <c r="I717" s="378"/>
      <c r="J717" s="379">
        <v>0</v>
      </c>
      <c r="K717" s="459"/>
      <c r="L717" s="460"/>
      <c r="M717" s="417"/>
    </row>
    <row r="718" spans="1:13" ht="15" customHeight="1">
      <c r="A718" s="325"/>
      <c r="B718" s="326" t="s">
        <v>1594</v>
      </c>
      <c r="C718" s="327" t="s">
        <v>6307</v>
      </c>
      <c r="D718" s="326" t="s">
        <v>8338</v>
      </c>
      <c r="E718" s="359" t="s">
        <v>8338</v>
      </c>
      <c r="G718" s="327" t="s">
        <v>1594</v>
      </c>
      <c r="H718" s="328" t="s">
        <v>278</v>
      </c>
      <c r="I718" s="378"/>
      <c r="J718" s="381">
        <v>7781</v>
      </c>
      <c r="K718" s="459"/>
      <c r="L718" s="460"/>
      <c r="M718" s="417"/>
    </row>
    <row r="719" spans="1:13" ht="15" customHeight="1">
      <c r="A719" s="348" t="s">
        <v>6308</v>
      </c>
      <c r="B719" s="322" t="s">
        <v>1046</v>
      </c>
      <c r="C719" s="323" t="s">
        <v>6309</v>
      </c>
      <c r="D719" s="322" t="s">
        <v>8339</v>
      </c>
      <c r="E719" s="365" t="s">
        <v>8339</v>
      </c>
      <c r="F719" s="366"/>
      <c r="G719" s="323" t="s">
        <v>1594</v>
      </c>
      <c r="H719" s="324" t="s">
        <v>280</v>
      </c>
      <c r="I719" s="376"/>
      <c r="J719" s="379">
        <v>7203</v>
      </c>
      <c r="K719" s="459"/>
      <c r="L719" s="460"/>
      <c r="M719" s="417"/>
    </row>
    <row r="720" spans="1:13" ht="15" customHeight="1">
      <c r="A720" s="349" t="s">
        <v>6310</v>
      </c>
      <c r="B720" s="339" t="s">
        <v>1048</v>
      </c>
      <c r="C720" s="340" t="s">
        <v>6311</v>
      </c>
      <c r="D720" s="339" t="s">
        <v>8340</v>
      </c>
      <c r="E720" s="369" t="s">
        <v>8340</v>
      </c>
      <c r="F720" s="350"/>
      <c r="G720" s="340" t="s">
        <v>1594</v>
      </c>
      <c r="H720" s="341" t="s">
        <v>282</v>
      </c>
      <c r="I720" s="385"/>
      <c r="J720" s="383">
        <v>165</v>
      </c>
      <c r="K720" s="459"/>
      <c r="L720" s="460"/>
      <c r="M720" s="417"/>
    </row>
    <row r="721" spans="1:13" ht="15" customHeight="1">
      <c r="A721" s="349" t="s">
        <v>6312</v>
      </c>
      <c r="B721" s="339" t="s">
        <v>1050</v>
      </c>
      <c r="C721" s="340" t="s">
        <v>6313</v>
      </c>
      <c r="D721" s="339" t="s">
        <v>8341</v>
      </c>
      <c r="E721" s="369" t="s">
        <v>8341</v>
      </c>
      <c r="F721" s="350"/>
      <c r="G721" s="340" t="s">
        <v>1594</v>
      </c>
      <c r="H721" s="341" t="s">
        <v>283</v>
      </c>
      <c r="I721" s="385"/>
      <c r="J721" s="383">
        <v>5595</v>
      </c>
      <c r="K721" s="459"/>
      <c r="L721" s="460"/>
      <c r="M721" s="417"/>
    </row>
    <row r="722" spans="1:13" ht="15" customHeight="1">
      <c r="A722" s="349" t="s">
        <v>6314</v>
      </c>
      <c r="B722" s="339" t="s">
        <v>1052</v>
      </c>
      <c r="C722" s="340" t="s">
        <v>6315</v>
      </c>
      <c r="D722" s="339" t="s">
        <v>8342</v>
      </c>
      <c r="E722" s="369" t="s">
        <v>8342</v>
      </c>
      <c r="F722" s="350"/>
      <c r="G722" s="340" t="s">
        <v>1594</v>
      </c>
      <c r="H722" s="341" t="s">
        <v>284</v>
      </c>
      <c r="I722" s="385"/>
      <c r="J722" s="383">
        <v>78951</v>
      </c>
      <c r="K722" s="459"/>
      <c r="L722" s="460"/>
      <c r="M722" s="417"/>
    </row>
    <row r="723" spans="1:13" ht="15" customHeight="1">
      <c r="A723" s="348" t="s">
        <v>6316</v>
      </c>
      <c r="B723" s="322" t="s">
        <v>1054</v>
      </c>
      <c r="C723" s="323" t="s">
        <v>6317</v>
      </c>
      <c r="D723" s="322" t="s">
        <v>8343</v>
      </c>
      <c r="E723" s="365" t="s">
        <v>8343</v>
      </c>
      <c r="F723" s="366"/>
      <c r="G723" s="323" t="s">
        <v>1594</v>
      </c>
      <c r="H723" s="324" t="s">
        <v>286</v>
      </c>
      <c r="I723" s="376"/>
      <c r="J723" s="377">
        <v>15785</v>
      </c>
      <c r="K723" s="459"/>
      <c r="L723" s="460"/>
      <c r="M723" s="417"/>
    </row>
    <row r="724" spans="1:13" ht="15" customHeight="1">
      <c r="A724" s="347"/>
      <c r="D724" s="326"/>
      <c r="H724" s="328" t="s">
        <v>6318</v>
      </c>
      <c r="I724" s="378"/>
      <c r="J724" s="379">
        <v>0</v>
      </c>
      <c r="K724" s="459"/>
      <c r="L724" s="460"/>
      <c r="M724" s="417"/>
    </row>
    <row r="725" spans="1:13" ht="15" customHeight="1">
      <c r="A725" s="347"/>
      <c r="D725" s="326"/>
      <c r="H725" s="328" t="s">
        <v>6319</v>
      </c>
      <c r="I725" s="378"/>
      <c r="J725" s="379">
        <v>3283</v>
      </c>
      <c r="K725" s="459"/>
      <c r="L725" s="460"/>
      <c r="M725" s="417"/>
    </row>
    <row r="726" spans="1:13" ht="15" customHeight="1">
      <c r="A726" s="347"/>
      <c r="D726" s="326"/>
      <c r="H726" s="328" t="s">
        <v>6320</v>
      </c>
      <c r="I726" s="378"/>
      <c r="J726" s="379">
        <v>0</v>
      </c>
      <c r="K726" s="459"/>
      <c r="L726" s="460"/>
      <c r="M726" s="417"/>
    </row>
    <row r="727" spans="1:13" ht="15" customHeight="1">
      <c r="A727" s="347"/>
      <c r="D727" s="326"/>
      <c r="H727" s="328" t="s">
        <v>5894</v>
      </c>
      <c r="I727" s="378"/>
      <c r="J727" s="379">
        <v>78</v>
      </c>
      <c r="K727" s="459"/>
      <c r="L727" s="460"/>
      <c r="M727" s="417"/>
    </row>
    <row r="728" spans="1:13" ht="15" customHeight="1">
      <c r="A728" s="347"/>
      <c r="D728" s="326"/>
      <c r="H728" s="328" t="s">
        <v>6321</v>
      </c>
      <c r="I728" s="378"/>
      <c r="J728" s="379">
        <v>13</v>
      </c>
      <c r="K728" s="459"/>
      <c r="L728" s="460"/>
      <c r="M728" s="417"/>
    </row>
    <row r="729" spans="1:13" ht="15" customHeight="1">
      <c r="A729" s="347"/>
      <c r="D729" s="326"/>
      <c r="H729" s="328" t="s">
        <v>6322</v>
      </c>
      <c r="I729" s="378"/>
      <c r="J729" s="379">
        <v>0</v>
      </c>
      <c r="K729" s="459"/>
      <c r="L729" s="460"/>
      <c r="M729" s="417"/>
    </row>
    <row r="730" spans="1:13" ht="15" customHeight="1">
      <c r="A730" s="347"/>
      <c r="D730" s="326"/>
      <c r="H730" s="328" t="s">
        <v>6323</v>
      </c>
      <c r="I730" s="378"/>
      <c r="J730" s="379">
        <v>2</v>
      </c>
      <c r="K730" s="459"/>
      <c r="L730" s="460"/>
      <c r="M730" s="417"/>
    </row>
    <row r="731" spans="1:13" ht="15" customHeight="1">
      <c r="A731" s="347"/>
      <c r="D731" s="326"/>
      <c r="H731" s="328" t="s">
        <v>6324</v>
      </c>
      <c r="I731" s="378"/>
      <c r="J731" s="379">
        <v>0</v>
      </c>
      <c r="K731" s="459"/>
      <c r="L731" s="460"/>
      <c r="M731" s="417"/>
    </row>
    <row r="732" spans="1:13" ht="15" customHeight="1">
      <c r="A732" s="347"/>
      <c r="D732" s="326"/>
      <c r="H732" s="328" t="s">
        <v>5894</v>
      </c>
      <c r="I732" s="378"/>
      <c r="J732" s="379">
        <v>249</v>
      </c>
      <c r="K732" s="459"/>
      <c r="L732" s="460"/>
      <c r="M732" s="417"/>
    </row>
    <row r="733" spans="1:13" ht="15" customHeight="1">
      <c r="A733" s="347"/>
      <c r="D733" s="326"/>
      <c r="H733" s="328" t="s">
        <v>6325</v>
      </c>
      <c r="I733" s="378"/>
      <c r="J733" s="379">
        <v>2974</v>
      </c>
      <c r="K733" s="459"/>
      <c r="L733" s="460"/>
      <c r="M733" s="417"/>
    </row>
    <row r="734" spans="1:13" ht="15" customHeight="1">
      <c r="A734" s="347"/>
      <c r="D734" s="326"/>
      <c r="H734" s="328" t="s">
        <v>5894</v>
      </c>
      <c r="I734" s="378"/>
      <c r="J734" s="379">
        <v>689</v>
      </c>
      <c r="K734" s="459"/>
      <c r="L734" s="460"/>
      <c r="M734" s="417"/>
    </row>
    <row r="735" spans="1:13" ht="15" customHeight="1">
      <c r="A735" s="347"/>
      <c r="D735" s="326"/>
      <c r="H735" s="328" t="s">
        <v>6326</v>
      </c>
      <c r="I735" s="378"/>
      <c r="J735" s="379">
        <v>650</v>
      </c>
      <c r="K735" s="459"/>
      <c r="L735" s="460"/>
      <c r="M735" s="417"/>
    </row>
    <row r="736" spans="1:13" ht="15" customHeight="1">
      <c r="A736" s="347"/>
      <c r="D736" s="326"/>
      <c r="H736" s="328" t="s">
        <v>6327</v>
      </c>
      <c r="I736" s="378"/>
      <c r="J736" s="379">
        <v>7770</v>
      </c>
      <c r="K736" s="459"/>
      <c r="L736" s="460"/>
      <c r="M736" s="417"/>
    </row>
    <row r="737" spans="1:13" ht="15" customHeight="1">
      <c r="A737" s="347"/>
      <c r="D737" s="326"/>
      <c r="H737" s="328" t="s">
        <v>6328</v>
      </c>
      <c r="I737" s="378"/>
      <c r="J737" s="379">
        <v>0</v>
      </c>
      <c r="K737" s="459"/>
      <c r="L737" s="460"/>
      <c r="M737" s="417"/>
    </row>
    <row r="738" spans="1:13" ht="15" customHeight="1">
      <c r="A738" s="346"/>
      <c r="B738" s="330"/>
      <c r="C738" s="331"/>
      <c r="D738" s="330"/>
      <c r="E738" s="367"/>
      <c r="F738" s="332"/>
      <c r="G738" s="331"/>
      <c r="H738" s="320" t="s">
        <v>6017</v>
      </c>
      <c r="I738" s="384"/>
      <c r="J738" s="381">
        <v>77</v>
      </c>
      <c r="K738" s="459"/>
      <c r="L738" s="460"/>
      <c r="M738" s="417"/>
    </row>
    <row r="739" spans="1:13" ht="15" customHeight="1">
      <c r="A739" s="347" t="s">
        <v>6329</v>
      </c>
      <c r="B739" s="326" t="s">
        <v>1056</v>
      </c>
      <c r="D739" s="326" t="s">
        <v>1594</v>
      </c>
      <c r="G739" s="327" t="s">
        <v>1594</v>
      </c>
      <c r="H739" s="328" t="s">
        <v>6330</v>
      </c>
      <c r="I739" s="378"/>
      <c r="J739" s="379"/>
      <c r="K739" s="459"/>
      <c r="L739" s="460"/>
      <c r="M739" s="417"/>
    </row>
    <row r="740" spans="1:13" ht="15" customHeight="1">
      <c r="A740" s="325"/>
      <c r="B740" s="326" t="s">
        <v>1594</v>
      </c>
      <c r="C740" s="327" t="s">
        <v>6331</v>
      </c>
      <c r="D740" s="326" t="s">
        <v>8344</v>
      </c>
      <c r="E740" s="359" t="s">
        <v>8344</v>
      </c>
      <c r="G740" s="327" t="s">
        <v>1594</v>
      </c>
      <c r="H740" s="328" t="s">
        <v>6332</v>
      </c>
      <c r="I740" s="378"/>
      <c r="J740" s="379">
        <v>0</v>
      </c>
      <c r="K740" s="459"/>
      <c r="L740" s="460"/>
      <c r="M740" s="417"/>
    </row>
    <row r="741" spans="1:13" ht="15" customHeight="1">
      <c r="A741" s="325"/>
      <c r="B741" s="326" t="s">
        <v>1594</v>
      </c>
      <c r="C741" s="327" t="s">
        <v>6333</v>
      </c>
      <c r="D741" s="326" t="s">
        <v>8345</v>
      </c>
      <c r="E741" s="359" t="s">
        <v>8345</v>
      </c>
      <c r="G741" s="327" t="s">
        <v>1594</v>
      </c>
      <c r="H741" s="328" t="s">
        <v>6334</v>
      </c>
      <c r="I741" s="378"/>
      <c r="J741" s="379">
        <v>0</v>
      </c>
      <c r="K741" s="459"/>
      <c r="L741" s="460"/>
      <c r="M741" s="417"/>
    </row>
    <row r="742" spans="1:13" ht="15" customHeight="1">
      <c r="A742" s="325"/>
      <c r="B742" s="326" t="s">
        <v>1594</v>
      </c>
      <c r="C742" s="327" t="s">
        <v>6335</v>
      </c>
      <c r="D742" s="326" t="s">
        <v>8346</v>
      </c>
      <c r="E742" s="359" t="s">
        <v>8346</v>
      </c>
      <c r="G742" s="327" t="s">
        <v>1594</v>
      </c>
      <c r="H742" s="328" t="s">
        <v>6336</v>
      </c>
      <c r="I742" s="378"/>
      <c r="J742" s="379">
        <v>14112</v>
      </c>
      <c r="K742" s="459"/>
      <c r="L742" s="460"/>
      <c r="M742" s="417"/>
    </row>
    <row r="743" spans="1:13" ht="15" customHeight="1">
      <c r="A743" s="325"/>
      <c r="D743" s="326"/>
      <c r="H743" s="328" t="s">
        <v>6337</v>
      </c>
      <c r="I743" s="378"/>
      <c r="J743" s="379">
        <v>7696</v>
      </c>
      <c r="K743" s="459"/>
      <c r="L743" s="460"/>
      <c r="M743" s="417"/>
    </row>
    <row r="744" spans="1:13" ht="15" customHeight="1">
      <c r="A744" s="325"/>
      <c r="D744" s="326"/>
      <c r="H744" s="328" t="s">
        <v>6338</v>
      </c>
      <c r="I744" s="378"/>
      <c r="J744" s="379">
        <v>3903</v>
      </c>
      <c r="K744" s="459"/>
      <c r="L744" s="460"/>
      <c r="M744" s="417"/>
    </row>
    <row r="745" spans="1:13" ht="15" customHeight="1">
      <c r="A745" s="325"/>
      <c r="D745" s="326"/>
      <c r="H745" s="328" t="s">
        <v>6339</v>
      </c>
      <c r="I745" s="378"/>
      <c r="J745" s="379">
        <v>2928</v>
      </c>
      <c r="K745" s="459"/>
      <c r="L745" s="460"/>
      <c r="M745" s="417"/>
    </row>
    <row r="746" spans="1:13" ht="15" customHeight="1">
      <c r="A746" s="325"/>
      <c r="D746" s="326"/>
      <c r="H746" s="328" t="s">
        <v>6340</v>
      </c>
      <c r="I746" s="378"/>
      <c r="J746" s="379">
        <v>0</v>
      </c>
      <c r="K746" s="459"/>
      <c r="L746" s="460"/>
      <c r="M746" s="417"/>
    </row>
    <row r="747" spans="1:13" ht="15" customHeight="1">
      <c r="A747" s="325"/>
      <c r="D747" s="326"/>
      <c r="H747" s="328" t="s">
        <v>6155</v>
      </c>
      <c r="I747" s="378"/>
      <c r="J747" s="379">
        <v>-415</v>
      </c>
      <c r="K747" s="459"/>
      <c r="L747" s="460"/>
      <c r="M747" s="417"/>
    </row>
    <row r="748" spans="1:13" ht="15" customHeight="1">
      <c r="A748" s="325"/>
      <c r="B748" s="326" t="s">
        <v>1594</v>
      </c>
      <c r="C748" s="327" t="s">
        <v>6341</v>
      </c>
      <c r="D748" s="326" t="s">
        <v>8347</v>
      </c>
      <c r="E748" s="359" t="s">
        <v>8347</v>
      </c>
      <c r="G748" s="327" t="s">
        <v>1594</v>
      </c>
      <c r="H748" s="328" t="s">
        <v>6342</v>
      </c>
      <c r="I748" s="378"/>
      <c r="J748" s="379">
        <v>0</v>
      </c>
      <c r="K748" s="459"/>
      <c r="L748" s="460"/>
      <c r="M748" s="417"/>
    </row>
    <row r="749" spans="1:13" ht="15" customHeight="1">
      <c r="A749" s="325"/>
      <c r="B749" s="326" t="s">
        <v>1594</v>
      </c>
      <c r="C749" s="327" t="s">
        <v>6343</v>
      </c>
      <c r="D749" s="326" t="s">
        <v>8348</v>
      </c>
      <c r="E749" s="359" t="s">
        <v>8348</v>
      </c>
      <c r="G749" s="327" t="s">
        <v>1594</v>
      </c>
      <c r="H749" s="328" t="s">
        <v>6344</v>
      </c>
      <c r="I749" s="378"/>
      <c r="J749" s="379">
        <v>40527</v>
      </c>
      <c r="K749" s="459"/>
      <c r="L749" s="460"/>
      <c r="M749" s="417"/>
    </row>
    <row r="750" spans="1:13" ht="15" customHeight="1">
      <c r="A750" s="325"/>
      <c r="D750" s="326"/>
      <c r="H750" s="328" t="s">
        <v>6345</v>
      </c>
      <c r="I750" s="378"/>
      <c r="J750" s="379">
        <v>29693</v>
      </c>
      <c r="K750" s="459"/>
      <c r="L750" s="460"/>
      <c r="M750" s="417"/>
    </row>
    <row r="751" spans="1:13" ht="15" customHeight="1">
      <c r="A751" s="325"/>
      <c r="D751" s="326"/>
      <c r="H751" s="328" t="s">
        <v>6346</v>
      </c>
      <c r="I751" s="378"/>
      <c r="J751" s="379">
        <v>947</v>
      </c>
      <c r="K751" s="459"/>
      <c r="L751" s="460"/>
      <c r="M751" s="417"/>
    </row>
    <row r="752" spans="1:13" ht="15" customHeight="1">
      <c r="A752" s="325"/>
      <c r="D752" s="326"/>
      <c r="H752" s="328" t="s">
        <v>6347</v>
      </c>
      <c r="I752" s="378"/>
      <c r="J752" s="379">
        <v>9820</v>
      </c>
      <c r="K752" s="459"/>
      <c r="L752" s="460"/>
      <c r="M752" s="417"/>
    </row>
    <row r="753" spans="1:13" ht="15" customHeight="1">
      <c r="A753" s="325"/>
      <c r="D753" s="326"/>
      <c r="H753" s="328" t="s">
        <v>6348</v>
      </c>
      <c r="I753" s="378"/>
      <c r="J753" s="379">
        <v>67</v>
      </c>
      <c r="K753" s="459"/>
      <c r="L753" s="460"/>
      <c r="M753" s="417"/>
    </row>
    <row r="754" spans="1:13" ht="15" customHeight="1">
      <c r="A754" s="348" t="s">
        <v>6349</v>
      </c>
      <c r="B754" s="322" t="s">
        <v>1058</v>
      </c>
      <c r="C754" s="323" t="s">
        <v>6350</v>
      </c>
      <c r="D754" s="322" t="s">
        <v>8349</v>
      </c>
      <c r="E754" s="365" t="s">
        <v>8349</v>
      </c>
      <c r="F754" s="366"/>
      <c r="G754" s="323" t="s">
        <v>1594</v>
      </c>
      <c r="H754" s="324" t="s">
        <v>295</v>
      </c>
      <c r="I754" s="376"/>
      <c r="J754" s="377">
        <v>1</v>
      </c>
      <c r="K754" s="459"/>
      <c r="L754" s="460"/>
      <c r="M754" s="417"/>
    </row>
    <row r="755" spans="1:13" ht="15" customHeight="1">
      <c r="A755" s="347"/>
      <c r="D755" s="326"/>
      <c r="H755" s="328" t="s">
        <v>6351</v>
      </c>
      <c r="I755" s="378"/>
      <c r="J755" s="379">
        <v>0</v>
      </c>
      <c r="K755" s="459"/>
      <c r="L755" s="460"/>
      <c r="M755" s="417"/>
    </row>
    <row r="756" spans="1:13" ht="15" customHeight="1">
      <c r="A756" s="346"/>
      <c r="B756" s="330"/>
      <c r="C756" s="331"/>
      <c r="D756" s="330"/>
      <c r="E756" s="367"/>
      <c r="F756" s="332"/>
      <c r="G756" s="331"/>
      <c r="H756" s="320" t="s">
        <v>6155</v>
      </c>
      <c r="I756" s="384"/>
      <c r="J756" s="381">
        <v>1</v>
      </c>
      <c r="K756" s="459"/>
      <c r="L756" s="460"/>
      <c r="M756" s="417"/>
    </row>
    <row r="757" spans="1:13" ht="15" customHeight="1">
      <c r="A757" s="348" t="s">
        <v>6352</v>
      </c>
      <c r="B757" s="322" t="s">
        <v>1060</v>
      </c>
      <c r="C757" s="323" t="s">
        <v>6353</v>
      </c>
      <c r="D757" s="322" t="s">
        <v>8350</v>
      </c>
      <c r="E757" s="365" t="s">
        <v>8350</v>
      </c>
      <c r="F757" s="366"/>
      <c r="G757" s="323" t="s">
        <v>1594</v>
      </c>
      <c r="H757" s="324" t="s">
        <v>296</v>
      </c>
      <c r="I757" s="376"/>
      <c r="J757" s="377">
        <v>27282</v>
      </c>
      <c r="K757" s="459"/>
      <c r="L757" s="460"/>
      <c r="M757" s="417"/>
    </row>
    <row r="758" spans="1:13" ht="15" customHeight="1">
      <c r="A758" s="347"/>
      <c r="D758" s="326"/>
      <c r="H758" s="328" t="s">
        <v>6354</v>
      </c>
      <c r="I758" s="378"/>
      <c r="J758" s="379">
        <v>0</v>
      </c>
      <c r="K758" s="459"/>
      <c r="L758" s="460"/>
      <c r="M758" s="417"/>
    </row>
    <row r="759" spans="1:13" ht="15" customHeight="1">
      <c r="A759" s="347"/>
      <c r="D759" s="326"/>
      <c r="H759" s="328" t="s">
        <v>6355</v>
      </c>
      <c r="I759" s="378"/>
      <c r="J759" s="379">
        <v>0</v>
      </c>
      <c r="K759" s="459"/>
      <c r="L759" s="460"/>
      <c r="M759" s="417"/>
    </row>
    <row r="760" spans="1:13" ht="15" customHeight="1">
      <c r="A760" s="347"/>
      <c r="D760" s="326"/>
      <c r="H760" s="328" t="s">
        <v>6318</v>
      </c>
      <c r="I760" s="378"/>
      <c r="J760" s="379">
        <v>0</v>
      </c>
      <c r="K760" s="459"/>
      <c r="L760" s="460"/>
      <c r="M760" s="417"/>
    </row>
    <row r="761" spans="1:13" ht="15" customHeight="1">
      <c r="A761" s="347"/>
      <c r="D761" s="326"/>
      <c r="H761" s="328" t="s">
        <v>5894</v>
      </c>
      <c r="I761" s="378"/>
      <c r="J761" s="379">
        <v>0</v>
      </c>
      <c r="K761" s="459"/>
      <c r="L761" s="460"/>
      <c r="M761" s="417"/>
    </row>
    <row r="762" spans="1:13" ht="15" customHeight="1">
      <c r="A762" s="347"/>
      <c r="D762" s="326"/>
      <c r="H762" s="328" t="s">
        <v>6356</v>
      </c>
      <c r="I762" s="378"/>
      <c r="J762" s="379">
        <v>0</v>
      </c>
      <c r="K762" s="459"/>
      <c r="L762" s="460"/>
      <c r="M762" s="417"/>
    </row>
    <row r="763" spans="1:13" ht="15" customHeight="1">
      <c r="A763" s="347"/>
      <c r="D763" s="326"/>
      <c r="H763" s="328" t="s">
        <v>6357</v>
      </c>
      <c r="I763" s="378"/>
      <c r="J763" s="379">
        <v>0</v>
      </c>
      <c r="K763" s="459"/>
      <c r="L763" s="460"/>
      <c r="M763" s="417"/>
    </row>
    <row r="764" spans="1:13" ht="15" customHeight="1">
      <c r="A764" s="347"/>
      <c r="D764" s="326"/>
      <c r="H764" s="328" t="s">
        <v>6358</v>
      </c>
      <c r="I764" s="378"/>
      <c r="J764" s="379">
        <v>0</v>
      </c>
      <c r="K764" s="459"/>
      <c r="L764" s="460"/>
      <c r="M764" s="417"/>
    </row>
    <row r="765" spans="1:13" ht="15" customHeight="1">
      <c r="A765" s="347"/>
      <c r="D765" s="326"/>
      <c r="H765" s="328" t="s">
        <v>6359</v>
      </c>
      <c r="I765" s="378"/>
      <c r="J765" s="379">
        <v>27673</v>
      </c>
      <c r="K765" s="459"/>
      <c r="L765" s="460"/>
      <c r="M765" s="417"/>
    </row>
    <row r="766" spans="1:13" ht="15" customHeight="1">
      <c r="A766" s="346"/>
      <c r="B766" s="330"/>
      <c r="C766" s="331"/>
      <c r="D766" s="330"/>
      <c r="E766" s="367"/>
      <c r="F766" s="332"/>
      <c r="G766" s="331"/>
      <c r="H766" s="320" t="s">
        <v>6155</v>
      </c>
      <c r="I766" s="384"/>
      <c r="J766" s="381">
        <v>-391</v>
      </c>
      <c r="K766" s="459"/>
      <c r="L766" s="460"/>
      <c r="M766" s="417"/>
    </row>
    <row r="767" spans="1:13" ht="15" customHeight="1">
      <c r="A767" s="348" t="s">
        <v>6360</v>
      </c>
      <c r="B767" s="322" t="s">
        <v>1062</v>
      </c>
      <c r="C767" s="323"/>
      <c r="D767" s="322"/>
      <c r="E767" s="365"/>
      <c r="F767" s="366"/>
      <c r="G767" s="323" t="s">
        <v>1594</v>
      </c>
      <c r="H767" s="324" t="s">
        <v>6361</v>
      </c>
      <c r="I767" s="378"/>
      <c r="J767" s="379"/>
      <c r="K767" s="459"/>
      <c r="L767" s="460"/>
      <c r="M767" s="417"/>
    </row>
    <row r="768" spans="1:13" ht="15" customHeight="1">
      <c r="A768" s="347"/>
      <c r="C768" s="327" t="s">
        <v>6362</v>
      </c>
      <c r="D768" s="326" t="s">
        <v>8351</v>
      </c>
      <c r="E768" s="359" t="s">
        <v>8351</v>
      </c>
      <c r="G768" s="327" t="s">
        <v>1594</v>
      </c>
      <c r="H768" s="328" t="s">
        <v>6363</v>
      </c>
      <c r="I768" s="378"/>
      <c r="J768" s="379">
        <v>28154</v>
      </c>
      <c r="K768" s="459"/>
      <c r="L768" s="460"/>
      <c r="M768" s="417"/>
    </row>
    <row r="769" spans="1:13" ht="15" customHeight="1">
      <c r="A769" s="347"/>
      <c r="C769" s="327" t="s">
        <v>6364</v>
      </c>
      <c r="D769" s="326" t="s">
        <v>8352</v>
      </c>
      <c r="E769" s="359" t="s">
        <v>8352</v>
      </c>
      <c r="G769" s="327" t="s">
        <v>1594</v>
      </c>
      <c r="H769" s="328" t="s">
        <v>6365</v>
      </c>
      <c r="I769" s="378"/>
      <c r="J769" s="379">
        <v>52365</v>
      </c>
      <c r="K769" s="459"/>
      <c r="L769" s="460"/>
      <c r="M769" s="417"/>
    </row>
    <row r="770" spans="1:13" ht="15" customHeight="1">
      <c r="A770" s="347"/>
      <c r="D770" s="326"/>
      <c r="H770" s="328" t="s">
        <v>6366</v>
      </c>
      <c r="I770" s="378"/>
      <c r="J770" s="379">
        <v>0</v>
      </c>
      <c r="K770" s="459"/>
      <c r="L770" s="460"/>
      <c r="M770" s="417"/>
    </row>
    <row r="771" spans="1:13" ht="15" customHeight="1">
      <c r="A771" s="347"/>
      <c r="D771" s="326"/>
      <c r="H771" s="328" t="s">
        <v>6367</v>
      </c>
      <c r="I771" s="378"/>
      <c r="J771" s="379">
        <v>0</v>
      </c>
      <c r="K771" s="459"/>
      <c r="L771" s="460"/>
      <c r="M771" s="417"/>
    </row>
    <row r="772" spans="1:13" ht="15" customHeight="1">
      <c r="A772" s="347"/>
      <c r="D772" s="326"/>
      <c r="H772" s="328" t="s">
        <v>6368</v>
      </c>
      <c r="I772" s="378"/>
      <c r="J772" s="379">
        <v>1948</v>
      </c>
      <c r="K772" s="459"/>
      <c r="L772" s="460"/>
      <c r="M772" s="417"/>
    </row>
    <row r="773" spans="1:13" ht="15" customHeight="1">
      <c r="A773" s="347"/>
      <c r="D773" s="326"/>
      <c r="H773" s="328" t="s">
        <v>6369</v>
      </c>
      <c r="I773" s="378"/>
      <c r="J773" s="379">
        <v>40192</v>
      </c>
      <c r="K773" s="459"/>
      <c r="L773" s="460"/>
      <c r="M773" s="417"/>
    </row>
    <row r="774" spans="1:13" ht="15" customHeight="1">
      <c r="A774" s="347"/>
      <c r="D774" s="326"/>
      <c r="H774" s="328" t="s">
        <v>6370</v>
      </c>
      <c r="I774" s="378"/>
      <c r="J774" s="379">
        <v>3046</v>
      </c>
      <c r="K774" s="459"/>
      <c r="L774" s="460"/>
      <c r="M774" s="417"/>
    </row>
    <row r="775" spans="1:13" ht="15" customHeight="1">
      <c r="A775" s="347"/>
      <c r="D775" s="326"/>
      <c r="H775" s="328" t="s">
        <v>6371</v>
      </c>
      <c r="I775" s="378"/>
      <c r="J775" s="379">
        <v>7128</v>
      </c>
      <c r="K775" s="459"/>
      <c r="L775" s="460"/>
      <c r="M775" s="417"/>
    </row>
    <row r="776" spans="1:13" ht="15" customHeight="1">
      <c r="A776" s="347"/>
      <c r="D776" s="326"/>
      <c r="H776" s="328" t="s">
        <v>6372</v>
      </c>
      <c r="I776" s="378"/>
      <c r="J776" s="379">
        <v>51</v>
      </c>
      <c r="K776" s="459"/>
      <c r="L776" s="460"/>
      <c r="M776" s="417"/>
    </row>
    <row r="777" spans="1:13" ht="15" customHeight="1">
      <c r="A777" s="346"/>
      <c r="B777" s="330"/>
      <c r="C777" s="331"/>
      <c r="D777" s="330"/>
      <c r="E777" s="367"/>
      <c r="F777" s="332"/>
      <c r="G777" s="331"/>
      <c r="H777" s="320" t="s">
        <v>5939</v>
      </c>
      <c r="I777" s="384"/>
      <c r="J777" s="381"/>
      <c r="K777" s="459"/>
      <c r="L777" s="460"/>
      <c r="M777" s="417"/>
    </row>
    <row r="778" spans="1:13" ht="15" customHeight="1">
      <c r="A778" s="347" t="s">
        <v>6373</v>
      </c>
      <c r="B778" s="326" t="s">
        <v>1064</v>
      </c>
      <c r="C778" s="327" t="s">
        <v>6374</v>
      </c>
      <c r="D778" s="326" t="s">
        <v>8353</v>
      </c>
      <c r="E778" s="359" t="s">
        <v>8353</v>
      </c>
      <c r="G778" s="327" t="s">
        <v>1594</v>
      </c>
      <c r="H778" s="328" t="s">
        <v>301</v>
      </c>
      <c r="I778" s="378"/>
      <c r="J778" s="379">
        <v>284882</v>
      </c>
      <c r="K778" s="459"/>
      <c r="L778" s="460"/>
      <c r="M778" s="417"/>
    </row>
    <row r="779" spans="1:13" ht="15" customHeight="1">
      <c r="A779" s="347"/>
      <c r="B779" s="326" t="s">
        <v>1594</v>
      </c>
      <c r="D779" s="326" t="s">
        <v>1594</v>
      </c>
      <c r="E779" s="436" t="s">
        <v>8353</v>
      </c>
      <c r="F779" s="437" t="s">
        <v>575</v>
      </c>
      <c r="G779" s="455" t="s">
        <v>8354</v>
      </c>
      <c r="H779" s="438" t="s">
        <v>6375</v>
      </c>
      <c r="I779" s="439"/>
      <c r="J779" s="440">
        <v>250668</v>
      </c>
      <c r="K779" s="807">
        <v>0.9</v>
      </c>
      <c r="L779" s="467">
        <f>J779*K779/100</f>
        <v>2256.0120000000002</v>
      </c>
      <c r="M779" s="417"/>
    </row>
    <row r="780" spans="1:13" ht="15" customHeight="1">
      <c r="A780" s="347"/>
      <c r="B780" s="326" t="s">
        <v>1594</v>
      </c>
      <c r="D780" s="326" t="s">
        <v>1594</v>
      </c>
      <c r="E780" s="808" t="s">
        <v>8353</v>
      </c>
      <c r="F780" s="809" t="s">
        <v>5455</v>
      </c>
      <c r="G780" s="810" t="s">
        <v>8355</v>
      </c>
      <c r="H780" s="811" t="s">
        <v>6376</v>
      </c>
      <c r="I780" s="812"/>
      <c r="J780" s="813">
        <v>24109</v>
      </c>
      <c r="K780" s="807">
        <v>0.9</v>
      </c>
      <c r="L780" s="558">
        <f>J780*K780/100</f>
        <v>216.98100000000002</v>
      </c>
      <c r="M780" s="417"/>
    </row>
    <row r="781" spans="1:13" ht="15" customHeight="1">
      <c r="A781" s="347"/>
      <c r="B781" s="326" t="s">
        <v>1594</v>
      </c>
      <c r="D781" s="326" t="s">
        <v>1594</v>
      </c>
      <c r="E781" s="808" t="s">
        <v>8353</v>
      </c>
      <c r="F781" s="809" t="s">
        <v>5421</v>
      </c>
      <c r="G781" s="810" t="s">
        <v>8356</v>
      </c>
      <c r="H781" s="814" t="s">
        <v>6377</v>
      </c>
      <c r="I781" s="812"/>
      <c r="J781" s="813">
        <v>2389</v>
      </c>
      <c r="K781" s="807">
        <v>1.3</v>
      </c>
      <c r="L781" s="558">
        <f>J781*K781/100</f>
        <v>31.057000000000002</v>
      </c>
      <c r="M781" s="417"/>
    </row>
    <row r="782" spans="1:13" ht="15" customHeight="1">
      <c r="A782" s="347"/>
      <c r="B782" s="326" t="s">
        <v>1594</v>
      </c>
      <c r="D782" s="326" t="s">
        <v>1594</v>
      </c>
      <c r="E782" s="359" t="s">
        <v>8353</v>
      </c>
      <c r="F782" s="334" t="s">
        <v>5917</v>
      </c>
      <c r="G782" s="327" t="s">
        <v>8357</v>
      </c>
      <c r="H782" s="328" t="s">
        <v>6378</v>
      </c>
      <c r="I782" s="378"/>
      <c r="J782" s="379">
        <v>7716</v>
      </c>
      <c r="K782" s="459"/>
      <c r="L782" s="460"/>
      <c r="M782" s="417"/>
    </row>
    <row r="783" spans="1:13" ht="15" customHeight="1">
      <c r="A783" s="348" t="s">
        <v>6379</v>
      </c>
      <c r="B783" s="322" t="s">
        <v>1066</v>
      </c>
      <c r="C783" s="323"/>
      <c r="D783" s="322" t="s">
        <v>1594</v>
      </c>
      <c r="E783" s="365"/>
      <c r="F783" s="366"/>
      <c r="G783" s="323" t="s">
        <v>1594</v>
      </c>
      <c r="H783" s="342" t="s">
        <v>6380</v>
      </c>
      <c r="I783" s="376"/>
      <c r="J783" s="377"/>
      <c r="K783" s="459"/>
      <c r="L783" s="460"/>
      <c r="M783" s="417"/>
    </row>
    <row r="784" spans="1:13" ht="15" customHeight="1">
      <c r="A784" s="325"/>
      <c r="B784" s="326" t="s">
        <v>1594</v>
      </c>
      <c r="C784" s="327" t="s">
        <v>6381</v>
      </c>
      <c r="D784" s="326" t="s">
        <v>8358</v>
      </c>
      <c r="E784" s="359" t="s">
        <v>8358</v>
      </c>
      <c r="G784" s="327" t="s">
        <v>1594</v>
      </c>
      <c r="H784" s="328" t="s">
        <v>6382</v>
      </c>
      <c r="I784" s="378"/>
      <c r="J784" s="379">
        <v>32243</v>
      </c>
      <c r="K784" s="459"/>
      <c r="L784" s="460"/>
      <c r="M784" s="417"/>
    </row>
    <row r="785" spans="1:13" ht="15" customHeight="1">
      <c r="A785" s="325"/>
      <c r="C785" s="327" t="s">
        <v>6383</v>
      </c>
      <c r="D785" s="326" t="s">
        <v>8359</v>
      </c>
      <c r="E785" s="359" t="s">
        <v>8359</v>
      </c>
      <c r="H785" s="328" t="s">
        <v>305</v>
      </c>
      <c r="I785" s="378"/>
      <c r="J785" s="379">
        <v>23498</v>
      </c>
      <c r="K785" s="459"/>
      <c r="L785" s="460"/>
      <c r="M785" s="417"/>
    </row>
    <row r="786" spans="1:13" ht="15" customHeight="1">
      <c r="A786" s="325"/>
      <c r="B786" s="326" t="s">
        <v>1594</v>
      </c>
      <c r="C786" s="327" t="s">
        <v>6384</v>
      </c>
      <c r="D786" s="326" t="s">
        <v>8360</v>
      </c>
      <c r="E786" s="359" t="s">
        <v>8360</v>
      </c>
      <c r="G786" s="327" t="s">
        <v>1594</v>
      </c>
      <c r="H786" s="328" t="s">
        <v>306</v>
      </c>
      <c r="I786" s="378"/>
      <c r="J786" s="379">
        <v>8835</v>
      </c>
      <c r="K786" s="459"/>
      <c r="L786" s="460"/>
      <c r="M786" s="417"/>
    </row>
    <row r="787" spans="1:13" ht="15" customHeight="1">
      <c r="A787" s="325"/>
      <c r="D787" s="326"/>
      <c r="H787" s="483" t="s">
        <v>6385</v>
      </c>
      <c r="I787" s="378"/>
      <c r="J787" s="379">
        <v>836</v>
      </c>
      <c r="K787" s="459"/>
      <c r="L787" s="460"/>
      <c r="M787" s="417"/>
    </row>
    <row r="788" spans="1:13" ht="15" customHeight="1">
      <c r="A788" s="325"/>
      <c r="D788" s="326"/>
      <c r="H788" s="483" t="s">
        <v>6386</v>
      </c>
      <c r="I788" s="378"/>
      <c r="J788" s="379">
        <v>696</v>
      </c>
      <c r="K788" s="459"/>
      <c r="L788" s="460"/>
      <c r="M788" s="417"/>
    </row>
    <row r="789" spans="1:13" ht="15" customHeight="1">
      <c r="A789" s="325"/>
      <c r="D789" s="326"/>
      <c r="H789" s="483" t="s">
        <v>6387</v>
      </c>
      <c r="I789" s="378"/>
      <c r="J789" s="379">
        <v>151</v>
      </c>
      <c r="K789" s="459"/>
      <c r="L789" s="460"/>
      <c r="M789" s="417"/>
    </row>
    <row r="790" spans="1:13" ht="15" customHeight="1">
      <c r="A790" s="325"/>
      <c r="D790" s="326"/>
      <c r="H790" s="483" t="s">
        <v>6388</v>
      </c>
      <c r="I790" s="378"/>
      <c r="J790" s="379">
        <v>1424</v>
      </c>
      <c r="K790" s="459"/>
      <c r="L790" s="460"/>
      <c r="M790" s="417"/>
    </row>
    <row r="791" spans="1:13" ht="15" customHeight="1">
      <c r="A791" s="325"/>
      <c r="D791" s="326"/>
      <c r="H791" s="328" t="s">
        <v>6389</v>
      </c>
      <c r="I791" s="378"/>
      <c r="J791" s="379">
        <v>806</v>
      </c>
      <c r="K791" s="459"/>
      <c r="L791" s="460"/>
      <c r="M791" s="417"/>
    </row>
    <row r="792" spans="1:13" ht="15" customHeight="1">
      <c r="A792" s="325"/>
      <c r="D792" s="326"/>
      <c r="H792" s="483" t="s">
        <v>6390</v>
      </c>
      <c r="I792" s="378"/>
      <c r="J792" s="379">
        <v>74</v>
      </c>
      <c r="K792" s="459"/>
      <c r="L792" s="460"/>
      <c r="M792" s="417"/>
    </row>
    <row r="793" spans="1:13" ht="15" customHeight="1">
      <c r="A793" s="325"/>
      <c r="D793" s="326"/>
      <c r="H793" s="483" t="s">
        <v>6391</v>
      </c>
      <c r="I793" s="378"/>
      <c r="J793" s="379">
        <v>4</v>
      </c>
      <c r="K793" s="459"/>
      <c r="L793" s="460"/>
      <c r="M793" s="417"/>
    </row>
    <row r="794" spans="1:13" ht="15" customHeight="1">
      <c r="A794" s="325"/>
      <c r="D794" s="326"/>
      <c r="H794" s="483" t="s">
        <v>6392</v>
      </c>
      <c r="I794" s="378"/>
      <c r="J794" s="379">
        <v>147</v>
      </c>
      <c r="K794" s="459"/>
      <c r="L794" s="460"/>
      <c r="M794" s="417"/>
    </row>
    <row r="795" spans="1:13" ht="15" customHeight="1">
      <c r="A795" s="325"/>
      <c r="D795" s="326"/>
      <c r="H795" s="483" t="s">
        <v>6393</v>
      </c>
      <c r="I795" s="378"/>
      <c r="J795" s="379">
        <v>811</v>
      </c>
      <c r="K795" s="459"/>
      <c r="L795" s="460"/>
      <c r="M795" s="417"/>
    </row>
    <row r="796" spans="1:13" ht="15" customHeight="1">
      <c r="A796" s="325"/>
      <c r="D796" s="326"/>
      <c r="H796" s="483" t="s">
        <v>6394</v>
      </c>
      <c r="I796" s="378"/>
      <c r="J796" s="379">
        <v>631</v>
      </c>
      <c r="K796" s="459"/>
      <c r="L796" s="460"/>
      <c r="M796" s="417"/>
    </row>
    <row r="797" spans="1:13" ht="15" customHeight="1">
      <c r="A797" s="325"/>
      <c r="D797" s="326"/>
      <c r="H797" s="483" t="s">
        <v>6395</v>
      </c>
      <c r="I797" s="378"/>
      <c r="J797" s="379">
        <v>835</v>
      </c>
      <c r="K797" s="459"/>
      <c r="L797" s="460"/>
      <c r="M797" s="417"/>
    </row>
    <row r="798" spans="1:13" ht="15" customHeight="1">
      <c r="A798" s="325"/>
      <c r="D798" s="326"/>
      <c r="H798" s="483" t="s">
        <v>6396</v>
      </c>
      <c r="I798" s="378"/>
      <c r="J798" s="379">
        <v>6</v>
      </c>
      <c r="K798" s="459"/>
      <c r="L798" s="460"/>
      <c r="M798" s="417"/>
    </row>
    <row r="799" spans="1:13" ht="15" customHeight="1">
      <c r="A799" s="325"/>
      <c r="D799" s="326"/>
      <c r="H799" s="483" t="s">
        <v>6397</v>
      </c>
      <c r="I799" s="378"/>
      <c r="J799" s="379">
        <v>19</v>
      </c>
      <c r="K799" s="459"/>
      <c r="L799" s="460"/>
      <c r="M799" s="417"/>
    </row>
    <row r="800" spans="1:13" ht="15" customHeight="1">
      <c r="A800" s="325"/>
      <c r="D800" s="326"/>
      <c r="H800" s="483" t="s">
        <v>6398</v>
      </c>
      <c r="I800" s="378"/>
      <c r="J800" s="379">
        <v>2438</v>
      </c>
      <c r="K800" s="459"/>
      <c r="L800" s="460"/>
      <c r="M800" s="417"/>
    </row>
    <row r="801" spans="1:13" ht="15" customHeight="1">
      <c r="A801" s="329"/>
      <c r="B801" s="330"/>
      <c r="C801" s="331"/>
      <c r="D801" s="330"/>
      <c r="E801" s="367"/>
      <c r="F801" s="332"/>
      <c r="G801" s="331"/>
      <c r="H801" s="320" t="s">
        <v>6155</v>
      </c>
      <c r="I801" s="384"/>
      <c r="J801" s="381">
        <v>-43</v>
      </c>
      <c r="K801" s="459"/>
      <c r="L801" s="460"/>
      <c r="M801" s="417"/>
    </row>
    <row r="802" spans="1:13" ht="15" customHeight="1">
      <c r="A802" s="325" t="s">
        <v>6399</v>
      </c>
      <c r="B802" s="326" t="s">
        <v>8361</v>
      </c>
      <c r="C802" s="327" t="s">
        <v>6400</v>
      </c>
      <c r="D802" s="326" t="s">
        <v>8362</v>
      </c>
      <c r="E802" s="359" t="s">
        <v>8362</v>
      </c>
      <c r="G802" s="331" t="s">
        <v>1594</v>
      </c>
      <c r="H802" s="328" t="s">
        <v>308</v>
      </c>
      <c r="I802" s="378"/>
      <c r="J802" s="379">
        <v>134750</v>
      </c>
      <c r="K802" s="459"/>
      <c r="L802" s="460"/>
      <c r="M802" s="417"/>
    </row>
    <row r="803" spans="1:13" ht="15" customHeight="1">
      <c r="A803" s="349" t="s">
        <v>6401</v>
      </c>
      <c r="B803" s="339" t="s">
        <v>8363</v>
      </c>
      <c r="C803" s="340" t="s">
        <v>6402</v>
      </c>
      <c r="D803" s="339" t="s">
        <v>8364</v>
      </c>
      <c r="E803" s="369" t="s">
        <v>8364</v>
      </c>
      <c r="F803" s="350"/>
      <c r="G803" s="340" t="s">
        <v>1594</v>
      </c>
      <c r="H803" s="341" t="s">
        <v>310</v>
      </c>
      <c r="I803" s="385"/>
      <c r="J803" s="383">
        <v>129225</v>
      </c>
      <c r="K803" s="459"/>
      <c r="L803" s="460"/>
      <c r="M803" s="417"/>
    </row>
    <row r="804" spans="1:13" ht="15" customHeight="1">
      <c r="A804" s="348" t="s">
        <v>6403</v>
      </c>
      <c r="B804" s="322" t="s">
        <v>8365</v>
      </c>
      <c r="C804" s="323" t="s">
        <v>6404</v>
      </c>
      <c r="D804" s="322" t="s">
        <v>8366</v>
      </c>
      <c r="E804" s="365" t="s">
        <v>8366</v>
      </c>
      <c r="F804" s="366"/>
      <c r="G804" s="323" t="s">
        <v>1594</v>
      </c>
      <c r="H804" s="324" t="s">
        <v>6405</v>
      </c>
      <c r="I804" s="376"/>
      <c r="J804" s="377">
        <v>16319</v>
      </c>
      <c r="K804" s="459"/>
      <c r="L804" s="460"/>
      <c r="M804" s="417"/>
    </row>
    <row r="805" spans="1:13" ht="15" customHeight="1">
      <c r="A805" s="347"/>
      <c r="D805" s="326"/>
      <c r="H805" s="328" t="s">
        <v>6406</v>
      </c>
      <c r="I805" s="378"/>
      <c r="J805" s="379">
        <v>1402</v>
      </c>
      <c r="K805" s="459"/>
      <c r="L805" s="460"/>
      <c r="M805" s="417"/>
    </row>
    <row r="806" spans="1:13" ht="15" customHeight="1">
      <c r="A806" s="347"/>
      <c r="D806" s="326"/>
      <c r="H806" s="328" t="s">
        <v>6407</v>
      </c>
      <c r="I806" s="378"/>
      <c r="J806" s="379">
        <v>4255</v>
      </c>
      <c r="K806" s="459"/>
      <c r="L806" s="460"/>
      <c r="M806" s="417"/>
    </row>
    <row r="807" spans="1:13" ht="15" customHeight="1">
      <c r="A807" s="347"/>
      <c r="D807" s="326"/>
      <c r="H807" s="328" t="s">
        <v>6408</v>
      </c>
      <c r="I807" s="378"/>
      <c r="J807" s="379">
        <v>0</v>
      </c>
      <c r="K807" s="459"/>
      <c r="L807" s="460"/>
      <c r="M807" s="417"/>
    </row>
    <row r="808" spans="1:13" ht="15" customHeight="1">
      <c r="A808" s="347"/>
      <c r="D808" s="326"/>
      <c r="H808" s="328" t="s">
        <v>6409</v>
      </c>
      <c r="I808" s="378"/>
      <c r="J808" s="379">
        <v>5161</v>
      </c>
      <c r="K808" s="459"/>
      <c r="L808" s="460"/>
      <c r="M808" s="417"/>
    </row>
    <row r="809" spans="1:13" ht="15" customHeight="1">
      <c r="A809" s="347"/>
      <c r="D809" s="326"/>
      <c r="H809" s="328" t="s">
        <v>6410</v>
      </c>
      <c r="I809" s="378"/>
      <c r="J809" s="379">
        <v>707</v>
      </c>
      <c r="K809" s="459"/>
      <c r="L809" s="460"/>
      <c r="M809" s="417"/>
    </row>
    <row r="810" spans="1:13" ht="15" customHeight="1">
      <c r="A810" s="347"/>
      <c r="D810" s="326"/>
      <c r="H810" s="328" t="s">
        <v>6411</v>
      </c>
      <c r="I810" s="378"/>
      <c r="J810" s="379">
        <v>2160</v>
      </c>
      <c r="K810" s="459"/>
      <c r="L810" s="460"/>
      <c r="M810" s="417"/>
    </row>
    <row r="811" spans="1:13" ht="15" customHeight="1">
      <c r="A811" s="347"/>
      <c r="D811" s="326"/>
      <c r="H811" s="328" t="s">
        <v>6412</v>
      </c>
      <c r="I811" s="378"/>
      <c r="J811" s="379">
        <v>280</v>
      </c>
      <c r="K811" s="459"/>
      <c r="L811" s="460"/>
      <c r="M811" s="417"/>
    </row>
    <row r="812" spans="1:13" ht="15" customHeight="1">
      <c r="A812" s="347"/>
      <c r="D812" s="326"/>
      <c r="H812" s="328" t="s">
        <v>6413</v>
      </c>
      <c r="I812" s="378"/>
      <c r="J812" s="379">
        <v>2362</v>
      </c>
      <c r="K812" s="459"/>
      <c r="L812" s="460"/>
      <c r="M812" s="417"/>
    </row>
    <row r="813" spans="1:13" ht="15" customHeight="1">
      <c r="A813" s="347"/>
      <c r="D813" s="326"/>
      <c r="H813" s="328" t="s">
        <v>5925</v>
      </c>
      <c r="I813" s="378"/>
      <c r="J813" s="379">
        <v>-8</v>
      </c>
      <c r="K813" s="459"/>
      <c r="L813" s="460"/>
      <c r="M813" s="417"/>
    </row>
    <row r="814" spans="1:13" ht="15" customHeight="1">
      <c r="A814" s="348" t="s">
        <v>6414</v>
      </c>
      <c r="B814" s="322" t="s">
        <v>1071</v>
      </c>
      <c r="C814" s="323" t="s">
        <v>6415</v>
      </c>
      <c r="D814" s="322" t="s">
        <v>8367</v>
      </c>
      <c r="E814" s="365" t="s">
        <v>8367</v>
      </c>
      <c r="F814" s="366"/>
      <c r="G814" s="323" t="s">
        <v>1594</v>
      </c>
      <c r="H814" s="324" t="s">
        <v>313</v>
      </c>
      <c r="I814" s="376"/>
      <c r="J814" s="377">
        <v>18445</v>
      </c>
      <c r="K814" s="459"/>
      <c r="L814" s="460"/>
      <c r="M814" s="417"/>
    </row>
    <row r="815" spans="1:13" ht="15" customHeight="1">
      <c r="A815" s="347"/>
      <c r="B815" s="326" t="s">
        <v>1594</v>
      </c>
      <c r="D815" s="326" t="s">
        <v>1594</v>
      </c>
      <c r="E815" s="359" t="s">
        <v>8367</v>
      </c>
      <c r="F815" s="334" t="s">
        <v>575</v>
      </c>
      <c r="G815" s="327" t="s">
        <v>8368</v>
      </c>
      <c r="H815" s="328" t="s">
        <v>6416</v>
      </c>
      <c r="I815" s="378">
        <v>117182</v>
      </c>
      <c r="J815" s="379">
        <v>2601</v>
      </c>
      <c r="K815" s="459"/>
      <c r="L815" s="460"/>
      <c r="M815" s="417"/>
    </row>
    <row r="816" spans="1:13" ht="15" customHeight="1">
      <c r="A816" s="347"/>
      <c r="B816" s="326" t="s">
        <v>1594</v>
      </c>
      <c r="D816" s="326" t="s">
        <v>1594</v>
      </c>
      <c r="E816" s="359" t="s">
        <v>8367</v>
      </c>
      <c r="F816" s="334" t="s">
        <v>5359</v>
      </c>
      <c r="G816" s="327" t="s">
        <v>8369</v>
      </c>
      <c r="H816" s="328" t="s">
        <v>6417</v>
      </c>
      <c r="I816" s="378">
        <v>77913</v>
      </c>
      <c r="J816" s="379">
        <v>5526</v>
      </c>
      <c r="K816" s="459"/>
      <c r="L816" s="460"/>
      <c r="M816" s="417"/>
    </row>
    <row r="817" spans="1:13" ht="15" customHeight="1">
      <c r="A817" s="347"/>
      <c r="B817" s="326" t="s">
        <v>1594</v>
      </c>
      <c r="D817" s="326" t="s">
        <v>1594</v>
      </c>
      <c r="E817" s="359" t="s">
        <v>8367</v>
      </c>
      <c r="F817" s="334" t="s">
        <v>5361</v>
      </c>
      <c r="G817" s="327" t="s">
        <v>8370</v>
      </c>
      <c r="H817" s="328" t="s">
        <v>6418</v>
      </c>
      <c r="I817" s="378">
        <v>38190</v>
      </c>
      <c r="J817" s="379">
        <v>1576</v>
      </c>
      <c r="K817" s="459"/>
      <c r="L817" s="460"/>
      <c r="M817" s="417"/>
    </row>
    <row r="818" spans="1:13" ht="15" customHeight="1">
      <c r="A818" s="347"/>
      <c r="B818" s="326" t="s">
        <v>1594</v>
      </c>
      <c r="D818" s="326" t="s">
        <v>1594</v>
      </c>
      <c r="E818" s="359" t="s">
        <v>8367</v>
      </c>
      <c r="F818" s="334" t="s">
        <v>5363</v>
      </c>
      <c r="G818" s="327" t="s">
        <v>8371</v>
      </c>
      <c r="H818" s="328" t="s">
        <v>6419</v>
      </c>
      <c r="I818" s="378">
        <v>141286</v>
      </c>
      <c r="J818" s="379">
        <v>8061</v>
      </c>
      <c r="K818" s="459"/>
      <c r="L818" s="460"/>
      <c r="M818" s="417"/>
    </row>
    <row r="819" spans="1:13" ht="15" customHeight="1">
      <c r="A819" s="347"/>
      <c r="B819" s="326" t="s">
        <v>1594</v>
      </c>
      <c r="D819" s="326" t="s">
        <v>1594</v>
      </c>
      <c r="E819" s="359" t="s">
        <v>8367</v>
      </c>
      <c r="F819" s="334" t="s">
        <v>5365</v>
      </c>
      <c r="G819" s="327" t="s">
        <v>8372</v>
      </c>
      <c r="H819" s="328" t="s">
        <v>6420</v>
      </c>
      <c r="I819" s="378">
        <v>313</v>
      </c>
      <c r="J819" s="379">
        <v>18</v>
      </c>
      <c r="K819" s="459"/>
      <c r="L819" s="460"/>
      <c r="M819" s="417"/>
    </row>
    <row r="820" spans="1:13" ht="15" customHeight="1">
      <c r="A820" s="347"/>
      <c r="B820" s="326" t="s">
        <v>1594</v>
      </c>
      <c r="D820" s="326" t="s">
        <v>1594</v>
      </c>
      <c r="E820" s="359" t="s">
        <v>8367</v>
      </c>
      <c r="F820" s="334" t="s">
        <v>5367</v>
      </c>
      <c r="G820" s="327" t="s">
        <v>8373</v>
      </c>
      <c r="H820" s="328" t="s">
        <v>6421</v>
      </c>
      <c r="I820" s="378">
        <v>5892</v>
      </c>
      <c r="J820" s="379">
        <v>336</v>
      </c>
      <c r="K820" s="459"/>
      <c r="L820" s="460"/>
      <c r="M820" s="417"/>
    </row>
    <row r="821" spans="1:13" ht="15" customHeight="1">
      <c r="A821" s="347"/>
      <c r="B821" s="326" t="s">
        <v>1594</v>
      </c>
      <c r="D821" s="326" t="s">
        <v>1594</v>
      </c>
      <c r="E821" s="359" t="s">
        <v>8367</v>
      </c>
      <c r="F821" s="334" t="s">
        <v>5369</v>
      </c>
      <c r="G821" s="327" t="s">
        <v>8374</v>
      </c>
      <c r="H821" s="328" t="s">
        <v>6422</v>
      </c>
      <c r="I821" s="378">
        <v>3331</v>
      </c>
      <c r="J821" s="379">
        <v>190</v>
      </c>
      <c r="K821" s="459"/>
      <c r="L821" s="460"/>
      <c r="M821" s="417"/>
    </row>
    <row r="822" spans="1:13" ht="15" customHeight="1">
      <c r="A822" s="347"/>
      <c r="B822" s="326" t="s">
        <v>1594</v>
      </c>
      <c r="D822" s="326" t="s">
        <v>1594</v>
      </c>
      <c r="E822" s="359" t="s">
        <v>8367</v>
      </c>
      <c r="F822" s="334" t="s">
        <v>5381</v>
      </c>
      <c r="G822" s="327" t="s">
        <v>8375</v>
      </c>
      <c r="H822" s="328" t="s">
        <v>5894</v>
      </c>
      <c r="I822" s="378">
        <v>3505</v>
      </c>
      <c r="J822" s="379">
        <v>200</v>
      </c>
      <c r="K822" s="459"/>
      <c r="L822" s="460"/>
      <c r="M822" s="417"/>
    </row>
    <row r="823" spans="1:13" ht="15" customHeight="1">
      <c r="A823" s="347"/>
      <c r="B823" s="326" t="s">
        <v>1594</v>
      </c>
      <c r="D823" s="326" t="s">
        <v>1594</v>
      </c>
      <c r="E823" s="359" t="s">
        <v>8367</v>
      </c>
      <c r="F823" s="334" t="s">
        <v>5917</v>
      </c>
      <c r="G823" s="327" t="s">
        <v>8376</v>
      </c>
      <c r="H823" s="328" t="s">
        <v>5925</v>
      </c>
      <c r="I823" s="378"/>
      <c r="J823" s="379">
        <v>-63</v>
      </c>
      <c r="K823" s="459"/>
      <c r="L823" s="460"/>
      <c r="M823" s="417"/>
    </row>
    <row r="824" spans="1:13" ht="15" customHeight="1">
      <c r="A824" s="349" t="s">
        <v>6423</v>
      </c>
      <c r="B824" s="339" t="s">
        <v>1073</v>
      </c>
      <c r="C824" s="340" t="s">
        <v>6424</v>
      </c>
      <c r="D824" s="339" t="s">
        <v>8377</v>
      </c>
      <c r="E824" s="369" t="s">
        <v>8377</v>
      </c>
      <c r="F824" s="350"/>
      <c r="G824" s="340" t="s">
        <v>1594</v>
      </c>
      <c r="H824" s="341" t="s">
        <v>315</v>
      </c>
      <c r="I824" s="385"/>
      <c r="J824" s="383">
        <v>12205</v>
      </c>
      <c r="K824" s="459"/>
      <c r="L824" s="460"/>
      <c r="M824" s="417"/>
    </row>
    <row r="825" spans="1:13" ht="15" customHeight="1">
      <c r="A825" s="349" t="s">
        <v>6425</v>
      </c>
      <c r="B825" s="339" t="s">
        <v>8378</v>
      </c>
      <c r="C825" s="340" t="s">
        <v>6426</v>
      </c>
      <c r="D825" s="339" t="s">
        <v>8379</v>
      </c>
      <c r="E825" s="369" t="s">
        <v>8379</v>
      </c>
      <c r="F825" s="350"/>
      <c r="G825" s="340" t="s">
        <v>1594</v>
      </c>
      <c r="H825" s="341" t="s">
        <v>316</v>
      </c>
      <c r="I825" s="385"/>
      <c r="J825" s="383">
        <v>6143</v>
      </c>
      <c r="K825" s="459"/>
      <c r="L825" s="460"/>
      <c r="M825" s="417"/>
    </row>
    <row r="826" spans="1:13" ht="15" customHeight="1">
      <c r="A826" s="347" t="s">
        <v>6427</v>
      </c>
      <c r="B826" s="326" t="s">
        <v>1076</v>
      </c>
      <c r="D826" s="326" t="s">
        <v>1594</v>
      </c>
      <c r="G826" s="327" t="s">
        <v>1594</v>
      </c>
      <c r="H826" s="328" t="s">
        <v>6428</v>
      </c>
      <c r="I826" s="378"/>
      <c r="J826" s="379"/>
      <c r="K826" s="459"/>
      <c r="L826" s="460"/>
      <c r="M826" s="417"/>
    </row>
    <row r="827" spans="1:13" ht="15" customHeight="1">
      <c r="A827" s="347"/>
      <c r="B827" s="326" t="s">
        <v>1594</v>
      </c>
      <c r="C827" s="327" t="s">
        <v>6429</v>
      </c>
      <c r="D827" s="326" t="s">
        <v>8380</v>
      </c>
      <c r="E827" s="359" t="s">
        <v>8380</v>
      </c>
      <c r="G827" s="327" t="s">
        <v>1594</v>
      </c>
      <c r="H827" s="328" t="s">
        <v>317</v>
      </c>
      <c r="I827" s="378"/>
      <c r="J827" s="379">
        <v>24899</v>
      </c>
      <c r="K827" s="459"/>
      <c r="L827" s="460"/>
      <c r="M827" s="417"/>
    </row>
    <row r="828" spans="1:13" ht="15" customHeight="1">
      <c r="A828" s="347"/>
      <c r="D828" s="326"/>
      <c r="H828" s="328" t="s">
        <v>6430</v>
      </c>
      <c r="I828" s="378"/>
      <c r="J828" s="379">
        <v>0</v>
      </c>
      <c r="K828" s="459"/>
      <c r="L828" s="460"/>
      <c r="M828" s="417"/>
    </row>
    <row r="829" spans="1:13" ht="15" customHeight="1">
      <c r="A829" s="347"/>
      <c r="D829" s="326"/>
      <c r="H829" s="328" t="s">
        <v>6431</v>
      </c>
      <c r="I829" s="378"/>
      <c r="J829" s="379">
        <v>2523</v>
      </c>
      <c r="K829" s="459"/>
      <c r="L829" s="460"/>
      <c r="M829" s="417"/>
    </row>
    <row r="830" spans="1:13" ht="15" customHeight="1">
      <c r="A830" s="347"/>
      <c r="D830" s="326"/>
      <c r="H830" s="328" t="s">
        <v>6432</v>
      </c>
      <c r="I830" s="378"/>
      <c r="J830" s="379">
        <v>0</v>
      </c>
      <c r="K830" s="459"/>
      <c r="L830" s="460"/>
      <c r="M830" s="417"/>
    </row>
    <row r="831" spans="1:13" ht="15" customHeight="1">
      <c r="A831" s="347"/>
      <c r="D831" s="326"/>
      <c r="H831" s="328" t="s">
        <v>6433</v>
      </c>
      <c r="I831" s="378"/>
      <c r="J831" s="379">
        <v>0</v>
      </c>
      <c r="K831" s="459"/>
      <c r="L831" s="460"/>
      <c r="M831" s="417"/>
    </row>
    <row r="832" spans="1:13" ht="15" customHeight="1">
      <c r="A832" s="347"/>
      <c r="D832" s="326"/>
      <c r="H832" s="333" t="s">
        <v>6434</v>
      </c>
      <c r="I832" s="378"/>
      <c r="J832" s="379">
        <v>0</v>
      </c>
      <c r="K832" s="459"/>
      <c r="L832" s="460"/>
      <c r="M832" s="417"/>
    </row>
    <row r="833" spans="1:13" ht="15" customHeight="1">
      <c r="A833" s="347"/>
      <c r="D833" s="326"/>
      <c r="H833" s="328" t="s">
        <v>6435</v>
      </c>
      <c r="I833" s="378"/>
      <c r="J833" s="379">
        <v>0</v>
      </c>
      <c r="K833" s="459"/>
      <c r="L833" s="460"/>
      <c r="M833" s="417"/>
    </row>
    <row r="834" spans="1:13" ht="15" customHeight="1">
      <c r="A834" s="347"/>
      <c r="D834" s="326"/>
      <c r="H834" s="328" t="s">
        <v>6436</v>
      </c>
      <c r="I834" s="378"/>
      <c r="J834" s="379">
        <v>21233</v>
      </c>
      <c r="K834" s="459"/>
      <c r="L834" s="460"/>
      <c r="M834" s="417"/>
    </row>
    <row r="835" spans="1:13" ht="15" customHeight="1">
      <c r="A835" s="347"/>
      <c r="D835" s="326"/>
      <c r="H835" s="328" t="s">
        <v>6437</v>
      </c>
      <c r="I835" s="378"/>
      <c r="J835" s="379">
        <v>1245</v>
      </c>
      <c r="K835" s="459"/>
      <c r="L835" s="460"/>
      <c r="M835" s="417"/>
    </row>
    <row r="836" spans="1:13" ht="15" customHeight="1">
      <c r="A836" s="325"/>
      <c r="B836" s="326" t="s">
        <v>1594</v>
      </c>
      <c r="D836" s="326"/>
      <c r="G836" s="327" t="s">
        <v>1594</v>
      </c>
      <c r="H836" s="333" t="s">
        <v>6155</v>
      </c>
      <c r="I836" s="378"/>
      <c r="J836" s="379">
        <v>-102</v>
      </c>
      <c r="K836" s="459"/>
      <c r="L836" s="460"/>
      <c r="M836" s="417"/>
    </row>
    <row r="837" spans="1:13" ht="15" customHeight="1">
      <c r="A837" s="325"/>
      <c r="C837" s="327" t="s">
        <v>6438</v>
      </c>
      <c r="D837" s="326" t="s">
        <v>8381</v>
      </c>
      <c r="E837" s="359" t="s">
        <v>8381</v>
      </c>
      <c r="H837" s="333" t="s">
        <v>6439</v>
      </c>
      <c r="I837" s="378"/>
      <c r="J837" s="381">
        <v>199254</v>
      </c>
      <c r="K837" s="459"/>
      <c r="L837" s="460"/>
      <c r="M837" s="417"/>
    </row>
    <row r="838" spans="1:13" ht="15" customHeight="1">
      <c r="A838" s="348" t="s">
        <v>6440</v>
      </c>
      <c r="B838" s="322" t="s">
        <v>1078</v>
      </c>
      <c r="C838" s="323"/>
      <c r="D838" s="322" t="s">
        <v>1594</v>
      </c>
      <c r="E838" s="365"/>
      <c r="F838" s="366"/>
      <c r="G838" s="323" t="s">
        <v>1594</v>
      </c>
      <c r="H838" s="324" t="s">
        <v>6441</v>
      </c>
      <c r="I838" s="376"/>
      <c r="J838" s="377"/>
      <c r="K838" s="459"/>
      <c r="L838" s="460"/>
      <c r="M838" s="417"/>
    </row>
    <row r="839" spans="1:13" ht="15" customHeight="1">
      <c r="A839" s="325"/>
      <c r="B839" s="326" t="s">
        <v>1594</v>
      </c>
      <c r="C839" s="390" t="s">
        <v>6442</v>
      </c>
      <c r="D839" s="419" t="s">
        <v>8382</v>
      </c>
      <c r="E839" s="388" t="s">
        <v>8382</v>
      </c>
      <c r="F839" s="389"/>
      <c r="G839" s="390" t="s">
        <v>1594</v>
      </c>
      <c r="H839" s="403" t="s">
        <v>6443</v>
      </c>
      <c r="I839" s="413"/>
      <c r="J839" s="392">
        <v>0</v>
      </c>
      <c r="K839" s="807">
        <v>0</v>
      </c>
      <c r="L839" s="464">
        <f>J839*K839/100</f>
        <v>0</v>
      </c>
      <c r="M839" s="417"/>
    </row>
    <row r="840" spans="1:13" ht="15" customHeight="1">
      <c r="A840" s="325"/>
      <c r="B840" s="326" t="s">
        <v>1594</v>
      </c>
      <c r="C840" s="327" t="s">
        <v>6444</v>
      </c>
      <c r="D840" s="326" t="s">
        <v>8383</v>
      </c>
      <c r="E840" s="359" t="s">
        <v>8383</v>
      </c>
      <c r="G840" s="327" t="s">
        <v>1594</v>
      </c>
      <c r="H840" s="328" t="s">
        <v>322</v>
      </c>
      <c r="I840" s="378"/>
      <c r="J840" s="379">
        <v>0</v>
      </c>
      <c r="K840" s="459"/>
      <c r="L840" s="460"/>
      <c r="M840" s="417"/>
    </row>
    <row r="841" spans="1:13" ht="15" customHeight="1">
      <c r="A841" s="325"/>
      <c r="B841" s="326" t="s">
        <v>1594</v>
      </c>
      <c r="C841" s="327" t="s">
        <v>6445</v>
      </c>
      <c r="D841" s="326" t="s">
        <v>8384</v>
      </c>
      <c r="E841" s="359" t="s">
        <v>8384</v>
      </c>
      <c r="G841" s="327" t="s">
        <v>1594</v>
      </c>
      <c r="H841" s="328" t="s">
        <v>323</v>
      </c>
      <c r="I841" s="378"/>
      <c r="J841" s="379">
        <v>0</v>
      </c>
      <c r="K841" s="459"/>
      <c r="L841" s="460"/>
      <c r="M841" s="417"/>
    </row>
    <row r="842" spans="1:13" ht="15" customHeight="1">
      <c r="A842" s="325"/>
      <c r="B842" s="326" t="s">
        <v>1594</v>
      </c>
      <c r="C842" s="327" t="s">
        <v>6446</v>
      </c>
      <c r="D842" s="326" t="s">
        <v>8385</v>
      </c>
      <c r="E842" s="359" t="s">
        <v>8385</v>
      </c>
      <c r="G842" s="327" t="s">
        <v>1594</v>
      </c>
      <c r="H842" s="328" t="s">
        <v>324</v>
      </c>
      <c r="I842" s="378"/>
      <c r="J842" s="379">
        <v>0</v>
      </c>
      <c r="K842" s="459"/>
      <c r="L842" s="460"/>
      <c r="M842" s="417"/>
    </row>
    <row r="843" spans="1:13" ht="15" customHeight="1">
      <c r="A843" s="325"/>
      <c r="B843" s="326" t="s">
        <v>1594</v>
      </c>
      <c r="C843" s="327" t="s">
        <v>6447</v>
      </c>
      <c r="D843" s="326" t="s">
        <v>8386</v>
      </c>
      <c r="E843" s="359" t="s">
        <v>8386</v>
      </c>
      <c r="G843" s="327" t="s">
        <v>1594</v>
      </c>
      <c r="H843" s="328" t="s">
        <v>6448</v>
      </c>
      <c r="I843" s="378"/>
      <c r="J843" s="379">
        <v>0</v>
      </c>
      <c r="K843" s="459"/>
      <c r="L843" s="460"/>
      <c r="M843" s="417"/>
    </row>
    <row r="844" spans="1:13" ht="15" customHeight="1">
      <c r="A844" s="325"/>
      <c r="B844" s="326" t="s">
        <v>1594</v>
      </c>
      <c r="C844" s="327" t="s">
        <v>6449</v>
      </c>
      <c r="D844" s="326" t="s">
        <v>8387</v>
      </c>
      <c r="E844" s="359" t="s">
        <v>8387</v>
      </c>
      <c r="G844" s="327" t="s">
        <v>1594</v>
      </c>
      <c r="H844" s="328" t="s">
        <v>326</v>
      </c>
      <c r="I844" s="378"/>
      <c r="J844" s="379">
        <v>0</v>
      </c>
      <c r="K844" s="459"/>
      <c r="L844" s="460"/>
      <c r="M844" s="417"/>
    </row>
    <row r="845" spans="1:13" ht="15" customHeight="1">
      <c r="A845" s="325"/>
      <c r="B845" s="326" t="s">
        <v>1594</v>
      </c>
      <c r="C845" s="327" t="s">
        <v>6450</v>
      </c>
      <c r="D845" s="326" t="s">
        <v>8388</v>
      </c>
      <c r="E845" s="359" t="s">
        <v>8388</v>
      </c>
      <c r="G845" s="327" t="s">
        <v>1594</v>
      </c>
      <c r="H845" s="328" t="s">
        <v>328</v>
      </c>
      <c r="I845" s="378"/>
      <c r="J845" s="379">
        <v>0</v>
      </c>
      <c r="K845" s="459"/>
      <c r="L845" s="460"/>
      <c r="M845" s="417"/>
    </row>
    <row r="846" spans="1:13" ht="15" customHeight="1">
      <c r="A846" s="325"/>
      <c r="B846" s="326" t="s">
        <v>1594</v>
      </c>
      <c r="C846" s="327" t="s">
        <v>6451</v>
      </c>
      <c r="D846" s="326" t="s">
        <v>8389</v>
      </c>
      <c r="E846" s="359" t="s">
        <v>8389</v>
      </c>
      <c r="G846" s="327" t="s">
        <v>1594</v>
      </c>
      <c r="H846" s="328" t="s">
        <v>330</v>
      </c>
      <c r="I846" s="378"/>
      <c r="J846" s="379">
        <v>0</v>
      </c>
      <c r="K846" s="459"/>
      <c r="L846" s="460"/>
      <c r="M846" s="417"/>
    </row>
    <row r="847" spans="1:13" ht="15" customHeight="1">
      <c r="A847" s="325"/>
      <c r="B847" s="326" t="s">
        <v>1594</v>
      </c>
      <c r="C847" s="327" t="s">
        <v>6452</v>
      </c>
      <c r="D847" s="326" t="s">
        <v>8390</v>
      </c>
      <c r="E847" s="359" t="s">
        <v>8390</v>
      </c>
      <c r="G847" s="327" t="s">
        <v>1594</v>
      </c>
      <c r="H847" s="328" t="s">
        <v>331</v>
      </c>
      <c r="I847" s="378"/>
      <c r="J847" s="379">
        <v>36284</v>
      </c>
      <c r="K847" s="459"/>
      <c r="L847" s="460"/>
      <c r="M847" s="417"/>
    </row>
    <row r="848" spans="1:13" ht="15" customHeight="1">
      <c r="A848" s="348" t="s">
        <v>6453</v>
      </c>
      <c r="B848" s="322" t="s">
        <v>1080</v>
      </c>
      <c r="C848" s="323"/>
      <c r="D848" s="322" t="s">
        <v>1594</v>
      </c>
      <c r="E848" s="365"/>
      <c r="F848" s="366"/>
      <c r="G848" s="323" t="s">
        <v>1594</v>
      </c>
      <c r="H848" s="324" t="s">
        <v>6454</v>
      </c>
      <c r="I848" s="376"/>
      <c r="J848" s="377"/>
      <c r="K848" s="459"/>
      <c r="L848" s="460"/>
      <c r="M848" s="417"/>
    </row>
    <row r="849" spans="1:13" ht="15" customHeight="1">
      <c r="A849" s="325"/>
      <c r="B849" s="326" t="s">
        <v>1594</v>
      </c>
      <c r="C849" s="327" t="s">
        <v>6455</v>
      </c>
      <c r="D849" s="326" t="s">
        <v>8391</v>
      </c>
      <c r="E849" s="359" t="s">
        <v>8391</v>
      </c>
      <c r="G849" s="327" t="s">
        <v>1594</v>
      </c>
      <c r="H849" s="328" t="s">
        <v>333</v>
      </c>
      <c r="I849" s="378"/>
      <c r="J849" s="379">
        <v>43152</v>
      </c>
      <c r="K849" s="459"/>
      <c r="L849" s="460"/>
      <c r="M849" s="417"/>
    </row>
    <row r="850" spans="1:13" ht="15" customHeight="1">
      <c r="A850" s="329"/>
      <c r="B850" s="330" t="s">
        <v>1594</v>
      </c>
      <c r="C850" s="331" t="s">
        <v>6456</v>
      </c>
      <c r="D850" s="330" t="s">
        <v>8392</v>
      </c>
      <c r="E850" s="367" t="s">
        <v>8392</v>
      </c>
      <c r="F850" s="332"/>
      <c r="G850" s="331" t="s">
        <v>1594</v>
      </c>
      <c r="H850" s="320" t="s">
        <v>334</v>
      </c>
      <c r="I850" s="384"/>
      <c r="J850" s="381">
        <v>23015</v>
      </c>
      <c r="K850" s="459"/>
      <c r="L850" s="460"/>
      <c r="M850" s="417"/>
    </row>
    <row r="851" spans="1:13" ht="15" customHeight="1">
      <c r="A851" s="338" t="s">
        <v>6457</v>
      </c>
      <c r="B851" s="339" t="s">
        <v>1082</v>
      </c>
      <c r="C851" s="340" t="s">
        <v>6458</v>
      </c>
      <c r="D851" s="339" t="s">
        <v>8393</v>
      </c>
      <c r="E851" s="369" t="s">
        <v>8393</v>
      </c>
      <c r="F851" s="350"/>
      <c r="G851" s="340" t="s">
        <v>1594</v>
      </c>
      <c r="H851" s="341" t="s">
        <v>335</v>
      </c>
      <c r="I851" s="385"/>
      <c r="J851" s="383">
        <v>12661</v>
      </c>
      <c r="K851" s="459"/>
      <c r="L851" s="460"/>
      <c r="M851" s="417"/>
    </row>
    <row r="852" spans="1:13" ht="15" customHeight="1">
      <c r="A852" s="347" t="s">
        <v>6459</v>
      </c>
      <c r="B852" s="326" t="s">
        <v>1084</v>
      </c>
      <c r="D852" s="326" t="s">
        <v>1594</v>
      </c>
      <c r="G852" s="327" t="s">
        <v>1594</v>
      </c>
      <c r="H852" s="328" t="s">
        <v>6460</v>
      </c>
      <c r="I852" s="378"/>
      <c r="J852" s="379"/>
      <c r="K852" s="459"/>
      <c r="L852" s="460"/>
      <c r="M852" s="417"/>
    </row>
    <row r="853" spans="1:13" ht="15" customHeight="1">
      <c r="A853" s="325"/>
      <c r="B853" s="326" t="s">
        <v>1594</v>
      </c>
      <c r="C853" s="327" t="s">
        <v>6461</v>
      </c>
      <c r="D853" s="326" t="s">
        <v>8394</v>
      </c>
      <c r="E853" s="359" t="s">
        <v>8394</v>
      </c>
      <c r="G853" s="327" t="s">
        <v>1594</v>
      </c>
      <c r="H853" s="333" t="s">
        <v>337</v>
      </c>
      <c r="I853" s="378"/>
      <c r="J853" s="379">
        <v>220557</v>
      </c>
      <c r="K853" s="459"/>
      <c r="L853" s="460"/>
      <c r="M853" s="417"/>
    </row>
    <row r="854" spans="1:13" ht="15" customHeight="1">
      <c r="A854" s="325"/>
      <c r="B854" s="326" t="s">
        <v>1594</v>
      </c>
      <c r="C854" s="327" t="s">
        <v>6462</v>
      </c>
      <c r="D854" s="326" t="s">
        <v>8395</v>
      </c>
      <c r="E854" s="359" t="s">
        <v>8395</v>
      </c>
      <c r="G854" s="327" t="s">
        <v>1594</v>
      </c>
      <c r="H854" s="328" t="s">
        <v>339</v>
      </c>
      <c r="I854" s="378"/>
      <c r="J854" s="379">
        <v>48822</v>
      </c>
      <c r="K854" s="459"/>
      <c r="L854" s="460"/>
      <c r="M854" s="417"/>
    </row>
    <row r="855" spans="1:13" ht="15" customHeight="1">
      <c r="A855" s="325"/>
      <c r="B855" s="326" t="s">
        <v>1594</v>
      </c>
      <c r="C855" s="327" t="s">
        <v>6463</v>
      </c>
      <c r="D855" s="326" t="s">
        <v>8396</v>
      </c>
      <c r="E855" s="359" t="s">
        <v>8396</v>
      </c>
      <c r="G855" s="327" t="s">
        <v>1594</v>
      </c>
      <c r="H855" s="328" t="s">
        <v>340</v>
      </c>
      <c r="I855" s="378"/>
      <c r="J855" s="379">
        <v>20333</v>
      </c>
      <c r="K855" s="459"/>
      <c r="L855" s="460"/>
      <c r="M855" s="417"/>
    </row>
    <row r="856" spans="1:13" ht="15" customHeight="1">
      <c r="A856" s="325"/>
      <c r="B856" s="326" t="s">
        <v>1594</v>
      </c>
      <c r="C856" s="327" t="s">
        <v>6464</v>
      </c>
      <c r="D856" s="326" t="s">
        <v>8397</v>
      </c>
      <c r="E856" s="359" t="s">
        <v>8397</v>
      </c>
      <c r="G856" s="327" t="s">
        <v>1594</v>
      </c>
      <c r="H856" s="328" t="s">
        <v>341</v>
      </c>
      <c r="I856" s="378"/>
      <c r="J856" s="379">
        <v>33410</v>
      </c>
      <c r="K856" s="459"/>
      <c r="L856" s="460"/>
      <c r="M856" s="417"/>
    </row>
    <row r="857" spans="1:13" ht="15" customHeight="1">
      <c r="A857" s="325"/>
      <c r="B857" s="326" t="s">
        <v>1594</v>
      </c>
      <c r="C857" s="327" t="s">
        <v>6465</v>
      </c>
      <c r="D857" s="326" t="s">
        <v>8398</v>
      </c>
      <c r="E857" s="359" t="s">
        <v>8398</v>
      </c>
      <c r="G857" s="327" t="s">
        <v>1594</v>
      </c>
      <c r="H857" s="328" t="s">
        <v>342</v>
      </c>
      <c r="I857" s="378"/>
      <c r="J857" s="379">
        <v>10849</v>
      </c>
      <c r="K857" s="459"/>
      <c r="L857" s="460"/>
      <c r="M857" s="417"/>
    </row>
    <row r="858" spans="1:13" ht="15" customHeight="1">
      <c r="A858" s="325"/>
      <c r="B858" s="326" t="s">
        <v>1594</v>
      </c>
      <c r="C858" s="327" t="s">
        <v>6466</v>
      </c>
      <c r="D858" s="326" t="s">
        <v>8399</v>
      </c>
      <c r="E858" s="359" t="s">
        <v>8399</v>
      </c>
      <c r="G858" s="327" t="s">
        <v>1594</v>
      </c>
      <c r="H858" s="328" t="s">
        <v>343</v>
      </c>
      <c r="I858" s="378"/>
      <c r="J858" s="379">
        <v>46914</v>
      </c>
      <c r="K858" s="459"/>
      <c r="L858" s="460"/>
      <c r="M858" s="417"/>
    </row>
    <row r="859" spans="1:13" ht="15" customHeight="1">
      <c r="A859" s="325"/>
      <c r="B859" s="326" t="s">
        <v>1594</v>
      </c>
      <c r="C859" s="327" t="s">
        <v>6467</v>
      </c>
      <c r="D859" s="326" t="s">
        <v>8400</v>
      </c>
      <c r="E859" s="359" t="s">
        <v>8400</v>
      </c>
      <c r="G859" s="327" t="s">
        <v>1594</v>
      </c>
      <c r="H859" s="333" t="s">
        <v>344</v>
      </c>
      <c r="I859" s="378"/>
      <c r="J859" s="379">
        <v>6957</v>
      </c>
      <c r="K859" s="459"/>
      <c r="L859" s="460"/>
      <c r="M859" s="417"/>
    </row>
    <row r="860" spans="1:13" ht="15" customHeight="1">
      <c r="A860" s="325"/>
      <c r="B860" s="326" t="s">
        <v>1594</v>
      </c>
      <c r="C860" s="327" t="s">
        <v>6468</v>
      </c>
      <c r="D860" s="326" t="s">
        <v>8401</v>
      </c>
      <c r="E860" s="359" t="s">
        <v>8401</v>
      </c>
      <c r="G860" s="327" t="s">
        <v>1594</v>
      </c>
      <c r="H860" s="328" t="s">
        <v>345</v>
      </c>
      <c r="I860" s="378"/>
      <c r="J860" s="379">
        <v>48835</v>
      </c>
      <c r="K860" s="459"/>
      <c r="L860" s="460"/>
      <c r="M860" s="417"/>
    </row>
    <row r="861" spans="1:13" ht="15" customHeight="1">
      <c r="A861" s="349" t="s">
        <v>6469</v>
      </c>
      <c r="B861" s="339" t="s">
        <v>1086</v>
      </c>
      <c r="C861" s="340" t="s">
        <v>6470</v>
      </c>
      <c r="D861" s="339" t="s">
        <v>8402</v>
      </c>
      <c r="E861" s="369" t="s">
        <v>8402</v>
      </c>
      <c r="F861" s="350"/>
      <c r="G861" s="340" t="s">
        <v>1594</v>
      </c>
      <c r="H861" s="341" t="s">
        <v>347</v>
      </c>
      <c r="I861" s="385"/>
      <c r="J861" s="383">
        <v>20250</v>
      </c>
      <c r="K861" s="459"/>
      <c r="L861" s="460"/>
      <c r="M861" s="417"/>
    </row>
    <row r="862" spans="1:13" ht="15" customHeight="1">
      <c r="A862" s="348" t="s">
        <v>6471</v>
      </c>
      <c r="B862" s="322" t="s">
        <v>1088</v>
      </c>
      <c r="C862" s="323"/>
      <c r="D862" s="322"/>
      <c r="E862" s="365"/>
      <c r="F862" s="366"/>
      <c r="G862" s="323" t="s">
        <v>1594</v>
      </c>
      <c r="H862" s="324" t="s">
        <v>6472</v>
      </c>
      <c r="I862" s="376"/>
      <c r="J862" s="377"/>
      <c r="K862" s="459"/>
      <c r="L862" s="460"/>
      <c r="M862" s="417"/>
    </row>
    <row r="863" spans="1:13" ht="15" customHeight="1">
      <c r="A863" s="347"/>
      <c r="C863" s="390" t="s">
        <v>6473</v>
      </c>
      <c r="D863" s="419" t="s">
        <v>8403</v>
      </c>
      <c r="E863" s="388" t="s">
        <v>8403</v>
      </c>
      <c r="F863" s="389"/>
      <c r="G863" s="390" t="s">
        <v>1594</v>
      </c>
      <c r="H863" s="403" t="s">
        <v>6474</v>
      </c>
      <c r="I863" s="413"/>
      <c r="J863" s="392">
        <v>8734</v>
      </c>
      <c r="K863" s="807">
        <v>0.3</v>
      </c>
      <c r="L863" s="464">
        <f>J863*K863/100</f>
        <v>26.201999999999998</v>
      </c>
      <c r="M863" s="417"/>
    </row>
    <row r="864" spans="1:13" ht="15" customHeight="1">
      <c r="A864" s="346"/>
      <c r="B864" s="330"/>
      <c r="C864" s="331" t="s">
        <v>6475</v>
      </c>
      <c r="D864" s="330" t="s">
        <v>8404</v>
      </c>
      <c r="E864" s="367" t="s">
        <v>8404</v>
      </c>
      <c r="F864" s="332"/>
      <c r="G864" s="331" t="s">
        <v>1594</v>
      </c>
      <c r="H864" s="320" t="s">
        <v>350</v>
      </c>
      <c r="I864" s="384"/>
      <c r="J864" s="381">
        <v>94807</v>
      </c>
      <c r="K864" s="459"/>
      <c r="L864" s="460"/>
      <c r="M864" s="417"/>
    </row>
    <row r="865" spans="1:13" ht="15" customHeight="1">
      <c r="A865" s="349" t="s">
        <v>6476</v>
      </c>
      <c r="B865" s="339" t="s">
        <v>1090</v>
      </c>
      <c r="C865" s="816" t="s">
        <v>6477</v>
      </c>
      <c r="D865" s="817" t="s">
        <v>8405</v>
      </c>
      <c r="E865" s="818" t="s">
        <v>8405</v>
      </c>
      <c r="F865" s="819"/>
      <c r="G865" s="816" t="s">
        <v>1594</v>
      </c>
      <c r="H865" s="820" t="s">
        <v>352</v>
      </c>
      <c r="I865" s="821"/>
      <c r="J865" s="822">
        <v>13768</v>
      </c>
      <c r="K865" s="807">
        <v>5.2</v>
      </c>
      <c r="L865" s="558">
        <f>J865*K865/100</f>
        <v>715.93600000000004</v>
      </c>
      <c r="M865" s="417"/>
    </row>
    <row r="866" spans="1:13" ht="15" customHeight="1">
      <c r="A866" s="348" t="s">
        <v>6478</v>
      </c>
      <c r="B866" s="322" t="s">
        <v>1092</v>
      </c>
      <c r="C866" s="323"/>
      <c r="D866" s="322"/>
      <c r="E866" s="365"/>
      <c r="F866" s="366"/>
      <c r="G866" s="323" t="s">
        <v>1594</v>
      </c>
      <c r="H866" s="324" t="s">
        <v>6479</v>
      </c>
      <c r="I866" s="376"/>
      <c r="J866" s="377"/>
      <c r="K866" s="459"/>
      <c r="L866" s="460"/>
      <c r="M866" s="417"/>
    </row>
    <row r="867" spans="1:13" ht="15" customHeight="1">
      <c r="A867" s="347"/>
      <c r="C867" s="327" t="s">
        <v>6480</v>
      </c>
      <c r="D867" s="326" t="s">
        <v>8406</v>
      </c>
      <c r="E867" s="359" t="s">
        <v>8406</v>
      </c>
      <c r="G867" s="327" t="s">
        <v>1594</v>
      </c>
      <c r="H867" s="328" t="s">
        <v>6481</v>
      </c>
      <c r="I867" s="378"/>
      <c r="J867" s="379">
        <v>14882</v>
      </c>
      <c r="K867" s="459"/>
      <c r="L867" s="460"/>
      <c r="M867" s="417"/>
    </row>
    <row r="868" spans="1:13" ht="15" customHeight="1">
      <c r="A868" s="346"/>
      <c r="B868" s="330"/>
      <c r="C868" s="443" t="s">
        <v>6482</v>
      </c>
      <c r="D868" s="542" t="s">
        <v>8407</v>
      </c>
      <c r="E868" s="441" t="s">
        <v>8407</v>
      </c>
      <c r="F868" s="442"/>
      <c r="G868" s="443" t="s">
        <v>1594</v>
      </c>
      <c r="H868" s="543" t="s">
        <v>355</v>
      </c>
      <c r="I868" s="445"/>
      <c r="J868" s="446">
        <v>21064</v>
      </c>
      <c r="K868" s="466">
        <v>5.2</v>
      </c>
      <c r="L868" s="467">
        <f>J868*K868/100</f>
        <v>1095.328</v>
      </c>
      <c r="M868" s="417"/>
    </row>
    <row r="869" spans="1:13" ht="15" customHeight="1">
      <c r="A869" s="347" t="s">
        <v>6483</v>
      </c>
      <c r="B869" s="326" t="s">
        <v>1094</v>
      </c>
      <c r="D869" s="326" t="s">
        <v>1594</v>
      </c>
      <c r="G869" s="327" t="s">
        <v>1594</v>
      </c>
      <c r="H869" s="328" t="s">
        <v>6484</v>
      </c>
      <c r="I869" s="378"/>
      <c r="J869" s="379"/>
      <c r="K869" s="459"/>
      <c r="L869" s="460"/>
      <c r="M869" s="417"/>
    </row>
    <row r="870" spans="1:13" ht="15" customHeight="1">
      <c r="A870" s="325"/>
      <c r="B870" s="326" t="s">
        <v>1594</v>
      </c>
      <c r="C870" s="327" t="s">
        <v>6485</v>
      </c>
      <c r="D870" s="326" t="s">
        <v>8408</v>
      </c>
      <c r="E870" s="359" t="s">
        <v>8408</v>
      </c>
      <c r="G870" s="327" t="s">
        <v>1594</v>
      </c>
      <c r="H870" s="328" t="s">
        <v>357</v>
      </c>
      <c r="I870" s="378"/>
      <c r="J870" s="379">
        <v>0</v>
      </c>
      <c r="K870" s="459"/>
      <c r="L870" s="460"/>
      <c r="M870" s="417"/>
    </row>
    <row r="871" spans="1:13" ht="15" customHeight="1">
      <c r="A871" s="325"/>
      <c r="B871" s="326" t="s">
        <v>1594</v>
      </c>
      <c r="C871" s="327" t="s">
        <v>6486</v>
      </c>
      <c r="D871" s="326" t="s">
        <v>8409</v>
      </c>
      <c r="E871" s="359" t="s">
        <v>8409</v>
      </c>
      <c r="G871" s="327" t="s">
        <v>1594</v>
      </c>
      <c r="H871" s="328" t="s">
        <v>359</v>
      </c>
      <c r="I871" s="378"/>
      <c r="J871" s="381">
        <v>60584</v>
      </c>
      <c r="K871" s="459"/>
      <c r="L871" s="460"/>
      <c r="M871" s="417"/>
    </row>
    <row r="872" spans="1:13" ht="15" customHeight="1">
      <c r="A872" s="349" t="s">
        <v>6487</v>
      </c>
      <c r="B872" s="339" t="s">
        <v>1096</v>
      </c>
      <c r="C872" s="340" t="s">
        <v>6488</v>
      </c>
      <c r="D872" s="339" t="s">
        <v>8410</v>
      </c>
      <c r="E872" s="369" t="s">
        <v>8410</v>
      </c>
      <c r="F872" s="350"/>
      <c r="G872" s="340" t="s">
        <v>1594</v>
      </c>
      <c r="H872" s="341" t="s">
        <v>361</v>
      </c>
      <c r="I872" s="385"/>
      <c r="J872" s="381">
        <v>390</v>
      </c>
      <c r="K872" s="459"/>
      <c r="L872" s="460"/>
      <c r="M872" s="417"/>
    </row>
    <row r="873" spans="1:13" ht="15" customHeight="1">
      <c r="A873" s="347" t="s">
        <v>6489</v>
      </c>
      <c r="B873" s="326" t="s">
        <v>1098</v>
      </c>
      <c r="D873" s="326" t="s">
        <v>1594</v>
      </c>
      <c r="G873" s="327" t="s">
        <v>1594</v>
      </c>
      <c r="H873" s="328" t="s">
        <v>6490</v>
      </c>
      <c r="I873" s="378"/>
      <c r="J873" s="379"/>
      <c r="K873" s="459"/>
      <c r="L873" s="460"/>
      <c r="M873" s="417"/>
    </row>
    <row r="874" spans="1:13" ht="15" customHeight="1">
      <c r="A874" s="325"/>
      <c r="B874" s="326" t="s">
        <v>1594</v>
      </c>
      <c r="C874" s="327" t="s">
        <v>6491</v>
      </c>
      <c r="D874" s="326" t="s">
        <v>8411</v>
      </c>
      <c r="E874" s="359" t="s">
        <v>8411</v>
      </c>
      <c r="G874" s="327" t="s">
        <v>1594</v>
      </c>
      <c r="H874" s="328" t="s">
        <v>362</v>
      </c>
      <c r="I874" s="378"/>
      <c r="J874" s="379">
        <v>4289</v>
      </c>
      <c r="K874" s="459"/>
      <c r="L874" s="460"/>
      <c r="M874" s="417"/>
    </row>
    <row r="875" spans="1:13" ht="15" customHeight="1">
      <c r="A875" s="329"/>
      <c r="B875" s="330" t="s">
        <v>1594</v>
      </c>
      <c r="C875" s="331" t="s">
        <v>6492</v>
      </c>
      <c r="D875" s="330" t="s">
        <v>8412</v>
      </c>
      <c r="E875" s="367" t="s">
        <v>8412</v>
      </c>
      <c r="F875" s="332"/>
      <c r="G875" s="331" t="s">
        <v>1594</v>
      </c>
      <c r="H875" s="320" t="s">
        <v>6493</v>
      </c>
      <c r="I875" s="384"/>
      <c r="J875" s="381">
        <v>28470</v>
      </c>
      <c r="K875" s="459"/>
      <c r="L875" s="460"/>
      <c r="M875" s="417"/>
    </row>
    <row r="876" spans="1:13" ht="15" customHeight="1">
      <c r="A876" s="347" t="s">
        <v>6494</v>
      </c>
      <c r="B876" s="326" t="s">
        <v>1100</v>
      </c>
      <c r="C876" s="327" t="s">
        <v>6495</v>
      </c>
      <c r="D876" s="326" t="s">
        <v>8413</v>
      </c>
      <c r="E876" s="359" t="s">
        <v>8413</v>
      </c>
      <c r="H876" s="328" t="s">
        <v>365</v>
      </c>
      <c r="I876" s="378"/>
      <c r="J876" s="379">
        <v>18093</v>
      </c>
      <c r="K876" s="459"/>
      <c r="L876" s="460"/>
      <c r="M876" s="417"/>
    </row>
    <row r="877" spans="1:13" ht="15" customHeight="1">
      <c r="A877" s="347"/>
      <c r="D877" s="326"/>
      <c r="G877" s="327" t="s">
        <v>1594</v>
      </c>
      <c r="H877" s="328" t="s">
        <v>6496</v>
      </c>
      <c r="I877" s="378"/>
      <c r="J877" s="379">
        <v>14322</v>
      </c>
      <c r="K877" s="459"/>
      <c r="L877" s="460"/>
      <c r="M877" s="417"/>
    </row>
    <row r="878" spans="1:13" ht="15" customHeight="1">
      <c r="A878" s="347"/>
      <c r="D878" s="326"/>
      <c r="H878" s="328" t="s">
        <v>6497</v>
      </c>
      <c r="I878" s="378"/>
      <c r="J878" s="379">
        <v>1170</v>
      </c>
      <c r="K878" s="459"/>
      <c r="L878" s="460"/>
      <c r="M878" s="417"/>
    </row>
    <row r="879" spans="1:13" ht="15" customHeight="1">
      <c r="A879" s="347"/>
      <c r="D879" s="326"/>
      <c r="H879" s="328" t="s">
        <v>6498</v>
      </c>
      <c r="I879" s="378"/>
      <c r="J879" s="379">
        <v>2342</v>
      </c>
      <c r="K879" s="459"/>
      <c r="L879" s="460"/>
      <c r="M879" s="417"/>
    </row>
    <row r="880" spans="1:13" ht="15" customHeight="1">
      <c r="A880" s="347"/>
      <c r="D880" s="326"/>
      <c r="H880" s="328" t="s">
        <v>6499</v>
      </c>
      <c r="I880" s="378"/>
      <c r="J880" s="379">
        <v>395</v>
      </c>
      <c r="K880" s="459"/>
      <c r="L880" s="460"/>
      <c r="M880" s="417"/>
    </row>
    <row r="881" spans="1:13" ht="15" customHeight="1">
      <c r="A881" s="347"/>
      <c r="D881" s="326"/>
      <c r="H881" s="328" t="s">
        <v>6500</v>
      </c>
      <c r="I881" s="378"/>
      <c r="J881" s="379">
        <v>16</v>
      </c>
      <c r="K881" s="459"/>
      <c r="L881" s="460"/>
      <c r="M881" s="417"/>
    </row>
    <row r="882" spans="1:13" ht="15" customHeight="1">
      <c r="A882" s="346"/>
      <c r="B882" s="330"/>
      <c r="C882" s="331"/>
      <c r="D882" s="330"/>
      <c r="E882" s="367"/>
      <c r="F882" s="332"/>
      <c r="G882" s="331"/>
      <c r="H882" s="320" t="s">
        <v>6155</v>
      </c>
      <c r="I882" s="384"/>
      <c r="J882" s="379">
        <v>-152</v>
      </c>
      <c r="K882" s="459"/>
      <c r="L882" s="460"/>
      <c r="M882" s="417"/>
    </row>
    <row r="883" spans="1:13" ht="15" customHeight="1">
      <c r="A883" s="349" t="s">
        <v>6501</v>
      </c>
      <c r="B883" s="339" t="s">
        <v>1102</v>
      </c>
      <c r="C883" s="340" t="s">
        <v>6502</v>
      </c>
      <c r="D883" s="339" t="s">
        <v>8414</v>
      </c>
      <c r="E883" s="369" t="s">
        <v>8414</v>
      </c>
      <c r="F883" s="350"/>
      <c r="G883" s="340" t="s">
        <v>1594</v>
      </c>
      <c r="H883" s="341" t="s">
        <v>367</v>
      </c>
      <c r="I883" s="385"/>
      <c r="J883" s="383">
        <v>40194</v>
      </c>
      <c r="K883" s="459"/>
      <c r="L883" s="460"/>
      <c r="M883" s="417"/>
    </row>
    <row r="884" spans="1:13" ht="15" customHeight="1">
      <c r="A884" s="349" t="s">
        <v>6503</v>
      </c>
      <c r="B884" s="339" t="s">
        <v>1104</v>
      </c>
      <c r="C884" s="340" t="s">
        <v>6504</v>
      </c>
      <c r="D884" s="339" t="s">
        <v>8415</v>
      </c>
      <c r="E884" s="369" t="s">
        <v>8415</v>
      </c>
      <c r="F884" s="350"/>
      <c r="G884" s="340" t="s">
        <v>1594</v>
      </c>
      <c r="H884" s="341" t="s">
        <v>368</v>
      </c>
      <c r="I884" s="385"/>
      <c r="J884" s="383">
        <v>40570</v>
      </c>
      <c r="K884" s="459"/>
      <c r="L884" s="460"/>
      <c r="M884" s="417"/>
    </row>
    <row r="885" spans="1:13" ht="15" customHeight="1">
      <c r="A885" s="347" t="s">
        <v>6505</v>
      </c>
      <c r="B885" s="326" t="s">
        <v>1106</v>
      </c>
      <c r="D885" s="326" t="s">
        <v>1594</v>
      </c>
      <c r="G885" s="327" t="s">
        <v>1594</v>
      </c>
      <c r="H885" s="328" t="s">
        <v>6506</v>
      </c>
      <c r="I885" s="378"/>
      <c r="J885" s="379"/>
      <c r="K885" s="459"/>
      <c r="L885" s="460"/>
      <c r="M885" s="417"/>
    </row>
    <row r="886" spans="1:13" ht="15" customHeight="1">
      <c r="A886" s="325"/>
      <c r="B886" s="326" t="s">
        <v>1594</v>
      </c>
      <c r="C886" s="327" t="s">
        <v>6507</v>
      </c>
      <c r="D886" s="326" t="s">
        <v>8416</v>
      </c>
      <c r="E886" s="359" t="s">
        <v>8416</v>
      </c>
      <c r="G886" s="327" t="s">
        <v>1594</v>
      </c>
      <c r="H886" s="328" t="s">
        <v>370</v>
      </c>
      <c r="I886" s="378"/>
      <c r="J886" s="379">
        <v>720</v>
      </c>
      <c r="K886" s="459"/>
      <c r="L886" s="460"/>
      <c r="M886" s="417"/>
    </row>
    <row r="887" spans="1:13" ht="15" customHeight="1">
      <c r="A887" s="325"/>
      <c r="B887" s="326" t="s">
        <v>1594</v>
      </c>
      <c r="C887" s="327" t="s">
        <v>6508</v>
      </c>
      <c r="D887" s="326" t="s">
        <v>8417</v>
      </c>
      <c r="E887" s="359" t="s">
        <v>8417</v>
      </c>
      <c r="G887" s="327" t="s">
        <v>1594</v>
      </c>
      <c r="H887" s="328" t="s">
        <v>371</v>
      </c>
      <c r="I887" s="378"/>
      <c r="J887" s="379">
        <v>4608</v>
      </c>
      <c r="K887" s="459"/>
      <c r="L887" s="460"/>
      <c r="M887" s="417"/>
    </row>
    <row r="888" spans="1:13" ht="15" customHeight="1">
      <c r="A888" s="329"/>
      <c r="B888" s="330" t="s">
        <v>1594</v>
      </c>
      <c r="C888" s="331" t="s">
        <v>6509</v>
      </c>
      <c r="D888" s="330" t="s">
        <v>8418</v>
      </c>
      <c r="E888" s="367" t="s">
        <v>8418</v>
      </c>
      <c r="G888" s="327" t="s">
        <v>1594</v>
      </c>
      <c r="H888" s="328" t="s">
        <v>372</v>
      </c>
      <c r="I888" s="378"/>
      <c r="J888" s="379">
        <v>163</v>
      </c>
      <c r="K888" s="459"/>
      <c r="L888" s="460"/>
      <c r="M888" s="417"/>
    </row>
    <row r="889" spans="1:13" ht="15" customHeight="1">
      <c r="A889" s="347" t="s">
        <v>6510</v>
      </c>
      <c r="B889" s="326" t="s">
        <v>1108</v>
      </c>
      <c r="C889" s="327" t="s">
        <v>6511</v>
      </c>
      <c r="D889" s="326" t="s">
        <v>8419</v>
      </c>
      <c r="E889" s="359" t="s">
        <v>8419</v>
      </c>
      <c r="F889" s="350"/>
      <c r="G889" s="340" t="s">
        <v>1594</v>
      </c>
      <c r="H889" s="341" t="s">
        <v>374</v>
      </c>
      <c r="I889" s="385"/>
      <c r="J889" s="383">
        <v>23139</v>
      </c>
      <c r="K889" s="459"/>
      <c r="L889" s="460"/>
      <c r="M889" s="417"/>
    </row>
    <row r="890" spans="1:13" ht="15" customHeight="1">
      <c r="A890" s="349" t="s">
        <v>6512</v>
      </c>
      <c r="B890" s="339" t="s">
        <v>1110</v>
      </c>
      <c r="C890" s="340" t="s">
        <v>6513</v>
      </c>
      <c r="D890" s="339" t="s">
        <v>8420</v>
      </c>
      <c r="E890" s="369" t="s">
        <v>8420</v>
      </c>
      <c r="F890" s="350"/>
      <c r="G890" s="340" t="s">
        <v>1594</v>
      </c>
      <c r="H890" s="341" t="s">
        <v>375</v>
      </c>
      <c r="I890" s="385"/>
      <c r="J890" s="381">
        <v>11337</v>
      </c>
      <c r="K890" s="459"/>
      <c r="L890" s="460"/>
      <c r="M890" s="417"/>
    </row>
    <row r="891" spans="1:13" ht="15" customHeight="1">
      <c r="A891" s="347" t="s">
        <v>6514</v>
      </c>
      <c r="B891" s="326" t="s">
        <v>1112</v>
      </c>
      <c r="C891" s="327" t="s">
        <v>6515</v>
      </c>
      <c r="D891" s="326" t="s">
        <v>8421</v>
      </c>
      <c r="E891" s="359" t="s">
        <v>8421</v>
      </c>
      <c r="F891" s="350"/>
      <c r="G891" s="340" t="s">
        <v>1594</v>
      </c>
      <c r="H891" s="341" t="s">
        <v>377</v>
      </c>
      <c r="I891" s="385"/>
      <c r="J891" s="381">
        <v>5721</v>
      </c>
      <c r="K891" s="459"/>
      <c r="L891" s="460"/>
      <c r="M891" s="417"/>
    </row>
    <row r="892" spans="1:13" ht="15" customHeight="1">
      <c r="A892" s="349" t="s">
        <v>6516</v>
      </c>
      <c r="B892" s="339" t="s">
        <v>1114</v>
      </c>
      <c r="C892" s="340" t="s">
        <v>6517</v>
      </c>
      <c r="D892" s="339" t="s">
        <v>8422</v>
      </c>
      <c r="E892" s="369" t="s">
        <v>8422</v>
      </c>
      <c r="F892" s="350"/>
      <c r="G892" s="340" t="s">
        <v>1594</v>
      </c>
      <c r="H892" s="341" t="s">
        <v>6518</v>
      </c>
      <c r="I892" s="385"/>
      <c r="J892" s="381">
        <v>2659</v>
      </c>
      <c r="K892" s="459"/>
      <c r="L892" s="460"/>
      <c r="M892" s="417"/>
    </row>
    <row r="893" spans="1:13" ht="15" customHeight="1">
      <c r="A893" s="347" t="s">
        <v>6519</v>
      </c>
      <c r="B893" s="326" t="s">
        <v>1116</v>
      </c>
      <c r="C893" s="327" t="s">
        <v>6520</v>
      </c>
      <c r="D893" s="326" t="s">
        <v>8423</v>
      </c>
      <c r="E893" s="359" t="s">
        <v>8423</v>
      </c>
      <c r="G893" s="327" t="s">
        <v>1594</v>
      </c>
      <c r="H893" s="328" t="s">
        <v>379</v>
      </c>
      <c r="I893" s="378"/>
      <c r="J893" s="383">
        <v>21304</v>
      </c>
      <c r="K893" s="459"/>
      <c r="L893" s="460"/>
      <c r="M893" s="417"/>
    </row>
    <row r="894" spans="1:13" ht="15" customHeight="1">
      <c r="A894" s="348" t="s">
        <v>6521</v>
      </c>
      <c r="B894" s="322" t="s">
        <v>1118</v>
      </c>
      <c r="C894" s="340" t="s">
        <v>6522</v>
      </c>
      <c r="D894" s="339" t="s">
        <v>8424</v>
      </c>
      <c r="E894" s="369" t="s">
        <v>8424</v>
      </c>
      <c r="F894" s="366"/>
      <c r="G894" s="323" t="s">
        <v>1594</v>
      </c>
      <c r="H894" s="324" t="s">
        <v>381</v>
      </c>
      <c r="I894" s="376">
        <v>3033611</v>
      </c>
      <c r="J894" s="379">
        <v>197814</v>
      </c>
      <c r="K894" s="459"/>
      <c r="L894" s="460"/>
      <c r="M894" s="417"/>
    </row>
    <row r="895" spans="1:13" ht="15" customHeight="1">
      <c r="A895" s="348" t="s">
        <v>6523</v>
      </c>
      <c r="B895" s="322" t="s">
        <v>1120</v>
      </c>
      <c r="C895" s="327" t="s">
        <v>6524</v>
      </c>
      <c r="D895" s="326" t="s">
        <v>8425</v>
      </c>
      <c r="E895" s="359" t="s">
        <v>8425</v>
      </c>
      <c r="F895" s="366"/>
      <c r="G895" s="323" t="s">
        <v>1594</v>
      </c>
      <c r="H895" s="324" t="s">
        <v>383</v>
      </c>
      <c r="I895" s="376"/>
      <c r="J895" s="377">
        <v>5301</v>
      </c>
      <c r="K895" s="459"/>
      <c r="L895" s="460"/>
      <c r="M895" s="417"/>
    </row>
    <row r="896" spans="1:13" ht="15" customHeight="1">
      <c r="A896" s="347"/>
      <c r="D896" s="326"/>
      <c r="H896" s="328" t="s">
        <v>6525</v>
      </c>
      <c r="I896" s="378"/>
      <c r="J896" s="379">
        <v>4511</v>
      </c>
      <c r="K896" s="459"/>
      <c r="L896" s="460"/>
      <c r="M896" s="417"/>
    </row>
    <row r="897" spans="1:13" ht="15" customHeight="1">
      <c r="A897" s="347"/>
      <c r="D897" s="326"/>
      <c r="H897" s="328" t="s">
        <v>6526</v>
      </c>
      <c r="I897" s="378"/>
      <c r="J897" s="379">
        <v>0</v>
      </c>
      <c r="K897" s="459"/>
      <c r="L897" s="460"/>
      <c r="M897" s="417"/>
    </row>
    <row r="898" spans="1:13" ht="15" customHeight="1">
      <c r="A898" s="347"/>
      <c r="D898" s="326"/>
      <c r="H898" s="328" t="s">
        <v>6527</v>
      </c>
      <c r="I898" s="378"/>
      <c r="J898" s="379">
        <v>0</v>
      </c>
      <c r="K898" s="459"/>
      <c r="L898" s="460"/>
      <c r="M898" s="417"/>
    </row>
    <row r="899" spans="1:13" ht="15" customHeight="1">
      <c r="A899" s="347"/>
      <c r="D899" s="326"/>
      <c r="H899" s="328" t="s">
        <v>6528</v>
      </c>
      <c r="I899" s="378"/>
      <c r="J899" s="379">
        <v>0</v>
      </c>
      <c r="K899" s="459"/>
      <c r="L899" s="460"/>
      <c r="M899" s="417"/>
    </row>
    <row r="900" spans="1:13" ht="15" customHeight="1">
      <c r="A900" s="347"/>
      <c r="D900" s="326"/>
      <c r="H900" s="328" t="s">
        <v>6529</v>
      </c>
      <c r="I900" s="378"/>
      <c r="J900" s="379">
        <v>824</v>
      </c>
      <c r="K900" s="459"/>
      <c r="L900" s="460"/>
      <c r="M900" s="417"/>
    </row>
    <row r="901" spans="1:13" ht="15" customHeight="1">
      <c r="A901" s="347"/>
      <c r="D901" s="326"/>
      <c r="H901" s="328" t="s">
        <v>6530</v>
      </c>
      <c r="I901" s="378"/>
      <c r="J901" s="379">
        <v>0</v>
      </c>
      <c r="K901" s="459"/>
      <c r="L901" s="460"/>
      <c r="M901" s="417"/>
    </row>
    <row r="902" spans="1:13" ht="15" customHeight="1">
      <c r="A902" s="346"/>
      <c r="B902" s="330"/>
      <c r="C902" s="331"/>
      <c r="D902" s="330"/>
      <c r="E902" s="367"/>
      <c r="F902" s="332"/>
      <c r="G902" s="331"/>
      <c r="H902" s="320" t="s">
        <v>6155</v>
      </c>
      <c r="I902" s="384"/>
      <c r="J902" s="381">
        <v>-34</v>
      </c>
      <c r="K902" s="459"/>
      <c r="L902" s="460"/>
      <c r="M902" s="417"/>
    </row>
    <row r="903" spans="1:13" ht="15" customHeight="1">
      <c r="A903" s="348" t="s">
        <v>6531</v>
      </c>
      <c r="B903" s="322" t="s">
        <v>1122</v>
      </c>
      <c r="C903" s="327" t="s">
        <v>6532</v>
      </c>
      <c r="D903" s="326" t="s">
        <v>8426</v>
      </c>
      <c r="E903" s="359" t="s">
        <v>8426</v>
      </c>
      <c r="F903" s="366"/>
      <c r="G903" s="323" t="s">
        <v>1594</v>
      </c>
      <c r="H903" s="324" t="s">
        <v>384</v>
      </c>
      <c r="I903" s="376">
        <v>4449988</v>
      </c>
      <c r="J903" s="377">
        <v>489569</v>
      </c>
      <c r="K903" s="459"/>
      <c r="L903" s="460"/>
      <c r="M903" s="417"/>
    </row>
    <row r="904" spans="1:13" ht="15" customHeight="1">
      <c r="A904" s="347"/>
      <c r="C904" s="345"/>
      <c r="D904" s="345"/>
      <c r="E904" s="345"/>
      <c r="H904" s="328" t="s">
        <v>6533</v>
      </c>
      <c r="I904" s="378">
        <v>3135045</v>
      </c>
      <c r="J904" s="379">
        <v>244911</v>
      </c>
      <c r="K904" s="459"/>
      <c r="L904" s="460"/>
      <c r="M904" s="417"/>
    </row>
    <row r="905" spans="1:13" ht="15" customHeight="1">
      <c r="A905" s="347"/>
      <c r="C905" s="345"/>
      <c r="D905" s="345"/>
      <c r="E905" s="345"/>
      <c r="H905" s="328" t="s">
        <v>6534</v>
      </c>
      <c r="I905" s="378">
        <v>8777</v>
      </c>
      <c r="J905" s="379">
        <v>3281</v>
      </c>
      <c r="K905" s="459"/>
      <c r="L905" s="460"/>
      <c r="M905" s="417"/>
    </row>
    <row r="906" spans="1:13" ht="15" customHeight="1">
      <c r="A906" s="347"/>
      <c r="C906" s="345"/>
      <c r="D906" s="345"/>
      <c r="E906" s="345"/>
      <c r="H906" s="328" t="s">
        <v>6535</v>
      </c>
      <c r="I906" s="378">
        <v>1306166</v>
      </c>
      <c r="J906" s="379">
        <v>241377</v>
      </c>
      <c r="K906" s="459"/>
      <c r="L906" s="460"/>
      <c r="M906" s="417"/>
    </row>
    <row r="907" spans="1:13" ht="15" customHeight="1">
      <c r="A907" s="346"/>
      <c r="B907" s="330"/>
      <c r="C907" s="331"/>
      <c r="D907" s="330"/>
      <c r="E907" s="367"/>
      <c r="F907" s="332"/>
      <c r="G907" s="331"/>
      <c r="H907" s="320" t="s">
        <v>6155</v>
      </c>
      <c r="I907" s="384"/>
      <c r="J907" s="381">
        <v>0</v>
      </c>
      <c r="K907" s="459"/>
      <c r="L907" s="460"/>
      <c r="M907" s="417"/>
    </row>
    <row r="908" spans="1:13" ht="15" customHeight="1">
      <c r="A908" s="347" t="s">
        <v>6536</v>
      </c>
      <c r="B908" s="326" t="s">
        <v>1124</v>
      </c>
      <c r="C908" s="327" t="s">
        <v>6537</v>
      </c>
      <c r="D908" s="326" t="s">
        <v>8427</v>
      </c>
      <c r="E908" s="359" t="s">
        <v>8427</v>
      </c>
      <c r="G908" s="327" t="s">
        <v>1594</v>
      </c>
      <c r="H908" s="328" t="s">
        <v>385</v>
      </c>
      <c r="I908" s="378">
        <v>1481050</v>
      </c>
      <c r="J908" s="379">
        <v>194783</v>
      </c>
      <c r="K908" s="459"/>
      <c r="L908" s="460"/>
      <c r="M908" s="417"/>
    </row>
    <row r="909" spans="1:13" ht="15" customHeight="1">
      <c r="A909" s="347"/>
      <c r="D909" s="326"/>
      <c r="H909" s="328" t="s">
        <v>6538</v>
      </c>
      <c r="I909" s="378">
        <v>847883</v>
      </c>
      <c r="J909" s="379">
        <v>59831</v>
      </c>
      <c r="K909" s="459"/>
      <c r="L909" s="460"/>
      <c r="M909" s="417"/>
    </row>
    <row r="910" spans="1:13" ht="15" customHeight="1">
      <c r="A910" s="347"/>
      <c r="D910" s="326"/>
      <c r="H910" s="328" t="s">
        <v>6534</v>
      </c>
      <c r="I910" s="378">
        <v>90331</v>
      </c>
      <c r="J910" s="379">
        <v>25774</v>
      </c>
      <c r="K910" s="459"/>
      <c r="L910" s="460"/>
      <c r="M910" s="417"/>
    </row>
    <row r="911" spans="1:13" ht="15" customHeight="1">
      <c r="A911" s="347"/>
      <c r="D911" s="326"/>
      <c r="H911" s="328" t="s">
        <v>6535</v>
      </c>
      <c r="I911" s="378">
        <v>520412</v>
      </c>
      <c r="J911" s="379">
        <v>107637</v>
      </c>
      <c r="K911" s="459"/>
      <c r="L911" s="460"/>
      <c r="M911" s="417"/>
    </row>
    <row r="912" spans="1:13" ht="15" customHeight="1">
      <c r="A912" s="347"/>
      <c r="D912" s="326"/>
      <c r="H912" s="328" t="s">
        <v>6539</v>
      </c>
      <c r="I912" s="378">
        <v>7116</v>
      </c>
      <c r="J912" s="379">
        <v>553</v>
      </c>
      <c r="K912" s="459"/>
      <c r="L912" s="460"/>
      <c r="M912" s="417"/>
    </row>
    <row r="913" spans="1:13" ht="15" customHeight="1">
      <c r="A913" s="347"/>
      <c r="D913" s="326"/>
      <c r="H913" s="328" t="s">
        <v>6540</v>
      </c>
      <c r="I913" s="378">
        <v>15308</v>
      </c>
      <c r="J913" s="379">
        <v>988</v>
      </c>
      <c r="K913" s="459"/>
      <c r="L913" s="460"/>
      <c r="M913" s="417"/>
    </row>
    <row r="914" spans="1:13" ht="15" customHeight="1">
      <c r="A914" s="346"/>
      <c r="B914" s="330"/>
      <c r="C914" s="331"/>
      <c r="D914" s="330"/>
      <c r="E914" s="367"/>
      <c r="F914" s="332"/>
      <c r="G914" s="331"/>
      <c r="H914" s="320" t="s">
        <v>6155</v>
      </c>
      <c r="I914" s="384"/>
      <c r="J914" s="381">
        <v>0</v>
      </c>
      <c r="K914" s="459"/>
      <c r="L914" s="460"/>
      <c r="M914" s="417"/>
    </row>
    <row r="915" spans="1:13" ht="15" customHeight="1">
      <c r="A915" s="329"/>
      <c r="B915" s="330" t="s">
        <v>1594</v>
      </c>
      <c r="C915" s="331" t="s">
        <v>6541</v>
      </c>
      <c r="D915" s="330" t="s">
        <v>8428</v>
      </c>
      <c r="E915" s="367" t="s">
        <v>8428</v>
      </c>
      <c r="F915" s="332"/>
      <c r="G915" s="331" t="s">
        <v>1594</v>
      </c>
      <c r="H915" s="320" t="s">
        <v>388</v>
      </c>
      <c r="I915" s="384"/>
      <c r="J915" s="381">
        <v>0</v>
      </c>
      <c r="K915" s="459"/>
      <c r="L915" s="460"/>
      <c r="M915" s="417"/>
    </row>
    <row r="916" spans="1:13" ht="15" customHeight="1">
      <c r="A916" s="347" t="s">
        <v>6542</v>
      </c>
      <c r="B916" s="326" t="s">
        <v>1126</v>
      </c>
      <c r="D916" s="326" t="s">
        <v>1594</v>
      </c>
      <c r="G916" s="327" t="s">
        <v>1594</v>
      </c>
      <c r="H916" s="328" t="s">
        <v>6543</v>
      </c>
      <c r="I916" s="378"/>
      <c r="J916" s="377"/>
      <c r="K916" s="459"/>
      <c r="L916" s="460"/>
      <c r="M916" s="417"/>
    </row>
    <row r="917" spans="1:13" ht="15" customHeight="1">
      <c r="A917" s="325"/>
      <c r="B917" s="326" t="s">
        <v>1594</v>
      </c>
      <c r="C917" s="327" t="s">
        <v>6544</v>
      </c>
      <c r="D917" s="326" t="s">
        <v>8429</v>
      </c>
      <c r="E917" s="359" t="s">
        <v>8429</v>
      </c>
      <c r="G917" s="327" t="s">
        <v>1594</v>
      </c>
      <c r="H917" s="328" t="s">
        <v>390</v>
      </c>
      <c r="I917" s="378"/>
      <c r="J917" s="379">
        <v>65717</v>
      </c>
      <c r="K917" s="459"/>
      <c r="L917" s="460"/>
      <c r="M917" s="417"/>
    </row>
    <row r="918" spans="1:13" ht="15" customHeight="1">
      <c r="A918" s="325"/>
      <c r="D918" s="326"/>
      <c r="H918" s="328" t="s">
        <v>6545</v>
      </c>
      <c r="I918" s="378"/>
      <c r="J918" s="379">
        <v>4585</v>
      </c>
      <c r="K918" s="459"/>
      <c r="L918" s="460"/>
      <c r="M918" s="417"/>
    </row>
    <row r="919" spans="1:13" ht="15" customHeight="1">
      <c r="A919" s="325"/>
      <c r="D919" s="326"/>
      <c r="H919" s="328" t="s">
        <v>6546</v>
      </c>
      <c r="I919" s="378"/>
      <c r="J919" s="379">
        <v>35870</v>
      </c>
      <c r="K919" s="459"/>
      <c r="L919" s="460"/>
      <c r="M919" s="417"/>
    </row>
    <row r="920" spans="1:13" ht="15" customHeight="1">
      <c r="A920" s="325"/>
      <c r="D920" s="326"/>
      <c r="H920" s="328" t="s">
        <v>6547</v>
      </c>
      <c r="I920" s="378"/>
      <c r="J920" s="379">
        <v>14151</v>
      </c>
      <c r="K920" s="459"/>
      <c r="L920" s="460"/>
      <c r="M920" s="417"/>
    </row>
    <row r="921" spans="1:13" ht="15" customHeight="1">
      <c r="A921" s="325"/>
      <c r="D921" s="326"/>
      <c r="H921" s="328" t="s">
        <v>6548</v>
      </c>
      <c r="I921" s="378"/>
      <c r="J921" s="379">
        <v>11957</v>
      </c>
      <c r="K921" s="459"/>
      <c r="L921" s="460"/>
      <c r="M921" s="417"/>
    </row>
    <row r="922" spans="1:13" ht="15" customHeight="1">
      <c r="A922" s="325"/>
      <c r="D922" s="326"/>
      <c r="H922" s="328" t="s">
        <v>6155</v>
      </c>
      <c r="I922" s="378"/>
      <c r="J922" s="379">
        <v>-846</v>
      </c>
      <c r="K922" s="459"/>
      <c r="L922" s="460"/>
      <c r="M922" s="417"/>
    </row>
    <row r="923" spans="1:13" ht="15" customHeight="1">
      <c r="A923" s="325"/>
      <c r="B923" s="326" t="s">
        <v>1594</v>
      </c>
      <c r="C923" s="327" t="s">
        <v>6549</v>
      </c>
      <c r="D923" s="326" t="s">
        <v>8430</v>
      </c>
      <c r="E923" s="359" t="s">
        <v>8430</v>
      </c>
      <c r="G923" s="327" t="s">
        <v>1594</v>
      </c>
      <c r="H923" s="328" t="s">
        <v>391</v>
      </c>
      <c r="I923" s="378"/>
      <c r="J923" s="379">
        <v>101911</v>
      </c>
      <c r="K923" s="459"/>
      <c r="L923" s="460"/>
      <c r="M923" s="417"/>
    </row>
    <row r="924" spans="1:13" ht="15" customHeight="1">
      <c r="A924" s="325"/>
      <c r="D924" s="326"/>
      <c r="H924" s="328" t="s">
        <v>6550</v>
      </c>
      <c r="I924" s="378"/>
      <c r="J924" s="379">
        <v>100490</v>
      </c>
      <c r="K924" s="459"/>
      <c r="L924" s="460"/>
      <c r="M924" s="417"/>
    </row>
    <row r="925" spans="1:13" ht="15" customHeight="1">
      <c r="A925" s="325"/>
      <c r="D925" s="326"/>
      <c r="H925" s="328" t="s">
        <v>6551</v>
      </c>
      <c r="I925" s="378"/>
      <c r="J925" s="379">
        <v>480</v>
      </c>
      <c r="K925" s="459"/>
      <c r="L925" s="460"/>
      <c r="M925" s="417"/>
    </row>
    <row r="926" spans="1:13" ht="15" customHeight="1">
      <c r="A926" s="325"/>
      <c r="D926" s="326"/>
      <c r="H926" s="328" t="s">
        <v>6155</v>
      </c>
      <c r="I926" s="378"/>
      <c r="J926" s="379">
        <v>941</v>
      </c>
      <c r="K926" s="459"/>
      <c r="L926" s="460"/>
      <c r="M926" s="417"/>
    </row>
    <row r="927" spans="1:13" ht="15" customHeight="1">
      <c r="A927" s="325"/>
      <c r="B927" s="326" t="s">
        <v>1594</v>
      </c>
      <c r="C927" s="327" t="s">
        <v>6552</v>
      </c>
      <c r="D927" s="326" t="s">
        <v>8431</v>
      </c>
      <c r="E927" s="359" t="s">
        <v>8431</v>
      </c>
      <c r="G927" s="327" t="s">
        <v>1594</v>
      </c>
      <c r="H927" s="328" t="s">
        <v>6553</v>
      </c>
      <c r="I927" s="378">
        <v>2898065</v>
      </c>
      <c r="J927" s="379">
        <v>194962</v>
      </c>
      <c r="K927" s="459"/>
      <c r="L927" s="460"/>
      <c r="M927" s="417"/>
    </row>
    <row r="928" spans="1:13" ht="15" customHeight="1">
      <c r="A928" s="325"/>
      <c r="D928" s="326"/>
      <c r="H928" s="328" t="s">
        <v>6554</v>
      </c>
      <c r="I928" s="378"/>
      <c r="J928" s="379">
        <v>21307</v>
      </c>
      <c r="K928" s="459"/>
      <c r="L928" s="460"/>
      <c r="M928" s="417"/>
    </row>
    <row r="929" spans="1:13" ht="15" customHeight="1">
      <c r="A929" s="325"/>
      <c r="D929" s="326"/>
      <c r="H929" s="328" t="s">
        <v>6555</v>
      </c>
      <c r="I929" s="378"/>
      <c r="J929" s="379">
        <v>301977</v>
      </c>
      <c r="K929" s="459"/>
      <c r="L929" s="460"/>
      <c r="M929" s="417"/>
    </row>
    <row r="930" spans="1:13" ht="15" customHeight="1">
      <c r="A930" s="325"/>
      <c r="D930" s="326"/>
      <c r="H930" s="328" t="s">
        <v>6556</v>
      </c>
      <c r="I930" s="378"/>
      <c r="J930" s="379">
        <v>25</v>
      </c>
      <c r="K930" s="459"/>
      <c r="L930" s="460"/>
      <c r="M930" s="417"/>
    </row>
    <row r="931" spans="1:13" ht="15" customHeight="1">
      <c r="A931" s="325"/>
      <c r="D931" s="326"/>
      <c r="H931" s="328" t="s">
        <v>6155</v>
      </c>
      <c r="I931" s="378"/>
      <c r="J931" s="379">
        <v>2062</v>
      </c>
      <c r="K931" s="459"/>
      <c r="L931" s="460"/>
      <c r="M931" s="417"/>
    </row>
    <row r="932" spans="1:13" ht="15" customHeight="1">
      <c r="A932" s="325"/>
      <c r="B932" s="326" t="s">
        <v>1594</v>
      </c>
      <c r="C932" s="327" t="s">
        <v>6557</v>
      </c>
      <c r="D932" s="326" t="s">
        <v>8432</v>
      </c>
      <c r="E932" s="359" t="s">
        <v>8432</v>
      </c>
      <c r="G932" s="327" t="s">
        <v>1594</v>
      </c>
      <c r="H932" s="328" t="s">
        <v>393</v>
      </c>
      <c r="I932" s="378"/>
      <c r="J932" s="379">
        <v>4264</v>
      </c>
      <c r="K932" s="459"/>
      <c r="L932" s="460"/>
      <c r="M932" s="417"/>
    </row>
    <row r="933" spans="1:13" ht="15" customHeight="1">
      <c r="A933" s="325"/>
      <c r="D933" s="326"/>
      <c r="H933" s="328" t="s">
        <v>6558</v>
      </c>
      <c r="I933" s="378"/>
      <c r="J933" s="379">
        <v>208</v>
      </c>
      <c r="K933" s="459"/>
      <c r="L933" s="460"/>
      <c r="M933" s="417"/>
    </row>
    <row r="934" spans="1:13" ht="15" customHeight="1">
      <c r="A934" s="325"/>
      <c r="D934" s="326"/>
      <c r="H934" s="328" t="s">
        <v>6559</v>
      </c>
      <c r="I934" s="378"/>
      <c r="J934" s="379">
        <v>4053</v>
      </c>
      <c r="K934" s="459"/>
      <c r="L934" s="460"/>
      <c r="M934" s="417"/>
    </row>
    <row r="935" spans="1:13" ht="15" customHeight="1">
      <c r="A935" s="325"/>
      <c r="D935" s="326"/>
      <c r="H935" s="328" t="s">
        <v>6155</v>
      </c>
      <c r="I935" s="378"/>
      <c r="J935" s="379">
        <v>3</v>
      </c>
      <c r="K935" s="459"/>
      <c r="L935" s="460"/>
      <c r="M935" s="417"/>
    </row>
    <row r="936" spans="1:13" ht="15" customHeight="1">
      <c r="A936" s="325"/>
      <c r="B936" s="326" t="s">
        <v>1594</v>
      </c>
      <c r="C936" s="327" t="s">
        <v>6560</v>
      </c>
      <c r="D936" s="326" t="s">
        <v>8433</v>
      </c>
      <c r="E936" s="359" t="s">
        <v>8433</v>
      </c>
      <c r="G936" s="327" t="s">
        <v>1594</v>
      </c>
      <c r="H936" s="328" t="s">
        <v>394</v>
      </c>
      <c r="I936" s="378"/>
      <c r="J936" s="379">
        <v>61558</v>
      </c>
      <c r="K936" s="459"/>
      <c r="L936" s="460"/>
      <c r="M936" s="417"/>
    </row>
    <row r="937" spans="1:13" ht="15" customHeight="1">
      <c r="A937" s="325"/>
      <c r="D937" s="326"/>
      <c r="H937" s="328" t="s">
        <v>6561</v>
      </c>
      <c r="I937" s="378"/>
      <c r="J937" s="379">
        <v>1516</v>
      </c>
      <c r="K937" s="459"/>
      <c r="L937" s="460"/>
      <c r="M937" s="417"/>
    </row>
    <row r="938" spans="1:13" ht="15" customHeight="1">
      <c r="A938" s="325"/>
      <c r="D938" s="326"/>
      <c r="H938" s="328" t="s">
        <v>6562</v>
      </c>
      <c r="I938" s="378"/>
      <c r="J938" s="379">
        <v>3329</v>
      </c>
      <c r="K938" s="459"/>
      <c r="L938" s="460"/>
      <c r="M938" s="417"/>
    </row>
    <row r="939" spans="1:13" ht="15" customHeight="1">
      <c r="A939" s="325"/>
      <c r="D939" s="326"/>
      <c r="H939" s="328" t="s">
        <v>6563</v>
      </c>
      <c r="I939" s="378"/>
      <c r="J939" s="379">
        <v>6900</v>
      </c>
      <c r="K939" s="459"/>
      <c r="L939" s="460"/>
      <c r="M939" s="417"/>
    </row>
    <row r="940" spans="1:13" ht="15" customHeight="1">
      <c r="A940" s="325"/>
      <c r="D940" s="326"/>
      <c r="H940" s="328" t="s">
        <v>6564</v>
      </c>
      <c r="I940" s="378"/>
      <c r="J940" s="379">
        <v>1</v>
      </c>
      <c r="K940" s="459"/>
      <c r="L940" s="460"/>
      <c r="M940" s="417"/>
    </row>
    <row r="941" spans="1:13" ht="15" customHeight="1">
      <c r="A941" s="325"/>
      <c r="D941" s="326"/>
      <c r="H941" s="328" t="s">
        <v>6565</v>
      </c>
      <c r="I941" s="378"/>
      <c r="J941" s="379">
        <v>30</v>
      </c>
      <c r="K941" s="459"/>
      <c r="L941" s="460"/>
      <c r="M941" s="417"/>
    </row>
    <row r="942" spans="1:13" ht="15" customHeight="1">
      <c r="A942" s="325"/>
      <c r="D942" s="326"/>
      <c r="H942" s="328" t="s">
        <v>6566</v>
      </c>
      <c r="I942" s="378"/>
      <c r="J942" s="379">
        <v>2203</v>
      </c>
      <c r="K942" s="459"/>
      <c r="L942" s="460"/>
      <c r="M942" s="417"/>
    </row>
    <row r="943" spans="1:13" ht="15" customHeight="1">
      <c r="A943" s="325"/>
      <c r="D943" s="326"/>
      <c r="H943" s="328" t="s">
        <v>6567</v>
      </c>
      <c r="I943" s="378"/>
      <c r="J943" s="379">
        <v>5488</v>
      </c>
      <c r="K943" s="459"/>
      <c r="L943" s="460"/>
      <c r="M943" s="417"/>
    </row>
    <row r="944" spans="1:13" ht="15" customHeight="1">
      <c r="A944" s="325"/>
      <c r="D944" s="326"/>
      <c r="H944" s="328" t="s">
        <v>6568</v>
      </c>
      <c r="I944" s="378"/>
      <c r="J944" s="379">
        <v>5191</v>
      </c>
      <c r="K944" s="459"/>
      <c r="L944" s="460"/>
      <c r="M944" s="417"/>
    </row>
    <row r="945" spans="1:13" ht="15" customHeight="1">
      <c r="A945" s="325"/>
      <c r="D945" s="326"/>
      <c r="H945" s="328" t="s">
        <v>6569</v>
      </c>
      <c r="I945" s="378"/>
      <c r="J945" s="379">
        <v>35758</v>
      </c>
      <c r="K945" s="459"/>
      <c r="L945" s="460"/>
      <c r="M945" s="417"/>
    </row>
    <row r="946" spans="1:13" ht="15" customHeight="1">
      <c r="A946" s="325"/>
      <c r="D946" s="326"/>
      <c r="H946" s="328" t="s">
        <v>6570</v>
      </c>
      <c r="I946" s="378"/>
      <c r="J946" s="379">
        <v>0</v>
      </c>
      <c r="K946" s="459"/>
      <c r="L946" s="460"/>
      <c r="M946" s="417"/>
    </row>
    <row r="947" spans="1:13" ht="15" customHeight="1">
      <c r="A947" s="325"/>
      <c r="D947" s="326"/>
      <c r="H947" s="328" t="s">
        <v>6571</v>
      </c>
      <c r="I947" s="378"/>
      <c r="J947" s="379">
        <v>0</v>
      </c>
      <c r="K947" s="459"/>
      <c r="L947" s="460"/>
      <c r="M947" s="417"/>
    </row>
    <row r="948" spans="1:13" ht="15" customHeight="1">
      <c r="A948" s="325"/>
      <c r="D948" s="326"/>
      <c r="H948" s="328" t="s">
        <v>6572</v>
      </c>
      <c r="I948" s="378"/>
      <c r="J948" s="379">
        <v>1142</v>
      </c>
      <c r="K948" s="459"/>
      <c r="L948" s="460"/>
      <c r="M948" s="417"/>
    </row>
    <row r="949" spans="1:13" ht="15" customHeight="1">
      <c r="A949" s="325"/>
      <c r="B949" s="326" t="s">
        <v>1594</v>
      </c>
      <c r="C949" s="327" t="s">
        <v>6573</v>
      </c>
      <c r="D949" s="326" t="s">
        <v>8434</v>
      </c>
      <c r="E949" s="359" t="s">
        <v>8434</v>
      </c>
      <c r="G949" s="327" t="s">
        <v>1594</v>
      </c>
      <c r="H949" s="328" t="s">
        <v>395</v>
      </c>
      <c r="I949" s="378">
        <v>2610591</v>
      </c>
      <c r="J949" s="379">
        <v>370816</v>
      </c>
      <c r="K949" s="459"/>
      <c r="L949" s="460"/>
      <c r="M949" s="417"/>
    </row>
    <row r="950" spans="1:13" ht="15" customHeight="1">
      <c r="A950" s="325"/>
      <c r="D950" s="326"/>
      <c r="H950" s="328" t="s">
        <v>6574</v>
      </c>
      <c r="I950" s="378"/>
      <c r="J950" s="379">
        <v>584</v>
      </c>
      <c r="K950" s="459"/>
      <c r="L950" s="460"/>
      <c r="M950" s="417"/>
    </row>
    <row r="951" spans="1:13" ht="15" customHeight="1">
      <c r="A951" s="325"/>
      <c r="D951" s="326"/>
      <c r="H951" s="328" t="s">
        <v>6575</v>
      </c>
      <c r="I951" s="378"/>
      <c r="J951" s="379">
        <v>4087</v>
      </c>
      <c r="K951" s="459"/>
      <c r="L951" s="460"/>
      <c r="M951" s="417"/>
    </row>
    <row r="952" spans="1:13" ht="15" customHeight="1">
      <c r="A952" s="325"/>
      <c r="D952" s="326"/>
      <c r="H952" s="328" t="s">
        <v>6576</v>
      </c>
      <c r="I952" s="378"/>
      <c r="J952" s="379">
        <v>0</v>
      </c>
      <c r="K952" s="459"/>
      <c r="L952" s="460"/>
      <c r="M952" s="417"/>
    </row>
    <row r="953" spans="1:13" ht="15" customHeight="1">
      <c r="A953" s="325"/>
      <c r="D953" s="326"/>
      <c r="H953" s="328" t="s">
        <v>6577</v>
      </c>
      <c r="I953" s="378"/>
      <c r="J953" s="379">
        <v>36</v>
      </c>
      <c r="K953" s="459"/>
      <c r="L953" s="460"/>
      <c r="M953" s="417"/>
    </row>
    <row r="954" spans="1:13" ht="15" customHeight="1">
      <c r="A954" s="325"/>
      <c r="D954" s="326"/>
      <c r="H954" s="328" t="s">
        <v>6578</v>
      </c>
      <c r="I954" s="378"/>
      <c r="J954" s="379">
        <v>146865</v>
      </c>
      <c r="K954" s="459"/>
      <c r="L954" s="460"/>
      <c r="M954" s="417"/>
    </row>
    <row r="955" spans="1:13" ht="15" customHeight="1">
      <c r="A955" s="325"/>
      <c r="D955" s="326"/>
      <c r="H955" s="328" t="s">
        <v>6579</v>
      </c>
      <c r="I955" s="378"/>
      <c r="J955" s="379">
        <v>90476</v>
      </c>
      <c r="K955" s="459"/>
      <c r="L955" s="460"/>
      <c r="M955" s="417"/>
    </row>
    <row r="956" spans="1:13" ht="15" customHeight="1">
      <c r="A956" s="325"/>
      <c r="D956" s="326"/>
      <c r="H956" s="328" t="s">
        <v>6580</v>
      </c>
      <c r="I956" s="378"/>
      <c r="J956" s="379">
        <v>18415</v>
      </c>
      <c r="K956" s="459"/>
      <c r="L956" s="460"/>
      <c r="M956" s="417"/>
    </row>
    <row r="957" spans="1:13" ht="15" customHeight="1">
      <c r="A957" s="325"/>
      <c r="D957" s="326"/>
      <c r="H957" s="328" t="s">
        <v>6581</v>
      </c>
      <c r="I957" s="378"/>
      <c r="J957" s="379">
        <v>84382</v>
      </c>
      <c r="K957" s="459"/>
      <c r="L957" s="460"/>
      <c r="M957" s="417"/>
    </row>
    <row r="958" spans="1:13" ht="15" customHeight="1">
      <c r="A958" s="325"/>
      <c r="D958" s="326"/>
      <c r="H958" s="328" t="s">
        <v>6582</v>
      </c>
      <c r="I958" s="378"/>
      <c r="J958" s="379">
        <v>2167</v>
      </c>
      <c r="K958" s="459"/>
      <c r="L958" s="460"/>
      <c r="M958" s="417"/>
    </row>
    <row r="959" spans="1:13" ht="15" customHeight="1">
      <c r="A959" s="325"/>
      <c r="D959" s="326"/>
      <c r="H959" s="328" t="s">
        <v>6583</v>
      </c>
      <c r="I959" s="378"/>
      <c r="J959" s="379">
        <v>9483</v>
      </c>
      <c r="K959" s="459"/>
      <c r="L959" s="460"/>
      <c r="M959" s="417"/>
    </row>
    <row r="960" spans="1:13" ht="15" customHeight="1">
      <c r="A960" s="325"/>
      <c r="D960" s="326"/>
      <c r="H960" s="328" t="s">
        <v>6584</v>
      </c>
      <c r="I960" s="378"/>
      <c r="J960" s="379">
        <v>10348</v>
      </c>
      <c r="K960" s="459"/>
      <c r="L960" s="460"/>
      <c r="M960" s="417"/>
    </row>
    <row r="961" spans="1:13" ht="15" customHeight="1">
      <c r="A961" s="325"/>
      <c r="D961" s="326"/>
      <c r="H961" s="328" t="s">
        <v>6585</v>
      </c>
      <c r="I961" s="378"/>
      <c r="J961" s="379">
        <v>20611</v>
      </c>
      <c r="K961" s="459"/>
      <c r="L961" s="460"/>
      <c r="M961" s="417"/>
    </row>
    <row r="962" spans="1:13" ht="15" customHeight="1">
      <c r="A962" s="325"/>
      <c r="D962" s="326"/>
      <c r="H962" s="328" t="s">
        <v>6586</v>
      </c>
      <c r="I962" s="378"/>
      <c r="J962" s="379">
        <v>99312</v>
      </c>
      <c r="K962" s="459"/>
      <c r="L962" s="460"/>
      <c r="M962" s="417"/>
    </row>
    <row r="963" spans="1:13" ht="15" customHeight="1">
      <c r="A963" s="325"/>
      <c r="D963" s="326"/>
      <c r="H963" s="328" t="s">
        <v>6587</v>
      </c>
      <c r="I963" s="378"/>
      <c r="J963" s="379">
        <v>2582</v>
      </c>
      <c r="K963" s="459"/>
      <c r="L963" s="460"/>
      <c r="M963" s="417"/>
    </row>
    <row r="964" spans="1:13" ht="15" customHeight="1">
      <c r="A964" s="325"/>
      <c r="D964" s="326"/>
      <c r="H964" s="328" t="s">
        <v>6588</v>
      </c>
      <c r="I964" s="378"/>
      <c r="J964" s="379">
        <v>0</v>
      </c>
      <c r="K964" s="459"/>
      <c r="L964" s="460"/>
      <c r="M964" s="417"/>
    </row>
    <row r="965" spans="1:13" ht="15" customHeight="1">
      <c r="A965" s="325"/>
      <c r="D965" s="326"/>
      <c r="H965" s="328" t="s">
        <v>6589</v>
      </c>
      <c r="I965" s="378"/>
      <c r="J965" s="379">
        <v>3883</v>
      </c>
      <c r="K965" s="459"/>
      <c r="L965" s="460"/>
      <c r="M965" s="417"/>
    </row>
    <row r="966" spans="1:13" s="387" customFormat="1" ht="15" customHeight="1">
      <c r="A966" s="329"/>
      <c r="B966" s="330"/>
      <c r="C966" s="331"/>
      <c r="D966" s="330"/>
      <c r="E966" s="367"/>
      <c r="F966" s="332"/>
      <c r="G966" s="331"/>
      <c r="H966" s="320" t="s">
        <v>6590</v>
      </c>
      <c r="I966" s="384"/>
      <c r="J966" s="381">
        <v>0</v>
      </c>
      <c r="K966" s="459"/>
      <c r="L966" s="465"/>
      <c r="M966" s="416"/>
    </row>
    <row r="967" spans="1:13" ht="15" customHeight="1">
      <c r="A967" s="347" t="s">
        <v>6591</v>
      </c>
      <c r="B967" s="326" t="s">
        <v>8435</v>
      </c>
      <c r="C967" s="327" t="s">
        <v>6592</v>
      </c>
      <c r="D967" s="326" t="s">
        <v>8436</v>
      </c>
      <c r="E967" s="359" t="s">
        <v>8436</v>
      </c>
      <c r="H967" s="328" t="s">
        <v>6593</v>
      </c>
      <c r="I967" s="378"/>
      <c r="J967" s="379">
        <v>0</v>
      </c>
      <c r="K967" s="459"/>
      <c r="L967" s="460"/>
      <c r="M967" s="417"/>
    </row>
    <row r="968" spans="1:13" ht="15" customHeight="1">
      <c r="A968" s="325"/>
      <c r="D968" s="326"/>
      <c r="H968" s="328" t="s">
        <v>6594</v>
      </c>
      <c r="I968" s="378"/>
      <c r="J968" s="379"/>
      <c r="K968" s="459"/>
      <c r="L968" s="460"/>
      <c r="M968" s="417"/>
    </row>
    <row r="969" spans="1:13" ht="15" customHeight="1">
      <c r="A969" s="329"/>
      <c r="B969" s="330"/>
      <c r="C969" s="331"/>
      <c r="D969" s="330"/>
      <c r="E969" s="367"/>
      <c r="F969" s="332"/>
      <c r="G969" s="331"/>
      <c r="H969" s="320" t="s">
        <v>6595</v>
      </c>
      <c r="I969" s="384"/>
      <c r="J969" s="381"/>
      <c r="K969" s="459"/>
      <c r="L969" s="460"/>
      <c r="M969" s="417"/>
    </row>
    <row r="970" spans="1:13" ht="15" customHeight="1">
      <c r="A970" s="347" t="s">
        <v>6596</v>
      </c>
      <c r="B970" s="326" t="s">
        <v>1128</v>
      </c>
      <c r="D970" s="326" t="s">
        <v>1594</v>
      </c>
      <c r="G970" s="327" t="s">
        <v>1594</v>
      </c>
      <c r="H970" s="328" t="s">
        <v>6597</v>
      </c>
      <c r="I970" s="378"/>
      <c r="J970" s="379"/>
      <c r="K970" s="459"/>
      <c r="L970" s="460"/>
      <c r="M970" s="417"/>
    </row>
    <row r="971" spans="1:13" ht="15" customHeight="1">
      <c r="A971" s="325"/>
      <c r="B971" s="326" t="s">
        <v>1594</v>
      </c>
      <c r="C971" s="327" t="s">
        <v>6598</v>
      </c>
      <c r="D971" s="326" t="s">
        <v>8437</v>
      </c>
      <c r="E971" s="359" t="s">
        <v>8437</v>
      </c>
      <c r="G971" s="327" t="s">
        <v>1594</v>
      </c>
      <c r="H971" s="328" t="s">
        <v>397</v>
      </c>
      <c r="I971" s="378"/>
      <c r="J971" s="379">
        <v>43349</v>
      </c>
      <c r="K971" s="459"/>
      <c r="L971" s="460"/>
      <c r="M971" s="417"/>
    </row>
    <row r="972" spans="1:13" ht="15" customHeight="1">
      <c r="A972" s="325"/>
      <c r="D972" s="326"/>
      <c r="H972" s="328" t="s">
        <v>6599</v>
      </c>
      <c r="I972" s="378"/>
      <c r="J972" s="379">
        <v>38</v>
      </c>
      <c r="K972" s="459"/>
      <c r="L972" s="460"/>
      <c r="M972" s="417"/>
    </row>
    <row r="973" spans="1:13" ht="15" customHeight="1">
      <c r="A973" s="325"/>
      <c r="D973" s="326"/>
      <c r="H973" s="328" t="s">
        <v>6600</v>
      </c>
      <c r="I973" s="378"/>
      <c r="J973" s="379">
        <v>0</v>
      </c>
      <c r="K973" s="459"/>
      <c r="L973" s="460"/>
      <c r="M973" s="417"/>
    </row>
    <row r="974" spans="1:13" ht="15" customHeight="1">
      <c r="A974" s="325"/>
      <c r="D974" s="326"/>
      <c r="H974" s="328" t="s">
        <v>6601</v>
      </c>
      <c r="I974" s="378"/>
      <c r="J974" s="379">
        <v>34376</v>
      </c>
      <c r="K974" s="459"/>
      <c r="L974" s="460"/>
      <c r="M974" s="417"/>
    </row>
    <row r="975" spans="1:13" ht="15" customHeight="1">
      <c r="A975" s="325"/>
      <c r="D975" s="326"/>
      <c r="H975" s="328" t="s">
        <v>6602</v>
      </c>
      <c r="I975" s="378"/>
      <c r="J975" s="379">
        <v>5988</v>
      </c>
      <c r="K975" s="459"/>
      <c r="L975" s="460"/>
      <c r="M975" s="417"/>
    </row>
    <row r="976" spans="1:13" ht="15" customHeight="1">
      <c r="A976" s="325"/>
      <c r="D976" s="326"/>
      <c r="H976" s="328" t="s">
        <v>6603</v>
      </c>
      <c r="I976" s="378"/>
      <c r="J976" s="379">
        <v>1997</v>
      </c>
      <c r="K976" s="459"/>
      <c r="L976" s="460"/>
      <c r="M976" s="417"/>
    </row>
    <row r="977" spans="1:13" ht="15" customHeight="1">
      <c r="A977" s="325"/>
      <c r="D977" s="326"/>
      <c r="H977" s="328" t="s">
        <v>6604</v>
      </c>
      <c r="I977" s="378"/>
      <c r="J977" s="379">
        <v>956</v>
      </c>
      <c r="K977" s="459"/>
      <c r="L977" s="460"/>
      <c r="M977" s="417"/>
    </row>
    <row r="978" spans="1:13" ht="15" customHeight="1">
      <c r="A978" s="325"/>
      <c r="D978" s="326"/>
      <c r="H978" s="328" t="s">
        <v>6155</v>
      </c>
      <c r="I978" s="378"/>
      <c r="J978" s="379">
        <v>-6</v>
      </c>
      <c r="K978" s="459"/>
      <c r="L978" s="460"/>
      <c r="M978" s="417"/>
    </row>
    <row r="979" spans="1:13" ht="15" customHeight="1">
      <c r="A979" s="325"/>
      <c r="B979" s="326" t="s">
        <v>1594</v>
      </c>
      <c r="C979" s="327" t="s">
        <v>6605</v>
      </c>
      <c r="D979" s="326" t="s">
        <v>8438</v>
      </c>
      <c r="E979" s="359" t="s">
        <v>8438</v>
      </c>
      <c r="G979" s="327" t="s">
        <v>1594</v>
      </c>
      <c r="H979" s="328" t="s">
        <v>398</v>
      </c>
      <c r="I979" s="378"/>
      <c r="J979" s="379">
        <v>137852</v>
      </c>
      <c r="K979" s="459"/>
      <c r="L979" s="460"/>
      <c r="M979" s="417"/>
    </row>
    <row r="980" spans="1:13" ht="15" customHeight="1">
      <c r="A980" s="325"/>
      <c r="D980" s="326"/>
      <c r="H980" s="328" t="s">
        <v>6599</v>
      </c>
      <c r="I980" s="378"/>
      <c r="J980" s="379">
        <v>81650</v>
      </c>
      <c r="K980" s="459"/>
      <c r="L980" s="460"/>
      <c r="M980" s="417"/>
    </row>
    <row r="981" spans="1:13" ht="15" customHeight="1">
      <c r="A981" s="325"/>
      <c r="D981" s="326"/>
      <c r="H981" s="328" t="s">
        <v>6601</v>
      </c>
      <c r="I981" s="378"/>
      <c r="J981" s="379"/>
      <c r="K981" s="459"/>
      <c r="L981" s="460"/>
      <c r="M981" s="417"/>
    </row>
    <row r="982" spans="1:13" ht="15" customHeight="1">
      <c r="A982" s="325"/>
      <c r="D982" s="326"/>
      <c r="H982" s="328" t="s">
        <v>6602</v>
      </c>
      <c r="I982" s="378"/>
      <c r="J982" s="379"/>
      <c r="K982" s="459"/>
      <c r="L982" s="460"/>
      <c r="M982" s="417"/>
    </row>
    <row r="983" spans="1:13" ht="15" customHeight="1">
      <c r="A983" s="325"/>
      <c r="D983" s="326"/>
      <c r="H983" s="328" t="s">
        <v>6606</v>
      </c>
      <c r="I983" s="378"/>
      <c r="J983" s="379">
        <v>55649</v>
      </c>
      <c r="K983" s="459"/>
      <c r="L983" s="460"/>
      <c r="M983" s="417"/>
    </row>
    <row r="984" spans="1:13" ht="15" customHeight="1">
      <c r="A984" s="329"/>
      <c r="B984" s="330"/>
      <c r="C984" s="331"/>
      <c r="D984" s="330"/>
      <c r="E984" s="367"/>
      <c r="F984" s="332"/>
      <c r="G984" s="331"/>
      <c r="H984" s="320" t="s">
        <v>6155</v>
      </c>
      <c r="I984" s="384"/>
      <c r="J984" s="381">
        <v>553</v>
      </c>
      <c r="K984" s="459"/>
      <c r="L984" s="460"/>
      <c r="M984" s="417"/>
    </row>
    <row r="985" spans="1:13" ht="15" customHeight="1">
      <c r="A985" s="347" t="s">
        <v>6607</v>
      </c>
      <c r="B985" s="326" t="s">
        <v>1130</v>
      </c>
      <c r="D985" s="326" t="s">
        <v>1594</v>
      </c>
      <c r="G985" s="327" t="s">
        <v>1594</v>
      </c>
      <c r="H985" s="328" t="s">
        <v>6608</v>
      </c>
      <c r="I985" s="378"/>
      <c r="J985" s="379"/>
      <c r="K985" s="459"/>
      <c r="L985" s="460"/>
      <c r="M985" s="417"/>
    </row>
    <row r="986" spans="1:13" ht="15" customHeight="1">
      <c r="A986" s="325"/>
      <c r="B986" s="326" t="s">
        <v>1594</v>
      </c>
      <c r="C986" s="327" t="s">
        <v>6609</v>
      </c>
      <c r="D986" s="326" t="s">
        <v>8439</v>
      </c>
      <c r="E986" s="359" t="s">
        <v>8439</v>
      </c>
      <c r="G986" s="327" t="s">
        <v>1594</v>
      </c>
      <c r="H986" s="328" t="s">
        <v>6610</v>
      </c>
      <c r="I986" s="378"/>
      <c r="J986" s="379">
        <v>305795</v>
      </c>
      <c r="K986" s="459"/>
      <c r="L986" s="460"/>
      <c r="M986" s="417"/>
    </row>
    <row r="987" spans="1:13" ht="15" customHeight="1">
      <c r="A987" s="325"/>
      <c r="D987" s="326"/>
      <c r="H987" s="328" t="s">
        <v>6611</v>
      </c>
      <c r="I987" s="378"/>
      <c r="J987" s="379">
        <v>3227</v>
      </c>
      <c r="K987" s="459"/>
      <c r="L987" s="460"/>
      <c r="M987" s="417"/>
    </row>
    <row r="988" spans="1:13" ht="15" customHeight="1">
      <c r="A988" s="325"/>
      <c r="D988" s="326"/>
      <c r="H988" s="328" t="s">
        <v>6612</v>
      </c>
      <c r="I988" s="378"/>
      <c r="J988" s="379">
        <v>227363</v>
      </c>
      <c r="K988" s="459"/>
      <c r="L988" s="460"/>
      <c r="M988" s="417"/>
    </row>
    <row r="989" spans="1:13" ht="15" customHeight="1">
      <c r="A989" s="325"/>
      <c r="D989" s="326"/>
      <c r="H989" s="328" t="s">
        <v>6613</v>
      </c>
      <c r="I989" s="378"/>
      <c r="J989" s="379"/>
      <c r="K989" s="459"/>
      <c r="L989" s="460"/>
      <c r="M989" s="417"/>
    </row>
    <row r="990" spans="1:13" ht="15" customHeight="1">
      <c r="A990" s="325"/>
      <c r="D990" s="326"/>
      <c r="H990" s="328" t="s">
        <v>6614</v>
      </c>
      <c r="I990" s="378"/>
      <c r="J990" s="379">
        <v>34757</v>
      </c>
      <c r="K990" s="459"/>
      <c r="L990" s="460"/>
      <c r="M990" s="417"/>
    </row>
    <row r="991" spans="1:13" ht="15" customHeight="1">
      <c r="A991" s="325"/>
      <c r="D991" s="326"/>
      <c r="H991" s="328" t="s">
        <v>6615</v>
      </c>
      <c r="I991" s="378"/>
      <c r="J991" s="379">
        <v>0</v>
      </c>
      <c r="K991" s="459"/>
      <c r="L991" s="460"/>
      <c r="M991" s="417"/>
    </row>
    <row r="992" spans="1:13" ht="15" customHeight="1">
      <c r="A992" s="325"/>
      <c r="D992" s="326"/>
      <c r="H992" s="328" t="s">
        <v>6616</v>
      </c>
      <c r="I992" s="378"/>
      <c r="J992" s="379">
        <v>6955</v>
      </c>
      <c r="K992" s="459"/>
      <c r="L992" s="460"/>
      <c r="M992" s="417"/>
    </row>
    <row r="993" spans="1:13" ht="15" customHeight="1">
      <c r="A993" s="325"/>
      <c r="D993" s="326"/>
      <c r="H993" s="328" t="s">
        <v>6617</v>
      </c>
      <c r="I993" s="378"/>
      <c r="J993" s="379">
        <v>0</v>
      </c>
      <c r="K993" s="459"/>
      <c r="L993" s="460"/>
      <c r="M993" s="417"/>
    </row>
    <row r="994" spans="1:13" ht="15" customHeight="1">
      <c r="A994" s="325"/>
      <c r="D994" s="326"/>
      <c r="H994" s="328" t="s">
        <v>6618</v>
      </c>
      <c r="I994" s="378"/>
      <c r="J994" s="379">
        <v>26025</v>
      </c>
      <c r="K994" s="459"/>
      <c r="L994" s="460"/>
      <c r="M994" s="417"/>
    </row>
    <row r="995" spans="1:13" ht="15" customHeight="1">
      <c r="A995" s="325"/>
      <c r="D995" s="326"/>
      <c r="H995" s="328" t="s">
        <v>6619</v>
      </c>
      <c r="I995" s="378"/>
      <c r="J995" s="379">
        <v>0</v>
      </c>
      <c r="K995" s="459"/>
      <c r="L995" s="460"/>
      <c r="M995" s="417"/>
    </row>
    <row r="996" spans="1:13" ht="15" customHeight="1">
      <c r="A996" s="325"/>
      <c r="D996" s="326"/>
      <c r="H996" s="328" t="s">
        <v>6620</v>
      </c>
      <c r="I996" s="378"/>
      <c r="J996" s="379">
        <v>0</v>
      </c>
      <c r="K996" s="459"/>
      <c r="L996" s="460"/>
      <c r="M996" s="417"/>
    </row>
    <row r="997" spans="1:13" ht="15" customHeight="1">
      <c r="A997" s="325"/>
      <c r="D997" s="326"/>
      <c r="H997" s="328" t="s">
        <v>6621</v>
      </c>
      <c r="I997" s="378"/>
      <c r="J997" s="379">
        <v>6388</v>
      </c>
      <c r="K997" s="459"/>
      <c r="L997" s="460"/>
      <c r="M997" s="417"/>
    </row>
    <row r="998" spans="1:13" ht="15" customHeight="1">
      <c r="A998" s="325"/>
      <c r="D998" s="326"/>
      <c r="H998" s="328" t="s">
        <v>6155</v>
      </c>
      <c r="I998" s="378"/>
      <c r="J998" s="379">
        <v>1080</v>
      </c>
      <c r="K998" s="459"/>
      <c r="L998" s="460"/>
      <c r="M998" s="417"/>
    </row>
    <row r="999" spans="1:13" ht="15" customHeight="1">
      <c r="A999" s="325"/>
      <c r="B999" s="326" t="s">
        <v>1594</v>
      </c>
      <c r="C999" s="327" t="s">
        <v>6622</v>
      </c>
      <c r="D999" s="326" t="s">
        <v>8440</v>
      </c>
      <c r="E999" s="359" t="s">
        <v>8440</v>
      </c>
      <c r="G999" s="327" t="s">
        <v>1594</v>
      </c>
      <c r="H999" s="328" t="s">
        <v>6623</v>
      </c>
      <c r="I999" s="378"/>
      <c r="J999" s="379">
        <v>128204</v>
      </c>
      <c r="K999" s="459"/>
      <c r="L999" s="460"/>
      <c r="M999" s="417"/>
    </row>
    <row r="1000" spans="1:13" ht="15" customHeight="1">
      <c r="A1000" s="325"/>
      <c r="D1000" s="326"/>
      <c r="H1000" s="328" t="s">
        <v>6611</v>
      </c>
      <c r="I1000" s="378"/>
      <c r="J1000" s="379">
        <v>5317</v>
      </c>
      <c r="K1000" s="459"/>
      <c r="L1000" s="460"/>
      <c r="M1000" s="417"/>
    </row>
    <row r="1001" spans="1:13" ht="15" customHeight="1">
      <c r="A1001" s="325"/>
      <c r="D1001" s="326"/>
      <c r="H1001" s="328" t="s">
        <v>6612</v>
      </c>
      <c r="I1001" s="378"/>
      <c r="J1001" s="379">
        <v>99948</v>
      </c>
      <c r="K1001" s="459"/>
      <c r="L1001" s="460"/>
      <c r="M1001" s="417"/>
    </row>
    <row r="1002" spans="1:13" ht="15" customHeight="1">
      <c r="A1002" s="325"/>
      <c r="D1002" s="326"/>
      <c r="H1002" s="328" t="s">
        <v>6613</v>
      </c>
      <c r="I1002" s="378"/>
      <c r="J1002" s="379">
        <v>513</v>
      </c>
      <c r="K1002" s="459"/>
      <c r="L1002" s="460"/>
      <c r="M1002" s="417"/>
    </row>
    <row r="1003" spans="1:13" ht="15" customHeight="1">
      <c r="A1003" s="325"/>
      <c r="D1003" s="326"/>
      <c r="H1003" s="328" t="s">
        <v>6615</v>
      </c>
      <c r="I1003" s="378"/>
      <c r="J1003" s="379">
        <v>2313</v>
      </c>
      <c r="K1003" s="459"/>
      <c r="L1003" s="460"/>
      <c r="M1003" s="417"/>
    </row>
    <row r="1004" spans="1:13" ht="15" customHeight="1">
      <c r="A1004" s="325"/>
      <c r="D1004" s="326"/>
      <c r="H1004" s="328" t="s">
        <v>6624</v>
      </c>
      <c r="I1004" s="378"/>
      <c r="J1004" s="379">
        <v>11111</v>
      </c>
      <c r="K1004" s="459"/>
      <c r="L1004" s="460"/>
      <c r="M1004" s="417"/>
    </row>
    <row r="1005" spans="1:13" ht="15" customHeight="1">
      <c r="A1005" s="325"/>
      <c r="D1005" s="326"/>
      <c r="H1005" s="328" t="s">
        <v>6625</v>
      </c>
      <c r="I1005" s="378"/>
      <c r="J1005" s="379">
        <v>7217</v>
      </c>
      <c r="K1005" s="459"/>
      <c r="L1005" s="460"/>
      <c r="M1005" s="417"/>
    </row>
    <row r="1006" spans="1:13" ht="15" customHeight="1">
      <c r="A1006" s="325"/>
      <c r="D1006" s="326"/>
      <c r="H1006" s="328" t="s">
        <v>6626</v>
      </c>
      <c r="I1006" s="378"/>
      <c r="J1006" s="379">
        <v>83</v>
      </c>
      <c r="K1006" s="459"/>
      <c r="L1006" s="460"/>
      <c r="M1006" s="417"/>
    </row>
    <row r="1007" spans="1:13" ht="15" customHeight="1">
      <c r="A1007" s="325"/>
      <c r="D1007" s="326"/>
      <c r="H1007" s="328" t="s">
        <v>6617</v>
      </c>
      <c r="I1007" s="378"/>
      <c r="J1007" s="379">
        <v>0</v>
      </c>
      <c r="K1007" s="459"/>
      <c r="L1007" s="460"/>
      <c r="M1007" s="417"/>
    </row>
    <row r="1008" spans="1:13" ht="15" customHeight="1">
      <c r="A1008" s="325"/>
      <c r="D1008" s="326"/>
      <c r="H1008" s="328" t="s">
        <v>6627</v>
      </c>
      <c r="I1008" s="378"/>
      <c r="J1008" s="379">
        <v>1791</v>
      </c>
      <c r="K1008" s="459"/>
      <c r="L1008" s="460"/>
      <c r="M1008" s="417"/>
    </row>
    <row r="1009" spans="1:13" ht="15" customHeight="1">
      <c r="A1009" s="325"/>
      <c r="D1009" s="326"/>
      <c r="H1009" s="328" t="s">
        <v>6155</v>
      </c>
      <c r="I1009" s="378"/>
      <c r="J1009" s="379">
        <v>-89</v>
      </c>
      <c r="K1009" s="459"/>
      <c r="L1009" s="460"/>
      <c r="M1009" s="417"/>
    </row>
    <row r="1010" spans="1:13" ht="15" customHeight="1">
      <c r="A1010" s="348" t="s">
        <v>6628</v>
      </c>
      <c r="B1010" s="322" t="s">
        <v>1132</v>
      </c>
      <c r="C1010" s="323" t="s">
        <v>6629</v>
      </c>
      <c r="D1010" s="322" t="s">
        <v>8441</v>
      </c>
      <c r="E1010" s="365" t="s">
        <v>8441</v>
      </c>
      <c r="F1010" s="366"/>
      <c r="G1010" s="323" t="s">
        <v>1594</v>
      </c>
      <c r="H1010" s="324" t="s">
        <v>403</v>
      </c>
      <c r="I1010" s="376"/>
      <c r="J1010" s="377">
        <v>203755</v>
      </c>
      <c r="K1010" s="459"/>
      <c r="L1010" s="460"/>
      <c r="M1010" s="417"/>
    </row>
    <row r="1011" spans="1:13" ht="15" customHeight="1">
      <c r="A1011" s="347"/>
      <c r="D1011" s="326"/>
      <c r="H1011" s="328" t="s">
        <v>6630</v>
      </c>
      <c r="I1011" s="378"/>
      <c r="J1011" s="379">
        <v>16677</v>
      </c>
      <c r="K1011" s="459"/>
      <c r="L1011" s="460"/>
      <c r="M1011" s="417"/>
    </row>
    <row r="1012" spans="1:13" ht="15" customHeight="1">
      <c r="A1012" s="347"/>
      <c r="D1012" s="326"/>
      <c r="H1012" s="328" t="s">
        <v>6631</v>
      </c>
      <c r="I1012" s="378"/>
      <c r="J1012" s="379">
        <v>0</v>
      </c>
      <c r="K1012" s="459"/>
      <c r="L1012" s="460"/>
      <c r="M1012" s="417"/>
    </row>
    <row r="1013" spans="1:13" ht="15" customHeight="1">
      <c r="A1013" s="347"/>
      <c r="D1013" s="326"/>
      <c r="H1013" s="328" t="s">
        <v>6632</v>
      </c>
      <c r="I1013" s="378"/>
      <c r="J1013" s="379">
        <v>97395</v>
      </c>
      <c r="K1013" s="459"/>
      <c r="L1013" s="460"/>
      <c r="M1013" s="417"/>
    </row>
    <row r="1014" spans="1:13" ht="15" customHeight="1">
      <c r="A1014" s="347"/>
      <c r="D1014" s="326"/>
      <c r="H1014" s="328" t="s">
        <v>6633</v>
      </c>
      <c r="I1014" s="378"/>
      <c r="J1014" s="379">
        <v>71039</v>
      </c>
      <c r="K1014" s="459"/>
      <c r="L1014" s="460"/>
      <c r="M1014" s="417"/>
    </row>
    <row r="1015" spans="1:13" ht="15" customHeight="1">
      <c r="A1015" s="347"/>
      <c r="D1015" s="326"/>
      <c r="H1015" s="328" t="s">
        <v>6634</v>
      </c>
      <c r="I1015" s="378"/>
      <c r="J1015" s="379">
        <v>11326</v>
      </c>
      <c r="K1015" s="459"/>
      <c r="L1015" s="460"/>
      <c r="M1015" s="417"/>
    </row>
    <row r="1016" spans="1:13" ht="15" customHeight="1">
      <c r="A1016" s="347"/>
      <c r="D1016" s="326"/>
      <c r="H1016" s="328" t="s">
        <v>6635</v>
      </c>
      <c r="I1016" s="378"/>
      <c r="J1016" s="379">
        <v>3635</v>
      </c>
      <c r="K1016" s="459"/>
      <c r="L1016" s="460"/>
      <c r="M1016" s="417"/>
    </row>
    <row r="1017" spans="1:13" ht="15" customHeight="1">
      <c r="A1017" s="347"/>
      <c r="D1017" s="326"/>
      <c r="H1017" s="328" t="s">
        <v>6636</v>
      </c>
      <c r="I1017" s="378"/>
      <c r="J1017" s="379">
        <v>2105</v>
      </c>
      <c r="K1017" s="459"/>
      <c r="L1017" s="460"/>
      <c r="M1017" s="417"/>
    </row>
    <row r="1018" spans="1:13" ht="15" customHeight="1">
      <c r="A1018" s="346"/>
      <c r="B1018" s="330"/>
      <c r="C1018" s="331"/>
      <c r="D1018" s="330"/>
      <c r="E1018" s="367"/>
      <c r="F1018" s="332"/>
      <c r="G1018" s="331"/>
      <c r="H1018" s="320" t="s">
        <v>6155</v>
      </c>
      <c r="I1018" s="384"/>
      <c r="J1018" s="381">
        <v>1578</v>
      </c>
      <c r="K1018" s="459"/>
      <c r="L1018" s="460"/>
      <c r="M1018" s="417"/>
    </row>
    <row r="1019" spans="1:13" ht="15" customHeight="1">
      <c r="A1019" s="347" t="s">
        <v>6637</v>
      </c>
      <c r="B1019" s="326" t="s">
        <v>1134</v>
      </c>
      <c r="D1019" s="326" t="s">
        <v>1594</v>
      </c>
      <c r="G1019" s="327" t="s">
        <v>1594</v>
      </c>
      <c r="H1019" s="328" t="s">
        <v>6638</v>
      </c>
      <c r="I1019" s="378"/>
      <c r="J1019" s="379"/>
      <c r="K1019" s="459"/>
      <c r="L1019" s="460"/>
      <c r="M1019" s="417"/>
    </row>
    <row r="1020" spans="1:13" ht="15" customHeight="1">
      <c r="A1020" s="325"/>
      <c r="B1020" s="326" t="s">
        <v>1594</v>
      </c>
      <c r="C1020" s="327" t="s">
        <v>6639</v>
      </c>
      <c r="D1020" s="326" t="s">
        <v>8442</v>
      </c>
      <c r="E1020" s="359" t="s">
        <v>8442</v>
      </c>
      <c r="G1020" s="327" t="s">
        <v>1594</v>
      </c>
      <c r="H1020" s="328" t="s">
        <v>6640</v>
      </c>
      <c r="I1020" s="378"/>
      <c r="J1020" s="379">
        <v>65627</v>
      </c>
      <c r="K1020" s="459"/>
      <c r="L1020" s="460"/>
      <c r="M1020" s="417"/>
    </row>
    <row r="1021" spans="1:13" ht="15" customHeight="1">
      <c r="A1021" s="325"/>
      <c r="D1021" s="326"/>
      <c r="H1021" s="328" t="s">
        <v>6641</v>
      </c>
      <c r="I1021" s="378">
        <v>43133</v>
      </c>
      <c r="J1021" s="379">
        <v>5721</v>
      </c>
      <c r="K1021" s="459"/>
      <c r="L1021" s="460"/>
      <c r="M1021" s="417"/>
    </row>
    <row r="1022" spans="1:13" ht="15" customHeight="1">
      <c r="A1022" s="325"/>
      <c r="D1022" s="326"/>
      <c r="H1022" s="328" t="s">
        <v>6642</v>
      </c>
      <c r="I1022" s="378">
        <v>233104</v>
      </c>
      <c r="J1022" s="379">
        <v>59962</v>
      </c>
      <c r="K1022" s="459"/>
      <c r="L1022" s="460"/>
      <c r="M1022" s="417"/>
    </row>
    <row r="1023" spans="1:13" ht="15" customHeight="1">
      <c r="A1023" s="325"/>
      <c r="D1023" s="326"/>
      <c r="H1023" s="328" t="s">
        <v>6155</v>
      </c>
      <c r="I1023" s="378"/>
      <c r="J1023" s="379">
        <v>-56</v>
      </c>
      <c r="K1023" s="459"/>
      <c r="L1023" s="460"/>
      <c r="M1023" s="417"/>
    </row>
    <row r="1024" spans="1:13" ht="15" customHeight="1">
      <c r="A1024" s="325"/>
      <c r="B1024" s="326" t="s">
        <v>1594</v>
      </c>
      <c r="C1024" s="327" t="s">
        <v>6643</v>
      </c>
      <c r="D1024" s="326" t="s">
        <v>8443</v>
      </c>
      <c r="E1024" s="359" t="s">
        <v>8443</v>
      </c>
      <c r="G1024" s="327" t="s">
        <v>1594</v>
      </c>
      <c r="H1024" s="328" t="s">
        <v>406</v>
      </c>
      <c r="I1024" s="378"/>
      <c r="J1024" s="379">
        <v>9770</v>
      </c>
      <c r="K1024" s="459"/>
      <c r="L1024" s="460"/>
      <c r="M1024" s="417"/>
    </row>
    <row r="1025" spans="1:13" ht="15" customHeight="1">
      <c r="A1025" s="325"/>
      <c r="D1025" s="326"/>
      <c r="H1025" s="328" t="s">
        <v>6641</v>
      </c>
      <c r="I1025" s="378">
        <v>36156</v>
      </c>
      <c r="J1025" s="379">
        <v>2850</v>
      </c>
      <c r="K1025" s="459"/>
      <c r="L1025" s="460"/>
      <c r="M1025" s="417"/>
    </row>
    <row r="1026" spans="1:13" ht="15" customHeight="1">
      <c r="A1026" s="325"/>
      <c r="D1026" s="326"/>
      <c r="H1026" s="328" t="s">
        <v>6642</v>
      </c>
      <c r="I1026" s="378">
        <v>104373</v>
      </c>
      <c r="J1026" s="379">
        <v>6931</v>
      </c>
      <c r="K1026" s="459"/>
      <c r="L1026" s="460"/>
      <c r="M1026" s="417"/>
    </row>
    <row r="1027" spans="1:13" ht="15" customHeight="1">
      <c r="A1027" s="325"/>
      <c r="D1027" s="326"/>
      <c r="H1027" s="328" t="s">
        <v>6155</v>
      </c>
      <c r="I1027" s="378"/>
      <c r="J1027" s="379">
        <v>-11</v>
      </c>
      <c r="K1027" s="459"/>
      <c r="L1027" s="460"/>
      <c r="M1027" s="417"/>
    </row>
    <row r="1028" spans="1:13" ht="15" customHeight="1">
      <c r="A1028" s="348" t="s">
        <v>6644</v>
      </c>
      <c r="B1028" s="322" t="s">
        <v>1136</v>
      </c>
      <c r="C1028" s="323" t="s">
        <v>6645</v>
      </c>
      <c r="D1028" s="322" t="s">
        <v>8444</v>
      </c>
      <c r="E1028" s="365" t="s">
        <v>8444</v>
      </c>
      <c r="F1028" s="366"/>
      <c r="G1028" s="323" t="s">
        <v>1594</v>
      </c>
      <c r="H1028" s="324" t="s">
        <v>407</v>
      </c>
      <c r="I1028" s="376"/>
      <c r="J1028" s="377">
        <v>19557</v>
      </c>
      <c r="K1028" s="459"/>
      <c r="L1028" s="460"/>
      <c r="M1028" s="417"/>
    </row>
    <row r="1029" spans="1:13" ht="15" customHeight="1">
      <c r="A1029" s="347"/>
      <c r="D1029" s="326"/>
      <c r="E1029" s="359" t="s">
        <v>6646</v>
      </c>
      <c r="H1029" s="328" t="s">
        <v>6647</v>
      </c>
      <c r="I1029" s="378"/>
      <c r="J1029" s="379">
        <v>19566</v>
      </c>
      <c r="K1029" s="459"/>
      <c r="L1029" s="460"/>
      <c r="M1029" s="417"/>
    </row>
    <row r="1030" spans="1:13" ht="15" customHeight="1">
      <c r="A1030" s="346"/>
      <c r="B1030" s="330"/>
      <c r="C1030" s="331"/>
      <c r="D1030" s="330"/>
      <c r="E1030" s="367"/>
      <c r="F1030" s="332"/>
      <c r="G1030" s="331"/>
      <c r="H1030" s="320" t="s">
        <v>6155</v>
      </c>
      <c r="I1030" s="384"/>
      <c r="J1030" s="381">
        <v>-9</v>
      </c>
      <c r="K1030" s="459"/>
      <c r="L1030" s="460"/>
      <c r="M1030" s="417"/>
    </row>
    <row r="1031" spans="1:13" ht="15" customHeight="1">
      <c r="A1031" s="347" t="s">
        <v>6648</v>
      </c>
      <c r="B1031" s="326" t="s">
        <v>1138</v>
      </c>
      <c r="D1031" s="326" t="s">
        <v>1594</v>
      </c>
      <c r="G1031" s="327" t="s">
        <v>1594</v>
      </c>
      <c r="H1031" s="328" t="s">
        <v>6649</v>
      </c>
      <c r="I1031" s="378"/>
      <c r="J1031" s="379"/>
      <c r="K1031" s="459"/>
      <c r="L1031" s="460"/>
      <c r="M1031" s="417"/>
    </row>
    <row r="1032" spans="1:13" ht="15" customHeight="1">
      <c r="A1032" s="325"/>
      <c r="B1032" s="326" t="s">
        <v>1594</v>
      </c>
      <c r="C1032" s="327" t="s">
        <v>6650</v>
      </c>
      <c r="D1032" s="326" t="s">
        <v>8445</v>
      </c>
      <c r="E1032" s="359" t="s">
        <v>8445</v>
      </c>
      <c r="G1032" s="327" t="s">
        <v>1594</v>
      </c>
      <c r="H1032" s="328" t="s">
        <v>408</v>
      </c>
      <c r="I1032" s="378"/>
      <c r="J1032" s="379">
        <v>30028</v>
      </c>
      <c r="K1032" s="459"/>
      <c r="L1032" s="460"/>
      <c r="M1032" s="417"/>
    </row>
    <row r="1033" spans="1:13" ht="15" customHeight="1">
      <c r="A1033" s="325"/>
      <c r="B1033" s="326" t="s">
        <v>1594</v>
      </c>
      <c r="C1033" s="327" t="s">
        <v>6651</v>
      </c>
      <c r="D1033" s="326" t="s">
        <v>8446</v>
      </c>
      <c r="E1033" s="359" t="s">
        <v>8446</v>
      </c>
      <c r="G1033" s="327" t="s">
        <v>1594</v>
      </c>
      <c r="H1033" s="328" t="s">
        <v>409</v>
      </c>
      <c r="I1033" s="378"/>
      <c r="J1033" s="379">
        <v>36178</v>
      </c>
      <c r="K1033" s="459"/>
      <c r="L1033" s="460"/>
      <c r="M1033" s="417"/>
    </row>
    <row r="1034" spans="1:13" ht="15" customHeight="1">
      <c r="A1034" s="325"/>
      <c r="D1034" s="326"/>
      <c r="H1034" s="328" t="s">
        <v>6652</v>
      </c>
      <c r="I1034" s="378"/>
      <c r="J1034" s="379">
        <v>3750</v>
      </c>
      <c r="K1034" s="459"/>
      <c r="L1034" s="460"/>
      <c r="M1034" s="417"/>
    </row>
    <row r="1035" spans="1:13" ht="15" customHeight="1">
      <c r="A1035" s="325"/>
      <c r="D1035" s="326"/>
      <c r="H1035" s="328" t="s">
        <v>6653</v>
      </c>
      <c r="I1035" s="378"/>
      <c r="J1035" s="379">
        <v>20544</v>
      </c>
      <c r="K1035" s="459"/>
      <c r="L1035" s="460"/>
      <c r="M1035" s="417"/>
    </row>
    <row r="1036" spans="1:13" ht="15" customHeight="1">
      <c r="A1036" s="325"/>
      <c r="D1036" s="326"/>
      <c r="H1036" s="328" t="s">
        <v>6566</v>
      </c>
      <c r="I1036" s="378"/>
      <c r="J1036" s="379">
        <v>5678</v>
      </c>
      <c r="K1036" s="459"/>
      <c r="L1036" s="460"/>
      <c r="M1036" s="417"/>
    </row>
    <row r="1037" spans="1:13" ht="15" customHeight="1">
      <c r="A1037" s="325"/>
      <c r="D1037" s="326"/>
      <c r="H1037" s="328" t="s">
        <v>6652</v>
      </c>
      <c r="I1037" s="378"/>
      <c r="J1037" s="379">
        <v>995</v>
      </c>
      <c r="K1037" s="459"/>
      <c r="L1037" s="460"/>
      <c r="M1037" s="417"/>
    </row>
    <row r="1038" spans="1:13" ht="15" customHeight="1">
      <c r="A1038" s="325"/>
      <c r="D1038" s="326"/>
      <c r="H1038" s="328" t="s">
        <v>6654</v>
      </c>
      <c r="I1038" s="378"/>
      <c r="J1038" s="379">
        <v>3013</v>
      </c>
      <c r="K1038" s="459"/>
      <c r="L1038" s="460"/>
      <c r="M1038" s="417"/>
    </row>
    <row r="1039" spans="1:13" ht="15" customHeight="1">
      <c r="A1039" s="325"/>
      <c r="D1039" s="326"/>
      <c r="H1039" s="328" t="s">
        <v>6566</v>
      </c>
      <c r="I1039" s="378"/>
      <c r="J1039" s="379">
        <v>1104</v>
      </c>
      <c r="K1039" s="459"/>
      <c r="L1039" s="460"/>
      <c r="M1039" s="417"/>
    </row>
    <row r="1040" spans="1:13" ht="15" customHeight="1">
      <c r="A1040" s="325"/>
      <c r="D1040" s="326"/>
      <c r="H1040" s="328" t="s">
        <v>6652</v>
      </c>
      <c r="I1040" s="378"/>
      <c r="J1040" s="379">
        <v>0</v>
      </c>
      <c r="K1040" s="459"/>
      <c r="L1040" s="460"/>
      <c r="M1040" s="417"/>
    </row>
    <row r="1041" spans="1:13" ht="15" customHeight="1">
      <c r="A1041" s="325"/>
      <c r="D1041" s="326"/>
      <c r="H1041" s="328" t="s">
        <v>6653</v>
      </c>
      <c r="I1041" s="378"/>
      <c r="J1041" s="379">
        <v>0</v>
      </c>
      <c r="K1041" s="459"/>
      <c r="L1041" s="460"/>
      <c r="M1041" s="417"/>
    </row>
    <row r="1042" spans="1:13" ht="15" customHeight="1">
      <c r="A1042" s="325"/>
      <c r="D1042" s="326"/>
      <c r="H1042" s="328" t="s">
        <v>6566</v>
      </c>
      <c r="I1042" s="378"/>
      <c r="J1042" s="379">
        <v>0</v>
      </c>
      <c r="K1042" s="459"/>
      <c r="L1042" s="460"/>
      <c r="M1042" s="417"/>
    </row>
    <row r="1043" spans="1:13" ht="15" customHeight="1">
      <c r="A1043" s="325"/>
      <c r="D1043" s="326"/>
      <c r="H1043" s="328" t="s">
        <v>6653</v>
      </c>
      <c r="I1043" s="378"/>
      <c r="J1043" s="379">
        <v>1181</v>
      </c>
      <c r="K1043" s="459"/>
      <c r="L1043" s="460"/>
      <c r="M1043" s="417"/>
    </row>
    <row r="1044" spans="1:13" ht="15" customHeight="1">
      <c r="A1044" s="325"/>
      <c r="D1044" s="326"/>
      <c r="H1044" s="328" t="s">
        <v>6566</v>
      </c>
      <c r="I1044" s="378"/>
      <c r="J1044" s="379">
        <v>0</v>
      </c>
      <c r="K1044" s="459"/>
      <c r="L1044" s="460"/>
      <c r="M1044" s="417"/>
    </row>
    <row r="1045" spans="1:13" ht="15" customHeight="1">
      <c r="A1045" s="325"/>
      <c r="D1045" s="326"/>
      <c r="H1045" s="328" t="s">
        <v>5925</v>
      </c>
      <c r="I1045" s="378"/>
      <c r="J1045" s="379">
        <v>-87</v>
      </c>
      <c r="K1045" s="459"/>
      <c r="L1045" s="460"/>
      <c r="M1045" s="417"/>
    </row>
    <row r="1046" spans="1:13" ht="15" customHeight="1">
      <c r="A1046" s="349" t="s">
        <v>6655</v>
      </c>
      <c r="B1046" s="339" t="s">
        <v>1140</v>
      </c>
      <c r="C1046" s="340" t="s">
        <v>6656</v>
      </c>
      <c r="D1046" s="339" t="s">
        <v>8447</v>
      </c>
      <c r="E1046" s="369" t="s">
        <v>8447</v>
      </c>
      <c r="F1046" s="350"/>
      <c r="G1046" s="340" t="s">
        <v>1594</v>
      </c>
      <c r="H1046" s="341" t="s">
        <v>411</v>
      </c>
      <c r="I1046" s="385"/>
      <c r="J1046" s="383">
        <v>124378</v>
      </c>
      <c r="K1046" s="459"/>
      <c r="L1046" s="460"/>
      <c r="M1046" s="417"/>
    </row>
    <row r="1047" spans="1:13" ht="15" customHeight="1">
      <c r="A1047" s="349" t="s">
        <v>6657</v>
      </c>
      <c r="B1047" s="339" t="s">
        <v>1142</v>
      </c>
      <c r="C1047" s="340" t="s">
        <v>6658</v>
      </c>
      <c r="D1047" s="339" t="s">
        <v>8448</v>
      </c>
      <c r="E1047" s="369" t="s">
        <v>8448</v>
      </c>
      <c r="F1047" s="350"/>
      <c r="G1047" s="340" t="s">
        <v>1594</v>
      </c>
      <c r="H1047" s="341" t="s">
        <v>412</v>
      </c>
      <c r="I1047" s="385"/>
      <c r="J1047" s="383">
        <v>58902</v>
      </c>
      <c r="K1047" s="459"/>
      <c r="L1047" s="460"/>
      <c r="M1047" s="417"/>
    </row>
    <row r="1048" spans="1:13" ht="15" customHeight="1">
      <c r="A1048" s="349" t="s">
        <v>6659</v>
      </c>
      <c r="B1048" s="339" t="s">
        <v>1144</v>
      </c>
      <c r="C1048" s="340" t="s">
        <v>6660</v>
      </c>
      <c r="D1048" s="339" t="s">
        <v>8449</v>
      </c>
      <c r="E1048" s="369" t="s">
        <v>8449</v>
      </c>
      <c r="F1048" s="350"/>
      <c r="G1048" s="340" t="s">
        <v>1594</v>
      </c>
      <c r="H1048" s="341" t="s">
        <v>414</v>
      </c>
      <c r="I1048" s="385"/>
      <c r="J1048" s="383">
        <v>0</v>
      </c>
      <c r="K1048" s="459"/>
      <c r="L1048" s="460"/>
      <c r="M1048" s="417"/>
    </row>
    <row r="1049" spans="1:13" ht="15" customHeight="1">
      <c r="A1049" s="349" t="s">
        <v>6661</v>
      </c>
      <c r="B1049" s="339" t="s">
        <v>1146</v>
      </c>
      <c r="C1049" s="340" t="s">
        <v>6662</v>
      </c>
      <c r="D1049" s="339" t="s">
        <v>8450</v>
      </c>
      <c r="E1049" s="369" t="s">
        <v>8450</v>
      </c>
      <c r="F1049" s="350"/>
      <c r="G1049" s="340" t="s">
        <v>1594</v>
      </c>
      <c r="H1049" s="341" t="s">
        <v>6663</v>
      </c>
      <c r="I1049" s="385"/>
      <c r="J1049" s="383">
        <v>17463</v>
      </c>
      <c r="K1049" s="459"/>
      <c r="L1049" s="460"/>
      <c r="M1049" s="417"/>
    </row>
    <row r="1050" spans="1:13" ht="15" customHeight="1">
      <c r="A1050" s="349" t="s">
        <v>6664</v>
      </c>
      <c r="B1050" s="339" t="s">
        <v>1148</v>
      </c>
      <c r="C1050" s="340" t="s">
        <v>6665</v>
      </c>
      <c r="D1050" s="339" t="s">
        <v>8451</v>
      </c>
      <c r="E1050" s="369" t="s">
        <v>8451</v>
      </c>
      <c r="F1050" s="350"/>
      <c r="G1050" s="340" t="s">
        <v>1594</v>
      </c>
      <c r="H1050" s="341" t="s">
        <v>6666</v>
      </c>
      <c r="I1050" s="385"/>
      <c r="J1050" s="383">
        <v>27847</v>
      </c>
      <c r="K1050" s="459"/>
      <c r="L1050" s="460"/>
      <c r="M1050" s="417"/>
    </row>
    <row r="1051" spans="1:13" ht="15" customHeight="1">
      <c r="A1051" s="349" t="s">
        <v>6667</v>
      </c>
      <c r="B1051" s="339" t="s">
        <v>1150</v>
      </c>
      <c r="C1051" s="340" t="s">
        <v>6668</v>
      </c>
      <c r="D1051" s="339" t="s">
        <v>8452</v>
      </c>
      <c r="E1051" s="369" t="s">
        <v>8452</v>
      </c>
      <c r="F1051" s="350"/>
      <c r="G1051" s="340" t="s">
        <v>1594</v>
      </c>
      <c r="H1051" s="341" t="s">
        <v>418</v>
      </c>
      <c r="I1051" s="385"/>
      <c r="J1051" s="383">
        <v>77649</v>
      </c>
      <c r="K1051" s="459"/>
      <c r="L1051" s="460"/>
      <c r="M1051" s="417"/>
    </row>
    <row r="1052" spans="1:13" ht="15" customHeight="1">
      <c r="A1052" s="329"/>
      <c r="B1052" s="330" t="s">
        <v>1594</v>
      </c>
      <c r="C1052" s="331" t="s">
        <v>6669</v>
      </c>
      <c r="D1052" s="330" t="s">
        <v>8453</v>
      </c>
      <c r="E1052" s="367" t="s">
        <v>8453</v>
      </c>
      <c r="F1052" s="332"/>
      <c r="G1052" s="331" t="s">
        <v>1594</v>
      </c>
      <c r="H1052" s="320" t="s">
        <v>421</v>
      </c>
      <c r="I1052" s="384"/>
      <c r="J1052" s="381">
        <v>0</v>
      </c>
      <c r="K1052" s="459"/>
      <c r="L1052" s="460"/>
      <c r="M1052" s="417"/>
    </row>
    <row r="1053" spans="1:13" ht="15" customHeight="1">
      <c r="A1053" s="348" t="s">
        <v>6670</v>
      </c>
      <c r="B1053" s="322" t="s">
        <v>1152</v>
      </c>
      <c r="C1053" s="323" t="s">
        <v>6671</v>
      </c>
      <c r="D1053" s="322" t="s">
        <v>8454</v>
      </c>
      <c r="E1053" s="365" t="s">
        <v>8454</v>
      </c>
      <c r="F1053" s="366"/>
      <c r="G1053" s="323" t="s">
        <v>1594</v>
      </c>
      <c r="H1053" s="324" t="s">
        <v>6672</v>
      </c>
      <c r="I1053" s="376"/>
      <c r="J1053" s="379">
        <v>12623</v>
      </c>
      <c r="K1053" s="459"/>
      <c r="L1053" s="460"/>
      <c r="M1053" s="417"/>
    </row>
    <row r="1054" spans="1:13" ht="15" customHeight="1">
      <c r="A1054" s="347"/>
      <c r="D1054" s="326"/>
      <c r="H1054" s="328" t="s">
        <v>6673</v>
      </c>
      <c r="I1054" s="378"/>
      <c r="J1054" s="379">
        <v>1038</v>
      </c>
      <c r="K1054" s="459"/>
      <c r="L1054" s="460"/>
      <c r="M1054" s="417"/>
    </row>
    <row r="1055" spans="1:13" ht="15" customHeight="1">
      <c r="A1055" s="347"/>
      <c r="D1055" s="326"/>
      <c r="H1055" s="328" t="s">
        <v>6674</v>
      </c>
      <c r="I1055" s="378"/>
      <c r="J1055" s="379">
        <v>2929</v>
      </c>
      <c r="K1055" s="459"/>
      <c r="L1055" s="460"/>
      <c r="M1055" s="417"/>
    </row>
    <row r="1056" spans="1:13" ht="15" customHeight="1">
      <c r="A1056" s="347"/>
      <c r="D1056" s="326"/>
      <c r="H1056" s="328" t="s">
        <v>6675</v>
      </c>
      <c r="I1056" s="378"/>
      <c r="J1056" s="379">
        <v>2571</v>
      </c>
      <c r="K1056" s="459"/>
      <c r="L1056" s="460"/>
      <c r="M1056" s="417"/>
    </row>
    <row r="1057" spans="1:13" ht="15" customHeight="1">
      <c r="A1057" s="347"/>
      <c r="D1057" s="326"/>
      <c r="H1057" s="328" t="s">
        <v>6676</v>
      </c>
      <c r="I1057" s="378"/>
      <c r="J1057" s="379">
        <v>0</v>
      </c>
      <c r="K1057" s="459"/>
      <c r="L1057" s="460"/>
      <c r="M1057" s="417"/>
    </row>
    <row r="1058" spans="1:13" ht="15" customHeight="1">
      <c r="A1058" s="347"/>
      <c r="D1058" s="326"/>
      <c r="H1058" s="328" t="s">
        <v>6677</v>
      </c>
      <c r="I1058" s="378"/>
      <c r="J1058" s="379">
        <v>3873</v>
      </c>
      <c r="K1058" s="459"/>
      <c r="L1058" s="460"/>
      <c r="M1058" s="417"/>
    </row>
    <row r="1059" spans="1:13" ht="15" customHeight="1">
      <c r="A1059" s="347"/>
      <c r="D1059" s="326"/>
      <c r="H1059" s="328" t="s">
        <v>6678</v>
      </c>
      <c r="I1059" s="378"/>
      <c r="J1059" s="379">
        <v>0</v>
      </c>
      <c r="K1059" s="459"/>
      <c r="L1059" s="460"/>
      <c r="M1059" s="417"/>
    </row>
    <row r="1060" spans="1:13" ht="15" customHeight="1">
      <c r="A1060" s="347"/>
      <c r="D1060" s="326"/>
      <c r="H1060" s="328" t="s">
        <v>6679</v>
      </c>
      <c r="I1060" s="378"/>
      <c r="J1060" s="379">
        <v>0</v>
      </c>
      <c r="K1060" s="459"/>
      <c r="L1060" s="460"/>
      <c r="M1060" s="417"/>
    </row>
    <row r="1061" spans="1:13" ht="15" customHeight="1">
      <c r="A1061" s="347"/>
      <c r="D1061" s="326"/>
      <c r="H1061" s="328" t="s">
        <v>6680</v>
      </c>
      <c r="I1061" s="378"/>
      <c r="J1061" s="379">
        <v>2212</v>
      </c>
      <c r="K1061" s="459"/>
      <c r="L1061" s="460"/>
      <c r="M1061" s="417"/>
    </row>
    <row r="1062" spans="1:13" ht="15" customHeight="1">
      <c r="A1062" s="347"/>
      <c r="D1062" s="326"/>
      <c r="H1062" s="328" t="s">
        <v>6681</v>
      </c>
      <c r="I1062" s="378"/>
      <c r="J1062" s="379"/>
      <c r="K1062" s="459"/>
      <c r="L1062" s="460"/>
      <c r="M1062" s="417"/>
    </row>
    <row r="1063" spans="1:13" ht="15" customHeight="1">
      <c r="A1063" s="348" t="s">
        <v>6682</v>
      </c>
      <c r="B1063" s="322" t="s">
        <v>1154</v>
      </c>
      <c r="C1063" s="323" t="s">
        <v>6683</v>
      </c>
      <c r="D1063" s="322" t="s">
        <v>8455</v>
      </c>
      <c r="E1063" s="365" t="s">
        <v>8455</v>
      </c>
      <c r="F1063" s="366"/>
      <c r="G1063" s="323" t="s">
        <v>1594</v>
      </c>
      <c r="H1063" s="324" t="s">
        <v>424</v>
      </c>
      <c r="I1063" s="376"/>
      <c r="J1063" s="377">
        <v>43</v>
      </c>
      <c r="K1063" s="459"/>
      <c r="L1063" s="460"/>
      <c r="M1063" s="417"/>
    </row>
    <row r="1064" spans="1:13" ht="15" customHeight="1">
      <c r="A1064" s="347"/>
      <c r="D1064" s="326"/>
      <c r="H1064" s="328" t="s">
        <v>6684</v>
      </c>
      <c r="I1064" s="378">
        <v>77933</v>
      </c>
      <c r="J1064" s="379">
        <v>43</v>
      </c>
      <c r="K1064" s="459"/>
      <c r="L1064" s="460"/>
      <c r="M1064" s="417"/>
    </row>
    <row r="1065" spans="1:13" ht="15" customHeight="1">
      <c r="A1065" s="347"/>
      <c r="D1065" s="326"/>
      <c r="H1065" s="328" t="s">
        <v>6685</v>
      </c>
      <c r="I1065" s="378">
        <v>44302</v>
      </c>
      <c r="J1065" s="379">
        <v>0</v>
      </c>
      <c r="K1065" s="459"/>
      <c r="L1065" s="460"/>
      <c r="M1065" s="417"/>
    </row>
    <row r="1066" spans="1:13" ht="15" customHeight="1">
      <c r="A1066" s="346"/>
      <c r="B1066" s="330"/>
      <c r="C1066" s="331"/>
      <c r="D1066" s="330"/>
      <c r="E1066" s="367"/>
      <c r="F1066" s="332"/>
      <c r="G1066" s="331"/>
      <c r="H1066" s="320" t="s">
        <v>6017</v>
      </c>
      <c r="I1066" s="384"/>
      <c r="J1066" s="381">
        <v>0</v>
      </c>
      <c r="K1066" s="459"/>
      <c r="L1066" s="460"/>
      <c r="M1066" s="417"/>
    </row>
    <row r="1067" spans="1:13" ht="15" customHeight="1">
      <c r="A1067" s="349" t="s">
        <v>6686</v>
      </c>
      <c r="B1067" s="339" t="s">
        <v>1156</v>
      </c>
      <c r="C1067" s="340" t="s">
        <v>6687</v>
      </c>
      <c r="D1067" s="339" t="s">
        <v>8456</v>
      </c>
      <c r="E1067" s="369" t="s">
        <v>8456</v>
      </c>
      <c r="F1067" s="350"/>
      <c r="G1067" s="340" t="s">
        <v>1594</v>
      </c>
      <c r="H1067" s="341" t="s">
        <v>426</v>
      </c>
      <c r="I1067" s="385"/>
      <c r="J1067" s="383">
        <v>15937</v>
      </c>
      <c r="K1067" s="459"/>
      <c r="L1067" s="460"/>
      <c r="M1067" s="417"/>
    </row>
    <row r="1068" spans="1:13" ht="15" customHeight="1">
      <c r="A1068" s="348" t="s">
        <v>6688</v>
      </c>
      <c r="B1068" s="322" t="s">
        <v>1158</v>
      </c>
      <c r="C1068" s="323" t="s">
        <v>6689</v>
      </c>
      <c r="D1068" s="322" t="s">
        <v>8457</v>
      </c>
      <c r="E1068" s="365" t="s">
        <v>8457</v>
      </c>
      <c r="F1068" s="366"/>
      <c r="G1068" s="323" t="s">
        <v>1594</v>
      </c>
      <c r="H1068" s="324" t="s">
        <v>427</v>
      </c>
      <c r="I1068" s="376"/>
      <c r="J1068" s="377">
        <v>445</v>
      </c>
      <c r="K1068" s="459"/>
      <c r="L1068" s="460"/>
      <c r="M1068" s="417"/>
    </row>
    <row r="1069" spans="1:13" ht="15" customHeight="1">
      <c r="A1069" s="347"/>
      <c r="D1069" s="326"/>
      <c r="H1069" s="328" t="s">
        <v>6690</v>
      </c>
      <c r="I1069" s="378"/>
      <c r="J1069" s="379">
        <v>0</v>
      </c>
      <c r="K1069" s="459"/>
      <c r="L1069" s="460"/>
      <c r="M1069" s="417"/>
    </row>
    <row r="1070" spans="1:13" ht="15" customHeight="1">
      <c r="A1070" s="347"/>
      <c r="D1070" s="326"/>
      <c r="H1070" s="328" t="s">
        <v>6691</v>
      </c>
      <c r="I1070" s="378"/>
      <c r="J1070" s="379">
        <v>0</v>
      </c>
      <c r="K1070" s="459"/>
      <c r="L1070" s="460"/>
      <c r="M1070" s="417"/>
    </row>
    <row r="1071" spans="1:13" ht="15" customHeight="1">
      <c r="A1071" s="347"/>
      <c r="D1071" s="326"/>
      <c r="H1071" s="328" t="s">
        <v>6692</v>
      </c>
      <c r="I1071" s="378"/>
      <c r="J1071" s="379">
        <v>0</v>
      </c>
      <c r="K1071" s="459"/>
      <c r="L1071" s="460"/>
      <c r="M1071" s="417"/>
    </row>
    <row r="1072" spans="1:13" ht="15" customHeight="1">
      <c r="A1072" s="347"/>
      <c r="D1072" s="326"/>
      <c r="H1072" s="328" t="s">
        <v>6693</v>
      </c>
      <c r="I1072" s="378">
        <v>32982</v>
      </c>
      <c r="J1072" s="379">
        <v>443</v>
      </c>
      <c r="K1072" s="459"/>
      <c r="L1072" s="460"/>
      <c r="M1072" s="417"/>
    </row>
    <row r="1073" spans="1:13" ht="15" customHeight="1">
      <c r="A1073" s="347"/>
      <c r="D1073" s="326"/>
      <c r="H1073" s="328" t="s">
        <v>6694</v>
      </c>
      <c r="I1073" s="378"/>
      <c r="J1073" s="379">
        <v>0</v>
      </c>
      <c r="K1073" s="459"/>
      <c r="L1073" s="460"/>
      <c r="M1073" s="417"/>
    </row>
    <row r="1074" spans="1:13" ht="15" customHeight="1">
      <c r="A1074" s="347"/>
      <c r="D1074" s="326"/>
      <c r="H1074" s="328" t="s">
        <v>6695</v>
      </c>
      <c r="I1074" s="378"/>
      <c r="J1074" s="379">
        <v>0</v>
      </c>
      <c r="K1074" s="459"/>
      <c r="L1074" s="460"/>
      <c r="M1074" s="417"/>
    </row>
    <row r="1075" spans="1:13" ht="15" customHeight="1">
      <c r="A1075" s="347"/>
      <c r="D1075" s="326"/>
      <c r="H1075" s="328" t="s">
        <v>6696</v>
      </c>
      <c r="I1075" s="378"/>
      <c r="J1075" s="379">
        <v>0</v>
      </c>
      <c r="K1075" s="459"/>
      <c r="L1075" s="460"/>
      <c r="M1075" s="417"/>
    </row>
    <row r="1076" spans="1:13" ht="15" customHeight="1">
      <c r="A1076" s="346"/>
      <c r="B1076" s="330"/>
      <c r="C1076" s="331"/>
      <c r="D1076" s="330"/>
      <c r="E1076" s="367"/>
      <c r="F1076" s="332"/>
      <c r="G1076" s="331"/>
      <c r="H1076" s="320" t="s">
        <v>6017</v>
      </c>
      <c r="I1076" s="384"/>
      <c r="J1076" s="381">
        <v>2</v>
      </c>
      <c r="K1076" s="459"/>
      <c r="L1076" s="460"/>
      <c r="M1076" s="417"/>
    </row>
    <row r="1077" spans="1:13" ht="15" customHeight="1">
      <c r="A1077" s="349" t="s">
        <v>6697</v>
      </c>
      <c r="B1077" s="339" t="s">
        <v>1160</v>
      </c>
      <c r="C1077" s="340" t="s">
        <v>6698</v>
      </c>
      <c r="D1077" s="339" t="s">
        <v>8458</v>
      </c>
      <c r="E1077" s="369" t="s">
        <v>8458</v>
      </c>
      <c r="F1077" s="350"/>
      <c r="G1077" s="340" t="s">
        <v>1594</v>
      </c>
      <c r="H1077" s="341" t="s">
        <v>428</v>
      </c>
      <c r="I1077" s="385"/>
      <c r="J1077" s="383">
        <v>43566</v>
      </c>
      <c r="K1077" s="459"/>
      <c r="L1077" s="460"/>
      <c r="M1077" s="417"/>
    </row>
    <row r="1078" spans="1:13" ht="15" customHeight="1">
      <c r="A1078" s="349" t="s">
        <v>6699</v>
      </c>
      <c r="B1078" s="339" t="s">
        <v>1162</v>
      </c>
      <c r="C1078" s="340" t="s">
        <v>6700</v>
      </c>
      <c r="D1078" s="339" t="s">
        <v>8459</v>
      </c>
      <c r="E1078" s="369" t="s">
        <v>8459</v>
      </c>
      <c r="F1078" s="350"/>
      <c r="G1078" s="340" t="s">
        <v>1594</v>
      </c>
      <c r="H1078" s="320" t="s">
        <v>429</v>
      </c>
      <c r="I1078" s="384"/>
      <c r="J1078" s="379">
        <v>0</v>
      </c>
      <c r="K1078" s="459"/>
      <c r="L1078" s="460"/>
      <c r="M1078" s="417"/>
    </row>
    <row r="1079" spans="1:13" ht="15" customHeight="1">
      <c r="A1079" s="349" t="s">
        <v>6701</v>
      </c>
      <c r="B1079" s="339" t="s">
        <v>1164</v>
      </c>
      <c r="C1079" s="340" t="s">
        <v>6702</v>
      </c>
      <c r="D1079" s="339" t="s">
        <v>8460</v>
      </c>
      <c r="E1079" s="369" t="s">
        <v>8460</v>
      </c>
      <c r="F1079" s="350"/>
      <c r="G1079" s="340" t="s">
        <v>1594</v>
      </c>
      <c r="H1079" s="341" t="s">
        <v>430</v>
      </c>
      <c r="I1079" s="385"/>
      <c r="J1079" s="383">
        <v>81030</v>
      </c>
      <c r="K1079" s="459"/>
      <c r="L1079" s="460"/>
      <c r="M1079" s="417"/>
    </row>
    <row r="1080" spans="1:13" ht="15" customHeight="1">
      <c r="A1080" s="349" t="s">
        <v>6703</v>
      </c>
      <c r="B1080" s="339" t="s">
        <v>1166</v>
      </c>
      <c r="C1080" s="340" t="s">
        <v>6704</v>
      </c>
      <c r="D1080" s="339" t="s">
        <v>8461</v>
      </c>
      <c r="E1080" s="369" t="s">
        <v>8461</v>
      </c>
      <c r="F1080" s="350"/>
      <c r="G1080" s="340" t="s">
        <v>1594</v>
      </c>
      <c r="H1080" s="341" t="s">
        <v>432</v>
      </c>
      <c r="I1080" s="385"/>
      <c r="J1080" s="383">
        <v>86413</v>
      </c>
      <c r="K1080" s="459"/>
      <c r="L1080" s="460"/>
      <c r="M1080" s="417"/>
    </row>
    <row r="1081" spans="1:13" ht="15" customHeight="1">
      <c r="A1081" s="349" t="s">
        <v>6705</v>
      </c>
      <c r="B1081" s="339" t="s">
        <v>1168</v>
      </c>
      <c r="C1081" s="340" t="s">
        <v>6706</v>
      </c>
      <c r="D1081" s="339" t="s">
        <v>8462</v>
      </c>
      <c r="E1081" s="369" t="s">
        <v>8462</v>
      </c>
      <c r="F1081" s="350"/>
      <c r="G1081" s="340" t="s">
        <v>1594</v>
      </c>
      <c r="H1081" s="341" t="s">
        <v>435</v>
      </c>
      <c r="I1081" s="385"/>
      <c r="J1081" s="383">
        <v>40207</v>
      </c>
      <c r="K1081" s="459"/>
      <c r="L1081" s="460"/>
      <c r="M1081" s="417"/>
    </row>
    <row r="1082" spans="1:13" ht="15" customHeight="1">
      <c r="A1082" s="348" t="s">
        <v>6707</v>
      </c>
      <c r="B1082" s="322" t="s">
        <v>1170</v>
      </c>
      <c r="C1082" s="323" t="s">
        <v>6708</v>
      </c>
      <c r="D1082" s="322" t="s">
        <v>8463</v>
      </c>
      <c r="E1082" s="365" t="s">
        <v>8463</v>
      </c>
      <c r="F1082" s="366"/>
      <c r="G1082" s="323" t="s">
        <v>1594</v>
      </c>
      <c r="H1082" s="342" t="s">
        <v>6709</v>
      </c>
      <c r="I1082" s="376"/>
      <c r="J1082" s="377">
        <v>115225</v>
      </c>
      <c r="K1082" s="459"/>
      <c r="L1082" s="460"/>
      <c r="M1082" s="417"/>
    </row>
    <row r="1083" spans="1:13" ht="15" customHeight="1">
      <c r="A1083" s="347"/>
      <c r="D1083" s="326"/>
      <c r="H1083" s="333" t="s">
        <v>6710</v>
      </c>
      <c r="I1083" s="378"/>
      <c r="J1083" s="379">
        <v>0</v>
      </c>
      <c r="K1083" s="459"/>
      <c r="L1083" s="460"/>
      <c r="M1083" s="417"/>
    </row>
    <row r="1084" spans="1:13" ht="15" customHeight="1">
      <c r="A1084" s="347"/>
      <c r="D1084" s="326"/>
      <c r="H1084" s="333" t="s">
        <v>6711</v>
      </c>
      <c r="I1084" s="378"/>
      <c r="J1084" s="379">
        <v>56119</v>
      </c>
      <c r="K1084" s="459"/>
      <c r="L1084" s="460"/>
      <c r="M1084" s="417"/>
    </row>
    <row r="1085" spans="1:13" ht="15" customHeight="1">
      <c r="A1085" s="347"/>
      <c r="D1085" s="326"/>
      <c r="H1085" s="333" t="s">
        <v>6712</v>
      </c>
      <c r="I1085" s="378"/>
      <c r="J1085" s="379">
        <v>24936</v>
      </c>
      <c r="K1085" s="459"/>
      <c r="L1085" s="460"/>
      <c r="M1085" s="417"/>
    </row>
    <row r="1086" spans="1:13" ht="15" customHeight="1">
      <c r="A1086" s="347"/>
      <c r="D1086" s="326"/>
      <c r="H1086" s="333" t="s">
        <v>6713</v>
      </c>
      <c r="I1086" s="378"/>
      <c r="J1086" s="379">
        <v>0</v>
      </c>
      <c r="K1086" s="459"/>
      <c r="L1086" s="460"/>
      <c r="M1086" s="417"/>
    </row>
    <row r="1087" spans="1:13" ht="15" customHeight="1">
      <c r="A1087" s="347"/>
      <c r="D1087" s="326"/>
      <c r="H1087" s="333" t="s">
        <v>6714</v>
      </c>
      <c r="I1087" s="378"/>
      <c r="J1087" s="379">
        <v>105</v>
      </c>
      <c r="K1087" s="459"/>
      <c r="L1087" s="460"/>
      <c r="M1087" s="417"/>
    </row>
    <row r="1088" spans="1:13" ht="15" customHeight="1">
      <c r="A1088" s="347"/>
      <c r="D1088" s="326"/>
      <c r="H1088" s="333" t="s">
        <v>6715</v>
      </c>
      <c r="I1088" s="378"/>
      <c r="J1088" s="379">
        <v>0</v>
      </c>
      <c r="K1088" s="459"/>
      <c r="L1088" s="460"/>
      <c r="M1088" s="417"/>
    </row>
    <row r="1089" spans="1:13" ht="15" customHeight="1">
      <c r="A1089" s="347"/>
      <c r="D1089" s="326"/>
      <c r="H1089" s="333" t="s">
        <v>6716</v>
      </c>
      <c r="I1089" s="378"/>
      <c r="J1089" s="379">
        <v>19846</v>
      </c>
      <c r="K1089" s="459"/>
      <c r="L1089" s="460"/>
      <c r="M1089" s="417"/>
    </row>
    <row r="1090" spans="1:13" ht="15" customHeight="1">
      <c r="A1090" s="347"/>
      <c r="D1090" s="326"/>
      <c r="H1090" s="333" t="s">
        <v>6717</v>
      </c>
      <c r="I1090" s="378"/>
      <c r="J1090" s="379">
        <v>3278</v>
      </c>
      <c r="K1090" s="459"/>
      <c r="L1090" s="460"/>
      <c r="M1090" s="417"/>
    </row>
    <row r="1091" spans="1:13" ht="15" customHeight="1">
      <c r="A1091" s="347"/>
      <c r="D1091" s="326"/>
      <c r="H1091" s="333" t="s">
        <v>6718</v>
      </c>
      <c r="I1091" s="378"/>
      <c r="J1091" s="379">
        <v>0</v>
      </c>
      <c r="K1091" s="459"/>
      <c r="L1091" s="460"/>
      <c r="M1091" s="417"/>
    </row>
    <row r="1092" spans="1:13" ht="15" customHeight="1">
      <c r="A1092" s="347"/>
      <c r="D1092" s="326"/>
      <c r="H1092" s="333" t="s">
        <v>6719</v>
      </c>
      <c r="I1092" s="378"/>
      <c r="J1092" s="379">
        <v>9</v>
      </c>
      <c r="K1092" s="459"/>
      <c r="L1092" s="460"/>
      <c r="M1092" s="417"/>
    </row>
    <row r="1093" spans="1:13" ht="15" customHeight="1">
      <c r="A1093" s="347"/>
      <c r="D1093" s="326"/>
      <c r="H1093" s="333" t="s">
        <v>6720</v>
      </c>
      <c r="I1093" s="378"/>
      <c r="J1093" s="379">
        <v>5930</v>
      </c>
      <c r="K1093" s="459"/>
      <c r="L1093" s="460"/>
      <c r="M1093" s="417"/>
    </row>
    <row r="1094" spans="1:13" ht="15" customHeight="1">
      <c r="A1094" s="347"/>
      <c r="D1094" s="326"/>
      <c r="H1094" s="333" t="s">
        <v>6721</v>
      </c>
      <c r="I1094" s="378"/>
      <c r="J1094" s="379">
        <v>90</v>
      </c>
      <c r="K1094" s="459"/>
      <c r="L1094" s="460"/>
      <c r="M1094" s="417"/>
    </row>
    <row r="1095" spans="1:13" ht="15" customHeight="1">
      <c r="A1095" s="347"/>
      <c r="D1095" s="326"/>
      <c r="H1095" s="333" t="s">
        <v>6722</v>
      </c>
      <c r="I1095" s="378"/>
      <c r="J1095" s="379">
        <v>0</v>
      </c>
      <c r="K1095" s="459"/>
      <c r="L1095" s="460"/>
      <c r="M1095" s="417"/>
    </row>
    <row r="1096" spans="1:13" ht="15" customHeight="1">
      <c r="A1096" s="347"/>
      <c r="D1096" s="326"/>
      <c r="H1096" s="333" t="s">
        <v>6723</v>
      </c>
      <c r="I1096" s="378"/>
      <c r="J1096" s="379">
        <v>4951</v>
      </c>
      <c r="K1096" s="459"/>
      <c r="L1096" s="460"/>
      <c r="M1096" s="417"/>
    </row>
    <row r="1097" spans="1:13" ht="15" customHeight="1">
      <c r="A1097" s="347"/>
      <c r="D1097" s="326"/>
      <c r="H1097" s="333" t="s">
        <v>6724</v>
      </c>
      <c r="I1097" s="378"/>
      <c r="J1097" s="379">
        <v>0</v>
      </c>
      <c r="K1097" s="459"/>
      <c r="L1097" s="460"/>
      <c r="M1097" s="417"/>
    </row>
    <row r="1098" spans="1:13" ht="15" customHeight="1">
      <c r="A1098" s="346"/>
      <c r="B1098" s="330"/>
      <c r="C1098" s="331"/>
      <c r="D1098" s="330"/>
      <c r="E1098" s="367"/>
      <c r="F1098" s="332"/>
      <c r="G1098" s="331"/>
      <c r="H1098" s="344" t="s">
        <v>6155</v>
      </c>
      <c r="I1098" s="384"/>
      <c r="J1098" s="381">
        <v>-39</v>
      </c>
      <c r="K1098" s="459"/>
      <c r="L1098" s="460"/>
      <c r="M1098" s="417"/>
    </row>
    <row r="1099" spans="1:13" ht="15" customHeight="1">
      <c r="A1099" s="349" t="s">
        <v>6725</v>
      </c>
      <c r="B1099" s="339" t="s">
        <v>1172</v>
      </c>
      <c r="C1099" s="340" t="s">
        <v>6726</v>
      </c>
      <c r="D1099" s="339" t="s">
        <v>8464</v>
      </c>
      <c r="E1099" s="369" t="s">
        <v>8464</v>
      </c>
      <c r="F1099" s="350"/>
      <c r="G1099" s="340" t="s">
        <v>1594</v>
      </c>
      <c r="H1099" s="343" t="s">
        <v>6727</v>
      </c>
      <c r="I1099" s="385"/>
      <c r="J1099" s="383">
        <v>47593</v>
      </c>
      <c r="K1099" s="459"/>
      <c r="L1099" s="460"/>
      <c r="M1099" s="417"/>
    </row>
    <row r="1100" spans="1:13" ht="15" customHeight="1">
      <c r="A1100" s="349" t="s">
        <v>6728</v>
      </c>
      <c r="B1100" s="339" t="s">
        <v>1174</v>
      </c>
      <c r="C1100" s="340" t="s">
        <v>6729</v>
      </c>
      <c r="D1100" s="339" t="s">
        <v>8465</v>
      </c>
      <c r="E1100" s="369" t="s">
        <v>8465</v>
      </c>
      <c r="F1100" s="350"/>
      <c r="G1100" s="340" t="s">
        <v>1594</v>
      </c>
      <c r="H1100" s="343" t="s">
        <v>6730</v>
      </c>
      <c r="I1100" s="385"/>
      <c r="J1100" s="383">
        <v>65392</v>
      </c>
      <c r="K1100" s="459"/>
      <c r="L1100" s="460"/>
      <c r="M1100" s="417"/>
    </row>
    <row r="1101" spans="1:13" ht="15" customHeight="1">
      <c r="A1101" s="347" t="s">
        <v>6731</v>
      </c>
      <c r="B1101" s="326" t="s">
        <v>1176</v>
      </c>
      <c r="D1101" s="326" t="s">
        <v>1594</v>
      </c>
      <c r="G1101" s="327" t="s">
        <v>1594</v>
      </c>
      <c r="H1101" s="333" t="s">
        <v>6732</v>
      </c>
      <c r="I1101" s="378"/>
      <c r="J1101" s="379"/>
      <c r="K1101" s="459"/>
      <c r="L1101" s="460"/>
      <c r="M1101" s="417"/>
    </row>
    <row r="1102" spans="1:13" ht="15" customHeight="1">
      <c r="A1102" s="325"/>
      <c r="B1102" s="326" t="s">
        <v>1594</v>
      </c>
      <c r="C1102" s="327" t="s">
        <v>6733</v>
      </c>
      <c r="D1102" s="326" t="s">
        <v>8466</v>
      </c>
      <c r="E1102" s="359" t="s">
        <v>8466</v>
      </c>
      <c r="G1102" s="327" t="s">
        <v>1594</v>
      </c>
      <c r="H1102" s="328" t="s">
        <v>6734</v>
      </c>
      <c r="I1102" s="378"/>
      <c r="J1102" s="379">
        <v>38557</v>
      </c>
      <c r="K1102" s="459"/>
      <c r="L1102" s="460"/>
      <c r="M1102" s="417"/>
    </row>
    <row r="1103" spans="1:13" ht="15" customHeight="1">
      <c r="A1103" s="325"/>
      <c r="B1103" s="326" t="s">
        <v>1594</v>
      </c>
      <c r="C1103" s="327" t="s">
        <v>6735</v>
      </c>
      <c r="D1103" s="326" t="s">
        <v>8467</v>
      </c>
      <c r="E1103" s="359" t="s">
        <v>8467</v>
      </c>
      <c r="G1103" s="327" t="s">
        <v>1594</v>
      </c>
      <c r="H1103" s="328" t="s">
        <v>6736</v>
      </c>
      <c r="I1103" s="378"/>
      <c r="J1103" s="379">
        <v>30651</v>
      </c>
      <c r="K1103" s="459"/>
      <c r="L1103" s="460"/>
      <c r="M1103" s="417"/>
    </row>
    <row r="1104" spans="1:13" ht="15" customHeight="1">
      <c r="A1104" s="325"/>
      <c r="B1104" s="326" t="s">
        <v>1594</v>
      </c>
      <c r="C1104" s="327" t="s">
        <v>6737</v>
      </c>
      <c r="D1104" s="326" t="s">
        <v>8468</v>
      </c>
      <c r="E1104" s="359" t="s">
        <v>8468</v>
      </c>
      <c r="G1104" s="327" t="s">
        <v>1594</v>
      </c>
      <c r="H1104" s="328" t="s">
        <v>6738</v>
      </c>
      <c r="I1104" s="378"/>
      <c r="J1104" s="379">
        <v>35866</v>
      </c>
      <c r="K1104" s="459"/>
      <c r="L1104" s="460"/>
      <c r="M1104" s="417"/>
    </row>
    <row r="1105" spans="1:13" ht="15" customHeight="1">
      <c r="A1105" s="348" t="s">
        <v>6739</v>
      </c>
      <c r="B1105" s="322" t="s">
        <v>1178</v>
      </c>
      <c r="C1105" s="323"/>
      <c r="D1105" s="322" t="s">
        <v>1594</v>
      </c>
      <c r="E1105" s="365"/>
      <c r="F1105" s="366"/>
      <c r="G1105" s="323" t="s">
        <v>1594</v>
      </c>
      <c r="H1105" s="324" t="s">
        <v>6740</v>
      </c>
      <c r="I1105" s="376"/>
      <c r="J1105" s="377"/>
      <c r="K1105" s="459"/>
      <c r="L1105" s="460"/>
      <c r="M1105" s="417"/>
    </row>
    <row r="1106" spans="1:13" ht="15" customHeight="1">
      <c r="A1106" s="325"/>
      <c r="B1106" s="326" t="s">
        <v>1594</v>
      </c>
      <c r="C1106" s="327" t="s">
        <v>6741</v>
      </c>
      <c r="D1106" s="326" t="s">
        <v>8469</v>
      </c>
      <c r="E1106" s="359" t="s">
        <v>8469</v>
      </c>
      <c r="G1106" s="327" t="s">
        <v>1594</v>
      </c>
      <c r="H1106" s="328" t="s">
        <v>445</v>
      </c>
      <c r="I1106" s="378"/>
      <c r="J1106" s="379">
        <v>55350</v>
      </c>
      <c r="K1106" s="459"/>
      <c r="L1106" s="460"/>
      <c r="M1106" s="417"/>
    </row>
    <row r="1107" spans="1:13" ht="15" customHeight="1">
      <c r="A1107" s="325"/>
      <c r="B1107" s="326" t="s">
        <v>1594</v>
      </c>
      <c r="C1107" s="327" t="s">
        <v>6742</v>
      </c>
      <c r="D1107" s="326" t="s">
        <v>8470</v>
      </c>
      <c r="E1107" s="359" t="s">
        <v>8470</v>
      </c>
      <c r="G1107" s="327" t="s">
        <v>1594</v>
      </c>
      <c r="H1107" s="328" t="s">
        <v>446</v>
      </c>
      <c r="I1107" s="378"/>
      <c r="J1107" s="379">
        <v>48577</v>
      </c>
      <c r="K1107" s="459"/>
      <c r="L1107" s="460"/>
      <c r="M1107" s="417"/>
    </row>
    <row r="1108" spans="1:13" ht="15" customHeight="1">
      <c r="A1108" s="329"/>
      <c r="B1108" s="330" t="s">
        <v>1594</v>
      </c>
      <c r="C1108" s="331" t="s">
        <v>6743</v>
      </c>
      <c r="D1108" s="330" t="s">
        <v>8471</v>
      </c>
      <c r="E1108" s="367" t="s">
        <v>8471</v>
      </c>
      <c r="F1108" s="332"/>
      <c r="G1108" s="331" t="s">
        <v>1594</v>
      </c>
      <c r="H1108" s="320" t="s">
        <v>6744</v>
      </c>
      <c r="I1108" s="384"/>
      <c r="J1108" s="381">
        <v>74602</v>
      </c>
      <c r="K1108" s="459"/>
      <c r="L1108" s="460"/>
      <c r="M1108" s="417"/>
    </row>
    <row r="1109" spans="1:13" ht="15" customHeight="1">
      <c r="A1109" s="325" t="s">
        <v>6745</v>
      </c>
      <c r="B1109" s="326" t="s">
        <v>1180</v>
      </c>
      <c r="C1109" s="327" t="s">
        <v>6746</v>
      </c>
      <c r="D1109" s="326" t="s">
        <v>8472</v>
      </c>
      <c r="E1109" s="359" t="s">
        <v>8472</v>
      </c>
      <c r="G1109" s="327" t="s">
        <v>1594</v>
      </c>
      <c r="H1109" s="328" t="s">
        <v>449</v>
      </c>
      <c r="I1109" s="378"/>
      <c r="J1109" s="379">
        <v>26987</v>
      </c>
      <c r="K1109" s="459"/>
      <c r="L1109" s="460"/>
      <c r="M1109" s="417"/>
    </row>
    <row r="1110" spans="1:13" ht="15" customHeight="1">
      <c r="A1110" s="338" t="s">
        <v>6747</v>
      </c>
      <c r="B1110" s="339" t="s">
        <v>1182</v>
      </c>
      <c r="C1110" s="340" t="s">
        <v>6748</v>
      </c>
      <c r="D1110" s="339" t="s">
        <v>8473</v>
      </c>
      <c r="E1110" s="369" t="s">
        <v>8473</v>
      </c>
      <c r="F1110" s="350"/>
      <c r="G1110" s="340" t="s">
        <v>1594</v>
      </c>
      <c r="H1110" s="341" t="s">
        <v>451</v>
      </c>
      <c r="I1110" s="385"/>
      <c r="J1110" s="383">
        <v>370832</v>
      </c>
      <c r="K1110" s="459"/>
      <c r="L1110" s="460"/>
      <c r="M1110" s="417"/>
    </row>
    <row r="1111" spans="1:13" ht="15" customHeight="1">
      <c r="A1111" s="338" t="s">
        <v>6749</v>
      </c>
      <c r="B1111" s="339" t="s">
        <v>1184</v>
      </c>
      <c r="C1111" s="340" t="s">
        <v>6750</v>
      </c>
      <c r="D1111" s="339" t="s">
        <v>8474</v>
      </c>
      <c r="E1111" s="369" t="s">
        <v>8474</v>
      </c>
      <c r="F1111" s="350"/>
      <c r="G1111" s="340" t="s">
        <v>1594</v>
      </c>
      <c r="H1111" s="341" t="s">
        <v>452</v>
      </c>
      <c r="I1111" s="385"/>
      <c r="J1111" s="383">
        <v>269441</v>
      </c>
      <c r="K1111" s="459"/>
      <c r="L1111" s="460"/>
      <c r="M1111" s="417"/>
    </row>
    <row r="1112" spans="1:13" ht="15" customHeight="1">
      <c r="A1112" s="338" t="s">
        <v>6751</v>
      </c>
      <c r="B1112" s="339" t="s">
        <v>1186</v>
      </c>
      <c r="C1112" s="340" t="s">
        <v>6752</v>
      </c>
      <c r="D1112" s="339" t="s">
        <v>8475</v>
      </c>
      <c r="E1112" s="369" t="s">
        <v>8475</v>
      </c>
      <c r="F1112" s="350"/>
      <c r="G1112" s="340" t="s">
        <v>1594</v>
      </c>
      <c r="H1112" s="341" t="s">
        <v>6753</v>
      </c>
      <c r="I1112" s="385"/>
      <c r="J1112" s="383">
        <v>210585</v>
      </c>
      <c r="K1112" s="459"/>
      <c r="L1112" s="460"/>
      <c r="M1112" s="417"/>
    </row>
    <row r="1113" spans="1:13" ht="15" customHeight="1">
      <c r="A1113" s="338" t="s">
        <v>6754</v>
      </c>
      <c r="B1113" s="339" t="s">
        <v>1188</v>
      </c>
      <c r="C1113" s="340" t="s">
        <v>6755</v>
      </c>
      <c r="D1113" s="339" t="s">
        <v>8476</v>
      </c>
      <c r="E1113" s="369" t="s">
        <v>8476</v>
      </c>
      <c r="F1113" s="350"/>
      <c r="G1113" s="340" t="s">
        <v>1594</v>
      </c>
      <c r="H1113" s="341" t="s">
        <v>456</v>
      </c>
      <c r="I1113" s="385"/>
      <c r="J1113" s="383">
        <v>82912</v>
      </c>
      <c r="K1113" s="459"/>
      <c r="L1113" s="460"/>
      <c r="M1113" s="417"/>
    </row>
    <row r="1114" spans="1:13" ht="15" customHeight="1">
      <c r="A1114" s="338" t="s">
        <v>6756</v>
      </c>
      <c r="B1114" s="339" t="s">
        <v>1190</v>
      </c>
      <c r="C1114" s="340" t="s">
        <v>6757</v>
      </c>
      <c r="D1114" s="339" t="s">
        <v>8477</v>
      </c>
      <c r="E1114" s="369" t="s">
        <v>8477</v>
      </c>
      <c r="F1114" s="350"/>
      <c r="G1114" s="340" t="s">
        <v>1594</v>
      </c>
      <c r="H1114" s="341" t="s">
        <v>458</v>
      </c>
      <c r="I1114" s="385"/>
      <c r="J1114" s="383">
        <v>5854</v>
      </c>
      <c r="K1114" s="459"/>
      <c r="L1114" s="460"/>
      <c r="M1114" s="417"/>
    </row>
    <row r="1115" spans="1:13" ht="15" customHeight="1">
      <c r="A1115" s="338" t="s">
        <v>6758</v>
      </c>
      <c r="B1115" s="339" t="s">
        <v>1192</v>
      </c>
      <c r="C1115" s="340" t="s">
        <v>6759</v>
      </c>
      <c r="D1115" s="339" t="s">
        <v>8478</v>
      </c>
      <c r="E1115" s="369" t="s">
        <v>8478</v>
      </c>
      <c r="F1115" s="350"/>
      <c r="G1115" s="340" t="s">
        <v>1594</v>
      </c>
      <c r="H1115" s="341" t="s">
        <v>460</v>
      </c>
      <c r="I1115" s="385"/>
      <c r="J1115" s="383">
        <v>657</v>
      </c>
      <c r="K1115" s="459"/>
      <c r="L1115" s="460"/>
      <c r="M1115" s="417"/>
    </row>
    <row r="1116" spans="1:13" ht="15" customHeight="1">
      <c r="A1116" s="321" t="s">
        <v>6760</v>
      </c>
      <c r="B1116" s="322" t="s">
        <v>1194</v>
      </c>
      <c r="C1116" s="323"/>
      <c r="D1116" s="322"/>
      <c r="E1116" s="365"/>
      <c r="F1116" s="366"/>
      <c r="G1116" s="323" t="s">
        <v>1594</v>
      </c>
      <c r="H1116" s="342" t="s">
        <v>6761</v>
      </c>
      <c r="I1116" s="376"/>
      <c r="J1116" s="377"/>
      <c r="K1116" s="459"/>
      <c r="L1116" s="460"/>
      <c r="M1116" s="417"/>
    </row>
    <row r="1117" spans="1:13" ht="15" customHeight="1">
      <c r="A1117" s="325"/>
      <c r="C1117" s="327" t="s">
        <v>6762</v>
      </c>
      <c r="D1117" s="326" t="s">
        <v>8479</v>
      </c>
      <c r="E1117" s="359" t="s">
        <v>8479</v>
      </c>
      <c r="H1117" s="333" t="s">
        <v>6763</v>
      </c>
      <c r="I1117" s="378"/>
      <c r="J1117" s="379">
        <v>36987</v>
      </c>
      <c r="K1117" s="459"/>
      <c r="L1117" s="460"/>
      <c r="M1117" s="417"/>
    </row>
    <row r="1118" spans="1:13" ht="15" customHeight="1">
      <c r="A1118" s="329"/>
      <c r="B1118" s="330"/>
      <c r="C1118" s="331" t="s">
        <v>6764</v>
      </c>
      <c r="D1118" s="330" t="s">
        <v>8480</v>
      </c>
      <c r="E1118" s="367" t="s">
        <v>8480</v>
      </c>
      <c r="F1118" s="332"/>
      <c r="G1118" s="331"/>
      <c r="H1118" s="344" t="s">
        <v>6765</v>
      </c>
      <c r="I1118" s="384"/>
      <c r="J1118" s="381">
        <v>74193</v>
      </c>
      <c r="K1118" s="459"/>
      <c r="L1118" s="460"/>
      <c r="M1118" s="417"/>
    </row>
    <row r="1119" spans="1:13" ht="15" customHeight="1">
      <c r="A1119" s="338" t="s">
        <v>6766</v>
      </c>
      <c r="B1119" s="339" t="s">
        <v>1196</v>
      </c>
      <c r="C1119" s="340" t="s">
        <v>6767</v>
      </c>
      <c r="D1119" s="339" t="s">
        <v>8481</v>
      </c>
      <c r="E1119" s="369" t="s">
        <v>8481</v>
      </c>
      <c r="F1119" s="350"/>
      <c r="G1119" s="340" t="s">
        <v>1594</v>
      </c>
      <c r="H1119" s="341" t="s">
        <v>6768</v>
      </c>
      <c r="I1119" s="385"/>
      <c r="J1119" s="383">
        <v>15697</v>
      </c>
      <c r="K1119" s="459"/>
      <c r="L1119" s="460"/>
      <c r="M1119" s="417"/>
    </row>
    <row r="1120" spans="1:13" ht="15" customHeight="1">
      <c r="A1120" s="338" t="s">
        <v>6769</v>
      </c>
      <c r="B1120" s="339" t="s">
        <v>1198</v>
      </c>
      <c r="C1120" s="340" t="s">
        <v>6770</v>
      </c>
      <c r="D1120" s="339" t="s">
        <v>8482</v>
      </c>
      <c r="E1120" s="369" t="s">
        <v>8482</v>
      </c>
      <c r="F1120" s="350"/>
      <c r="G1120" s="340" t="s">
        <v>1594</v>
      </c>
      <c r="H1120" s="341" t="s">
        <v>6771</v>
      </c>
      <c r="I1120" s="385"/>
      <c r="J1120" s="383">
        <v>344440</v>
      </c>
      <c r="K1120" s="459"/>
      <c r="L1120" s="460"/>
      <c r="M1120" s="417"/>
    </row>
    <row r="1121" spans="1:13" ht="15" customHeight="1">
      <c r="A1121" s="338" t="s">
        <v>6772</v>
      </c>
      <c r="B1121" s="339" t="s">
        <v>1200</v>
      </c>
      <c r="C1121" s="340" t="s">
        <v>6773</v>
      </c>
      <c r="D1121" s="339" t="s">
        <v>8483</v>
      </c>
      <c r="E1121" s="369" t="s">
        <v>8483</v>
      </c>
      <c r="F1121" s="350"/>
      <c r="G1121" s="340" t="s">
        <v>1594</v>
      </c>
      <c r="H1121" s="341" t="s">
        <v>469</v>
      </c>
      <c r="I1121" s="385"/>
      <c r="J1121" s="383">
        <v>17698</v>
      </c>
      <c r="K1121" s="459"/>
      <c r="L1121" s="460"/>
      <c r="M1121" s="417"/>
    </row>
    <row r="1122" spans="1:13" ht="15" customHeight="1">
      <c r="A1122" s="325" t="s">
        <v>6774</v>
      </c>
      <c r="B1122" s="326" t="s">
        <v>1202</v>
      </c>
      <c r="D1122" s="326" t="s">
        <v>1594</v>
      </c>
      <c r="G1122" s="327" t="s">
        <v>1594</v>
      </c>
      <c r="H1122" s="328" t="s">
        <v>6775</v>
      </c>
      <c r="I1122" s="378"/>
      <c r="J1122" s="379"/>
      <c r="K1122" s="459"/>
      <c r="L1122" s="460"/>
      <c r="M1122" s="417"/>
    </row>
    <row r="1123" spans="1:13" ht="15" customHeight="1">
      <c r="A1123" s="325"/>
      <c r="C1123" s="327" t="s">
        <v>6776</v>
      </c>
      <c r="D1123" s="326" t="s">
        <v>8484</v>
      </c>
      <c r="E1123" s="359" t="s">
        <v>8484</v>
      </c>
      <c r="G1123" s="327" t="s">
        <v>1594</v>
      </c>
      <c r="H1123" s="328" t="s">
        <v>6777</v>
      </c>
      <c r="I1123" s="378"/>
      <c r="J1123" s="379">
        <v>21616</v>
      </c>
      <c r="K1123" s="459"/>
      <c r="L1123" s="460"/>
      <c r="M1123" s="417"/>
    </row>
    <row r="1124" spans="1:13" ht="15" customHeight="1">
      <c r="A1124" s="325"/>
      <c r="B1124" s="326" t="s">
        <v>1594</v>
      </c>
      <c r="C1124" s="327" t="s">
        <v>6778</v>
      </c>
      <c r="D1124" s="326" t="s">
        <v>8485</v>
      </c>
      <c r="E1124" s="359" t="s">
        <v>8485</v>
      </c>
      <c r="G1124" s="327" t="s">
        <v>1594</v>
      </c>
      <c r="H1124" s="328" t="s">
        <v>6779</v>
      </c>
      <c r="I1124" s="378"/>
      <c r="J1124" s="379">
        <v>871</v>
      </c>
      <c r="K1124" s="459"/>
      <c r="L1124" s="460"/>
      <c r="M1124" s="417"/>
    </row>
    <row r="1125" spans="1:13" ht="15" customHeight="1">
      <c r="A1125" s="325"/>
      <c r="B1125" s="326" t="s">
        <v>1594</v>
      </c>
      <c r="C1125" s="327" t="s">
        <v>6780</v>
      </c>
      <c r="D1125" s="326" t="s">
        <v>8486</v>
      </c>
      <c r="E1125" s="359" t="s">
        <v>8486</v>
      </c>
      <c r="G1125" s="327" t="s">
        <v>1594</v>
      </c>
      <c r="H1125" s="328" t="s">
        <v>6781</v>
      </c>
      <c r="I1125" s="378"/>
      <c r="J1125" s="379">
        <v>140</v>
      </c>
      <c r="K1125" s="459"/>
      <c r="L1125" s="460"/>
      <c r="M1125" s="417"/>
    </row>
    <row r="1126" spans="1:13" ht="15" customHeight="1">
      <c r="A1126" s="325"/>
      <c r="B1126" s="326" t="s">
        <v>1594</v>
      </c>
      <c r="C1126" s="327" t="s">
        <v>6782</v>
      </c>
      <c r="D1126" s="326" t="s">
        <v>8487</v>
      </c>
      <c r="E1126" s="359" t="s">
        <v>8487</v>
      </c>
      <c r="G1126" s="327" t="s">
        <v>1594</v>
      </c>
      <c r="H1126" s="328" t="s">
        <v>6783</v>
      </c>
      <c r="I1126" s="378"/>
      <c r="J1126" s="379">
        <v>626</v>
      </c>
      <c r="K1126" s="459"/>
      <c r="L1126" s="460"/>
      <c r="M1126" s="417"/>
    </row>
    <row r="1127" spans="1:13" ht="15" customHeight="1">
      <c r="A1127" s="325"/>
      <c r="B1127" s="326" t="s">
        <v>1594</v>
      </c>
      <c r="C1127" s="327" t="s">
        <v>6784</v>
      </c>
      <c r="D1127" s="326" t="s">
        <v>8488</v>
      </c>
      <c r="E1127" s="359" t="s">
        <v>8488</v>
      </c>
      <c r="G1127" s="327" t="s">
        <v>1594</v>
      </c>
      <c r="H1127" s="333" t="s">
        <v>6785</v>
      </c>
      <c r="I1127" s="378"/>
      <c r="J1127" s="379">
        <v>11038</v>
      </c>
      <c r="K1127" s="459"/>
      <c r="L1127" s="460"/>
      <c r="M1127" s="417"/>
    </row>
    <row r="1128" spans="1:13" ht="15" customHeight="1">
      <c r="A1128" s="338" t="s">
        <v>6786</v>
      </c>
      <c r="B1128" s="339" t="s">
        <v>1204</v>
      </c>
      <c r="C1128" s="340" t="s">
        <v>6787</v>
      </c>
      <c r="D1128" s="339" t="s">
        <v>8489</v>
      </c>
      <c r="E1128" s="369" t="s">
        <v>8489</v>
      </c>
      <c r="F1128" s="350"/>
      <c r="G1128" s="340" t="s">
        <v>1594</v>
      </c>
      <c r="H1128" s="341" t="s">
        <v>479</v>
      </c>
      <c r="I1128" s="385"/>
      <c r="J1128" s="383">
        <v>75293</v>
      </c>
      <c r="K1128" s="459"/>
      <c r="L1128" s="460"/>
      <c r="M1128" s="417"/>
    </row>
    <row r="1129" spans="1:13" ht="15" customHeight="1">
      <c r="A1129" s="325" t="s">
        <v>6788</v>
      </c>
      <c r="B1129" s="322" t="s">
        <v>1206</v>
      </c>
      <c r="C1129" s="323" t="s">
        <v>6789</v>
      </c>
      <c r="D1129" s="322" t="s">
        <v>8490</v>
      </c>
      <c r="E1129" s="365" t="s">
        <v>8490</v>
      </c>
      <c r="H1129" s="328" t="s">
        <v>6790</v>
      </c>
      <c r="I1129" s="378"/>
      <c r="J1129" s="379"/>
      <c r="K1129" s="459"/>
      <c r="L1129" s="460"/>
      <c r="M1129" s="417"/>
    </row>
    <row r="1130" spans="1:13" ht="15" customHeight="1">
      <c r="A1130" s="325"/>
      <c r="B1130" s="326" t="s">
        <v>1594</v>
      </c>
      <c r="C1130" s="327" t="s">
        <v>6791</v>
      </c>
      <c r="D1130" s="326" t="s">
        <v>8490</v>
      </c>
      <c r="E1130" s="359" t="s">
        <v>8490</v>
      </c>
      <c r="G1130" s="327" t="s">
        <v>1594</v>
      </c>
      <c r="H1130" s="328" t="s">
        <v>6792</v>
      </c>
      <c r="I1130" s="378"/>
      <c r="J1130" s="379">
        <v>13262</v>
      </c>
      <c r="K1130" s="459"/>
      <c r="L1130" s="460"/>
      <c r="M1130" s="417"/>
    </row>
    <row r="1131" spans="1:13" ht="15" customHeight="1">
      <c r="A1131" s="325"/>
      <c r="B1131" s="326" t="s">
        <v>1594</v>
      </c>
      <c r="C1131" s="327" t="s">
        <v>6793</v>
      </c>
      <c r="D1131" s="326" t="s">
        <v>8491</v>
      </c>
      <c r="E1131" s="359" t="s">
        <v>8491</v>
      </c>
      <c r="G1131" s="327" t="s">
        <v>1594</v>
      </c>
      <c r="H1131" s="328" t="s">
        <v>6794</v>
      </c>
      <c r="I1131" s="378"/>
      <c r="J1131" s="379">
        <v>35491</v>
      </c>
      <c r="K1131" s="459"/>
      <c r="L1131" s="460"/>
      <c r="M1131" s="417"/>
    </row>
    <row r="1132" spans="1:13" ht="15" customHeight="1">
      <c r="A1132" s="338" t="s">
        <v>6795</v>
      </c>
      <c r="B1132" s="339" t="s">
        <v>1208</v>
      </c>
      <c r="C1132" s="340" t="s">
        <v>6796</v>
      </c>
      <c r="D1132" s="339" t="s">
        <v>8492</v>
      </c>
      <c r="E1132" s="369" t="s">
        <v>8492</v>
      </c>
      <c r="F1132" s="350"/>
      <c r="G1132" s="340" t="s">
        <v>1594</v>
      </c>
      <c r="H1132" s="341" t="s">
        <v>483</v>
      </c>
      <c r="I1132" s="385"/>
      <c r="J1132" s="383">
        <v>58606</v>
      </c>
      <c r="K1132" s="459"/>
      <c r="L1132" s="460"/>
      <c r="M1132" s="417"/>
    </row>
    <row r="1133" spans="1:13" ht="15" customHeight="1">
      <c r="A1133" s="338" t="s">
        <v>6797</v>
      </c>
      <c r="B1133" s="339" t="s">
        <v>1210</v>
      </c>
      <c r="C1133" s="340" t="s">
        <v>6798</v>
      </c>
      <c r="D1133" s="339" t="s">
        <v>8493</v>
      </c>
      <c r="E1133" s="369" t="s">
        <v>8493</v>
      </c>
      <c r="F1133" s="350"/>
      <c r="G1133" s="340" t="s">
        <v>1594</v>
      </c>
      <c r="H1133" s="341" t="s">
        <v>484</v>
      </c>
      <c r="I1133" s="385"/>
      <c r="J1133" s="383">
        <v>57292</v>
      </c>
      <c r="K1133" s="459"/>
      <c r="L1133" s="460"/>
      <c r="M1133" s="417"/>
    </row>
    <row r="1134" spans="1:13" ht="15" customHeight="1">
      <c r="A1134" s="338" t="s">
        <v>6799</v>
      </c>
      <c r="B1134" s="339" t="s">
        <v>1212</v>
      </c>
      <c r="C1134" s="340" t="s">
        <v>6800</v>
      </c>
      <c r="D1134" s="339" t="s">
        <v>8494</v>
      </c>
      <c r="E1134" s="369" t="s">
        <v>8494</v>
      </c>
      <c r="F1134" s="350"/>
      <c r="G1134" s="340" t="s">
        <v>1594</v>
      </c>
      <c r="H1134" s="341" t="s">
        <v>485</v>
      </c>
      <c r="I1134" s="385"/>
      <c r="J1134" s="383">
        <v>45515</v>
      </c>
      <c r="K1134" s="459"/>
      <c r="L1134" s="460"/>
      <c r="M1134" s="417"/>
    </row>
    <row r="1135" spans="1:13" ht="15" customHeight="1">
      <c r="A1135" s="338" t="s">
        <v>6801</v>
      </c>
      <c r="B1135" s="339" t="s">
        <v>1214</v>
      </c>
      <c r="C1135" s="340" t="s">
        <v>6802</v>
      </c>
      <c r="D1135" s="339" t="s">
        <v>8495</v>
      </c>
      <c r="E1135" s="369" t="s">
        <v>8495</v>
      </c>
      <c r="F1135" s="350"/>
      <c r="G1135" s="340" t="s">
        <v>1594</v>
      </c>
      <c r="H1135" s="341" t="s">
        <v>487</v>
      </c>
      <c r="I1135" s="385"/>
      <c r="J1135" s="383">
        <v>25634</v>
      </c>
      <c r="K1135" s="459"/>
      <c r="L1135" s="460"/>
      <c r="M1135" s="417"/>
    </row>
    <row r="1136" spans="1:13" ht="15" customHeight="1">
      <c r="A1136" s="338" t="s">
        <v>6803</v>
      </c>
      <c r="B1136" s="339" t="s">
        <v>1216</v>
      </c>
      <c r="C1136" s="340" t="s">
        <v>6804</v>
      </c>
      <c r="D1136" s="339" t="s">
        <v>8496</v>
      </c>
      <c r="E1136" s="369" t="s">
        <v>8496</v>
      </c>
      <c r="F1136" s="350"/>
      <c r="G1136" s="340" t="s">
        <v>1594</v>
      </c>
      <c r="H1136" s="341" t="s">
        <v>489</v>
      </c>
      <c r="I1136" s="385"/>
      <c r="J1136" s="383">
        <v>32070</v>
      </c>
      <c r="K1136" s="459"/>
      <c r="L1136" s="460"/>
      <c r="M1136" s="417"/>
    </row>
    <row r="1137" spans="1:13" ht="15" customHeight="1">
      <c r="A1137" s="338" t="s">
        <v>6805</v>
      </c>
      <c r="B1137" s="339" t="s">
        <v>1218</v>
      </c>
      <c r="C1137" s="340" t="s">
        <v>6806</v>
      </c>
      <c r="D1137" s="339" t="s">
        <v>8497</v>
      </c>
      <c r="E1137" s="369" t="s">
        <v>8497</v>
      </c>
      <c r="F1137" s="350"/>
      <c r="G1137" s="340"/>
      <c r="H1137" s="341" t="s">
        <v>6807</v>
      </c>
      <c r="I1137" s="385"/>
      <c r="J1137" s="383">
        <v>4103</v>
      </c>
      <c r="K1137" s="459"/>
      <c r="L1137" s="460"/>
      <c r="M1137" s="417"/>
    </row>
    <row r="1138" spans="1:13" ht="15" customHeight="1">
      <c r="A1138" s="338" t="s">
        <v>6808</v>
      </c>
      <c r="B1138" s="339" t="s">
        <v>1220</v>
      </c>
      <c r="C1138" s="340" t="s">
        <v>6809</v>
      </c>
      <c r="D1138" s="339" t="s">
        <v>8498</v>
      </c>
      <c r="E1138" s="369" t="s">
        <v>8498</v>
      </c>
      <c r="F1138" s="350"/>
      <c r="G1138" s="340" t="s">
        <v>1594</v>
      </c>
      <c r="H1138" s="341" t="s">
        <v>6810</v>
      </c>
      <c r="I1138" s="385"/>
      <c r="J1138" s="383">
        <v>59329</v>
      </c>
      <c r="K1138" s="459"/>
      <c r="L1138" s="460"/>
      <c r="M1138" s="417"/>
    </row>
    <row r="1139" spans="1:13" ht="15" customHeight="1">
      <c r="A1139" s="338" t="s">
        <v>6811</v>
      </c>
      <c r="B1139" s="339" t="s">
        <v>1222</v>
      </c>
      <c r="C1139" s="340" t="s">
        <v>6812</v>
      </c>
      <c r="D1139" s="339" t="s">
        <v>8499</v>
      </c>
      <c r="E1139" s="369" t="s">
        <v>8499</v>
      </c>
      <c r="F1139" s="350"/>
      <c r="G1139" s="340" t="s">
        <v>1594</v>
      </c>
      <c r="H1139" s="343" t="s">
        <v>6813</v>
      </c>
      <c r="I1139" s="385"/>
      <c r="J1139" s="383">
        <v>44580</v>
      </c>
      <c r="K1139" s="459"/>
      <c r="L1139" s="460"/>
      <c r="M1139" s="417"/>
    </row>
    <row r="1140" spans="1:13" ht="15" customHeight="1">
      <c r="A1140" s="338" t="s">
        <v>6814</v>
      </c>
      <c r="B1140" s="339" t="s">
        <v>1224</v>
      </c>
      <c r="C1140" s="340" t="s">
        <v>6815</v>
      </c>
      <c r="D1140" s="339" t="s">
        <v>8500</v>
      </c>
      <c r="E1140" s="369" t="s">
        <v>8500</v>
      </c>
      <c r="F1140" s="350"/>
      <c r="G1140" s="340" t="s">
        <v>1594</v>
      </c>
      <c r="H1140" s="341" t="s">
        <v>494</v>
      </c>
      <c r="I1140" s="385"/>
      <c r="J1140" s="383">
        <v>882</v>
      </c>
      <c r="K1140" s="459"/>
      <c r="L1140" s="460"/>
      <c r="M1140" s="417"/>
    </row>
    <row r="1141" spans="1:13" ht="15" customHeight="1">
      <c r="A1141" s="338" t="s">
        <v>6816</v>
      </c>
      <c r="B1141" s="339" t="s">
        <v>1226</v>
      </c>
      <c r="C1141" s="340" t="s">
        <v>6817</v>
      </c>
      <c r="D1141" s="339" t="s">
        <v>8501</v>
      </c>
      <c r="E1141" s="369" t="s">
        <v>8501</v>
      </c>
      <c r="F1141" s="350"/>
      <c r="G1141" s="340" t="s">
        <v>1594</v>
      </c>
      <c r="H1141" s="341" t="s">
        <v>497</v>
      </c>
      <c r="I1141" s="385"/>
      <c r="J1141" s="383">
        <v>108308</v>
      </c>
      <c r="K1141" s="459"/>
      <c r="L1141" s="460"/>
      <c r="M1141" s="417"/>
    </row>
    <row r="1142" spans="1:13" ht="15" customHeight="1">
      <c r="A1142" s="325" t="s">
        <v>6818</v>
      </c>
      <c r="B1142" s="326" t="s">
        <v>1228</v>
      </c>
      <c r="D1142" s="326" t="s">
        <v>1594</v>
      </c>
      <c r="G1142" s="327" t="s">
        <v>1594</v>
      </c>
      <c r="H1142" s="328" t="s">
        <v>6819</v>
      </c>
      <c r="I1142" s="378"/>
      <c r="J1142" s="379"/>
      <c r="K1142" s="459"/>
      <c r="L1142" s="460"/>
      <c r="M1142" s="417"/>
    </row>
    <row r="1143" spans="1:13" ht="15" customHeight="1">
      <c r="A1143" s="325"/>
      <c r="B1143" s="326" t="s">
        <v>1594</v>
      </c>
      <c r="C1143" s="327" t="s">
        <v>6820</v>
      </c>
      <c r="D1143" s="326" t="s">
        <v>8502</v>
      </c>
      <c r="E1143" s="359" t="s">
        <v>8502</v>
      </c>
      <c r="G1143" s="327" t="s">
        <v>1594</v>
      </c>
      <c r="H1143" s="328" t="s">
        <v>499</v>
      </c>
      <c r="I1143" s="378"/>
      <c r="J1143" s="379">
        <v>798</v>
      </c>
      <c r="K1143" s="459"/>
      <c r="L1143" s="460"/>
      <c r="M1143" s="417"/>
    </row>
    <row r="1144" spans="1:13" ht="15" customHeight="1">
      <c r="A1144" s="325"/>
      <c r="B1144" s="326" t="s">
        <v>1594</v>
      </c>
      <c r="C1144" s="327" t="s">
        <v>6821</v>
      </c>
      <c r="D1144" s="326" t="s">
        <v>8503</v>
      </c>
      <c r="E1144" s="359" t="s">
        <v>8503</v>
      </c>
      <c r="G1144" s="327" t="s">
        <v>1594</v>
      </c>
      <c r="H1144" s="328" t="s">
        <v>500</v>
      </c>
      <c r="I1144" s="378"/>
      <c r="J1144" s="379">
        <v>13695</v>
      </c>
      <c r="K1144" s="459"/>
      <c r="L1144" s="460"/>
      <c r="M1144" s="417"/>
    </row>
    <row r="1145" spans="1:13" ht="15" customHeight="1">
      <c r="A1145" s="325"/>
      <c r="B1145" s="326" t="s">
        <v>1594</v>
      </c>
      <c r="C1145" s="455" t="s">
        <v>6822</v>
      </c>
      <c r="D1145" s="456" t="s">
        <v>8504</v>
      </c>
      <c r="E1145" s="436" t="s">
        <v>8504</v>
      </c>
      <c r="F1145" s="437"/>
      <c r="G1145" s="455" t="s">
        <v>1594</v>
      </c>
      <c r="H1145" s="438" t="s">
        <v>6823</v>
      </c>
      <c r="I1145" s="439"/>
      <c r="J1145" s="440">
        <v>41747</v>
      </c>
      <c r="K1145" s="466">
        <v>8.3000000000000007</v>
      </c>
      <c r="L1145" s="467">
        <f>J1145*K1145/100</f>
        <v>3465.0010000000002</v>
      </c>
      <c r="M1145" s="417"/>
    </row>
    <row r="1146" spans="1:13" ht="15" customHeight="1">
      <c r="A1146" s="338" t="s">
        <v>6824</v>
      </c>
      <c r="B1146" s="339" t="s">
        <v>1230</v>
      </c>
      <c r="C1146" s="340" t="s">
        <v>6825</v>
      </c>
      <c r="D1146" s="339" t="s">
        <v>8505</v>
      </c>
      <c r="E1146" s="369" t="s">
        <v>8505</v>
      </c>
      <c r="F1146" s="350"/>
      <c r="G1146" s="340"/>
      <c r="H1146" s="341" t="s">
        <v>6826</v>
      </c>
      <c r="I1146" s="385"/>
      <c r="J1146" s="383">
        <v>46691</v>
      </c>
      <c r="K1146" s="459"/>
      <c r="L1146" s="460"/>
      <c r="M1146" s="417"/>
    </row>
    <row r="1147" spans="1:13" ht="15" customHeight="1">
      <c r="A1147" s="350" t="s">
        <v>6827</v>
      </c>
      <c r="B1147" s="339" t="s">
        <v>1232</v>
      </c>
      <c r="C1147" s="340" t="s">
        <v>6828</v>
      </c>
      <c r="D1147" s="339" t="s">
        <v>8506</v>
      </c>
      <c r="E1147" s="369" t="s">
        <v>8506</v>
      </c>
      <c r="F1147" s="350"/>
      <c r="G1147" s="340"/>
      <c r="H1147" s="341" t="s">
        <v>6829</v>
      </c>
      <c r="I1147" s="385"/>
      <c r="J1147" s="383">
        <v>18467</v>
      </c>
      <c r="K1147" s="459"/>
      <c r="L1147" s="460"/>
      <c r="M1147" s="417"/>
    </row>
    <row r="1148" spans="1:13" ht="15" customHeight="1">
      <c r="A1148" s="350" t="s">
        <v>6830</v>
      </c>
      <c r="B1148" s="339" t="s">
        <v>1234</v>
      </c>
      <c r="C1148" s="340" t="s">
        <v>6831</v>
      </c>
      <c r="D1148" s="339" t="s">
        <v>8507</v>
      </c>
      <c r="E1148" s="369" t="s">
        <v>8507</v>
      </c>
      <c r="F1148" s="350"/>
      <c r="G1148" s="340"/>
      <c r="H1148" s="341" t="s">
        <v>6832</v>
      </c>
      <c r="I1148" s="385"/>
      <c r="J1148" s="383">
        <v>1379</v>
      </c>
      <c r="K1148" s="459"/>
      <c r="L1148" s="460"/>
      <c r="M1148" s="417"/>
    </row>
    <row r="1149" spans="1:13" ht="15" customHeight="1">
      <c r="A1149" s="325" t="s">
        <v>6833</v>
      </c>
      <c r="B1149" s="326" t="s">
        <v>1236</v>
      </c>
      <c r="C1149" s="331" t="s">
        <v>6834</v>
      </c>
      <c r="D1149" s="330" t="s">
        <v>8508</v>
      </c>
      <c r="E1149" s="367" t="s">
        <v>8508</v>
      </c>
      <c r="H1149" s="328" t="s">
        <v>6835</v>
      </c>
      <c r="I1149" s="378"/>
      <c r="J1149" s="379">
        <v>2070</v>
      </c>
      <c r="K1149" s="459"/>
      <c r="L1149" s="460"/>
      <c r="M1149" s="417"/>
    </row>
    <row r="1150" spans="1:13" ht="15" customHeight="1">
      <c r="A1150" s="321" t="s">
        <v>6836</v>
      </c>
      <c r="B1150" s="322" t="s">
        <v>8509</v>
      </c>
      <c r="C1150" s="327" t="s">
        <v>6837</v>
      </c>
      <c r="D1150" s="326" t="s">
        <v>8510</v>
      </c>
      <c r="E1150" s="359" t="s">
        <v>8510</v>
      </c>
      <c r="F1150" s="366"/>
      <c r="G1150" s="323" t="s">
        <v>1594</v>
      </c>
      <c r="H1150" s="324" t="s">
        <v>512</v>
      </c>
      <c r="I1150" s="376"/>
      <c r="J1150" s="377">
        <v>102843</v>
      </c>
      <c r="K1150" s="459"/>
      <c r="L1150" s="460"/>
      <c r="M1150" s="417"/>
    </row>
    <row r="1151" spans="1:13" ht="15" customHeight="1">
      <c r="A1151" s="325"/>
      <c r="D1151" s="326"/>
      <c r="H1151" s="328" t="s">
        <v>6838</v>
      </c>
      <c r="I1151" s="378"/>
      <c r="J1151" s="379">
        <v>3063</v>
      </c>
      <c r="K1151" s="459"/>
      <c r="L1151" s="460"/>
      <c r="M1151" s="417"/>
    </row>
    <row r="1152" spans="1:13" ht="15" customHeight="1">
      <c r="A1152" s="325"/>
      <c r="D1152" s="326"/>
      <c r="H1152" s="328" t="s">
        <v>6839</v>
      </c>
      <c r="I1152" s="378"/>
      <c r="J1152" s="379">
        <v>18063</v>
      </c>
      <c r="K1152" s="459"/>
      <c r="L1152" s="460"/>
      <c r="M1152" s="417"/>
    </row>
    <row r="1153" spans="1:13" ht="15" customHeight="1">
      <c r="A1153" s="325"/>
      <c r="D1153" s="326"/>
      <c r="H1153" s="328" t="s">
        <v>6840</v>
      </c>
      <c r="I1153" s="378"/>
      <c r="J1153" s="379">
        <v>20817</v>
      </c>
      <c r="K1153" s="459"/>
      <c r="L1153" s="460"/>
      <c r="M1153" s="417"/>
    </row>
    <row r="1154" spans="1:13" ht="15" customHeight="1">
      <c r="A1154" s="325"/>
      <c r="D1154" s="326"/>
      <c r="H1154" s="328" t="s">
        <v>6841</v>
      </c>
      <c r="I1154" s="378"/>
      <c r="J1154" s="379">
        <v>0</v>
      </c>
      <c r="K1154" s="459"/>
      <c r="L1154" s="460"/>
      <c r="M1154" s="417"/>
    </row>
    <row r="1155" spans="1:13" ht="15" customHeight="1">
      <c r="A1155" s="325"/>
      <c r="D1155" s="326"/>
      <c r="H1155" s="328" t="s">
        <v>6842</v>
      </c>
      <c r="I1155" s="378"/>
      <c r="J1155" s="379">
        <v>11438</v>
      </c>
      <c r="K1155" s="459"/>
      <c r="L1155" s="460"/>
      <c r="M1155" s="417"/>
    </row>
    <row r="1156" spans="1:13" ht="15" customHeight="1">
      <c r="A1156" s="325"/>
      <c r="D1156" s="326"/>
      <c r="H1156" s="328" t="s">
        <v>6843</v>
      </c>
      <c r="I1156" s="378"/>
      <c r="J1156" s="379">
        <v>4678</v>
      </c>
      <c r="K1156" s="459"/>
      <c r="L1156" s="460"/>
      <c r="M1156" s="417"/>
    </row>
    <row r="1157" spans="1:13" ht="15" customHeight="1">
      <c r="A1157" s="325"/>
      <c r="D1157" s="326"/>
      <c r="H1157" s="328" t="s">
        <v>6844</v>
      </c>
      <c r="I1157" s="378"/>
      <c r="J1157" s="379">
        <v>2251</v>
      </c>
      <c r="K1157" s="459"/>
      <c r="L1157" s="460"/>
      <c r="M1157" s="417"/>
    </row>
    <row r="1158" spans="1:13" ht="15" customHeight="1">
      <c r="A1158" s="325"/>
      <c r="D1158" s="326"/>
      <c r="H1158" s="328" t="s">
        <v>6845</v>
      </c>
      <c r="I1158" s="378"/>
      <c r="J1158" s="379">
        <v>6281</v>
      </c>
      <c r="K1158" s="459"/>
      <c r="L1158" s="460"/>
      <c r="M1158" s="417"/>
    </row>
    <row r="1159" spans="1:13" ht="15" customHeight="1">
      <c r="A1159" s="325"/>
      <c r="D1159" s="326"/>
      <c r="H1159" s="328" t="s">
        <v>6846</v>
      </c>
      <c r="I1159" s="378"/>
      <c r="J1159" s="379">
        <v>10089</v>
      </c>
      <c r="K1159" s="459"/>
      <c r="L1159" s="460"/>
      <c r="M1159" s="417"/>
    </row>
    <row r="1160" spans="1:13" ht="15" customHeight="1">
      <c r="A1160" s="325"/>
      <c r="D1160" s="326"/>
      <c r="H1160" s="328" t="s">
        <v>6847</v>
      </c>
      <c r="I1160" s="378"/>
      <c r="J1160" s="379">
        <v>33177</v>
      </c>
      <c r="K1160" s="459"/>
      <c r="L1160" s="460"/>
      <c r="M1160" s="417"/>
    </row>
    <row r="1161" spans="1:13" ht="15" customHeight="1">
      <c r="A1161" s="325"/>
      <c r="D1161" s="326"/>
      <c r="H1161" s="328" t="s">
        <v>6848</v>
      </c>
      <c r="I1161" s="378"/>
      <c r="J1161" s="379">
        <v>8592</v>
      </c>
      <c r="K1161" s="459"/>
      <c r="L1161" s="460"/>
      <c r="M1161" s="417"/>
    </row>
    <row r="1162" spans="1:13" ht="15" customHeight="1">
      <c r="A1162" s="325"/>
      <c r="D1162" s="326"/>
      <c r="H1162" s="483" t="s">
        <v>6849</v>
      </c>
      <c r="I1162" s="378"/>
      <c r="J1162" s="379">
        <v>0</v>
      </c>
      <c r="K1162" s="459"/>
      <c r="L1162" s="460"/>
      <c r="M1162" s="417"/>
    </row>
    <row r="1163" spans="1:13" ht="15" customHeight="1">
      <c r="A1163" s="325"/>
      <c r="D1163" s="326"/>
      <c r="H1163" s="328" t="s">
        <v>6850</v>
      </c>
      <c r="I1163" s="378"/>
      <c r="J1163" s="379">
        <v>0</v>
      </c>
      <c r="K1163" s="459"/>
      <c r="L1163" s="460"/>
      <c r="M1163" s="417"/>
    </row>
    <row r="1164" spans="1:13" ht="15" customHeight="1">
      <c r="A1164" s="325"/>
      <c r="D1164" s="326"/>
      <c r="H1164" s="328" t="s">
        <v>6851</v>
      </c>
      <c r="I1164" s="378"/>
      <c r="J1164" s="379">
        <v>4</v>
      </c>
      <c r="K1164" s="459"/>
      <c r="L1164" s="460"/>
      <c r="M1164" s="417"/>
    </row>
    <row r="1165" spans="1:13" ht="15" customHeight="1">
      <c r="A1165" s="325"/>
      <c r="D1165" s="326"/>
      <c r="H1165" s="328" t="s">
        <v>6852</v>
      </c>
      <c r="I1165" s="378"/>
      <c r="J1165" s="379">
        <v>0</v>
      </c>
      <c r="K1165" s="459"/>
      <c r="L1165" s="460"/>
      <c r="M1165" s="417"/>
    </row>
    <row r="1166" spans="1:13" ht="15" customHeight="1">
      <c r="A1166" s="329"/>
      <c r="B1166" s="330"/>
      <c r="C1166" s="331"/>
      <c r="D1166" s="330"/>
      <c r="E1166" s="367"/>
      <c r="F1166" s="332"/>
      <c r="G1166" s="331"/>
      <c r="H1166" s="320" t="s">
        <v>6017</v>
      </c>
      <c r="I1166" s="384"/>
      <c r="J1166" s="381">
        <v>-15610</v>
      </c>
      <c r="K1166" s="459"/>
      <c r="L1166" s="460"/>
      <c r="M1166" s="417"/>
    </row>
    <row r="1167" spans="1:13" ht="15" customHeight="1">
      <c r="A1167" s="321" t="s">
        <v>6853</v>
      </c>
      <c r="B1167" s="322" t="s">
        <v>8511</v>
      </c>
      <c r="D1167" s="326"/>
      <c r="F1167" s="366"/>
      <c r="G1167" s="323" t="s">
        <v>1594</v>
      </c>
      <c r="H1167" s="324" t="s">
        <v>6854</v>
      </c>
      <c r="I1167" s="376"/>
      <c r="J1167" s="377"/>
      <c r="K1167" s="459"/>
      <c r="L1167" s="460"/>
      <c r="M1167" s="417"/>
    </row>
    <row r="1168" spans="1:13" ht="15" customHeight="1">
      <c r="A1168" s="325"/>
      <c r="C1168" s="327" t="s">
        <v>6855</v>
      </c>
      <c r="D1168" s="326" t="s">
        <v>8512</v>
      </c>
      <c r="E1168" s="359" t="s">
        <v>8512</v>
      </c>
      <c r="H1168" s="328" t="s">
        <v>6856</v>
      </c>
      <c r="I1168" s="378"/>
      <c r="J1168" s="379">
        <v>25936</v>
      </c>
      <c r="K1168" s="459"/>
      <c r="L1168" s="460"/>
      <c r="M1168" s="417"/>
    </row>
    <row r="1169" spans="1:13" ht="15" customHeight="1">
      <c r="A1169" s="325"/>
      <c r="D1169" s="326"/>
      <c r="H1169" s="328" t="s">
        <v>6857</v>
      </c>
      <c r="I1169" s="378"/>
      <c r="J1169" s="379">
        <v>5885</v>
      </c>
      <c r="K1169" s="459"/>
      <c r="L1169" s="460"/>
      <c r="M1169" s="417"/>
    </row>
    <row r="1170" spans="1:13" ht="15" customHeight="1">
      <c r="A1170" s="325"/>
      <c r="D1170" s="326"/>
      <c r="H1170" s="328" t="s">
        <v>6858</v>
      </c>
      <c r="I1170" s="378"/>
      <c r="J1170" s="379">
        <v>1797</v>
      </c>
      <c r="K1170" s="459"/>
      <c r="L1170" s="460"/>
      <c r="M1170" s="417"/>
    </row>
    <row r="1171" spans="1:13" ht="15" customHeight="1">
      <c r="A1171" s="325"/>
      <c r="D1171" s="326"/>
      <c r="H1171" s="328" t="s">
        <v>6859</v>
      </c>
      <c r="I1171" s="378"/>
      <c r="J1171" s="379">
        <v>0</v>
      </c>
      <c r="K1171" s="459"/>
      <c r="L1171" s="460"/>
      <c r="M1171" s="417"/>
    </row>
    <row r="1172" spans="1:13" ht="15" customHeight="1">
      <c r="A1172" s="325"/>
      <c r="D1172" s="326"/>
      <c r="H1172" s="328" t="s">
        <v>6860</v>
      </c>
      <c r="I1172" s="378"/>
      <c r="J1172" s="379">
        <v>0</v>
      </c>
      <c r="K1172" s="459"/>
      <c r="L1172" s="460"/>
      <c r="M1172" s="417"/>
    </row>
    <row r="1173" spans="1:13" ht="15" customHeight="1">
      <c r="A1173" s="325"/>
      <c r="D1173" s="326"/>
      <c r="H1173" s="328" t="s">
        <v>6861</v>
      </c>
      <c r="I1173" s="378"/>
      <c r="J1173" s="379">
        <v>0</v>
      </c>
      <c r="K1173" s="459"/>
      <c r="L1173" s="460"/>
      <c r="M1173" s="417"/>
    </row>
    <row r="1174" spans="1:13" ht="15" customHeight="1">
      <c r="A1174" s="325"/>
      <c r="D1174" s="326"/>
      <c r="H1174" s="328" t="s">
        <v>6862</v>
      </c>
      <c r="I1174" s="378"/>
      <c r="J1174" s="379">
        <v>150</v>
      </c>
      <c r="K1174" s="459"/>
      <c r="L1174" s="460"/>
      <c r="M1174" s="417"/>
    </row>
    <row r="1175" spans="1:13" ht="15" customHeight="1">
      <c r="A1175" s="325"/>
      <c r="D1175" s="326"/>
      <c r="H1175" s="328" t="s">
        <v>6863</v>
      </c>
      <c r="I1175" s="378"/>
      <c r="J1175" s="379">
        <v>1238</v>
      </c>
      <c r="K1175" s="459"/>
      <c r="L1175" s="460"/>
      <c r="M1175" s="417"/>
    </row>
    <row r="1176" spans="1:13" ht="15" customHeight="1">
      <c r="A1176" s="325"/>
      <c r="D1176" s="326"/>
      <c r="H1176" s="328" t="s">
        <v>6864</v>
      </c>
      <c r="I1176" s="378"/>
      <c r="J1176" s="379">
        <v>424</v>
      </c>
      <c r="K1176" s="459"/>
      <c r="L1176" s="460"/>
      <c r="M1176" s="417"/>
    </row>
    <row r="1177" spans="1:13" ht="15" customHeight="1">
      <c r="A1177" s="325"/>
      <c r="D1177" s="326"/>
      <c r="H1177" s="328" t="s">
        <v>6865</v>
      </c>
      <c r="I1177" s="378"/>
      <c r="J1177" s="379">
        <v>0</v>
      </c>
      <c r="K1177" s="459"/>
      <c r="L1177" s="460"/>
      <c r="M1177" s="417"/>
    </row>
    <row r="1178" spans="1:13" ht="15" customHeight="1">
      <c r="A1178" s="325"/>
      <c r="D1178" s="326"/>
      <c r="H1178" s="328" t="s">
        <v>6866</v>
      </c>
      <c r="I1178" s="378"/>
      <c r="J1178" s="379">
        <v>1889</v>
      </c>
      <c r="K1178" s="459"/>
      <c r="L1178" s="460"/>
      <c r="M1178" s="417"/>
    </row>
    <row r="1179" spans="1:13" ht="15" customHeight="1">
      <c r="A1179" s="325"/>
      <c r="D1179" s="326"/>
      <c r="H1179" s="328" t="s">
        <v>6867</v>
      </c>
      <c r="I1179" s="378"/>
      <c r="J1179" s="379">
        <v>0</v>
      </c>
      <c r="K1179" s="459"/>
      <c r="L1179" s="460"/>
      <c r="M1179" s="417"/>
    </row>
    <row r="1180" spans="1:13" ht="15" customHeight="1">
      <c r="A1180" s="325"/>
      <c r="D1180" s="326"/>
      <c r="H1180" s="328" t="s">
        <v>6868</v>
      </c>
      <c r="I1180" s="378"/>
      <c r="J1180" s="379">
        <v>0</v>
      </c>
      <c r="K1180" s="459"/>
      <c r="L1180" s="460"/>
      <c r="M1180" s="417"/>
    </row>
    <row r="1181" spans="1:13" ht="15" customHeight="1">
      <c r="A1181" s="325"/>
      <c r="D1181" s="326"/>
      <c r="H1181" s="328" t="s">
        <v>6869</v>
      </c>
      <c r="I1181" s="378"/>
      <c r="J1181" s="379">
        <v>0</v>
      </c>
      <c r="K1181" s="459"/>
      <c r="L1181" s="460"/>
      <c r="M1181" s="417"/>
    </row>
    <row r="1182" spans="1:13" ht="15" customHeight="1">
      <c r="A1182" s="325"/>
      <c r="D1182" s="326"/>
      <c r="H1182" s="328" t="s">
        <v>6870</v>
      </c>
      <c r="I1182" s="378"/>
      <c r="J1182" s="379">
        <v>43</v>
      </c>
      <c r="K1182" s="459"/>
      <c r="L1182" s="460"/>
      <c r="M1182" s="417"/>
    </row>
    <row r="1183" spans="1:13" ht="15" customHeight="1">
      <c r="A1183" s="325"/>
      <c r="D1183" s="326"/>
      <c r="H1183" s="328" t="s">
        <v>6871</v>
      </c>
      <c r="I1183" s="378"/>
      <c r="J1183" s="379">
        <v>0</v>
      </c>
      <c r="K1183" s="459"/>
      <c r="L1183" s="460"/>
      <c r="M1183" s="417"/>
    </row>
    <row r="1184" spans="1:13" ht="15" customHeight="1">
      <c r="A1184" s="325"/>
      <c r="D1184" s="326"/>
      <c r="H1184" s="328" t="s">
        <v>6872</v>
      </c>
      <c r="I1184" s="378"/>
      <c r="J1184" s="379">
        <v>0</v>
      </c>
      <c r="K1184" s="459"/>
      <c r="L1184" s="460"/>
      <c r="M1184" s="417"/>
    </row>
    <row r="1185" spans="1:13" ht="15" customHeight="1">
      <c r="A1185" s="325"/>
      <c r="D1185" s="326"/>
      <c r="H1185" s="328" t="s">
        <v>6873</v>
      </c>
      <c r="I1185" s="378"/>
      <c r="J1185" s="379">
        <v>1071</v>
      </c>
      <c r="K1185" s="459"/>
      <c r="L1185" s="460"/>
      <c r="M1185" s="417"/>
    </row>
    <row r="1186" spans="1:13" ht="15" customHeight="1">
      <c r="A1186" s="325"/>
      <c r="D1186" s="326"/>
      <c r="H1186" s="328" t="s">
        <v>6874</v>
      </c>
      <c r="I1186" s="378"/>
      <c r="J1186" s="379"/>
      <c r="K1186" s="459"/>
      <c r="L1186" s="460"/>
      <c r="M1186" s="417"/>
    </row>
    <row r="1187" spans="1:13" ht="15" customHeight="1">
      <c r="A1187" s="325"/>
      <c r="D1187" s="326"/>
      <c r="H1187" s="328" t="s">
        <v>6017</v>
      </c>
      <c r="I1187" s="378"/>
      <c r="J1187" s="379">
        <v>724</v>
      </c>
      <c r="K1187" s="459"/>
      <c r="L1187" s="460"/>
      <c r="M1187" s="417"/>
    </row>
    <row r="1188" spans="1:13" ht="15" customHeight="1">
      <c r="A1188" s="329"/>
      <c r="B1188" s="330"/>
      <c r="C1188" s="331" t="s">
        <v>6875</v>
      </c>
      <c r="D1188" s="330" t="s">
        <v>8513</v>
      </c>
      <c r="E1188" s="367" t="s">
        <v>8513</v>
      </c>
      <c r="F1188" s="332"/>
      <c r="G1188" s="331"/>
      <c r="H1188" s="320" t="s">
        <v>6876</v>
      </c>
      <c r="I1188" s="384"/>
      <c r="J1188" s="381">
        <v>0</v>
      </c>
      <c r="K1188" s="459"/>
      <c r="L1188" s="460"/>
      <c r="M1188" s="417"/>
    </row>
    <row r="1189" spans="1:13" ht="15" customHeight="1">
      <c r="A1189" s="325" t="s">
        <v>6877</v>
      </c>
      <c r="B1189" s="326" t="s">
        <v>8514</v>
      </c>
      <c r="C1189" s="327" t="s">
        <v>6878</v>
      </c>
      <c r="D1189" s="326" t="s">
        <v>8515</v>
      </c>
      <c r="E1189" s="359" t="s">
        <v>8515</v>
      </c>
      <c r="H1189" s="328" t="s">
        <v>6879</v>
      </c>
      <c r="I1189" s="378"/>
      <c r="J1189" s="379">
        <v>91329</v>
      </c>
      <c r="K1189" s="459"/>
      <c r="L1189" s="460"/>
      <c r="M1189" s="417"/>
    </row>
    <row r="1190" spans="1:13" ht="15" customHeight="1">
      <c r="A1190" s="325"/>
      <c r="D1190" s="326"/>
      <c r="H1190" s="328" t="s">
        <v>6880</v>
      </c>
      <c r="I1190" s="378"/>
      <c r="J1190" s="379">
        <v>0</v>
      </c>
      <c r="K1190" s="459"/>
      <c r="L1190" s="460"/>
      <c r="M1190" s="417"/>
    </row>
    <row r="1191" spans="1:13" ht="15" customHeight="1">
      <c r="A1191" s="325"/>
      <c r="D1191" s="326"/>
      <c r="H1191" s="328" t="s">
        <v>6881</v>
      </c>
      <c r="I1191" s="378"/>
      <c r="J1191" s="379">
        <v>680</v>
      </c>
      <c r="K1191" s="459"/>
      <c r="L1191" s="460"/>
      <c r="M1191" s="417"/>
    </row>
    <row r="1192" spans="1:13" ht="15" customHeight="1">
      <c r="A1192" s="325"/>
      <c r="D1192" s="326"/>
      <c r="H1192" s="328" t="s">
        <v>6882</v>
      </c>
      <c r="I1192" s="378"/>
      <c r="J1192" s="379">
        <v>91170</v>
      </c>
      <c r="K1192" s="459"/>
      <c r="L1192" s="460"/>
      <c r="M1192" s="417"/>
    </row>
    <row r="1193" spans="1:13" ht="15" customHeight="1">
      <c r="A1193" s="325"/>
      <c r="D1193" s="326"/>
      <c r="H1193" s="328" t="s">
        <v>6883</v>
      </c>
      <c r="I1193" s="378"/>
      <c r="J1193" s="379">
        <v>0</v>
      </c>
      <c r="K1193" s="459"/>
      <c r="L1193" s="460"/>
      <c r="M1193" s="417"/>
    </row>
    <row r="1194" spans="1:13" ht="15" customHeight="1">
      <c r="A1194" s="325"/>
      <c r="D1194" s="326"/>
      <c r="H1194" s="328" t="s">
        <v>6884</v>
      </c>
      <c r="I1194" s="378"/>
      <c r="J1194" s="379">
        <v>0</v>
      </c>
      <c r="K1194" s="459"/>
      <c r="L1194" s="460"/>
      <c r="M1194" s="417"/>
    </row>
    <row r="1195" spans="1:13" ht="15" customHeight="1">
      <c r="A1195" s="329"/>
      <c r="B1195" s="330"/>
      <c r="C1195" s="331"/>
      <c r="D1195" s="330"/>
      <c r="E1195" s="367"/>
      <c r="H1195" s="328" t="s">
        <v>6017</v>
      </c>
      <c r="I1195" s="378"/>
      <c r="J1195" s="379">
        <v>-521</v>
      </c>
      <c r="K1195" s="459"/>
      <c r="L1195" s="460"/>
      <c r="M1195" s="417"/>
    </row>
    <row r="1196" spans="1:13" ht="15" customHeight="1">
      <c r="A1196" s="321" t="s">
        <v>6885</v>
      </c>
      <c r="B1196" s="322" t="s">
        <v>8516</v>
      </c>
      <c r="C1196" s="327" t="s">
        <v>6886</v>
      </c>
      <c r="D1196" s="326" t="s">
        <v>8517</v>
      </c>
      <c r="E1196" s="359" t="s">
        <v>8517</v>
      </c>
      <c r="F1196" s="366"/>
      <c r="G1196" s="323" t="s">
        <v>1594</v>
      </c>
      <c r="H1196" s="324" t="s">
        <v>6887</v>
      </c>
      <c r="I1196" s="376"/>
      <c r="J1196" s="377">
        <v>0</v>
      </c>
      <c r="K1196" s="459"/>
      <c r="L1196" s="460"/>
      <c r="M1196" s="417"/>
    </row>
    <row r="1197" spans="1:13" ht="15" customHeight="1">
      <c r="A1197" s="325"/>
      <c r="D1197" s="326"/>
      <c r="H1197" s="328" t="s">
        <v>6888</v>
      </c>
      <c r="I1197" s="378"/>
      <c r="J1197" s="379">
        <v>0</v>
      </c>
      <c r="K1197" s="459"/>
      <c r="L1197" s="460"/>
      <c r="M1197" s="417"/>
    </row>
    <row r="1198" spans="1:13" ht="15" customHeight="1">
      <c r="A1198" s="325"/>
      <c r="D1198" s="326"/>
      <c r="H1198" s="328" t="s">
        <v>6889</v>
      </c>
      <c r="I1198" s="378"/>
      <c r="J1198" s="379">
        <v>0</v>
      </c>
      <c r="K1198" s="459"/>
      <c r="L1198" s="460"/>
      <c r="M1198" s="417"/>
    </row>
    <row r="1199" spans="1:13" ht="15" customHeight="1">
      <c r="A1199" s="325"/>
      <c r="D1199" s="326"/>
      <c r="H1199" s="328" t="s">
        <v>6890</v>
      </c>
      <c r="I1199" s="378"/>
      <c r="J1199" s="379">
        <v>0</v>
      </c>
      <c r="K1199" s="459"/>
      <c r="L1199" s="460"/>
      <c r="M1199" s="417"/>
    </row>
    <row r="1200" spans="1:13" ht="15" customHeight="1">
      <c r="A1200" s="325"/>
      <c r="D1200" s="326"/>
      <c r="H1200" s="328" t="s">
        <v>6891</v>
      </c>
      <c r="I1200" s="378"/>
      <c r="J1200" s="379">
        <v>0</v>
      </c>
      <c r="K1200" s="459"/>
      <c r="L1200" s="460"/>
      <c r="M1200" s="417"/>
    </row>
    <row r="1201" spans="1:13" ht="15" customHeight="1">
      <c r="A1201" s="325"/>
      <c r="D1201" s="326"/>
      <c r="H1201" s="328" t="s">
        <v>6892</v>
      </c>
      <c r="I1201" s="378"/>
      <c r="J1201" s="379">
        <v>0</v>
      </c>
      <c r="K1201" s="459"/>
      <c r="L1201" s="460"/>
      <c r="M1201" s="417"/>
    </row>
    <row r="1202" spans="1:13" ht="15" customHeight="1">
      <c r="A1202" s="329"/>
      <c r="B1202" s="330"/>
      <c r="C1202" s="331"/>
      <c r="D1202" s="330"/>
      <c r="E1202" s="367"/>
      <c r="F1202" s="332"/>
      <c r="G1202" s="331"/>
      <c r="H1202" s="320" t="s">
        <v>6017</v>
      </c>
      <c r="I1202" s="384"/>
      <c r="J1202" s="381">
        <v>0</v>
      </c>
      <c r="K1202" s="459"/>
      <c r="L1202" s="460"/>
      <c r="M1202" s="417"/>
    </row>
    <row r="1203" spans="1:13" ht="15" customHeight="1">
      <c r="A1203" s="338" t="s">
        <v>6893</v>
      </c>
      <c r="B1203" s="339" t="s">
        <v>1242</v>
      </c>
      <c r="C1203" s="340" t="s">
        <v>6894</v>
      </c>
      <c r="D1203" s="339" t="s">
        <v>8518</v>
      </c>
      <c r="E1203" s="369" t="s">
        <v>8518</v>
      </c>
      <c r="F1203" s="350"/>
      <c r="G1203" s="340" t="s">
        <v>1594</v>
      </c>
      <c r="H1203" s="341" t="s">
        <v>522</v>
      </c>
      <c r="I1203" s="385"/>
      <c r="J1203" s="383">
        <v>0</v>
      </c>
      <c r="K1203" s="459"/>
      <c r="L1203" s="460"/>
      <c r="M1203" s="417"/>
    </row>
    <row r="1204" spans="1:13" ht="15" customHeight="1">
      <c r="A1204" s="338" t="s">
        <v>6895</v>
      </c>
      <c r="B1204" s="339" t="s">
        <v>1244</v>
      </c>
      <c r="C1204" s="340" t="s">
        <v>6896</v>
      </c>
      <c r="D1204" s="339" t="s">
        <v>8519</v>
      </c>
      <c r="E1204" s="369" t="s">
        <v>8519</v>
      </c>
      <c r="F1204" s="366"/>
      <c r="G1204" s="323"/>
      <c r="H1204" s="324" t="s">
        <v>6897</v>
      </c>
      <c r="I1204" s="376"/>
      <c r="J1204" s="383">
        <v>20969</v>
      </c>
      <c r="K1204" s="459"/>
      <c r="L1204" s="460"/>
      <c r="M1204" s="417"/>
    </row>
    <row r="1205" spans="1:13" ht="15" customHeight="1">
      <c r="A1205" s="338" t="s">
        <v>6898</v>
      </c>
      <c r="B1205" s="339" t="s">
        <v>1246</v>
      </c>
      <c r="C1205" s="340" t="s">
        <v>6899</v>
      </c>
      <c r="D1205" s="339" t="s">
        <v>8520</v>
      </c>
      <c r="E1205" s="369" t="s">
        <v>8520</v>
      </c>
      <c r="F1205" s="350"/>
      <c r="G1205" s="340" t="s">
        <v>1594</v>
      </c>
      <c r="H1205" s="341" t="s">
        <v>6900</v>
      </c>
      <c r="I1205" s="385"/>
      <c r="J1205" s="379">
        <v>79183</v>
      </c>
      <c r="K1205" s="459"/>
      <c r="L1205" s="460"/>
      <c r="M1205" s="417"/>
    </row>
    <row r="1206" spans="1:13" ht="15" customHeight="1">
      <c r="A1206" s="321" t="s">
        <v>6901</v>
      </c>
      <c r="B1206" s="322" t="s">
        <v>1248</v>
      </c>
      <c r="C1206" s="323"/>
      <c r="D1206" s="322" t="s">
        <v>1594</v>
      </c>
      <c r="E1206" s="365"/>
      <c r="F1206" s="366"/>
      <c r="G1206" s="323" t="s">
        <v>1594</v>
      </c>
      <c r="H1206" s="324" t="s">
        <v>6902</v>
      </c>
      <c r="I1206" s="376"/>
      <c r="J1206" s="377"/>
      <c r="K1206" s="459"/>
      <c r="L1206" s="460"/>
      <c r="M1206" s="417"/>
    </row>
    <row r="1207" spans="1:13" ht="15" customHeight="1">
      <c r="A1207" s="325"/>
      <c r="B1207" s="326" t="s">
        <v>1594</v>
      </c>
      <c r="C1207" s="327" t="s">
        <v>6903</v>
      </c>
      <c r="D1207" s="326" t="s">
        <v>8521</v>
      </c>
      <c r="E1207" s="359" t="s">
        <v>8521</v>
      </c>
      <c r="G1207" s="327" t="s">
        <v>1594</v>
      </c>
      <c r="H1207" s="328" t="s">
        <v>526</v>
      </c>
      <c r="I1207" s="378"/>
      <c r="J1207" s="379">
        <v>117846</v>
      </c>
      <c r="K1207" s="459"/>
      <c r="L1207" s="460"/>
      <c r="M1207" s="417"/>
    </row>
    <row r="1208" spans="1:13" ht="15" customHeight="1">
      <c r="A1208" s="325"/>
      <c r="B1208" s="326" t="s">
        <v>1594</v>
      </c>
      <c r="C1208" s="327" t="s">
        <v>6904</v>
      </c>
      <c r="D1208" s="326" t="s">
        <v>8522</v>
      </c>
      <c r="E1208" s="359" t="s">
        <v>8522</v>
      </c>
      <c r="G1208" s="327" t="s">
        <v>1594</v>
      </c>
      <c r="H1208" s="328" t="s">
        <v>528</v>
      </c>
      <c r="I1208" s="378"/>
      <c r="J1208" s="379">
        <v>18138</v>
      </c>
      <c r="K1208" s="459"/>
      <c r="L1208" s="460"/>
      <c r="M1208" s="417"/>
    </row>
    <row r="1209" spans="1:13" ht="15" customHeight="1">
      <c r="A1209" s="325"/>
      <c r="D1209" s="326"/>
      <c r="H1209" s="328" t="s">
        <v>6905</v>
      </c>
      <c r="I1209" s="378"/>
      <c r="J1209" s="379">
        <v>0</v>
      </c>
      <c r="K1209" s="459"/>
      <c r="L1209" s="460"/>
      <c r="M1209" s="417"/>
    </row>
    <row r="1210" spans="1:13" ht="15" customHeight="1">
      <c r="A1210" s="325"/>
      <c r="D1210" s="326"/>
      <c r="H1210" s="328" t="s">
        <v>6906</v>
      </c>
      <c r="I1210" s="378"/>
      <c r="J1210" s="379">
        <v>0</v>
      </c>
      <c r="K1210" s="459"/>
      <c r="L1210" s="460"/>
      <c r="M1210" s="417"/>
    </row>
    <row r="1211" spans="1:13" ht="15" customHeight="1">
      <c r="A1211" s="325"/>
      <c r="D1211" s="326"/>
      <c r="H1211" s="328" t="s">
        <v>6907</v>
      </c>
      <c r="I1211" s="378"/>
      <c r="J1211" s="379">
        <v>0</v>
      </c>
      <c r="K1211" s="459"/>
      <c r="L1211" s="460"/>
      <c r="M1211" s="417"/>
    </row>
    <row r="1212" spans="1:13" ht="15" customHeight="1">
      <c r="A1212" s="325"/>
      <c r="D1212" s="326"/>
      <c r="H1212" s="328" t="s">
        <v>6908</v>
      </c>
      <c r="I1212" s="378"/>
      <c r="J1212" s="379">
        <v>389</v>
      </c>
      <c r="K1212" s="459"/>
      <c r="L1212" s="460"/>
      <c r="M1212" s="417"/>
    </row>
    <row r="1213" spans="1:13" ht="15" customHeight="1">
      <c r="A1213" s="325"/>
      <c r="D1213" s="326"/>
      <c r="H1213" s="328" t="s">
        <v>6909</v>
      </c>
      <c r="I1213" s="378"/>
      <c r="J1213" s="379">
        <v>558</v>
      </c>
      <c r="K1213" s="459"/>
      <c r="L1213" s="460"/>
      <c r="M1213" s="417"/>
    </row>
    <row r="1214" spans="1:13" ht="15" customHeight="1">
      <c r="A1214" s="325"/>
      <c r="D1214" s="326"/>
      <c r="H1214" s="328" t="s">
        <v>6910</v>
      </c>
      <c r="I1214" s="378"/>
      <c r="J1214" s="379">
        <v>491</v>
      </c>
      <c r="K1214" s="459"/>
      <c r="L1214" s="460"/>
      <c r="M1214" s="417"/>
    </row>
    <row r="1215" spans="1:13" ht="15" customHeight="1">
      <c r="A1215" s="325"/>
      <c r="D1215" s="326"/>
      <c r="H1215" s="328" t="s">
        <v>6911</v>
      </c>
      <c r="I1215" s="378"/>
      <c r="J1215" s="379">
        <v>2107</v>
      </c>
      <c r="K1215" s="459"/>
      <c r="L1215" s="460"/>
      <c r="M1215" s="417"/>
    </row>
    <row r="1216" spans="1:13" ht="15" customHeight="1">
      <c r="A1216" s="325"/>
      <c r="D1216" s="326"/>
      <c r="H1216" s="328" t="s">
        <v>6912</v>
      </c>
      <c r="I1216" s="378"/>
      <c r="J1216" s="379">
        <v>297</v>
      </c>
      <c r="K1216" s="459"/>
      <c r="L1216" s="460"/>
      <c r="M1216" s="417"/>
    </row>
    <row r="1217" spans="1:13" ht="15" customHeight="1">
      <c r="A1217" s="325"/>
      <c r="D1217" s="326"/>
      <c r="H1217" s="328" t="s">
        <v>6913</v>
      </c>
      <c r="I1217" s="378"/>
      <c r="J1217" s="379">
        <v>0</v>
      </c>
      <c r="K1217" s="459"/>
      <c r="L1217" s="460"/>
      <c r="M1217" s="417"/>
    </row>
    <row r="1218" spans="1:13" ht="15" customHeight="1">
      <c r="A1218" s="325"/>
      <c r="D1218" s="326"/>
      <c r="H1218" s="328" t="s">
        <v>6914</v>
      </c>
      <c r="I1218" s="378"/>
      <c r="J1218" s="379">
        <v>0</v>
      </c>
      <c r="K1218" s="459"/>
      <c r="L1218" s="460"/>
      <c r="M1218" s="417"/>
    </row>
    <row r="1219" spans="1:13" ht="15" customHeight="1">
      <c r="A1219" s="325"/>
      <c r="D1219" s="326"/>
      <c r="H1219" s="328" t="s">
        <v>6915</v>
      </c>
      <c r="I1219" s="378"/>
      <c r="J1219" s="379">
        <v>0</v>
      </c>
      <c r="K1219" s="459"/>
      <c r="L1219" s="460"/>
      <c r="M1219" s="417"/>
    </row>
    <row r="1220" spans="1:13" ht="15" customHeight="1">
      <c r="A1220" s="325"/>
      <c r="D1220" s="326"/>
      <c r="H1220" s="328" t="s">
        <v>6916</v>
      </c>
      <c r="I1220" s="378"/>
      <c r="J1220" s="379">
        <v>0</v>
      </c>
      <c r="K1220" s="459"/>
      <c r="L1220" s="460"/>
      <c r="M1220" s="417"/>
    </row>
    <row r="1221" spans="1:13" ht="15" customHeight="1">
      <c r="A1221" s="325"/>
      <c r="D1221" s="326"/>
      <c r="H1221" s="328" t="s">
        <v>6917</v>
      </c>
      <c r="I1221" s="378"/>
      <c r="J1221" s="379">
        <v>0</v>
      </c>
      <c r="K1221" s="459"/>
      <c r="L1221" s="460"/>
      <c r="M1221" s="417"/>
    </row>
    <row r="1222" spans="1:13" ht="15" customHeight="1">
      <c r="A1222" s="325"/>
      <c r="D1222" s="326"/>
      <c r="H1222" s="328" t="s">
        <v>6918</v>
      </c>
      <c r="I1222" s="378"/>
      <c r="J1222" s="379">
        <v>0</v>
      </c>
      <c r="K1222" s="459"/>
      <c r="L1222" s="460"/>
      <c r="M1222" s="417"/>
    </row>
    <row r="1223" spans="1:13" ht="15" customHeight="1">
      <c r="A1223" s="325"/>
      <c r="D1223" s="326"/>
      <c r="H1223" s="328" t="s">
        <v>6919</v>
      </c>
      <c r="I1223" s="378"/>
      <c r="J1223" s="379">
        <v>0</v>
      </c>
      <c r="K1223" s="459"/>
      <c r="L1223" s="460"/>
      <c r="M1223" s="417"/>
    </row>
    <row r="1224" spans="1:13" ht="15" customHeight="1">
      <c r="A1224" s="325"/>
      <c r="D1224" s="326"/>
      <c r="H1224" s="328" t="s">
        <v>6920</v>
      </c>
      <c r="I1224" s="378"/>
      <c r="J1224" s="379">
        <v>0</v>
      </c>
      <c r="K1224" s="459"/>
      <c r="L1224" s="460"/>
      <c r="M1224" s="417"/>
    </row>
    <row r="1225" spans="1:13" ht="15" customHeight="1">
      <c r="A1225" s="325"/>
      <c r="D1225" s="326"/>
      <c r="H1225" s="328" t="s">
        <v>6921</v>
      </c>
      <c r="I1225" s="378">
        <v>154178</v>
      </c>
      <c r="J1225" s="379">
        <v>14490</v>
      </c>
      <c r="K1225" s="459"/>
      <c r="L1225" s="460"/>
      <c r="M1225" s="417"/>
    </row>
    <row r="1226" spans="1:13" ht="15" customHeight="1">
      <c r="A1226" s="329"/>
      <c r="B1226" s="330"/>
      <c r="C1226" s="331"/>
      <c r="D1226" s="330"/>
      <c r="E1226" s="367"/>
      <c r="F1226" s="332"/>
      <c r="G1226" s="331"/>
      <c r="H1226" s="320" t="s">
        <v>6922</v>
      </c>
      <c r="I1226" s="384"/>
      <c r="J1226" s="381">
        <v>-194</v>
      </c>
      <c r="K1226" s="459"/>
      <c r="L1226" s="460"/>
      <c r="M1226" s="417"/>
    </row>
    <row r="1227" spans="1:13" ht="15" customHeight="1">
      <c r="A1227" s="329" t="s">
        <v>6923</v>
      </c>
      <c r="B1227" s="330" t="s">
        <v>1250</v>
      </c>
      <c r="C1227" s="331" t="s">
        <v>6924</v>
      </c>
      <c r="D1227" s="330" t="s">
        <v>8523</v>
      </c>
      <c r="E1227" s="367" t="s">
        <v>8523</v>
      </c>
      <c r="F1227" s="332"/>
      <c r="G1227" s="331"/>
      <c r="H1227" s="320" t="s">
        <v>530</v>
      </c>
      <c r="I1227" s="384"/>
      <c r="J1227" s="381">
        <v>29847</v>
      </c>
      <c r="K1227" s="459"/>
      <c r="L1227" s="460"/>
      <c r="M1227" s="417"/>
    </row>
    <row r="1228" spans="1:13" ht="15" customHeight="1">
      <c r="A1228" s="338" t="s">
        <v>6925</v>
      </c>
      <c r="B1228" s="339" t="s">
        <v>1252</v>
      </c>
      <c r="C1228" s="340" t="s">
        <v>6926</v>
      </c>
      <c r="D1228" s="339" t="s">
        <v>8524</v>
      </c>
      <c r="E1228" s="369" t="s">
        <v>8524</v>
      </c>
      <c r="F1228" s="350"/>
      <c r="G1228" s="340"/>
      <c r="H1228" s="341" t="s">
        <v>531</v>
      </c>
      <c r="I1228" s="385"/>
      <c r="J1228" s="383">
        <v>139130</v>
      </c>
      <c r="K1228" s="459"/>
      <c r="L1228" s="460"/>
      <c r="M1228" s="417"/>
    </row>
    <row r="1229" spans="1:13" ht="15" customHeight="1">
      <c r="A1229" s="338" t="s">
        <v>6927</v>
      </c>
      <c r="B1229" s="339" t="s">
        <v>1254</v>
      </c>
      <c r="C1229" s="340" t="s">
        <v>6928</v>
      </c>
      <c r="D1229" s="339" t="s">
        <v>8525</v>
      </c>
      <c r="E1229" s="369" t="s">
        <v>8525</v>
      </c>
      <c r="F1229" s="350"/>
      <c r="G1229" s="340" t="s">
        <v>1594</v>
      </c>
      <c r="H1229" s="341" t="s">
        <v>6929</v>
      </c>
      <c r="I1229" s="385"/>
      <c r="J1229" s="379">
        <v>12689</v>
      </c>
      <c r="K1229" s="459"/>
      <c r="L1229" s="460"/>
      <c r="M1229" s="417"/>
    </row>
    <row r="1230" spans="1:13" ht="15" customHeight="1">
      <c r="A1230" s="338" t="s">
        <v>6930</v>
      </c>
      <c r="B1230" s="339" t="s">
        <v>1256</v>
      </c>
      <c r="C1230" s="340" t="s">
        <v>6931</v>
      </c>
      <c r="D1230" s="339" t="s">
        <v>8526</v>
      </c>
      <c r="E1230" s="369" t="s">
        <v>8526</v>
      </c>
      <c r="F1230" s="350"/>
      <c r="G1230" s="340" t="s">
        <v>1594</v>
      </c>
      <c r="H1230" s="341" t="s">
        <v>6932</v>
      </c>
      <c r="I1230" s="385"/>
      <c r="J1230" s="383">
        <v>484170</v>
      </c>
      <c r="K1230" s="459"/>
      <c r="L1230" s="460"/>
      <c r="M1230" s="417"/>
    </row>
    <row r="1231" spans="1:13" ht="15" customHeight="1">
      <c r="A1231" s="338" t="s">
        <v>6933</v>
      </c>
      <c r="B1231" s="339" t="s">
        <v>1258</v>
      </c>
      <c r="C1231" s="340" t="s">
        <v>6934</v>
      </c>
      <c r="D1231" s="339" t="s">
        <v>8527</v>
      </c>
      <c r="E1231" s="369" t="s">
        <v>8527</v>
      </c>
      <c r="F1231" s="350"/>
      <c r="G1231" s="340" t="s">
        <v>1594</v>
      </c>
      <c r="H1231" s="341" t="s">
        <v>6935</v>
      </c>
      <c r="I1231" s="385"/>
      <c r="J1231" s="379">
        <v>112642</v>
      </c>
      <c r="K1231" s="459"/>
      <c r="L1231" s="460"/>
      <c r="M1231" s="417"/>
    </row>
    <row r="1232" spans="1:13" ht="15" customHeight="1">
      <c r="A1232" s="338" t="s">
        <v>6936</v>
      </c>
      <c r="B1232" s="339" t="s">
        <v>1260</v>
      </c>
      <c r="C1232" s="340" t="s">
        <v>6937</v>
      </c>
      <c r="D1232" s="339" t="s">
        <v>8528</v>
      </c>
      <c r="E1232" s="369" t="s">
        <v>8528</v>
      </c>
      <c r="F1232" s="350"/>
      <c r="G1232" s="340" t="s">
        <v>1594</v>
      </c>
      <c r="H1232" s="341" t="s">
        <v>6938</v>
      </c>
      <c r="I1232" s="385"/>
      <c r="J1232" s="383">
        <v>2335</v>
      </c>
      <c r="K1232" s="459"/>
      <c r="L1232" s="460"/>
      <c r="M1232" s="417"/>
    </row>
    <row r="1233" spans="1:13" ht="15" customHeight="1">
      <c r="A1233" s="338" t="s">
        <v>6939</v>
      </c>
      <c r="B1233" s="339" t="s">
        <v>1262</v>
      </c>
      <c r="C1233" s="340" t="s">
        <v>6940</v>
      </c>
      <c r="D1233" s="339" t="s">
        <v>8529</v>
      </c>
      <c r="E1233" s="369" t="s">
        <v>8529</v>
      </c>
      <c r="F1233" s="350"/>
      <c r="G1233" s="340" t="s">
        <v>1594</v>
      </c>
      <c r="H1233" s="341" t="s">
        <v>6941</v>
      </c>
      <c r="I1233" s="385"/>
      <c r="J1233" s="383">
        <v>85946</v>
      </c>
      <c r="K1233" s="459"/>
      <c r="L1233" s="460"/>
      <c r="M1233" s="417"/>
    </row>
    <row r="1234" spans="1:13" ht="15" customHeight="1">
      <c r="A1234" s="329" t="s">
        <v>6942</v>
      </c>
      <c r="B1234" s="330" t="s">
        <v>1264</v>
      </c>
      <c r="C1234" s="331" t="s">
        <v>6943</v>
      </c>
      <c r="D1234" s="330" t="s">
        <v>8530</v>
      </c>
      <c r="E1234" s="367" t="s">
        <v>8530</v>
      </c>
      <c r="F1234" s="332"/>
      <c r="G1234" s="331" t="s">
        <v>1594</v>
      </c>
      <c r="H1234" s="320" t="s">
        <v>539</v>
      </c>
      <c r="I1234" s="384"/>
      <c r="J1234" s="381">
        <v>30196</v>
      </c>
      <c r="K1234" s="459"/>
      <c r="L1234" s="460"/>
      <c r="M1234" s="417"/>
    </row>
    <row r="1235" spans="1:13" ht="15" customHeight="1">
      <c r="A1235" s="338" t="s">
        <v>6944</v>
      </c>
      <c r="B1235" s="339" t="s">
        <v>1266</v>
      </c>
      <c r="C1235" s="340" t="s">
        <v>6945</v>
      </c>
      <c r="D1235" s="339" t="s">
        <v>8531</v>
      </c>
      <c r="E1235" s="369" t="s">
        <v>8531</v>
      </c>
      <c r="F1235" s="350"/>
      <c r="G1235" s="340" t="s">
        <v>1594</v>
      </c>
      <c r="H1235" s="341" t="s">
        <v>541</v>
      </c>
      <c r="I1235" s="385"/>
      <c r="J1235" s="379">
        <v>80489</v>
      </c>
      <c r="K1235" s="459"/>
      <c r="L1235" s="460"/>
      <c r="M1235" s="417"/>
    </row>
    <row r="1236" spans="1:13" ht="15" customHeight="1">
      <c r="A1236" s="338" t="s">
        <v>6946</v>
      </c>
      <c r="B1236" s="339" t="s">
        <v>1268</v>
      </c>
      <c r="C1236" s="340" t="s">
        <v>6947</v>
      </c>
      <c r="D1236" s="339" t="s">
        <v>8532</v>
      </c>
      <c r="E1236" s="369" t="s">
        <v>8532</v>
      </c>
      <c r="F1236" s="350"/>
      <c r="G1236" s="340" t="s">
        <v>1594</v>
      </c>
      <c r="H1236" s="341" t="s">
        <v>543</v>
      </c>
      <c r="I1236" s="385"/>
      <c r="J1236" s="383">
        <v>31590</v>
      </c>
      <c r="K1236" s="459"/>
      <c r="L1236" s="460"/>
      <c r="M1236" s="417"/>
    </row>
    <row r="1237" spans="1:13" ht="15" customHeight="1">
      <c r="A1237" s="325" t="s">
        <v>6948</v>
      </c>
      <c r="B1237" s="326" t="s">
        <v>1270</v>
      </c>
      <c r="C1237" s="327" t="s">
        <v>6949</v>
      </c>
      <c r="D1237" s="326" t="s">
        <v>8533</v>
      </c>
      <c r="E1237" s="359" t="s">
        <v>8533</v>
      </c>
      <c r="G1237" s="327" t="s">
        <v>1594</v>
      </c>
      <c r="H1237" s="328" t="s">
        <v>544</v>
      </c>
      <c r="I1237" s="378"/>
      <c r="J1237" s="379">
        <v>48721</v>
      </c>
      <c r="K1237" s="459"/>
      <c r="L1237" s="460"/>
      <c r="M1237" s="417"/>
    </row>
    <row r="1238" spans="1:13" ht="15" customHeight="1">
      <c r="A1238" s="338" t="s">
        <v>6950</v>
      </c>
      <c r="B1238" s="339" t="s">
        <v>1272</v>
      </c>
      <c r="C1238" s="340" t="s">
        <v>6951</v>
      </c>
      <c r="D1238" s="339" t="s">
        <v>8534</v>
      </c>
      <c r="E1238" s="369" t="s">
        <v>8534</v>
      </c>
      <c r="F1238" s="350"/>
      <c r="G1238" s="340" t="s">
        <v>1594</v>
      </c>
      <c r="H1238" s="341" t="s">
        <v>545</v>
      </c>
      <c r="I1238" s="385"/>
      <c r="J1238" s="383">
        <v>294136</v>
      </c>
      <c r="K1238" s="459"/>
      <c r="L1238" s="460"/>
      <c r="M1238" s="417"/>
    </row>
    <row r="1239" spans="1:13" ht="15" customHeight="1">
      <c r="A1239" s="338" t="s">
        <v>6952</v>
      </c>
      <c r="B1239" s="339" t="s">
        <v>1274</v>
      </c>
      <c r="C1239" s="340" t="s">
        <v>6953</v>
      </c>
      <c r="D1239" s="339" t="s">
        <v>8535</v>
      </c>
      <c r="E1239" s="369" t="s">
        <v>8535</v>
      </c>
      <c r="F1239" s="350"/>
      <c r="G1239" s="340" t="s">
        <v>1594</v>
      </c>
      <c r="H1239" s="341" t="s">
        <v>546</v>
      </c>
      <c r="I1239" s="385"/>
      <c r="J1239" s="379">
        <v>39470</v>
      </c>
      <c r="K1239" s="459"/>
      <c r="L1239" s="460"/>
      <c r="M1239" s="417"/>
    </row>
    <row r="1240" spans="1:13" ht="15" customHeight="1">
      <c r="A1240" s="321" t="s">
        <v>6954</v>
      </c>
      <c r="B1240" s="322" t="s">
        <v>8536</v>
      </c>
      <c r="C1240" s="323" t="s">
        <v>6955</v>
      </c>
      <c r="D1240" s="322" t="s">
        <v>8537</v>
      </c>
      <c r="E1240" s="365" t="s">
        <v>8537</v>
      </c>
      <c r="F1240" s="366"/>
      <c r="G1240" s="323" t="s">
        <v>1594</v>
      </c>
      <c r="H1240" s="324" t="s">
        <v>548</v>
      </c>
      <c r="I1240" s="376"/>
      <c r="J1240" s="377">
        <v>17002</v>
      </c>
      <c r="K1240" s="459"/>
      <c r="L1240" s="460"/>
      <c r="M1240" s="417"/>
    </row>
    <row r="1241" spans="1:13" ht="15" customHeight="1">
      <c r="A1241" s="325"/>
      <c r="D1241" s="326"/>
      <c r="H1241" s="328" t="s">
        <v>6956</v>
      </c>
      <c r="I1241" s="378"/>
      <c r="J1241" s="379">
        <v>26</v>
      </c>
      <c r="K1241" s="459"/>
      <c r="L1241" s="460"/>
      <c r="M1241" s="417"/>
    </row>
    <row r="1242" spans="1:13" ht="15" customHeight="1">
      <c r="A1242" s="325"/>
      <c r="D1242" s="326"/>
      <c r="H1242" s="328" t="s">
        <v>6957</v>
      </c>
      <c r="I1242" s="378"/>
      <c r="J1242" s="379">
        <v>17134</v>
      </c>
      <c r="K1242" s="459"/>
      <c r="L1242" s="460"/>
      <c r="M1242" s="417"/>
    </row>
    <row r="1243" spans="1:13" ht="15" customHeight="1">
      <c r="A1243" s="325"/>
      <c r="D1243" s="326"/>
      <c r="H1243" s="328" t="s">
        <v>6958</v>
      </c>
      <c r="I1243" s="378"/>
      <c r="J1243" s="379">
        <v>0</v>
      </c>
      <c r="K1243" s="459"/>
      <c r="L1243" s="460"/>
      <c r="M1243" s="417"/>
    </row>
    <row r="1244" spans="1:13" ht="15" customHeight="1">
      <c r="A1244" s="325"/>
      <c r="D1244" s="326"/>
      <c r="H1244" s="328" t="s">
        <v>6017</v>
      </c>
      <c r="I1244" s="378"/>
      <c r="J1244" s="379">
        <v>-158</v>
      </c>
      <c r="K1244" s="459"/>
      <c r="L1244" s="460"/>
      <c r="M1244" s="417"/>
    </row>
    <row r="1245" spans="1:13" ht="15" customHeight="1">
      <c r="A1245" s="338" t="s">
        <v>6959</v>
      </c>
      <c r="B1245" s="339" t="s">
        <v>8538</v>
      </c>
      <c r="C1245" s="340" t="s">
        <v>6960</v>
      </c>
      <c r="D1245" s="339" t="s">
        <v>8539</v>
      </c>
      <c r="E1245" s="369" t="s">
        <v>8539</v>
      </c>
      <c r="F1245" s="350"/>
      <c r="G1245" s="340" t="s">
        <v>1594</v>
      </c>
      <c r="H1245" s="341" t="s">
        <v>6961</v>
      </c>
      <c r="I1245" s="385"/>
      <c r="J1245" s="383">
        <v>93447</v>
      </c>
      <c r="K1245" s="459"/>
      <c r="L1245" s="460"/>
      <c r="M1245" s="417"/>
    </row>
    <row r="1246" spans="1:13" ht="15" customHeight="1">
      <c r="A1246" s="329" t="s">
        <v>6962</v>
      </c>
      <c r="B1246" s="330" t="s">
        <v>8540</v>
      </c>
      <c r="C1246" s="331" t="s">
        <v>6963</v>
      </c>
      <c r="D1246" s="330" t="s">
        <v>8541</v>
      </c>
      <c r="E1246" s="367" t="s">
        <v>8541</v>
      </c>
      <c r="F1246" s="332"/>
      <c r="G1246" s="331" t="s">
        <v>1594</v>
      </c>
      <c r="H1246" s="344" t="s">
        <v>6964</v>
      </c>
      <c r="I1246" s="384"/>
      <c r="J1246" s="379">
        <v>266909</v>
      </c>
      <c r="K1246" s="459"/>
      <c r="L1246" s="460"/>
      <c r="M1246" s="417"/>
    </row>
    <row r="1247" spans="1:13" ht="15" customHeight="1">
      <c r="A1247" s="338" t="s">
        <v>6965</v>
      </c>
      <c r="B1247" s="339" t="s">
        <v>8542</v>
      </c>
      <c r="C1247" s="340" t="s">
        <v>6966</v>
      </c>
      <c r="D1247" s="339" t="s">
        <v>8543</v>
      </c>
      <c r="E1247" s="369" t="s">
        <v>8543</v>
      </c>
      <c r="F1247" s="350"/>
      <c r="G1247" s="340" t="s">
        <v>1594</v>
      </c>
      <c r="H1247" s="341" t="s">
        <v>6967</v>
      </c>
      <c r="I1247" s="385"/>
      <c r="J1247" s="383">
        <v>227</v>
      </c>
      <c r="K1247" s="459"/>
      <c r="L1247" s="460"/>
      <c r="M1247" s="417"/>
    </row>
    <row r="1248" spans="1:13" ht="15" customHeight="1">
      <c r="A1248" s="338" t="s">
        <v>6968</v>
      </c>
      <c r="B1248" s="339" t="s">
        <v>8544</v>
      </c>
      <c r="C1248" s="340" t="s">
        <v>6969</v>
      </c>
      <c r="D1248" s="339" t="s">
        <v>8545</v>
      </c>
      <c r="E1248" s="369" t="s">
        <v>8545</v>
      </c>
      <c r="F1248" s="350"/>
      <c r="G1248" s="340" t="s">
        <v>1594</v>
      </c>
      <c r="H1248" s="341" t="s">
        <v>553</v>
      </c>
      <c r="I1248" s="385"/>
      <c r="J1248" s="383">
        <v>18425</v>
      </c>
      <c r="K1248" s="459"/>
      <c r="L1248" s="460"/>
      <c r="M1248" s="417"/>
    </row>
    <row r="1249" spans="1:13" ht="15" customHeight="1">
      <c r="A1249" s="338" t="s">
        <v>6970</v>
      </c>
      <c r="B1249" s="339" t="s">
        <v>8546</v>
      </c>
      <c r="C1249" s="340" t="s">
        <v>6971</v>
      </c>
      <c r="D1249" s="339" t="s">
        <v>8547</v>
      </c>
      <c r="E1249" s="369" t="s">
        <v>8547</v>
      </c>
      <c r="F1249" s="350"/>
      <c r="G1249" s="340" t="s">
        <v>1594</v>
      </c>
      <c r="H1249" s="341" t="s">
        <v>6972</v>
      </c>
      <c r="I1249" s="385"/>
      <c r="J1249" s="383">
        <v>62</v>
      </c>
      <c r="K1249" s="459"/>
      <c r="L1249" s="460"/>
      <c r="M1249" s="417"/>
    </row>
    <row r="1250" spans="1:13" ht="15" customHeight="1">
      <c r="A1250" s="338" t="s">
        <v>6973</v>
      </c>
      <c r="B1250" s="339" t="s">
        <v>8548</v>
      </c>
      <c r="C1250" s="340" t="s">
        <v>6974</v>
      </c>
      <c r="D1250" s="339" t="s">
        <v>8549</v>
      </c>
      <c r="E1250" s="369" t="s">
        <v>8549</v>
      </c>
      <c r="F1250" s="350"/>
      <c r="G1250" s="340" t="s">
        <v>1594</v>
      </c>
      <c r="H1250" s="341" t="s">
        <v>556</v>
      </c>
      <c r="I1250" s="385"/>
      <c r="J1250" s="383">
        <v>70666</v>
      </c>
      <c r="K1250" s="459"/>
      <c r="L1250" s="460"/>
      <c r="M1250" s="417"/>
    </row>
    <row r="1251" spans="1:13" ht="15" customHeight="1">
      <c r="A1251" s="338" t="s">
        <v>6975</v>
      </c>
      <c r="B1251" s="339" t="s">
        <v>1283</v>
      </c>
      <c r="C1251" s="340" t="s">
        <v>6976</v>
      </c>
      <c r="D1251" s="339" t="s">
        <v>8550</v>
      </c>
      <c r="E1251" s="369" t="s">
        <v>8550</v>
      </c>
      <c r="F1251" s="350"/>
      <c r="G1251" s="340" t="s">
        <v>1594</v>
      </c>
      <c r="H1251" s="341" t="s">
        <v>6977</v>
      </c>
      <c r="I1251" s="385"/>
      <c r="J1251" s="383">
        <v>83735</v>
      </c>
      <c r="K1251" s="459"/>
      <c r="L1251" s="460"/>
      <c r="M1251" s="417"/>
    </row>
    <row r="1252" spans="1:13" ht="15" customHeight="1">
      <c r="A1252" s="338" t="s">
        <v>6978</v>
      </c>
      <c r="B1252" s="339" t="s">
        <v>1285</v>
      </c>
      <c r="C1252" s="340" t="s">
        <v>6979</v>
      </c>
      <c r="D1252" s="339" t="s">
        <v>8551</v>
      </c>
      <c r="E1252" s="369" t="s">
        <v>8551</v>
      </c>
      <c r="F1252" s="350"/>
      <c r="G1252" s="340" t="s">
        <v>1594</v>
      </c>
      <c r="H1252" s="343" t="s">
        <v>6980</v>
      </c>
      <c r="I1252" s="385"/>
      <c r="J1252" s="383">
        <v>720</v>
      </c>
      <c r="K1252" s="459"/>
      <c r="L1252" s="460"/>
      <c r="M1252" s="417"/>
    </row>
    <row r="1253" spans="1:13" ht="15" customHeight="1">
      <c r="A1253" s="338" t="s">
        <v>6981</v>
      </c>
      <c r="B1253" s="339" t="s">
        <v>1287</v>
      </c>
      <c r="C1253" s="340" t="s">
        <v>6982</v>
      </c>
      <c r="D1253" s="339" t="s">
        <v>8552</v>
      </c>
      <c r="E1253" s="369" t="s">
        <v>8552</v>
      </c>
      <c r="F1253" s="350"/>
      <c r="G1253" s="340" t="s">
        <v>1594</v>
      </c>
      <c r="H1253" s="341" t="s">
        <v>6983</v>
      </c>
      <c r="I1253" s="385"/>
      <c r="J1253" s="383">
        <v>36715</v>
      </c>
      <c r="K1253" s="459"/>
      <c r="L1253" s="460"/>
      <c r="M1253" s="417"/>
    </row>
    <row r="1254" spans="1:13" ht="15" customHeight="1">
      <c r="A1254" s="325" t="s">
        <v>6984</v>
      </c>
      <c r="B1254" s="326" t="s">
        <v>1289</v>
      </c>
      <c r="C1254" s="327" t="s">
        <v>6985</v>
      </c>
      <c r="D1254" s="326" t="s">
        <v>8553</v>
      </c>
      <c r="E1254" s="359" t="s">
        <v>8553</v>
      </c>
      <c r="G1254" s="327" t="s">
        <v>1594</v>
      </c>
      <c r="H1254" s="328" t="s">
        <v>562</v>
      </c>
      <c r="I1254" s="378"/>
      <c r="J1254" s="379">
        <v>0</v>
      </c>
      <c r="K1254" s="459"/>
      <c r="L1254" s="460"/>
      <c r="M1254" s="417"/>
    </row>
    <row r="1255" spans="1:13" ht="15" customHeight="1">
      <c r="A1255" s="338" t="s">
        <v>6986</v>
      </c>
      <c r="B1255" s="339" t="s">
        <v>1291</v>
      </c>
      <c r="C1255" s="340" t="s">
        <v>6987</v>
      </c>
      <c r="D1255" s="339" t="s">
        <v>8554</v>
      </c>
      <c r="E1255" s="369" t="s">
        <v>8554</v>
      </c>
      <c r="F1255" s="350"/>
      <c r="G1255" s="340" t="s">
        <v>1594</v>
      </c>
      <c r="H1255" s="343" t="s">
        <v>565</v>
      </c>
      <c r="I1255" s="385"/>
      <c r="J1255" s="383">
        <v>45640</v>
      </c>
      <c r="K1255" s="459"/>
      <c r="L1255" s="460"/>
      <c r="M1255" s="417"/>
    </row>
    <row r="1256" spans="1:13" ht="15" customHeight="1">
      <c r="A1256" s="457" t="s">
        <v>6988</v>
      </c>
      <c r="B1256" s="456" t="s">
        <v>1293</v>
      </c>
      <c r="C1256" s="455" t="s">
        <v>6989</v>
      </c>
      <c r="D1256" s="456" t="s">
        <v>8555</v>
      </c>
      <c r="E1256" s="436" t="s">
        <v>8555</v>
      </c>
      <c r="F1256" s="437"/>
      <c r="G1256" s="455" t="s">
        <v>1594</v>
      </c>
      <c r="H1256" s="438" t="s">
        <v>567</v>
      </c>
      <c r="I1256" s="439"/>
      <c r="J1256" s="440">
        <v>126909</v>
      </c>
      <c r="K1256" s="466">
        <v>1.1000000000000001</v>
      </c>
      <c r="L1256" s="467">
        <f>J1256*K1256/100</f>
        <v>1395.9990000000003</v>
      </c>
      <c r="M1256" s="417"/>
    </row>
    <row r="1257" spans="1:13" ht="15" customHeight="1">
      <c r="A1257" s="338" t="s">
        <v>6990</v>
      </c>
      <c r="B1257" s="339" t="s">
        <v>1295</v>
      </c>
      <c r="C1257" s="340" t="s">
        <v>6991</v>
      </c>
      <c r="D1257" s="339" t="s">
        <v>8556</v>
      </c>
      <c r="E1257" s="369" t="s">
        <v>8556</v>
      </c>
      <c r="F1257" s="350"/>
      <c r="G1257" s="340" t="s">
        <v>1594</v>
      </c>
      <c r="H1257" s="341" t="s">
        <v>6992</v>
      </c>
      <c r="I1257" s="385"/>
      <c r="J1257" s="383">
        <v>34816</v>
      </c>
      <c r="K1257" s="459"/>
      <c r="L1257" s="460"/>
      <c r="M1257" s="417"/>
    </row>
    <row r="1258" spans="1:13" ht="15" customHeight="1">
      <c r="A1258" s="338" t="s">
        <v>6993</v>
      </c>
      <c r="B1258" s="339" t="s">
        <v>1297</v>
      </c>
      <c r="C1258" s="340" t="s">
        <v>6994</v>
      </c>
      <c r="D1258" s="339" t="s">
        <v>8557</v>
      </c>
      <c r="E1258" s="369" t="s">
        <v>8557</v>
      </c>
      <c r="F1258" s="350"/>
      <c r="G1258" s="340" t="s">
        <v>1594</v>
      </c>
      <c r="H1258" s="341" t="s">
        <v>570</v>
      </c>
      <c r="I1258" s="385"/>
      <c r="J1258" s="383">
        <v>265073</v>
      </c>
      <c r="K1258" s="459"/>
      <c r="L1258" s="460"/>
      <c r="M1258" s="417"/>
    </row>
    <row r="1259" spans="1:13" ht="15" customHeight="1">
      <c r="A1259" s="325" t="s">
        <v>6995</v>
      </c>
      <c r="B1259" s="326" t="s">
        <v>1299</v>
      </c>
      <c r="C1259" s="327" t="s">
        <v>6996</v>
      </c>
      <c r="D1259" s="326" t="s">
        <v>8558</v>
      </c>
      <c r="E1259" s="359" t="s">
        <v>8558</v>
      </c>
      <c r="G1259" s="327" t="s">
        <v>1594</v>
      </c>
      <c r="H1259" s="328" t="s">
        <v>572</v>
      </c>
      <c r="I1259" s="378"/>
      <c r="J1259" s="379">
        <v>72200</v>
      </c>
      <c r="K1259" s="459"/>
      <c r="L1259" s="460"/>
      <c r="M1259" s="417"/>
    </row>
    <row r="1260" spans="1:13" ht="15" customHeight="1">
      <c r="A1260" s="338" t="s">
        <v>6997</v>
      </c>
      <c r="B1260" s="339" t="s">
        <v>1301</v>
      </c>
      <c r="C1260" s="340" t="s">
        <v>6998</v>
      </c>
      <c r="D1260" s="339" t="s">
        <v>8559</v>
      </c>
      <c r="E1260" s="369" t="s">
        <v>8559</v>
      </c>
      <c r="F1260" s="350"/>
      <c r="G1260" s="340" t="s">
        <v>1594</v>
      </c>
      <c r="H1260" s="341" t="s">
        <v>573</v>
      </c>
      <c r="I1260" s="385"/>
      <c r="J1260" s="383">
        <v>6666</v>
      </c>
      <c r="K1260" s="459"/>
      <c r="L1260" s="460"/>
      <c r="M1260" s="417"/>
    </row>
    <row r="1261" spans="1:13" ht="15" customHeight="1">
      <c r="A1261" s="325" t="s">
        <v>6999</v>
      </c>
      <c r="B1261" s="326" t="s">
        <v>1303</v>
      </c>
      <c r="C1261" s="327" t="s">
        <v>7000</v>
      </c>
      <c r="D1261" s="326" t="s">
        <v>8560</v>
      </c>
      <c r="E1261" s="359" t="s">
        <v>8560</v>
      </c>
      <c r="G1261" s="327" t="s">
        <v>1594</v>
      </c>
      <c r="H1261" s="328" t="s">
        <v>574</v>
      </c>
      <c r="I1261" s="378"/>
      <c r="J1261" s="379">
        <v>199928</v>
      </c>
      <c r="K1261" s="459"/>
      <c r="L1261" s="460"/>
      <c r="M1261" s="417"/>
    </row>
    <row r="1262" spans="1:13" ht="15" customHeight="1">
      <c r="A1262" s="338" t="s">
        <v>7001</v>
      </c>
      <c r="B1262" s="339" t="s">
        <v>1305</v>
      </c>
      <c r="C1262" s="340" t="s">
        <v>7002</v>
      </c>
      <c r="D1262" s="339" t="s">
        <v>8561</v>
      </c>
      <c r="E1262" s="369" t="s">
        <v>8561</v>
      </c>
      <c r="F1262" s="350" t="s">
        <v>6063</v>
      </c>
      <c r="G1262" s="340" t="s">
        <v>8562</v>
      </c>
      <c r="H1262" s="341" t="s">
        <v>576</v>
      </c>
      <c r="I1262" s="385"/>
      <c r="J1262" s="383">
        <v>33234</v>
      </c>
      <c r="K1262" s="459"/>
      <c r="L1262" s="460"/>
      <c r="M1262" s="417"/>
    </row>
    <row r="1263" spans="1:13" ht="15" customHeight="1">
      <c r="A1263" s="325" t="s">
        <v>7003</v>
      </c>
      <c r="B1263" s="326" t="s">
        <v>1307</v>
      </c>
      <c r="C1263" s="327" t="s">
        <v>7004</v>
      </c>
      <c r="D1263" s="326" t="s">
        <v>8563</v>
      </c>
      <c r="E1263" s="359" t="s">
        <v>8563</v>
      </c>
      <c r="G1263" s="327" t="s">
        <v>1594</v>
      </c>
      <c r="H1263" s="328" t="s">
        <v>578</v>
      </c>
      <c r="I1263" s="378"/>
      <c r="J1263" s="379">
        <v>121536</v>
      </c>
      <c r="K1263" s="459"/>
      <c r="L1263" s="460"/>
      <c r="M1263" s="417"/>
    </row>
    <row r="1264" spans="1:13" ht="15" customHeight="1">
      <c r="A1264" s="325"/>
      <c r="B1264" s="326" t="s">
        <v>1594</v>
      </c>
      <c r="D1264" s="326" t="s">
        <v>1594</v>
      </c>
      <c r="E1264" s="359" t="s">
        <v>8563</v>
      </c>
      <c r="F1264" s="334" t="s">
        <v>5637</v>
      </c>
      <c r="G1264" s="327" t="s">
        <v>8564</v>
      </c>
      <c r="H1264" s="328" t="s">
        <v>7005</v>
      </c>
      <c r="I1264" s="378">
        <v>7494</v>
      </c>
      <c r="J1264" s="379">
        <v>1564</v>
      </c>
      <c r="K1264" s="459"/>
      <c r="L1264" s="460"/>
      <c r="M1264" s="417"/>
    </row>
    <row r="1265" spans="1:13" ht="15" customHeight="1">
      <c r="A1265" s="325"/>
      <c r="B1265" s="326" t="s">
        <v>1594</v>
      </c>
      <c r="D1265" s="326" t="s">
        <v>1594</v>
      </c>
      <c r="E1265" s="359" t="s">
        <v>8563</v>
      </c>
      <c r="F1265" s="334" t="s">
        <v>5657</v>
      </c>
      <c r="G1265" s="327" t="s">
        <v>8565</v>
      </c>
      <c r="H1265" s="328" t="s">
        <v>7006</v>
      </c>
      <c r="I1265" s="378">
        <v>173361</v>
      </c>
      <c r="J1265" s="379">
        <v>39509</v>
      </c>
      <c r="K1265" s="459"/>
      <c r="L1265" s="460"/>
      <c r="M1265" s="417"/>
    </row>
    <row r="1266" spans="1:13" ht="15" customHeight="1">
      <c r="A1266" s="325"/>
      <c r="B1266" s="326" t="s">
        <v>1594</v>
      </c>
      <c r="D1266" s="326" t="s">
        <v>1594</v>
      </c>
      <c r="E1266" s="359" t="s">
        <v>8563</v>
      </c>
      <c r="F1266" s="334" t="s">
        <v>5659</v>
      </c>
      <c r="G1266" s="327" t="s">
        <v>8566</v>
      </c>
      <c r="H1266" s="328" t="s">
        <v>7007</v>
      </c>
      <c r="I1266" s="378"/>
      <c r="J1266" s="379">
        <v>0</v>
      </c>
      <c r="K1266" s="459"/>
      <c r="L1266" s="460"/>
      <c r="M1266" s="417"/>
    </row>
    <row r="1267" spans="1:13" ht="15" customHeight="1">
      <c r="A1267" s="325"/>
      <c r="B1267" s="326" t="s">
        <v>1594</v>
      </c>
      <c r="D1267" s="326" t="s">
        <v>1594</v>
      </c>
      <c r="E1267" s="359" t="s">
        <v>8563</v>
      </c>
      <c r="F1267" s="334" t="s">
        <v>5661</v>
      </c>
      <c r="G1267" s="327" t="s">
        <v>8567</v>
      </c>
      <c r="H1267" s="328" t="s">
        <v>7008</v>
      </c>
      <c r="I1267" s="378"/>
      <c r="J1267" s="379">
        <v>0</v>
      </c>
      <c r="K1267" s="459"/>
      <c r="L1267" s="460"/>
      <c r="M1267" s="417"/>
    </row>
    <row r="1268" spans="1:13" ht="15" customHeight="1">
      <c r="A1268" s="325"/>
      <c r="B1268" s="326" t="s">
        <v>1594</v>
      </c>
      <c r="D1268" s="326" t="s">
        <v>1594</v>
      </c>
      <c r="E1268" s="359" t="s">
        <v>8563</v>
      </c>
      <c r="F1268" s="334" t="s">
        <v>5383</v>
      </c>
      <c r="G1268" s="327" t="s">
        <v>8568</v>
      </c>
      <c r="H1268" s="328" t="s">
        <v>7009</v>
      </c>
      <c r="I1268" s="378">
        <v>67018</v>
      </c>
      <c r="J1268" s="379">
        <v>2698</v>
      </c>
      <c r="K1268" s="459"/>
      <c r="L1268" s="460"/>
      <c r="M1268" s="417"/>
    </row>
    <row r="1269" spans="1:13" ht="15" customHeight="1">
      <c r="A1269" s="325"/>
      <c r="B1269" s="326" t="s">
        <v>1594</v>
      </c>
      <c r="D1269" s="326" t="s">
        <v>1594</v>
      </c>
      <c r="E1269" s="359" t="s">
        <v>8563</v>
      </c>
      <c r="F1269" s="334" t="s">
        <v>5421</v>
      </c>
      <c r="G1269" s="327" t="s">
        <v>8569</v>
      </c>
      <c r="H1269" s="328" t="s">
        <v>7010</v>
      </c>
      <c r="I1269" s="378">
        <v>296819</v>
      </c>
      <c r="J1269" s="379">
        <v>82565</v>
      </c>
      <c r="K1269" s="459"/>
      <c r="L1269" s="460"/>
      <c r="M1269" s="417"/>
    </row>
    <row r="1270" spans="1:13" ht="15" customHeight="1">
      <c r="A1270" s="325"/>
      <c r="B1270" s="326" t="s">
        <v>1594</v>
      </c>
      <c r="D1270" s="326" t="s">
        <v>1594</v>
      </c>
      <c r="E1270" s="359" t="s">
        <v>8563</v>
      </c>
      <c r="F1270" s="334" t="s">
        <v>7011</v>
      </c>
      <c r="G1270" s="327" t="s">
        <v>8570</v>
      </c>
      <c r="H1270" s="328" t="s">
        <v>7012</v>
      </c>
      <c r="I1270" s="378"/>
      <c r="J1270" s="379">
        <v>-4800</v>
      </c>
      <c r="K1270" s="459"/>
      <c r="L1270" s="460"/>
      <c r="M1270" s="417"/>
    </row>
    <row r="1271" spans="1:13" ht="15" customHeight="1">
      <c r="A1271" s="325"/>
      <c r="B1271" s="326" t="s">
        <v>1594</v>
      </c>
      <c r="D1271" s="326" t="s">
        <v>1594</v>
      </c>
      <c r="E1271" s="359" t="s">
        <v>8563</v>
      </c>
      <c r="F1271" s="334" t="s">
        <v>7013</v>
      </c>
      <c r="G1271" s="327" t="s">
        <v>8571</v>
      </c>
      <c r="H1271" s="328" t="s">
        <v>7014</v>
      </c>
      <c r="I1271" s="378">
        <v>66631</v>
      </c>
      <c r="J1271" s="379">
        <v>0</v>
      </c>
      <c r="K1271" s="459"/>
      <c r="L1271" s="460"/>
      <c r="M1271" s="417"/>
    </row>
    <row r="1272" spans="1:13" ht="15" customHeight="1">
      <c r="A1272" s="321" t="s">
        <v>7015</v>
      </c>
      <c r="B1272" s="322" t="s">
        <v>1309</v>
      </c>
      <c r="C1272" s="323" t="s">
        <v>7016</v>
      </c>
      <c r="D1272" s="322" t="s">
        <v>8572</v>
      </c>
      <c r="E1272" s="365" t="s">
        <v>8572</v>
      </c>
      <c r="F1272" s="366" t="s">
        <v>6063</v>
      </c>
      <c r="G1272" s="323" t="s">
        <v>8573</v>
      </c>
      <c r="H1272" s="324" t="s">
        <v>579</v>
      </c>
      <c r="I1272" s="376"/>
      <c r="J1272" s="377">
        <v>15653</v>
      </c>
      <c r="K1272" s="459"/>
      <c r="L1272" s="460"/>
      <c r="M1272" s="417"/>
    </row>
    <row r="1273" spans="1:13" ht="15" customHeight="1">
      <c r="A1273" s="325"/>
      <c r="D1273" s="326"/>
      <c r="H1273" s="328" t="s">
        <v>7017</v>
      </c>
      <c r="I1273" s="378">
        <v>10173</v>
      </c>
      <c r="J1273" s="379">
        <v>997</v>
      </c>
      <c r="K1273" s="459"/>
      <c r="L1273" s="460"/>
      <c r="M1273" s="417"/>
    </row>
    <row r="1274" spans="1:13" ht="15" customHeight="1">
      <c r="A1274" s="329"/>
      <c r="B1274" s="330"/>
      <c r="C1274" s="331"/>
      <c r="D1274" s="330"/>
      <c r="E1274" s="367"/>
      <c r="F1274" s="332"/>
      <c r="G1274" s="331"/>
      <c r="H1274" s="320" t="s">
        <v>7018</v>
      </c>
      <c r="I1274" s="384">
        <v>364088</v>
      </c>
      <c r="J1274" s="379">
        <v>14656</v>
      </c>
      <c r="K1274" s="459"/>
      <c r="L1274" s="460"/>
      <c r="M1274" s="417"/>
    </row>
    <row r="1275" spans="1:13" ht="15" customHeight="1">
      <c r="A1275" s="338" t="s">
        <v>7019</v>
      </c>
      <c r="B1275" s="339" t="s">
        <v>1311</v>
      </c>
      <c r="C1275" s="340" t="s">
        <v>7020</v>
      </c>
      <c r="D1275" s="339" t="s">
        <v>8574</v>
      </c>
      <c r="E1275" s="369" t="s">
        <v>8574</v>
      </c>
      <c r="F1275" s="350"/>
      <c r="G1275" s="340" t="s">
        <v>1594</v>
      </c>
      <c r="H1275" s="341" t="s">
        <v>581</v>
      </c>
      <c r="I1275" s="385"/>
      <c r="J1275" s="383">
        <v>113039</v>
      </c>
      <c r="K1275" s="459"/>
      <c r="L1275" s="460"/>
      <c r="M1275" s="417"/>
    </row>
    <row r="1276" spans="1:13" ht="15" customHeight="1">
      <c r="A1276" s="321" t="s">
        <v>7021</v>
      </c>
      <c r="B1276" s="322" t="s">
        <v>1313</v>
      </c>
      <c r="C1276" s="323" t="s">
        <v>7022</v>
      </c>
      <c r="D1276" s="322" t="s">
        <v>8575</v>
      </c>
      <c r="E1276" s="365" t="s">
        <v>8575</v>
      </c>
      <c r="F1276" s="366"/>
      <c r="G1276" s="323" t="s">
        <v>1594</v>
      </c>
      <c r="H1276" s="324" t="s">
        <v>582</v>
      </c>
      <c r="I1276" s="378">
        <v>482203</v>
      </c>
      <c r="J1276" s="379">
        <v>12545</v>
      </c>
      <c r="K1276" s="459"/>
      <c r="L1276" s="460"/>
      <c r="M1276" s="417"/>
    </row>
    <row r="1277" spans="1:13" ht="15" customHeight="1">
      <c r="A1277" s="447" t="s">
        <v>7023</v>
      </c>
      <c r="B1277" s="448" t="s">
        <v>1315</v>
      </c>
      <c r="C1277" s="449" t="s">
        <v>7024</v>
      </c>
      <c r="D1277" s="448" t="s">
        <v>8576</v>
      </c>
      <c r="E1277" s="450" t="s">
        <v>8576</v>
      </c>
      <c r="F1277" s="451"/>
      <c r="G1277" s="449" t="s">
        <v>1594</v>
      </c>
      <c r="H1277" s="452" t="s">
        <v>584</v>
      </c>
      <c r="I1277" s="453"/>
      <c r="J1277" s="454">
        <v>4615</v>
      </c>
      <c r="K1277" s="466">
        <v>45.9</v>
      </c>
      <c r="L1277" s="467">
        <f>J1277*K1277/100</f>
        <v>2118.2849999999999</v>
      </c>
      <c r="M1277" s="417"/>
    </row>
    <row r="1278" spans="1:13" ht="15" customHeight="1">
      <c r="A1278" s="321" t="s">
        <v>7025</v>
      </c>
      <c r="B1278" s="322" t="s">
        <v>1317</v>
      </c>
      <c r="C1278" s="323"/>
      <c r="D1278" s="322" t="s">
        <v>1594</v>
      </c>
      <c r="E1278" s="365"/>
      <c r="F1278" s="366"/>
      <c r="G1278" s="323" t="s">
        <v>1594</v>
      </c>
      <c r="H1278" s="324" t="s">
        <v>7026</v>
      </c>
      <c r="I1278" s="376"/>
      <c r="J1278" s="377"/>
      <c r="K1278" s="459"/>
      <c r="L1278" s="460"/>
      <c r="M1278" s="417"/>
    </row>
    <row r="1279" spans="1:13" ht="15" customHeight="1">
      <c r="A1279" s="325"/>
      <c r="B1279" s="326" t="s">
        <v>1594</v>
      </c>
      <c r="C1279" s="327" t="s">
        <v>7027</v>
      </c>
      <c r="D1279" s="326" t="s">
        <v>8577</v>
      </c>
      <c r="E1279" s="359" t="s">
        <v>8577</v>
      </c>
      <c r="G1279" s="327" t="s">
        <v>1594</v>
      </c>
      <c r="H1279" s="328" t="s">
        <v>7028</v>
      </c>
      <c r="I1279" s="378"/>
      <c r="J1279" s="379">
        <v>10107</v>
      </c>
      <c r="K1279" s="459"/>
      <c r="L1279" s="460"/>
      <c r="M1279" s="417"/>
    </row>
    <row r="1280" spans="1:13" ht="15" customHeight="1">
      <c r="A1280" s="329"/>
      <c r="B1280" s="330" t="s">
        <v>1594</v>
      </c>
      <c r="C1280" s="331" t="s">
        <v>7029</v>
      </c>
      <c r="D1280" s="330" t="s">
        <v>8578</v>
      </c>
      <c r="E1280" s="367" t="s">
        <v>8578</v>
      </c>
      <c r="F1280" s="332"/>
      <c r="G1280" s="331" t="s">
        <v>1594</v>
      </c>
      <c r="H1280" s="320" t="s">
        <v>7030</v>
      </c>
      <c r="I1280" s="384"/>
      <c r="J1280" s="381">
        <v>64207</v>
      </c>
      <c r="K1280" s="459"/>
      <c r="L1280" s="460"/>
      <c r="M1280" s="417"/>
    </row>
    <row r="1281" spans="1:13" ht="15" customHeight="1">
      <c r="A1281" s="338" t="s">
        <v>7031</v>
      </c>
      <c r="B1281" s="339" t="s">
        <v>1319</v>
      </c>
      <c r="C1281" s="340" t="s">
        <v>7032</v>
      </c>
      <c r="D1281" s="339" t="s">
        <v>8579</v>
      </c>
      <c r="E1281" s="369" t="s">
        <v>8579</v>
      </c>
      <c r="F1281" s="350"/>
      <c r="G1281" s="340" t="s">
        <v>1594</v>
      </c>
      <c r="H1281" s="341" t="s">
        <v>7033</v>
      </c>
      <c r="I1281" s="385"/>
      <c r="J1281" s="383">
        <v>1162</v>
      </c>
      <c r="K1281" s="459"/>
      <c r="L1281" s="460"/>
      <c r="M1281" s="417"/>
    </row>
    <row r="1282" spans="1:13" ht="15" customHeight="1">
      <c r="A1282" s="398" t="s">
        <v>7034</v>
      </c>
      <c r="B1282" s="399" t="s">
        <v>1321</v>
      </c>
      <c r="C1282" s="400" t="s">
        <v>7035</v>
      </c>
      <c r="D1282" s="399" t="s">
        <v>8580</v>
      </c>
      <c r="E1282" s="401" t="s">
        <v>8580</v>
      </c>
      <c r="F1282" s="402"/>
      <c r="G1282" s="400" t="s">
        <v>1594</v>
      </c>
      <c r="H1282" s="395" t="s">
        <v>7036</v>
      </c>
      <c r="I1282" s="396"/>
      <c r="J1282" s="397">
        <v>58157</v>
      </c>
      <c r="K1282" s="463">
        <v>100</v>
      </c>
      <c r="L1282" s="464">
        <f>J1282*K1282/100</f>
        <v>58157</v>
      </c>
      <c r="M1282" s="417"/>
    </row>
    <row r="1283" spans="1:13" ht="15" customHeight="1">
      <c r="A1283" s="338" t="s">
        <v>7037</v>
      </c>
      <c r="B1283" s="339" t="s">
        <v>1323</v>
      </c>
      <c r="C1283" s="340" t="s">
        <v>7038</v>
      </c>
      <c r="D1283" s="339" t="s">
        <v>8581</v>
      </c>
      <c r="E1283" s="369" t="s">
        <v>8581</v>
      </c>
      <c r="F1283" s="350"/>
      <c r="G1283" s="340" t="s">
        <v>1594</v>
      </c>
      <c r="H1283" s="341" t="s">
        <v>591</v>
      </c>
      <c r="I1283" s="385"/>
      <c r="J1283" s="383">
        <v>25722</v>
      </c>
      <c r="K1283" s="459"/>
      <c r="L1283" s="460"/>
      <c r="M1283" s="417"/>
    </row>
    <row r="1284" spans="1:13" ht="15" customHeight="1">
      <c r="A1284" s="398" t="s">
        <v>7039</v>
      </c>
      <c r="B1284" s="399" t="s">
        <v>1325</v>
      </c>
      <c r="C1284" s="400" t="s">
        <v>7040</v>
      </c>
      <c r="D1284" s="399" t="s">
        <v>8582</v>
      </c>
      <c r="E1284" s="401" t="s">
        <v>8582</v>
      </c>
      <c r="F1284" s="402"/>
      <c r="G1284" s="400" t="s">
        <v>1594</v>
      </c>
      <c r="H1284" s="395" t="s">
        <v>593</v>
      </c>
      <c r="I1284" s="396"/>
      <c r="J1284" s="397">
        <v>781</v>
      </c>
      <c r="K1284" s="463">
        <v>16.100000000000001</v>
      </c>
      <c r="L1284" s="464">
        <f>J1284*K1284/100</f>
        <v>125.741</v>
      </c>
      <c r="M1284" s="417"/>
    </row>
    <row r="1285" spans="1:13" ht="15" customHeight="1">
      <c r="A1285" s="338" t="s">
        <v>7041</v>
      </c>
      <c r="B1285" s="339" t="s">
        <v>1327</v>
      </c>
      <c r="C1285" s="340" t="s">
        <v>7042</v>
      </c>
      <c r="D1285" s="339" t="s">
        <v>8583</v>
      </c>
      <c r="E1285" s="369" t="s">
        <v>8583</v>
      </c>
      <c r="F1285" s="350"/>
      <c r="G1285" s="340" t="s">
        <v>1594</v>
      </c>
      <c r="H1285" s="341" t="s">
        <v>594</v>
      </c>
      <c r="I1285" s="385"/>
      <c r="J1285" s="383">
        <v>0</v>
      </c>
      <c r="K1285" s="459"/>
      <c r="L1285" s="460"/>
      <c r="M1285" s="417"/>
    </row>
    <row r="1286" spans="1:13" ht="15" customHeight="1">
      <c r="A1286" s="338" t="s">
        <v>7043</v>
      </c>
      <c r="B1286" s="339" t="s">
        <v>1329</v>
      </c>
      <c r="C1286" s="340" t="s">
        <v>7044</v>
      </c>
      <c r="D1286" s="339" t="s">
        <v>8584</v>
      </c>
      <c r="E1286" s="369" t="s">
        <v>8584</v>
      </c>
      <c r="F1286" s="350"/>
      <c r="G1286" s="340" t="s">
        <v>1594</v>
      </c>
      <c r="H1286" s="341" t="s">
        <v>595</v>
      </c>
      <c r="I1286" s="385"/>
      <c r="J1286" s="383">
        <v>1048</v>
      </c>
      <c r="K1286" s="459"/>
      <c r="L1286" s="460"/>
      <c r="M1286" s="417"/>
    </row>
    <row r="1287" spans="1:13" ht="15" customHeight="1">
      <c r="A1287" s="321" t="s">
        <v>7045</v>
      </c>
      <c r="B1287" s="322" t="s">
        <v>1331</v>
      </c>
      <c r="C1287" s="323" t="s">
        <v>7046</v>
      </c>
      <c r="D1287" s="322" t="s">
        <v>8585</v>
      </c>
      <c r="E1287" s="365" t="s">
        <v>8585</v>
      </c>
      <c r="F1287" s="366"/>
      <c r="G1287" s="323" t="s">
        <v>1594</v>
      </c>
      <c r="H1287" s="324" t="s">
        <v>597</v>
      </c>
      <c r="I1287" s="376"/>
      <c r="J1287" s="377">
        <v>4766</v>
      </c>
      <c r="K1287" s="459"/>
      <c r="L1287" s="460"/>
      <c r="M1287" s="417"/>
    </row>
    <row r="1288" spans="1:13" ht="15" customHeight="1">
      <c r="A1288" s="321" t="s">
        <v>7047</v>
      </c>
      <c r="B1288" s="322" t="s">
        <v>1333</v>
      </c>
      <c r="C1288" s="323" t="s">
        <v>7048</v>
      </c>
      <c r="D1288" s="322" t="s">
        <v>8586</v>
      </c>
      <c r="E1288" s="365" t="s">
        <v>8586</v>
      </c>
      <c r="F1288" s="366"/>
      <c r="G1288" s="323" t="s">
        <v>1594</v>
      </c>
      <c r="H1288" s="324" t="s">
        <v>599</v>
      </c>
      <c r="I1288" s="376"/>
      <c r="J1288" s="377">
        <v>33</v>
      </c>
      <c r="K1288" s="459"/>
      <c r="L1288" s="460"/>
      <c r="M1288" s="417"/>
    </row>
    <row r="1289" spans="1:13" ht="15" customHeight="1">
      <c r="A1289" s="325"/>
      <c r="D1289" s="326"/>
      <c r="H1289" s="328" t="s">
        <v>7049</v>
      </c>
      <c r="I1289" s="378"/>
      <c r="J1289" s="379">
        <v>0</v>
      </c>
      <c r="K1289" s="459"/>
      <c r="L1289" s="460"/>
      <c r="M1289" s="417"/>
    </row>
    <row r="1290" spans="1:13" ht="15" customHeight="1">
      <c r="A1290" s="325"/>
      <c r="D1290" s="326"/>
      <c r="H1290" s="328" t="s">
        <v>7050</v>
      </c>
      <c r="I1290" s="378"/>
      <c r="J1290" s="379">
        <v>1</v>
      </c>
      <c r="K1290" s="459"/>
      <c r="L1290" s="460"/>
      <c r="M1290" s="417"/>
    </row>
    <row r="1291" spans="1:13" ht="15" customHeight="1">
      <c r="A1291" s="325"/>
      <c r="D1291" s="326"/>
      <c r="H1291" s="328" t="s">
        <v>7051</v>
      </c>
      <c r="I1291" s="378"/>
      <c r="J1291" s="379">
        <v>0</v>
      </c>
      <c r="K1291" s="459"/>
      <c r="L1291" s="460"/>
      <c r="M1291" s="417"/>
    </row>
    <row r="1292" spans="1:13" ht="15" customHeight="1">
      <c r="A1292" s="325"/>
      <c r="D1292" s="326"/>
      <c r="H1292" s="328" t="s">
        <v>7052</v>
      </c>
      <c r="I1292" s="378"/>
      <c r="J1292" s="379">
        <v>32</v>
      </c>
      <c r="K1292" s="459"/>
      <c r="L1292" s="460"/>
      <c r="M1292" s="417"/>
    </row>
    <row r="1293" spans="1:13" ht="15" customHeight="1">
      <c r="A1293" s="329"/>
      <c r="B1293" s="330"/>
      <c r="C1293" s="331"/>
      <c r="D1293" s="330"/>
      <c r="E1293" s="367"/>
      <c r="F1293" s="332"/>
      <c r="G1293" s="331"/>
      <c r="H1293" s="344" t="s">
        <v>7053</v>
      </c>
      <c r="I1293" s="384"/>
      <c r="J1293" s="381">
        <v>0</v>
      </c>
      <c r="K1293" s="459"/>
      <c r="L1293" s="460"/>
      <c r="M1293" s="417"/>
    </row>
    <row r="1294" spans="1:13" ht="15" customHeight="1">
      <c r="A1294" s="338" t="s">
        <v>7054</v>
      </c>
      <c r="B1294" s="339" t="s">
        <v>1335</v>
      </c>
      <c r="C1294" s="340" t="s">
        <v>7055</v>
      </c>
      <c r="D1294" s="339" t="s">
        <v>8587</v>
      </c>
      <c r="E1294" s="369" t="s">
        <v>8587</v>
      </c>
      <c r="F1294" s="350"/>
      <c r="G1294" s="340" t="s">
        <v>1594</v>
      </c>
      <c r="H1294" s="341" t="s">
        <v>600</v>
      </c>
      <c r="I1294" s="385"/>
      <c r="J1294" s="383">
        <v>130807</v>
      </c>
      <c r="K1294" s="459"/>
      <c r="L1294" s="460"/>
      <c r="M1294" s="417"/>
    </row>
    <row r="1295" spans="1:13" ht="15" customHeight="1">
      <c r="A1295" s="338" t="s">
        <v>7056</v>
      </c>
      <c r="B1295" s="339" t="s">
        <v>1337</v>
      </c>
      <c r="C1295" s="340" t="s">
        <v>7057</v>
      </c>
      <c r="D1295" s="339" t="s">
        <v>8588</v>
      </c>
      <c r="E1295" s="369" t="s">
        <v>8588</v>
      </c>
      <c r="F1295" s="350"/>
      <c r="G1295" s="340" t="s">
        <v>1594</v>
      </c>
      <c r="H1295" s="341" t="s">
        <v>7058</v>
      </c>
      <c r="I1295" s="385"/>
      <c r="J1295" s="383">
        <v>47404</v>
      </c>
      <c r="K1295" s="459"/>
      <c r="L1295" s="460"/>
      <c r="M1295" s="417"/>
    </row>
    <row r="1296" spans="1:13" ht="15" customHeight="1">
      <c r="A1296" s="321" t="s">
        <v>7059</v>
      </c>
      <c r="B1296" s="322" t="s">
        <v>1339</v>
      </c>
      <c r="C1296" s="323" t="s">
        <v>7060</v>
      </c>
      <c r="D1296" s="322" t="s">
        <v>8589</v>
      </c>
      <c r="E1296" s="365" t="s">
        <v>8589</v>
      </c>
      <c r="F1296" s="366" t="s">
        <v>6063</v>
      </c>
      <c r="G1296" s="323" t="s">
        <v>8590</v>
      </c>
      <c r="H1296" s="324" t="s">
        <v>604</v>
      </c>
      <c r="I1296" s="376"/>
      <c r="J1296" s="377">
        <v>306772</v>
      </c>
      <c r="K1296" s="459"/>
      <c r="L1296" s="460"/>
      <c r="M1296" s="417"/>
    </row>
    <row r="1297" spans="1:13" ht="15" customHeight="1">
      <c r="A1297" s="325"/>
      <c r="D1297" s="326"/>
      <c r="H1297" s="328" t="s">
        <v>7061</v>
      </c>
      <c r="I1297" s="378">
        <v>8797957</v>
      </c>
      <c r="J1297" s="379">
        <v>304651</v>
      </c>
      <c r="K1297" s="459"/>
      <c r="L1297" s="460"/>
      <c r="M1297" s="417"/>
    </row>
    <row r="1298" spans="1:13" ht="15" customHeight="1">
      <c r="A1298" s="329"/>
      <c r="B1298" s="330"/>
      <c r="C1298" s="331"/>
      <c r="D1298" s="330"/>
      <c r="E1298" s="367"/>
      <c r="F1298" s="332"/>
      <c r="G1298" s="331"/>
      <c r="H1298" s="320" t="s">
        <v>7062</v>
      </c>
      <c r="I1298" s="384">
        <v>84226</v>
      </c>
      <c r="J1298" s="381">
        <v>2121</v>
      </c>
      <c r="K1298" s="459"/>
      <c r="L1298" s="460"/>
      <c r="M1298" s="417"/>
    </row>
    <row r="1299" spans="1:13" ht="15" customHeight="1">
      <c r="A1299" s="321" t="s">
        <v>7063</v>
      </c>
      <c r="B1299" s="322" t="s">
        <v>1341</v>
      </c>
      <c r="C1299" s="323" t="s">
        <v>7064</v>
      </c>
      <c r="D1299" s="322" t="s">
        <v>8591</v>
      </c>
      <c r="E1299" s="365" t="s">
        <v>8591</v>
      </c>
      <c r="F1299" s="366" t="s">
        <v>6063</v>
      </c>
      <c r="G1299" s="323" t="s">
        <v>8592</v>
      </c>
      <c r="H1299" s="324" t="s">
        <v>606</v>
      </c>
      <c r="I1299" s="376"/>
      <c r="J1299" s="377">
        <v>287011</v>
      </c>
      <c r="K1299" s="459"/>
      <c r="L1299" s="460"/>
      <c r="M1299" s="417"/>
    </row>
    <row r="1300" spans="1:13" ht="15" customHeight="1">
      <c r="A1300" s="325"/>
      <c r="D1300" s="326"/>
      <c r="H1300" s="328" t="s">
        <v>7065</v>
      </c>
      <c r="I1300" s="378">
        <v>64432</v>
      </c>
      <c r="J1300" s="379">
        <v>1411</v>
      </c>
      <c r="K1300" s="459"/>
      <c r="L1300" s="460"/>
      <c r="M1300" s="417"/>
    </row>
    <row r="1301" spans="1:13" ht="15" customHeight="1">
      <c r="A1301" s="325"/>
      <c r="D1301" s="326"/>
      <c r="H1301" s="328" t="s">
        <v>7066</v>
      </c>
      <c r="I1301" s="378">
        <v>3647907</v>
      </c>
      <c r="J1301" s="379">
        <v>149959</v>
      </c>
      <c r="K1301" s="459"/>
      <c r="L1301" s="460"/>
      <c r="M1301" s="417"/>
    </row>
    <row r="1302" spans="1:13" ht="15" customHeight="1">
      <c r="A1302" s="325"/>
      <c r="D1302" s="326"/>
      <c r="H1302" s="328" t="s">
        <v>7067</v>
      </c>
      <c r="I1302" s="378">
        <v>2959053</v>
      </c>
      <c r="J1302" s="379">
        <v>115984</v>
      </c>
      <c r="K1302" s="459"/>
      <c r="L1302" s="460"/>
      <c r="M1302" s="417"/>
    </row>
    <row r="1303" spans="1:13" ht="15" customHeight="1">
      <c r="A1303" s="325"/>
      <c r="D1303" s="326"/>
      <c r="H1303" s="328" t="s">
        <v>5845</v>
      </c>
      <c r="I1303" s="378">
        <v>69807</v>
      </c>
      <c r="J1303" s="379">
        <v>3079</v>
      </c>
      <c r="K1303" s="459"/>
      <c r="L1303" s="460"/>
      <c r="M1303" s="417"/>
    </row>
    <row r="1304" spans="1:13" ht="15" customHeight="1">
      <c r="A1304" s="329"/>
      <c r="B1304" s="330"/>
      <c r="C1304" s="331"/>
      <c r="D1304" s="330"/>
      <c r="E1304" s="367"/>
      <c r="F1304" s="332"/>
      <c r="G1304" s="331"/>
      <c r="H1304" s="320" t="s">
        <v>7062</v>
      </c>
      <c r="I1304" s="384">
        <v>637735</v>
      </c>
      <c r="J1304" s="381">
        <v>16578</v>
      </c>
      <c r="K1304" s="459"/>
      <c r="L1304" s="460"/>
      <c r="M1304" s="417"/>
    </row>
    <row r="1305" spans="1:13" ht="15" customHeight="1">
      <c r="A1305" s="325" t="s">
        <v>7068</v>
      </c>
      <c r="B1305" s="326" t="s">
        <v>1343</v>
      </c>
      <c r="C1305" s="327" t="s">
        <v>7069</v>
      </c>
      <c r="D1305" s="326" t="s">
        <v>8593</v>
      </c>
      <c r="E1305" s="359" t="s">
        <v>8593</v>
      </c>
      <c r="F1305" s="334" t="s">
        <v>6063</v>
      </c>
      <c r="G1305" s="327" t="s">
        <v>8594</v>
      </c>
      <c r="H1305" s="328" t="s">
        <v>608</v>
      </c>
      <c r="I1305" s="378"/>
      <c r="J1305" s="379">
        <v>13312</v>
      </c>
      <c r="K1305" s="459"/>
      <c r="L1305" s="460"/>
      <c r="M1305" s="417"/>
    </row>
    <row r="1306" spans="1:13" ht="15" customHeight="1">
      <c r="A1306" s="325"/>
      <c r="D1306" s="326"/>
      <c r="H1306" s="328" t="s">
        <v>7070</v>
      </c>
      <c r="I1306" s="378">
        <v>57513</v>
      </c>
      <c r="J1306" s="379">
        <v>1107</v>
      </c>
      <c r="K1306" s="459"/>
      <c r="L1306" s="460"/>
      <c r="M1306" s="417"/>
    </row>
    <row r="1307" spans="1:13" ht="15" customHeight="1">
      <c r="A1307" s="329"/>
      <c r="B1307" s="330"/>
      <c r="C1307" s="331"/>
      <c r="D1307" s="330"/>
      <c r="E1307" s="367"/>
      <c r="F1307" s="332"/>
      <c r="G1307" s="331"/>
      <c r="H1307" s="493" t="s">
        <v>7071</v>
      </c>
      <c r="I1307" s="494">
        <v>711815</v>
      </c>
      <c r="J1307" s="495">
        <v>12205</v>
      </c>
      <c r="K1307" s="463">
        <v>0.9</v>
      </c>
      <c r="L1307" s="464">
        <f>J1307*K1307/100</f>
        <v>109.845</v>
      </c>
      <c r="M1307" s="417"/>
    </row>
    <row r="1308" spans="1:13" ht="15" customHeight="1">
      <c r="A1308" s="325" t="s">
        <v>7072</v>
      </c>
      <c r="B1308" s="326" t="s">
        <v>1345</v>
      </c>
      <c r="C1308" s="327" t="s">
        <v>7073</v>
      </c>
      <c r="D1308" s="326" t="s">
        <v>8595</v>
      </c>
      <c r="E1308" s="359" t="s">
        <v>8595</v>
      </c>
      <c r="F1308" s="334" t="s">
        <v>6063</v>
      </c>
      <c r="G1308" s="327" t="s">
        <v>8596</v>
      </c>
      <c r="H1308" s="328" t="s">
        <v>609</v>
      </c>
      <c r="I1308" s="378">
        <v>12245596</v>
      </c>
      <c r="J1308" s="379">
        <v>435941</v>
      </c>
      <c r="K1308" s="459"/>
      <c r="L1308" s="460"/>
      <c r="M1308" s="417"/>
    </row>
    <row r="1309" spans="1:13" ht="15" customHeight="1">
      <c r="A1309" s="325"/>
      <c r="D1309" s="326"/>
      <c r="H1309" s="328" t="s">
        <v>7074</v>
      </c>
      <c r="I1309" s="378">
        <v>116347</v>
      </c>
      <c r="J1309" s="379">
        <v>869</v>
      </c>
      <c r="K1309" s="459"/>
      <c r="L1309" s="460"/>
      <c r="M1309" s="417"/>
    </row>
    <row r="1310" spans="1:13" ht="15" customHeight="1">
      <c r="A1310" s="325"/>
      <c r="D1310" s="326"/>
      <c r="H1310" s="403" t="s">
        <v>7075</v>
      </c>
      <c r="I1310" s="413">
        <v>735833</v>
      </c>
      <c r="J1310" s="392">
        <v>63522</v>
      </c>
      <c r="K1310" s="463">
        <v>0.9</v>
      </c>
      <c r="L1310" s="464">
        <f>J1310*K1310/100</f>
        <v>571.69799999999998</v>
      </c>
      <c r="M1310" s="417"/>
    </row>
    <row r="1311" spans="1:13" ht="15" customHeight="1">
      <c r="A1311" s="325"/>
      <c r="D1311" s="326"/>
      <c r="H1311" s="328" t="s">
        <v>7076</v>
      </c>
      <c r="I1311" s="378">
        <v>309550</v>
      </c>
      <c r="J1311" s="379">
        <v>16378</v>
      </c>
      <c r="K1311" s="459"/>
      <c r="L1311" s="460"/>
      <c r="M1311" s="417"/>
    </row>
    <row r="1312" spans="1:13" ht="15" customHeight="1">
      <c r="A1312" s="325"/>
      <c r="D1312" s="326"/>
      <c r="H1312" s="328" t="s">
        <v>7077</v>
      </c>
      <c r="I1312" s="378">
        <v>831390</v>
      </c>
      <c r="J1312" s="379">
        <v>23598</v>
      </c>
      <c r="K1312" s="459"/>
      <c r="L1312" s="460"/>
      <c r="M1312" s="417"/>
    </row>
    <row r="1313" spans="1:13" ht="15" customHeight="1">
      <c r="A1313" s="325"/>
      <c r="D1313" s="326"/>
      <c r="H1313" s="403" t="s">
        <v>7078</v>
      </c>
      <c r="I1313" s="413">
        <v>2394994</v>
      </c>
      <c r="J1313" s="392">
        <v>77648</v>
      </c>
      <c r="K1313" s="463">
        <v>0.9</v>
      </c>
      <c r="L1313" s="464">
        <f>J1313*K1313/100</f>
        <v>698.83199999999999</v>
      </c>
      <c r="M1313" s="417"/>
    </row>
    <row r="1314" spans="1:13" ht="15" customHeight="1">
      <c r="A1314" s="325"/>
      <c r="D1314" s="326"/>
      <c r="H1314" s="328" t="s">
        <v>7079</v>
      </c>
      <c r="I1314" s="378">
        <v>2374142</v>
      </c>
      <c r="J1314" s="379">
        <v>89252</v>
      </c>
      <c r="K1314" s="459"/>
      <c r="L1314" s="460"/>
      <c r="M1314" s="417"/>
    </row>
    <row r="1315" spans="1:13" ht="15" customHeight="1">
      <c r="A1315" s="325"/>
      <c r="D1315" s="326"/>
      <c r="H1315" s="328" t="s">
        <v>7080</v>
      </c>
      <c r="I1315" s="378">
        <v>5309887</v>
      </c>
      <c r="J1315" s="379">
        <v>160529</v>
      </c>
      <c r="K1315" s="459"/>
      <c r="L1315" s="460"/>
      <c r="M1315" s="417"/>
    </row>
    <row r="1316" spans="1:13" ht="15" customHeight="1">
      <c r="A1316" s="329"/>
      <c r="B1316" s="330"/>
      <c r="C1316" s="331"/>
      <c r="D1316" s="330"/>
      <c r="E1316" s="367"/>
      <c r="F1316" s="332"/>
      <c r="G1316" s="331"/>
      <c r="H1316" s="320" t="s">
        <v>7081</v>
      </c>
      <c r="I1316" s="384">
        <v>173453</v>
      </c>
      <c r="J1316" s="381">
        <v>4145</v>
      </c>
      <c r="K1316" s="459"/>
      <c r="L1316" s="460"/>
      <c r="M1316" s="417"/>
    </row>
    <row r="1317" spans="1:13" ht="15" customHeight="1">
      <c r="A1317" s="325" t="s">
        <v>7082</v>
      </c>
      <c r="B1317" s="326" t="s">
        <v>1347</v>
      </c>
      <c r="C1317" s="327" t="s">
        <v>7083</v>
      </c>
      <c r="D1317" s="326" t="s">
        <v>8597</v>
      </c>
      <c r="E1317" s="359" t="s">
        <v>8597</v>
      </c>
      <c r="G1317" s="327" t="s">
        <v>1594</v>
      </c>
      <c r="H1317" s="328" t="s">
        <v>611</v>
      </c>
      <c r="I1317" s="378"/>
      <c r="J1317" s="379">
        <v>261108</v>
      </c>
      <c r="K1317" s="459"/>
      <c r="L1317" s="460"/>
      <c r="M1317" s="417"/>
    </row>
    <row r="1318" spans="1:13" ht="15" customHeight="1">
      <c r="A1318" s="325"/>
      <c r="B1318" s="326" t="s">
        <v>1594</v>
      </c>
      <c r="D1318" s="326" t="s">
        <v>1594</v>
      </c>
      <c r="E1318" s="359" t="s">
        <v>8597</v>
      </c>
      <c r="F1318" s="334" t="s">
        <v>36</v>
      </c>
      <c r="G1318" s="327" t="s">
        <v>8598</v>
      </c>
      <c r="H1318" s="328" t="s">
        <v>7084</v>
      </c>
      <c r="I1318" s="378">
        <v>9486273</v>
      </c>
      <c r="J1318" s="379">
        <v>233552</v>
      </c>
      <c r="K1318" s="459"/>
      <c r="L1318" s="460"/>
      <c r="M1318" s="417"/>
    </row>
    <row r="1319" spans="1:13" ht="15" customHeight="1">
      <c r="A1319" s="325"/>
      <c r="B1319" s="326" t="s">
        <v>1594</v>
      </c>
      <c r="D1319" s="326" t="s">
        <v>1594</v>
      </c>
      <c r="E1319" s="359" t="s">
        <v>8597</v>
      </c>
      <c r="F1319" s="334" t="s">
        <v>5337</v>
      </c>
      <c r="G1319" s="327" t="s">
        <v>8599</v>
      </c>
      <c r="H1319" s="328" t="s">
        <v>7085</v>
      </c>
      <c r="I1319" s="378">
        <v>1697689</v>
      </c>
      <c r="J1319" s="379">
        <v>27556</v>
      </c>
      <c r="K1319" s="459"/>
      <c r="L1319" s="460"/>
      <c r="M1319" s="417"/>
    </row>
    <row r="1320" spans="1:13" ht="15" customHeight="1">
      <c r="A1320" s="321" t="s">
        <v>7086</v>
      </c>
      <c r="B1320" s="322" t="s">
        <v>1349</v>
      </c>
      <c r="C1320" s="323" t="s">
        <v>7087</v>
      </c>
      <c r="D1320" s="322" t="s">
        <v>8600</v>
      </c>
      <c r="E1320" s="365" t="s">
        <v>8600</v>
      </c>
      <c r="F1320" s="366"/>
      <c r="G1320" s="323" t="s">
        <v>1594</v>
      </c>
      <c r="H1320" s="324" t="s">
        <v>613</v>
      </c>
      <c r="I1320" s="376"/>
      <c r="J1320" s="377">
        <v>165302</v>
      </c>
      <c r="K1320" s="459"/>
      <c r="L1320" s="460"/>
      <c r="M1320" s="417"/>
    </row>
    <row r="1321" spans="1:13" ht="15" customHeight="1">
      <c r="A1321" s="325"/>
      <c r="B1321" s="326" t="s">
        <v>1594</v>
      </c>
      <c r="D1321" s="326" t="s">
        <v>1594</v>
      </c>
      <c r="E1321" s="359" t="s">
        <v>8600</v>
      </c>
      <c r="F1321" s="334" t="s">
        <v>36</v>
      </c>
      <c r="G1321" s="327" t="s">
        <v>8601</v>
      </c>
      <c r="H1321" s="328" t="s">
        <v>7088</v>
      </c>
      <c r="I1321" s="378">
        <v>4461826</v>
      </c>
      <c r="J1321" s="379">
        <v>108555</v>
      </c>
      <c r="K1321" s="459"/>
      <c r="L1321" s="460"/>
      <c r="M1321" s="417"/>
    </row>
    <row r="1322" spans="1:13" ht="15" customHeight="1">
      <c r="A1322" s="325"/>
      <c r="B1322" s="326" t="s">
        <v>1594</v>
      </c>
      <c r="D1322" s="326" t="s">
        <v>1594</v>
      </c>
      <c r="E1322" s="359" t="s">
        <v>8600</v>
      </c>
      <c r="F1322" s="334" t="s">
        <v>5337</v>
      </c>
      <c r="G1322" s="327" t="s">
        <v>8602</v>
      </c>
      <c r="H1322" s="328" t="s">
        <v>7089</v>
      </c>
      <c r="I1322" s="378">
        <v>466917</v>
      </c>
      <c r="J1322" s="379">
        <v>15601</v>
      </c>
      <c r="K1322" s="459"/>
      <c r="L1322" s="460"/>
      <c r="M1322" s="417"/>
    </row>
    <row r="1323" spans="1:13" ht="15" customHeight="1">
      <c r="A1323" s="325"/>
      <c r="B1323" s="326" t="s">
        <v>1594</v>
      </c>
      <c r="D1323" s="326" t="s">
        <v>1594</v>
      </c>
      <c r="E1323" s="359" t="s">
        <v>8600</v>
      </c>
      <c r="F1323" s="334" t="s">
        <v>5339</v>
      </c>
      <c r="G1323" s="327" t="s">
        <v>8603</v>
      </c>
      <c r="H1323" s="328" t="s">
        <v>7090</v>
      </c>
      <c r="I1323" s="378">
        <v>1198198</v>
      </c>
      <c r="J1323" s="379">
        <v>41146</v>
      </c>
      <c r="K1323" s="459"/>
      <c r="L1323" s="460"/>
      <c r="M1323" s="417"/>
    </row>
    <row r="1324" spans="1:13" ht="15" customHeight="1">
      <c r="A1324" s="325"/>
      <c r="B1324" s="326" t="s">
        <v>1594</v>
      </c>
      <c r="D1324" s="326" t="s">
        <v>1594</v>
      </c>
      <c r="E1324" s="359" t="s">
        <v>8600</v>
      </c>
      <c r="F1324" s="334" t="s">
        <v>5593</v>
      </c>
      <c r="G1324" s="327" t="s">
        <v>8604</v>
      </c>
      <c r="H1324" s="328" t="s">
        <v>7091</v>
      </c>
      <c r="I1324" s="378">
        <v>181173</v>
      </c>
      <c r="J1324" s="379">
        <v>0</v>
      </c>
      <c r="K1324" s="459"/>
      <c r="L1324" s="460"/>
      <c r="M1324" s="417"/>
    </row>
    <row r="1325" spans="1:13" ht="15" customHeight="1">
      <c r="A1325" s="321" t="s">
        <v>7092</v>
      </c>
      <c r="B1325" s="322" t="s">
        <v>1351</v>
      </c>
      <c r="C1325" s="323" t="s">
        <v>7093</v>
      </c>
      <c r="D1325" s="322" t="s">
        <v>8605</v>
      </c>
      <c r="E1325" s="365" t="s">
        <v>8605</v>
      </c>
      <c r="F1325" s="366"/>
      <c r="G1325" s="323" t="s">
        <v>1594</v>
      </c>
      <c r="H1325" s="342" t="s">
        <v>614</v>
      </c>
      <c r="I1325" s="376"/>
      <c r="J1325" s="377">
        <v>145818</v>
      </c>
      <c r="K1325" s="459"/>
      <c r="L1325" s="460"/>
      <c r="M1325" s="417"/>
    </row>
    <row r="1326" spans="1:13" ht="15" customHeight="1">
      <c r="A1326" s="325"/>
      <c r="B1326" s="326" t="s">
        <v>1594</v>
      </c>
      <c r="D1326" s="326" t="s">
        <v>1594</v>
      </c>
      <c r="E1326" s="359" t="s">
        <v>8605</v>
      </c>
      <c r="F1326" s="334" t="s">
        <v>36</v>
      </c>
      <c r="G1326" s="327" t="s">
        <v>8606</v>
      </c>
      <c r="H1326" s="328" t="s">
        <v>7094</v>
      </c>
      <c r="I1326" s="378">
        <v>956878</v>
      </c>
      <c r="J1326" s="379">
        <v>28414</v>
      </c>
      <c r="K1326" s="459"/>
      <c r="L1326" s="460"/>
      <c r="M1326" s="417"/>
    </row>
    <row r="1327" spans="1:13" ht="15" customHeight="1">
      <c r="A1327" s="325"/>
      <c r="B1327" s="326" t="s">
        <v>1594</v>
      </c>
      <c r="D1327" s="326" t="s">
        <v>1594</v>
      </c>
      <c r="E1327" s="359" t="s">
        <v>8605</v>
      </c>
      <c r="F1327" s="334" t="s">
        <v>5337</v>
      </c>
      <c r="G1327" s="327" t="s">
        <v>8607</v>
      </c>
      <c r="H1327" s="328" t="s">
        <v>7095</v>
      </c>
      <c r="I1327" s="378">
        <v>250114</v>
      </c>
      <c r="J1327" s="379">
        <v>7427</v>
      </c>
      <c r="K1327" s="459"/>
      <c r="L1327" s="460"/>
      <c r="M1327" s="417"/>
    </row>
    <row r="1328" spans="1:13" ht="15" customHeight="1">
      <c r="A1328" s="325"/>
      <c r="B1328" s="326" t="s">
        <v>1594</v>
      </c>
      <c r="D1328" s="326" t="s">
        <v>1594</v>
      </c>
      <c r="E1328" s="359" t="s">
        <v>8605</v>
      </c>
      <c r="F1328" s="334" t="s">
        <v>5339</v>
      </c>
      <c r="G1328" s="327" t="s">
        <v>8608</v>
      </c>
      <c r="H1328" s="328" t="s">
        <v>7096</v>
      </c>
      <c r="I1328" s="378">
        <v>332500</v>
      </c>
      <c r="J1328" s="379">
        <v>11274</v>
      </c>
      <c r="K1328" s="459"/>
      <c r="L1328" s="460"/>
      <c r="M1328" s="417"/>
    </row>
    <row r="1329" spans="1:13" ht="15" customHeight="1">
      <c r="A1329" s="325"/>
      <c r="B1329" s="326" t="s">
        <v>1594</v>
      </c>
      <c r="D1329" s="326" t="s">
        <v>1594</v>
      </c>
      <c r="E1329" s="359" t="s">
        <v>8605</v>
      </c>
      <c r="F1329" s="334" t="s">
        <v>575</v>
      </c>
      <c r="G1329" s="327" t="s">
        <v>8609</v>
      </c>
      <c r="H1329" s="328" t="s">
        <v>7097</v>
      </c>
      <c r="I1329" s="378">
        <v>69697</v>
      </c>
      <c r="J1329" s="379">
        <v>577</v>
      </c>
      <c r="K1329" s="459"/>
      <c r="L1329" s="460"/>
      <c r="M1329" s="417"/>
    </row>
    <row r="1330" spans="1:13" ht="15" customHeight="1">
      <c r="A1330" s="325"/>
      <c r="B1330" s="326" t="s">
        <v>1594</v>
      </c>
      <c r="D1330" s="326" t="s">
        <v>1594</v>
      </c>
      <c r="E1330" s="359" t="s">
        <v>8605</v>
      </c>
      <c r="F1330" s="334" t="s">
        <v>5383</v>
      </c>
      <c r="G1330" s="327" t="s">
        <v>8610</v>
      </c>
      <c r="H1330" s="328" t="s">
        <v>7098</v>
      </c>
      <c r="I1330" s="378">
        <v>1430230</v>
      </c>
      <c r="J1330" s="379">
        <v>69490</v>
      </c>
      <c r="K1330" s="459"/>
      <c r="L1330" s="460"/>
      <c r="M1330" s="417"/>
    </row>
    <row r="1331" spans="1:13" ht="15" customHeight="1">
      <c r="A1331" s="325"/>
      <c r="B1331" s="326" t="s">
        <v>1594</v>
      </c>
      <c r="D1331" s="326" t="s">
        <v>1594</v>
      </c>
      <c r="E1331" s="359" t="s">
        <v>8605</v>
      </c>
      <c r="F1331" s="334" t="s">
        <v>5421</v>
      </c>
      <c r="G1331" s="327" t="s">
        <v>8611</v>
      </c>
      <c r="H1331" s="328" t="s">
        <v>7099</v>
      </c>
      <c r="I1331" s="378">
        <v>235371</v>
      </c>
      <c r="J1331" s="379">
        <v>4315</v>
      </c>
      <c r="K1331" s="459"/>
      <c r="L1331" s="460"/>
      <c r="M1331" s="417"/>
    </row>
    <row r="1332" spans="1:13" ht="15" customHeight="1">
      <c r="A1332" s="325"/>
      <c r="B1332" s="326" t="s">
        <v>1594</v>
      </c>
      <c r="D1332" s="326" t="s">
        <v>1594</v>
      </c>
      <c r="E1332" s="436" t="s">
        <v>8605</v>
      </c>
      <c r="F1332" s="437" t="s">
        <v>7011</v>
      </c>
      <c r="G1332" s="455" t="s">
        <v>8612</v>
      </c>
      <c r="H1332" s="438" t="s">
        <v>7100</v>
      </c>
      <c r="I1332" s="439">
        <v>320581</v>
      </c>
      <c r="J1332" s="440">
        <v>2437</v>
      </c>
      <c r="K1332" s="466">
        <v>15.8</v>
      </c>
      <c r="L1332" s="467">
        <f>J1332*K1332/100</f>
        <v>385.04599999999999</v>
      </c>
      <c r="M1332" s="417"/>
    </row>
    <row r="1333" spans="1:13" ht="15" customHeight="1">
      <c r="A1333" s="325"/>
      <c r="B1333" s="326" t="s">
        <v>1594</v>
      </c>
      <c r="D1333" s="326" t="s">
        <v>1594</v>
      </c>
      <c r="E1333" s="359" t="s">
        <v>8605</v>
      </c>
      <c r="F1333" s="334" t="s">
        <v>7013</v>
      </c>
      <c r="G1333" s="327" t="s">
        <v>8613</v>
      </c>
      <c r="H1333" s="328" t="s">
        <v>7101</v>
      </c>
      <c r="I1333" s="378">
        <v>431553</v>
      </c>
      <c r="J1333" s="379">
        <v>9547</v>
      </c>
      <c r="K1333" s="459"/>
      <c r="L1333" s="460"/>
      <c r="M1333" s="417"/>
    </row>
    <row r="1334" spans="1:13" ht="15" customHeight="1">
      <c r="A1334" s="325"/>
      <c r="B1334" s="326" t="s">
        <v>1594</v>
      </c>
      <c r="D1334" s="326" t="s">
        <v>1594</v>
      </c>
      <c r="E1334" s="359" t="s">
        <v>8605</v>
      </c>
      <c r="F1334" s="334" t="s">
        <v>7102</v>
      </c>
      <c r="G1334" s="327" t="s">
        <v>8614</v>
      </c>
      <c r="H1334" s="328" t="s">
        <v>7103</v>
      </c>
      <c r="I1334" s="378">
        <v>176951</v>
      </c>
      <c r="J1334" s="379">
        <v>3015</v>
      </c>
      <c r="K1334" s="459"/>
      <c r="L1334" s="460"/>
      <c r="M1334" s="417"/>
    </row>
    <row r="1335" spans="1:13" ht="15" customHeight="1">
      <c r="A1335" s="325"/>
      <c r="B1335" s="326" t="s">
        <v>1594</v>
      </c>
      <c r="D1335" s="326" t="s">
        <v>1594</v>
      </c>
      <c r="E1335" s="359" t="s">
        <v>8605</v>
      </c>
      <c r="F1335" s="334" t="s">
        <v>7104</v>
      </c>
      <c r="G1335" s="327" t="s">
        <v>8615</v>
      </c>
      <c r="H1335" s="328" t="s">
        <v>7105</v>
      </c>
      <c r="I1335" s="378">
        <v>116562</v>
      </c>
      <c r="J1335" s="379">
        <v>457</v>
      </c>
      <c r="K1335" s="459"/>
      <c r="L1335" s="460"/>
      <c r="M1335" s="417"/>
    </row>
    <row r="1336" spans="1:13" ht="15" customHeight="1">
      <c r="A1336" s="325"/>
      <c r="B1336" s="326" t="s">
        <v>1594</v>
      </c>
      <c r="C1336" s="351"/>
      <c r="D1336" s="326" t="s">
        <v>1594</v>
      </c>
      <c r="E1336" s="359" t="s">
        <v>8605</v>
      </c>
      <c r="F1336" s="334" t="s">
        <v>5889</v>
      </c>
      <c r="G1336" s="327" t="s">
        <v>8616</v>
      </c>
      <c r="H1336" s="328" t="s">
        <v>7106</v>
      </c>
      <c r="I1336" s="378">
        <v>642446</v>
      </c>
      <c r="J1336" s="379">
        <v>8692</v>
      </c>
      <c r="K1336" s="459"/>
      <c r="L1336" s="460"/>
      <c r="M1336" s="417"/>
    </row>
    <row r="1337" spans="1:13" ht="15" customHeight="1">
      <c r="A1337" s="325"/>
      <c r="B1337" s="326" t="s">
        <v>1594</v>
      </c>
      <c r="D1337" s="326" t="s">
        <v>1594</v>
      </c>
      <c r="E1337" s="359" t="s">
        <v>8605</v>
      </c>
      <c r="F1337" s="334" t="s">
        <v>5917</v>
      </c>
      <c r="G1337" s="327" t="s">
        <v>8617</v>
      </c>
      <c r="H1337" s="328" t="s">
        <v>7107</v>
      </c>
      <c r="I1337" s="378">
        <v>10175</v>
      </c>
      <c r="J1337" s="379">
        <v>173</v>
      </c>
      <c r="K1337" s="459"/>
      <c r="L1337" s="460"/>
      <c r="M1337" s="417"/>
    </row>
    <row r="1338" spans="1:13" ht="15" customHeight="1">
      <c r="A1338" s="321" t="s">
        <v>7108</v>
      </c>
      <c r="B1338" s="322" t="s">
        <v>1353</v>
      </c>
      <c r="C1338" s="323" t="s">
        <v>7109</v>
      </c>
      <c r="D1338" s="322" t="s">
        <v>8618</v>
      </c>
      <c r="E1338" s="365" t="s">
        <v>8618</v>
      </c>
      <c r="F1338" s="366"/>
      <c r="G1338" s="323" t="s">
        <v>1594</v>
      </c>
      <c r="H1338" s="324" t="s">
        <v>615</v>
      </c>
      <c r="I1338" s="376"/>
      <c r="J1338" s="377">
        <v>15867</v>
      </c>
      <c r="K1338" s="459"/>
      <c r="L1338" s="460"/>
      <c r="M1338" s="417"/>
    </row>
    <row r="1339" spans="1:13" ht="15" customHeight="1">
      <c r="A1339" s="325"/>
      <c r="B1339" s="326" t="s">
        <v>1594</v>
      </c>
      <c r="D1339" s="326" t="s">
        <v>1594</v>
      </c>
      <c r="E1339" s="359" t="s">
        <v>8618</v>
      </c>
      <c r="F1339" s="334" t="s">
        <v>36</v>
      </c>
      <c r="G1339" s="327" t="s">
        <v>8619</v>
      </c>
      <c r="H1339" s="328" t="s">
        <v>7110</v>
      </c>
      <c r="I1339" s="378">
        <v>665146</v>
      </c>
      <c r="J1339" s="379">
        <v>8466</v>
      </c>
      <c r="K1339" s="459"/>
      <c r="L1339" s="460"/>
      <c r="M1339" s="417"/>
    </row>
    <row r="1340" spans="1:13" ht="15" customHeight="1">
      <c r="A1340" s="325"/>
      <c r="B1340" s="326" t="s">
        <v>1594</v>
      </c>
      <c r="D1340" s="326" t="s">
        <v>1594</v>
      </c>
      <c r="E1340" s="359" t="s">
        <v>8618</v>
      </c>
      <c r="F1340" s="334" t="s">
        <v>5337</v>
      </c>
      <c r="G1340" s="327" t="s">
        <v>8620</v>
      </c>
      <c r="H1340" s="328" t="s">
        <v>7111</v>
      </c>
      <c r="I1340" s="378">
        <v>67413</v>
      </c>
      <c r="J1340" s="379">
        <v>577</v>
      </c>
      <c r="K1340" s="459"/>
      <c r="L1340" s="460"/>
      <c r="M1340" s="417"/>
    </row>
    <row r="1341" spans="1:13" ht="15" customHeight="1">
      <c r="A1341" s="325"/>
      <c r="B1341" s="326" t="s">
        <v>1594</v>
      </c>
      <c r="D1341" s="326" t="s">
        <v>1594</v>
      </c>
      <c r="E1341" s="359" t="s">
        <v>8618</v>
      </c>
      <c r="F1341" s="334" t="s">
        <v>5339</v>
      </c>
      <c r="G1341" s="327" t="s">
        <v>8621</v>
      </c>
      <c r="H1341" s="328" t="s">
        <v>7112</v>
      </c>
      <c r="I1341" s="378">
        <v>160939</v>
      </c>
      <c r="J1341" s="379">
        <v>5856</v>
      </c>
      <c r="K1341" s="459"/>
      <c r="L1341" s="460"/>
      <c r="M1341" s="417"/>
    </row>
    <row r="1342" spans="1:13" ht="15" customHeight="1">
      <c r="A1342" s="329"/>
      <c r="B1342" s="330" t="s">
        <v>1594</v>
      </c>
      <c r="C1342" s="331"/>
      <c r="D1342" s="330" t="s">
        <v>1594</v>
      </c>
      <c r="E1342" s="367" t="s">
        <v>8618</v>
      </c>
      <c r="F1342" s="332" t="s">
        <v>5593</v>
      </c>
      <c r="G1342" s="331" t="s">
        <v>8622</v>
      </c>
      <c r="H1342" s="320" t="s">
        <v>7106</v>
      </c>
      <c r="I1342" s="384">
        <v>71544</v>
      </c>
      <c r="J1342" s="381">
        <v>968</v>
      </c>
      <c r="K1342" s="459"/>
      <c r="L1342" s="460"/>
      <c r="M1342" s="417"/>
    </row>
    <row r="1343" spans="1:13" ht="15" customHeight="1">
      <c r="A1343" s="325" t="s">
        <v>7113</v>
      </c>
      <c r="B1343" s="326" t="s">
        <v>1355</v>
      </c>
      <c r="C1343" s="327" t="s">
        <v>7114</v>
      </c>
      <c r="D1343" s="326" t="s">
        <v>8623</v>
      </c>
      <c r="E1343" s="359" t="s">
        <v>8623</v>
      </c>
      <c r="G1343" s="327" t="s">
        <v>1594</v>
      </c>
      <c r="H1343" s="328" t="s">
        <v>617</v>
      </c>
      <c r="I1343" s="378"/>
      <c r="J1343" s="379">
        <v>38722</v>
      </c>
      <c r="K1343" s="459"/>
      <c r="L1343" s="460"/>
      <c r="M1343" s="417"/>
    </row>
    <row r="1344" spans="1:13" ht="15" customHeight="1">
      <c r="A1344" s="325"/>
      <c r="B1344" s="326" t="s">
        <v>1594</v>
      </c>
      <c r="D1344" s="326" t="s">
        <v>1594</v>
      </c>
      <c r="E1344" s="359" t="s">
        <v>8623</v>
      </c>
      <c r="F1344" s="334" t="s">
        <v>5349</v>
      </c>
      <c r="G1344" s="327" t="s">
        <v>8624</v>
      </c>
      <c r="H1344" s="328" t="s">
        <v>7115</v>
      </c>
      <c r="I1344" s="378">
        <v>1415637</v>
      </c>
      <c r="J1344" s="379">
        <v>36235</v>
      </c>
      <c r="K1344" s="459"/>
      <c r="L1344" s="460"/>
      <c r="M1344" s="417"/>
    </row>
    <row r="1345" spans="1:13" ht="15" customHeight="1">
      <c r="A1345" s="325"/>
      <c r="B1345" s="326" t="s">
        <v>1594</v>
      </c>
      <c r="D1345" s="326" t="s">
        <v>1594</v>
      </c>
      <c r="E1345" s="359" t="s">
        <v>8623</v>
      </c>
      <c r="F1345" s="334" t="s">
        <v>5337</v>
      </c>
      <c r="G1345" s="327" t="s">
        <v>8625</v>
      </c>
      <c r="H1345" s="328" t="s">
        <v>7116</v>
      </c>
      <c r="I1345" s="378">
        <v>103726</v>
      </c>
      <c r="J1345" s="379">
        <v>2487</v>
      </c>
      <c r="K1345" s="459"/>
      <c r="L1345" s="460"/>
      <c r="M1345" s="417"/>
    </row>
    <row r="1346" spans="1:13" ht="15" customHeight="1">
      <c r="A1346" s="329"/>
      <c r="B1346" s="330" t="s">
        <v>1594</v>
      </c>
      <c r="C1346" s="331"/>
      <c r="D1346" s="330" t="s">
        <v>1594</v>
      </c>
      <c r="E1346" s="367" t="s">
        <v>8623</v>
      </c>
      <c r="F1346" s="332" t="s">
        <v>47</v>
      </c>
      <c r="G1346" s="331" t="s">
        <v>8626</v>
      </c>
      <c r="H1346" s="320" t="s">
        <v>5845</v>
      </c>
      <c r="I1346" s="384">
        <v>214135</v>
      </c>
      <c r="J1346" s="381">
        <v>0</v>
      </c>
      <c r="K1346" s="459"/>
      <c r="L1346" s="460"/>
      <c r="M1346" s="417"/>
    </row>
    <row r="1347" spans="1:13" ht="15" customHeight="1">
      <c r="A1347" s="329" t="s">
        <v>7117</v>
      </c>
      <c r="B1347" s="330" t="s">
        <v>1357</v>
      </c>
      <c r="C1347" s="331" t="s">
        <v>7118</v>
      </c>
      <c r="D1347" s="330" t="s">
        <v>8627</v>
      </c>
      <c r="E1347" s="367" t="s">
        <v>8627</v>
      </c>
      <c r="F1347" s="332" t="s">
        <v>36</v>
      </c>
      <c r="G1347" s="331" t="s">
        <v>8628</v>
      </c>
      <c r="H1347" s="320" t="s">
        <v>619</v>
      </c>
      <c r="I1347" s="384">
        <v>820741</v>
      </c>
      <c r="J1347" s="381">
        <v>14286</v>
      </c>
      <c r="K1347" s="459"/>
      <c r="L1347" s="460"/>
      <c r="M1347" s="417"/>
    </row>
    <row r="1348" spans="1:13" ht="15" customHeight="1">
      <c r="A1348" s="338" t="s">
        <v>7119</v>
      </c>
      <c r="B1348" s="339" t="s">
        <v>1359</v>
      </c>
      <c r="C1348" s="340" t="s">
        <v>7120</v>
      </c>
      <c r="D1348" s="339" t="s">
        <v>8629</v>
      </c>
      <c r="E1348" s="369" t="s">
        <v>8629</v>
      </c>
      <c r="F1348" s="350" t="s">
        <v>36</v>
      </c>
      <c r="G1348" s="340" t="s">
        <v>8630</v>
      </c>
      <c r="H1348" s="341" t="s">
        <v>620</v>
      </c>
      <c r="I1348" s="385">
        <v>172129</v>
      </c>
      <c r="J1348" s="383">
        <v>8603</v>
      </c>
      <c r="K1348" s="459"/>
      <c r="L1348" s="460"/>
      <c r="M1348" s="417"/>
    </row>
    <row r="1349" spans="1:13" ht="15" customHeight="1">
      <c r="A1349" s="325" t="s">
        <v>7121</v>
      </c>
      <c r="B1349" s="326" t="s">
        <v>1361</v>
      </c>
      <c r="C1349" s="327" t="s">
        <v>7122</v>
      </c>
      <c r="D1349" s="326" t="s">
        <v>8631</v>
      </c>
      <c r="E1349" s="359" t="s">
        <v>8631</v>
      </c>
      <c r="G1349" s="327" t="s">
        <v>1594</v>
      </c>
      <c r="H1349" s="328" t="s">
        <v>621</v>
      </c>
      <c r="I1349" s="378"/>
      <c r="J1349" s="379">
        <v>159491</v>
      </c>
      <c r="K1349" s="459"/>
      <c r="L1349" s="460"/>
      <c r="M1349" s="417"/>
    </row>
    <row r="1350" spans="1:13" ht="15" customHeight="1">
      <c r="A1350" s="325"/>
      <c r="B1350" s="326" t="s">
        <v>1594</v>
      </c>
      <c r="D1350" s="326" t="s">
        <v>1594</v>
      </c>
      <c r="E1350" s="359" t="s">
        <v>8631</v>
      </c>
      <c r="F1350" s="334" t="s">
        <v>36</v>
      </c>
      <c r="G1350" s="327" t="s">
        <v>8632</v>
      </c>
      <c r="H1350" s="328" t="s">
        <v>7123</v>
      </c>
      <c r="I1350" s="378">
        <v>1208931</v>
      </c>
      <c r="J1350" s="379">
        <v>22604</v>
      </c>
      <c r="K1350" s="459"/>
      <c r="L1350" s="460"/>
      <c r="M1350" s="417"/>
    </row>
    <row r="1351" spans="1:13" ht="15" customHeight="1">
      <c r="A1351" s="325"/>
      <c r="B1351" s="326" t="s">
        <v>1594</v>
      </c>
      <c r="D1351" s="326" t="s">
        <v>1594</v>
      </c>
      <c r="E1351" s="359" t="s">
        <v>8631</v>
      </c>
      <c r="F1351" s="334" t="s">
        <v>5337</v>
      </c>
      <c r="G1351" s="327" t="s">
        <v>8633</v>
      </c>
      <c r="H1351" s="328" t="s">
        <v>7124</v>
      </c>
      <c r="I1351" s="378">
        <v>1253978</v>
      </c>
      <c r="J1351" s="379">
        <v>23447</v>
      </c>
      <c r="K1351" s="459"/>
      <c r="L1351" s="460"/>
      <c r="M1351" s="417"/>
    </row>
    <row r="1352" spans="1:13" ht="15" customHeight="1">
      <c r="A1352" s="325"/>
      <c r="B1352" s="326" t="s">
        <v>1594</v>
      </c>
      <c r="D1352" s="326" t="s">
        <v>1594</v>
      </c>
      <c r="E1352" s="359" t="s">
        <v>8631</v>
      </c>
      <c r="F1352" s="334" t="s">
        <v>5339</v>
      </c>
      <c r="G1352" s="327" t="s">
        <v>8634</v>
      </c>
      <c r="H1352" s="333" t="s">
        <v>7125</v>
      </c>
      <c r="I1352" s="378">
        <v>2601728</v>
      </c>
      <c r="J1352" s="379">
        <v>99640</v>
      </c>
      <c r="K1352" s="459"/>
      <c r="L1352" s="460"/>
      <c r="M1352" s="417"/>
    </row>
    <row r="1353" spans="1:13" ht="15" customHeight="1">
      <c r="A1353" s="325"/>
      <c r="B1353" s="326" t="s">
        <v>1594</v>
      </c>
      <c r="D1353" s="326" t="s">
        <v>1594</v>
      </c>
      <c r="E1353" s="359" t="s">
        <v>8631</v>
      </c>
      <c r="F1353" s="334" t="s">
        <v>5593</v>
      </c>
      <c r="G1353" s="327" t="s">
        <v>8635</v>
      </c>
      <c r="H1353" s="328" t="s">
        <v>7126</v>
      </c>
      <c r="I1353" s="378">
        <v>199455</v>
      </c>
      <c r="J1353" s="379">
        <v>12053</v>
      </c>
      <c r="K1353" s="459"/>
      <c r="L1353" s="460"/>
      <c r="M1353" s="417"/>
    </row>
    <row r="1354" spans="1:13" ht="15" customHeight="1">
      <c r="A1354" s="325"/>
      <c r="B1354" s="326" t="s">
        <v>1594</v>
      </c>
      <c r="D1354" s="326" t="s">
        <v>1594</v>
      </c>
      <c r="E1354" s="359" t="s">
        <v>8631</v>
      </c>
      <c r="F1354" s="334" t="s">
        <v>47</v>
      </c>
      <c r="G1354" s="327" t="s">
        <v>8636</v>
      </c>
      <c r="H1354" s="328" t="s">
        <v>5894</v>
      </c>
      <c r="I1354" s="378">
        <v>139892</v>
      </c>
      <c r="J1354" s="379">
        <v>1747</v>
      </c>
      <c r="K1354" s="459"/>
      <c r="L1354" s="460"/>
      <c r="M1354" s="417"/>
    </row>
    <row r="1355" spans="1:13" ht="15" customHeight="1">
      <c r="A1355" s="321"/>
      <c r="B1355" s="322" t="s">
        <v>1594</v>
      </c>
      <c r="C1355" s="323" t="s">
        <v>7127</v>
      </c>
      <c r="D1355" s="322" t="s">
        <v>8637</v>
      </c>
      <c r="E1355" s="365" t="s">
        <v>8637</v>
      </c>
      <c r="F1355" s="366"/>
      <c r="G1355" s="323" t="s">
        <v>1594</v>
      </c>
      <c r="H1355" s="324" t="s">
        <v>623</v>
      </c>
      <c r="I1355" s="376"/>
      <c r="J1355" s="377">
        <v>589188</v>
      </c>
      <c r="K1355" s="459"/>
      <c r="L1355" s="460"/>
      <c r="M1355" s="417"/>
    </row>
    <row r="1356" spans="1:13" ht="15" customHeight="1">
      <c r="A1356" s="325" t="s">
        <v>7128</v>
      </c>
      <c r="B1356" s="326" t="s">
        <v>8638</v>
      </c>
      <c r="D1356" s="326" t="s">
        <v>1594</v>
      </c>
      <c r="E1356" s="359" t="s">
        <v>8637</v>
      </c>
      <c r="F1356" s="334" t="s">
        <v>575</v>
      </c>
      <c r="G1356" s="327" t="s">
        <v>8639</v>
      </c>
      <c r="H1356" s="328" t="s">
        <v>7129</v>
      </c>
      <c r="I1356" s="378"/>
      <c r="J1356" s="379">
        <v>580915</v>
      </c>
      <c r="K1356" s="459"/>
      <c r="L1356" s="460"/>
      <c r="M1356" s="417"/>
    </row>
    <row r="1357" spans="1:13" ht="15" customHeight="1">
      <c r="A1357" s="325" t="s">
        <v>7130</v>
      </c>
      <c r="B1357" s="326" t="s">
        <v>8640</v>
      </c>
      <c r="D1357" s="326" t="s">
        <v>1594</v>
      </c>
      <c r="H1357" s="328" t="s">
        <v>7131</v>
      </c>
      <c r="I1357" s="378"/>
      <c r="J1357" s="379">
        <v>8273</v>
      </c>
      <c r="K1357" s="459"/>
      <c r="L1357" s="460"/>
      <c r="M1357" s="417"/>
    </row>
    <row r="1358" spans="1:13" ht="15" customHeight="1">
      <c r="A1358" s="338" t="s">
        <v>7132</v>
      </c>
      <c r="B1358" s="339" t="s">
        <v>8641</v>
      </c>
      <c r="C1358" s="340" t="s">
        <v>7133</v>
      </c>
      <c r="D1358" s="339" t="s">
        <v>8642</v>
      </c>
      <c r="E1358" s="369" t="s">
        <v>8642</v>
      </c>
      <c r="F1358" s="350" t="s">
        <v>575</v>
      </c>
      <c r="G1358" s="340" t="s">
        <v>8643</v>
      </c>
      <c r="H1358" s="341" t="s">
        <v>625</v>
      </c>
      <c r="I1358" s="385"/>
      <c r="J1358" s="383">
        <v>190411</v>
      </c>
      <c r="K1358" s="459"/>
      <c r="L1358" s="460"/>
      <c r="M1358" s="417"/>
    </row>
    <row r="1359" spans="1:13" ht="15" customHeight="1">
      <c r="A1359" s="321" t="s">
        <v>7134</v>
      </c>
      <c r="B1359" s="322" t="s">
        <v>1366</v>
      </c>
      <c r="C1359" s="323" t="s">
        <v>7135</v>
      </c>
      <c r="D1359" s="322" t="s">
        <v>8644</v>
      </c>
      <c r="E1359" s="365" t="s">
        <v>8644</v>
      </c>
      <c r="F1359" s="366"/>
      <c r="G1359" s="323" t="s">
        <v>1594</v>
      </c>
      <c r="H1359" s="324" t="s">
        <v>627</v>
      </c>
      <c r="I1359" s="376"/>
      <c r="J1359" s="377">
        <v>311810</v>
      </c>
      <c r="K1359" s="459"/>
      <c r="L1359" s="460"/>
      <c r="M1359" s="417"/>
    </row>
    <row r="1360" spans="1:13" ht="15" customHeight="1">
      <c r="A1360" s="325"/>
      <c r="B1360" s="326" t="s">
        <v>1594</v>
      </c>
      <c r="D1360" s="326" t="s">
        <v>1594</v>
      </c>
      <c r="E1360" s="359" t="s">
        <v>8644</v>
      </c>
      <c r="F1360" s="334" t="s">
        <v>575</v>
      </c>
      <c r="G1360" s="327" t="s">
        <v>8645</v>
      </c>
      <c r="H1360" s="328" t="s">
        <v>7136</v>
      </c>
      <c r="I1360" s="378"/>
      <c r="J1360" s="379">
        <v>291359</v>
      </c>
      <c r="K1360" s="459"/>
      <c r="L1360" s="460"/>
      <c r="M1360" s="417"/>
    </row>
    <row r="1361" spans="1:13" ht="15" customHeight="1">
      <c r="A1361" s="325"/>
      <c r="B1361" s="326" t="s">
        <v>1594</v>
      </c>
      <c r="D1361" s="326" t="s">
        <v>1594</v>
      </c>
      <c r="E1361" s="359" t="s">
        <v>8644</v>
      </c>
      <c r="F1361" s="334" t="s">
        <v>5359</v>
      </c>
      <c r="G1361" s="327" t="s">
        <v>8646</v>
      </c>
      <c r="H1361" s="328" t="s">
        <v>7137</v>
      </c>
      <c r="I1361" s="378"/>
      <c r="J1361" s="379">
        <v>184</v>
      </c>
      <c r="K1361" s="459"/>
      <c r="L1361" s="460"/>
      <c r="M1361" s="417"/>
    </row>
    <row r="1362" spans="1:13" ht="15" customHeight="1">
      <c r="A1362" s="325"/>
      <c r="B1362" s="326" t="s">
        <v>1594</v>
      </c>
      <c r="D1362" s="326" t="s">
        <v>1594</v>
      </c>
      <c r="E1362" s="359" t="s">
        <v>8644</v>
      </c>
      <c r="F1362" s="334" t="s">
        <v>5361</v>
      </c>
      <c r="G1362" s="327" t="s">
        <v>8647</v>
      </c>
      <c r="H1362" s="328" t="s">
        <v>7138</v>
      </c>
      <c r="I1362" s="378"/>
      <c r="J1362" s="379">
        <v>1950</v>
      </c>
      <c r="K1362" s="459"/>
      <c r="L1362" s="460"/>
      <c r="M1362" s="417"/>
    </row>
    <row r="1363" spans="1:13" ht="15" customHeight="1">
      <c r="A1363" s="325"/>
      <c r="B1363" s="326" t="s">
        <v>1594</v>
      </c>
      <c r="D1363" s="326" t="s">
        <v>1594</v>
      </c>
      <c r="E1363" s="359" t="s">
        <v>8644</v>
      </c>
      <c r="F1363" s="334" t="s">
        <v>5383</v>
      </c>
      <c r="G1363" s="327" t="s">
        <v>8648</v>
      </c>
      <c r="H1363" s="328" t="s">
        <v>7139</v>
      </c>
      <c r="I1363" s="378"/>
      <c r="J1363" s="379">
        <v>3560</v>
      </c>
      <c r="K1363" s="459"/>
      <c r="L1363" s="460"/>
      <c r="M1363" s="417"/>
    </row>
    <row r="1364" spans="1:13" ht="15" customHeight="1">
      <c r="A1364" s="329"/>
      <c r="B1364" s="330" t="s">
        <v>1594</v>
      </c>
      <c r="C1364" s="331"/>
      <c r="D1364" s="330" t="s">
        <v>1594</v>
      </c>
      <c r="E1364" s="367" t="s">
        <v>8644</v>
      </c>
      <c r="F1364" s="332" t="s">
        <v>5421</v>
      </c>
      <c r="G1364" s="331" t="s">
        <v>8649</v>
      </c>
      <c r="H1364" s="320" t="s">
        <v>7140</v>
      </c>
      <c r="I1364" s="384"/>
      <c r="J1364" s="381">
        <v>14757</v>
      </c>
      <c r="K1364" s="459"/>
      <c r="L1364" s="460"/>
      <c r="M1364" s="417"/>
    </row>
    <row r="1365" spans="1:13" ht="15" customHeight="1">
      <c r="A1365" s="325" t="s">
        <v>7141</v>
      </c>
      <c r="B1365" s="326" t="s">
        <v>1368</v>
      </c>
      <c r="C1365" s="327" t="s">
        <v>7142</v>
      </c>
      <c r="D1365" s="326" t="s">
        <v>8650</v>
      </c>
      <c r="E1365" s="359" t="s">
        <v>8650</v>
      </c>
      <c r="G1365" s="327" t="s">
        <v>1594</v>
      </c>
      <c r="H1365" s="328" t="s">
        <v>629</v>
      </c>
      <c r="I1365" s="378"/>
      <c r="J1365" s="379">
        <v>3603</v>
      </c>
      <c r="K1365" s="459"/>
      <c r="L1365" s="460"/>
      <c r="M1365" s="417"/>
    </row>
    <row r="1366" spans="1:13" ht="15" customHeight="1">
      <c r="A1366" s="325"/>
      <c r="B1366" s="326" t="s">
        <v>1594</v>
      </c>
      <c r="D1366" s="326" t="s">
        <v>1594</v>
      </c>
      <c r="E1366" s="359" t="s">
        <v>8650</v>
      </c>
      <c r="F1366" s="334" t="s">
        <v>575</v>
      </c>
      <c r="G1366" s="327" t="s">
        <v>8651</v>
      </c>
      <c r="H1366" s="328" t="s">
        <v>7143</v>
      </c>
      <c r="I1366" s="378"/>
      <c r="J1366" s="379">
        <v>174</v>
      </c>
      <c r="K1366" s="459"/>
      <c r="L1366" s="460"/>
      <c r="M1366" s="417"/>
    </row>
    <row r="1367" spans="1:13" ht="15" customHeight="1">
      <c r="A1367" s="329"/>
      <c r="B1367" s="330" t="s">
        <v>1594</v>
      </c>
      <c r="C1367" s="331"/>
      <c r="D1367" s="330" t="s">
        <v>1594</v>
      </c>
      <c r="E1367" s="367" t="s">
        <v>8650</v>
      </c>
      <c r="F1367" s="332" t="s">
        <v>5359</v>
      </c>
      <c r="G1367" s="331" t="s">
        <v>8652</v>
      </c>
      <c r="H1367" s="320" t="s">
        <v>7144</v>
      </c>
      <c r="I1367" s="384"/>
      <c r="J1367" s="381">
        <v>3429</v>
      </c>
      <c r="K1367" s="459"/>
      <c r="L1367" s="460"/>
      <c r="M1367" s="417"/>
    </row>
    <row r="1368" spans="1:13" ht="15" customHeight="1">
      <c r="A1368" s="325" t="s">
        <v>7145</v>
      </c>
      <c r="B1368" s="326" t="s">
        <v>1370</v>
      </c>
      <c r="C1368" s="327" t="s">
        <v>7146</v>
      </c>
      <c r="D1368" s="326" t="s">
        <v>8653</v>
      </c>
      <c r="E1368" s="359" t="s">
        <v>8653</v>
      </c>
      <c r="G1368" s="327" t="s">
        <v>1594</v>
      </c>
      <c r="H1368" s="328" t="s">
        <v>631</v>
      </c>
      <c r="I1368" s="378"/>
      <c r="J1368" s="379">
        <v>108020</v>
      </c>
      <c r="K1368" s="459"/>
      <c r="L1368" s="460"/>
      <c r="M1368" s="417"/>
    </row>
    <row r="1369" spans="1:13" ht="15" customHeight="1">
      <c r="A1369" s="325"/>
      <c r="B1369" s="326" t="s">
        <v>1594</v>
      </c>
      <c r="D1369" s="326" t="s">
        <v>1594</v>
      </c>
      <c r="E1369" s="359" t="s">
        <v>8653</v>
      </c>
      <c r="G1369" s="327" t="s">
        <v>1594</v>
      </c>
      <c r="H1369" s="328" t="s">
        <v>7147</v>
      </c>
      <c r="I1369" s="378"/>
      <c r="J1369" s="379">
        <v>107278</v>
      </c>
      <c r="K1369" s="459"/>
      <c r="L1369" s="460"/>
      <c r="M1369" s="417"/>
    </row>
    <row r="1370" spans="1:13" ht="15" customHeight="1">
      <c r="A1370" s="325"/>
      <c r="B1370" s="326" t="s">
        <v>1594</v>
      </c>
      <c r="D1370" s="326" t="s">
        <v>1594</v>
      </c>
      <c r="E1370" s="359" t="s">
        <v>8653</v>
      </c>
      <c r="F1370" s="334" t="s">
        <v>575</v>
      </c>
      <c r="G1370" s="327" t="s">
        <v>8654</v>
      </c>
      <c r="H1370" s="328" t="s">
        <v>7148</v>
      </c>
      <c r="I1370" s="378"/>
      <c r="J1370" s="379"/>
      <c r="K1370" s="459"/>
      <c r="L1370" s="460"/>
      <c r="M1370" s="417"/>
    </row>
    <row r="1371" spans="1:13" ht="15" customHeight="1">
      <c r="A1371" s="325"/>
      <c r="B1371" s="326" t="s">
        <v>1594</v>
      </c>
      <c r="D1371" s="326" t="s">
        <v>1594</v>
      </c>
      <c r="E1371" s="359" t="s">
        <v>8653</v>
      </c>
      <c r="F1371" s="334" t="s">
        <v>5381</v>
      </c>
      <c r="G1371" s="327" t="s">
        <v>8655</v>
      </c>
      <c r="H1371" s="328" t="s">
        <v>7149</v>
      </c>
      <c r="I1371" s="378"/>
      <c r="J1371" s="379"/>
      <c r="K1371" s="459"/>
      <c r="L1371" s="460"/>
      <c r="M1371" s="417"/>
    </row>
    <row r="1372" spans="1:13" ht="15" customHeight="1">
      <c r="A1372" s="325"/>
      <c r="B1372" s="326" t="s">
        <v>1594</v>
      </c>
      <c r="D1372" s="326" t="s">
        <v>1594</v>
      </c>
      <c r="E1372" s="359" t="s">
        <v>8653</v>
      </c>
      <c r="G1372" s="327" t="s">
        <v>1594</v>
      </c>
      <c r="H1372" s="328" t="s">
        <v>7150</v>
      </c>
      <c r="I1372" s="378"/>
      <c r="J1372" s="379">
        <v>742</v>
      </c>
      <c r="K1372" s="459"/>
      <c r="L1372" s="460"/>
      <c r="M1372" s="417"/>
    </row>
    <row r="1373" spans="1:13" ht="15" customHeight="1">
      <c r="A1373" s="325"/>
      <c r="B1373" s="326" t="s">
        <v>1594</v>
      </c>
      <c r="D1373" s="326" t="s">
        <v>1594</v>
      </c>
      <c r="E1373" s="359" t="s">
        <v>8653</v>
      </c>
      <c r="F1373" s="334" t="s">
        <v>5383</v>
      </c>
      <c r="G1373" s="327" t="s">
        <v>8656</v>
      </c>
      <c r="H1373" s="328" t="s">
        <v>7148</v>
      </c>
      <c r="I1373" s="378"/>
      <c r="J1373" s="379"/>
      <c r="K1373" s="459"/>
      <c r="L1373" s="460"/>
      <c r="M1373" s="417"/>
    </row>
    <row r="1374" spans="1:13" ht="15" customHeight="1">
      <c r="A1374" s="325"/>
      <c r="B1374" s="326" t="s">
        <v>1594</v>
      </c>
      <c r="D1374" s="326" t="s">
        <v>1594</v>
      </c>
      <c r="E1374" s="359" t="s">
        <v>8653</v>
      </c>
      <c r="F1374" s="334" t="s">
        <v>5419</v>
      </c>
      <c r="G1374" s="327" t="s">
        <v>8657</v>
      </c>
      <c r="H1374" s="328" t="s">
        <v>7149</v>
      </c>
      <c r="I1374" s="378"/>
      <c r="J1374" s="379"/>
      <c r="K1374" s="459"/>
      <c r="L1374" s="460"/>
      <c r="M1374" s="417"/>
    </row>
    <row r="1375" spans="1:13" ht="15" customHeight="1">
      <c r="A1375" s="338" t="s">
        <v>7151</v>
      </c>
      <c r="B1375" s="339" t="s">
        <v>1372</v>
      </c>
      <c r="C1375" s="340" t="s">
        <v>7152</v>
      </c>
      <c r="D1375" s="339" t="s">
        <v>8658</v>
      </c>
      <c r="E1375" s="369" t="s">
        <v>8658</v>
      </c>
      <c r="F1375" s="350" t="s">
        <v>575</v>
      </c>
      <c r="G1375" s="340" t="s">
        <v>8659</v>
      </c>
      <c r="H1375" s="341" t="s">
        <v>633</v>
      </c>
      <c r="I1375" s="385"/>
      <c r="J1375" s="383">
        <v>7305</v>
      </c>
      <c r="K1375" s="459"/>
      <c r="L1375" s="460"/>
      <c r="M1375" s="417"/>
    </row>
    <row r="1376" spans="1:13" ht="15" customHeight="1">
      <c r="A1376" s="338" t="s">
        <v>7153</v>
      </c>
      <c r="B1376" s="339" t="s">
        <v>1374</v>
      </c>
      <c r="C1376" s="340" t="s">
        <v>7154</v>
      </c>
      <c r="D1376" s="339" t="s">
        <v>8660</v>
      </c>
      <c r="E1376" s="369" t="s">
        <v>8660</v>
      </c>
      <c r="F1376" s="350" t="s">
        <v>36</v>
      </c>
      <c r="G1376" s="340" t="s">
        <v>8661</v>
      </c>
      <c r="H1376" s="341" t="s">
        <v>634</v>
      </c>
      <c r="I1376" s="385">
        <v>1586514</v>
      </c>
      <c r="J1376" s="383">
        <v>72475</v>
      </c>
      <c r="K1376" s="459"/>
      <c r="L1376" s="460"/>
      <c r="M1376" s="417"/>
    </row>
    <row r="1377" spans="1:13" ht="15" customHeight="1">
      <c r="A1377" s="338" t="s">
        <v>7155</v>
      </c>
      <c r="B1377" s="339" t="s">
        <v>1376</v>
      </c>
      <c r="C1377" s="340" t="s">
        <v>7156</v>
      </c>
      <c r="D1377" s="339" t="s">
        <v>8662</v>
      </c>
      <c r="E1377" s="369" t="s">
        <v>8662</v>
      </c>
      <c r="F1377" s="350" t="s">
        <v>36</v>
      </c>
      <c r="G1377" s="340" t="s">
        <v>8663</v>
      </c>
      <c r="H1377" s="341" t="s">
        <v>636</v>
      </c>
      <c r="I1377" s="385"/>
      <c r="J1377" s="383">
        <v>40887</v>
      </c>
      <c r="K1377" s="459"/>
      <c r="L1377" s="460"/>
      <c r="M1377" s="417"/>
    </row>
    <row r="1378" spans="1:13" ht="15" customHeight="1">
      <c r="A1378" s="338" t="s">
        <v>7157</v>
      </c>
      <c r="B1378" s="339" t="s">
        <v>1378</v>
      </c>
      <c r="C1378" s="340" t="s">
        <v>7158</v>
      </c>
      <c r="D1378" s="339" t="s">
        <v>8664</v>
      </c>
      <c r="E1378" s="369" t="s">
        <v>8664</v>
      </c>
      <c r="F1378" s="350" t="s">
        <v>36</v>
      </c>
      <c r="G1378" s="340" t="s">
        <v>8665</v>
      </c>
      <c r="H1378" s="341" t="s">
        <v>638</v>
      </c>
      <c r="I1378" s="385">
        <v>3950458</v>
      </c>
      <c r="J1378" s="383">
        <v>137049</v>
      </c>
      <c r="K1378" s="459"/>
      <c r="L1378" s="460"/>
      <c r="M1378" s="417"/>
    </row>
    <row r="1379" spans="1:13" ht="15" customHeight="1">
      <c r="A1379" s="338" t="s">
        <v>7159</v>
      </c>
      <c r="B1379" s="339" t="s">
        <v>1380</v>
      </c>
      <c r="C1379" s="340" t="s">
        <v>7160</v>
      </c>
      <c r="D1379" s="339" t="s">
        <v>8666</v>
      </c>
      <c r="E1379" s="369" t="s">
        <v>8666</v>
      </c>
      <c r="F1379" s="350" t="s">
        <v>5349</v>
      </c>
      <c r="G1379" s="340" t="s">
        <v>8667</v>
      </c>
      <c r="H1379" s="341" t="s">
        <v>7161</v>
      </c>
      <c r="I1379" s="385">
        <v>50628789</v>
      </c>
      <c r="J1379" s="383">
        <v>1112677</v>
      </c>
      <c r="K1379" s="459"/>
      <c r="L1379" s="460"/>
      <c r="M1379" s="417"/>
    </row>
    <row r="1380" spans="1:13" ht="15" customHeight="1">
      <c r="A1380" s="398" t="s">
        <v>7162</v>
      </c>
      <c r="B1380" s="399" t="s">
        <v>1382</v>
      </c>
      <c r="C1380" s="400" t="s">
        <v>7163</v>
      </c>
      <c r="D1380" s="399" t="s">
        <v>8668</v>
      </c>
      <c r="E1380" s="401" t="s">
        <v>8668</v>
      </c>
      <c r="F1380" s="402" t="s">
        <v>5349</v>
      </c>
      <c r="G1380" s="400" t="s">
        <v>8669</v>
      </c>
      <c r="H1380" s="395" t="s">
        <v>7164</v>
      </c>
      <c r="I1380" s="396">
        <v>44850092</v>
      </c>
      <c r="J1380" s="397">
        <v>1764988</v>
      </c>
      <c r="K1380" s="463"/>
      <c r="L1380" s="558">
        <v>37687</v>
      </c>
      <c r="M1380" s="417" t="s">
        <v>9239</v>
      </c>
    </row>
    <row r="1381" spans="1:13" ht="15" customHeight="1">
      <c r="A1381" s="325" t="s">
        <v>7165</v>
      </c>
      <c r="B1381" s="326" t="s">
        <v>1384</v>
      </c>
      <c r="D1381" s="326" t="s">
        <v>1594</v>
      </c>
      <c r="G1381" s="327" t="s">
        <v>1594</v>
      </c>
      <c r="H1381" s="328" t="s">
        <v>7166</v>
      </c>
      <c r="I1381" s="378"/>
      <c r="J1381" s="379"/>
      <c r="K1381" s="459"/>
      <c r="L1381" s="460"/>
      <c r="M1381" s="417"/>
    </row>
    <row r="1382" spans="1:13" ht="15" customHeight="1">
      <c r="A1382" s="325"/>
      <c r="B1382" s="326" t="s">
        <v>1594</v>
      </c>
      <c r="C1382" s="327" t="s">
        <v>7167</v>
      </c>
      <c r="D1382" s="326" t="s">
        <v>8670</v>
      </c>
      <c r="E1382" s="359" t="s">
        <v>8670</v>
      </c>
      <c r="F1382" s="334" t="s">
        <v>5349</v>
      </c>
      <c r="G1382" s="327" t="s">
        <v>8671</v>
      </c>
      <c r="H1382" s="328" t="s">
        <v>7168</v>
      </c>
      <c r="I1382" s="378"/>
      <c r="J1382" s="379">
        <v>46881</v>
      </c>
      <c r="K1382" s="459"/>
      <c r="L1382" s="460"/>
      <c r="M1382" s="417"/>
    </row>
    <row r="1383" spans="1:13" ht="15" customHeight="1">
      <c r="A1383" s="325"/>
      <c r="D1383" s="326"/>
      <c r="H1383" s="328" t="s">
        <v>7169</v>
      </c>
      <c r="I1383" s="378">
        <v>2549760</v>
      </c>
      <c r="J1383" s="379">
        <v>30756</v>
      </c>
      <c r="K1383" s="459"/>
      <c r="L1383" s="460"/>
      <c r="M1383" s="417"/>
    </row>
    <row r="1384" spans="1:13" ht="15" customHeight="1">
      <c r="A1384" s="325"/>
      <c r="D1384" s="326"/>
      <c r="H1384" s="328" t="s">
        <v>7170</v>
      </c>
      <c r="I1384" s="378">
        <v>282048</v>
      </c>
      <c r="J1384" s="379">
        <v>13107</v>
      </c>
      <c r="K1384" s="459"/>
      <c r="L1384" s="460"/>
      <c r="M1384" s="417"/>
    </row>
    <row r="1385" spans="1:13" ht="15" customHeight="1">
      <c r="A1385" s="325"/>
      <c r="B1385" s="326" t="s">
        <v>1594</v>
      </c>
      <c r="C1385" s="327" t="s">
        <v>7171</v>
      </c>
      <c r="D1385" s="326" t="s">
        <v>8672</v>
      </c>
      <c r="E1385" s="359" t="s">
        <v>8672</v>
      </c>
      <c r="F1385" s="334" t="s">
        <v>5349</v>
      </c>
      <c r="G1385" s="327" t="s">
        <v>8673</v>
      </c>
      <c r="H1385" s="328" t="s">
        <v>7172</v>
      </c>
      <c r="I1385" s="378"/>
      <c r="J1385" s="379">
        <v>269076</v>
      </c>
      <c r="K1385" s="459"/>
      <c r="L1385" s="460"/>
      <c r="M1385" s="417"/>
    </row>
    <row r="1386" spans="1:13" ht="15" customHeight="1">
      <c r="A1386" s="325"/>
      <c r="D1386" s="326"/>
      <c r="H1386" s="328" t="s">
        <v>7169</v>
      </c>
      <c r="I1386" s="378">
        <v>6665942</v>
      </c>
      <c r="J1386" s="379">
        <v>197557</v>
      </c>
      <c r="K1386" s="459"/>
      <c r="L1386" s="460"/>
      <c r="M1386" s="417"/>
    </row>
    <row r="1387" spans="1:13" ht="15" customHeight="1">
      <c r="A1387" s="325"/>
      <c r="D1387" s="326"/>
      <c r="H1387" s="328" t="s">
        <v>7170</v>
      </c>
      <c r="I1387" s="378">
        <v>1750651</v>
      </c>
      <c r="J1387" s="379">
        <v>71519</v>
      </c>
      <c r="K1387" s="459"/>
      <c r="L1387" s="460"/>
      <c r="M1387" s="417"/>
    </row>
    <row r="1388" spans="1:13" ht="15" customHeight="1">
      <c r="A1388" s="325"/>
      <c r="B1388" s="326" t="s">
        <v>1594</v>
      </c>
      <c r="C1388" s="327" t="s">
        <v>7173</v>
      </c>
      <c r="D1388" s="326" t="s">
        <v>8674</v>
      </c>
      <c r="E1388" s="359" t="s">
        <v>8674</v>
      </c>
      <c r="F1388" s="334" t="s">
        <v>5349</v>
      </c>
      <c r="G1388" s="327" t="s">
        <v>8675</v>
      </c>
      <c r="H1388" s="328" t="s">
        <v>648</v>
      </c>
      <c r="I1388" s="378">
        <v>576772</v>
      </c>
      <c r="J1388" s="379">
        <v>15640</v>
      </c>
      <c r="K1388" s="459"/>
      <c r="L1388" s="460"/>
      <c r="M1388" s="417"/>
    </row>
    <row r="1389" spans="1:13" ht="15" customHeight="1">
      <c r="A1389" s="325"/>
      <c r="B1389" s="326" t="s">
        <v>1594</v>
      </c>
      <c r="C1389" s="327" t="s">
        <v>7174</v>
      </c>
      <c r="D1389" s="326" t="s">
        <v>8676</v>
      </c>
      <c r="E1389" s="359" t="s">
        <v>8676</v>
      </c>
      <c r="F1389" s="334" t="s">
        <v>5349</v>
      </c>
      <c r="G1389" s="327" t="s">
        <v>8677</v>
      </c>
      <c r="H1389" s="328" t="s">
        <v>649</v>
      </c>
      <c r="I1389" s="378">
        <v>9203251</v>
      </c>
      <c r="J1389" s="379">
        <v>338623</v>
      </c>
      <c r="K1389" s="459"/>
      <c r="L1389" s="460"/>
      <c r="M1389" s="417"/>
    </row>
    <row r="1390" spans="1:13" ht="15" customHeight="1">
      <c r="A1390" s="338" t="s">
        <v>7175</v>
      </c>
      <c r="B1390" s="339" t="s">
        <v>1386</v>
      </c>
      <c r="C1390" s="340" t="s">
        <v>7176</v>
      </c>
      <c r="D1390" s="339" t="s">
        <v>8678</v>
      </c>
      <c r="E1390" s="369" t="s">
        <v>8678</v>
      </c>
      <c r="F1390" s="350" t="s">
        <v>5349</v>
      </c>
      <c r="G1390" s="340" t="s">
        <v>8679</v>
      </c>
      <c r="H1390" s="341" t="s">
        <v>651</v>
      </c>
      <c r="I1390" s="385">
        <v>10342461</v>
      </c>
      <c r="J1390" s="383">
        <v>349735</v>
      </c>
      <c r="K1390" s="459"/>
      <c r="L1390" s="460"/>
      <c r="M1390" s="417"/>
    </row>
    <row r="1391" spans="1:13" ht="15" customHeight="1">
      <c r="A1391" s="447" t="s">
        <v>7177</v>
      </c>
      <c r="B1391" s="448" t="s">
        <v>1388</v>
      </c>
      <c r="C1391" s="449" t="s">
        <v>7178</v>
      </c>
      <c r="D1391" s="448" t="s">
        <v>8680</v>
      </c>
      <c r="E1391" s="450" t="s">
        <v>8680</v>
      </c>
      <c r="F1391" s="451" t="s">
        <v>5349</v>
      </c>
      <c r="G1391" s="449" t="s">
        <v>8681</v>
      </c>
      <c r="H1391" s="452" t="s">
        <v>652</v>
      </c>
      <c r="I1391" s="453">
        <v>3945967</v>
      </c>
      <c r="J1391" s="454">
        <v>155551</v>
      </c>
      <c r="K1391" s="466">
        <v>0.1</v>
      </c>
      <c r="L1391" s="467">
        <f>J1391*K1391/100</f>
        <v>155.55100000000002</v>
      </c>
      <c r="M1391" s="417"/>
    </row>
    <row r="1392" spans="1:13" ht="15" customHeight="1">
      <c r="A1392" s="325" t="s">
        <v>7179</v>
      </c>
      <c r="B1392" s="326" t="s">
        <v>1390</v>
      </c>
      <c r="C1392" s="327" t="s">
        <v>7180</v>
      </c>
      <c r="D1392" s="326" t="s">
        <v>8682</v>
      </c>
      <c r="E1392" s="359" t="s">
        <v>8682</v>
      </c>
      <c r="G1392" s="327" t="s">
        <v>1594</v>
      </c>
      <c r="H1392" s="328" t="s">
        <v>654</v>
      </c>
      <c r="I1392" s="378"/>
      <c r="J1392" s="379">
        <v>258971</v>
      </c>
      <c r="K1392" s="459"/>
      <c r="L1392" s="460"/>
      <c r="M1392" s="417"/>
    </row>
    <row r="1393" spans="1:13" ht="15" customHeight="1">
      <c r="A1393" s="325"/>
      <c r="B1393" s="326" t="s">
        <v>1594</v>
      </c>
      <c r="D1393" s="326" t="s">
        <v>1594</v>
      </c>
      <c r="E1393" s="359" t="s">
        <v>8682</v>
      </c>
      <c r="F1393" s="334" t="s">
        <v>36</v>
      </c>
      <c r="G1393" s="327" t="s">
        <v>8683</v>
      </c>
      <c r="H1393" s="328" t="s">
        <v>7181</v>
      </c>
      <c r="I1393" s="378">
        <v>2949571</v>
      </c>
      <c r="J1393" s="379">
        <v>99410</v>
      </c>
      <c r="K1393" s="459"/>
      <c r="L1393" s="460"/>
      <c r="M1393" s="417"/>
    </row>
    <row r="1394" spans="1:13" ht="15" customHeight="1">
      <c r="A1394" s="325"/>
      <c r="B1394" s="326" t="s">
        <v>1594</v>
      </c>
      <c r="D1394" s="326" t="s">
        <v>1594</v>
      </c>
      <c r="E1394" s="359" t="s">
        <v>8682</v>
      </c>
      <c r="F1394" s="334" t="s">
        <v>5337</v>
      </c>
      <c r="G1394" s="327" t="s">
        <v>8684</v>
      </c>
      <c r="H1394" s="328" t="s">
        <v>7182</v>
      </c>
      <c r="I1394" s="378">
        <v>3373118</v>
      </c>
      <c r="J1394" s="379">
        <v>159561</v>
      </c>
      <c r="K1394" s="459"/>
      <c r="L1394" s="460"/>
      <c r="M1394" s="417"/>
    </row>
    <row r="1395" spans="1:13" ht="15" customHeight="1">
      <c r="A1395" s="447" t="s">
        <v>7183</v>
      </c>
      <c r="B1395" s="448" t="s">
        <v>1392</v>
      </c>
      <c r="C1395" s="449" t="s">
        <v>7184</v>
      </c>
      <c r="D1395" s="448" t="s">
        <v>8685</v>
      </c>
      <c r="E1395" s="450" t="s">
        <v>8685</v>
      </c>
      <c r="F1395" s="451" t="s">
        <v>36</v>
      </c>
      <c r="G1395" s="449" t="s">
        <v>8686</v>
      </c>
      <c r="H1395" s="452" t="s">
        <v>656</v>
      </c>
      <c r="I1395" s="453">
        <v>8976176</v>
      </c>
      <c r="J1395" s="454">
        <v>331311</v>
      </c>
      <c r="K1395" s="466">
        <v>0.2</v>
      </c>
      <c r="L1395" s="467">
        <f>J1395*K1395/100</f>
        <v>662.62199999999996</v>
      </c>
      <c r="M1395" s="417"/>
    </row>
    <row r="1396" spans="1:13" ht="15" customHeight="1">
      <c r="A1396" s="338" t="s">
        <v>7185</v>
      </c>
      <c r="B1396" s="339" t="s">
        <v>1394</v>
      </c>
      <c r="C1396" s="340" t="s">
        <v>7186</v>
      </c>
      <c r="D1396" s="339" t="s">
        <v>8687</v>
      </c>
      <c r="E1396" s="369" t="s">
        <v>8687</v>
      </c>
      <c r="F1396" s="350" t="s">
        <v>36</v>
      </c>
      <c r="G1396" s="340" t="s">
        <v>8688</v>
      </c>
      <c r="H1396" s="341" t="s">
        <v>7187</v>
      </c>
      <c r="I1396" s="385"/>
      <c r="J1396" s="383">
        <v>507673</v>
      </c>
      <c r="K1396" s="459"/>
      <c r="L1396" s="460"/>
      <c r="M1396" s="417"/>
    </row>
    <row r="1397" spans="1:13" ht="15" customHeight="1">
      <c r="A1397" s="338" t="s">
        <v>7188</v>
      </c>
      <c r="B1397" s="339" t="s">
        <v>8689</v>
      </c>
      <c r="C1397" s="340" t="s">
        <v>7189</v>
      </c>
      <c r="D1397" s="339" t="s">
        <v>8690</v>
      </c>
      <c r="E1397" s="369" t="s">
        <v>8690</v>
      </c>
      <c r="F1397" s="350" t="s">
        <v>36</v>
      </c>
      <c r="G1397" s="340" t="s">
        <v>8691</v>
      </c>
      <c r="H1397" s="341" t="s">
        <v>7190</v>
      </c>
      <c r="I1397" s="385"/>
      <c r="J1397" s="383">
        <v>2144216</v>
      </c>
      <c r="K1397" s="459"/>
      <c r="L1397" s="460"/>
      <c r="M1397" s="417"/>
    </row>
    <row r="1398" spans="1:13" ht="15" customHeight="1">
      <c r="A1398" s="325" t="s">
        <v>7191</v>
      </c>
      <c r="B1398" s="326" t="s">
        <v>1396</v>
      </c>
      <c r="C1398" s="327" t="s">
        <v>7192</v>
      </c>
      <c r="D1398" s="326" t="s">
        <v>8692</v>
      </c>
      <c r="E1398" s="359" t="s">
        <v>8692</v>
      </c>
      <c r="G1398" s="327" t="s">
        <v>1594</v>
      </c>
      <c r="H1398" s="328" t="s">
        <v>662</v>
      </c>
      <c r="I1398" s="378">
        <v>7244321</v>
      </c>
      <c r="J1398" s="379">
        <v>295039</v>
      </c>
      <c r="K1398" s="459"/>
      <c r="L1398" s="460"/>
      <c r="M1398" s="417"/>
    </row>
    <row r="1399" spans="1:13" ht="15" customHeight="1">
      <c r="A1399" s="325"/>
      <c r="B1399" s="326" t="s">
        <v>1594</v>
      </c>
      <c r="D1399" s="326" t="s">
        <v>1594</v>
      </c>
      <c r="E1399" s="388" t="s">
        <v>8692</v>
      </c>
      <c r="F1399" s="389" t="s">
        <v>5637</v>
      </c>
      <c r="G1399" s="390" t="s">
        <v>8693</v>
      </c>
      <c r="H1399" s="403" t="s">
        <v>7193</v>
      </c>
      <c r="I1399" s="413">
        <v>3697861</v>
      </c>
      <c r="J1399" s="392">
        <v>149261</v>
      </c>
      <c r="K1399" s="463">
        <v>3.2</v>
      </c>
      <c r="L1399" s="464">
        <f>J1399*K1399/100</f>
        <v>4776.3519999999999</v>
      </c>
      <c r="M1399" s="417"/>
    </row>
    <row r="1400" spans="1:13" ht="15" customHeight="1">
      <c r="A1400" s="325"/>
      <c r="B1400" s="326" t="s">
        <v>1594</v>
      </c>
      <c r="D1400" s="326" t="s">
        <v>1594</v>
      </c>
      <c r="E1400" s="359" t="s">
        <v>8692</v>
      </c>
      <c r="F1400" s="334" t="s">
        <v>5657</v>
      </c>
      <c r="G1400" s="327" t="s">
        <v>8694</v>
      </c>
      <c r="H1400" s="328" t="s">
        <v>7194</v>
      </c>
      <c r="I1400" s="378">
        <v>800564</v>
      </c>
      <c r="J1400" s="379">
        <v>39031</v>
      </c>
      <c r="K1400" s="459"/>
      <c r="L1400" s="460"/>
      <c r="M1400" s="417"/>
    </row>
    <row r="1401" spans="1:13" ht="15" customHeight="1">
      <c r="A1401" s="325"/>
      <c r="B1401" s="326" t="s">
        <v>1594</v>
      </c>
      <c r="D1401" s="326" t="s">
        <v>1594</v>
      </c>
      <c r="E1401" s="359" t="s">
        <v>8692</v>
      </c>
      <c r="F1401" s="334" t="s">
        <v>5659</v>
      </c>
      <c r="G1401" s="327" t="s">
        <v>8695</v>
      </c>
      <c r="H1401" s="328" t="s">
        <v>7195</v>
      </c>
      <c r="I1401" s="378">
        <v>58741</v>
      </c>
      <c r="J1401" s="379">
        <v>2371</v>
      </c>
      <c r="K1401" s="459"/>
      <c r="L1401" s="460"/>
      <c r="M1401" s="417"/>
    </row>
    <row r="1402" spans="1:13" ht="15" customHeight="1">
      <c r="A1402" s="325"/>
      <c r="B1402" s="326" t="s">
        <v>1594</v>
      </c>
      <c r="D1402" s="326" t="s">
        <v>1594</v>
      </c>
      <c r="E1402" s="388" t="s">
        <v>8692</v>
      </c>
      <c r="F1402" s="389" t="s">
        <v>5455</v>
      </c>
      <c r="G1402" s="390" t="s">
        <v>8696</v>
      </c>
      <c r="H1402" s="403" t="s">
        <v>7196</v>
      </c>
      <c r="I1402" s="413"/>
      <c r="J1402" s="392">
        <v>60900</v>
      </c>
      <c r="K1402" s="463">
        <v>3.2</v>
      </c>
      <c r="L1402" s="464">
        <f>J1402*K1402/100</f>
        <v>1948.8</v>
      </c>
      <c r="M1402" s="417"/>
    </row>
    <row r="1403" spans="1:13" ht="15" customHeight="1">
      <c r="A1403" s="325"/>
      <c r="B1403" s="326" t="s">
        <v>1594</v>
      </c>
      <c r="D1403" s="326" t="s">
        <v>1594</v>
      </c>
      <c r="E1403" s="359" t="s">
        <v>8692</v>
      </c>
      <c r="F1403" s="334" t="s">
        <v>5457</v>
      </c>
      <c r="G1403" s="327" t="s">
        <v>8697</v>
      </c>
      <c r="H1403" s="328" t="s">
        <v>7197</v>
      </c>
      <c r="I1403" s="378"/>
      <c r="J1403" s="379">
        <v>40295</v>
      </c>
      <c r="K1403" s="459"/>
      <c r="L1403" s="460"/>
      <c r="M1403" s="417"/>
    </row>
    <row r="1404" spans="1:13" ht="15" customHeight="1">
      <c r="A1404" s="325"/>
      <c r="B1404" s="326" t="s">
        <v>1594</v>
      </c>
      <c r="D1404" s="326" t="s">
        <v>1594</v>
      </c>
      <c r="E1404" s="359" t="s">
        <v>8692</v>
      </c>
      <c r="F1404" s="334" t="s">
        <v>5387</v>
      </c>
      <c r="G1404" s="327" t="s">
        <v>8698</v>
      </c>
      <c r="H1404" s="328" t="s">
        <v>7198</v>
      </c>
      <c r="I1404" s="378">
        <v>27222</v>
      </c>
      <c r="J1404" s="379">
        <v>1224</v>
      </c>
      <c r="K1404" s="459"/>
      <c r="L1404" s="460"/>
      <c r="M1404" s="417"/>
    </row>
    <row r="1405" spans="1:13" ht="15" customHeight="1">
      <c r="A1405" s="325"/>
      <c r="B1405" s="326" t="s">
        <v>1594</v>
      </c>
      <c r="D1405" s="326" t="s">
        <v>1594</v>
      </c>
      <c r="E1405" s="359" t="s">
        <v>8692</v>
      </c>
      <c r="F1405" s="334" t="s">
        <v>5476</v>
      </c>
      <c r="G1405" s="327" t="s">
        <v>8699</v>
      </c>
      <c r="H1405" s="328" t="s">
        <v>7199</v>
      </c>
      <c r="I1405" s="378"/>
      <c r="J1405" s="379">
        <v>1957</v>
      </c>
      <c r="K1405" s="459"/>
      <c r="L1405" s="460"/>
      <c r="M1405" s="417"/>
    </row>
    <row r="1406" spans="1:13" ht="15" customHeight="1">
      <c r="A1406" s="321" t="s">
        <v>7200</v>
      </c>
      <c r="B1406" s="322" t="s">
        <v>1398</v>
      </c>
      <c r="C1406" s="323" t="s">
        <v>7201</v>
      </c>
      <c r="D1406" s="322" t="s">
        <v>8700</v>
      </c>
      <c r="E1406" s="365" t="s">
        <v>8700</v>
      </c>
      <c r="F1406" s="366"/>
      <c r="G1406" s="323" t="s">
        <v>1594</v>
      </c>
      <c r="H1406" s="324" t="s">
        <v>665</v>
      </c>
      <c r="I1406" s="376">
        <v>135638</v>
      </c>
      <c r="J1406" s="377">
        <v>2040</v>
      </c>
      <c r="K1406" s="459"/>
      <c r="L1406" s="460"/>
      <c r="M1406" s="417"/>
    </row>
    <row r="1407" spans="1:13" ht="15" customHeight="1">
      <c r="A1407" s="325"/>
      <c r="B1407" s="326" t="s">
        <v>1594</v>
      </c>
      <c r="D1407" s="326" t="s">
        <v>1594</v>
      </c>
      <c r="E1407" s="359" t="s">
        <v>8700</v>
      </c>
      <c r="F1407" s="334" t="s">
        <v>36</v>
      </c>
      <c r="G1407" s="327" t="s">
        <v>8701</v>
      </c>
      <c r="H1407" s="328" t="s">
        <v>7202</v>
      </c>
      <c r="I1407" s="378"/>
      <c r="J1407" s="379">
        <v>2</v>
      </c>
      <c r="K1407" s="459"/>
      <c r="L1407" s="460"/>
      <c r="M1407" s="417"/>
    </row>
    <row r="1408" spans="1:13" ht="15" customHeight="1">
      <c r="A1408" s="325"/>
      <c r="B1408" s="326" t="s">
        <v>1594</v>
      </c>
      <c r="D1408" s="326" t="s">
        <v>1594</v>
      </c>
      <c r="E1408" s="359" t="s">
        <v>8700</v>
      </c>
      <c r="F1408" s="334" t="s">
        <v>7203</v>
      </c>
      <c r="G1408" s="327" t="s">
        <v>8702</v>
      </c>
      <c r="H1408" s="328" t="s">
        <v>7204</v>
      </c>
      <c r="I1408" s="378"/>
      <c r="J1408" s="379">
        <v>1879</v>
      </c>
      <c r="K1408" s="459"/>
      <c r="L1408" s="460"/>
      <c r="M1408" s="417"/>
    </row>
    <row r="1409" spans="1:13" ht="15" customHeight="1">
      <c r="A1409" s="325"/>
      <c r="B1409" s="326" t="s">
        <v>1594</v>
      </c>
      <c r="D1409" s="326" t="s">
        <v>1594</v>
      </c>
      <c r="E1409" s="359" t="s">
        <v>8700</v>
      </c>
      <c r="F1409" s="334" t="s">
        <v>7205</v>
      </c>
      <c r="G1409" s="327" t="s">
        <v>8703</v>
      </c>
      <c r="H1409" s="328" t="s">
        <v>7206</v>
      </c>
      <c r="I1409" s="378"/>
      <c r="J1409" s="379">
        <v>159</v>
      </c>
      <c r="K1409" s="459"/>
      <c r="L1409" s="460"/>
      <c r="M1409" s="417"/>
    </row>
    <row r="1410" spans="1:13" ht="15" customHeight="1">
      <c r="A1410" s="325"/>
      <c r="B1410" s="326" t="s">
        <v>1594</v>
      </c>
      <c r="D1410" s="326" t="s">
        <v>1594</v>
      </c>
      <c r="E1410" s="359" t="s">
        <v>8700</v>
      </c>
      <c r="F1410" s="334" t="s">
        <v>7207</v>
      </c>
      <c r="G1410" s="327" t="s">
        <v>8704</v>
      </c>
      <c r="H1410" s="328" t="s">
        <v>7208</v>
      </c>
      <c r="I1410" s="378"/>
      <c r="J1410" s="379">
        <v>0</v>
      </c>
      <c r="K1410" s="459"/>
      <c r="L1410" s="460"/>
      <c r="M1410" s="417"/>
    </row>
    <row r="1411" spans="1:13" ht="15" customHeight="1">
      <c r="A1411" s="406" t="s">
        <v>7209</v>
      </c>
      <c r="B1411" s="407" t="s">
        <v>1400</v>
      </c>
      <c r="C1411" s="408" t="s">
        <v>7210</v>
      </c>
      <c r="D1411" s="407" t="s">
        <v>8705</v>
      </c>
      <c r="E1411" s="409" t="s">
        <v>8705</v>
      </c>
      <c r="F1411" s="410"/>
      <c r="G1411" s="408" t="s">
        <v>1594</v>
      </c>
      <c r="H1411" s="411" t="s">
        <v>667</v>
      </c>
      <c r="I1411" s="480"/>
      <c r="J1411" s="481">
        <v>80503</v>
      </c>
      <c r="K1411" s="463">
        <v>3.2</v>
      </c>
      <c r="L1411" s="464">
        <f>J1411*K1411/100</f>
        <v>2576.096</v>
      </c>
      <c r="M1411" s="417"/>
    </row>
    <row r="1412" spans="1:13" ht="15" customHeight="1">
      <c r="A1412" s="325"/>
      <c r="B1412" s="326" t="s">
        <v>1594</v>
      </c>
      <c r="D1412" s="326" t="s">
        <v>1594</v>
      </c>
      <c r="E1412" s="359" t="s">
        <v>8705</v>
      </c>
      <c r="F1412" s="334" t="s">
        <v>36</v>
      </c>
      <c r="G1412" s="327" t="s">
        <v>8706</v>
      </c>
      <c r="H1412" s="328" t="s">
        <v>7211</v>
      </c>
      <c r="I1412" s="378">
        <v>1038705</v>
      </c>
      <c r="J1412" s="379">
        <v>59789</v>
      </c>
      <c r="K1412" s="459"/>
      <c r="L1412" s="460"/>
      <c r="M1412" s="417"/>
    </row>
    <row r="1413" spans="1:13" ht="15" customHeight="1">
      <c r="A1413" s="325"/>
      <c r="B1413" s="326" t="s">
        <v>1594</v>
      </c>
      <c r="D1413" s="326" t="s">
        <v>1594</v>
      </c>
      <c r="E1413" s="359" t="s">
        <v>8705</v>
      </c>
      <c r="F1413" s="334" t="s">
        <v>5337</v>
      </c>
      <c r="G1413" s="327" t="s">
        <v>8707</v>
      </c>
      <c r="H1413" s="328" t="s">
        <v>7212</v>
      </c>
      <c r="I1413" s="378">
        <v>546710</v>
      </c>
      <c r="J1413" s="379">
        <v>19916</v>
      </c>
      <c r="K1413" s="459"/>
      <c r="L1413" s="460"/>
      <c r="M1413" s="417"/>
    </row>
    <row r="1414" spans="1:13" ht="15" customHeight="1">
      <c r="A1414" s="329"/>
      <c r="B1414" s="330" t="s">
        <v>1594</v>
      </c>
      <c r="C1414" s="331"/>
      <c r="D1414" s="330" t="s">
        <v>1594</v>
      </c>
      <c r="E1414" s="367" t="s">
        <v>8705</v>
      </c>
      <c r="F1414" s="332" t="s">
        <v>5339</v>
      </c>
      <c r="G1414" s="331" t="s">
        <v>8708</v>
      </c>
      <c r="H1414" s="320" t="s">
        <v>7213</v>
      </c>
      <c r="I1414" s="384">
        <v>45240</v>
      </c>
      <c r="J1414" s="381">
        <v>798</v>
      </c>
      <c r="K1414" s="459"/>
      <c r="L1414" s="460"/>
      <c r="M1414" s="417"/>
    </row>
    <row r="1415" spans="1:13" ht="15" customHeight="1">
      <c r="A1415" s="325" t="s">
        <v>7214</v>
      </c>
      <c r="B1415" s="326" t="s">
        <v>1402</v>
      </c>
      <c r="C1415" s="327" t="s">
        <v>7215</v>
      </c>
      <c r="D1415" s="326" t="s">
        <v>8709</v>
      </c>
      <c r="E1415" s="359" t="s">
        <v>8709</v>
      </c>
      <c r="F1415" s="334" t="s">
        <v>36</v>
      </c>
      <c r="G1415" s="327" t="s">
        <v>8710</v>
      </c>
      <c r="H1415" s="328" t="s">
        <v>668</v>
      </c>
      <c r="I1415" s="378">
        <v>1841139</v>
      </c>
      <c r="J1415" s="379">
        <v>66468</v>
      </c>
      <c r="K1415" s="459"/>
      <c r="L1415" s="460"/>
      <c r="M1415" s="417"/>
    </row>
    <row r="1416" spans="1:13" ht="15" customHeight="1">
      <c r="A1416" s="321" t="s">
        <v>7216</v>
      </c>
      <c r="B1416" s="322" t="s">
        <v>1404</v>
      </c>
      <c r="C1416" s="323" t="s">
        <v>7217</v>
      </c>
      <c r="D1416" s="322" t="s">
        <v>8711</v>
      </c>
      <c r="E1416" s="365" t="s">
        <v>8711</v>
      </c>
      <c r="F1416" s="366"/>
      <c r="G1416" s="323" t="s">
        <v>1594</v>
      </c>
      <c r="H1416" s="324" t="s">
        <v>7218</v>
      </c>
      <c r="I1416" s="376"/>
      <c r="J1416" s="377">
        <v>754691</v>
      </c>
      <c r="K1416" s="459"/>
      <c r="L1416" s="460"/>
      <c r="M1416" s="417"/>
    </row>
    <row r="1417" spans="1:13" ht="15" customHeight="1">
      <c r="A1417" s="325"/>
      <c r="D1417" s="326"/>
      <c r="E1417" s="436" t="s">
        <v>8711</v>
      </c>
      <c r="F1417" s="437" t="s">
        <v>5349</v>
      </c>
      <c r="G1417" s="455" t="s">
        <v>8712</v>
      </c>
      <c r="H1417" s="438" t="s">
        <v>7219</v>
      </c>
      <c r="I1417" s="439">
        <v>12460623</v>
      </c>
      <c r="J1417" s="440">
        <v>730096</v>
      </c>
      <c r="K1417" s="466"/>
      <c r="L1417" s="467"/>
      <c r="M1417" s="417"/>
    </row>
    <row r="1418" spans="1:13" ht="15" customHeight="1">
      <c r="A1418" s="329"/>
      <c r="B1418" s="330"/>
      <c r="C1418" s="331"/>
      <c r="D1418" s="330"/>
      <c r="E1418" s="441" t="s">
        <v>8711</v>
      </c>
      <c r="F1418" s="442" t="s">
        <v>5327</v>
      </c>
      <c r="G1418" s="443" t="s">
        <v>8713</v>
      </c>
      <c r="H1418" s="444" t="s">
        <v>7220</v>
      </c>
      <c r="I1418" s="445">
        <v>784858</v>
      </c>
      <c r="J1418" s="446">
        <v>24595</v>
      </c>
      <c r="K1418" s="466"/>
      <c r="L1418" s="467"/>
      <c r="M1418" s="417"/>
    </row>
    <row r="1419" spans="1:13" ht="15" hidden="1" customHeight="1">
      <c r="A1419" s="420" t="s">
        <v>7221</v>
      </c>
      <c r="B1419" s="421"/>
      <c r="C1419" s="422">
        <v>5731011</v>
      </c>
      <c r="D1419" s="421"/>
      <c r="E1419" s="423"/>
      <c r="F1419" s="424"/>
      <c r="G1419" s="422"/>
      <c r="H1419" s="425" t="s">
        <v>7222</v>
      </c>
      <c r="I1419" s="426"/>
      <c r="J1419" s="427"/>
      <c r="K1419" s="468"/>
      <c r="L1419" s="469"/>
      <c r="M1419" s="428"/>
    </row>
    <row r="1420" spans="1:13" ht="15" hidden="1" customHeight="1">
      <c r="A1420" s="420"/>
      <c r="B1420" s="421"/>
      <c r="C1420" s="422"/>
      <c r="D1420" s="421"/>
      <c r="E1420" s="423"/>
      <c r="F1420" s="424" t="s">
        <v>5349</v>
      </c>
      <c r="G1420" s="422"/>
      <c r="H1420" s="425" t="s">
        <v>7223</v>
      </c>
      <c r="I1420" s="426"/>
      <c r="J1420" s="427"/>
      <c r="K1420" s="468"/>
      <c r="L1420" s="469"/>
      <c r="M1420" s="428"/>
    </row>
    <row r="1421" spans="1:13" ht="15" hidden="1" customHeight="1">
      <c r="A1421" s="420"/>
      <c r="B1421" s="421"/>
      <c r="C1421" s="422"/>
      <c r="D1421" s="421"/>
      <c r="E1421" s="423"/>
      <c r="F1421" s="424" t="s">
        <v>5327</v>
      </c>
      <c r="G1421" s="422"/>
      <c r="H1421" s="425" t="s">
        <v>7224</v>
      </c>
      <c r="I1421" s="426"/>
      <c r="J1421" s="427"/>
      <c r="K1421" s="468"/>
      <c r="L1421" s="469"/>
      <c r="M1421" s="428"/>
    </row>
    <row r="1422" spans="1:13" ht="15" hidden="1" customHeight="1">
      <c r="A1422" s="420"/>
      <c r="B1422" s="421"/>
      <c r="C1422" s="422"/>
      <c r="D1422" s="421"/>
      <c r="E1422" s="423"/>
      <c r="F1422" s="424" t="s">
        <v>5339</v>
      </c>
      <c r="G1422" s="422"/>
      <c r="H1422" s="425" t="s">
        <v>7225</v>
      </c>
      <c r="I1422" s="426"/>
      <c r="J1422" s="427"/>
      <c r="K1422" s="468"/>
      <c r="L1422" s="469"/>
      <c r="M1422" s="428"/>
    </row>
    <row r="1423" spans="1:13" ht="15" hidden="1" customHeight="1">
      <c r="A1423" s="420"/>
      <c r="B1423" s="421"/>
      <c r="C1423" s="422"/>
      <c r="D1423" s="421"/>
      <c r="E1423" s="423"/>
      <c r="F1423" s="424" t="s">
        <v>5593</v>
      </c>
      <c r="G1423" s="422"/>
      <c r="H1423" s="425" t="s">
        <v>7226</v>
      </c>
      <c r="I1423" s="426"/>
      <c r="J1423" s="427"/>
      <c r="K1423" s="468"/>
      <c r="L1423" s="469"/>
      <c r="M1423" s="428"/>
    </row>
    <row r="1424" spans="1:13" ht="15" hidden="1" customHeight="1">
      <c r="A1424" s="420"/>
      <c r="B1424" s="421"/>
      <c r="C1424" s="422"/>
      <c r="D1424" s="421"/>
      <c r="E1424" s="423"/>
      <c r="F1424" s="424" t="s">
        <v>7227</v>
      </c>
      <c r="G1424" s="422"/>
      <c r="H1424" s="425" t="s">
        <v>7228</v>
      </c>
      <c r="I1424" s="426"/>
      <c r="J1424" s="427"/>
      <c r="K1424" s="468"/>
      <c r="L1424" s="469"/>
      <c r="M1424" s="428"/>
    </row>
    <row r="1425" spans="1:13" ht="15" hidden="1" customHeight="1">
      <c r="A1425" s="420"/>
      <c r="B1425" s="421"/>
      <c r="C1425" s="422"/>
      <c r="D1425" s="421"/>
      <c r="E1425" s="423"/>
      <c r="F1425" s="424" t="s">
        <v>7229</v>
      </c>
      <c r="G1425" s="422"/>
      <c r="H1425" s="425" t="s">
        <v>7230</v>
      </c>
      <c r="I1425" s="426"/>
      <c r="J1425" s="427"/>
      <c r="K1425" s="468"/>
      <c r="L1425" s="469"/>
      <c r="M1425" s="428"/>
    </row>
    <row r="1426" spans="1:13" ht="15" hidden="1" customHeight="1">
      <c r="A1426" s="420"/>
      <c r="B1426" s="421"/>
      <c r="C1426" s="422"/>
      <c r="D1426" s="421"/>
      <c r="E1426" s="423"/>
      <c r="F1426" s="424" t="s">
        <v>7231</v>
      </c>
      <c r="G1426" s="422"/>
      <c r="H1426" s="425" t="s">
        <v>7232</v>
      </c>
      <c r="I1426" s="426"/>
      <c r="J1426" s="427"/>
      <c r="K1426" s="468"/>
      <c r="L1426" s="469"/>
      <c r="M1426" s="428"/>
    </row>
    <row r="1427" spans="1:13" ht="15" hidden="1" customHeight="1">
      <c r="A1427" s="420"/>
      <c r="B1427" s="421"/>
      <c r="C1427" s="422"/>
      <c r="D1427" s="421"/>
      <c r="E1427" s="423"/>
      <c r="F1427" s="424" t="s">
        <v>7233</v>
      </c>
      <c r="G1427" s="422"/>
      <c r="H1427" s="425" t="s">
        <v>7234</v>
      </c>
      <c r="I1427" s="426"/>
      <c r="J1427" s="427"/>
      <c r="K1427" s="468"/>
      <c r="L1427" s="469"/>
      <c r="M1427" s="428"/>
    </row>
    <row r="1428" spans="1:13" ht="15" hidden="1" customHeight="1">
      <c r="A1428" s="429" t="s">
        <v>7235</v>
      </c>
      <c r="B1428" s="430"/>
      <c r="C1428" s="431" t="s">
        <v>7236</v>
      </c>
      <c r="D1428" s="430"/>
      <c r="E1428" s="432"/>
      <c r="F1428" s="433"/>
      <c r="G1428" s="431"/>
      <c r="H1428" s="434" t="s">
        <v>7237</v>
      </c>
      <c r="I1428" s="435"/>
      <c r="J1428" s="427"/>
      <c r="K1428" s="468"/>
      <c r="L1428" s="469"/>
      <c r="M1428" s="428"/>
    </row>
    <row r="1429" spans="1:13" ht="15" hidden="1" customHeight="1">
      <c r="A1429" s="420"/>
      <c r="B1429" s="421"/>
      <c r="C1429" s="422"/>
      <c r="D1429" s="421"/>
      <c r="E1429" s="423"/>
      <c r="F1429" s="424" t="s">
        <v>5349</v>
      </c>
      <c r="G1429" s="422"/>
      <c r="H1429" s="425" t="s">
        <v>7226</v>
      </c>
      <c r="I1429" s="426"/>
      <c r="J1429" s="427"/>
      <c r="K1429" s="468"/>
      <c r="L1429" s="469"/>
      <c r="M1429" s="428"/>
    </row>
    <row r="1430" spans="1:13" ht="15" hidden="1" customHeight="1">
      <c r="A1430" s="420"/>
      <c r="B1430" s="421"/>
      <c r="C1430" s="422"/>
      <c r="D1430" s="421"/>
      <c r="E1430" s="423"/>
      <c r="F1430" s="424" t="s">
        <v>5327</v>
      </c>
      <c r="G1430" s="422"/>
      <c r="H1430" s="425" t="s">
        <v>7228</v>
      </c>
      <c r="I1430" s="426"/>
      <c r="J1430" s="427"/>
      <c r="K1430" s="468"/>
      <c r="L1430" s="469"/>
      <c r="M1430" s="428"/>
    </row>
    <row r="1431" spans="1:13" ht="15" hidden="1" customHeight="1">
      <c r="A1431" s="420"/>
      <c r="B1431" s="421"/>
      <c r="C1431" s="422"/>
      <c r="D1431" s="421"/>
      <c r="E1431" s="423"/>
      <c r="F1431" s="424" t="s">
        <v>5339</v>
      </c>
      <c r="G1431" s="422"/>
      <c r="H1431" s="425" t="s">
        <v>7230</v>
      </c>
      <c r="I1431" s="426"/>
      <c r="J1431" s="427"/>
      <c r="K1431" s="468"/>
      <c r="L1431" s="469"/>
      <c r="M1431" s="428"/>
    </row>
    <row r="1432" spans="1:13" ht="15" hidden="1" customHeight="1">
      <c r="A1432" s="420"/>
      <c r="B1432" s="421"/>
      <c r="C1432" s="422"/>
      <c r="D1432" s="421"/>
      <c r="E1432" s="423"/>
      <c r="F1432" s="424" t="s">
        <v>5593</v>
      </c>
      <c r="G1432" s="422"/>
      <c r="H1432" s="425" t="s">
        <v>7232</v>
      </c>
      <c r="I1432" s="426"/>
      <c r="J1432" s="427"/>
      <c r="K1432" s="468"/>
      <c r="L1432" s="469"/>
      <c r="M1432" s="428"/>
    </row>
    <row r="1433" spans="1:13" ht="15" hidden="1" customHeight="1">
      <c r="A1433" s="420"/>
      <c r="B1433" s="421"/>
      <c r="C1433" s="422"/>
      <c r="D1433" s="421"/>
      <c r="E1433" s="423"/>
      <c r="F1433" s="424" t="s">
        <v>7227</v>
      </c>
      <c r="G1433" s="422"/>
      <c r="H1433" s="425" t="s">
        <v>7234</v>
      </c>
      <c r="I1433" s="426"/>
      <c r="J1433" s="427"/>
      <c r="K1433" s="468"/>
      <c r="L1433" s="469"/>
      <c r="M1433" s="428"/>
    </row>
    <row r="1434" spans="1:13" ht="15" customHeight="1">
      <c r="A1434" s="321" t="s">
        <v>7238</v>
      </c>
      <c r="B1434" s="322" t="s">
        <v>1406</v>
      </c>
      <c r="C1434" s="323" t="s">
        <v>7239</v>
      </c>
      <c r="D1434" s="322" t="s">
        <v>8714</v>
      </c>
      <c r="E1434" s="365" t="s">
        <v>8714</v>
      </c>
      <c r="F1434" s="366"/>
      <c r="G1434" s="323" t="s">
        <v>1594</v>
      </c>
      <c r="H1434" s="324" t="s">
        <v>672</v>
      </c>
      <c r="I1434" s="376"/>
      <c r="J1434" s="377">
        <v>85223</v>
      </c>
      <c r="K1434" s="459"/>
      <c r="L1434" s="460"/>
      <c r="M1434" s="417"/>
    </row>
    <row r="1435" spans="1:13" ht="15" customHeight="1">
      <c r="A1435" s="325"/>
      <c r="B1435" s="326" t="s">
        <v>1594</v>
      </c>
      <c r="D1435" s="326" t="s">
        <v>1594</v>
      </c>
      <c r="E1435" s="359" t="s">
        <v>8714</v>
      </c>
      <c r="F1435" s="334" t="s">
        <v>575</v>
      </c>
      <c r="G1435" s="327" t="s">
        <v>8715</v>
      </c>
      <c r="H1435" s="328" t="s">
        <v>7240</v>
      </c>
      <c r="I1435" s="378">
        <v>711682</v>
      </c>
      <c r="J1435" s="379">
        <v>16000</v>
      </c>
      <c r="K1435" s="459"/>
      <c r="L1435" s="460"/>
      <c r="M1435" s="417"/>
    </row>
    <row r="1436" spans="1:13" ht="15" customHeight="1">
      <c r="A1436" s="325"/>
      <c r="B1436" s="326" t="s">
        <v>1594</v>
      </c>
      <c r="D1436" s="326" t="s">
        <v>1594</v>
      </c>
      <c r="E1436" s="359" t="s">
        <v>8714</v>
      </c>
      <c r="F1436" s="334" t="s">
        <v>5359</v>
      </c>
      <c r="G1436" s="327" t="s">
        <v>8716</v>
      </c>
      <c r="H1436" s="328" t="s">
        <v>7241</v>
      </c>
      <c r="I1436" s="378">
        <v>916397</v>
      </c>
      <c r="J1436" s="379">
        <v>20602</v>
      </c>
      <c r="K1436" s="459"/>
      <c r="L1436" s="460"/>
      <c r="M1436" s="417"/>
    </row>
    <row r="1437" spans="1:13" ht="15" customHeight="1">
      <c r="A1437" s="325"/>
      <c r="B1437" s="326" t="s">
        <v>1594</v>
      </c>
      <c r="D1437" s="326" t="s">
        <v>1594</v>
      </c>
      <c r="E1437" s="359" t="s">
        <v>8714</v>
      </c>
      <c r="F1437" s="334" t="s">
        <v>5361</v>
      </c>
      <c r="G1437" s="327" t="s">
        <v>8717</v>
      </c>
      <c r="H1437" s="328" t="s">
        <v>7242</v>
      </c>
      <c r="I1437" s="378">
        <v>1637556</v>
      </c>
      <c r="J1437" s="379">
        <v>36814</v>
      </c>
      <c r="K1437" s="459"/>
      <c r="L1437" s="460"/>
      <c r="M1437" s="417"/>
    </row>
    <row r="1438" spans="1:13" ht="15" customHeight="1">
      <c r="A1438" s="325"/>
      <c r="B1438" s="326" t="s">
        <v>1594</v>
      </c>
      <c r="D1438" s="326" t="s">
        <v>1594</v>
      </c>
      <c r="E1438" s="359" t="s">
        <v>8714</v>
      </c>
      <c r="F1438" s="334" t="s">
        <v>5383</v>
      </c>
      <c r="G1438" s="327" t="s">
        <v>8718</v>
      </c>
      <c r="H1438" s="328" t="s">
        <v>7243</v>
      </c>
      <c r="I1438" s="378">
        <v>1785</v>
      </c>
      <c r="J1438" s="379">
        <v>40</v>
      </c>
      <c r="K1438" s="459"/>
      <c r="L1438" s="460"/>
      <c r="M1438" s="417"/>
    </row>
    <row r="1439" spans="1:13" ht="15" customHeight="1">
      <c r="A1439" s="325"/>
      <c r="B1439" s="326" t="s">
        <v>1594</v>
      </c>
      <c r="D1439" s="326" t="s">
        <v>1594</v>
      </c>
      <c r="E1439" s="359" t="s">
        <v>8714</v>
      </c>
      <c r="F1439" s="334" t="s">
        <v>5385</v>
      </c>
      <c r="G1439" s="327" t="s">
        <v>8719</v>
      </c>
      <c r="H1439" s="328" t="s">
        <v>7244</v>
      </c>
      <c r="I1439" s="378">
        <v>1986</v>
      </c>
      <c r="J1439" s="379">
        <v>45</v>
      </c>
      <c r="K1439" s="459"/>
      <c r="L1439" s="460"/>
      <c r="M1439" s="417"/>
    </row>
    <row r="1440" spans="1:13" ht="15" customHeight="1">
      <c r="A1440" s="325"/>
      <c r="B1440" s="326" t="s">
        <v>1594</v>
      </c>
      <c r="D1440" s="326" t="s">
        <v>1594</v>
      </c>
      <c r="E1440" s="359" t="s">
        <v>8714</v>
      </c>
      <c r="F1440" s="334" t="s">
        <v>5906</v>
      </c>
      <c r="G1440" s="327" t="s">
        <v>8720</v>
      </c>
      <c r="H1440" s="328" t="s">
        <v>7245</v>
      </c>
      <c r="I1440" s="378">
        <v>0</v>
      </c>
      <c r="J1440" s="379">
        <v>0</v>
      </c>
      <c r="K1440" s="459"/>
      <c r="L1440" s="460"/>
      <c r="M1440" s="417"/>
    </row>
    <row r="1441" spans="1:13" ht="15" customHeight="1">
      <c r="A1441" s="325"/>
      <c r="B1441" s="326" t="s">
        <v>1594</v>
      </c>
      <c r="C1441" s="331"/>
      <c r="D1441" s="330" t="s">
        <v>1594</v>
      </c>
      <c r="E1441" s="367" t="s">
        <v>8714</v>
      </c>
      <c r="F1441" s="334" t="s">
        <v>5421</v>
      </c>
      <c r="G1441" s="327" t="s">
        <v>8721</v>
      </c>
      <c r="H1441" s="333" t="s">
        <v>7246</v>
      </c>
      <c r="I1441" s="378">
        <v>521400</v>
      </c>
      <c r="J1441" s="379">
        <v>11722</v>
      </c>
      <c r="K1441" s="459"/>
      <c r="L1441" s="460"/>
      <c r="M1441" s="417"/>
    </row>
    <row r="1442" spans="1:13" ht="15" customHeight="1">
      <c r="A1442" s="321" t="s">
        <v>7247</v>
      </c>
      <c r="B1442" s="322" t="s">
        <v>1408</v>
      </c>
      <c r="D1442" s="326"/>
      <c r="F1442" s="366"/>
      <c r="G1442" s="323" t="s">
        <v>1594</v>
      </c>
      <c r="H1442" s="324" t="s">
        <v>7248</v>
      </c>
      <c r="I1442" s="376"/>
      <c r="J1442" s="377"/>
      <c r="K1442" s="459"/>
      <c r="L1442" s="460"/>
      <c r="M1442" s="417"/>
    </row>
    <row r="1443" spans="1:13" ht="15" customHeight="1">
      <c r="A1443" s="325"/>
      <c r="B1443" s="326" t="s">
        <v>1594</v>
      </c>
      <c r="C1443" s="327" t="s">
        <v>7249</v>
      </c>
      <c r="D1443" s="326" t="s">
        <v>8722</v>
      </c>
      <c r="E1443" s="359" t="s">
        <v>8722</v>
      </c>
      <c r="F1443" s="334" t="s">
        <v>36</v>
      </c>
      <c r="G1443" s="327" t="s">
        <v>8723</v>
      </c>
      <c r="H1443" s="328" t="s">
        <v>674</v>
      </c>
      <c r="I1443" s="378">
        <v>92896</v>
      </c>
      <c r="J1443" s="379">
        <v>5038</v>
      </c>
      <c r="K1443" s="459"/>
      <c r="L1443" s="460"/>
      <c r="M1443" s="417"/>
    </row>
    <row r="1444" spans="1:13" ht="15" customHeight="1">
      <c r="A1444" s="325"/>
      <c r="B1444" s="326" t="s">
        <v>1594</v>
      </c>
      <c r="C1444" s="327" t="s">
        <v>7250</v>
      </c>
      <c r="D1444" s="326" t="s">
        <v>8724</v>
      </c>
      <c r="E1444" s="359" t="s">
        <v>8724</v>
      </c>
      <c r="F1444" s="334" t="s">
        <v>6063</v>
      </c>
      <c r="G1444" s="327" t="s">
        <v>8725</v>
      </c>
      <c r="H1444" s="328" t="s">
        <v>675</v>
      </c>
      <c r="I1444" s="378"/>
      <c r="J1444" s="379">
        <v>47982</v>
      </c>
      <c r="K1444" s="459"/>
      <c r="L1444" s="460"/>
      <c r="M1444" s="417"/>
    </row>
    <row r="1445" spans="1:13" ht="15" customHeight="1">
      <c r="A1445" s="325"/>
      <c r="D1445" s="326"/>
      <c r="H1445" s="328" t="s">
        <v>7251</v>
      </c>
      <c r="I1445" s="378">
        <v>351893</v>
      </c>
      <c r="J1445" s="379">
        <v>25003</v>
      </c>
      <c r="K1445" s="459"/>
      <c r="L1445" s="460"/>
      <c r="M1445" s="417"/>
    </row>
    <row r="1446" spans="1:13" ht="15" customHeight="1">
      <c r="A1446" s="325"/>
      <c r="D1446" s="326"/>
      <c r="H1446" s="328" t="s">
        <v>7252</v>
      </c>
      <c r="I1446" s="378">
        <v>181296</v>
      </c>
      <c r="J1446" s="379">
        <v>12882</v>
      </c>
      <c r="K1446" s="459"/>
      <c r="L1446" s="460"/>
      <c r="M1446" s="417"/>
    </row>
    <row r="1447" spans="1:13" ht="15" customHeight="1">
      <c r="A1447" s="325"/>
      <c r="D1447" s="326"/>
      <c r="H1447" s="328" t="s">
        <v>7253</v>
      </c>
      <c r="I1447" s="378">
        <v>0</v>
      </c>
      <c r="J1447" s="379">
        <v>0</v>
      </c>
      <c r="K1447" s="459"/>
      <c r="L1447" s="460"/>
      <c r="M1447" s="417"/>
    </row>
    <row r="1448" spans="1:13" ht="15" customHeight="1">
      <c r="A1448" s="325"/>
      <c r="D1448" s="326"/>
      <c r="H1448" s="328" t="s">
        <v>7254</v>
      </c>
      <c r="I1448" s="378">
        <v>19061</v>
      </c>
      <c r="J1448" s="379">
        <v>1354</v>
      </c>
      <c r="K1448" s="459"/>
      <c r="L1448" s="460"/>
      <c r="M1448" s="417"/>
    </row>
    <row r="1449" spans="1:13" ht="15" customHeight="1">
      <c r="A1449" s="325"/>
      <c r="D1449" s="326"/>
      <c r="H1449" s="328" t="s">
        <v>7255</v>
      </c>
      <c r="I1449" s="378">
        <v>128690</v>
      </c>
      <c r="J1449" s="379">
        <v>8415</v>
      </c>
      <c r="K1449" s="459"/>
      <c r="L1449" s="460"/>
      <c r="M1449" s="417"/>
    </row>
    <row r="1450" spans="1:13" ht="15" customHeight="1">
      <c r="A1450" s="325"/>
      <c r="D1450" s="326"/>
      <c r="H1450" s="328" t="s">
        <v>7256</v>
      </c>
      <c r="I1450" s="378">
        <v>1082</v>
      </c>
      <c r="J1450" s="379">
        <v>77</v>
      </c>
      <c r="K1450" s="459"/>
      <c r="L1450" s="460"/>
      <c r="M1450" s="417"/>
    </row>
    <row r="1451" spans="1:13" ht="15" customHeight="1">
      <c r="A1451" s="325"/>
      <c r="D1451" s="326"/>
      <c r="H1451" s="328" t="s">
        <v>7257</v>
      </c>
      <c r="I1451" s="378">
        <v>20472</v>
      </c>
      <c r="J1451" s="379">
        <v>233</v>
      </c>
      <c r="K1451" s="459"/>
      <c r="L1451" s="460"/>
      <c r="M1451" s="417"/>
    </row>
    <row r="1452" spans="1:13" ht="15" customHeight="1">
      <c r="A1452" s="329"/>
      <c r="B1452" s="330"/>
      <c r="C1452" s="331"/>
      <c r="D1452" s="330"/>
      <c r="E1452" s="367"/>
      <c r="F1452" s="332"/>
      <c r="G1452" s="331"/>
      <c r="H1452" s="320" t="s">
        <v>7258</v>
      </c>
      <c r="I1452" s="384">
        <v>1598</v>
      </c>
      <c r="J1452" s="381">
        <v>18</v>
      </c>
      <c r="K1452" s="459"/>
      <c r="L1452" s="460"/>
      <c r="M1452" s="417"/>
    </row>
    <row r="1453" spans="1:13" ht="15" customHeight="1">
      <c r="A1453" s="325" t="s">
        <v>7259</v>
      </c>
      <c r="B1453" s="326" t="s">
        <v>1410</v>
      </c>
      <c r="C1453" s="327" t="s">
        <v>7260</v>
      </c>
      <c r="D1453" s="326" t="s">
        <v>8726</v>
      </c>
      <c r="E1453" s="359" t="s">
        <v>8726</v>
      </c>
      <c r="G1453" s="327" t="s">
        <v>1594</v>
      </c>
      <c r="H1453" s="328" t="s">
        <v>677</v>
      </c>
      <c r="I1453" s="378"/>
      <c r="J1453" s="379">
        <v>102852</v>
      </c>
      <c r="K1453" s="459"/>
      <c r="L1453" s="460"/>
      <c r="M1453" s="417"/>
    </row>
    <row r="1454" spans="1:13" ht="15" customHeight="1">
      <c r="A1454" s="325"/>
      <c r="B1454" s="326" t="s">
        <v>1594</v>
      </c>
      <c r="D1454" s="326" t="s">
        <v>1594</v>
      </c>
      <c r="E1454" s="359" t="s">
        <v>8726</v>
      </c>
      <c r="F1454" s="334" t="s">
        <v>575</v>
      </c>
      <c r="G1454" s="327" t="s">
        <v>8727</v>
      </c>
      <c r="H1454" s="328" t="s">
        <v>7261</v>
      </c>
      <c r="I1454" s="378">
        <v>227656</v>
      </c>
      <c r="J1454" s="379">
        <v>21353</v>
      </c>
      <c r="K1454" s="459"/>
      <c r="L1454" s="460"/>
      <c r="M1454" s="417"/>
    </row>
    <row r="1455" spans="1:13" ht="15" customHeight="1">
      <c r="A1455" s="325"/>
      <c r="B1455" s="326" t="s">
        <v>1594</v>
      </c>
      <c r="D1455" s="326" t="s">
        <v>1594</v>
      </c>
      <c r="E1455" s="359" t="s">
        <v>8726</v>
      </c>
      <c r="F1455" s="334" t="s">
        <v>5359</v>
      </c>
      <c r="G1455" s="327" t="s">
        <v>8728</v>
      </c>
      <c r="H1455" s="328" t="s">
        <v>7262</v>
      </c>
      <c r="I1455" s="378">
        <v>359823</v>
      </c>
      <c r="J1455" s="379">
        <v>25829</v>
      </c>
      <c r="K1455" s="459"/>
      <c r="L1455" s="460"/>
      <c r="M1455" s="417"/>
    </row>
    <row r="1456" spans="1:13" ht="15" customHeight="1">
      <c r="A1456" s="325"/>
      <c r="B1456" s="326" t="s">
        <v>1594</v>
      </c>
      <c r="D1456" s="326" t="s">
        <v>1594</v>
      </c>
      <c r="E1456" s="359" t="s">
        <v>8726</v>
      </c>
      <c r="F1456" s="334" t="s">
        <v>5361</v>
      </c>
      <c r="G1456" s="327" t="s">
        <v>8729</v>
      </c>
      <c r="H1456" s="328" t="s">
        <v>7263</v>
      </c>
      <c r="I1456" s="378">
        <v>109965</v>
      </c>
      <c r="J1456" s="379">
        <v>5258</v>
      </c>
      <c r="K1456" s="459"/>
      <c r="L1456" s="460"/>
      <c r="M1456" s="417"/>
    </row>
    <row r="1457" spans="1:13" ht="15" customHeight="1">
      <c r="A1457" s="325"/>
      <c r="B1457" s="326" t="s">
        <v>1594</v>
      </c>
      <c r="D1457" s="326" t="s">
        <v>1594</v>
      </c>
      <c r="E1457" s="359" t="s">
        <v>8726</v>
      </c>
      <c r="F1457" s="334" t="s">
        <v>5363</v>
      </c>
      <c r="G1457" s="327" t="s">
        <v>8730</v>
      </c>
      <c r="H1457" s="328" t="s">
        <v>7264</v>
      </c>
      <c r="I1457" s="378">
        <v>107917</v>
      </c>
      <c r="J1457" s="379">
        <v>8459</v>
      </c>
      <c r="K1457" s="459"/>
      <c r="L1457" s="460"/>
      <c r="M1457" s="417"/>
    </row>
    <row r="1458" spans="1:13" ht="15" customHeight="1">
      <c r="A1458" s="325"/>
      <c r="B1458" s="326" t="s">
        <v>1594</v>
      </c>
      <c r="D1458" s="326" t="s">
        <v>1594</v>
      </c>
      <c r="E1458" s="359" t="s">
        <v>8726</v>
      </c>
      <c r="F1458" s="334" t="s">
        <v>5383</v>
      </c>
      <c r="G1458" s="327" t="s">
        <v>8731</v>
      </c>
      <c r="H1458" s="328" t="s">
        <v>7265</v>
      </c>
      <c r="I1458" s="378">
        <v>150947</v>
      </c>
      <c r="J1458" s="379">
        <v>14158</v>
      </c>
      <c r="K1458" s="459"/>
      <c r="L1458" s="460"/>
      <c r="M1458" s="417"/>
    </row>
    <row r="1459" spans="1:13" ht="15" customHeight="1">
      <c r="A1459" s="325"/>
      <c r="B1459" s="326" t="s">
        <v>1594</v>
      </c>
      <c r="D1459" s="326" t="s">
        <v>1594</v>
      </c>
      <c r="E1459" s="359" t="s">
        <v>8726</v>
      </c>
      <c r="F1459" s="334" t="s">
        <v>5385</v>
      </c>
      <c r="G1459" s="327" t="s">
        <v>8732</v>
      </c>
      <c r="H1459" s="328" t="s">
        <v>7266</v>
      </c>
      <c r="I1459" s="378">
        <v>238581</v>
      </c>
      <c r="J1459" s="379">
        <v>17126</v>
      </c>
      <c r="K1459" s="459"/>
      <c r="L1459" s="460"/>
      <c r="M1459" s="417"/>
    </row>
    <row r="1460" spans="1:13" ht="15" customHeight="1">
      <c r="A1460" s="325"/>
      <c r="B1460" s="326" t="s">
        <v>1594</v>
      </c>
      <c r="D1460" s="326" t="s">
        <v>1594</v>
      </c>
      <c r="E1460" s="359" t="s">
        <v>8726</v>
      </c>
      <c r="F1460" s="334" t="s">
        <v>5906</v>
      </c>
      <c r="G1460" s="327" t="s">
        <v>8733</v>
      </c>
      <c r="H1460" s="328" t="s">
        <v>7267</v>
      </c>
      <c r="I1460" s="378">
        <v>72912</v>
      </c>
      <c r="J1460" s="379">
        <v>3486</v>
      </c>
      <c r="K1460" s="459"/>
      <c r="L1460" s="460"/>
      <c r="M1460" s="417"/>
    </row>
    <row r="1461" spans="1:13" ht="15" customHeight="1">
      <c r="A1461" s="325"/>
      <c r="B1461" s="326" t="s">
        <v>1594</v>
      </c>
      <c r="D1461" s="326" t="s">
        <v>1594</v>
      </c>
      <c r="E1461" s="359" t="s">
        <v>8726</v>
      </c>
      <c r="F1461" s="334" t="s">
        <v>5908</v>
      </c>
      <c r="G1461" s="327" t="s">
        <v>8734</v>
      </c>
      <c r="H1461" s="328" t="s">
        <v>7268</v>
      </c>
      <c r="I1461" s="378">
        <v>71555</v>
      </c>
      <c r="J1461" s="379">
        <v>5609</v>
      </c>
      <c r="K1461" s="459"/>
      <c r="L1461" s="460"/>
      <c r="M1461" s="417"/>
    </row>
    <row r="1462" spans="1:13" ht="15" customHeight="1">
      <c r="A1462" s="325"/>
      <c r="B1462" s="326" t="s">
        <v>1594</v>
      </c>
      <c r="D1462" s="326" t="s">
        <v>1594</v>
      </c>
      <c r="E1462" s="359" t="s">
        <v>8726</v>
      </c>
      <c r="F1462" s="334" t="s">
        <v>5421</v>
      </c>
      <c r="G1462" s="327" t="s">
        <v>8735</v>
      </c>
      <c r="H1462" s="328" t="s">
        <v>7269</v>
      </c>
      <c r="I1462" s="378">
        <v>19808</v>
      </c>
      <c r="J1462" s="379">
        <v>1574</v>
      </c>
      <c r="K1462" s="459"/>
      <c r="L1462" s="460"/>
      <c r="M1462" s="417"/>
    </row>
    <row r="1463" spans="1:13" ht="15" customHeight="1">
      <c r="A1463" s="329"/>
      <c r="B1463" s="330" t="s">
        <v>1594</v>
      </c>
      <c r="C1463" s="331"/>
      <c r="D1463" s="330" t="s">
        <v>1594</v>
      </c>
      <c r="E1463" s="367" t="s">
        <v>8726</v>
      </c>
      <c r="F1463" s="332" t="s">
        <v>7011</v>
      </c>
      <c r="G1463" s="331" t="s">
        <v>8736</v>
      </c>
      <c r="H1463" s="320" t="s">
        <v>7270</v>
      </c>
      <c r="I1463" s="384"/>
      <c r="J1463" s="381">
        <v>0</v>
      </c>
      <c r="K1463" s="459"/>
      <c r="L1463" s="460"/>
      <c r="M1463" s="417"/>
    </row>
    <row r="1464" spans="1:13" ht="15" customHeight="1">
      <c r="A1464" s="325" t="s">
        <v>7271</v>
      </c>
      <c r="B1464" s="326" t="s">
        <v>1412</v>
      </c>
      <c r="D1464" s="326" t="s">
        <v>1594</v>
      </c>
      <c r="G1464" s="327" t="s">
        <v>1594</v>
      </c>
      <c r="H1464" s="352" t="s">
        <v>7272</v>
      </c>
      <c r="I1464" s="378"/>
      <c r="J1464" s="379"/>
      <c r="K1464" s="459"/>
      <c r="L1464" s="460"/>
      <c r="M1464" s="417"/>
    </row>
    <row r="1465" spans="1:13" ht="15" customHeight="1">
      <c r="A1465" s="325"/>
      <c r="B1465" s="326" t="s">
        <v>1594</v>
      </c>
      <c r="C1465" s="327" t="s">
        <v>7273</v>
      </c>
      <c r="D1465" s="326" t="s">
        <v>8737</v>
      </c>
      <c r="E1465" s="359" t="s">
        <v>8737</v>
      </c>
      <c r="F1465" s="334" t="s">
        <v>6063</v>
      </c>
      <c r="G1465" s="327" t="s">
        <v>8738</v>
      </c>
      <c r="H1465" s="328" t="s">
        <v>679</v>
      </c>
      <c r="I1465" s="378">
        <v>1339286</v>
      </c>
      <c r="J1465" s="379">
        <v>0</v>
      </c>
      <c r="K1465" s="459"/>
      <c r="L1465" s="460"/>
      <c r="M1465" s="417"/>
    </row>
    <row r="1466" spans="1:13" ht="15" customHeight="1">
      <c r="A1466" s="325"/>
      <c r="B1466" s="326" t="s">
        <v>1594</v>
      </c>
      <c r="C1466" s="327" t="s">
        <v>7274</v>
      </c>
      <c r="D1466" s="326" t="s">
        <v>8739</v>
      </c>
      <c r="E1466" s="359" t="s">
        <v>8739</v>
      </c>
      <c r="F1466" s="334" t="s">
        <v>575</v>
      </c>
      <c r="G1466" s="327" t="s">
        <v>8740</v>
      </c>
      <c r="H1466" s="328" t="s">
        <v>681</v>
      </c>
      <c r="I1466" s="378">
        <v>1526821</v>
      </c>
      <c r="J1466" s="379">
        <v>50177</v>
      </c>
      <c r="K1466" s="459"/>
      <c r="L1466" s="460"/>
      <c r="M1466" s="417"/>
    </row>
    <row r="1467" spans="1:13" ht="15" customHeight="1">
      <c r="A1467" s="325"/>
      <c r="B1467" s="326" t="s">
        <v>1594</v>
      </c>
      <c r="C1467" s="327" t="s">
        <v>7275</v>
      </c>
      <c r="D1467" s="326" t="s">
        <v>8741</v>
      </c>
      <c r="E1467" s="359" t="s">
        <v>8741</v>
      </c>
      <c r="G1467" s="327" t="s">
        <v>1594</v>
      </c>
      <c r="H1467" s="328" t="s">
        <v>682</v>
      </c>
      <c r="I1467" s="378">
        <v>73648</v>
      </c>
      <c r="J1467" s="379">
        <v>1709</v>
      </c>
      <c r="K1467" s="459"/>
      <c r="L1467" s="460"/>
      <c r="M1467" s="417"/>
    </row>
    <row r="1468" spans="1:13" ht="15" customHeight="1">
      <c r="A1468" s="325"/>
      <c r="B1468" s="326" t="s">
        <v>1594</v>
      </c>
      <c r="D1468" s="326" t="s">
        <v>1594</v>
      </c>
      <c r="E1468" s="359" t="s">
        <v>8741</v>
      </c>
      <c r="F1468" s="334" t="s">
        <v>5349</v>
      </c>
      <c r="G1468" s="327" t="s">
        <v>8742</v>
      </c>
      <c r="H1468" s="328" t="s">
        <v>7276</v>
      </c>
      <c r="I1468" s="378">
        <v>62093</v>
      </c>
      <c r="J1468" s="379">
        <v>1508</v>
      </c>
      <c r="K1468" s="459"/>
      <c r="L1468" s="460"/>
      <c r="M1468" s="417"/>
    </row>
    <row r="1469" spans="1:13" ht="15" customHeight="1">
      <c r="A1469" s="325"/>
      <c r="B1469" s="326" t="s">
        <v>1594</v>
      </c>
      <c r="D1469" s="326" t="s">
        <v>1594</v>
      </c>
      <c r="E1469" s="359" t="s">
        <v>8741</v>
      </c>
      <c r="F1469" s="334" t="s">
        <v>5327</v>
      </c>
      <c r="G1469" s="327" t="s">
        <v>8743</v>
      </c>
      <c r="H1469" s="328" t="s">
        <v>7277</v>
      </c>
      <c r="I1469" s="378">
        <v>7838</v>
      </c>
      <c r="J1469" s="379">
        <v>196</v>
      </c>
      <c r="K1469" s="459"/>
      <c r="L1469" s="460"/>
      <c r="M1469" s="417"/>
    </row>
    <row r="1470" spans="1:13" ht="15" customHeight="1">
      <c r="A1470" s="325"/>
      <c r="B1470" s="326" t="s">
        <v>1594</v>
      </c>
      <c r="D1470" s="326" t="s">
        <v>1594</v>
      </c>
      <c r="E1470" s="359" t="s">
        <v>8741</v>
      </c>
      <c r="F1470" s="334" t="s">
        <v>5329</v>
      </c>
      <c r="G1470" s="327" t="s">
        <v>8744</v>
      </c>
      <c r="H1470" s="328" t="s">
        <v>7278</v>
      </c>
      <c r="I1470" s="378">
        <v>3717</v>
      </c>
      <c r="J1470" s="379">
        <v>5</v>
      </c>
      <c r="K1470" s="459"/>
      <c r="L1470" s="460"/>
      <c r="M1470" s="417"/>
    </row>
    <row r="1471" spans="1:13" ht="15" customHeight="1">
      <c r="A1471" s="325"/>
      <c r="B1471" s="326" t="s">
        <v>1594</v>
      </c>
      <c r="C1471" s="327" t="s">
        <v>7279</v>
      </c>
      <c r="D1471" s="326" t="s">
        <v>8745</v>
      </c>
      <c r="E1471" s="367" t="s">
        <v>8745</v>
      </c>
      <c r="F1471" s="334" t="s">
        <v>36</v>
      </c>
      <c r="G1471" s="327" t="s">
        <v>8746</v>
      </c>
      <c r="H1471" s="328" t="s">
        <v>683</v>
      </c>
      <c r="I1471" s="378">
        <v>43282</v>
      </c>
      <c r="J1471" s="379">
        <v>0</v>
      </c>
      <c r="K1471" s="459"/>
      <c r="L1471" s="460"/>
      <c r="M1471" s="417"/>
    </row>
    <row r="1472" spans="1:13" ht="15" customHeight="1">
      <c r="A1472" s="321" t="s">
        <v>7280</v>
      </c>
      <c r="B1472" s="322" t="s">
        <v>1414</v>
      </c>
      <c r="C1472" s="323" t="s">
        <v>7281</v>
      </c>
      <c r="D1472" s="322" t="s">
        <v>8747</v>
      </c>
      <c r="E1472" s="359" t="s">
        <v>8747</v>
      </c>
      <c r="F1472" s="366"/>
      <c r="G1472" s="323"/>
      <c r="H1472" s="324" t="s">
        <v>7282</v>
      </c>
      <c r="I1472" s="376"/>
      <c r="J1472" s="377">
        <v>40412</v>
      </c>
      <c r="K1472" s="459"/>
      <c r="L1472" s="460"/>
      <c r="M1472" s="417"/>
    </row>
    <row r="1473" spans="1:13" ht="15" customHeight="1">
      <c r="A1473" s="325"/>
      <c r="D1473" s="326" t="s">
        <v>1594</v>
      </c>
      <c r="E1473" s="359" t="s">
        <v>8747</v>
      </c>
      <c r="F1473" s="334" t="s">
        <v>5349</v>
      </c>
      <c r="G1473" s="327" t="s">
        <v>8748</v>
      </c>
      <c r="H1473" s="328" t="s">
        <v>7283</v>
      </c>
      <c r="I1473" s="378">
        <v>940675</v>
      </c>
      <c r="J1473" s="379">
        <v>40389</v>
      </c>
      <c r="K1473" s="459"/>
      <c r="L1473" s="460"/>
      <c r="M1473" s="417"/>
    </row>
    <row r="1474" spans="1:13" ht="15" customHeight="1">
      <c r="A1474" s="329"/>
      <c r="B1474" s="330"/>
      <c r="C1474" s="331"/>
      <c r="D1474" s="330" t="s">
        <v>1594</v>
      </c>
      <c r="E1474" s="367" t="s">
        <v>8747</v>
      </c>
      <c r="F1474" s="332" t="s">
        <v>5327</v>
      </c>
      <c r="G1474" s="331" t="s">
        <v>8749</v>
      </c>
      <c r="H1474" s="320" t="s">
        <v>7284</v>
      </c>
      <c r="I1474" s="384">
        <v>535</v>
      </c>
      <c r="J1474" s="381">
        <v>23</v>
      </c>
      <c r="K1474" s="459"/>
      <c r="L1474" s="460"/>
      <c r="M1474" s="417"/>
    </row>
    <row r="1475" spans="1:13" ht="15" customHeight="1">
      <c r="A1475" s="325" t="s">
        <v>7285</v>
      </c>
      <c r="B1475" s="326" t="s">
        <v>1416</v>
      </c>
      <c r="C1475" s="327" t="s">
        <v>7286</v>
      </c>
      <c r="D1475" s="326" t="s">
        <v>8750</v>
      </c>
      <c r="E1475" s="359" t="s">
        <v>8750</v>
      </c>
      <c r="G1475" s="327" t="s">
        <v>1594</v>
      </c>
      <c r="H1475" s="328" t="s">
        <v>687</v>
      </c>
      <c r="I1475" s="378"/>
      <c r="J1475" s="379">
        <v>115064</v>
      </c>
      <c r="K1475" s="459"/>
      <c r="L1475" s="460"/>
      <c r="M1475" s="417"/>
    </row>
    <row r="1476" spans="1:13" ht="15" customHeight="1">
      <c r="A1476" s="325"/>
      <c r="B1476" s="326" t="s">
        <v>1594</v>
      </c>
      <c r="D1476" s="326" t="s">
        <v>1594</v>
      </c>
      <c r="E1476" s="359" t="s">
        <v>8750</v>
      </c>
      <c r="F1476" s="334" t="s">
        <v>36</v>
      </c>
      <c r="G1476" s="327" t="s">
        <v>8751</v>
      </c>
      <c r="H1476" s="328" t="s">
        <v>7287</v>
      </c>
      <c r="I1476" s="378">
        <v>1602415</v>
      </c>
      <c r="J1476" s="379">
        <v>86691</v>
      </c>
      <c r="K1476" s="459"/>
      <c r="L1476" s="460"/>
      <c r="M1476" s="417"/>
    </row>
    <row r="1477" spans="1:13" ht="15" customHeight="1">
      <c r="A1477" s="325"/>
      <c r="B1477" s="326" t="s">
        <v>1594</v>
      </c>
      <c r="D1477" s="326" t="s">
        <v>1594</v>
      </c>
      <c r="E1477" s="359" t="s">
        <v>8750</v>
      </c>
      <c r="F1477" s="334" t="s">
        <v>5337</v>
      </c>
      <c r="G1477" s="327" t="s">
        <v>8752</v>
      </c>
      <c r="H1477" s="328" t="s">
        <v>7288</v>
      </c>
      <c r="I1477" s="378">
        <v>385324</v>
      </c>
      <c r="J1477" s="379">
        <v>27261</v>
      </c>
      <c r="K1477" s="459"/>
      <c r="L1477" s="460"/>
      <c r="M1477" s="417"/>
    </row>
    <row r="1478" spans="1:13" ht="15" customHeight="1">
      <c r="A1478" s="325"/>
      <c r="B1478" s="326" t="s">
        <v>1594</v>
      </c>
      <c r="D1478" s="326" t="s">
        <v>1594</v>
      </c>
      <c r="E1478" s="359" t="s">
        <v>8750</v>
      </c>
      <c r="F1478" s="334" t="s">
        <v>5339</v>
      </c>
      <c r="G1478" s="327" t="s">
        <v>8753</v>
      </c>
      <c r="H1478" s="328" t="s">
        <v>7289</v>
      </c>
      <c r="I1478" s="378">
        <v>252</v>
      </c>
      <c r="J1478" s="379">
        <v>0</v>
      </c>
      <c r="K1478" s="459"/>
      <c r="L1478" s="460"/>
      <c r="M1478" s="417"/>
    </row>
    <row r="1479" spans="1:13" ht="15" customHeight="1">
      <c r="A1479" s="325"/>
      <c r="B1479" s="326" t="s">
        <v>1594</v>
      </c>
      <c r="D1479" s="326" t="s">
        <v>1594</v>
      </c>
      <c r="E1479" s="359" t="s">
        <v>8750</v>
      </c>
      <c r="F1479" s="334" t="s">
        <v>5593</v>
      </c>
      <c r="G1479" s="327" t="s">
        <v>8754</v>
      </c>
      <c r="H1479" s="328" t="s">
        <v>7290</v>
      </c>
      <c r="I1479" s="378">
        <v>56430</v>
      </c>
      <c r="J1479" s="379">
        <v>740</v>
      </c>
      <c r="K1479" s="459"/>
      <c r="L1479" s="460"/>
      <c r="M1479" s="417"/>
    </row>
    <row r="1480" spans="1:13" ht="15" customHeight="1">
      <c r="A1480" s="325"/>
      <c r="B1480" s="326" t="s">
        <v>1594</v>
      </c>
      <c r="D1480" s="326" t="s">
        <v>1594</v>
      </c>
      <c r="E1480" s="367" t="s">
        <v>8750</v>
      </c>
      <c r="F1480" s="334" t="s">
        <v>7227</v>
      </c>
      <c r="G1480" s="327" t="s">
        <v>8755</v>
      </c>
      <c r="H1480" s="328" t="s">
        <v>7291</v>
      </c>
      <c r="I1480" s="378">
        <v>6106</v>
      </c>
      <c r="J1480" s="379">
        <v>372</v>
      </c>
      <c r="K1480" s="459"/>
      <c r="L1480" s="460"/>
      <c r="M1480" s="417"/>
    </row>
    <row r="1481" spans="1:13" ht="15" customHeight="1">
      <c r="A1481" s="338" t="s">
        <v>7292</v>
      </c>
      <c r="B1481" s="339" t="s">
        <v>1418</v>
      </c>
      <c r="C1481" s="340" t="s">
        <v>7293</v>
      </c>
      <c r="D1481" s="339" t="s">
        <v>8756</v>
      </c>
      <c r="E1481" s="369" t="s">
        <v>8756</v>
      </c>
      <c r="F1481" s="350" t="s">
        <v>36</v>
      </c>
      <c r="G1481" s="340" t="s">
        <v>8757</v>
      </c>
      <c r="H1481" s="341" t="s">
        <v>689</v>
      </c>
      <c r="I1481" s="385">
        <v>1055325</v>
      </c>
      <c r="J1481" s="383">
        <v>45788</v>
      </c>
      <c r="K1481" s="459"/>
      <c r="L1481" s="460"/>
      <c r="M1481" s="417"/>
    </row>
    <row r="1482" spans="1:13" ht="15" customHeight="1">
      <c r="A1482" s="325" t="s">
        <v>7294</v>
      </c>
      <c r="B1482" s="326" t="s">
        <v>1420</v>
      </c>
      <c r="C1482" s="327" t="s">
        <v>7295</v>
      </c>
      <c r="D1482" s="326" t="s">
        <v>8758</v>
      </c>
      <c r="E1482" s="359" t="s">
        <v>8758</v>
      </c>
      <c r="G1482" s="327" t="s">
        <v>1594</v>
      </c>
      <c r="H1482" s="328" t="s">
        <v>691</v>
      </c>
      <c r="I1482" s="378"/>
      <c r="J1482" s="379">
        <v>203057</v>
      </c>
      <c r="K1482" s="459"/>
      <c r="L1482" s="460"/>
      <c r="M1482" s="417"/>
    </row>
    <row r="1483" spans="1:13" ht="15" customHeight="1">
      <c r="A1483" s="325"/>
      <c r="B1483" s="326" t="s">
        <v>1594</v>
      </c>
      <c r="D1483" s="326" t="s">
        <v>1594</v>
      </c>
      <c r="E1483" s="359" t="s">
        <v>8758</v>
      </c>
      <c r="F1483" s="334" t="s">
        <v>575</v>
      </c>
      <c r="G1483" s="327" t="s">
        <v>8759</v>
      </c>
      <c r="H1483" s="328" t="s">
        <v>7296</v>
      </c>
      <c r="I1483" s="378"/>
      <c r="J1483" s="379">
        <v>81613</v>
      </c>
      <c r="K1483" s="459"/>
      <c r="L1483" s="460"/>
      <c r="M1483" s="417"/>
    </row>
    <row r="1484" spans="1:13" ht="15" customHeight="1">
      <c r="A1484" s="325"/>
      <c r="B1484" s="326" t="s">
        <v>1594</v>
      </c>
      <c r="D1484" s="326" t="s">
        <v>1594</v>
      </c>
      <c r="E1484" s="359" t="s">
        <v>8758</v>
      </c>
      <c r="F1484" s="334" t="s">
        <v>5359</v>
      </c>
      <c r="G1484" s="327" t="s">
        <v>8760</v>
      </c>
      <c r="H1484" s="328" t="s">
        <v>7297</v>
      </c>
      <c r="I1484" s="378"/>
      <c r="J1484" s="379">
        <v>51306</v>
      </c>
      <c r="K1484" s="459"/>
      <c r="L1484" s="460"/>
      <c r="M1484" s="417"/>
    </row>
    <row r="1485" spans="1:13" ht="15" customHeight="1">
      <c r="A1485" s="325"/>
      <c r="B1485" s="326" t="s">
        <v>1594</v>
      </c>
      <c r="D1485" s="326" t="s">
        <v>1594</v>
      </c>
      <c r="E1485" s="359" t="s">
        <v>8758</v>
      </c>
      <c r="F1485" s="334" t="s">
        <v>5361</v>
      </c>
      <c r="G1485" s="327" t="s">
        <v>8761</v>
      </c>
      <c r="H1485" s="328" t="s">
        <v>7298</v>
      </c>
      <c r="I1485" s="378"/>
      <c r="J1485" s="379">
        <v>26514</v>
      </c>
      <c r="K1485" s="459"/>
      <c r="L1485" s="460"/>
      <c r="M1485" s="417"/>
    </row>
    <row r="1486" spans="1:13" ht="15" customHeight="1">
      <c r="A1486" s="325"/>
      <c r="B1486" s="326" t="s">
        <v>1594</v>
      </c>
      <c r="D1486" s="326" t="s">
        <v>1594</v>
      </c>
      <c r="E1486" s="359" t="s">
        <v>8758</v>
      </c>
      <c r="F1486" s="334" t="s">
        <v>5363</v>
      </c>
      <c r="G1486" s="327" t="s">
        <v>8762</v>
      </c>
      <c r="H1486" s="328" t="s">
        <v>7299</v>
      </c>
      <c r="I1486" s="378"/>
      <c r="J1486" s="379">
        <v>13509</v>
      </c>
      <c r="K1486" s="459"/>
      <c r="L1486" s="460"/>
      <c r="M1486" s="417"/>
    </row>
    <row r="1487" spans="1:13" ht="15" customHeight="1">
      <c r="A1487" s="325"/>
      <c r="B1487" s="326" t="s">
        <v>1594</v>
      </c>
      <c r="D1487" s="326" t="s">
        <v>1594</v>
      </c>
      <c r="E1487" s="359" t="s">
        <v>8758</v>
      </c>
      <c r="F1487" s="334" t="s">
        <v>5365</v>
      </c>
      <c r="G1487" s="327" t="s">
        <v>8763</v>
      </c>
      <c r="H1487" s="328" t="s">
        <v>7300</v>
      </c>
      <c r="I1487" s="378">
        <v>4489</v>
      </c>
      <c r="J1487" s="379">
        <v>367</v>
      </c>
      <c r="K1487" s="459"/>
      <c r="L1487" s="460"/>
      <c r="M1487" s="417"/>
    </row>
    <row r="1488" spans="1:13" ht="15" customHeight="1">
      <c r="A1488" s="325"/>
      <c r="B1488" s="326" t="s">
        <v>1594</v>
      </c>
      <c r="D1488" s="326" t="s">
        <v>1594</v>
      </c>
      <c r="E1488" s="359" t="s">
        <v>8758</v>
      </c>
      <c r="F1488" s="334" t="s">
        <v>5383</v>
      </c>
      <c r="G1488" s="327" t="s">
        <v>8764</v>
      </c>
      <c r="H1488" s="328" t="s">
        <v>7301</v>
      </c>
      <c r="I1488" s="378">
        <v>695971</v>
      </c>
      <c r="J1488" s="379">
        <v>29748</v>
      </c>
      <c r="K1488" s="459"/>
      <c r="L1488" s="460"/>
      <c r="M1488" s="417"/>
    </row>
    <row r="1489" spans="1:13" ht="15" customHeight="1">
      <c r="A1489" s="325"/>
      <c r="B1489" s="326" t="s">
        <v>1594</v>
      </c>
      <c r="D1489" s="326" t="s">
        <v>1594</v>
      </c>
      <c r="E1489" s="359" t="s">
        <v>8758</v>
      </c>
      <c r="F1489" s="334" t="s">
        <v>5421</v>
      </c>
      <c r="G1489" s="327" t="s">
        <v>8765</v>
      </c>
      <c r="H1489" s="328" t="s">
        <v>7302</v>
      </c>
      <c r="I1489" s="378"/>
      <c r="J1489" s="379">
        <v>0</v>
      </c>
      <c r="K1489" s="459"/>
      <c r="L1489" s="460"/>
      <c r="M1489" s="417"/>
    </row>
    <row r="1490" spans="1:13" ht="15" customHeight="1">
      <c r="A1490" s="321" t="s">
        <v>7303</v>
      </c>
      <c r="B1490" s="322" t="s">
        <v>1422</v>
      </c>
      <c r="C1490" s="323" t="s">
        <v>7304</v>
      </c>
      <c r="D1490" s="322" t="s">
        <v>8766</v>
      </c>
      <c r="E1490" s="365" t="s">
        <v>8766</v>
      </c>
      <c r="F1490" s="366"/>
      <c r="G1490" s="323" t="s">
        <v>1594</v>
      </c>
      <c r="H1490" s="324" t="s">
        <v>692</v>
      </c>
      <c r="I1490" s="376"/>
      <c r="J1490" s="377">
        <v>7243</v>
      </c>
      <c r="K1490" s="459"/>
      <c r="L1490" s="460"/>
      <c r="M1490" s="417"/>
    </row>
    <row r="1491" spans="1:13" ht="15" customHeight="1">
      <c r="A1491" s="325"/>
      <c r="B1491" s="326" t="s">
        <v>1594</v>
      </c>
      <c r="D1491" s="326" t="s">
        <v>1594</v>
      </c>
      <c r="E1491" s="359" t="s">
        <v>8766</v>
      </c>
      <c r="F1491" s="334" t="s">
        <v>575</v>
      </c>
      <c r="G1491" s="327" t="s">
        <v>8767</v>
      </c>
      <c r="H1491" s="328" t="s">
        <v>7305</v>
      </c>
      <c r="I1491" s="378">
        <v>9950</v>
      </c>
      <c r="J1491" s="379">
        <v>730</v>
      </c>
      <c r="K1491" s="459"/>
      <c r="L1491" s="460"/>
      <c r="M1491" s="417"/>
    </row>
    <row r="1492" spans="1:13" ht="15" customHeight="1">
      <c r="A1492" s="325"/>
      <c r="B1492" s="326" t="s">
        <v>1594</v>
      </c>
      <c r="D1492" s="326" t="s">
        <v>1594</v>
      </c>
      <c r="E1492" s="359" t="s">
        <v>8766</v>
      </c>
      <c r="F1492" s="334" t="s">
        <v>5359</v>
      </c>
      <c r="G1492" s="327" t="s">
        <v>8768</v>
      </c>
      <c r="H1492" s="328" t="s">
        <v>7306</v>
      </c>
      <c r="I1492" s="378">
        <v>12438</v>
      </c>
      <c r="J1492" s="379">
        <v>912</v>
      </c>
      <c r="K1492" s="459"/>
      <c r="L1492" s="460"/>
      <c r="M1492" s="417"/>
    </row>
    <row r="1493" spans="1:13" ht="15" customHeight="1">
      <c r="A1493" s="325"/>
      <c r="B1493" s="326" t="s">
        <v>1594</v>
      </c>
      <c r="D1493" s="326" t="s">
        <v>1594</v>
      </c>
      <c r="E1493" s="359" t="s">
        <v>8766</v>
      </c>
      <c r="F1493" s="334" t="s">
        <v>5383</v>
      </c>
      <c r="G1493" s="327" t="s">
        <v>8769</v>
      </c>
      <c r="H1493" s="328" t="s">
        <v>7307</v>
      </c>
      <c r="I1493" s="378">
        <v>57809</v>
      </c>
      <c r="J1493" s="379">
        <v>4484</v>
      </c>
      <c r="K1493" s="459"/>
      <c r="L1493" s="460"/>
      <c r="M1493" s="417"/>
    </row>
    <row r="1494" spans="1:13" ht="15" customHeight="1">
      <c r="A1494" s="325"/>
      <c r="B1494" s="326" t="s">
        <v>1594</v>
      </c>
      <c r="D1494" s="326" t="s">
        <v>1594</v>
      </c>
      <c r="E1494" s="359" t="s">
        <v>8766</v>
      </c>
      <c r="F1494" s="334" t="s">
        <v>5385</v>
      </c>
      <c r="G1494" s="327" t="s">
        <v>8770</v>
      </c>
      <c r="H1494" s="328" t="s">
        <v>7308</v>
      </c>
      <c r="I1494" s="378">
        <v>8184</v>
      </c>
      <c r="J1494" s="379">
        <v>386</v>
      </c>
      <c r="K1494" s="459"/>
      <c r="L1494" s="460"/>
      <c r="M1494" s="417"/>
    </row>
    <row r="1495" spans="1:13" ht="15" customHeight="1">
      <c r="A1495" s="329"/>
      <c r="B1495" s="330" t="s">
        <v>1594</v>
      </c>
      <c r="C1495" s="331"/>
      <c r="D1495" s="330" t="s">
        <v>1594</v>
      </c>
      <c r="E1495" s="367" t="s">
        <v>8766</v>
      </c>
      <c r="F1495" s="332" t="s">
        <v>5906</v>
      </c>
      <c r="G1495" s="331" t="s">
        <v>8771</v>
      </c>
      <c r="H1495" s="320" t="s">
        <v>7309</v>
      </c>
      <c r="I1495" s="384">
        <v>9424</v>
      </c>
      <c r="J1495" s="381">
        <v>731</v>
      </c>
      <c r="K1495" s="459"/>
      <c r="L1495" s="460"/>
      <c r="M1495" s="417"/>
    </row>
    <row r="1496" spans="1:13" ht="15" customHeight="1">
      <c r="A1496" s="321" t="s">
        <v>7310</v>
      </c>
      <c r="B1496" s="322" t="s">
        <v>1424</v>
      </c>
      <c r="C1496" s="323" t="s">
        <v>7311</v>
      </c>
      <c r="D1496" s="322" t="s">
        <v>8772</v>
      </c>
      <c r="E1496" s="365" t="s">
        <v>8772</v>
      </c>
      <c r="F1496" s="366"/>
      <c r="G1496" s="323" t="s">
        <v>1594</v>
      </c>
      <c r="H1496" s="324" t="s">
        <v>693</v>
      </c>
      <c r="I1496" s="376"/>
      <c r="J1496" s="377">
        <v>9944</v>
      </c>
      <c r="K1496" s="459"/>
      <c r="L1496" s="460"/>
      <c r="M1496" s="417"/>
    </row>
    <row r="1497" spans="1:13" ht="15" customHeight="1">
      <c r="A1497" s="325"/>
      <c r="B1497" s="326" t="s">
        <v>1594</v>
      </c>
      <c r="D1497" s="326" t="s">
        <v>1594</v>
      </c>
      <c r="E1497" s="359" t="s">
        <v>8772</v>
      </c>
      <c r="F1497" s="334" t="s">
        <v>7312</v>
      </c>
      <c r="G1497" s="327" t="s">
        <v>8773</v>
      </c>
      <c r="H1497" s="328" t="s">
        <v>7313</v>
      </c>
      <c r="I1497" s="378">
        <v>61835</v>
      </c>
      <c r="J1497" s="379">
        <v>5423</v>
      </c>
      <c r="K1497" s="459"/>
      <c r="L1497" s="460"/>
      <c r="M1497" s="417"/>
    </row>
    <row r="1498" spans="1:13" ht="15" customHeight="1">
      <c r="A1498" s="329"/>
      <c r="B1498" s="330" t="s">
        <v>1594</v>
      </c>
      <c r="C1498" s="331"/>
      <c r="D1498" s="330" t="s">
        <v>1594</v>
      </c>
      <c r="E1498" s="367" t="s">
        <v>8772</v>
      </c>
      <c r="F1498" s="332" t="s">
        <v>7203</v>
      </c>
      <c r="G1498" s="331" t="s">
        <v>8774</v>
      </c>
      <c r="H1498" s="320" t="s">
        <v>7314</v>
      </c>
      <c r="I1498" s="384">
        <v>51548</v>
      </c>
      <c r="J1498" s="381">
        <v>4521</v>
      </c>
      <c r="K1498" s="459"/>
      <c r="L1498" s="460"/>
      <c r="M1498" s="417"/>
    </row>
    <row r="1499" spans="1:13" ht="15" customHeight="1">
      <c r="A1499" s="325" t="s">
        <v>7315</v>
      </c>
      <c r="B1499" s="326" t="s">
        <v>1426</v>
      </c>
      <c r="C1499" s="327" t="s">
        <v>7316</v>
      </c>
      <c r="D1499" s="326" t="s">
        <v>8775</v>
      </c>
      <c r="E1499" s="359" t="s">
        <v>8775</v>
      </c>
      <c r="G1499" s="327" t="s">
        <v>1594</v>
      </c>
      <c r="H1499" s="328" t="s">
        <v>7317</v>
      </c>
      <c r="I1499" s="378"/>
      <c r="J1499" s="379">
        <v>4934</v>
      </c>
      <c r="K1499" s="459"/>
      <c r="L1499" s="460"/>
      <c r="M1499" s="417"/>
    </row>
    <row r="1500" spans="1:13" ht="15" customHeight="1">
      <c r="A1500" s="325"/>
      <c r="B1500" s="326" t="s">
        <v>1594</v>
      </c>
      <c r="D1500" s="326" t="s">
        <v>1594</v>
      </c>
      <c r="E1500" s="359" t="s">
        <v>8775</v>
      </c>
      <c r="F1500" s="334" t="s">
        <v>36</v>
      </c>
      <c r="G1500" s="327" t="s">
        <v>8776</v>
      </c>
      <c r="H1500" s="328" t="s">
        <v>7318</v>
      </c>
      <c r="I1500" s="378">
        <v>27668</v>
      </c>
      <c r="J1500" s="379">
        <v>3448</v>
      </c>
      <c r="K1500" s="459"/>
      <c r="L1500" s="460"/>
      <c r="M1500" s="417"/>
    </row>
    <row r="1501" spans="1:13" ht="15" customHeight="1">
      <c r="A1501" s="325"/>
      <c r="B1501" s="326" t="s">
        <v>1594</v>
      </c>
      <c r="D1501" s="326" t="s">
        <v>1594</v>
      </c>
      <c r="E1501" s="359" t="s">
        <v>8775</v>
      </c>
      <c r="F1501" s="334" t="s">
        <v>5337</v>
      </c>
      <c r="G1501" s="327" t="s">
        <v>8777</v>
      </c>
      <c r="H1501" s="328" t="s">
        <v>7319</v>
      </c>
      <c r="I1501" s="378">
        <v>31188</v>
      </c>
      <c r="J1501" s="379">
        <v>1167</v>
      </c>
      <c r="K1501" s="459"/>
      <c r="L1501" s="460"/>
      <c r="M1501" s="417"/>
    </row>
    <row r="1502" spans="1:13" ht="15" customHeight="1">
      <c r="A1502" s="325"/>
      <c r="B1502" s="326" t="s">
        <v>1594</v>
      </c>
      <c r="D1502" s="326" t="s">
        <v>1594</v>
      </c>
      <c r="E1502" s="359" t="s">
        <v>8775</v>
      </c>
      <c r="F1502" s="334" t="s">
        <v>5339</v>
      </c>
      <c r="G1502" s="327" t="s">
        <v>8778</v>
      </c>
      <c r="H1502" s="328" t="s">
        <v>7320</v>
      </c>
      <c r="I1502" s="378">
        <v>3595</v>
      </c>
      <c r="J1502" s="379">
        <v>134</v>
      </c>
      <c r="K1502" s="459"/>
      <c r="L1502" s="460"/>
      <c r="M1502" s="417"/>
    </row>
    <row r="1503" spans="1:13" ht="15" customHeight="1">
      <c r="A1503" s="325"/>
      <c r="B1503" s="326" t="s">
        <v>1594</v>
      </c>
      <c r="D1503" s="326" t="s">
        <v>1594</v>
      </c>
      <c r="E1503" s="359" t="s">
        <v>8775</v>
      </c>
      <c r="F1503" s="334" t="s">
        <v>5593</v>
      </c>
      <c r="G1503" s="327" t="s">
        <v>8779</v>
      </c>
      <c r="H1503" s="328" t="s">
        <v>7321</v>
      </c>
      <c r="I1503" s="378">
        <v>2657</v>
      </c>
      <c r="J1503" s="379">
        <v>99</v>
      </c>
      <c r="K1503" s="459"/>
      <c r="L1503" s="460"/>
      <c r="M1503" s="417"/>
    </row>
    <row r="1504" spans="1:13" ht="15" customHeight="1">
      <c r="A1504" s="325"/>
      <c r="B1504" s="326" t="s">
        <v>1594</v>
      </c>
      <c r="D1504" s="326" t="s">
        <v>1594</v>
      </c>
      <c r="E1504" s="359" t="s">
        <v>8775</v>
      </c>
      <c r="F1504" s="334" t="s">
        <v>7227</v>
      </c>
      <c r="G1504" s="327" t="s">
        <v>8780</v>
      </c>
      <c r="H1504" s="328" t="s">
        <v>7322</v>
      </c>
      <c r="I1504" s="378">
        <v>2310</v>
      </c>
      <c r="J1504" s="379">
        <v>86</v>
      </c>
      <c r="K1504" s="459"/>
      <c r="L1504" s="460"/>
      <c r="M1504" s="417"/>
    </row>
    <row r="1505" spans="1:13" ht="15" customHeight="1">
      <c r="A1505" s="321" t="s">
        <v>7323</v>
      </c>
      <c r="B1505" s="322" t="s">
        <v>1428</v>
      </c>
      <c r="C1505" s="323" t="s">
        <v>7324</v>
      </c>
      <c r="D1505" s="322" t="s">
        <v>8781</v>
      </c>
      <c r="E1505" s="365" t="s">
        <v>8781</v>
      </c>
      <c r="F1505" s="366"/>
      <c r="G1505" s="323" t="s">
        <v>1594</v>
      </c>
      <c r="H1505" s="324" t="s">
        <v>695</v>
      </c>
      <c r="I1505" s="376"/>
      <c r="J1505" s="377">
        <v>1728</v>
      </c>
      <c r="K1505" s="459"/>
      <c r="L1505" s="460"/>
      <c r="M1505" s="417"/>
    </row>
    <row r="1506" spans="1:13" ht="15" customHeight="1">
      <c r="A1506" s="325"/>
      <c r="D1506" s="326"/>
      <c r="E1506" s="359" t="s">
        <v>8781</v>
      </c>
      <c r="F1506" s="334" t="s">
        <v>5349</v>
      </c>
      <c r="G1506" s="327" t="s">
        <v>8782</v>
      </c>
      <c r="H1506" s="328"/>
      <c r="I1506" s="378">
        <v>18404</v>
      </c>
      <c r="J1506" s="379">
        <v>1728</v>
      </c>
      <c r="K1506" s="459"/>
      <c r="L1506" s="460"/>
      <c r="M1506" s="417"/>
    </row>
    <row r="1507" spans="1:13" ht="15" customHeight="1">
      <c r="A1507" s="321" t="s">
        <v>7325</v>
      </c>
      <c r="B1507" s="322" t="s">
        <v>1430</v>
      </c>
      <c r="C1507" s="323" t="s">
        <v>7326</v>
      </c>
      <c r="D1507" s="322" t="s">
        <v>8783</v>
      </c>
      <c r="E1507" s="365" t="s">
        <v>8783</v>
      </c>
      <c r="F1507" s="366"/>
      <c r="G1507" s="323" t="s">
        <v>1594</v>
      </c>
      <c r="H1507" s="324" t="s">
        <v>697</v>
      </c>
      <c r="I1507" s="376"/>
      <c r="J1507" s="377">
        <v>10585</v>
      </c>
      <c r="K1507" s="459"/>
      <c r="L1507" s="460"/>
      <c r="M1507" s="417"/>
    </row>
    <row r="1508" spans="1:13" ht="15" customHeight="1">
      <c r="A1508" s="325"/>
      <c r="D1508" s="326"/>
      <c r="E1508" s="359" t="s">
        <v>8781</v>
      </c>
      <c r="F1508" s="334" t="s">
        <v>5349</v>
      </c>
      <c r="G1508" s="327" t="s">
        <v>8782</v>
      </c>
      <c r="H1508" s="328" t="s">
        <v>7327</v>
      </c>
      <c r="I1508" s="378">
        <v>215315</v>
      </c>
      <c r="J1508" s="379">
        <v>7897</v>
      </c>
      <c r="K1508" s="459"/>
      <c r="L1508" s="460"/>
      <c r="M1508" s="417"/>
    </row>
    <row r="1509" spans="1:13" ht="15" customHeight="1">
      <c r="A1509" s="329"/>
      <c r="B1509" s="330"/>
      <c r="C1509" s="331"/>
      <c r="D1509" s="330"/>
      <c r="E1509" s="367" t="s">
        <v>8781</v>
      </c>
      <c r="F1509" s="332" t="s">
        <v>5327</v>
      </c>
      <c r="G1509" s="331" t="s">
        <v>8784</v>
      </c>
      <c r="H1509" s="320" t="s">
        <v>7328</v>
      </c>
      <c r="I1509" s="384">
        <v>77493</v>
      </c>
      <c r="J1509" s="381">
        <v>2688</v>
      </c>
      <c r="K1509" s="459"/>
      <c r="L1509" s="460"/>
      <c r="M1509" s="417"/>
    </row>
    <row r="1510" spans="1:13" ht="15" customHeight="1">
      <c r="A1510" s="338" t="s">
        <v>7329</v>
      </c>
      <c r="B1510" s="339" t="s">
        <v>1432</v>
      </c>
      <c r="C1510" s="340" t="s">
        <v>7330</v>
      </c>
      <c r="D1510" s="339" t="s">
        <v>8785</v>
      </c>
      <c r="E1510" s="369" t="s">
        <v>8785</v>
      </c>
      <c r="F1510" s="350" t="s">
        <v>36</v>
      </c>
      <c r="G1510" s="340" t="s">
        <v>8786</v>
      </c>
      <c r="H1510" s="341" t="s">
        <v>7331</v>
      </c>
      <c r="I1510" s="385">
        <v>393354</v>
      </c>
      <c r="J1510" s="383">
        <v>6842</v>
      </c>
      <c r="K1510" s="459"/>
      <c r="L1510" s="460"/>
      <c r="M1510" s="417"/>
    </row>
    <row r="1511" spans="1:13" ht="15" customHeight="1">
      <c r="A1511" s="321" t="s">
        <v>7332</v>
      </c>
      <c r="B1511" s="322" t="s">
        <v>1434</v>
      </c>
      <c r="C1511" s="323" t="s">
        <v>7333</v>
      </c>
      <c r="D1511" s="322" t="s">
        <v>8787</v>
      </c>
      <c r="E1511" s="365" t="s">
        <v>8787</v>
      </c>
      <c r="F1511" s="366"/>
      <c r="G1511" s="323"/>
      <c r="H1511" s="342" t="s">
        <v>7334</v>
      </c>
      <c r="I1511" s="376"/>
      <c r="J1511" s="377">
        <v>52144</v>
      </c>
      <c r="K1511" s="459"/>
      <c r="L1511" s="460"/>
      <c r="M1511" s="417"/>
    </row>
    <row r="1512" spans="1:13" ht="15" customHeight="1">
      <c r="A1512" s="325"/>
      <c r="D1512" s="326"/>
      <c r="E1512" s="388" t="s">
        <v>8787</v>
      </c>
      <c r="F1512" s="389" t="s">
        <v>5349</v>
      </c>
      <c r="G1512" s="390" t="s">
        <v>8788</v>
      </c>
      <c r="H1512" s="405" t="s">
        <v>7335</v>
      </c>
      <c r="I1512" s="413">
        <v>1854986</v>
      </c>
      <c r="J1512" s="392">
        <v>46202</v>
      </c>
      <c r="K1512" s="463">
        <v>3.2</v>
      </c>
      <c r="L1512" s="464">
        <f>J1512*K1512/100</f>
        <v>1478.4639999999999</v>
      </c>
      <c r="M1512" s="417"/>
    </row>
    <row r="1513" spans="1:13" ht="15" customHeight="1">
      <c r="A1513" s="325"/>
      <c r="D1513" s="326"/>
      <c r="E1513" s="388" t="s">
        <v>8787</v>
      </c>
      <c r="F1513" s="389" t="s">
        <v>5327</v>
      </c>
      <c r="G1513" s="390" t="s">
        <v>8789</v>
      </c>
      <c r="H1513" s="405" t="s">
        <v>7336</v>
      </c>
      <c r="I1513" s="413"/>
      <c r="J1513" s="392">
        <v>26</v>
      </c>
      <c r="K1513" s="463">
        <f>K1512</f>
        <v>3.2</v>
      </c>
      <c r="L1513" s="464">
        <f>J1513*K1513/100</f>
        <v>0.83200000000000007</v>
      </c>
      <c r="M1513" s="417"/>
    </row>
    <row r="1514" spans="1:13" ht="15" customHeight="1">
      <c r="A1514" s="325"/>
      <c r="D1514" s="326"/>
      <c r="E1514" s="359" t="s">
        <v>8787</v>
      </c>
      <c r="F1514" s="334" t="s">
        <v>5329</v>
      </c>
      <c r="G1514" s="327" t="s">
        <v>8790</v>
      </c>
      <c r="H1514" s="333" t="s">
        <v>7337</v>
      </c>
      <c r="I1514" s="378"/>
      <c r="J1514" s="379">
        <v>2812</v>
      </c>
      <c r="K1514" s="459"/>
      <c r="L1514" s="460"/>
      <c r="M1514" s="417"/>
    </row>
    <row r="1515" spans="1:13" ht="15" customHeight="1">
      <c r="A1515" s="329"/>
      <c r="B1515" s="330"/>
      <c r="C1515" s="331"/>
      <c r="D1515" s="330"/>
      <c r="E1515" s="367" t="s">
        <v>8787</v>
      </c>
      <c r="F1515" s="332" t="s">
        <v>5556</v>
      </c>
      <c r="G1515" s="331" t="s">
        <v>8791</v>
      </c>
      <c r="H1515" s="344" t="s">
        <v>7338</v>
      </c>
      <c r="I1515" s="384"/>
      <c r="J1515" s="381">
        <v>3104</v>
      </c>
      <c r="K1515" s="459"/>
      <c r="L1515" s="460"/>
      <c r="M1515" s="417"/>
    </row>
    <row r="1516" spans="1:13" ht="15" customHeight="1">
      <c r="A1516" s="329" t="s">
        <v>7339</v>
      </c>
      <c r="B1516" s="330" t="s">
        <v>1436</v>
      </c>
      <c r="C1516" s="331" t="s">
        <v>7340</v>
      </c>
      <c r="D1516" s="330" t="s">
        <v>8792</v>
      </c>
      <c r="E1516" s="367" t="s">
        <v>8792</v>
      </c>
      <c r="F1516" s="332" t="s">
        <v>36</v>
      </c>
      <c r="G1516" s="331" t="s">
        <v>8793</v>
      </c>
      <c r="H1516" s="320" t="s">
        <v>7341</v>
      </c>
      <c r="I1516" s="384">
        <v>1430486</v>
      </c>
      <c r="J1516" s="381">
        <v>46176</v>
      </c>
      <c r="K1516" s="459"/>
      <c r="L1516" s="460"/>
      <c r="M1516" s="417"/>
    </row>
    <row r="1517" spans="1:13" ht="15" customHeight="1">
      <c r="A1517" s="338" t="s">
        <v>7342</v>
      </c>
      <c r="B1517" s="339" t="s">
        <v>1438</v>
      </c>
      <c r="C1517" s="340" t="s">
        <v>7343</v>
      </c>
      <c r="D1517" s="339" t="s">
        <v>8794</v>
      </c>
      <c r="E1517" s="369" t="s">
        <v>8794</v>
      </c>
      <c r="F1517" s="350" t="s">
        <v>36</v>
      </c>
      <c r="G1517" s="340" t="s">
        <v>8795</v>
      </c>
      <c r="H1517" s="341" t="s">
        <v>7344</v>
      </c>
      <c r="I1517" s="385">
        <v>7312246</v>
      </c>
      <c r="J1517" s="383">
        <v>71427</v>
      </c>
      <c r="K1517" s="459"/>
      <c r="L1517" s="460"/>
      <c r="M1517" s="417"/>
    </row>
    <row r="1518" spans="1:13" ht="15" customHeight="1">
      <c r="A1518" s="338" t="s">
        <v>7345</v>
      </c>
      <c r="B1518" s="339" t="s">
        <v>1440</v>
      </c>
      <c r="C1518" s="340" t="s">
        <v>7346</v>
      </c>
      <c r="D1518" s="339" t="s">
        <v>8796</v>
      </c>
      <c r="E1518" s="369" t="s">
        <v>8796</v>
      </c>
      <c r="F1518" s="350" t="s">
        <v>36</v>
      </c>
      <c r="G1518" s="340" t="s">
        <v>8797</v>
      </c>
      <c r="H1518" s="341" t="s">
        <v>7347</v>
      </c>
      <c r="I1518" s="385">
        <v>8544317</v>
      </c>
      <c r="J1518" s="383">
        <v>319451</v>
      </c>
      <c r="K1518" s="459"/>
      <c r="L1518" s="460"/>
      <c r="M1518" s="417"/>
    </row>
    <row r="1519" spans="1:13" ht="15" customHeight="1">
      <c r="A1519" s="338" t="s">
        <v>7348</v>
      </c>
      <c r="B1519" s="339" t="s">
        <v>8798</v>
      </c>
      <c r="C1519" s="340" t="s">
        <v>7349</v>
      </c>
      <c r="D1519" s="339" t="s">
        <v>8799</v>
      </c>
      <c r="E1519" s="369" t="s">
        <v>8799</v>
      </c>
      <c r="F1519" s="350" t="s">
        <v>36</v>
      </c>
      <c r="G1519" s="340" t="s">
        <v>8800</v>
      </c>
      <c r="H1519" s="341" t="s">
        <v>707</v>
      </c>
      <c r="I1519" s="385">
        <v>496980</v>
      </c>
      <c r="J1519" s="383">
        <v>15582</v>
      </c>
      <c r="K1519" s="459"/>
      <c r="L1519" s="460"/>
      <c r="M1519" s="417"/>
    </row>
    <row r="1520" spans="1:13" ht="15" customHeight="1">
      <c r="A1520" s="447" t="s">
        <v>7350</v>
      </c>
      <c r="B1520" s="448" t="s">
        <v>1444</v>
      </c>
      <c r="C1520" s="449" t="s">
        <v>7351</v>
      </c>
      <c r="D1520" s="448" t="s">
        <v>8801</v>
      </c>
      <c r="E1520" s="450" t="s">
        <v>8801</v>
      </c>
      <c r="F1520" s="451" t="s">
        <v>36</v>
      </c>
      <c r="G1520" s="449" t="s">
        <v>8802</v>
      </c>
      <c r="H1520" s="452" t="s">
        <v>709</v>
      </c>
      <c r="I1520" s="453">
        <v>742980</v>
      </c>
      <c r="J1520" s="454">
        <v>30131</v>
      </c>
      <c r="K1520" s="466">
        <v>6.9</v>
      </c>
      <c r="L1520" s="467">
        <f>J1520*K1520/100</f>
        <v>2079.0390000000002</v>
      </c>
      <c r="M1520" s="417"/>
    </row>
    <row r="1521" spans="1:13" ht="15" customHeight="1">
      <c r="A1521" s="447" t="s">
        <v>7352</v>
      </c>
      <c r="B1521" s="448" t="s">
        <v>1446</v>
      </c>
      <c r="C1521" s="449" t="s">
        <v>7353</v>
      </c>
      <c r="D1521" s="448" t="s">
        <v>8803</v>
      </c>
      <c r="E1521" s="450" t="s">
        <v>8803</v>
      </c>
      <c r="F1521" s="451" t="s">
        <v>36</v>
      </c>
      <c r="G1521" s="449" t="s">
        <v>8804</v>
      </c>
      <c r="H1521" s="452" t="s">
        <v>710</v>
      </c>
      <c r="I1521" s="453">
        <v>2544398</v>
      </c>
      <c r="J1521" s="454">
        <v>17164</v>
      </c>
      <c r="K1521" s="466">
        <f>K1520</f>
        <v>6.9</v>
      </c>
      <c r="L1521" s="467">
        <f t="shared" ref="L1521:L1522" si="0">J1521*K1521/100</f>
        <v>1184.316</v>
      </c>
      <c r="M1521" s="417"/>
    </row>
    <row r="1522" spans="1:13" ht="15" customHeight="1">
      <c r="A1522" s="447" t="s">
        <v>7354</v>
      </c>
      <c r="B1522" s="448" t="s">
        <v>1448</v>
      </c>
      <c r="C1522" s="449" t="s">
        <v>7355</v>
      </c>
      <c r="D1522" s="448" t="s">
        <v>8805</v>
      </c>
      <c r="E1522" s="450" t="s">
        <v>8805</v>
      </c>
      <c r="F1522" s="451" t="s">
        <v>36</v>
      </c>
      <c r="G1522" s="449" t="s">
        <v>8806</v>
      </c>
      <c r="H1522" s="452" t="s">
        <v>711</v>
      </c>
      <c r="I1522" s="453">
        <v>1437061</v>
      </c>
      <c r="J1522" s="454">
        <v>353</v>
      </c>
      <c r="K1522" s="466">
        <f>K1520</f>
        <v>6.9</v>
      </c>
      <c r="L1522" s="467">
        <f t="shared" si="0"/>
        <v>24.357000000000003</v>
      </c>
      <c r="M1522" s="417"/>
    </row>
    <row r="1523" spans="1:13" ht="15" customHeight="1">
      <c r="A1523" s="325" t="s">
        <v>7356</v>
      </c>
      <c r="B1523" s="326" t="s">
        <v>1450</v>
      </c>
      <c r="D1523" s="326" t="s">
        <v>1594</v>
      </c>
      <c r="G1523" s="327" t="s">
        <v>1594</v>
      </c>
      <c r="H1523" s="328" t="s">
        <v>7357</v>
      </c>
      <c r="I1523" s="378"/>
      <c r="J1523" s="379"/>
      <c r="K1523" s="459"/>
      <c r="L1523" s="460"/>
      <c r="M1523" s="417"/>
    </row>
    <row r="1524" spans="1:13" ht="15" customHeight="1">
      <c r="A1524" s="325"/>
      <c r="B1524" s="326" t="s">
        <v>1594</v>
      </c>
      <c r="C1524" s="327" t="s">
        <v>7358</v>
      </c>
      <c r="D1524" s="326" t="s">
        <v>8807</v>
      </c>
      <c r="E1524" s="359" t="s">
        <v>8807</v>
      </c>
      <c r="G1524" s="327" t="s">
        <v>1594</v>
      </c>
      <c r="H1524" s="328" t="s">
        <v>713</v>
      </c>
      <c r="I1524" s="378"/>
      <c r="J1524" s="379">
        <v>208534</v>
      </c>
      <c r="K1524" s="459"/>
      <c r="L1524" s="460"/>
      <c r="M1524" s="417"/>
    </row>
    <row r="1525" spans="1:13" ht="15" customHeight="1">
      <c r="A1525" s="325"/>
      <c r="B1525" s="326" t="s">
        <v>1594</v>
      </c>
      <c r="D1525" s="326" t="s">
        <v>1594</v>
      </c>
      <c r="E1525" s="359" t="s">
        <v>8807</v>
      </c>
      <c r="F1525" s="334" t="s">
        <v>5349</v>
      </c>
      <c r="G1525" s="327" t="s">
        <v>8808</v>
      </c>
      <c r="H1525" s="328" t="s">
        <v>7359</v>
      </c>
      <c r="I1525" s="378"/>
      <c r="J1525" s="379">
        <v>165545</v>
      </c>
      <c r="K1525" s="459"/>
      <c r="L1525" s="460"/>
      <c r="M1525" s="417"/>
    </row>
    <row r="1526" spans="1:13" ht="15" customHeight="1">
      <c r="A1526" s="325"/>
      <c r="B1526" s="326" t="s">
        <v>1594</v>
      </c>
      <c r="D1526" s="326" t="s">
        <v>1594</v>
      </c>
      <c r="E1526" s="359" t="s">
        <v>8807</v>
      </c>
      <c r="F1526" s="334" t="s">
        <v>5337</v>
      </c>
      <c r="G1526" s="327" t="s">
        <v>8809</v>
      </c>
      <c r="H1526" s="328" t="s">
        <v>7360</v>
      </c>
      <c r="I1526" s="378"/>
      <c r="J1526" s="379">
        <v>8597</v>
      </c>
      <c r="K1526" s="459"/>
      <c r="L1526" s="460"/>
      <c r="M1526" s="417"/>
    </row>
    <row r="1527" spans="1:13" ht="15" customHeight="1">
      <c r="A1527" s="325"/>
      <c r="B1527" s="326" t="s">
        <v>1594</v>
      </c>
      <c r="D1527" s="326" t="s">
        <v>1594</v>
      </c>
      <c r="E1527" s="436" t="s">
        <v>8807</v>
      </c>
      <c r="F1527" s="437" t="s">
        <v>5339</v>
      </c>
      <c r="G1527" s="455" t="s">
        <v>8810</v>
      </c>
      <c r="H1527" s="438" t="s">
        <v>7361</v>
      </c>
      <c r="I1527" s="439"/>
      <c r="J1527" s="440">
        <v>11170</v>
      </c>
      <c r="K1527" s="466">
        <v>9.1</v>
      </c>
      <c r="L1527" s="467">
        <f>J1527*K1527/100</f>
        <v>1016.47</v>
      </c>
      <c r="M1527" s="417"/>
    </row>
    <row r="1528" spans="1:13" ht="15" customHeight="1">
      <c r="A1528" s="325"/>
      <c r="B1528" s="326" t="s">
        <v>1594</v>
      </c>
      <c r="D1528" s="326" t="s">
        <v>1594</v>
      </c>
      <c r="E1528" s="359" t="s">
        <v>8807</v>
      </c>
      <c r="F1528" s="334" t="s">
        <v>5593</v>
      </c>
      <c r="G1528" s="327" t="s">
        <v>8811</v>
      </c>
      <c r="H1528" s="328" t="s">
        <v>7362</v>
      </c>
      <c r="I1528" s="378"/>
      <c r="J1528" s="379">
        <v>3059</v>
      </c>
      <c r="K1528" s="459"/>
      <c r="L1528" s="460"/>
      <c r="M1528" s="417"/>
    </row>
    <row r="1529" spans="1:13" ht="15" customHeight="1">
      <c r="A1529" s="325"/>
      <c r="D1529" s="326"/>
      <c r="E1529" s="359" t="s">
        <v>8807</v>
      </c>
      <c r="F1529" s="334" t="s">
        <v>7227</v>
      </c>
      <c r="G1529" s="327" t="s">
        <v>8812</v>
      </c>
      <c r="H1529" s="328" t="s">
        <v>7363</v>
      </c>
      <c r="I1529" s="378"/>
      <c r="J1529" s="379">
        <v>20163</v>
      </c>
      <c r="K1529" s="459"/>
      <c r="L1529" s="460"/>
      <c r="M1529" s="417"/>
    </row>
    <row r="1530" spans="1:13" ht="15" customHeight="1">
      <c r="A1530" s="325"/>
      <c r="B1530" s="326" t="s">
        <v>1594</v>
      </c>
      <c r="C1530" s="327" t="s">
        <v>7364</v>
      </c>
      <c r="D1530" s="326" t="s">
        <v>8813</v>
      </c>
      <c r="E1530" s="359" t="s">
        <v>8813</v>
      </c>
      <c r="G1530" s="327" t="s">
        <v>1594</v>
      </c>
      <c r="H1530" s="328" t="s">
        <v>714</v>
      </c>
      <c r="I1530" s="378"/>
      <c r="J1530" s="379">
        <v>55178</v>
      </c>
      <c r="K1530" s="459"/>
      <c r="L1530" s="460"/>
      <c r="M1530" s="417"/>
    </row>
    <row r="1531" spans="1:13" ht="15" customHeight="1">
      <c r="A1531" s="325"/>
      <c r="D1531" s="326"/>
      <c r="E1531" s="359" t="s">
        <v>8807</v>
      </c>
      <c r="F1531" s="334" t="s">
        <v>5637</v>
      </c>
      <c r="G1531" s="327" t="s">
        <v>8814</v>
      </c>
      <c r="H1531" s="484" t="s">
        <v>7365</v>
      </c>
      <c r="I1531" s="378"/>
      <c r="J1531" s="379">
        <v>14910</v>
      </c>
      <c r="K1531" s="459"/>
      <c r="L1531" s="460"/>
      <c r="M1531" s="417"/>
    </row>
    <row r="1532" spans="1:13" ht="15" customHeight="1">
      <c r="A1532" s="325"/>
      <c r="D1532" s="326"/>
      <c r="E1532" s="359" t="s">
        <v>8807</v>
      </c>
      <c r="F1532" s="334" t="s">
        <v>5359</v>
      </c>
      <c r="G1532" s="327" t="s">
        <v>8815</v>
      </c>
      <c r="H1532" s="484" t="s">
        <v>7366</v>
      </c>
      <c r="I1532" s="378"/>
      <c r="J1532" s="379">
        <v>19428</v>
      </c>
      <c r="K1532" s="459"/>
      <c r="L1532" s="460"/>
      <c r="M1532" s="417"/>
    </row>
    <row r="1533" spans="1:13" ht="15" customHeight="1">
      <c r="A1533" s="325"/>
      <c r="D1533" s="326"/>
      <c r="E1533" s="359" t="s">
        <v>8807</v>
      </c>
      <c r="F1533" s="334" t="s">
        <v>5361</v>
      </c>
      <c r="G1533" s="327" t="s">
        <v>8816</v>
      </c>
      <c r="H1533" s="484" t="s">
        <v>7367</v>
      </c>
      <c r="I1533" s="378"/>
      <c r="J1533" s="379">
        <v>13155</v>
      </c>
      <c r="K1533" s="459"/>
      <c r="L1533" s="460"/>
      <c r="M1533" s="417"/>
    </row>
    <row r="1534" spans="1:13" ht="15" customHeight="1">
      <c r="A1534" s="325"/>
      <c r="B1534" s="326" t="s">
        <v>1594</v>
      </c>
      <c r="D1534" s="326" t="s">
        <v>1594</v>
      </c>
      <c r="E1534" s="359" t="s">
        <v>8813</v>
      </c>
      <c r="F1534" s="334" t="s">
        <v>5455</v>
      </c>
      <c r="G1534" s="327" t="s">
        <v>8817</v>
      </c>
      <c r="H1534" s="484" t="s">
        <v>7368</v>
      </c>
      <c r="I1534" s="378"/>
      <c r="J1534" s="379">
        <v>233</v>
      </c>
      <c r="K1534" s="459"/>
      <c r="L1534" s="460"/>
      <c r="M1534" s="417"/>
    </row>
    <row r="1535" spans="1:13" ht="15" customHeight="1">
      <c r="A1535" s="325"/>
      <c r="B1535" s="326" t="s">
        <v>1594</v>
      </c>
      <c r="D1535" s="326" t="s">
        <v>1594</v>
      </c>
      <c r="E1535" s="359" t="s">
        <v>8813</v>
      </c>
      <c r="F1535" s="334" t="s">
        <v>5457</v>
      </c>
      <c r="G1535" s="327" t="s">
        <v>8818</v>
      </c>
      <c r="H1535" s="484" t="s">
        <v>7369</v>
      </c>
      <c r="I1535" s="378"/>
      <c r="J1535" s="379">
        <v>233</v>
      </c>
      <c r="K1535" s="459"/>
      <c r="L1535" s="460"/>
      <c r="M1535" s="417"/>
    </row>
    <row r="1536" spans="1:13" ht="15" customHeight="1">
      <c r="A1536" s="325"/>
      <c r="D1536" s="326"/>
      <c r="E1536" s="359" t="s">
        <v>8813</v>
      </c>
      <c r="F1536" s="334" t="s">
        <v>5476</v>
      </c>
      <c r="G1536" s="327" t="s">
        <v>8819</v>
      </c>
      <c r="H1536" s="484" t="s">
        <v>7370</v>
      </c>
      <c r="I1536" s="378"/>
      <c r="J1536" s="379">
        <v>309</v>
      </c>
      <c r="K1536" s="459"/>
      <c r="L1536" s="460"/>
      <c r="M1536" s="417"/>
    </row>
    <row r="1537" spans="1:13" ht="15" customHeight="1">
      <c r="A1537" s="325"/>
      <c r="B1537" s="326" t="s">
        <v>1594</v>
      </c>
      <c r="D1537" s="330" t="s">
        <v>1594</v>
      </c>
      <c r="E1537" s="367" t="s">
        <v>8813</v>
      </c>
      <c r="F1537" s="334" t="s">
        <v>5777</v>
      </c>
      <c r="G1537" s="327" t="s">
        <v>8820</v>
      </c>
      <c r="H1537" s="484" t="s">
        <v>7371</v>
      </c>
      <c r="I1537" s="378"/>
      <c r="J1537" s="379">
        <v>6910</v>
      </c>
      <c r="K1537" s="459"/>
      <c r="L1537" s="460"/>
      <c r="M1537" s="417"/>
    </row>
    <row r="1538" spans="1:13" ht="15" customHeight="1">
      <c r="A1538" s="473" t="s">
        <v>7372</v>
      </c>
      <c r="B1538" s="474" t="s">
        <v>1452</v>
      </c>
      <c r="C1538" s="475" t="s">
        <v>7373</v>
      </c>
      <c r="D1538" s="456" t="s">
        <v>8821</v>
      </c>
      <c r="E1538" s="436" t="s">
        <v>8821</v>
      </c>
      <c r="F1538" s="476" t="s">
        <v>5349</v>
      </c>
      <c r="G1538" s="475" t="s">
        <v>8822</v>
      </c>
      <c r="H1538" s="485" t="s">
        <v>7374</v>
      </c>
      <c r="I1538" s="477">
        <v>3550730</v>
      </c>
      <c r="J1538" s="478">
        <v>19160</v>
      </c>
      <c r="K1538" s="466">
        <v>0.8</v>
      </c>
      <c r="L1538" s="467">
        <f>J1538*K1538/100</f>
        <v>153.28</v>
      </c>
      <c r="M1538" s="417"/>
    </row>
    <row r="1539" spans="1:13" ht="15" customHeight="1">
      <c r="A1539" s="321" t="s">
        <v>7375</v>
      </c>
      <c r="B1539" s="322"/>
      <c r="C1539" s="353" t="s">
        <v>7376</v>
      </c>
      <c r="D1539" s="322"/>
      <c r="E1539" s="365"/>
      <c r="F1539" s="366"/>
      <c r="G1539" s="323"/>
      <c r="H1539" s="342" t="s">
        <v>7377</v>
      </c>
      <c r="I1539" s="376"/>
      <c r="J1539" s="377">
        <v>11968</v>
      </c>
      <c r="K1539" s="459"/>
      <c r="L1539" s="460"/>
      <c r="M1539" s="417"/>
    </row>
    <row r="1540" spans="1:13" ht="15" customHeight="1">
      <c r="A1540" s="325"/>
      <c r="C1540" s="354"/>
      <c r="D1540" s="326"/>
      <c r="F1540" s="334" t="s">
        <v>5637</v>
      </c>
      <c r="H1540" s="328" t="s">
        <v>7378</v>
      </c>
      <c r="I1540" s="378">
        <v>422698</v>
      </c>
      <c r="J1540" s="379">
        <v>2605</v>
      </c>
      <c r="K1540" s="459"/>
      <c r="L1540" s="460"/>
      <c r="M1540" s="417"/>
    </row>
    <row r="1541" spans="1:13" ht="15" customHeight="1">
      <c r="A1541" s="325"/>
      <c r="C1541" s="354"/>
      <c r="D1541" s="326"/>
      <c r="F1541" s="334" t="s">
        <v>5657</v>
      </c>
      <c r="H1541" s="403" t="s">
        <v>7379</v>
      </c>
      <c r="I1541" s="413">
        <v>931592</v>
      </c>
      <c r="J1541" s="392">
        <v>620</v>
      </c>
      <c r="K1541" s="463">
        <f>K1547</f>
        <v>12.6</v>
      </c>
      <c r="L1541" s="464">
        <f>J1541*K1541/100</f>
        <v>78.12</v>
      </c>
      <c r="M1541" s="417"/>
    </row>
    <row r="1542" spans="1:13" ht="15" customHeight="1">
      <c r="A1542" s="325"/>
      <c r="C1542" s="354"/>
      <c r="D1542" s="326"/>
      <c r="F1542" s="334" t="s">
        <v>5659</v>
      </c>
      <c r="H1542" s="328" t="s">
        <v>7380</v>
      </c>
      <c r="I1542" s="378">
        <v>291071</v>
      </c>
      <c r="J1542" s="379">
        <v>100</v>
      </c>
      <c r="K1542" s="459"/>
      <c r="L1542" s="460"/>
      <c r="M1542" s="417"/>
    </row>
    <row r="1543" spans="1:13" ht="15" customHeight="1">
      <c r="A1543" s="325"/>
      <c r="C1543" s="354"/>
      <c r="D1543" s="326"/>
      <c r="F1543" s="334" t="s">
        <v>5661</v>
      </c>
      <c r="H1543" s="333" t="s">
        <v>7381</v>
      </c>
      <c r="I1543" s="378">
        <v>179358</v>
      </c>
      <c r="J1543" s="379">
        <v>624</v>
      </c>
      <c r="K1543" s="459"/>
      <c r="L1543" s="460"/>
      <c r="M1543" s="417"/>
    </row>
    <row r="1544" spans="1:13" ht="15" customHeight="1">
      <c r="A1544" s="325"/>
      <c r="C1544" s="354"/>
      <c r="D1544" s="326"/>
      <c r="F1544" s="334" t="s">
        <v>5455</v>
      </c>
      <c r="H1544" s="333" t="s">
        <v>7382</v>
      </c>
      <c r="I1544" s="378">
        <v>248385</v>
      </c>
      <c r="J1544" s="379">
        <v>0</v>
      </c>
      <c r="K1544" s="459"/>
      <c r="L1544" s="460"/>
      <c r="M1544" s="417"/>
    </row>
    <row r="1545" spans="1:13" ht="15" customHeight="1">
      <c r="A1545" s="325"/>
      <c r="C1545" s="354"/>
      <c r="D1545" s="326"/>
      <c r="F1545" s="334" t="s">
        <v>5455</v>
      </c>
      <c r="H1545" s="328" t="s">
        <v>7383</v>
      </c>
      <c r="I1545" s="378">
        <v>35706</v>
      </c>
      <c r="J1545" s="379">
        <v>140</v>
      </c>
      <c r="K1545" s="459"/>
      <c r="L1545" s="460"/>
      <c r="M1545" s="417"/>
    </row>
    <row r="1546" spans="1:13" ht="15" customHeight="1">
      <c r="A1546" s="325"/>
      <c r="C1546" s="354"/>
      <c r="D1546" s="326"/>
      <c r="F1546" s="334" t="s">
        <v>5476</v>
      </c>
      <c r="H1546" s="328" t="s">
        <v>7384</v>
      </c>
      <c r="I1546" s="378">
        <v>562056</v>
      </c>
      <c r="J1546" s="379">
        <v>4590</v>
      </c>
      <c r="K1546" s="459"/>
      <c r="L1546" s="460"/>
      <c r="M1546" s="417"/>
    </row>
    <row r="1547" spans="1:13" ht="15" customHeight="1">
      <c r="A1547" s="325"/>
      <c r="C1547" s="354"/>
      <c r="D1547" s="326"/>
      <c r="F1547" s="334" t="s">
        <v>5605</v>
      </c>
      <c r="H1547" s="403" t="s">
        <v>7385</v>
      </c>
      <c r="I1547" s="413">
        <v>104440</v>
      </c>
      <c r="J1547" s="392">
        <v>24</v>
      </c>
      <c r="K1547" s="463">
        <f>K1550</f>
        <v>12.6</v>
      </c>
      <c r="L1547" s="464">
        <f>J1547*K1547/100</f>
        <v>3.0239999999999996</v>
      </c>
      <c r="M1547" s="417"/>
    </row>
    <row r="1548" spans="1:13" ht="15" customHeight="1">
      <c r="A1548" s="329"/>
      <c r="B1548" s="330"/>
      <c r="C1548" s="355"/>
      <c r="D1548" s="330"/>
      <c r="E1548" s="367"/>
      <c r="F1548" s="332" t="s">
        <v>5738</v>
      </c>
      <c r="G1548" s="331"/>
      <c r="H1548" s="736" t="s">
        <v>7386</v>
      </c>
      <c r="I1548" s="494">
        <v>338380</v>
      </c>
      <c r="J1548" s="495">
        <v>3265</v>
      </c>
      <c r="K1548" s="463">
        <f>K1550</f>
        <v>12.6</v>
      </c>
      <c r="L1548" s="464">
        <f>J1548*K1548/100</f>
        <v>411.39</v>
      </c>
      <c r="M1548" s="417"/>
    </row>
    <row r="1549" spans="1:13" ht="15" customHeight="1">
      <c r="A1549" s="325" t="s">
        <v>7387</v>
      </c>
      <c r="C1549" s="354" t="s">
        <v>7388</v>
      </c>
      <c r="D1549" s="326"/>
      <c r="H1549" s="328" t="s">
        <v>7389</v>
      </c>
      <c r="I1549" s="378"/>
      <c r="J1549" s="379">
        <v>33744</v>
      </c>
      <c r="K1549" s="459"/>
      <c r="L1549" s="460"/>
      <c r="M1549" s="417"/>
    </row>
    <row r="1550" spans="1:13" ht="15" customHeight="1">
      <c r="A1550" s="325"/>
      <c r="C1550" s="354"/>
      <c r="D1550" s="326"/>
      <c r="F1550" s="334" t="s">
        <v>575</v>
      </c>
      <c r="H1550" s="403" t="s">
        <v>7390</v>
      </c>
      <c r="I1550" s="413">
        <v>1206401</v>
      </c>
      <c r="J1550" s="392">
        <v>21800</v>
      </c>
      <c r="K1550" s="463">
        <v>12.6</v>
      </c>
      <c r="L1550" s="464">
        <f>J1550*K1550/100</f>
        <v>2746.8</v>
      </c>
      <c r="M1550" s="417"/>
    </row>
    <row r="1551" spans="1:13" ht="15" customHeight="1">
      <c r="A1551" s="325"/>
      <c r="C1551" s="354"/>
      <c r="D1551" s="326"/>
      <c r="F1551" s="334" t="s">
        <v>5359</v>
      </c>
      <c r="H1551" s="403" t="s">
        <v>7391</v>
      </c>
      <c r="I1551" s="413">
        <v>204901</v>
      </c>
      <c r="J1551" s="392">
        <v>3703</v>
      </c>
      <c r="K1551" s="463">
        <f>K1550</f>
        <v>12.6</v>
      </c>
      <c r="L1551" s="464">
        <f>J1551*K1551/100</f>
        <v>466.57799999999997</v>
      </c>
      <c r="M1551" s="417"/>
    </row>
    <row r="1552" spans="1:13" ht="15" customHeight="1">
      <c r="A1552" s="329"/>
      <c r="B1552" s="330"/>
      <c r="C1552" s="355"/>
      <c r="D1552" s="330"/>
      <c r="E1552" s="367"/>
      <c r="F1552" s="332" t="s">
        <v>5383</v>
      </c>
      <c r="G1552" s="331"/>
      <c r="H1552" s="320" t="s">
        <v>7392</v>
      </c>
      <c r="I1552" s="384">
        <v>456033</v>
      </c>
      <c r="J1552" s="381">
        <v>8241</v>
      </c>
      <c r="K1552" s="459"/>
      <c r="L1552" s="460"/>
      <c r="M1552" s="417"/>
    </row>
    <row r="1553" spans="1:13" ht="15" customHeight="1">
      <c r="A1553" s="457" t="s">
        <v>7393</v>
      </c>
      <c r="B1553" s="456"/>
      <c r="C1553" s="479" t="s">
        <v>7394</v>
      </c>
      <c r="D1553" s="456"/>
      <c r="E1553" s="436"/>
      <c r="F1553" s="437"/>
      <c r="G1553" s="455"/>
      <c r="H1553" s="438" t="s">
        <v>7395</v>
      </c>
      <c r="I1553" s="439"/>
      <c r="J1553" s="440">
        <v>15798</v>
      </c>
      <c r="K1553" s="466">
        <v>8.1</v>
      </c>
      <c r="L1553" s="467">
        <f>J1553*K1553/100</f>
        <v>1279.6379999999999</v>
      </c>
      <c r="M1553" s="417"/>
    </row>
    <row r="1554" spans="1:13" ht="15" customHeight="1">
      <c r="A1554" s="325"/>
      <c r="C1554" s="354"/>
      <c r="D1554" s="326"/>
      <c r="F1554" s="334" t="s">
        <v>575</v>
      </c>
      <c r="H1554" s="328" t="s">
        <v>7396</v>
      </c>
      <c r="I1554" s="378">
        <v>1031550</v>
      </c>
      <c r="J1554" s="379">
        <v>8741</v>
      </c>
      <c r="K1554" s="459"/>
      <c r="L1554" s="460"/>
      <c r="M1554" s="417"/>
    </row>
    <row r="1555" spans="1:13" ht="15" customHeight="1">
      <c r="A1555" s="325"/>
      <c r="C1555" s="354"/>
      <c r="D1555" s="326"/>
      <c r="F1555" s="334" t="s">
        <v>5657</v>
      </c>
      <c r="H1555" s="328" t="s">
        <v>7397</v>
      </c>
      <c r="I1555" s="378">
        <v>670358</v>
      </c>
      <c r="J1555" s="379">
        <v>5680</v>
      </c>
      <c r="K1555" s="459"/>
      <c r="L1555" s="460"/>
      <c r="M1555" s="417"/>
    </row>
    <row r="1556" spans="1:13" ht="15" customHeight="1">
      <c r="A1556" s="329"/>
      <c r="B1556" s="330"/>
      <c r="C1556" s="355"/>
      <c r="D1556" s="330"/>
      <c r="E1556" s="367"/>
      <c r="F1556" s="332" t="s">
        <v>5383</v>
      </c>
      <c r="G1556" s="331"/>
      <c r="H1556" s="320" t="s">
        <v>7398</v>
      </c>
      <c r="I1556" s="384">
        <v>162548</v>
      </c>
      <c r="J1556" s="381">
        <v>1377</v>
      </c>
      <c r="K1556" s="459"/>
      <c r="L1556" s="460"/>
      <c r="M1556" s="417"/>
    </row>
    <row r="1557" spans="1:13" ht="15" customHeight="1">
      <c r="A1557" s="488" t="s">
        <v>7399</v>
      </c>
      <c r="B1557" s="489" t="s">
        <v>1460</v>
      </c>
      <c r="C1557" s="490" t="s">
        <v>7400</v>
      </c>
      <c r="D1557" s="489" t="s">
        <v>8823</v>
      </c>
      <c r="E1557" s="491" t="s">
        <v>8823</v>
      </c>
      <c r="F1557" s="492" t="s">
        <v>36</v>
      </c>
      <c r="G1557" s="490" t="s">
        <v>8824</v>
      </c>
      <c r="H1557" s="493" t="s">
        <v>722</v>
      </c>
      <c r="I1557" s="494">
        <v>13414136</v>
      </c>
      <c r="J1557" s="495">
        <v>340582</v>
      </c>
      <c r="K1557" s="463"/>
      <c r="L1557" s="464"/>
      <c r="M1557" s="417"/>
    </row>
    <row r="1558" spans="1:13" ht="15" customHeight="1">
      <c r="A1558" s="398" t="s">
        <v>7401</v>
      </c>
      <c r="B1558" s="399" t="s">
        <v>1462</v>
      </c>
      <c r="C1558" s="400" t="s">
        <v>7402</v>
      </c>
      <c r="D1558" s="399" t="s">
        <v>8825</v>
      </c>
      <c r="E1558" s="401" t="s">
        <v>8825</v>
      </c>
      <c r="F1558" s="402" t="s">
        <v>36</v>
      </c>
      <c r="G1558" s="400" t="s">
        <v>8826</v>
      </c>
      <c r="H1558" s="395" t="s">
        <v>725</v>
      </c>
      <c r="I1558" s="396">
        <v>26324899</v>
      </c>
      <c r="J1558" s="397">
        <v>877935</v>
      </c>
      <c r="K1558" s="463">
        <f>30600/I1558*100</f>
        <v>0.11623976221143337</v>
      </c>
      <c r="L1558" s="464">
        <f>J1558*K1558/100</f>
        <v>1020.5095563709475</v>
      </c>
      <c r="M1558" s="417"/>
    </row>
    <row r="1559" spans="1:13" ht="15" customHeight="1">
      <c r="A1559" s="325" t="s">
        <v>7403</v>
      </c>
      <c r="B1559" s="326" t="s">
        <v>1464</v>
      </c>
      <c r="C1559" s="327" t="s">
        <v>7404</v>
      </c>
      <c r="D1559" s="326" t="s">
        <v>8827</v>
      </c>
      <c r="E1559" s="359" t="s">
        <v>8827</v>
      </c>
      <c r="G1559" s="327" t="s">
        <v>1594</v>
      </c>
      <c r="H1559" s="328" t="s">
        <v>727</v>
      </c>
      <c r="I1559" s="378"/>
      <c r="J1559" s="379">
        <v>669404</v>
      </c>
      <c r="K1559" s="459"/>
      <c r="L1559" s="460"/>
      <c r="M1559" s="417"/>
    </row>
    <row r="1560" spans="1:13" ht="15" customHeight="1">
      <c r="A1560" s="325"/>
      <c r="B1560" s="326" t="s">
        <v>1594</v>
      </c>
      <c r="D1560" s="326" t="s">
        <v>1594</v>
      </c>
      <c r="E1560" s="359" t="s">
        <v>8827</v>
      </c>
      <c r="F1560" s="334" t="s">
        <v>575</v>
      </c>
      <c r="G1560" s="327" t="s">
        <v>8828</v>
      </c>
      <c r="H1560" s="328" t="s">
        <v>7405</v>
      </c>
      <c r="I1560" s="378">
        <v>209288</v>
      </c>
      <c r="J1560" s="379">
        <v>18506</v>
      </c>
      <c r="K1560" s="459"/>
      <c r="L1560" s="460"/>
      <c r="M1560" s="417"/>
    </row>
    <row r="1561" spans="1:13" ht="15" customHeight="1">
      <c r="A1561" s="325"/>
      <c r="B1561" s="326" t="s">
        <v>1594</v>
      </c>
      <c r="D1561" s="326" t="s">
        <v>1594</v>
      </c>
      <c r="E1561" s="388" t="s">
        <v>8827</v>
      </c>
      <c r="F1561" s="389" t="s">
        <v>5383</v>
      </c>
      <c r="G1561" s="390" t="s">
        <v>8829</v>
      </c>
      <c r="H1561" s="403" t="s">
        <v>7406</v>
      </c>
      <c r="I1561" s="413">
        <v>5672102</v>
      </c>
      <c r="J1561" s="392">
        <v>256699</v>
      </c>
      <c r="K1561" s="807">
        <v>10.1</v>
      </c>
      <c r="L1561" s="464">
        <f>J1561*K1561/100</f>
        <v>25926.598999999998</v>
      </c>
      <c r="M1561" s="417"/>
    </row>
    <row r="1562" spans="1:13" ht="15" customHeight="1">
      <c r="A1562" s="325"/>
      <c r="B1562" s="326" t="s">
        <v>1594</v>
      </c>
      <c r="D1562" s="326" t="s">
        <v>1594</v>
      </c>
      <c r="E1562" s="388" t="s">
        <v>8827</v>
      </c>
      <c r="F1562" s="389" t="s">
        <v>5421</v>
      </c>
      <c r="G1562" s="390" t="s">
        <v>8830</v>
      </c>
      <c r="H1562" s="403" t="s">
        <v>7407</v>
      </c>
      <c r="I1562" s="413">
        <v>3260139</v>
      </c>
      <c r="J1562" s="392">
        <v>145460</v>
      </c>
      <c r="K1562" s="463">
        <v>9.1999999999999993</v>
      </c>
      <c r="L1562" s="464">
        <f t="shared" ref="L1562:L1563" si="1">J1562*K1562/100</f>
        <v>13382.32</v>
      </c>
      <c r="M1562" s="417"/>
    </row>
    <row r="1563" spans="1:13" ht="15" customHeight="1">
      <c r="A1563" s="325"/>
      <c r="D1563" s="326"/>
      <c r="E1563" s="388" t="s">
        <v>8827</v>
      </c>
      <c r="F1563" s="389" t="s">
        <v>5605</v>
      </c>
      <c r="G1563" s="390" t="s">
        <v>8831</v>
      </c>
      <c r="H1563" s="403" t="s">
        <v>7408</v>
      </c>
      <c r="I1563" s="413">
        <v>2667843</v>
      </c>
      <c r="J1563" s="392">
        <v>126230</v>
      </c>
      <c r="K1563" s="463">
        <v>8.9</v>
      </c>
      <c r="L1563" s="464">
        <f t="shared" si="1"/>
        <v>11234.47</v>
      </c>
      <c r="M1563" s="417"/>
    </row>
    <row r="1564" spans="1:13" ht="15" customHeight="1">
      <c r="A1564" s="325"/>
      <c r="B1564" s="326" t="s">
        <v>1594</v>
      </c>
      <c r="D1564" s="326" t="s">
        <v>1594</v>
      </c>
      <c r="E1564" s="388" t="s">
        <v>8827</v>
      </c>
      <c r="F1564" s="389" t="s">
        <v>7409</v>
      </c>
      <c r="G1564" s="390" t="s">
        <v>8832</v>
      </c>
      <c r="H1564" s="403" t="s">
        <v>7410</v>
      </c>
      <c r="I1564" s="413">
        <v>25211</v>
      </c>
      <c r="J1564" s="392">
        <v>633</v>
      </c>
      <c r="K1564" s="463">
        <f>K1563</f>
        <v>8.9</v>
      </c>
      <c r="L1564" s="464">
        <f>J1564*K1564/100</f>
        <v>56.336999999999996</v>
      </c>
      <c r="M1564" s="417"/>
    </row>
    <row r="1565" spans="1:13" ht="15" customHeight="1">
      <c r="A1565" s="325"/>
      <c r="B1565" s="326" t="s">
        <v>1594</v>
      </c>
      <c r="D1565" s="326" t="s">
        <v>1594</v>
      </c>
      <c r="E1565" s="359" t="s">
        <v>8827</v>
      </c>
      <c r="F1565" s="334" t="s">
        <v>5740</v>
      </c>
      <c r="G1565" s="327" t="s">
        <v>8833</v>
      </c>
      <c r="H1565" s="328" t="s">
        <v>7411</v>
      </c>
      <c r="I1565" s="378">
        <v>948384</v>
      </c>
      <c r="J1565" s="379">
        <v>37012</v>
      </c>
      <c r="K1565" s="459"/>
      <c r="L1565" s="460"/>
      <c r="M1565" s="417"/>
    </row>
    <row r="1566" spans="1:13" ht="15" customHeight="1">
      <c r="A1566" s="325"/>
      <c r="B1566" s="326" t="s">
        <v>1594</v>
      </c>
      <c r="D1566" s="326" t="s">
        <v>1594</v>
      </c>
      <c r="E1566" s="388" t="s">
        <v>8827</v>
      </c>
      <c r="F1566" s="389" t="s">
        <v>5746</v>
      </c>
      <c r="G1566" s="390" t="s">
        <v>8834</v>
      </c>
      <c r="H1566" s="403" t="s">
        <v>7412</v>
      </c>
      <c r="I1566" s="413">
        <v>2116842</v>
      </c>
      <c r="J1566" s="392">
        <v>77721</v>
      </c>
      <c r="K1566" s="463">
        <v>5.7</v>
      </c>
      <c r="L1566" s="464">
        <f>J1566*K1566/100</f>
        <v>4430.0969999999998</v>
      </c>
      <c r="M1566" s="417"/>
    </row>
    <row r="1567" spans="1:13" ht="15" customHeight="1">
      <c r="A1567" s="325"/>
      <c r="B1567" s="326" t="s">
        <v>1594</v>
      </c>
      <c r="D1567" s="326" t="s">
        <v>1594</v>
      </c>
      <c r="E1567" s="388" t="s">
        <v>8827</v>
      </c>
      <c r="F1567" s="389" t="s">
        <v>6052</v>
      </c>
      <c r="G1567" s="390" t="s">
        <v>8835</v>
      </c>
      <c r="H1567" s="403" t="s">
        <v>7413</v>
      </c>
      <c r="I1567" s="413">
        <v>17934</v>
      </c>
      <c r="J1567" s="392">
        <v>0</v>
      </c>
      <c r="K1567" s="463">
        <f>K1566</f>
        <v>5.7</v>
      </c>
      <c r="L1567" s="464">
        <f>J1567*K1567/100</f>
        <v>0</v>
      </c>
      <c r="M1567" s="417"/>
    </row>
    <row r="1568" spans="1:13" ht="15" customHeight="1">
      <c r="A1568" s="325"/>
      <c r="B1568" s="326" t="s">
        <v>1594</v>
      </c>
      <c r="D1568" s="326" t="s">
        <v>1594</v>
      </c>
      <c r="E1568" s="436" t="s">
        <v>8827</v>
      </c>
      <c r="F1568" s="437" t="s">
        <v>6054</v>
      </c>
      <c r="G1568" s="455" t="s">
        <v>8836</v>
      </c>
      <c r="H1568" s="438" t="s">
        <v>7414</v>
      </c>
      <c r="I1568" s="439">
        <v>60849</v>
      </c>
      <c r="J1568" s="440">
        <v>2331</v>
      </c>
      <c r="K1568" s="466">
        <f>K1566</f>
        <v>5.7</v>
      </c>
      <c r="L1568" s="464">
        <f>J1568*K1568/100</f>
        <v>132.86700000000002</v>
      </c>
      <c r="M1568" s="417"/>
    </row>
    <row r="1569" spans="1:13" ht="15" customHeight="1">
      <c r="A1569" s="325"/>
      <c r="B1569" s="326" t="s">
        <v>1594</v>
      </c>
      <c r="D1569" s="326" t="s">
        <v>1594</v>
      </c>
      <c r="E1569" s="359" t="s">
        <v>8827</v>
      </c>
      <c r="F1569" s="334" t="s">
        <v>5756</v>
      </c>
      <c r="G1569" s="327" t="s">
        <v>8837</v>
      </c>
      <c r="H1569" s="328" t="s">
        <v>7415</v>
      </c>
      <c r="I1569" s="378">
        <v>47948</v>
      </c>
      <c r="J1569" s="379">
        <v>1762</v>
      </c>
      <c r="K1569" s="459"/>
      <c r="L1569" s="460"/>
      <c r="M1569" s="417"/>
    </row>
    <row r="1570" spans="1:13" ht="15" customHeight="1">
      <c r="A1570" s="325"/>
      <c r="B1570" s="326" t="s">
        <v>1594</v>
      </c>
      <c r="D1570" s="326" t="s">
        <v>1594</v>
      </c>
      <c r="E1570" s="359" t="s">
        <v>8827</v>
      </c>
      <c r="F1570" s="334" t="s">
        <v>7416</v>
      </c>
      <c r="G1570" s="327" t="s">
        <v>8838</v>
      </c>
      <c r="H1570" s="328" t="s">
        <v>7417</v>
      </c>
      <c r="I1570" s="378">
        <v>435</v>
      </c>
      <c r="J1570" s="379">
        <v>0</v>
      </c>
      <c r="K1570" s="459"/>
      <c r="L1570" s="460"/>
      <c r="M1570" s="417"/>
    </row>
    <row r="1571" spans="1:13" ht="15" customHeight="1">
      <c r="A1571" s="325"/>
      <c r="D1571" s="326"/>
      <c r="E1571" s="359" t="s">
        <v>8827</v>
      </c>
      <c r="F1571" s="334" t="s">
        <v>6012</v>
      </c>
      <c r="G1571" s="327" t="s">
        <v>8839</v>
      </c>
      <c r="H1571" s="328" t="s">
        <v>7418</v>
      </c>
      <c r="I1571" s="378">
        <v>35677</v>
      </c>
      <c r="J1571" s="379">
        <v>3050</v>
      </c>
      <c r="K1571" s="459"/>
      <c r="L1571" s="460"/>
      <c r="M1571" s="417"/>
    </row>
    <row r="1572" spans="1:13" ht="15" customHeight="1">
      <c r="A1572" s="321" t="s">
        <v>7419</v>
      </c>
      <c r="B1572" s="322" t="s">
        <v>1466</v>
      </c>
      <c r="C1572" s="323" t="s">
        <v>7420</v>
      </c>
      <c r="D1572" s="322" t="s">
        <v>8840</v>
      </c>
      <c r="E1572" s="365" t="s">
        <v>8840</v>
      </c>
      <c r="F1572" s="366"/>
      <c r="G1572" s="323" t="s">
        <v>1594</v>
      </c>
      <c r="H1572" s="324" t="s">
        <v>729</v>
      </c>
      <c r="I1572" s="376"/>
      <c r="J1572" s="377">
        <v>288589</v>
      </c>
      <c r="K1572" s="459"/>
      <c r="L1572" s="460"/>
      <c r="M1572" s="417"/>
    </row>
    <row r="1573" spans="1:13" ht="15" customHeight="1">
      <c r="A1573" s="325"/>
      <c r="B1573" s="326" t="s">
        <v>1594</v>
      </c>
      <c r="D1573" s="326" t="s">
        <v>1594</v>
      </c>
      <c r="E1573" s="359" t="s">
        <v>8840</v>
      </c>
      <c r="F1573" s="334" t="s">
        <v>575</v>
      </c>
      <c r="G1573" s="327" t="s">
        <v>8841</v>
      </c>
      <c r="H1573" s="328" t="s">
        <v>7405</v>
      </c>
      <c r="I1573" s="378">
        <v>735812</v>
      </c>
      <c r="J1573" s="379">
        <v>25577</v>
      </c>
      <c r="K1573" s="459"/>
      <c r="L1573" s="460"/>
      <c r="M1573" s="417"/>
    </row>
    <row r="1574" spans="1:13" ht="15" customHeight="1">
      <c r="A1574" s="325"/>
      <c r="B1574" s="326" t="s">
        <v>1594</v>
      </c>
      <c r="D1574" s="326" t="s">
        <v>1594</v>
      </c>
      <c r="E1574" s="388" t="s">
        <v>8840</v>
      </c>
      <c r="F1574" s="389" t="s">
        <v>5383</v>
      </c>
      <c r="G1574" s="390" t="s">
        <v>8842</v>
      </c>
      <c r="H1574" s="403" t="s">
        <v>7406</v>
      </c>
      <c r="I1574" s="413">
        <v>82028</v>
      </c>
      <c r="J1574" s="392">
        <v>3792</v>
      </c>
      <c r="K1574" s="463">
        <f>K1561</f>
        <v>10.1</v>
      </c>
      <c r="L1574" s="464">
        <f>J1574*K1574/100</f>
        <v>382.99199999999996</v>
      </c>
      <c r="M1574" s="417"/>
    </row>
    <row r="1575" spans="1:13" ht="15" customHeight="1">
      <c r="A1575" s="325"/>
      <c r="B1575" s="326" t="s">
        <v>1594</v>
      </c>
      <c r="D1575" s="326" t="s">
        <v>1594</v>
      </c>
      <c r="E1575" s="388" t="s">
        <v>8840</v>
      </c>
      <c r="F1575" s="389" t="s">
        <v>5421</v>
      </c>
      <c r="G1575" s="390" t="s">
        <v>8843</v>
      </c>
      <c r="H1575" s="403" t="s">
        <v>7407</v>
      </c>
      <c r="I1575" s="413">
        <v>261082</v>
      </c>
      <c r="J1575" s="392">
        <v>13530</v>
      </c>
      <c r="K1575" s="463">
        <f>K1562</f>
        <v>9.1999999999999993</v>
      </c>
      <c r="L1575" s="464">
        <f t="shared" ref="L1575:L1577" si="2">J1575*K1575/100</f>
        <v>1244.7599999999998</v>
      </c>
      <c r="M1575" s="417"/>
    </row>
    <row r="1576" spans="1:13" ht="15" customHeight="1">
      <c r="A1576" s="325"/>
      <c r="D1576" s="326"/>
      <c r="E1576" s="388" t="s">
        <v>8840</v>
      </c>
      <c r="F1576" s="389" t="s">
        <v>5605</v>
      </c>
      <c r="G1576" s="390" t="s">
        <v>8844</v>
      </c>
      <c r="H1576" s="403" t="s">
        <v>7408</v>
      </c>
      <c r="I1576" s="413">
        <v>1072310</v>
      </c>
      <c r="J1576" s="392">
        <v>35924</v>
      </c>
      <c r="K1576" s="463">
        <f>K1563</f>
        <v>8.9</v>
      </c>
      <c r="L1576" s="464">
        <f t="shared" si="2"/>
        <v>3197.2360000000003</v>
      </c>
      <c r="M1576" s="417"/>
    </row>
    <row r="1577" spans="1:13" ht="15" customHeight="1">
      <c r="A1577" s="325"/>
      <c r="B1577" s="326" t="s">
        <v>1594</v>
      </c>
      <c r="D1577" s="326" t="s">
        <v>1594</v>
      </c>
      <c r="E1577" s="388" t="s">
        <v>8840</v>
      </c>
      <c r="F1577" s="389" t="s">
        <v>7409</v>
      </c>
      <c r="G1577" s="390" t="s">
        <v>8845</v>
      </c>
      <c r="H1577" s="403" t="s">
        <v>7410</v>
      </c>
      <c r="I1577" s="413">
        <v>10623</v>
      </c>
      <c r="J1577" s="392">
        <v>0</v>
      </c>
      <c r="K1577" s="463">
        <f>K1576</f>
        <v>8.9</v>
      </c>
      <c r="L1577" s="464">
        <f t="shared" si="2"/>
        <v>0</v>
      </c>
      <c r="M1577" s="417"/>
    </row>
    <row r="1578" spans="1:13" ht="15" customHeight="1">
      <c r="A1578" s="325"/>
      <c r="B1578" s="326" t="s">
        <v>1594</v>
      </c>
      <c r="D1578" s="326" t="s">
        <v>1594</v>
      </c>
      <c r="E1578" s="359" t="s">
        <v>8840</v>
      </c>
      <c r="F1578" s="334" t="s">
        <v>5740</v>
      </c>
      <c r="G1578" s="327" t="s">
        <v>8846</v>
      </c>
      <c r="H1578" s="328" t="s">
        <v>7411</v>
      </c>
      <c r="I1578" s="378">
        <v>3529</v>
      </c>
      <c r="J1578" s="379">
        <v>0</v>
      </c>
      <c r="K1578" s="459"/>
      <c r="L1578" s="460"/>
      <c r="M1578" s="417"/>
    </row>
    <row r="1579" spans="1:13" ht="15" customHeight="1">
      <c r="A1579" s="325"/>
      <c r="B1579" s="326" t="s">
        <v>1594</v>
      </c>
      <c r="D1579" s="326" t="s">
        <v>1594</v>
      </c>
      <c r="E1579" s="388" t="s">
        <v>8840</v>
      </c>
      <c r="F1579" s="389" t="s">
        <v>5746</v>
      </c>
      <c r="G1579" s="390" t="s">
        <v>8847</v>
      </c>
      <c r="H1579" s="403" t="s">
        <v>7412</v>
      </c>
      <c r="I1579" s="413">
        <v>3625025</v>
      </c>
      <c r="J1579" s="392">
        <v>165392</v>
      </c>
      <c r="K1579" s="463">
        <f>K1566</f>
        <v>5.7</v>
      </c>
      <c r="L1579" s="464">
        <f>J1579*K1579/100</f>
        <v>9427.344000000001</v>
      </c>
      <c r="M1579" s="417"/>
    </row>
    <row r="1580" spans="1:13" ht="15" customHeight="1">
      <c r="A1580" s="325"/>
      <c r="B1580" s="326" t="s">
        <v>1594</v>
      </c>
      <c r="D1580" s="326" t="s">
        <v>1594</v>
      </c>
      <c r="E1580" s="388" t="s">
        <v>8840</v>
      </c>
      <c r="F1580" s="389" t="s">
        <v>6052</v>
      </c>
      <c r="G1580" s="390" t="s">
        <v>8848</v>
      </c>
      <c r="H1580" s="403" t="s">
        <v>7413</v>
      </c>
      <c r="I1580" s="413">
        <v>189706</v>
      </c>
      <c r="J1580" s="392">
        <v>10463</v>
      </c>
      <c r="K1580" s="463">
        <f>K1579</f>
        <v>5.7</v>
      </c>
      <c r="L1580" s="464">
        <f t="shared" ref="L1580:L1581" si="3">J1580*K1580/100</f>
        <v>596.39099999999996</v>
      </c>
      <c r="M1580" s="417"/>
    </row>
    <row r="1581" spans="1:13" ht="15" customHeight="1">
      <c r="A1581" s="325"/>
      <c r="B1581" s="326" t="s">
        <v>1594</v>
      </c>
      <c r="D1581" s="326" t="s">
        <v>1594</v>
      </c>
      <c r="E1581" s="436" t="s">
        <v>8840</v>
      </c>
      <c r="F1581" s="437" t="s">
        <v>6054</v>
      </c>
      <c r="G1581" s="455" t="s">
        <v>8849</v>
      </c>
      <c r="H1581" s="438" t="s">
        <v>7414</v>
      </c>
      <c r="I1581" s="439">
        <v>3053</v>
      </c>
      <c r="J1581" s="440">
        <v>0</v>
      </c>
      <c r="K1581" s="466">
        <f>K1579</f>
        <v>5.7</v>
      </c>
      <c r="L1581" s="464">
        <f t="shared" si="3"/>
        <v>0</v>
      </c>
      <c r="M1581" s="417"/>
    </row>
    <row r="1582" spans="1:13" ht="15" customHeight="1">
      <c r="A1582" s="325"/>
      <c r="B1582" s="326" t="s">
        <v>1594</v>
      </c>
      <c r="D1582" s="326" t="s">
        <v>1594</v>
      </c>
      <c r="E1582" s="359" t="s">
        <v>8840</v>
      </c>
      <c r="F1582" s="334" t="s">
        <v>7104</v>
      </c>
      <c r="G1582" s="327" t="s">
        <v>8850</v>
      </c>
      <c r="H1582" s="328" t="s">
        <v>7415</v>
      </c>
      <c r="I1582" s="378">
        <v>669872</v>
      </c>
      <c r="J1582" s="379">
        <v>17846</v>
      </c>
      <c r="K1582" s="459"/>
      <c r="L1582" s="460"/>
      <c r="M1582" s="417"/>
    </row>
    <row r="1583" spans="1:13" ht="15" customHeight="1">
      <c r="A1583" s="325"/>
      <c r="B1583" s="326" t="s">
        <v>1594</v>
      </c>
      <c r="D1583" s="326" t="s">
        <v>1594</v>
      </c>
      <c r="E1583" s="359" t="s">
        <v>8840</v>
      </c>
      <c r="F1583" s="334" t="s">
        <v>7416</v>
      </c>
      <c r="G1583" s="327" t="s">
        <v>8851</v>
      </c>
      <c r="H1583" s="328" t="s">
        <v>7417</v>
      </c>
      <c r="I1583" s="378">
        <v>109010</v>
      </c>
      <c r="J1583" s="379">
        <v>6898</v>
      </c>
      <c r="K1583" s="459"/>
      <c r="L1583" s="460"/>
      <c r="M1583" s="417"/>
    </row>
    <row r="1584" spans="1:13" ht="15" customHeight="1">
      <c r="A1584" s="329"/>
      <c r="B1584" s="330"/>
      <c r="C1584" s="331"/>
      <c r="D1584" s="330"/>
      <c r="E1584" s="359" t="s">
        <v>8840</v>
      </c>
      <c r="F1584" s="332" t="s">
        <v>6012</v>
      </c>
      <c r="G1584" s="327" t="s">
        <v>8852</v>
      </c>
      <c r="H1584" s="320" t="s">
        <v>7418</v>
      </c>
      <c r="I1584" s="384">
        <v>124445</v>
      </c>
      <c r="J1584" s="381">
        <v>9167</v>
      </c>
      <c r="K1584" s="459"/>
      <c r="L1584" s="460"/>
      <c r="M1584" s="417"/>
    </row>
    <row r="1585" spans="1:13" ht="15" customHeight="1">
      <c r="A1585" s="321" t="s">
        <v>7421</v>
      </c>
      <c r="B1585" s="322" t="s">
        <v>1468</v>
      </c>
      <c r="C1585" s="323" t="s">
        <v>7422</v>
      </c>
      <c r="D1585" s="322" t="s">
        <v>8853</v>
      </c>
      <c r="E1585" s="365" t="s">
        <v>8853</v>
      </c>
      <c r="F1585" s="366" t="s">
        <v>36</v>
      </c>
      <c r="G1585" s="323" t="s">
        <v>8854</v>
      </c>
      <c r="H1585" s="324" t="s">
        <v>731</v>
      </c>
      <c r="I1585" s="376">
        <v>645586</v>
      </c>
      <c r="J1585" s="383">
        <v>25135</v>
      </c>
      <c r="K1585" s="459"/>
      <c r="L1585" s="460"/>
      <c r="M1585" s="417"/>
    </row>
    <row r="1586" spans="1:13" ht="15" customHeight="1">
      <c r="A1586" s="338" t="s">
        <v>7423</v>
      </c>
      <c r="B1586" s="339" t="s">
        <v>1470</v>
      </c>
      <c r="C1586" s="340" t="s">
        <v>7424</v>
      </c>
      <c r="D1586" s="339" t="s">
        <v>8855</v>
      </c>
      <c r="E1586" s="369" t="s">
        <v>8855</v>
      </c>
      <c r="F1586" s="350" t="s">
        <v>36</v>
      </c>
      <c r="G1586" s="340" t="s">
        <v>8856</v>
      </c>
      <c r="H1586" s="341" t="s">
        <v>732</v>
      </c>
      <c r="I1586" s="385">
        <v>6110</v>
      </c>
      <c r="J1586" s="383">
        <v>309</v>
      </c>
      <c r="K1586" s="459"/>
      <c r="L1586" s="460"/>
      <c r="M1586" s="417"/>
    </row>
    <row r="1587" spans="1:13" ht="15" customHeight="1">
      <c r="A1587" s="325" t="s">
        <v>7425</v>
      </c>
      <c r="B1587" s="326" t="s">
        <v>1472</v>
      </c>
      <c r="C1587" s="327" t="s">
        <v>7426</v>
      </c>
      <c r="D1587" s="326" t="s">
        <v>8857</v>
      </c>
      <c r="E1587" s="359" t="s">
        <v>8857</v>
      </c>
      <c r="G1587" s="327" t="s">
        <v>1594</v>
      </c>
      <c r="H1587" s="328" t="s">
        <v>734</v>
      </c>
      <c r="I1587" s="378"/>
      <c r="J1587" s="379">
        <v>21346</v>
      </c>
      <c r="K1587" s="459"/>
      <c r="L1587" s="460"/>
      <c r="M1587" s="417"/>
    </row>
    <row r="1588" spans="1:13" ht="15" customHeight="1">
      <c r="A1588" s="325"/>
      <c r="B1588" s="326" t="s">
        <v>1594</v>
      </c>
      <c r="D1588" s="326" t="s">
        <v>1594</v>
      </c>
      <c r="E1588" s="359" t="s">
        <v>8857</v>
      </c>
      <c r="F1588" s="334" t="s">
        <v>36</v>
      </c>
      <c r="G1588" s="327" t="s">
        <v>8858</v>
      </c>
      <c r="H1588" s="328" t="s">
        <v>7427</v>
      </c>
      <c r="I1588" s="378">
        <v>223580</v>
      </c>
      <c r="J1588" s="379">
        <v>6393</v>
      </c>
      <c r="K1588" s="459"/>
      <c r="L1588" s="460"/>
      <c r="M1588" s="417"/>
    </row>
    <row r="1589" spans="1:13" ht="15" customHeight="1">
      <c r="A1589" s="325"/>
      <c r="B1589" s="326" t="s">
        <v>1594</v>
      </c>
      <c r="D1589" s="326" t="s">
        <v>1594</v>
      </c>
      <c r="E1589" s="359" t="s">
        <v>8857</v>
      </c>
      <c r="F1589" s="334" t="s">
        <v>5337</v>
      </c>
      <c r="G1589" s="327" t="s">
        <v>8859</v>
      </c>
      <c r="H1589" s="328" t="s">
        <v>7428</v>
      </c>
      <c r="I1589" s="378">
        <v>250743</v>
      </c>
      <c r="J1589" s="379">
        <v>4921</v>
      </c>
      <c r="K1589" s="459"/>
      <c r="L1589" s="460"/>
      <c r="M1589" s="417"/>
    </row>
    <row r="1590" spans="1:13" ht="15" customHeight="1">
      <c r="A1590" s="325"/>
      <c r="B1590" s="326" t="s">
        <v>1594</v>
      </c>
      <c r="D1590" s="326" t="s">
        <v>1594</v>
      </c>
      <c r="E1590" s="359" t="s">
        <v>8857</v>
      </c>
      <c r="F1590" s="334" t="s">
        <v>5339</v>
      </c>
      <c r="G1590" s="327" t="s">
        <v>8860</v>
      </c>
      <c r="H1590" s="328" t="s">
        <v>7429</v>
      </c>
      <c r="I1590" s="378">
        <v>150330</v>
      </c>
      <c r="J1590" s="379">
        <v>3179</v>
      </c>
      <c r="K1590" s="459"/>
      <c r="L1590" s="460"/>
      <c r="M1590" s="417"/>
    </row>
    <row r="1591" spans="1:13" ht="15" customHeight="1">
      <c r="A1591" s="325"/>
      <c r="B1591" s="326" t="s">
        <v>1594</v>
      </c>
      <c r="D1591" s="326" t="s">
        <v>1594</v>
      </c>
      <c r="E1591" s="359" t="s">
        <v>8857</v>
      </c>
      <c r="F1591" s="334" t="s">
        <v>59</v>
      </c>
      <c r="G1591" s="327" t="s">
        <v>8861</v>
      </c>
      <c r="H1591" s="333" t="s">
        <v>7430</v>
      </c>
      <c r="I1591" s="378">
        <v>288313</v>
      </c>
      <c r="J1591" s="381">
        <v>6853</v>
      </c>
      <c r="K1591" s="459"/>
      <c r="L1591" s="460"/>
      <c r="M1591" s="417"/>
    </row>
    <row r="1592" spans="1:13" s="327" customFormat="1" ht="15" customHeight="1">
      <c r="A1592" s="321" t="s">
        <v>7431</v>
      </c>
      <c r="B1592" s="322" t="s">
        <v>1474</v>
      </c>
      <c r="C1592" s="323" t="s">
        <v>7432</v>
      </c>
      <c r="D1592" s="322" t="s">
        <v>8862</v>
      </c>
      <c r="E1592" s="365" t="s">
        <v>8862</v>
      </c>
      <c r="F1592" s="366"/>
      <c r="G1592" s="323" t="s">
        <v>1594</v>
      </c>
      <c r="H1592" s="324" t="s">
        <v>735</v>
      </c>
      <c r="I1592" s="376">
        <v>396933</v>
      </c>
      <c r="J1592" s="379">
        <v>16164</v>
      </c>
      <c r="K1592" s="461"/>
      <c r="L1592" s="462"/>
      <c r="M1592" s="328"/>
    </row>
    <row r="1593" spans="1:13" ht="15" customHeight="1">
      <c r="A1593" s="338" t="s">
        <v>7433</v>
      </c>
      <c r="B1593" s="339" t="s">
        <v>1476</v>
      </c>
      <c r="C1593" s="340" t="s">
        <v>7434</v>
      </c>
      <c r="D1593" s="339" t="s">
        <v>8863</v>
      </c>
      <c r="E1593" s="369" t="s">
        <v>8863</v>
      </c>
      <c r="F1593" s="350" t="s">
        <v>36</v>
      </c>
      <c r="G1593" s="340" t="s">
        <v>8864</v>
      </c>
      <c r="H1593" s="343" t="s">
        <v>7435</v>
      </c>
      <c r="I1593" s="385">
        <v>329212</v>
      </c>
      <c r="J1593" s="383">
        <v>10138</v>
      </c>
      <c r="K1593" s="459"/>
      <c r="L1593" s="460"/>
      <c r="M1593" s="417"/>
    </row>
    <row r="1594" spans="1:13" ht="15" customHeight="1">
      <c r="A1594" s="338" t="s">
        <v>7436</v>
      </c>
      <c r="B1594" s="339" t="s">
        <v>1478</v>
      </c>
      <c r="C1594" s="340" t="s">
        <v>7437</v>
      </c>
      <c r="D1594" s="339" t="s">
        <v>8865</v>
      </c>
      <c r="E1594" s="369" t="s">
        <v>8865</v>
      </c>
      <c r="F1594" s="350" t="s">
        <v>36</v>
      </c>
      <c r="G1594" s="340" t="s">
        <v>8866</v>
      </c>
      <c r="H1594" s="343" t="s">
        <v>737</v>
      </c>
      <c r="I1594" s="385">
        <v>780235</v>
      </c>
      <c r="J1594" s="383">
        <v>28872</v>
      </c>
      <c r="K1594" s="459"/>
      <c r="L1594" s="460"/>
      <c r="M1594" s="417"/>
    </row>
    <row r="1595" spans="1:13" ht="15" customHeight="1">
      <c r="A1595" s="398" t="s">
        <v>7438</v>
      </c>
      <c r="B1595" s="399" t="s">
        <v>1480</v>
      </c>
      <c r="C1595" s="400" t="s">
        <v>7439</v>
      </c>
      <c r="D1595" s="399" t="s">
        <v>8867</v>
      </c>
      <c r="E1595" s="401" t="s">
        <v>8867</v>
      </c>
      <c r="F1595" s="402" t="s">
        <v>6063</v>
      </c>
      <c r="G1595" s="400" t="s">
        <v>8868</v>
      </c>
      <c r="H1595" s="404" t="s">
        <v>739</v>
      </c>
      <c r="I1595" s="396">
        <v>3930806</v>
      </c>
      <c r="J1595" s="397">
        <v>94915</v>
      </c>
      <c r="K1595" s="463">
        <v>2.4</v>
      </c>
      <c r="L1595" s="464">
        <f>J1595*K1595/100</f>
        <v>2277.96</v>
      </c>
      <c r="M1595" s="417"/>
    </row>
    <row r="1596" spans="1:13" ht="15" customHeight="1">
      <c r="A1596" s="398" t="s">
        <v>7440</v>
      </c>
      <c r="B1596" s="399" t="s">
        <v>1482</v>
      </c>
      <c r="C1596" s="400" t="s">
        <v>7441</v>
      </c>
      <c r="D1596" s="399" t="s">
        <v>8869</v>
      </c>
      <c r="E1596" s="401" t="s">
        <v>8869</v>
      </c>
      <c r="F1596" s="402" t="s">
        <v>6063</v>
      </c>
      <c r="G1596" s="400" t="s">
        <v>8870</v>
      </c>
      <c r="H1596" s="404" t="s">
        <v>740</v>
      </c>
      <c r="I1596" s="396">
        <v>256621</v>
      </c>
      <c r="J1596" s="397">
        <v>6579</v>
      </c>
      <c r="K1596" s="463">
        <f>K1595</f>
        <v>2.4</v>
      </c>
      <c r="L1596" s="464">
        <f t="shared" ref="L1596:L1605" si="4">J1596*K1596/100</f>
        <v>157.89599999999999</v>
      </c>
      <c r="M1596" s="417"/>
    </row>
    <row r="1597" spans="1:13" ht="15" customHeight="1">
      <c r="A1597" s="398" t="s">
        <v>7442</v>
      </c>
      <c r="B1597" s="399" t="s">
        <v>1484</v>
      </c>
      <c r="C1597" s="400" t="s">
        <v>7443</v>
      </c>
      <c r="D1597" s="399" t="s">
        <v>8871</v>
      </c>
      <c r="E1597" s="401" t="s">
        <v>8871</v>
      </c>
      <c r="F1597" s="402" t="s">
        <v>36</v>
      </c>
      <c r="G1597" s="400" t="s">
        <v>8872</v>
      </c>
      <c r="H1597" s="404" t="s">
        <v>741</v>
      </c>
      <c r="I1597" s="396">
        <v>835763</v>
      </c>
      <c r="J1597" s="397">
        <v>27281</v>
      </c>
      <c r="K1597" s="463">
        <f>K1595</f>
        <v>2.4</v>
      </c>
      <c r="L1597" s="464">
        <f t="shared" si="4"/>
        <v>654.74399999999991</v>
      </c>
      <c r="M1597" s="417"/>
    </row>
    <row r="1598" spans="1:13" ht="15" customHeight="1">
      <c r="A1598" s="398" t="s">
        <v>7444</v>
      </c>
      <c r="B1598" s="399" t="s">
        <v>1486</v>
      </c>
      <c r="C1598" s="400" t="s">
        <v>7445</v>
      </c>
      <c r="D1598" s="399" t="s">
        <v>8873</v>
      </c>
      <c r="E1598" s="401" t="s">
        <v>8873</v>
      </c>
      <c r="F1598" s="402" t="s">
        <v>36</v>
      </c>
      <c r="G1598" s="400" t="s">
        <v>8874</v>
      </c>
      <c r="H1598" s="404" t="s">
        <v>742</v>
      </c>
      <c r="I1598" s="396">
        <v>500536</v>
      </c>
      <c r="J1598" s="397">
        <v>16339</v>
      </c>
      <c r="K1598" s="463">
        <f>K1595</f>
        <v>2.4</v>
      </c>
      <c r="L1598" s="464">
        <f t="shared" si="4"/>
        <v>392.13599999999997</v>
      </c>
      <c r="M1598" s="417"/>
    </row>
    <row r="1599" spans="1:13" ht="15" customHeight="1">
      <c r="A1599" s="398" t="s">
        <v>7446</v>
      </c>
      <c r="B1599" s="399" t="s">
        <v>1488</v>
      </c>
      <c r="C1599" s="400" t="s">
        <v>7447</v>
      </c>
      <c r="D1599" s="399" t="s">
        <v>8875</v>
      </c>
      <c r="E1599" s="401" t="s">
        <v>8875</v>
      </c>
      <c r="F1599" s="402" t="s">
        <v>36</v>
      </c>
      <c r="G1599" s="400" t="s">
        <v>8876</v>
      </c>
      <c r="H1599" s="395" t="s">
        <v>743</v>
      </c>
      <c r="I1599" s="396">
        <v>787961</v>
      </c>
      <c r="J1599" s="397">
        <v>25721</v>
      </c>
      <c r="K1599" s="463">
        <f>K1595</f>
        <v>2.4</v>
      </c>
      <c r="L1599" s="464">
        <f t="shared" si="4"/>
        <v>617.30399999999997</v>
      </c>
      <c r="M1599" s="417"/>
    </row>
    <row r="1600" spans="1:13" ht="15" customHeight="1">
      <c r="A1600" s="398" t="s">
        <v>7448</v>
      </c>
      <c r="B1600" s="399" t="s">
        <v>1490</v>
      </c>
      <c r="C1600" s="400" t="s">
        <v>7449</v>
      </c>
      <c r="D1600" s="399" t="s">
        <v>8877</v>
      </c>
      <c r="E1600" s="401" t="s">
        <v>8877</v>
      </c>
      <c r="F1600" s="402" t="s">
        <v>36</v>
      </c>
      <c r="G1600" s="400" t="s">
        <v>8878</v>
      </c>
      <c r="H1600" s="395" t="s">
        <v>744</v>
      </c>
      <c r="I1600" s="396">
        <v>25059</v>
      </c>
      <c r="J1600" s="397">
        <v>818</v>
      </c>
      <c r="K1600" s="463">
        <f>K1595</f>
        <v>2.4</v>
      </c>
      <c r="L1600" s="464">
        <f t="shared" si="4"/>
        <v>19.631999999999998</v>
      </c>
      <c r="M1600" s="417"/>
    </row>
    <row r="1601" spans="1:13" ht="15" customHeight="1">
      <c r="A1601" s="338" t="s">
        <v>7450</v>
      </c>
      <c r="B1601" s="339" t="s">
        <v>1492</v>
      </c>
      <c r="C1601" s="356" t="s">
        <v>7451</v>
      </c>
      <c r="D1601" s="339" t="s">
        <v>8879</v>
      </c>
      <c r="E1601" s="369" t="s">
        <v>8879</v>
      </c>
      <c r="F1601" s="350" t="s">
        <v>36</v>
      </c>
      <c r="G1601" s="340" t="s">
        <v>8880</v>
      </c>
      <c r="H1601" s="341" t="s">
        <v>746</v>
      </c>
      <c r="I1601" s="385"/>
      <c r="J1601" s="383">
        <v>535435</v>
      </c>
      <c r="K1601" s="459"/>
      <c r="L1601" s="460"/>
      <c r="M1601" s="417"/>
    </row>
    <row r="1602" spans="1:13" ht="15" customHeight="1">
      <c r="A1602" s="398" t="s">
        <v>7452</v>
      </c>
      <c r="B1602" s="399" t="s">
        <v>1494</v>
      </c>
      <c r="C1602" s="400" t="s">
        <v>7453</v>
      </c>
      <c r="D1602" s="399" t="s">
        <v>8881</v>
      </c>
      <c r="E1602" s="401" t="s">
        <v>8881</v>
      </c>
      <c r="F1602" s="402" t="s">
        <v>36</v>
      </c>
      <c r="G1602" s="400" t="s">
        <v>8882</v>
      </c>
      <c r="H1602" s="395" t="s">
        <v>7454</v>
      </c>
      <c r="I1602" s="396">
        <v>16726549</v>
      </c>
      <c r="J1602" s="397">
        <v>725811</v>
      </c>
      <c r="K1602" s="463">
        <v>0.3</v>
      </c>
      <c r="L1602" s="464">
        <f t="shared" si="4"/>
        <v>2177.433</v>
      </c>
      <c r="M1602" s="417"/>
    </row>
    <row r="1603" spans="1:13" ht="15" customHeight="1">
      <c r="A1603" s="398" t="s">
        <v>7455</v>
      </c>
      <c r="B1603" s="399" t="s">
        <v>1496</v>
      </c>
      <c r="C1603" s="400" t="s">
        <v>7456</v>
      </c>
      <c r="D1603" s="399" t="s">
        <v>8883</v>
      </c>
      <c r="E1603" s="401" t="s">
        <v>8883</v>
      </c>
      <c r="F1603" s="402" t="s">
        <v>36</v>
      </c>
      <c r="G1603" s="400" t="s">
        <v>8884</v>
      </c>
      <c r="H1603" s="395" t="s">
        <v>7457</v>
      </c>
      <c r="I1603" s="396">
        <v>16108902</v>
      </c>
      <c r="J1603" s="397">
        <v>720350</v>
      </c>
      <c r="K1603" s="463">
        <v>0.3</v>
      </c>
      <c r="L1603" s="464">
        <f t="shared" si="4"/>
        <v>2161.0500000000002</v>
      </c>
      <c r="M1603" s="417"/>
    </row>
    <row r="1604" spans="1:13" ht="15" customHeight="1">
      <c r="A1604" s="398" t="s">
        <v>7458</v>
      </c>
      <c r="B1604" s="399" t="s">
        <v>1498</v>
      </c>
      <c r="C1604" s="400" t="s">
        <v>7459</v>
      </c>
      <c r="D1604" s="399" t="s">
        <v>8885</v>
      </c>
      <c r="E1604" s="401" t="s">
        <v>8885</v>
      </c>
      <c r="F1604" s="402" t="s">
        <v>36</v>
      </c>
      <c r="G1604" s="400" t="s">
        <v>8886</v>
      </c>
      <c r="H1604" s="395" t="s">
        <v>7460</v>
      </c>
      <c r="I1604" s="396">
        <v>3659402</v>
      </c>
      <c r="J1604" s="397">
        <v>168619</v>
      </c>
      <c r="K1604" s="463">
        <v>2.9</v>
      </c>
      <c r="L1604" s="464">
        <f t="shared" si="4"/>
        <v>4889.951</v>
      </c>
      <c r="M1604" s="417"/>
    </row>
    <row r="1605" spans="1:13" ht="15" customHeight="1">
      <c r="A1605" s="398" t="s">
        <v>7461</v>
      </c>
      <c r="B1605" s="399" t="s">
        <v>1500</v>
      </c>
      <c r="C1605" s="400" t="s">
        <v>7462</v>
      </c>
      <c r="D1605" s="399" t="s">
        <v>8887</v>
      </c>
      <c r="E1605" s="401" t="s">
        <v>8887</v>
      </c>
      <c r="F1605" s="402" t="s">
        <v>36</v>
      </c>
      <c r="G1605" s="400" t="s">
        <v>8888</v>
      </c>
      <c r="H1605" s="395" t="s">
        <v>7463</v>
      </c>
      <c r="I1605" s="396">
        <v>7960106</v>
      </c>
      <c r="J1605" s="397">
        <v>352262</v>
      </c>
      <c r="K1605" s="463">
        <v>0.3</v>
      </c>
      <c r="L1605" s="464">
        <f t="shared" si="4"/>
        <v>1056.7859999999998</v>
      </c>
      <c r="M1605" s="417"/>
    </row>
    <row r="1606" spans="1:13" ht="15" customHeight="1">
      <c r="A1606" s="338" t="s">
        <v>7464</v>
      </c>
      <c r="B1606" s="339" t="s">
        <v>1502</v>
      </c>
      <c r="C1606" s="340" t="s">
        <v>7465</v>
      </c>
      <c r="D1606" s="339" t="s">
        <v>8889</v>
      </c>
      <c r="E1606" s="369" t="s">
        <v>8889</v>
      </c>
      <c r="F1606" s="350" t="s">
        <v>5337</v>
      </c>
      <c r="G1606" s="340" t="s">
        <v>8890</v>
      </c>
      <c r="H1606" s="341" t="s">
        <v>7466</v>
      </c>
      <c r="I1606" s="385">
        <v>1327300</v>
      </c>
      <c r="J1606" s="383">
        <v>52611</v>
      </c>
      <c r="K1606" s="459"/>
      <c r="L1606" s="460"/>
      <c r="M1606" s="417"/>
    </row>
    <row r="1607" spans="1:13" ht="15" customHeight="1">
      <c r="A1607" s="338" t="s">
        <v>7467</v>
      </c>
      <c r="B1607" s="339" t="s">
        <v>1504</v>
      </c>
      <c r="C1607" s="340" t="s">
        <v>7468</v>
      </c>
      <c r="D1607" s="339" t="s">
        <v>8891</v>
      </c>
      <c r="E1607" s="369" t="s">
        <v>8891</v>
      </c>
      <c r="F1607" s="350" t="s">
        <v>826</v>
      </c>
      <c r="G1607" s="340" t="s">
        <v>8892</v>
      </c>
      <c r="H1607" s="341" t="s">
        <v>7469</v>
      </c>
      <c r="I1607" s="385">
        <v>668875</v>
      </c>
      <c r="J1607" s="383">
        <v>26817</v>
      </c>
      <c r="K1607" s="459"/>
      <c r="L1607" s="460"/>
      <c r="M1607" s="417"/>
    </row>
    <row r="1608" spans="1:13" ht="15" customHeight="1">
      <c r="A1608" s="338" t="s">
        <v>7470</v>
      </c>
      <c r="B1608" s="339" t="s">
        <v>1506</v>
      </c>
      <c r="C1608" s="340" t="s">
        <v>7471</v>
      </c>
      <c r="D1608" s="339" t="s">
        <v>8893</v>
      </c>
      <c r="E1608" s="369" t="s">
        <v>8893</v>
      </c>
      <c r="F1608" s="350" t="s">
        <v>36</v>
      </c>
      <c r="G1608" s="340" t="s">
        <v>8894</v>
      </c>
      <c r="H1608" s="341" t="s">
        <v>757</v>
      </c>
      <c r="I1608" s="385"/>
      <c r="J1608" s="383">
        <v>36649</v>
      </c>
      <c r="K1608" s="459"/>
      <c r="L1608" s="460"/>
      <c r="M1608" s="417"/>
    </row>
    <row r="1609" spans="1:13" ht="15" customHeight="1">
      <c r="A1609" s="321" t="s">
        <v>7472</v>
      </c>
      <c r="B1609" s="322" t="s">
        <v>1508</v>
      </c>
      <c r="C1609" s="323" t="s">
        <v>7473</v>
      </c>
      <c r="D1609" s="322" t="s">
        <v>8895</v>
      </c>
      <c r="E1609" s="365" t="s">
        <v>8895</v>
      </c>
      <c r="F1609" s="366"/>
      <c r="G1609" s="323" t="s">
        <v>1594</v>
      </c>
      <c r="H1609" s="324" t="s">
        <v>7474</v>
      </c>
      <c r="I1609" s="376"/>
      <c r="J1609" s="377">
        <v>51024</v>
      </c>
      <c r="K1609" s="459"/>
      <c r="L1609" s="460"/>
      <c r="M1609" s="417"/>
    </row>
    <row r="1610" spans="1:13" ht="15" customHeight="1">
      <c r="A1610" s="325"/>
      <c r="D1610" s="326"/>
      <c r="E1610" s="359" t="s">
        <v>8895</v>
      </c>
      <c r="F1610" s="334" t="s">
        <v>5349</v>
      </c>
      <c r="G1610" s="327" t="s">
        <v>8896</v>
      </c>
      <c r="H1610" s="328" t="s">
        <v>7475</v>
      </c>
      <c r="I1610" s="378">
        <v>847500</v>
      </c>
      <c r="J1610" s="379">
        <v>26231</v>
      </c>
      <c r="K1610" s="459"/>
      <c r="L1610" s="460"/>
      <c r="M1610" s="417"/>
    </row>
    <row r="1611" spans="1:13" ht="15" customHeight="1">
      <c r="A1611" s="329"/>
      <c r="B1611" s="330"/>
      <c r="C1611" s="331"/>
      <c r="D1611" s="330"/>
      <c r="E1611" s="367" t="s">
        <v>8895</v>
      </c>
      <c r="F1611" s="332" t="s">
        <v>5327</v>
      </c>
      <c r="G1611" s="331" t="s">
        <v>8897</v>
      </c>
      <c r="H1611" s="320" t="s">
        <v>7476</v>
      </c>
      <c r="I1611" s="384">
        <v>801046</v>
      </c>
      <c r="J1611" s="381">
        <v>24793</v>
      </c>
      <c r="K1611" s="459"/>
      <c r="L1611" s="460"/>
      <c r="M1611" s="417"/>
    </row>
    <row r="1612" spans="1:13" ht="15" customHeight="1">
      <c r="A1612" s="338" t="s">
        <v>7477</v>
      </c>
      <c r="B1612" s="339" t="s">
        <v>1510</v>
      </c>
      <c r="C1612" s="340" t="s">
        <v>7478</v>
      </c>
      <c r="D1612" s="339" t="s">
        <v>8898</v>
      </c>
      <c r="E1612" s="369" t="s">
        <v>8898</v>
      </c>
      <c r="F1612" s="350" t="s">
        <v>36</v>
      </c>
      <c r="G1612" s="340" t="s">
        <v>8899</v>
      </c>
      <c r="H1612" s="341" t="s">
        <v>760</v>
      </c>
      <c r="I1612" s="385">
        <v>1367261</v>
      </c>
      <c r="J1612" s="383">
        <v>45333</v>
      </c>
      <c r="K1612" s="459"/>
      <c r="L1612" s="460"/>
      <c r="M1612" s="417"/>
    </row>
    <row r="1613" spans="1:13" ht="15" customHeight="1">
      <c r="A1613" s="338" t="s">
        <v>7479</v>
      </c>
      <c r="B1613" s="339" t="s">
        <v>1512</v>
      </c>
      <c r="C1613" s="340" t="s">
        <v>7480</v>
      </c>
      <c r="D1613" s="339" t="s">
        <v>8900</v>
      </c>
      <c r="E1613" s="369" t="s">
        <v>8900</v>
      </c>
      <c r="F1613" s="350" t="s">
        <v>36</v>
      </c>
      <c r="G1613" s="340" t="s">
        <v>8901</v>
      </c>
      <c r="H1613" s="341" t="s">
        <v>761</v>
      </c>
      <c r="I1613" s="385"/>
      <c r="J1613" s="383">
        <v>124187</v>
      </c>
      <c r="K1613" s="459"/>
      <c r="L1613" s="460"/>
      <c r="M1613" s="417"/>
    </row>
    <row r="1614" spans="1:13" ht="15" customHeight="1">
      <c r="A1614" s="338" t="s">
        <v>7481</v>
      </c>
      <c r="B1614" s="339" t="s">
        <v>1514</v>
      </c>
      <c r="C1614" s="340" t="s">
        <v>7482</v>
      </c>
      <c r="D1614" s="339" t="s">
        <v>8902</v>
      </c>
      <c r="E1614" s="369" t="s">
        <v>8902</v>
      </c>
      <c r="F1614" s="350" t="s">
        <v>5349</v>
      </c>
      <c r="G1614" s="340" t="s">
        <v>8903</v>
      </c>
      <c r="H1614" s="341" t="s">
        <v>7483</v>
      </c>
      <c r="I1614" s="385"/>
      <c r="J1614" s="383">
        <v>47583</v>
      </c>
      <c r="K1614" s="459"/>
      <c r="L1614" s="460"/>
      <c r="M1614" s="417"/>
    </row>
    <row r="1615" spans="1:13" ht="15" customHeight="1">
      <c r="A1615" s="338" t="s">
        <v>7484</v>
      </c>
      <c r="B1615" s="339" t="s">
        <v>1516</v>
      </c>
      <c r="C1615" s="340" t="s">
        <v>7485</v>
      </c>
      <c r="D1615" s="339" t="s">
        <v>8904</v>
      </c>
      <c r="E1615" s="369" t="s">
        <v>8904</v>
      </c>
      <c r="F1615" s="350" t="s">
        <v>5349</v>
      </c>
      <c r="G1615" s="340" t="s">
        <v>8905</v>
      </c>
      <c r="H1615" s="341" t="s">
        <v>7486</v>
      </c>
      <c r="I1615" s="385">
        <v>2717264</v>
      </c>
      <c r="J1615" s="383">
        <v>91207</v>
      </c>
      <c r="K1615" s="459"/>
      <c r="L1615" s="460"/>
      <c r="M1615" s="417"/>
    </row>
    <row r="1616" spans="1:13" ht="15" customHeight="1">
      <c r="A1616" s="338" t="s">
        <v>7487</v>
      </c>
      <c r="B1616" s="339" t="s">
        <v>1518</v>
      </c>
      <c r="C1616" s="340" t="s">
        <v>7488</v>
      </c>
      <c r="D1616" s="339" t="s">
        <v>8906</v>
      </c>
      <c r="E1616" s="369" t="s">
        <v>8906</v>
      </c>
      <c r="F1616" s="350" t="s">
        <v>36</v>
      </c>
      <c r="G1616" s="340" t="s">
        <v>8907</v>
      </c>
      <c r="H1616" s="341" t="s">
        <v>7489</v>
      </c>
      <c r="I1616" s="385">
        <v>3622948</v>
      </c>
      <c r="J1616" s="383">
        <v>148973</v>
      </c>
      <c r="K1616" s="459"/>
      <c r="L1616" s="460"/>
      <c r="M1616" s="417"/>
    </row>
    <row r="1617" spans="1:13" ht="15" customHeight="1">
      <c r="A1617" s="338" t="s">
        <v>7490</v>
      </c>
      <c r="B1617" s="339" t="s">
        <v>1520</v>
      </c>
      <c r="C1617" s="340" t="s">
        <v>7491</v>
      </c>
      <c r="D1617" s="339" t="s">
        <v>8908</v>
      </c>
      <c r="E1617" s="369" t="s">
        <v>8908</v>
      </c>
      <c r="F1617" s="350" t="s">
        <v>36</v>
      </c>
      <c r="G1617" s="340" t="s">
        <v>8909</v>
      </c>
      <c r="H1617" s="341" t="s">
        <v>7492</v>
      </c>
      <c r="I1617" s="385">
        <v>6305324</v>
      </c>
      <c r="J1617" s="383">
        <v>279368</v>
      </c>
      <c r="K1617" s="459"/>
      <c r="L1617" s="460"/>
      <c r="M1617" s="417"/>
    </row>
    <row r="1618" spans="1:13" ht="15" customHeight="1">
      <c r="A1618" s="338" t="s">
        <v>7493</v>
      </c>
      <c r="B1618" s="339" t="s">
        <v>1522</v>
      </c>
      <c r="C1618" s="340" t="s">
        <v>7494</v>
      </c>
      <c r="D1618" s="339" t="s">
        <v>8910</v>
      </c>
      <c r="E1618" s="369" t="s">
        <v>8910</v>
      </c>
      <c r="F1618" s="350" t="s">
        <v>36</v>
      </c>
      <c r="G1618" s="340" t="s">
        <v>8911</v>
      </c>
      <c r="H1618" s="341" t="s">
        <v>770</v>
      </c>
      <c r="I1618" s="385">
        <v>1129315</v>
      </c>
      <c r="J1618" s="383">
        <v>36088</v>
      </c>
      <c r="K1618" s="459"/>
      <c r="L1618" s="460"/>
      <c r="M1618" s="417"/>
    </row>
    <row r="1619" spans="1:13" ht="15" customHeight="1">
      <c r="A1619" s="398" t="s">
        <v>7495</v>
      </c>
      <c r="B1619" s="399" t="s">
        <v>1524</v>
      </c>
      <c r="C1619" s="400" t="s">
        <v>7496</v>
      </c>
      <c r="D1619" s="399" t="s">
        <v>8912</v>
      </c>
      <c r="E1619" s="401" t="s">
        <v>8912</v>
      </c>
      <c r="F1619" s="402" t="s">
        <v>36</v>
      </c>
      <c r="G1619" s="400" t="s">
        <v>8913</v>
      </c>
      <c r="H1619" s="404" t="s">
        <v>7497</v>
      </c>
      <c r="I1619" s="396">
        <v>3302478</v>
      </c>
      <c r="J1619" s="397">
        <v>142282</v>
      </c>
      <c r="K1619" s="463">
        <f>247900/I1619*100</f>
        <v>7.5064845246508831</v>
      </c>
      <c r="L1619" s="464">
        <f>J1619*K1619/100</f>
        <v>10680.376311363769</v>
      </c>
      <c r="M1619" s="417"/>
    </row>
    <row r="1620" spans="1:13" ht="15" customHeight="1">
      <c r="A1620" s="321" t="s">
        <v>7498</v>
      </c>
      <c r="B1620" s="322" t="s">
        <v>1526</v>
      </c>
      <c r="D1620" s="326"/>
      <c r="H1620" s="333" t="s">
        <v>7499</v>
      </c>
      <c r="I1620" s="378"/>
      <c r="J1620" s="379"/>
      <c r="K1620" s="459"/>
      <c r="L1620" s="460"/>
      <c r="M1620" s="417"/>
    </row>
    <row r="1621" spans="1:13" ht="15" customHeight="1">
      <c r="A1621" s="325"/>
      <c r="C1621" s="327" t="s">
        <v>7500</v>
      </c>
      <c r="D1621" s="326" t="s">
        <v>8914</v>
      </c>
      <c r="E1621" s="359" t="s">
        <v>8914</v>
      </c>
      <c r="H1621" s="333" t="s">
        <v>7501</v>
      </c>
      <c r="I1621" s="378"/>
      <c r="J1621" s="379">
        <v>17428</v>
      </c>
      <c r="K1621" s="459"/>
      <c r="L1621" s="460"/>
      <c r="M1621" s="417"/>
    </row>
    <row r="1622" spans="1:13" ht="15" customHeight="1">
      <c r="A1622" s="325"/>
      <c r="D1622" s="326"/>
      <c r="E1622" s="359" t="s">
        <v>8914</v>
      </c>
      <c r="F1622" s="334" t="s">
        <v>5349</v>
      </c>
      <c r="G1622" s="327" t="s">
        <v>8915</v>
      </c>
      <c r="H1622" s="333" t="s">
        <v>7502</v>
      </c>
      <c r="I1622" s="378">
        <v>2663050</v>
      </c>
      <c r="J1622" s="379">
        <v>13108</v>
      </c>
      <c r="K1622" s="459"/>
      <c r="L1622" s="460"/>
      <c r="M1622" s="417"/>
    </row>
    <row r="1623" spans="1:13" ht="15" customHeight="1">
      <c r="A1623" s="325"/>
      <c r="D1623" s="326"/>
      <c r="E1623" s="359" t="s">
        <v>8914</v>
      </c>
      <c r="F1623" s="334" t="s">
        <v>5327</v>
      </c>
      <c r="G1623" s="327" t="s">
        <v>8916</v>
      </c>
      <c r="H1623" s="333" t="s">
        <v>7503</v>
      </c>
      <c r="I1623" s="378">
        <v>183026</v>
      </c>
      <c r="J1623" s="379">
        <v>4320</v>
      </c>
      <c r="K1623" s="459"/>
      <c r="L1623" s="460"/>
      <c r="M1623" s="417"/>
    </row>
    <row r="1624" spans="1:13" ht="15" customHeight="1">
      <c r="A1624" s="325"/>
      <c r="C1624" s="327" t="s">
        <v>7504</v>
      </c>
      <c r="D1624" s="326" t="s">
        <v>8917</v>
      </c>
      <c r="E1624" s="359" t="s">
        <v>8917</v>
      </c>
      <c r="H1624" s="333" t="s">
        <v>7505</v>
      </c>
      <c r="I1624" s="378"/>
      <c r="J1624" s="379">
        <v>82845</v>
      </c>
      <c r="K1624" s="459"/>
      <c r="L1624" s="460"/>
      <c r="M1624" s="417"/>
    </row>
    <row r="1625" spans="1:13" ht="15" customHeight="1">
      <c r="A1625" s="325"/>
      <c r="D1625" s="326"/>
      <c r="E1625" s="359" t="s">
        <v>8917</v>
      </c>
      <c r="F1625" s="334" t="s">
        <v>5349</v>
      </c>
      <c r="G1625" s="327" t="s">
        <v>8918</v>
      </c>
      <c r="H1625" s="333" t="s">
        <v>7502</v>
      </c>
      <c r="I1625" s="378">
        <v>294586</v>
      </c>
      <c r="J1625" s="379">
        <v>54981</v>
      </c>
      <c r="K1625" s="459"/>
      <c r="L1625" s="460"/>
      <c r="M1625" s="417"/>
    </row>
    <row r="1626" spans="1:13" ht="15" customHeight="1">
      <c r="A1626" s="325"/>
      <c r="D1626" s="326"/>
      <c r="E1626" s="359" t="s">
        <v>8917</v>
      </c>
      <c r="F1626" s="334" t="s">
        <v>5327</v>
      </c>
      <c r="G1626" s="327" t="s">
        <v>8919</v>
      </c>
      <c r="H1626" s="333" t="s">
        <v>7503</v>
      </c>
      <c r="I1626" s="378">
        <v>1262323</v>
      </c>
      <c r="J1626" s="379">
        <v>27864</v>
      </c>
      <c r="K1626" s="459"/>
      <c r="L1626" s="460"/>
      <c r="M1626" s="417"/>
    </row>
    <row r="1627" spans="1:13" ht="15" customHeight="1">
      <c r="A1627" s="325"/>
      <c r="C1627" s="327" t="s">
        <v>7506</v>
      </c>
      <c r="D1627" s="326" t="s">
        <v>8920</v>
      </c>
      <c r="E1627" s="359" t="s">
        <v>8920</v>
      </c>
      <c r="H1627" s="333" t="s">
        <v>7507</v>
      </c>
      <c r="I1627" s="378"/>
      <c r="J1627" s="379">
        <v>4235</v>
      </c>
      <c r="K1627" s="459"/>
      <c r="L1627" s="460"/>
      <c r="M1627" s="417"/>
    </row>
    <row r="1628" spans="1:13" ht="15" customHeight="1">
      <c r="A1628" s="325"/>
      <c r="D1628" s="326"/>
      <c r="E1628" s="359" t="s">
        <v>8920</v>
      </c>
      <c r="F1628" s="334" t="s">
        <v>5349</v>
      </c>
      <c r="G1628" s="327" t="s">
        <v>8921</v>
      </c>
      <c r="H1628" s="333" t="s">
        <v>7502</v>
      </c>
      <c r="I1628" s="378">
        <v>1725813</v>
      </c>
      <c r="J1628" s="379">
        <v>3391</v>
      </c>
      <c r="K1628" s="459"/>
      <c r="L1628" s="460"/>
      <c r="M1628" s="417"/>
    </row>
    <row r="1629" spans="1:13" ht="15" customHeight="1">
      <c r="A1629" s="325"/>
      <c r="D1629" s="326"/>
      <c r="E1629" s="359" t="s">
        <v>8920</v>
      </c>
      <c r="F1629" s="334" t="s">
        <v>5327</v>
      </c>
      <c r="G1629" s="327" t="s">
        <v>8922</v>
      </c>
      <c r="H1629" s="333" t="s">
        <v>7503</v>
      </c>
      <c r="I1629" s="378">
        <v>76942</v>
      </c>
      <c r="J1629" s="379">
        <v>844</v>
      </c>
      <c r="K1629" s="459"/>
      <c r="L1629" s="460"/>
      <c r="M1629" s="417"/>
    </row>
    <row r="1630" spans="1:13" ht="15" customHeight="1">
      <c r="A1630" s="325"/>
      <c r="C1630" s="327" t="s">
        <v>7508</v>
      </c>
      <c r="D1630" s="326" t="s">
        <v>8923</v>
      </c>
      <c r="E1630" s="359" t="s">
        <v>8923</v>
      </c>
      <c r="H1630" s="333" t="s">
        <v>7509</v>
      </c>
      <c r="I1630" s="378"/>
      <c r="J1630" s="379">
        <v>2815</v>
      </c>
      <c r="K1630" s="459"/>
      <c r="L1630" s="460"/>
      <c r="M1630" s="417"/>
    </row>
    <row r="1631" spans="1:13" ht="15" customHeight="1">
      <c r="A1631" s="325"/>
      <c r="D1631" s="326"/>
      <c r="E1631" s="359" t="s">
        <v>8923</v>
      </c>
      <c r="F1631" s="334" t="s">
        <v>5349</v>
      </c>
      <c r="G1631" s="327" t="s">
        <v>8924</v>
      </c>
      <c r="H1631" s="333" t="s">
        <v>7502</v>
      </c>
      <c r="I1631" s="378">
        <v>484597</v>
      </c>
      <c r="J1631" s="379">
        <v>1869</v>
      </c>
      <c r="K1631" s="459"/>
      <c r="L1631" s="460"/>
      <c r="M1631" s="417"/>
    </row>
    <row r="1632" spans="1:13" ht="15" customHeight="1">
      <c r="A1632" s="325"/>
      <c r="D1632" s="326"/>
      <c r="E1632" s="359" t="s">
        <v>8923</v>
      </c>
      <c r="F1632" s="334" t="s">
        <v>5327</v>
      </c>
      <c r="G1632" s="327" t="s">
        <v>8925</v>
      </c>
      <c r="H1632" s="333" t="s">
        <v>7503</v>
      </c>
      <c r="I1632" s="378">
        <v>76693</v>
      </c>
      <c r="J1632" s="379">
        <v>946</v>
      </c>
      <c r="K1632" s="459"/>
      <c r="L1632" s="460"/>
      <c r="M1632" s="417"/>
    </row>
    <row r="1633" spans="1:13" ht="15" customHeight="1">
      <c r="A1633" s="325"/>
      <c r="C1633" s="327" t="s">
        <v>7510</v>
      </c>
      <c r="D1633" s="326" t="s">
        <v>8926</v>
      </c>
      <c r="E1633" s="359" t="s">
        <v>8926</v>
      </c>
      <c r="H1633" s="333" t="s">
        <v>7511</v>
      </c>
      <c r="I1633" s="378"/>
      <c r="J1633" s="379">
        <v>85430</v>
      </c>
      <c r="K1633" s="459"/>
      <c r="L1633" s="460"/>
      <c r="M1633" s="417"/>
    </row>
    <row r="1634" spans="1:13" ht="15" customHeight="1">
      <c r="A1634" s="325"/>
      <c r="D1634" s="326"/>
      <c r="E1634" s="388" t="s">
        <v>8926</v>
      </c>
      <c r="F1634" s="389" t="s">
        <v>5349</v>
      </c>
      <c r="G1634" s="390" t="s">
        <v>8927</v>
      </c>
      <c r="H1634" s="405" t="s">
        <v>7512</v>
      </c>
      <c r="I1634" s="413">
        <v>50181</v>
      </c>
      <c r="J1634" s="392">
        <v>2122</v>
      </c>
      <c r="K1634" s="463">
        <v>100</v>
      </c>
      <c r="L1634" s="464">
        <f>J1634*K1634/100</f>
        <v>2122</v>
      </c>
      <c r="M1634" s="417"/>
    </row>
    <row r="1635" spans="1:13" ht="15" customHeight="1">
      <c r="A1635" s="325"/>
      <c r="D1635" s="326"/>
      <c r="E1635" s="359" t="s">
        <v>8926</v>
      </c>
      <c r="F1635" s="334" t="s">
        <v>5327</v>
      </c>
      <c r="G1635" s="327" t="s">
        <v>8928</v>
      </c>
      <c r="H1635" s="333" t="s">
        <v>7513</v>
      </c>
      <c r="I1635" s="378">
        <v>129539</v>
      </c>
      <c r="J1635" s="379">
        <v>7923</v>
      </c>
      <c r="K1635" s="459"/>
      <c r="L1635" s="460"/>
      <c r="M1635" s="417"/>
    </row>
    <row r="1636" spans="1:13" ht="15" customHeight="1">
      <c r="A1636" s="325"/>
      <c r="D1636" s="326"/>
      <c r="E1636" s="359" t="s">
        <v>8926</v>
      </c>
      <c r="F1636" s="334" t="s">
        <v>5329</v>
      </c>
      <c r="G1636" s="327" t="s">
        <v>8929</v>
      </c>
      <c r="H1636" s="333" t="s">
        <v>7514</v>
      </c>
      <c r="I1636" s="378">
        <v>1572445</v>
      </c>
      <c r="J1636" s="379">
        <v>75385</v>
      </c>
      <c r="K1636" s="459"/>
      <c r="L1636" s="460"/>
      <c r="M1636" s="417"/>
    </row>
    <row r="1637" spans="1:13" ht="15" customHeight="1">
      <c r="A1637" s="321" t="s">
        <v>7515</v>
      </c>
      <c r="B1637" s="322" t="s">
        <v>1528</v>
      </c>
      <c r="C1637" s="323" t="s">
        <v>7516</v>
      </c>
      <c r="D1637" s="322" t="s">
        <v>8930</v>
      </c>
      <c r="E1637" s="365" t="s">
        <v>8930</v>
      </c>
      <c r="F1637" s="366"/>
      <c r="G1637" s="323" t="s">
        <v>1594</v>
      </c>
      <c r="H1637" s="324" t="s">
        <v>781</v>
      </c>
      <c r="I1637" s="376"/>
      <c r="J1637" s="377">
        <v>29146</v>
      </c>
      <c r="K1637" s="459"/>
      <c r="L1637" s="460"/>
      <c r="M1637" s="417"/>
    </row>
    <row r="1638" spans="1:13" ht="15" customHeight="1">
      <c r="A1638" s="325"/>
      <c r="B1638" s="326" t="s">
        <v>1594</v>
      </c>
      <c r="D1638" s="326" t="s">
        <v>1594</v>
      </c>
      <c r="E1638" s="359" t="s">
        <v>8930</v>
      </c>
      <c r="F1638" s="334" t="s">
        <v>36</v>
      </c>
      <c r="G1638" s="327" t="s">
        <v>8931</v>
      </c>
      <c r="H1638" s="328" t="s">
        <v>7517</v>
      </c>
      <c r="I1638" s="378">
        <v>1174859</v>
      </c>
      <c r="J1638" s="379">
        <v>20989</v>
      </c>
      <c r="K1638" s="459"/>
      <c r="L1638" s="460"/>
      <c r="M1638" s="417"/>
    </row>
    <row r="1639" spans="1:13" ht="15" customHeight="1">
      <c r="A1639" s="329"/>
      <c r="B1639" s="330" t="s">
        <v>1594</v>
      </c>
      <c r="C1639" s="331"/>
      <c r="D1639" s="330" t="s">
        <v>1594</v>
      </c>
      <c r="E1639" s="367" t="s">
        <v>8930</v>
      </c>
      <c r="F1639" s="332" t="s">
        <v>5337</v>
      </c>
      <c r="G1639" s="331" t="s">
        <v>8932</v>
      </c>
      <c r="H1639" s="320" t="s">
        <v>7518</v>
      </c>
      <c r="I1639" s="384">
        <v>389634</v>
      </c>
      <c r="J1639" s="381">
        <v>8157</v>
      </c>
      <c r="K1639" s="459"/>
      <c r="L1639" s="460"/>
      <c r="M1639" s="417"/>
    </row>
    <row r="1640" spans="1:13" ht="15" customHeight="1">
      <c r="A1640" s="325" t="s">
        <v>7519</v>
      </c>
      <c r="B1640" s="326" t="s">
        <v>1530</v>
      </c>
      <c r="D1640" s="326" t="s">
        <v>1594</v>
      </c>
      <c r="G1640" s="327" t="s">
        <v>1594</v>
      </c>
      <c r="H1640" s="328" t="s">
        <v>7520</v>
      </c>
      <c r="I1640" s="378"/>
      <c r="J1640" s="379"/>
      <c r="K1640" s="459"/>
      <c r="L1640" s="460"/>
      <c r="M1640" s="417"/>
    </row>
    <row r="1641" spans="1:13" ht="15" customHeight="1">
      <c r="A1641" s="325"/>
      <c r="B1641" s="326" t="s">
        <v>1594</v>
      </c>
      <c r="C1641" s="455" t="s">
        <v>7521</v>
      </c>
      <c r="D1641" s="456" t="s">
        <v>8933</v>
      </c>
      <c r="E1641" s="436" t="s">
        <v>8933</v>
      </c>
      <c r="F1641" s="437"/>
      <c r="G1641" s="455" t="s">
        <v>1594</v>
      </c>
      <c r="H1641" s="438" t="s">
        <v>783</v>
      </c>
      <c r="I1641" s="439"/>
      <c r="J1641" s="440">
        <v>5232</v>
      </c>
      <c r="K1641" s="466">
        <v>0.5</v>
      </c>
      <c r="L1641" s="467">
        <f>J1641*K1641/100</f>
        <v>26.16</v>
      </c>
      <c r="M1641" s="417"/>
    </row>
    <row r="1642" spans="1:13" ht="15" customHeight="1">
      <c r="A1642" s="325"/>
      <c r="B1642" s="326" t="s">
        <v>1594</v>
      </c>
      <c r="D1642" s="326" t="s">
        <v>1594</v>
      </c>
      <c r="E1642" s="359" t="s">
        <v>8933</v>
      </c>
      <c r="F1642" s="334" t="s">
        <v>5349</v>
      </c>
      <c r="G1642" s="327" t="s">
        <v>8934</v>
      </c>
      <c r="H1642" s="328" t="s">
        <v>7522</v>
      </c>
      <c r="I1642" s="378"/>
      <c r="J1642" s="379">
        <v>4559</v>
      </c>
      <c r="K1642" s="459"/>
      <c r="L1642" s="460"/>
      <c r="M1642" s="417"/>
    </row>
    <row r="1643" spans="1:13" ht="15" customHeight="1">
      <c r="A1643" s="325"/>
      <c r="B1643" s="326" t="s">
        <v>1594</v>
      </c>
      <c r="D1643" s="326" t="s">
        <v>1594</v>
      </c>
      <c r="E1643" s="359" t="s">
        <v>8933</v>
      </c>
      <c r="F1643" s="334" t="s">
        <v>5327</v>
      </c>
      <c r="G1643" s="327" t="s">
        <v>8935</v>
      </c>
      <c r="H1643" s="328" t="s">
        <v>7523</v>
      </c>
      <c r="I1643" s="378"/>
      <c r="J1643" s="379">
        <v>673</v>
      </c>
      <c r="K1643" s="459"/>
      <c r="L1643" s="460"/>
      <c r="M1643" s="417"/>
    </row>
    <row r="1644" spans="1:13" ht="15" customHeight="1">
      <c r="A1644" s="325"/>
      <c r="B1644" s="326" t="s">
        <v>1594</v>
      </c>
      <c r="C1644" s="455" t="s">
        <v>7524</v>
      </c>
      <c r="D1644" s="456" t="s">
        <v>8936</v>
      </c>
      <c r="E1644" s="436" t="s">
        <v>8936</v>
      </c>
      <c r="F1644" s="437"/>
      <c r="G1644" s="455" t="s">
        <v>1594</v>
      </c>
      <c r="H1644" s="438" t="s">
        <v>784</v>
      </c>
      <c r="I1644" s="439"/>
      <c r="J1644" s="440">
        <v>42510</v>
      </c>
      <c r="K1644" s="466">
        <f>K1641</f>
        <v>0.5</v>
      </c>
      <c r="L1644" s="467">
        <f>J1644*K1644/100</f>
        <v>212.55</v>
      </c>
      <c r="M1644" s="417"/>
    </row>
    <row r="1645" spans="1:13" ht="15" customHeight="1">
      <c r="A1645" s="325"/>
      <c r="B1645" s="326" t="s">
        <v>1594</v>
      </c>
      <c r="D1645" s="326" t="s">
        <v>1594</v>
      </c>
      <c r="E1645" s="359" t="s">
        <v>8936</v>
      </c>
      <c r="F1645" s="334" t="s">
        <v>5349</v>
      </c>
      <c r="G1645" s="327" t="s">
        <v>8937</v>
      </c>
      <c r="H1645" s="328" t="s">
        <v>7525</v>
      </c>
      <c r="I1645" s="378"/>
      <c r="J1645" s="379">
        <v>11163</v>
      </c>
      <c r="K1645" s="459"/>
      <c r="L1645" s="460"/>
      <c r="M1645" s="417"/>
    </row>
    <row r="1646" spans="1:13" ht="15" customHeight="1">
      <c r="A1646" s="325"/>
      <c r="B1646" s="326" t="s">
        <v>1594</v>
      </c>
      <c r="D1646" s="326" t="s">
        <v>1594</v>
      </c>
      <c r="E1646" s="359" t="s">
        <v>8936</v>
      </c>
      <c r="F1646" s="334" t="s">
        <v>5327</v>
      </c>
      <c r="G1646" s="327" t="s">
        <v>8938</v>
      </c>
      <c r="H1646" s="328" t="s">
        <v>7526</v>
      </c>
      <c r="I1646" s="378"/>
      <c r="J1646" s="379">
        <v>609</v>
      </c>
      <c r="K1646" s="459"/>
      <c r="L1646" s="460"/>
      <c r="M1646" s="417"/>
    </row>
    <row r="1647" spans="1:13" ht="15" customHeight="1">
      <c r="A1647" s="325"/>
      <c r="B1647" s="326" t="s">
        <v>1594</v>
      </c>
      <c r="D1647" s="326" t="s">
        <v>1594</v>
      </c>
      <c r="E1647" s="359" t="s">
        <v>8936</v>
      </c>
      <c r="F1647" s="334" t="s">
        <v>5329</v>
      </c>
      <c r="G1647" s="327" t="s">
        <v>8939</v>
      </c>
      <c r="H1647" s="328" t="s">
        <v>7527</v>
      </c>
      <c r="I1647" s="378"/>
      <c r="J1647" s="379">
        <v>1537</v>
      </c>
      <c r="K1647" s="459"/>
      <c r="L1647" s="460"/>
      <c r="M1647" s="417"/>
    </row>
    <row r="1648" spans="1:13" ht="15" customHeight="1">
      <c r="A1648" s="325"/>
      <c r="D1648" s="326"/>
      <c r="E1648" s="359" t="s">
        <v>8936</v>
      </c>
      <c r="F1648" s="334" t="s">
        <v>5593</v>
      </c>
      <c r="G1648" s="327" t="s">
        <v>8940</v>
      </c>
      <c r="H1648" s="328" t="s">
        <v>7528</v>
      </c>
      <c r="I1648" s="378"/>
      <c r="J1648" s="379">
        <v>1270</v>
      </c>
      <c r="K1648" s="459"/>
      <c r="L1648" s="460"/>
      <c r="M1648" s="417"/>
    </row>
    <row r="1649" spans="1:13" ht="15" customHeight="1">
      <c r="A1649" s="325"/>
      <c r="D1649" s="326"/>
      <c r="E1649" s="359" t="s">
        <v>8936</v>
      </c>
      <c r="F1649" s="334" t="s">
        <v>7227</v>
      </c>
      <c r="G1649" s="327" t="s">
        <v>8941</v>
      </c>
      <c r="H1649" s="328" t="s">
        <v>7529</v>
      </c>
      <c r="I1649" s="378"/>
      <c r="J1649" s="379">
        <v>750</v>
      </c>
      <c r="K1649" s="459"/>
      <c r="L1649" s="460"/>
      <c r="M1649" s="417"/>
    </row>
    <row r="1650" spans="1:13" ht="15" customHeight="1">
      <c r="A1650" s="325"/>
      <c r="D1650" s="326"/>
      <c r="E1650" s="359" t="s">
        <v>8936</v>
      </c>
      <c r="F1650" s="334" t="s">
        <v>7229</v>
      </c>
      <c r="G1650" s="327" t="s">
        <v>8942</v>
      </c>
      <c r="H1650" s="328" t="s">
        <v>7530</v>
      </c>
      <c r="I1650" s="378"/>
      <c r="J1650" s="379">
        <v>15701</v>
      </c>
      <c r="K1650" s="459"/>
      <c r="L1650" s="460"/>
      <c r="M1650" s="417"/>
    </row>
    <row r="1651" spans="1:13" ht="15" customHeight="1">
      <c r="A1651" s="325"/>
      <c r="D1651" s="326"/>
      <c r="E1651" s="359" t="s">
        <v>8936</v>
      </c>
      <c r="F1651" s="334" t="s">
        <v>7231</v>
      </c>
      <c r="G1651" s="327" t="s">
        <v>8943</v>
      </c>
      <c r="H1651" s="328" t="s">
        <v>7531</v>
      </c>
      <c r="I1651" s="378"/>
      <c r="J1651" s="379">
        <v>4279</v>
      </c>
      <c r="K1651" s="459"/>
      <c r="L1651" s="460"/>
      <c r="M1651" s="417"/>
    </row>
    <row r="1652" spans="1:13" ht="15" customHeight="1">
      <c r="A1652" s="325"/>
      <c r="B1652" s="326" t="s">
        <v>1594</v>
      </c>
      <c r="D1652" s="326" t="s">
        <v>1594</v>
      </c>
      <c r="E1652" s="367" t="s">
        <v>8936</v>
      </c>
      <c r="F1652" s="334" t="s">
        <v>7233</v>
      </c>
      <c r="G1652" s="327" t="s">
        <v>8944</v>
      </c>
      <c r="H1652" s="328" t="s">
        <v>7532</v>
      </c>
      <c r="I1652" s="378"/>
      <c r="J1652" s="379">
        <v>7201</v>
      </c>
      <c r="K1652" s="459"/>
      <c r="L1652" s="460"/>
      <c r="M1652" s="417"/>
    </row>
    <row r="1653" spans="1:13" ht="15" customHeight="1">
      <c r="A1653" s="321" t="s">
        <v>7533</v>
      </c>
      <c r="B1653" s="322" t="s">
        <v>1532</v>
      </c>
      <c r="C1653" s="323" t="s">
        <v>7534</v>
      </c>
      <c r="D1653" s="322" t="s">
        <v>8945</v>
      </c>
      <c r="E1653" s="359" t="s">
        <v>8945</v>
      </c>
      <c r="F1653" s="366"/>
      <c r="G1653" s="323" t="s">
        <v>1594</v>
      </c>
      <c r="H1653" s="324" t="s">
        <v>7535</v>
      </c>
      <c r="I1653" s="376"/>
      <c r="J1653" s="377">
        <v>123713</v>
      </c>
      <c r="K1653" s="459"/>
      <c r="L1653" s="460"/>
      <c r="M1653" s="417"/>
    </row>
    <row r="1654" spans="1:13" ht="15" customHeight="1">
      <c r="A1654" s="325"/>
      <c r="D1654" s="326"/>
      <c r="H1654" s="328" t="s">
        <v>7536</v>
      </c>
      <c r="I1654" s="378"/>
      <c r="J1654" s="379">
        <v>72881</v>
      </c>
      <c r="K1654" s="459"/>
      <c r="L1654" s="460"/>
      <c r="M1654" s="417"/>
    </row>
    <row r="1655" spans="1:13" ht="15" customHeight="1">
      <c r="A1655" s="325"/>
      <c r="D1655" s="326"/>
      <c r="H1655" s="328" t="s">
        <v>7537</v>
      </c>
      <c r="I1655" s="378"/>
      <c r="J1655" s="379">
        <v>42649</v>
      </c>
      <c r="K1655" s="459"/>
      <c r="L1655" s="460"/>
      <c r="M1655" s="417"/>
    </row>
    <row r="1656" spans="1:13" ht="15" customHeight="1">
      <c r="A1656" s="329"/>
      <c r="B1656" s="330"/>
      <c r="C1656" s="331"/>
      <c r="D1656" s="330"/>
      <c r="E1656" s="367"/>
      <c r="F1656" s="332"/>
      <c r="G1656" s="331"/>
      <c r="H1656" s="320" t="s">
        <v>7538</v>
      </c>
      <c r="I1656" s="384"/>
      <c r="J1656" s="381">
        <v>8183</v>
      </c>
      <c r="K1656" s="459"/>
      <c r="L1656" s="460"/>
      <c r="M1656" s="417"/>
    </row>
    <row r="1657" spans="1:13" ht="15" customHeight="1">
      <c r="A1657" s="325" t="s">
        <v>7539</v>
      </c>
      <c r="B1657" s="326" t="s">
        <v>1534</v>
      </c>
      <c r="C1657" s="327" t="s">
        <v>7540</v>
      </c>
      <c r="D1657" s="326" t="s">
        <v>8946</v>
      </c>
      <c r="E1657" s="359" t="s">
        <v>8946</v>
      </c>
      <c r="G1657" s="327" t="s">
        <v>1594</v>
      </c>
      <c r="H1657" s="328" t="s">
        <v>788</v>
      </c>
      <c r="I1657" s="378"/>
      <c r="J1657" s="379">
        <v>356772</v>
      </c>
      <c r="K1657" s="459"/>
      <c r="L1657" s="460"/>
      <c r="M1657" s="417"/>
    </row>
    <row r="1658" spans="1:13" ht="15" customHeight="1">
      <c r="A1658" s="325"/>
      <c r="D1658" s="326"/>
      <c r="H1658" s="328" t="s">
        <v>7541</v>
      </c>
      <c r="I1658" s="378"/>
      <c r="J1658" s="379">
        <v>70973</v>
      </c>
      <c r="K1658" s="459"/>
      <c r="L1658" s="460"/>
      <c r="M1658" s="417"/>
    </row>
    <row r="1659" spans="1:13" ht="15" customHeight="1">
      <c r="A1659" s="325"/>
      <c r="D1659" s="326"/>
      <c r="H1659" s="328" t="s">
        <v>7542</v>
      </c>
      <c r="I1659" s="378"/>
      <c r="J1659" s="379">
        <v>79894</v>
      </c>
      <c r="K1659" s="459"/>
      <c r="L1659" s="460"/>
      <c r="M1659" s="417"/>
    </row>
    <row r="1660" spans="1:13" ht="15" customHeight="1">
      <c r="A1660" s="325"/>
      <c r="D1660" s="326"/>
      <c r="H1660" s="328" t="s">
        <v>7543</v>
      </c>
      <c r="I1660" s="378"/>
      <c r="J1660" s="379">
        <v>97673</v>
      </c>
      <c r="K1660" s="459"/>
      <c r="L1660" s="460"/>
      <c r="M1660" s="417"/>
    </row>
    <row r="1661" spans="1:13" ht="15" customHeight="1">
      <c r="A1661" s="325"/>
      <c r="D1661" s="326"/>
      <c r="H1661" s="328" t="s">
        <v>7544</v>
      </c>
      <c r="I1661" s="378"/>
      <c r="J1661" s="379">
        <v>4196</v>
      </c>
      <c r="K1661" s="459"/>
      <c r="L1661" s="460"/>
      <c r="M1661" s="417"/>
    </row>
    <row r="1662" spans="1:13" ht="15" customHeight="1">
      <c r="A1662" s="329"/>
      <c r="B1662" s="330"/>
      <c r="C1662" s="331"/>
      <c r="D1662" s="330"/>
      <c r="E1662" s="367"/>
      <c r="F1662" s="332"/>
      <c r="G1662" s="331"/>
      <c r="H1662" s="320" t="s">
        <v>7545</v>
      </c>
      <c r="I1662" s="384"/>
      <c r="J1662" s="381">
        <v>104036</v>
      </c>
      <c r="K1662" s="459"/>
      <c r="L1662" s="460"/>
      <c r="M1662" s="417"/>
    </row>
    <row r="1663" spans="1:13" ht="15" customHeight="1">
      <c r="A1663" s="496" t="s">
        <v>7546</v>
      </c>
      <c r="B1663" s="419" t="s">
        <v>1536</v>
      </c>
      <c r="C1663" s="390" t="s">
        <v>7547</v>
      </c>
      <c r="D1663" s="419" t="s">
        <v>8947</v>
      </c>
      <c r="E1663" s="388" t="s">
        <v>8947</v>
      </c>
      <c r="F1663" s="389"/>
      <c r="G1663" s="390" t="s">
        <v>1594</v>
      </c>
      <c r="H1663" s="403" t="s">
        <v>790</v>
      </c>
      <c r="I1663" s="413"/>
      <c r="J1663" s="392">
        <v>61820</v>
      </c>
      <c r="K1663" s="463">
        <v>0.9</v>
      </c>
      <c r="L1663" s="464">
        <f>J1663*K1663/100</f>
        <v>556.38</v>
      </c>
      <c r="M1663" s="417"/>
    </row>
    <row r="1664" spans="1:13" ht="15" customHeight="1">
      <c r="A1664" s="325"/>
      <c r="B1664" s="326" t="s">
        <v>1594</v>
      </c>
      <c r="D1664" s="326" t="s">
        <v>1594</v>
      </c>
      <c r="E1664" s="359" t="s">
        <v>8947</v>
      </c>
      <c r="F1664" s="334" t="s">
        <v>36</v>
      </c>
      <c r="G1664" s="327" t="s">
        <v>8948</v>
      </c>
      <c r="H1664" s="328" t="s">
        <v>7548</v>
      </c>
      <c r="I1664" s="378"/>
      <c r="J1664" s="379"/>
      <c r="K1664" s="459"/>
      <c r="L1664" s="460"/>
      <c r="M1664" s="417"/>
    </row>
    <row r="1665" spans="1:13" ht="15" customHeight="1">
      <c r="A1665" s="325"/>
      <c r="B1665" s="326" t="s">
        <v>1594</v>
      </c>
      <c r="D1665" s="326" t="s">
        <v>1594</v>
      </c>
      <c r="E1665" s="359" t="s">
        <v>8947</v>
      </c>
      <c r="F1665" s="334" t="s">
        <v>5337</v>
      </c>
      <c r="G1665" s="327" t="s">
        <v>8949</v>
      </c>
      <c r="H1665" s="333" t="s">
        <v>7549</v>
      </c>
      <c r="I1665" s="378"/>
      <c r="J1665" s="379"/>
      <c r="K1665" s="459"/>
      <c r="L1665" s="460"/>
      <c r="M1665" s="417"/>
    </row>
    <row r="1666" spans="1:13" ht="15" customHeight="1">
      <c r="A1666" s="325"/>
      <c r="B1666" s="326" t="s">
        <v>1594</v>
      </c>
      <c r="D1666" s="326" t="s">
        <v>1594</v>
      </c>
      <c r="E1666" s="359" t="s">
        <v>8947</v>
      </c>
      <c r="F1666" s="334" t="s">
        <v>5339</v>
      </c>
      <c r="G1666" s="327" t="s">
        <v>8950</v>
      </c>
      <c r="H1666" s="328" t="s">
        <v>7550</v>
      </c>
      <c r="I1666" s="378"/>
      <c r="J1666" s="379"/>
      <c r="K1666" s="459"/>
      <c r="L1666" s="460"/>
      <c r="M1666" s="417"/>
    </row>
    <row r="1667" spans="1:13" ht="15" customHeight="1">
      <c r="A1667" s="338" t="s">
        <v>7551</v>
      </c>
      <c r="B1667" s="339" t="s">
        <v>1538</v>
      </c>
      <c r="C1667" s="340" t="s">
        <v>7552</v>
      </c>
      <c r="D1667" s="339" t="s">
        <v>8951</v>
      </c>
      <c r="E1667" s="369" t="s">
        <v>8951</v>
      </c>
      <c r="F1667" s="350" t="s">
        <v>36</v>
      </c>
      <c r="G1667" s="340" t="s">
        <v>8952</v>
      </c>
      <c r="H1667" s="341" t="s">
        <v>791</v>
      </c>
      <c r="I1667" s="385"/>
      <c r="J1667" s="383">
        <v>92174</v>
      </c>
      <c r="K1667" s="459"/>
      <c r="L1667" s="460"/>
      <c r="M1667" s="417"/>
    </row>
    <row r="1668" spans="1:13" ht="15" customHeight="1">
      <c r="A1668" s="338" t="s">
        <v>7553</v>
      </c>
      <c r="B1668" s="339" t="s">
        <v>1540</v>
      </c>
      <c r="C1668" s="340" t="s">
        <v>7554</v>
      </c>
      <c r="D1668" s="339" t="s">
        <v>8953</v>
      </c>
      <c r="E1668" s="369" t="s">
        <v>8953</v>
      </c>
      <c r="F1668" s="350" t="s">
        <v>36</v>
      </c>
      <c r="G1668" s="340" t="s">
        <v>8954</v>
      </c>
      <c r="H1668" s="341" t="s">
        <v>792</v>
      </c>
      <c r="I1668" s="385"/>
      <c r="J1668" s="383">
        <v>158848</v>
      </c>
      <c r="K1668" s="459"/>
      <c r="L1668" s="460"/>
      <c r="M1668" s="417"/>
    </row>
    <row r="1669" spans="1:13" ht="15" customHeight="1">
      <c r="A1669" s="321" t="s">
        <v>7555</v>
      </c>
      <c r="B1669" s="322" t="s">
        <v>1542</v>
      </c>
      <c r="C1669" s="323" t="s">
        <v>7556</v>
      </c>
      <c r="D1669" s="322" t="s">
        <v>8955</v>
      </c>
      <c r="E1669" s="365" t="s">
        <v>8955</v>
      </c>
      <c r="F1669" s="366"/>
      <c r="G1669" s="323" t="s">
        <v>1594</v>
      </c>
      <c r="H1669" s="324" t="s">
        <v>793</v>
      </c>
      <c r="I1669" s="376"/>
      <c r="J1669" s="377">
        <v>220246</v>
      </c>
      <c r="K1669" s="459"/>
      <c r="L1669" s="460"/>
      <c r="M1669" s="417"/>
    </row>
    <row r="1670" spans="1:13" ht="15" customHeight="1">
      <c r="A1670" s="325"/>
      <c r="D1670" s="326" t="s">
        <v>1594</v>
      </c>
      <c r="E1670" s="359" t="s">
        <v>8955</v>
      </c>
      <c r="F1670" s="334" t="s">
        <v>5349</v>
      </c>
      <c r="G1670" s="327" t="s">
        <v>8956</v>
      </c>
      <c r="H1670" s="328" t="s">
        <v>7557</v>
      </c>
      <c r="I1670" s="378"/>
      <c r="J1670" s="379">
        <v>114166</v>
      </c>
      <c r="K1670" s="459"/>
      <c r="L1670" s="460"/>
      <c r="M1670" s="417"/>
    </row>
    <row r="1671" spans="1:13" ht="15" customHeight="1">
      <c r="A1671" s="325"/>
      <c r="D1671" s="326"/>
      <c r="E1671" s="359" t="s">
        <v>8955</v>
      </c>
      <c r="F1671" s="334" t="s">
        <v>5353</v>
      </c>
      <c r="G1671" s="327" t="s">
        <v>8957</v>
      </c>
      <c r="H1671" s="328" t="s">
        <v>7558</v>
      </c>
      <c r="I1671" s="378"/>
      <c r="J1671" s="379">
        <v>106080</v>
      </c>
      <c r="K1671" s="459"/>
      <c r="L1671" s="460"/>
      <c r="M1671" s="417"/>
    </row>
    <row r="1672" spans="1:13" ht="15" customHeight="1">
      <c r="A1672" s="338" t="s">
        <v>7559</v>
      </c>
      <c r="B1672" s="339" t="s">
        <v>1544</v>
      </c>
      <c r="C1672" s="340" t="s">
        <v>7560</v>
      </c>
      <c r="D1672" s="339" t="s">
        <v>8958</v>
      </c>
      <c r="E1672" s="369" t="s">
        <v>8958</v>
      </c>
      <c r="F1672" s="350" t="s">
        <v>5349</v>
      </c>
      <c r="G1672" s="340" t="s">
        <v>8959</v>
      </c>
      <c r="H1672" s="341" t="s">
        <v>7561</v>
      </c>
      <c r="I1672" s="385"/>
      <c r="J1672" s="383">
        <v>83500</v>
      </c>
      <c r="K1672" s="459"/>
      <c r="L1672" s="460"/>
      <c r="M1672" s="417"/>
    </row>
    <row r="1673" spans="1:13" ht="15" customHeight="1">
      <c r="A1673" s="457" t="s">
        <v>7562</v>
      </c>
      <c r="B1673" s="456" t="s">
        <v>1546</v>
      </c>
      <c r="C1673" s="455" t="s">
        <v>7563</v>
      </c>
      <c r="D1673" s="456" t="s">
        <v>8960</v>
      </c>
      <c r="E1673" s="436" t="s">
        <v>8960</v>
      </c>
      <c r="F1673" s="437"/>
      <c r="G1673" s="455" t="s">
        <v>1594</v>
      </c>
      <c r="H1673" s="438" t="s">
        <v>795</v>
      </c>
      <c r="I1673" s="439"/>
      <c r="J1673" s="440">
        <v>503795</v>
      </c>
      <c r="K1673" s="466">
        <v>0.2</v>
      </c>
      <c r="L1673" s="464">
        <f>J1673*K1673/100</f>
        <v>1007.59</v>
      </c>
      <c r="M1673" s="417"/>
    </row>
    <row r="1674" spans="1:13" ht="15" customHeight="1">
      <c r="A1674" s="325"/>
      <c r="B1674" s="326" t="s">
        <v>1594</v>
      </c>
      <c r="D1674" s="326" t="s">
        <v>1594</v>
      </c>
      <c r="E1674" s="359" t="s">
        <v>8960</v>
      </c>
      <c r="F1674" s="334" t="s">
        <v>575</v>
      </c>
      <c r="G1674" s="327" t="s">
        <v>8961</v>
      </c>
      <c r="H1674" s="328" t="s">
        <v>7564</v>
      </c>
      <c r="I1674" s="378"/>
      <c r="J1674" s="379">
        <v>125660</v>
      </c>
      <c r="K1674" s="459"/>
      <c r="L1674" s="460"/>
      <c r="M1674" s="417"/>
    </row>
    <row r="1675" spans="1:13" ht="15" customHeight="1">
      <c r="A1675" s="325"/>
      <c r="D1675" s="326"/>
      <c r="E1675" s="359" t="s">
        <v>8960</v>
      </c>
      <c r="F1675" s="334" t="s">
        <v>6000</v>
      </c>
      <c r="G1675" s="327" t="s">
        <v>8962</v>
      </c>
      <c r="H1675" s="328" t="s">
        <v>7565</v>
      </c>
      <c r="I1675" s="378"/>
      <c r="J1675" s="379"/>
      <c r="K1675" s="459"/>
      <c r="L1675" s="460"/>
      <c r="M1675" s="417"/>
    </row>
    <row r="1676" spans="1:13" ht="15" customHeight="1">
      <c r="A1676" s="325"/>
      <c r="B1676" s="326" t="s">
        <v>1594</v>
      </c>
      <c r="D1676" s="326" t="s">
        <v>1594</v>
      </c>
      <c r="E1676" s="359" t="s">
        <v>8960</v>
      </c>
      <c r="F1676" s="334" t="s">
        <v>6002</v>
      </c>
      <c r="G1676" s="327" t="s">
        <v>8963</v>
      </c>
      <c r="H1676" s="328" t="s">
        <v>7566</v>
      </c>
      <c r="I1676" s="378"/>
      <c r="J1676" s="379">
        <v>1280</v>
      </c>
      <c r="K1676" s="459"/>
      <c r="L1676" s="460"/>
      <c r="M1676" s="417"/>
    </row>
    <row r="1677" spans="1:13" ht="15" customHeight="1">
      <c r="A1677" s="325"/>
      <c r="B1677" s="326" t="s">
        <v>1594</v>
      </c>
      <c r="D1677" s="326" t="s">
        <v>1594</v>
      </c>
      <c r="E1677" s="359" t="s">
        <v>8960</v>
      </c>
      <c r="F1677" s="334" t="s">
        <v>6146</v>
      </c>
      <c r="G1677" s="327" t="s">
        <v>8964</v>
      </c>
      <c r="H1677" s="328" t="s">
        <v>7567</v>
      </c>
      <c r="I1677" s="378"/>
      <c r="J1677" s="379">
        <v>0</v>
      </c>
      <c r="K1677" s="459"/>
      <c r="L1677" s="460"/>
      <c r="M1677" s="417"/>
    </row>
    <row r="1678" spans="1:13" ht="15" customHeight="1">
      <c r="A1678" s="325"/>
      <c r="B1678" s="326" t="s">
        <v>1594</v>
      </c>
      <c r="D1678" s="326" t="s">
        <v>1594</v>
      </c>
      <c r="E1678" s="359" t="s">
        <v>8960</v>
      </c>
      <c r="F1678" s="334" t="s">
        <v>6148</v>
      </c>
      <c r="G1678" s="327" t="s">
        <v>8965</v>
      </c>
      <c r="H1678" s="328" t="s">
        <v>7568</v>
      </c>
      <c r="I1678" s="378"/>
      <c r="J1678" s="379">
        <v>71285</v>
      </c>
      <c r="K1678" s="459"/>
      <c r="L1678" s="460"/>
      <c r="M1678" s="417"/>
    </row>
    <row r="1679" spans="1:13" ht="15" customHeight="1">
      <c r="A1679" s="325"/>
      <c r="D1679" s="326"/>
      <c r="E1679" s="359" t="s">
        <v>8960</v>
      </c>
      <c r="F1679" s="334" t="s">
        <v>5602</v>
      </c>
      <c r="G1679" s="327" t="s">
        <v>8966</v>
      </c>
      <c r="H1679" s="328" t="s">
        <v>7569</v>
      </c>
      <c r="I1679" s="378"/>
      <c r="J1679" s="379"/>
      <c r="K1679" s="459"/>
      <c r="L1679" s="460"/>
      <c r="M1679" s="417"/>
    </row>
    <row r="1680" spans="1:13" ht="15" customHeight="1">
      <c r="A1680" s="325"/>
      <c r="B1680" s="326" t="s">
        <v>1594</v>
      </c>
      <c r="D1680" s="326" t="s">
        <v>1594</v>
      </c>
      <c r="E1680" s="359" t="s">
        <v>8960</v>
      </c>
      <c r="F1680" s="334" t="s">
        <v>5844</v>
      </c>
      <c r="G1680" s="327" t="s">
        <v>8967</v>
      </c>
      <c r="H1680" s="333" t="s">
        <v>7570</v>
      </c>
      <c r="I1680" s="378"/>
      <c r="J1680" s="379">
        <v>38942</v>
      </c>
      <c r="K1680" s="459"/>
      <c r="L1680" s="460"/>
      <c r="M1680" s="417"/>
    </row>
    <row r="1681" spans="1:13" ht="15" customHeight="1">
      <c r="A1681" s="325"/>
      <c r="B1681" s="326" t="s">
        <v>1594</v>
      </c>
      <c r="D1681" s="326" t="s">
        <v>1594</v>
      </c>
      <c r="E1681" s="359" t="s">
        <v>8960</v>
      </c>
      <c r="F1681" s="334" t="s">
        <v>7571</v>
      </c>
      <c r="G1681" s="327" t="s">
        <v>8968</v>
      </c>
      <c r="H1681" s="328" t="s">
        <v>7572</v>
      </c>
      <c r="I1681" s="378"/>
      <c r="J1681" s="379">
        <v>19762</v>
      </c>
      <c r="K1681" s="459"/>
      <c r="L1681" s="460"/>
      <c r="M1681" s="417"/>
    </row>
    <row r="1682" spans="1:13" ht="15" customHeight="1">
      <c r="A1682" s="325"/>
      <c r="B1682" s="326" t="s">
        <v>1594</v>
      </c>
      <c r="D1682" s="326" t="s">
        <v>1594</v>
      </c>
      <c r="E1682" s="359" t="s">
        <v>8960</v>
      </c>
      <c r="F1682" s="334" t="s">
        <v>7573</v>
      </c>
      <c r="G1682" s="327" t="s">
        <v>8969</v>
      </c>
      <c r="H1682" s="328" t="s">
        <v>7574</v>
      </c>
      <c r="I1682" s="378"/>
      <c r="J1682" s="379">
        <v>14779</v>
      </c>
      <c r="K1682" s="459"/>
      <c r="L1682" s="460"/>
      <c r="M1682" s="417"/>
    </row>
    <row r="1683" spans="1:13" ht="15" customHeight="1">
      <c r="A1683" s="325"/>
      <c r="D1683" s="326"/>
      <c r="E1683" s="359" t="s">
        <v>8960</v>
      </c>
      <c r="F1683" s="334" t="s">
        <v>7575</v>
      </c>
      <c r="G1683" s="327" t="s">
        <v>8970</v>
      </c>
      <c r="H1683" s="328" t="s">
        <v>7576</v>
      </c>
      <c r="I1683" s="378"/>
      <c r="J1683" s="379"/>
      <c r="K1683" s="459"/>
      <c r="L1683" s="460"/>
      <c r="M1683" s="417"/>
    </row>
    <row r="1684" spans="1:13" ht="15" customHeight="1">
      <c r="A1684" s="325"/>
      <c r="B1684" s="326" t="s">
        <v>1594</v>
      </c>
      <c r="D1684" s="326" t="s">
        <v>1594</v>
      </c>
      <c r="E1684" s="359" t="s">
        <v>8960</v>
      </c>
      <c r="F1684" s="334" t="s">
        <v>5484</v>
      </c>
      <c r="G1684" s="327" t="s">
        <v>8971</v>
      </c>
      <c r="H1684" s="328" t="s">
        <v>7577</v>
      </c>
      <c r="I1684" s="378"/>
      <c r="J1684" s="379">
        <v>37622</v>
      </c>
      <c r="K1684" s="459"/>
      <c r="L1684" s="460"/>
      <c r="M1684" s="417"/>
    </row>
    <row r="1685" spans="1:13" ht="15" customHeight="1">
      <c r="A1685" s="325"/>
      <c r="B1685" s="326" t="s">
        <v>1594</v>
      </c>
      <c r="D1685" s="326" t="s">
        <v>1594</v>
      </c>
      <c r="E1685" s="359" t="s">
        <v>8960</v>
      </c>
      <c r="F1685" s="370" t="s">
        <v>5486</v>
      </c>
      <c r="G1685" s="482" t="s">
        <v>8972</v>
      </c>
      <c r="H1685" s="333" t="s">
        <v>7578</v>
      </c>
      <c r="I1685" s="414"/>
      <c r="J1685" s="386">
        <v>6020</v>
      </c>
      <c r="K1685" s="459"/>
      <c r="L1685" s="460"/>
      <c r="M1685" s="417"/>
    </row>
    <row r="1686" spans="1:13" ht="15" customHeight="1">
      <c r="A1686" s="325"/>
      <c r="B1686" s="326" t="s">
        <v>1594</v>
      </c>
      <c r="D1686" s="326" t="s">
        <v>1594</v>
      </c>
      <c r="E1686" s="359" t="s">
        <v>8960</v>
      </c>
      <c r="F1686" s="334" t="s">
        <v>6210</v>
      </c>
      <c r="G1686" s="327" t="s">
        <v>8973</v>
      </c>
      <c r="H1686" s="333" t="s">
        <v>7579</v>
      </c>
      <c r="I1686" s="378"/>
      <c r="J1686" s="379">
        <v>188445</v>
      </c>
      <c r="K1686" s="459"/>
      <c r="L1686" s="460"/>
      <c r="M1686" s="417"/>
    </row>
    <row r="1687" spans="1:13" ht="15" customHeight="1">
      <c r="A1687" s="447" t="s">
        <v>7580</v>
      </c>
      <c r="B1687" s="448" t="s">
        <v>1548</v>
      </c>
      <c r="C1687" s="449" t="s">
        <v>7581</v>
      </c>
      <c r="D1687" s="448" t="s">
        <v>8974</v>
      </c>
      <c r="E1687" s="450" t="s">
        <v>8974</v>
      </c>
      <c r="F1687" s="451" t="s">
        <v>5349</v>
      </c>
      <c r="G1687" s="449" t="s">
        <v>8975</v>
      </c>
      <c r="H1687" s="452" t="s">
        <v>7582</v>
      </c>
      <c r="I1687" s="453"/>
      <c r="J1687" s="454">
        <v>230883</v>
      </c>
      <c r="K1687" s="466">
        <v>3.2</v>
      </c>
      <c r="L1687" s="467">
        <f>J1687*K1687/100</f>
        <v>7388.2560000000012</v>
      </c>
      <c r="M1687" s="417"/>
    </row>
    <row r="1688" spans="1:13" ht="15" customHeight="1">
      <c r="A1688" s="545" t="s">
        <v>7583</v>
      </c>
      <c r="B1688" s="542" t="s">
        <v>1550</v>
      </c>
      <c r="C1688" s="443" t="s">
        <v>7584</v>
      </c>
      <c r="D1688" s="542" t="s">
        <v>8976</v>
      </c>
      <c r="E1688" s="441" t="s">
        <v>8976</v>
      </c>
      <c r="F1688" s="442" t="s">
        <v>36</v>
      </c>
      <c r="G1688" s="443" t="s">
        <v>8977</v>
      </c>
      <c r="H1688" s="444" t="s">
        <v>7585</v>
      </c>
      <c r="I1688" s="445"/>
      <c r="J1688" s="446">
        <v>1097153</v>
      </c>
      <c r="K1688" s="466">
        <v>0.6</v>
      </c>
      <c r="L1688" s="467">
        <f>J1688*K1688/100</f>
        <v>6582.9179999999997</v>
      </c>
      <c r="M1688" s="417"/>
    </row>
    <row r="1689" spans="1:13" ht="15" customHeight="1">
      <c r="A1689" s="398" t="s">
        <v>7586</v>
      </c>
      <c r="B1689" s="399" t="s">
        <v>1552</v>
      </c>
      <c r="C1689" s="400" t="s">
        <v>7587</v>
      </c>
      <c r="D1689" s="399" t="s">
        <v>8978</v>
      </c>
      <c r="E1689" s="401" t="s">
        <v>8978</v>
      </c>
      <c r="F1689" s="402" t="s">
        <v>36</v>
      </c>
      <c r="G1689" s="400" t="s">
        <v>8979</v>
      </c>
      <c r="H1689" s="395" t="s">
        <v>7588</v>
      </c>
      <c r="I1689" s="480"/>
      <c r="J1689" s="397">
        <v>127101</v>
      </c>
      <c r="K1689" s="463">
        <v>0.6</v>
      </c>
      <c r="L1689" s="467">
        <f>J1689*K1689/100</f>
        <v>762.60599999999988</v>
      </c>
      <c r="M1689" s="417"/>
    </row>
    <row r="1690" spans="1:13" ht="15" customHeight="1">
      <c r="A1690" s="321" t="s">
        <v>7589</v>
      </c>
      <c r="B1690" s="322" t="s">
        <v>1554</v>
      </c>
      <c r="C1690" s="323" t="s">
        <v>7590</v>
      </c>
      <c r="D1690" s="322" t="s">
        <v>8980</v>
      </c>
      <c r="E1690" s="365" t="s">
        <v>8980</v>
      </c>
      <c r="F1690" s="366"/>
      <c r="G1690" s="323" t="s">
        <v>1594</v>
      </c>
      <c r="H1690" s="324" t="s">
        <v>7591</v>
      </c>
      <c r="I1690" s="376"/>
      <c r="J1690" s="377">
        <v>57813</v>
      </c>
      <c r="K1690" s="459"/>
      <c r="L1690" s="460"/>
      <c r="M1690" s="417"/>
    </row>
    <row r="1691" spans="1:13" ht="15" customHeight="1">
      <c r="A1691" s="325"/>
      <c r="B1691" s="326" t="s">
        <v>1594</v>
      </c>
      <c r="D1691" s="326" t="s">
        <v>1594</v>
      </c>
      <c r="E1691" s="359" t="s">
        <v>8980</v>
      </c>
      <c r="F1691" s="334" t="s">
        <v>36</v>
      </c>
      <c r="G1691" s="327" t="s">
        <v>8981</v>
      </c>
      <c r="H1691" s="328" t="s">
        <v>7592</v>
      </c>
      <c r="I1691" s="378"/>
      <c r="J1691" s="379">
        <v>18504</v>
      </c>
      <c r="K1691" s="459"/>
      <c r="L1691" s="460"/>
      <c r="M1691" s="417"/>
    </row>
    <row r="1692" spans="1:13" ht="15" customHeight="1">
      <c r="A1692" s="325"/>
      <c r="B1692" s="326" t="s">
        <v>1594</v>
      </c>
      <c r="D1692" s="326" t="s">
        <v>1594</v>
      </c>
      <c r="E1692" s="359" t="s">
        <v>8980</v>
      </c>
      <c r="F1692" s="334" t="s">
        <v>5337</v>
      </c>
      <c r="G1692" s="327" t="s">
        <v>8982</v>
      </c>
      <c r="H1692" s="328" t="s">
        <v>7593</v>
      </c>
      <c r="I1692" s="378"/>
      <c r="J1692" s="379">
        <v>30852</v>
      </c>
      <c r="K1692" s="459"/>
      <c r="L1692" s="460"/>
      <c r="M1692" s="417"/>
    </row>
    <row r="1693" spans="1:13" ht="15" customHeight="1">
      <c r="A1693" s="329"/>
      <c r="B1693" s="330" t="s">
        <v>1594</v>
      </c>
      <c r="C1693" s="331"/>
      <c r="D1693" s="330" t="s">
        <v>1594</v>
      </c>
      <c r="E1693" s="367" t="s">
        <v>8980</v>
      </c>
      <c r="F1693" s="332" t="s">
        <v>7205</v>
      </c>
      <c r="G1693" s="331" t="s">
        <v>8983</v>
      </c>
      <c r="H1693" s="320" t="s">
        <v>7594</v>
      </c>
      <c r="I1693" s="384"/>
      <c r="J1693" s="381">
        <v>8457</v>
      </c>
      <c r="K1693" s="459"/>
      <c r="L1693" s="460"/>
      <c r="M1693" s="417"/>
    </row>
    <row r="1694" spans="1:13" ht="15" customHeight="1">
      <c r="A1694" s="325" t="s">
        <v>7595</v>
      </c>
      <c r="B1694" s="326" t="s">
        <v>1556</v>
      </c>
      <c r="C1694" s="327" t="s">
        <v>7596</v>
      </c>
      <c r="D1694" s="326" t="s">
        <v>8984</v>
      </c>
      <c r="E1694" s="359" t="s">
        <v>8984</v>
      </c>
      <c r="F1694" s="334" t="s">
        <v>36</v>
      </c>
      <c r="G1694" s="327" t="s">
        <v>8985</v>
      </c>
      <c r="H1694" s="328" t="s">
        <v>804</v>
      </c>
      <c r="I1694" s="378"/>
      <c r="J1694" s="379">
        <v>20323</v>
      </c>
      <c r="K1694" s="459"/>
      <c r="L1694" s="460"/>
      <c r="M1694" s="417"/>
    </row>
    <row r="1695" spans="1:13" ht="15" customHeight="1">
      <c r="A1695" s="321" t="s">
        <v>7597</v>
      </c>
      <c r="B1695" s="322" t="s">
        <v>1558</v>
      </c>
      <c r="C1695" s="323" t="s">
        <v>7598</v>
      </c>
      <c r="D1695" s="322" t="s">
        <v>8986</v>
      </c>
      <c r="E1695" s="365" t="s">
        <v>8986</v>
      </c>
      <c r="F1695" s="366" t="s">
        <v>36</v>
      </c>
      <c r="G1695" s="323" t="s">
        <v>8987</v>
      </c>
      <c r="H1695" s="324" t="s">
        <v>805</v>
      </c>
      <c r="I1695" s="376"/>
      <c r="J1695" s="377">
        <v>89004</v>
      </c>
      <c r="K1695" s="459"/>
      <c r="L1695" s="460"/>
      <c r="M1695" s="417"/>
    </row>
    <row r="1696" spans="1:13" ht="15" customHeight="1">
      <c r="A1696" s="338" t="s">
        <v>7599</v>
      </c>
      <c r="B1696" s="339" t="s">
        <v>1560</v>
      </c>
      <c r="C1696" s="340" t="s">
        <v>7600</v>
      </c>
      <c r="D1696" s="339" t="s">
        <v>8988</v>
      </c>
      <c r="E1696" s="369" t="s">
        <v>8988</v>
      </c>
      <c r="F1696" s="350" t="s">
        <v>5349</v>
      </c>
      <c r="G1696" s="340" t="s">
        <v>8989</v>
      </c>
      <c r="H1696" s="341" t="s">
        <v>806</v>
      </c>
      <c r="I1696" s="385"/>
      <c r="J1696" s="385">
        <v>16287</v>
      </c>
      <c r="K1696" s="470"/>
      <c r="L1696" s="465"/>
      <c r="M1696" s="417"/>
    </row>
    <row r="1697" spans="1:13" ht="15" customHeight="1">
      <c r="A1697" s="325" t="s">
        <v>7601</v>
      </c>
      <c r="B1697" s="326" t="s">
        <v>1562</v>
      </c>
      <c r="C1697" s="327" t="s">
        <v>7602</v>
      </c>
      <c r="D1697" s="326" t="s">
        <v>8990</v>
      </c>
      <c r="E1697" s="359" t="s">
        <v>8990</v>
      </c>
      <c r="G1697" s="327" t="s">
        <v>1594</v>
      </c>
      <c r="H1697" s="333" t="s">
        <v>7603</v>
      </c>
      <c r="I1697" s="378"/>
      <c r="J1697" s="379">
        <v>28592</v>
      </c>
      <c r="K1697" s="459"/>
      <c r="L1697" s="460"/>
      <c r="M1697" s="417"/>
    </row>
    <row r="1698" spans="1:13" ht="15" customHeight="1">
      <c r="A1698" s="325"/>
      <c r="D1698" s="326"/>
      <c r="E1698" s="359" t="s">
        <v>8990</v>
      </c>
      <c r="F1698" s="334" t="s">
        <v>5349</v>
      </c>
      <c r="G1698" s="327" t="s">
        <v>8991</v>
      </c>
      <c r="H1698" s="333" t="s">
        <v>7604</v>
      </c>
      <c r="I1698" s="378"/>
      <c r="J1698" s="379">
        <v>146</v>
      </c>
      <c r="K1698" s="459"/>
      <c r="L1698" s="460"/>
      <c r="M1698" s="417"/>
    </row>
    <row r="1699" spans="1:13" ht="15" customHeight="1">
      <c r="A1699" s="325"/>
      <c r="D1699" s="326"/>
      <c r="E1699" s="359" t="s">
        <v>8990</v>
      </c>
      <c r="F1699" s="334" t="s">
        <v>5327</v>
      </c>
      <c r="G1699" s="327" t="s">
        <v>8992</v>
      </c>
      <c r="H1699" s="333" t="s">
        <v>7605</v>
      </c>
      <c r="I1699" s="378"/>
      <c r="J1699" s="379">
        <v>9672</v>
      </c>
      <c r="K1699" s="459"/>
      <c r="L1699" s="460"/>
      <c r="M1699" s="417"/>
    </row>
    <row r="1700" spans="1:13" ht="15" customHeight="1">
      <c r="A1700" s="325"/>
      <c r="D1700" s="326"/>
      <c r="E1700" s="359" t="s">
        <v>8990</v>
      </c>
      <c r="F1700" s="334" t="s">
        <v>5353</v>
      </c>
      <c r="G1700" s="327" t="s">
        <v>8993</v>
      </c>
      <c r="H1700" s="333" t="s">
        <v>7606</v>
      </c>
      <c r="I1700" s="378"/>
      <c r="J1700" s="379">
        <v>18774</v>
      </c>
      <c r="K1700" s="459"/>
      <c r="L1700" s="460"/>
      <c r="M1700" s="417"/>
    </row>
    <row r="1701" spans="1:13" ht="15" customHeight="1">
      <c r="A1701" s="338" t="s">
        <v>7607</v>
      </c>
      <c r="B1701" s="339" t="s">
        <v>1564</v>
      </c>
      <c r="C1701" s="340" t="s">
        <v>7608</v>
      </c>
      <c r="D1701" s="339" t="s">
        <v>8994</v>
      </c>
      <c r="E1701" s="369" t="s">
        <v>8994</v>
      </c>
      <c r="F1701" s="350"/>
      <c r="G1701" s="340" t="s">
        <v>1594</v>
      </c>
      <c r="H1701" s="341" t="s">
        <v>809</v>
      </c>
      <c r="I1701" s="385"/>
      <c r="J1701" s="383">
        <v>7387</v>
      </c>
      <c r="K1701" s="459"/>
      <c r="L1701" s="460"/>
      <c r="M1701" s="417"/>
    </row>
    <row r="1702" spans="1:13" ht="15" customHeight="1">
      <c r="A1702" s="457" t="s">
        <v>7609</v>
      </c>
      <c r="B1702" s="456" t="s">
        <v>1566</v>
      </c>
      <c r="C1702" s="455" t="s">
        <v>7610</v>
      </c>
      <c r="D1702" s="456" t="s">
        <v>8995</v>
      </c>
      <c r="E1702" s="436" t="s">
        <v>8995</v>
      </c>
      <c r="F1702" s="437"/>
      <c r="G1702" s="455"/>
      <c r="H1702" s="438" t="s">
        <v>7611</v>
      </c>
      <c r="I1702" s="439"/>
      <c r="J1702" s="446">
        <v>61314</v>
      </c>
      <c r="K1702" s="466">
        <v>29.8</v>
      </c>
      <c r="L1702" s="464">
        <f>J1702*K1702/100</f>
        <v>18271.572</v>
      </c>
      <c r="M1702" s="417"/>
    </row>
    <row r="1703" spans="1:13" ht="15" customHeight="1">
      <c r="A1703" s="447" t="s">
        <v>7612</v>
      </c>
      <c r="B1703" s="448" t="s">
        <v>1568</v>
      </c>
      <c r="C1703" s="449" t="s">
        <v>7613</v>
      </c>
      <c r="D1703" s="448" t="s">
        <v>8996</v>
      </c>
      <c r="E1703" s="450" t="s">
        <v>8996</v>
      </c>
      <c r="F1703" s="451" t="s">
        <v>36</v>
      </c>
      <c r="G1703" s="449" t="s">
        <v>8997</v>
      </c>
      <c r="H1703" s="458" t="s">
        <v>7614</v>
      </c>
      <c r="I1703" s="453">
        <v>1184096</v>
      </c>
      <c r="J1703" s="446">
        <v>60573</v>
      </c>
      <c r="K1703" s="466">
        <v>100</v>
      </c>
      <c r="L1703" s="464">
        <f t="shared" ref="L1703" si="5">J1703*K1703/100</f>
        <v>60573</v>
      </c>
      <c r="M1703" s="417"/>
    </row>
    <row r="1704" spans="1:13" ht="15" customHeight="1">
      <c r="A1704" s="325" t="s">
        <v>7615</v>
      </c>
      <c r="B1704" s="326" t="s">
        <v>1570</v>
      </c>
      <c r="C1704" s="327" t="s">
        <v>7616</v>
      </c>
      <c r="D1704" s="326" t="s">
        <v>8998</v>
      </c>
      <c r="E1704" s="359" t="s">
        <v>8998</v>
      </c>
      <c r="G1704" s="327" t="s">
        <v>1594</v>
      </c>
      <c r="H1704" s="333" t="s">
        <v>812</v>
      </c>
      <c r="I1704" s="378"/>
      <c r="J1704" s="379">
        <v>142976</v>
      </c>
      <c r="K1704" s="459"/>
      <c r="L1704" s="460"/>
      <c r="M1704" s="417"/>
    </row>
    <row r="1705" spans="1:13" ht="15" customHeight="1">
      <c r="A1705" s="325"/>
      <c r="B1705" s="326" t="s">
        <v>1594</v>
      </c>
      <c r="D1705" s="326" t="s">
        <v>1594</v>
      </c>
      <c r="E1705" s="388" t="s">
        <v>8998</v>
      </c>
      <c r="F1705" s="389" t="s">
        <v>575</v>
      </c>
      <c r="G1705" s="390" t="s">
        <v>8999</v>
      </c>
      <c r="H1705" s="403" t="s">
        <v>7617</v>
      </c>
      <c r="I1705" s="413"/>
      <c r="J1705" s="392">
        <v>299</v>
      </c>
      <c r="K1705" s="463">
        <v>100</v>
      </c>
      <c r="L1705" s="464">
        <f>J1705*K1705/100</f>
        <v>299</v>
      </c>
      <c r="M1705" s="417"/>
    </row>
    <row r="1706" spans="1:13" ht="15" customHeight="1">
      <c r="A1706" s="325"/>
      <c r="B1706" s="326" t="s">
        <v>1594</v>
      </c>
      <c r="D1706" s="326" t="s">
        <v>1594</v>
      </c>
      <c r="E1706" s="388" t="s">
        <v>8998</v>
      </c>
      <c r="F1706" s="389" t="s">
        <v>5359</v>
      </c>
      <c r="G1706" s="390" t="s">
        <v>9000</v>
      </c>
      <c r="H1706" s="403" t="s">
        <v>7618</v>
      </c>
      <c r="I1706" s="413"/>
      <c r="J1706" s="392">
        <v>97803</v>
      </c>
      <c r="K1706" s="463">
        <v>100</v>
      </c>
      <c r="L1706" s="464">
        <f t="shared" ref="L1706:L1712" si="6">J1706*K1706/100</f>
        <v>97803</v>
      </c>
      <c r="M1706" s="417"/>
    </row>
    <row r="1707" spans="1:13" ht="15" customHeight="1">
      <c r="A1707" s="325"/>
      <c r="B1707" s="326" t="s">
        <v>1594</v>
      </c>
      <c r="D1707" s="326" t="s">
        <v>1594</v>
      </c>
      <c r="E1707" s="388" t="s">
        <v>8998</v>
      </c>
      <c r="F1707" s="389" t="s">
        <v>5361</v>
      </c>
      <c r="G1707" s="390" t="s">
        <v>9001</v>
      </c>
      <c r="H1707" s="403" t="s">
        <v>7619</v>
      </c>
      <c r="I1707" s="413"/>
      <c r="J1707" s="392">
        <v>14182</v>
      </c>
      <c r="K1707" s="463">
        <v>100</v>
      </c>
      <c r="L1707" s="464">
        <f t="shared" si="6"/>
        <v>14182</v>
      </c>
      <c r="M1707" s="417"/>
    </row>
    <row r="1708" spans="1:13" ht="15" customHeight="1">
      <c r="A1708" s="325"/>
      <c r="B1708" s="326" t="s">
        <v>1594</v>
      </c>
      <c r="D1708" s="326" t="s">
        <v>1594</v>
      </c>
      <c r="E1708" s="388" t="s">
        <v>8998</v>
      </c>
      <c r="F1708" s="389" t="s">
        <v>5363</v>
      </c>
      <c r="G1708" s="390" t="s">
        <v>9002</v>
      </c>
      <c r="H1708" s="403" t="s">
        <v>7620</v>
      </c>
      <c r="I1708" s="413"/>
      <c r="J1708" s="392">
        <v>1209</v>
      </c>
      <c r="K1708" s="463">
        <v>100</v>
      </c>
      <c r="L1708" s="464">
        <f t="shared" si="6"/>
        <v>1209</v>
      </c>
      <c r="M1708" s="417"/>
    </row>
    <row r="1709" spans="1:13" ht="15" customHeight="1">
      <c r="A1709" s="325"/>
      <c r="B1709" s="326" t="s">
        <v>1594</v>
      </c>
      <c r="D1709" s="326" t="s">
        <v>1594</v>
      </c>
      <c r="E1709" s="388" t="s">
        <v>8998</v>
      </c>
      <c r="F1709" s="389" t="s">
        <v>5365</v>
      </c>
      <c r="G1709" s="390" t="s">
        <v>9003</v>
      </c>
      <c r="H1709" s="403" t="s">
        <v>7621</v>
      </c>
      <c r="I1709" s="413"/>
      <c r="J1709" s="392">
        <v>939</v>
      </c>
      <c r="K1709" s="463">
        <v>100</v>
      </c>
      <c r="L1709" s="464">
        <f t="shared" si="6"/>
        <v>939</v>
      </c>
      <c r="M1709" s="417"/>
    </row>
    <row r="1710" spans="1:13" ht="15" customHeight="1">
      <c r="A1710" s="325"/>
      <c r="B1710" s="326" t="s">
        <v>1594</v>
      </c>
      <c r="D1710" s="326" t="s">
        <v>1594</v>
      </c>
      <c r="E1710" s="388" t="s">
        <v>8998</v>
      </c>
      <c r="F1710" s="389" t="s">
        <v>5367</v>
      </c>
      <c r="G1710" s="390" t="s">
        <v>9004</v>
      </c>
      <c r="H1710" s="403" t="s">
        <v>7622</v>
      </c>
      <c r="I1710" s="413"/>
      <c r="J1710" s="392">
        <v>4786</v>
      </c>
      <c r="K1710" s="463">
        <v>100</v>
      </c>
      <c r="L1710" s="464">
        <f t="shared" si="6"/>
        <v>4786</v>
      </c>
      <c r="M1710" s="417"/>
    </row>
    <row r="1711" spans="1:13" ht="15" customHeight="1">
      <c r="A1711" s="325"/>
      <c r="B1711" s="326" t="s">
        <v>1594</v>
      </c>
      <c r="D1711" s="326" t="s">
        <v>1594</v>
      </c>
      <c r="E1711" s="388" t="s">
        <v>8998</v>
      </c>
      <c r="F1711" s="389" t="s">
        <v>5381</v>
      </c>
      <c r="G1711" s="390" t="s">
        <v>9005</v>
      </c>
      <c r="H1711" s="405" t="s">
        <v>7623</v>
      </c>
      <c r="I1711" s="413"/>
      <c r="J1711" s="392">
        <v>10332</v>
      </c>
      <c r="K1711" s="463">
        <v>100</v>
      </c>
      <c r="L1711" s="464">
        <f t="shared" si="6"/>
        <v>10332</v>
      </c>
      <c r="M1711" s="417"/>
    </row>
    <row r="1712" spans="1:13" ht="15" customHeight="1">
      <c r="A1712" s="325"/>
      <c r="B1712" s="326" t="s">
        <v>1594</v>
      </c>
      <c r="D1712" s="326" t="s">
        <v>1594</v>
      </c>
      <c r="E1712" s="388" t="s">
        <v>8998</v>
      </c>
      <c r="F1712" s="389" t="s">
        <v>5383</v>
      </c>
      <c r="G1712" s="390" t="s">
        <v>9006</v>
      </c>
      <c r="H1712" s="403" t="s">
        <v>7624</v>
      </c>
      <c r="I1712" s="413"/>
      <c r="J1712" s="392">
        <v>13426</v>
      </c>
      <c r="K1712" s="463">
        <v>15.8</v>
      </c>
      <c r="L1712" s="464">
        <f t="shared" si="6"/>
        <v>2121.308</v>
      </c>
      <c r="M1712" s="417"/>
    </row>
    <row r="1713" spans="1:13" ht="15" customHeight="1">
      <c r="A1713" s="338" t="s">
        <v>7625</v>
      </c>
      <c r="B1713" s="339" t="s">
        <v>1572</v>
      </c>
      <c r="C1713" s="340" t="s">
        <v>7626</v>
      </c>
      <c r="D1713" s="339" t="s">
        <v>9007</v>
      </c>
      <c r="E1713" s="369" t="s">
        <v>9007</v>
      </c>
      <c r="F1713" s="350" t="s">
        <v>36</v>
      </c>
      <c r="G1713" s="340" t="s">
        <v>9008</v>
      </c>
      <c r="H1713" s="341" t="s">
        <v>7627</v>
      </c>
      <c r="I1713" s="385">
        <v>3858940</v>
      </c>
      <c r="J1713" s="383">
        <v>111376</v>
      </c>
      <c r="K1713" s="459"/>
      <c r="L1713" s="460"/>
      <c r="M1713" s="417"/>
    </row>
    <row r="1714" spans="1:13" ht="15" customHeight="1">
      <c r="A1714" s="321" t="s">
        <v>7628</v>
      </c>
      <c r="B1714" s="322" t="s">
        <v>1574</v>
      </c>
      <c r="C1714" s="323" t="s">
        <v>7629</v>
      </c>
      <c r="D1714" s="322" t="s">
        <v>9009</v>
      </c>
      <c r="E1714" s="365" t="s">
        <v>9009</v>
      </c>
      <c r="F1714" s="366"/>
      <c r="G1714" s="323" t="s">
        <v>1594</v>
      </c>
      <c r="H1714" s="324" t="s">
        <v>814</v>
      </c>
      <c r="I1714" s="376"/>
      <c r="J1714" s="377">
        <v>19786</v>
      </c>
      <c r="K1714" s="459"/>
      <c r="L1714" s="460"/>
      <c r="M1714" s="417"/>
    </row>
    <row r="1715" spans="1:13" ht="15" customHeight="1">
      <c r="A1715" s="325"/>
      <c r="B1715" s="326" t="s">
        <v>1594</v>
      </c>
      <c r="D1715" s="326" t="s">
        <v>1594</v>
      </c>
      <c r="E1715" s="359" t="s">
        <v>9009</v>
      </c>
      <c r="F1715" s="334" t="s">
        <v>36</v>
      </c>
      <c r="G1715" s="327" t="s">
        <v>9010</v>
      </c>
      <c r="H1715" s="328" t="s">
        <v>7630</v>
      </c>
      <c r="I1715" s="378"/>
      <c r="J1715" s="379">
        <v>8237</v>
      </c>
      <c r="K1715" s="459"/>
      <c r="L1715" s="460"/>
      <c r="M1715" s="417"/>
    </row>
    <row r="1716" spans="1:13" ht="15" customHeight="1">
      <c r="A1716" s="325"/>
      <c r="B1716" s="326" t="s">
        <v>1594</v>
      </c>
      <c r="D1716" s="326" t="s">
        <v>1594</v>
      </c>
      <c r="E1716" s="359" t="s">
        <v>9009</v>
      </c>
      <c r="F1716" s="334" t="s">
        <v>5337</v>
      </c>
      <c r="G1716" s="327" t="s">
        <v>9011</v>
      </c>
      <c r="H1716" s="328" t="s">
        <v>7631</v>
      </c>
      <c r="I1716" s="378"/>
      <c r="J1716" s="379">
        <v>156</v>
      </c>
      <c r="K1716" s="459"/>
      <c r="L1716" s="460"/>
      <c r="M1716" s="417"/>
    </row>
    <row r="1717" spans="1:13" ht="15" customHeight="1">
      <c r="A1717" s="329"/>
      <c r="B1717" s="330" t="s">
        <v>1594</v>
      </c>
      <c r="C1717" s="331"/>
      <c r="D1717" s="330" t="s">
        <v>1594</v>
      </c>
      <c r="E1717" s="367" t="s">
        <v>9009</v>
      </c>
      <c r="F1717" s="332" t="s">
        <v>59</v>
      </c>
      <c r="G1717" s="331" t="s">
        <v>9012</v>
      </c>
      <c r="H1717" s="320" t="s">
        <v>7632</v>
      </c>
      <c r="I1717" s="384"/>
      <c r="J1717" s="381">
        <v>11393</v>
      </c>
      <c r="K1717" s="459"/>
      <c r="L1717" s="460"/>
      <c r="M1717" s="417"/>
    </row>
    <row r="1718" spans="1:13" ht="15" customHeight="1">
      <c r="A1718" s="338" t="s">
        <v>7633</v>
      </c>
      <c r="B1718" s="339" t="s">
        <v>1576</v>
      </c>
      <c r="C1718" s="340" t="s">
        <v>7634</v>
      </c>
      <c r="D1718" s="339" t="s">
        <v>9013</v>
      </c>
      <c r="E1718" s="369" t="s">
        <v>9013</v>
      </c>
      <c r="F1718" s="350" t="s">
        <v>36</v>
      </c>
      <c r="G1718" s="340" t="s">
        <v>9014</v>
      </c>
      <c r="H1718" s="341" t="s">
        <v>816</v>
      </c>
      <c r="I1718" s="385"/>
      <c r="J1718" s="383">
        <v>12776</v>
      </c>
      <c r="K1718" s="459"/>
      <c r="L1718" s="460"/>
      <c r="M1718" s="417"/>
    </row>
    <row r="1719" spans="1:13" ht="15" customHeight="1">
      <c r="A1719" s="325" t="s">
        <v>7635</v>
      </c>
      <c r="B1719" s="326" t="s">
        <v>1578</v>
      </c>
      <c r="C1719" s="327" t="s">
        <v>7636</v>
      </c>
      <c r="D1719" s="326" t="s">
        <v>9015</v>
      </c>
      <c r="E1719" s="359" t="s">
        <v>9015</v>
      </c>
      <c r="G1719" s="327" t="s">
        <v>1594</v>
      </c>
      <c r="H1719" s="328" t="s">
        <v>817</v>
      </c>
      <c r="I1719" s="378"/>
      <c r="J1719" s="379">
        <v>91313</v>
      </c>
      <c r="K1719" s="459"/>
      <c r="L1719" s="460"/>
      <c r="M1719" s="417"/>
    </row>
    <row r="1720" spans="1:13" ht="15" customHeight="1">
      <c r="A1720" s="325"/>
      <c r="B1720" s="326" t="s">
        <v>1594</v>
      </c>
      <c r="D1720" s="326" t="s">
        <v>1594</v>
      </c>
      <c r="E1720" s="359" t="s">
        <v>9015</v>
      </c>
      <c r="F1720" s="334" t="s">
        <v>5637</v>
      </c>
      <c r="G1720" s="327" t="s">
        <v>9016</v>
      </c>
      <c r="H1720" s="328" t="s">
        <v>7637</v>
      </c>
      <c r="I1720" s="378"/>
      <c r="J1720" s="379">
        <v>542</v>
      </c>
      <c r="K1720" s="459"/>
      <c r="L1720" s="460"/>
      <c r="M1720" s="417"/>
    </row>
    <row r="1721" spans="1:13" ht="15" customHeight="1">
      <c r="A1721" s="325"/>
      <c r="B1721" s="326" t="s">
        <v>1594</v>
      </c>
      <c r="D1721" s="326" t="s">
        <v>1594</v>
      </c>
      <c r="E1721" s="359" t="s">
        <v>9015</v>
      </c>
      <c r="F1721" s="334" t="s">
        <v>5455</v>
      </c>
      <c r="G1721" s="327" t="s">
        <v>9017</v>
      </c>
      <c r="H1721" s="328" t="s">
        <v>7638</v>
      </c>
      <c r="I1721" s="378"/>
      <c r="J1721" s="379">
        <v>2187</v>
      </c>
      <c r="K1721" s="459"/>
      <c r="L1721" s="460"/>
      <c r="M1721" s="417"/>
    </row>
    <row r="1722" spans="1:13" ht="15" customHeight="1">
      <c r="A1722" s="325"/>
      <c r="D1722" s="326"/>
      <c r="E1722" s="359" t="s">
        <v>9015</v>
      </c>
      <c r="F1722" s="334" t="s">
        <v>5476</v>
      </c>
      <c r="G1722" s="327" t="s">
        <v>9018</v>
      </c>
      <c r="H1722" s="328" t="s">
        <v>7639</v>
      </c>
      <c r="I1722" s="378"/>
      <c r="J1722" s="379">
        <v>51653</v>
      </c>
      <c r="K1722" s="459"/>
      <c r="L1722" s="460"/>
      <c r="M1722" s="417"/>
    </row>
    <row r="1723" spans="1:13" ht="15" customHeight="1">
      <c r="A1723" s="325"/>
      <c r="D1723" s="326"/>
      <c r="E1723" s="359" t="s">
        <v>9015</v>
      </c>
      <c r="F1723" s="334" t="s">
        <v>5777</v>
      </c>
      <c r="G1723" s="327" t="s">
        <v>9019</v>
      </c>
      <c r="H1723" s="328" t="s">
        <v>7640</v>
      </c>
      <c r="I1723" s="378"/>
      <c r="J1723" s="379">
        <v>30960</v>
      </c>
      <c r="K1723" s="459"/>
      <c r="L1723" s="460"/>
      <c r="M1723" s="417"/>
    </row>
    <row r="1724" spans="1:13" ht="15" customHeight="1">
      <c r="A1724" s="329"/>
      <c r="B1724" s="330"/>
      <c r="C1724" s="331"/>
      <c r="D1724" s="330"/>
      <c r="E1724" s="367" t="s">
        <v>9015</v>
      </c>
      <c r="F1724" s="332" t="s">
        <v>5867</v>
      </c>
      <c r="G1724" s="331" t="s">
        <v>9020</v>
      </c>
      <c r="H1724" s="320" t="s">
        <v>7641</v>
      </c>
      <c r="I1724" s="384"/>
      <c r="J1724" s="381">
        <v>5971</v>
      </c>
      <c r="K1724" s="459"/>
      <c r="L1724" s="460"/>
      <c r="M1724" s="417"/>
    </row>
    <row r="1725" spans="1:13" ht="15" customHeight="1">
      <c r="A1725" s="325" t="s">
        <v>7642</v>
      </c>
      <c r="B1725" s="326" t="s">
        <v>1580</v>
      </c>
      <c r="C1725" s="327" t="s">
        <v>7643</v>
      </c>
      <c r="D1725" s="326" t="s">
        <v>9021</v>
      </c>
      <c r="E1725" s="359" t="s">
        <v>9021</v>
      </c>
      <c r="G1725" s="327" t="s">
        <v>1594</v>
      </c>
      <c r="H1725" s="328" t="s">
        <v>7644</v>
      </c>
      <c r="I1725" s="378"/>
      <c r="J1725" s="379">
        <v>117365</v>
      </c>
      <c r="K1725" s="459"/>
      <c r="L1725" s="460"/>
      <c r="M1725" s="417"/>
    </row>
    <row r="1726" spans="1:13" ht="15" customHeight="1">
      <c r="A1726" s="325"/>
      <c r="B1726" s="326" t="s">
        <v>1594</v>
      </c>
      <c r="D1726" s="326" t="s">
        <v>1594</v>
      </c>
      <c r="E1726" s="359" t="s">
        <v>9021</v>
      </c>
      <c r="F1726" s="334" t="s">
        <v>36</v>
      </c>
      <c r="G1726" s="327" t="s">
        <v>9022</v>
      </c>
      <c r="H1726" s="328" t="s">
        <v>7645</v>
      </c>
      <c r="I1726" s="378"/>
      <c r="J1726" s="379">
        <v>60924</v>
      </c>
      <c r="K1726" s="459"/>
      <c r="L1726" s="460"/>
      <c r="M1726" s="417"/>
    </row>
    <row r="1727" spans="1:13" ht="15" customHeight="1">
      <c r="A1727" s="325"/>
      <c r="B1727" s="326" t="s">
        <v>1594</v>
      </c>
      <c r="D1727" s="326" t="s">
        <v>1594</v>
      </c>
      <c r="E1727" s="359" t="s">
        <v>9021</v>
      </c>
      <c r="F1727" s="334" t="s">
        <v>5337</v>
      </c>
      <c r="G1727" s="327" t="s">
        <v>9023</v>
      </c>
      <c r="H1727" s="328" t="s">
        <v>7646</v>
      </c>
      <c r="I1727" s="378"/>
      <c r="J1727" s="379">
        <v>5548</v>
      </c>
      <c r="K1727" s="459"/>
      <c r="L1727" s="460"/>
      <c r="M1727" s="417"/>
    </row>
    <row r="1728" spans="1:13" ht="15" customHeight="1">
      <c r="A1728" s="325"/>
      <c r="B1728" s="326" t="s">
        <v>1594</v>
      </c>
      <c r="D1728" s="326" t="s">
        <v>1594</v>
      </c>
      <c r="E1728" s="359" t="s">
        <v>9021</v>
      </c>
      <c r="F1728" s="334" t="s">
        <v>5339</v>
      </c>
      <c r="G1728" s="327" t="s">
        <v>9024</v>
      </c>
      <c r="H1728" s="328" t="s">
        <v>7647</v>
      </c>
      <c r="I1728" s="378"/>
      <c r="J1728" s="379">
        <v>933</v>
      </c>
      <c r="K1728" s="459"/>
      <c r="L1728" s="460"/>
      <c r="M1728" s="417"/>
    </row>
    <row r="1729" spans="1:13" ht="15" customHeight="1">
      <c r="A1729" s="325"/>
      <c r="D1729" s="326"/>
      <c r="E1729" s="359" t="s">
        <v>9021</v>
      </c>
      <c r="F1729" s="334" t="s">
        <v>5556</v>
      </c>
      <c r="G1729" s="327" t="s">
        <v>9025</v>
      </c>
      <c r="H1729" s="328" t="s">
        <v>7648</v>
      </c>
      <c r="I1729" s="378"/>
      <c r="J1729" s="379">
        <v>426</v>
      </c>
      <c r="K1729" s="459"/>
      <c r="L1729" s="460"/>
      <c r="M1729" s="417"/>
    </row>
    <row r="1730" spans="1:13" ht="15" customHeight="1">
      <c r="A1730" s="325"/>
      <c r="B1730" s="326" t="s">
        <v>1594</v>
      </c>
      <c r="D1730" s="326" t="s">
        <v>1594</v>
      </c>
      <c r="E1730" s="359" t="s">
        <v>9021</v>
      </c>
      <c r="F1730" s="334" t="s">
        <v>7227</v>
      </c>
      <c r="G1730" s="327" t="s">
        <v>9026</v>
      </c>
      <c r="H1730" s="328" t="s">
        <v>7649</v>
      </c>
      <c r="I1730" s="378"/>
      <c r="J1730" s="379">
        <v>654</v>
      </c>
      <c r="K1730" s="459"/>
      <c r="L1730" s="460"/>
      <c r="M1730" s="417"/>
    </row>
    <row r="1731" spans="1:13" ht="15" customHeight="1">
      <c r="A1731" s="357"/>
      <c r="D1731" s="326" t="s">
        <v>1594</v>
      </c>
      <c r="E1731" s="359" t="s">
        <v>9021</v>
      </c>
      <c r="F1731" s="334" t="s">
        <v>7229</v>
      </c>
      <c r="G1731" s="327" t="s">
        <v>9027</v>
      </c>
      <c r="H1731" s="328" t="s">
        <v>7650</v>
      </c>
      <c r="I1731" s="378"/>
      <c r="J1731" s="379">
        <v>9739</v>
      </c>
      <c r="K1731" s="459"/>
      <c r="L1731" s="460"/>
      <c r="M1731" s="417"/>
    </row>
    <row r="1732" spans="1:13" ht="15" customHeight="1">
      <c r="A1732" s="325"/>
      <c r="B1732" s="326" t="s">
        <v>1594</v>
      </c>
      <c r="D1732" s="326" t="s">
        <v>1594</v>
      </c>
      <c r="E1732" s="388" t="s">
        <v>9021</v>
      </c>
      <c r="F1732" s="389" t="s">
        <v>7231</v>
      </c>
      <c r="G1732" s="390" t="s">
        <v>9028</v>
      </c>
      <c r="H1732" s="403" t="s">
        <v>7651</v>
      </c>
      <c r="I1732" s="413"/>
      <c r="J1732" s="392">
        <v>22705</v>
      </c>
      <c r="K1732" s="463">
        <v>100</v>
      </c>
      <c r="L1732" s="464">
        <f>J1732*K1732/100</f>
        <v>22705</v>
      </c>
      <c r="M1732" s="417"/>
    </row>
    <row r="1733" spans="1:13" ht="15" customHeight="1">
      <c r="A1733" s="329"/>
      <c r="B1733" s="330" t="s">
        <v>1594</v>
      </c>
      <c r="C1733" s="331"/>
      <c r="D1733" s="330" t="s">
        <v>1594</v>
      </c>
      <c r="E1733" s="359" t="s">
        <v>9021</v>
      </c>
      <c r="F1733" s="332" t="s">
        <v>59</v>
      </c>
      <c r="G1733" s="331" t="s">
        <v>9029</v>
      </c>
      <c r="H1733" s="320" t="s">
        <v>7652</v>
      </c>
      <c r="I1733" s="384"/>
      <c r="J1733" s="381">
        <v>16436</v>
      </c>
      <c r="K1733" s="459"/>
      <c r="L1733" s="460"/>
      <c r="M1733" s="417"/>
    </row>
    <row r="1734" spans="1:13" ht="15" customHeight="1">
      <c r="A1734" s="321" t="s">
        <v>7653</v>
      </c>
      <c r="B1734" s="322" t="s">
        <v>1582</v>
      </c>
      <c r="C1734" s="323" t="s">
        <v>7654</v>
      </c>
      <c r="D1734" s="322" t="s">
        <v>9030</v>
      </c>
      <c r="E1734" s="365" t="s">
        <v>9030</v>
      </c>
      <c r="F1734" s="366"/>
      <c r="G1734" s="323" t="s">
        <v>1594</v>
      </c>
      <c r="H1734" s="324" t="s">
        <v>7655</v>
      </c>
      <c r="I1734" s="376"/>
      <c r="J1734" s="377">
        <v>8947</v>
      </c>
      <c r="K1734" s="459"/>
      <c r="L1734" s="460"/>
      <c r="M1734" s="417"/>
    </row>
    <row r="1735" spans="1:13" ht="15" customHeight="1">
      <c r="A1735" s="325"/>
      <c r="B1735" s="326" t="s">
        <v>1594</v>
      </c>
      <c r="D1735" s="326" t="s">
        <v>1594</v>
      </c>
      <c r="E1735" s="359" t="s">
        <v>9030</v>
      </c>
      <c r="F1735" s="334" t="s">
        <v>36</v>
      </c>
      <c r="G1735" s="327" t="s">
        <v>9031</v>
      </c>
      <c r="H1735" s="328" t="s">
        <v>7656</v>
      </c>
      <c r="I1735" s="378"/>
      <c r="J1735" s="379">
        <v>972</v>
      </c>
      <c r="K1735" s="459"/>
      <c r="L1735" s="460"/>
      <c r="M1735" s="417"/>
    </row>
    <row r="1736" spans="1:13" ht="15" customHeight="1">
      <c r="A1736" s="329"/>
      <c r="B1736" s="330" t="s">
        <v>1594</v>
      </c>
      <c r="C1736" s="331"/>
      <c r="D1736" s="330" t="s">
        <v>1594</v>
      </c>
      <c r="E1736" s="367" t="s">
        <v>9030</v>
      </c>
      <c r="F1736" s="332" t="s">
        <v>59</v>
      </c>
      <c r="G1736" s="331" t="s">
        <v>9032</v>
      </c>
      <c r="H1736" s="320" t="s">
        <v>7657</v>
      </c>
      <c r="I1736" s="384"/>
      <c r="J1736" s="381">
        <v>7975</v>
      </c>
      <c r="K1736" s="459"/>
      <c r="L1736" s="460"/>
      <c r="M1736" s="417"/>
    </row>
    <row r="1737" spans="1:13" ht="15" customHeight="1">
      <c r="A1737" s="457" t="s">
        <v>7658</v>
      </c>
      <c r="B1737" s="456" t="s">
        <v>1584</v>
      </c>
      <c r="C1737" s="455" t="s">
        <v>7659</v>
      </c>
      <c r="D1737" s="456" t="s">
        <v>9033</v>
      </c>
      <c r="E1737" s="436" t="s">
        <v>9033</v>
      </c>
      <c r="F1737" s="437"/>
      <c r="G1737" s="455" t="s">
        <v>1594</v>
      </c>
      <c r="H1737" s="438" t="s">
        <v>820</v>
      </c>
      <c r="I1737" s="439"/>
      <c r="J1737" s="440">
        <v>67340</v>
      </c>
      <c r="K1737" s="466">
        <v>3.7</v>
      </c>
      <c r="L1737" s="467">
        <f>J1737*K1737/100</f>
        <v>2491.58</v>
      </c>
      <c r="M1737" s="417"/>
    </row>
    <row r="1738" spans="1:13" ht="15" customHeight="1">
      <c r="A1738" s="325"/>
      <c r="B1738" s="326" t="s">
        <v>1594</v>
      </c>
      <c r="D1738" s="326" t="s">
        <v>1594</v>
      </c>
      <c r="E1738" s="359" t="s">
        <v>9033</v>
      </c>
      <c r="F1738" s="334" t="s">
        <v>36</v>
      </c>
      <c r="G1738" s="327" t="s">
        <v>9034</v>
      </c>
      <c r="H1738" s="328" t="s">
        <v>7660</v>
      </c>
      <c r="I1738" s="378"/>
      <c r="J1738" s="379">
        <v>5179</v>
      </c>
      <c r="K1738" s="459"/>
      <c r="L1738" s="460"/>
      <c r="M1738" s="417"/>
    </row>
    <row r="1739" spans="1:13" ht="15" customHeight="1">
      <c r="A1739" s="325"/>
      <c r="B1739" s="326" t="s">
        <v>1594</v>
      </c>
      <c r="D1739" s="326" t="s">
        <v>1594</v>
      </c>
      <c r="E1739" s="359" t="s">
        <v>9033</v>
      </c>
      <c r="F1739" s="334" t="s">
        <v>5337</v>
      </c>
      <c r="G1739" s="327" t="s">
        <v>9035</v>
      </c>
      <c r="H1739" s="328" t="s">
        <v>7661</v>
      </c>
      <c r="I1739" s="378"/>
      <c r="J1739" s="379">
        <v>7724</v>
      </c>
      <c r="K1739" s="459"/>
      <c r="L1739" s="460"/>
      <c r="M1739" s="417"/>
    </row>
    <row r="1740" spans="1:13" ht="15" customHeight="1">
      <c r="A1740" s="325"/>
      <c r="D1740" s="326"/>
      <c r="E1740" s="359" t="s">
        <v>9033</v>
      </c>
      <c r="F1740" s="334" t="s">
        <v>5329</v>
      </c>
      <c r="G1740" s="327" t="s">
        <v>9036</v>
      </c>
      <c r="H1740" s="328" t="s">
        <v>7662</v>
      </c>
      <c r="I1740" s="378"/>
      <c r="J1740" s="379">
        <v>3861</v>
      </c>
      <c r="K1740" s="459"/>
      <c r="L1740" s="460"/>
      <c r="M1740" s="417"/>
    </row>
    <row r="1741" spans="1:13" ht="15" customHeight="1">
      <c r="A1741" s="325"/>
      <c r="B1741" s="326" t="s">
        <v>1594</v>
      </c>
      <c r="D1741" s="326" t="s">
        <v>1594</v>
      </c>
      <c r="E1741" s="359" t="s">
        <v>9033</v>
      </c>
      <c r="F1741" s="334" t="s">
        <v>5593</v>
      </c>
      <c r="G1741" s="327" t="s">
        <v>9037</v>
      </c>
      <c r="H1741" s="417" t="s">
        <v>7663</v>
      </c>
      <c r="I1741" s="378"/>
      <c r="J1741" s="379">
        <v>5811</v>
      </c>
      <c r="K1741" s="459"/>
      <c r="L1741" s="460"/>
      <c r="M1741" s="417"/>
    </row>
    <row r="1742" spans="1:13" ht="15" customHeight="1">
      <c r="A1742" s="329"/>
      <c r="B1742" s="330" t="s">
        <v>1594</v>
      </c>
      <c r="C1742" s="331"/>
      <c r="D1742" s="330" t="s">
        <v>1594</v>
      </c>
      <c r="E1742" s="367" t="s">
        <v>9033</v>
      </c>
      <c r="F1742" s="332" t="s">
        <v>59</v>
      </c>
      <c r="G1742" s="331" t="s">
        <v>9038</v>
      </c>
      <c r="H1742" s="344" t="s">
        <v>7664</v>
      </c>
      <c r="I1742" s="384"/>
      <c r="J1742" s="381">
        <v>44765</v>
      </c>
      <c r="K1742" s="459"/>
      <c r="L1742" s="460"/>
      <c r="M1742" s="417"/>
    </row>
    <row r="1743" spans="1:13" ht="15" customHeight="1">
      <c r="A1743" s="329" t="s">
        <v>7665</v>
      </c>
      <c r="B1743" s="330" t="s">
        <v>9039</v>
      </c>
      <c r="C1743" s="331" t="s">
        <v>7666</v>
      </c>
      <c r="D1743" s="330" t="s">
        <v>9040</v>
      </c>
      <c r="E1743" s="367" t="s">
        <v>9040</v>
      </c>
      <c r="F1743" s="332" t="s">
        <v>5349</v>
      </c>
      <c r="G1743" s="331" t="s">
        <v>9041</v>
      </c>
      <c r="H1743" s="320" t="s">
        <v>823</v>
      </c>
      <c r="I1743" s="384"/>
      <c r="J1743" s="381">
        <v>53866</v>
      </c>
      <c r="K1743" s="459"/>
      <c r="L1743" s="460"/>
      <c r="M1743" s="417"/>
    </row>
    <row r="1744" spans="1:13" ht="15" customHeight="1">
      <c r="A1744" s="338" t="s">
        <v>7667</v>
      </c>
      <c r="B1744" s="339" t="s">
        <v>1586</v>
      </c>
      <c r="C1744" s="340" t="s">
        <v>7668</v>
      </c>
      <c r="D1744" s="339" t="s">
        <v>9042</v>
      </c>
      <c r="E1744" s="369" t="s">
        <v>9042</v>
      </c>
      <c r="F1744" s="350" t="s">
        <v>36</v>
      </c>
      <c r="G1744" s="340" t="s">
        <v>9043</v>
      </c>
      <c r="H1744" s="341" t="s">
        <v>7669</v>
      </c>
      <c r="I1744" s="385"/>
      <c r="J1744" s="377">
        <v>188430</v>
      </c>
      <c r="K1744" s="459"/>
      <c r="L1744" s="460"/>
      <c r="M1744" s="417"/>
    </row>
    <row r="1745" spans="1:13" ht="15" customHeight="1">
      <c r="A1745" s="329" t="s">
        <v>7670</v>
      </c>
      <c r="B1745" s="330" t="s">
        <v>9044</v>
      </c>
      <c r="C1745" s="331" t="s">
        <v>7671</v>
      </c>
      <c r="D1745" s="330" t="s">
        <v>9045</v>
      </c>
      <c r="E1745" s="367" t="s">
        <v>9045</v>
      </c>
      <c r="F1745" s="332"/>
      <c r="G1745" s="331" t="s">
        <v>1594</v>
      </c>
      <c r="H1745" s="320" t="s">
        <v>7672</v>
      </c>
      <c r="I1745" s="384"/>
      <c r="J1745" s="471">
        <v>38958572</v>
      </c>
      <c r="K1745" s="418"/>
      <c r="L1745" s="471">
        <f>SUM(L6:L1744)</f>
        <v>484996.64686773479</v>
      </c>
      <c r="M1745" s="418"/>
    </row>
    <row r="1746" spans="1:13" ht="15" customHeight="1">
      <c r="A1746" s="334" t="s">
        <v>7673</v>
      </c>
      <c r="K1746" s="472"/>
      <c r="L1746" s="646">
        <f>L1745/J1745*100</f>
        <v>1.2449035525935981</v>
      </c>
    </row>
    <row r="1747" spans="1:13" ht="15" customHeight="1">
      <c r="A1747" s="334" t="s">
        <v>7674</v>
      </c>
    </row>
    <row r="1748" spans="1:13" ht="13.15" customHeight="1"/>
  </sheetData>
  <phoneticPr fontId="1"/>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8BA4-6070-4126-B466-E30848BF573C}">
  <sheetPr>
    <tabColor theme="5" tint="0.79998168889431442"/>
  </sheetPr>
  <dimension ref="A1:R26"/>
  <sheetViews>
    <sheetView topLeftCell="J1" workbookViewId="0">
      <selection activeCell="O8" sqref="O8"/>
    </sheetView>
  </sheetViews>
  <sheetFormatPr defaultColWidth="16.1640625" defaultRowHeight="13"/>
  <cols>
    <col min="1" max="1" width="21" style="133" customWidth="1"/>
    <col min="2" max="8" width="11.08203125" style="133" customWidth="1"/>
    <col min="9" max="9" width="12.75" style="133" customWidth="1"/>
    <col min="10" max="10" width="3.75" style="133" customWidth="1"/>
    <col min="11" max="11" width="3.33203125" style="133" customWidth="1"/>
    <col min="12" max="12" width="15.33203125" style="133" customWidth="1"/>
    <col min="13" max="13" width="14.33203125" style="133" customWidth="1"/>
    <col min="14" max="14" width="24" style="133" customWidth="1"/>
    <col min="15" max="15" width="16.1640625" style="133"/>
    <col min="16" max="16" width="11.5" style="133" customWidth="1"/>
    <col min="17" max="17" width="0" style="133" hidden="1" customWidth="1"/>
    <col min="18" max="16384" width="16.1640625" style="133"/>
  </cols>
  <sheetData>
    <row r="1" spans="1:18" ht="15" customHeight="1">
      <c r="A1" s="134" t="s">
        <v>10060</v>
      </c>
      <c r="B1" s="135"/>
      <c r="C1" s="135"/>
      <c r="D1" s="135"/>
      <c r="E1" s="135"/>
      <c r="G1" s="547" t="s">
        <v>9754</v>
      </c>
      <c r="H1" s="547"/>
      <c r="I1" s="756">
        <f>目次!C1</f>
        <v>46048</v>
      </c>
      <c r="J1" s="135"/>
      <c r="K1" s="755" t="s">
        <v>12093</v>
      </c>
      <c r="L1" s="135"/>
      <c r="M1" s="135"/>
      <c r="N1" s="547" t="s">
        <v>9839</v>
      </c>
      <c r="P1" s="2" t="s">
        <v>10061</v>
      </c>
      <c r="Q1" s="2"/>
      <c r="R1" s="2"/>
    </row>
    <row r="2" spans="1:18" ht="15" customHeight="1">
      <c r="A2" s="611" t="s">
        <v>9756</v>
      </c>
      <c r="B2" s="611" t="s">
        <v>9751</v>
      </c>
      <c r="C2" s="611" t="s">
        <v>9885</v>
      </c>
      <c r="D2" s="611" t="s">
        <v>10000</v>
      </c>
      <c r="E2" s="300" t="s">
        <v>9752</v>
      </c>
      <c r="F2" s="611" t="s">
        <v>9813</v>
      </c>
      <c r="G2" s="611" t="s">
        <v>10059</v>
      </c>
      <c r="H2" s="753" t="s">
        <v>11752</v>
      </c>
      <c r="I2" s="611" t="s">
        <v>9753</v>
      </c>
      <c r="J2" s="135"/>
      <c r="K2" s="854"/>
      <c r="L2" s="299" t="s">
        <v>9840</v>
      </c>
      <c r="M2" s="611" t="s">
        <v>5310</v>
      </c>
      <c r="N2" s="611" t="s">
        <v>9841</v>
      </c>
      <c r="P2" s="637"/>
      <c r="Q2" s="618"/>
      <c r="R2" s="637"/>
    </row>
    <row r="3" spans="1:18" ht="15" customHeight="1">
      <c r="A3" s="726" t="s">
        <v>9837</v>
      </c>
      <c r="B3" s="729">
        <f>'4推計WS106'!D110</f>
        <v>484996.64686773479</v>
      </c>
      <c r="C3" s="729">
        <f>'4推計WS106'!O110</f>
        <v>484955</v>
      </c>
      <c r="D3" s="729">
        <f>'4推計WS106'!P110</f>
        <v>414386</v>
      </c>
      <c r="E3" s="725">
        <f>'4推計WS106'!R110</f>
        <v>385068</v>
      </c>
      <c r="F3" s="729">
        <f>'4推計WS106'!S110</f>
        <v>409204</v>
      </c>
      <c r="G3" s="729">
        <f>'4推計WS106'!T110</f>
        <v>425332</v>
      </c>
      <c r="H3" s="754">
        <f>'4推計WS106'!U110</f>
        <v>454692</v>
      </c>
      <c r="I3" s="726"/>
      <c r="J3" s="135"/>
      <c r="K3" s="851"/>
      <c r="L3" s="855" t="s">
        <v>9842</v>
      </c>
      <c r="M3" s="859">
        <f>表3経済効果!D42/100</f>
        <v>6823.3389288615217</v>
      </c>
      <c r="N3" s="727" t="s">
        <v>9843</v>
      </c>
      <c r="P3" s="871"/>
      <c r="Q3" s="870"/>
      <c r="R3" s="871" t="s">
        <v>10062</v>
      </c>
    </row>
    <row r="4" spans="1:18" ht="15" customHeight="1">
      <c r="A4" s="731" t="s">
        <v>9838</v>
      </c>
      <c r="B4" s="732">
        <f>'4推計WS106'!AF110</f>
        <v>307913</v>
      </c>
      <c r="C4" s="732">
        <f>'4推計WS106'!AG110</f>
        <v>301909</v>
      </c>
      <c r="D4" s="732">
        <f>'4推計WS106'!AH110</f>
        <v>238852</v>
      </c>
      <c r="E4" s="733">
        <f>'4推計WS106'!AI110</f>
        <v>241322</v>
      </c>
      <c r="F4" s="732">
        <f>'4推計WS106'!AJ110</f>
        <v>261729</v>
      </c>
      <c r="G4" s="732">
        <f>'4推計WS106'!AK110</f>
        <v>271012</v>
      </c>
      <c r="H4" s="732">
        <f>'4推計WS106'!AL110</f>
        <v>292104</v>
      </c>
      <c r="I4" s="731" t="s">
        <v>9758</v>
      </c>
      <c r="J4" s="135"/>
      <c r="K4" s="609"/>
      <c r="L4" s="846" t="s">
        <v>9844</v>
      </c>
      <c r="M4" s="785">
        <f>表3経済効果!C42/100</f>
        <v>4546.92</v>
      </c>
      <c r="N4" s="726" t="s">
        <v>9576</v>
      </c>
      <c r="P4" s="871" t="s">
        <v>10063</v>
      </c>
      <c r="Q4" s="870"/>
      <c r="R4" s="871" t="s">
        <v>10064</v>
      </c>
    </row>
    <row r="5" spans="1:18" ht="15" customHeight="1">
      <c r="A5" s="614" t="s">
        <v>9755</v>
      </c>
      <c r="B5" s="730">
        <f>'4推計WS106'!AF112</f>
        <v>21514322</v>
      </c>
      <c r="C5" s="730">
        <f>'4推計WS106'!AI112</f>
        <v>22572921</v>
      </c>
      <c r="D5" s="730">
        <f>'4推計WS106'!AJ112</f>
        <v>23159403</v>
      </c>
      <c r="E5" s="728">
        <f>'4推計WS106'!AI112</f>
        <v>22572921</v>
      </c>
      <c r="F5" s="749">
        <f>'4推計WS106'!AJ112</f>
        <v>23159403</v>
      </c>
      <c r="G5" s="749">
        <f>'4推計WS106'!AK112</f>
        <v>24322647</v>
      </c>
      <c r="H5" s="749">
        <f>'4推計WS106'!AL112</f>
        <v>24890653</v>
      </c>
      <c r="I5" s="614" t="s">
        <v>9758</v>
      </c>
      <c r="J5" s="135"/>
      <c r="K5" s="609"/>
      <c r="L5" s="608" t="s">
        <v>9845</v>
      </c>
      <c r="M5" s="785">
        <v>1383.6346734819638</v>
      </c>
      <c r="N5" s="726" t="s">
        <v>9846</v>
      </c>
      <c r="P5" s="871"/>
      <c r="Q5" s="870"/>
      <c r="R5" s="1779"/>
    </row>
    <row r="6" spans="1:18" ht="15" customHeight="1">
      <c r="A6" s="640" t="s">
        <v>9889</v>
      </c>
      <c r="B6" s="751">
        <f t="shared" ref="B6:G6" si="0">B4/B5*100</f>
        <v>1.4312001093968938</v>
      </c>
      <c r="C6" s="751">
        <f t="shared" si="0"/>
        <v>1.3374830842672067</v>
      </c>
      <c r="D6" s="751">
        <f t="shared" si="0"/>
        <v>1.0313391929835152</v>
      </c>
      <c r="E6" s="752">
        <f t="shared" si="0"/>
        <v>1.0690774135965833</v>
      </c>
      <c r="F6" s="751">
        <f t="shared" si="0"/>
        <v>1.1301198049017067</v>
      </c>
      <c r="G6" s="751">
        <f t="shared" si="0"/>
        <v>1.1142372785330479</v>
      </c>
      <c r="H6" s="751">
        <f t="shared" ref="H6" si="1">H4/H5*100</f>
        <v>1.1735489623353794</v>
      </c>
      <c r="I6" s="727"/>
      <c r="J6" s="135"/>
      <c r="K6" s="609"/>
      <c r="L6" s="609" t="s">
        <v>9847</v>
      </c>
      <c r="M6" s="785">
        <v>1035.7108417425582</v>
      </c>
      <c r="N6" s="726" t="s">
        <v>9848</v>
      </c>
      <c r="P6" s="637" t="s">
        <v>10065</v>
      </c>
      <c r="Q6" s="1781" t="s">
        <v>10066</v>
      </c>
      <c r="R6" s="1783">
        <v>20527793</v>
      </c>
    </row>
    <row r="7" spans="1:18" ht="15" customHeight="1">
      <c r="A7" s="135" t="s">
        <v>9759</v>
      </c>
      <c r="B7" s="135"/>
      <c r="C7" s="135"/>
      <c r="D7" s="135"/>
      <c r="E7" s="135"/>
      <c r="F7" s="135"/>
      <c r="G7" s="135"/>
      <c r="H7" s="135"/>
      <c r="I7" s="135"/>
      <c r="J7" s="135"/>
      <c r="K7" s="852"/>
      <c r="L7" s="856" t="s">
        <v>9849</v>
      </c>
      <c r="M7" s="860">
        <f>表3経済効果!E42/100</f>
        <v>3907.3932512158922</v>
      </c>
      <c r="N7" s="726" t="s">
        <v>9850</v>
      </c>
      <c r="P7" s="1782" t="s">
        <v>9972</v>
      </c>
      <c r="Q7" s="1780" t="s">
        <v>9973</v>
      </c>
      <c r="R7" s="1784">
        <v>21240317</v>
      </c>
    </row>
    <row r="8" spans="1:18" ht="15" customHeight="1">
      <c r="A8" s="135" t="s">
        <v>9836</v>
      </c>
      <c r="B8" s="135"/>
      <c r="C8" s="135"/>
      <c r="D8" s="135"/>
      <c r="E8" s="135"/>
      <c r="F8" s="135"/>
      <c r="G8" s="135"/>
      <c r="H8" s="135"/>
      <c r="I8" s="135"/>
      <c r="J8" s="135"/>
      <c r="K8" s="846"/>
      <c r="L8" s="857" t="s">
        <v>9851</v>
      </c>
      <c r="M8" s="861">
        <f>R24/100</f>
        <v>248906.53</v>
      </c>
      <c r="N8" s="726" t="s">
        <v>12100</v>
      </c>
      <c r="P8" s="1782" t="s">
        <v>9974</v>
      </c>
      <c r="Q8" s="1780" t="s">
        <v>9975</v>
      </c>
      <c r="R8" s="1784">
        <v>21213290</v>
      </c>
    </row>
    <row r="9" spans="1:18" ht="15" customHeight="1">
      <c r="A9" s="135"/>
      <c r="B9" s="135"/>
      <c r="C9" s="135"/>
      <c r="D9" s="135"/>
      <c r="E9" s="135"/>
      <c r="F9" s="135"/>
      <c r="G9" s="135"/>
      <c r="H9" s="135"/>
      <c r="I9" s="135"/>
      <c r="K9" s="849"/>
      <c r="L9" s="608" t="s">
        <v>9852</v>
      </c>
      <c r="M9" s="862">
        <f>M7/M8*100</f>
        <v>1.5698235201848227</v>
      </c>
      <c r="N9" s="726" t="s">
        <v>5308</v>
      </c>
      <c r="P9" s="1782" t="s">
        <v>9976</v>
      </c>
      <c r="Q9" s="1780" t="s">
        <v>9977</v>
      </c>
      <c r="R9" s="1784">
        <v>19661614</v>
      </c>
    </row>
    <row r="10" spans="1:18" ht="15" customHeight="1">
      <c r="A10" s="135"/>
      <c r="B10" s="135"/>
      <c r="C10" s="135"/>
      <c r="D10" s="135"/>
      <c r="E10" s="135"/>
      <c r="F10" s="135"/>
      <c r="G10" s="135"/>
      <c r="H10" s="135"/>
      <c r="I10" s="135"/>
      <c r="K10" s="853"/>
      <c r="L10" s="858" t="s">
        <v>9853</v>
      </c>
      <c r="M10" s="863">
        <f>表3経済効果!F42</f>
        <v>76306</v>
      </c>
      <c r="N10" s="614" t="s">
        <v>9854</v>
      </c>
      <c r="P10" s="1782" t="s">
        <v>9978</v>
      </c>
      <c r="Q10" s="1780" t="s">
        <v>9979</v>
      </c>
      <c r="R10" s="1784">
        <v>20399358</v>
      </c>
    </row>
    <row r="11" spans="1:18" ht="15" customHeight="1">
      <c r="A11" s="868"/>
      <c r="B11" s="135"/>
      <c r="C11" s="135"/>
      <c r="D11" s="547"/>
      <c r="E11" s="547"/>
      <c r="F11" s="135"/>
      <c r="G11" s="135"/>
      <c r="H11" s="135"/>
      <c r="I11" s="135"/>
      <c r="K11" s="135" t="s">
        <v>12098</v>
      </c>
      <c r="L11" s="135"/>
      <c r="M11" s="135"/>
      <c r="N11" s="135"/>
      <c r="P11" s="1782" t="s">
        <v>9980</v>
      </c>
      <c r="Q11" s="1780" t="s">
        <v>9981</v>
      </c>
      <c r="R11" s="1784">
        <v>20045202</v>
      </c>
    </row>
    <row r="12" spans="1:18" ht="15" customHeight="1">
      <c r="A12" s="548"/>
      <c r="B12" s="534"/>
      <c r="C12" s="534"/>
      <c r="D12" s="548"/>
      <c r="E12" s="548"/>
      <c r="F12" s="135"/>
      <c r="G12" s="135"/>
      <c r="H12" s="135"/>
      <c r="I12" s="135"/>
      <c r="P12" s="1782" t="s">
        <v>9797</v>
      </c>
      <c r="Q12" s="1780" t="s">
        <v>9982</v>
      </c>
      <c r="R12" s="1784">
        <v>19959789</v>
      </c>
    </row>
    <row r="13" spans="1:18" ht="15" customHeight="1">
      <c r="A13" s="135"/>
      <c r="B13" s="869"/>
      <c r="C13" s="869"/>
      <c r="D13" s="734"/>
      <c r="E13" s="135"/>
      <c r="F13" s="135"/>
      <c r="G13" s="135"/>
      <c r="H13" s="135"/>
      <c r="I13" s="135"/>
      <c r="J13" s="135"/>
      <c r="O13" s="135"/>
      <c r="P13" s="1782" t="s">
        <v>9983</v>
      </c>
      <c r="Q13" s="1780" t="s">
        <v>9984</v>
      </c>
      <c r="R13" s="1784">
        <v>20410081</v>
      </c>
    </row>
    <row r="14" spans="1:18" ht="15" customHeight="1">
      <c r="A14" s="135"/>
      <c r="B14" s="869"/>
      <c r="C14" s="869"/>
      <c r="D14" s="734"/>
      <c r="E14" s="135"/>
      <c r="F14" s="135"/>
      <c r="G14" s="135"/>
      <c r="H14" s="135"/>
      <c r="I14" s="135"/>
      <c r="J14" s="135"/>
      <c r="O14" s="135"/>
      <c r="P14" s="1782" t="s">
        <v>9799</v>
      </c>
      <c r="Q14" s="1780" t="s">
        <v>9985</v>
      </c>
      <c r="R14" s="1784">
        <v>20602537</v>
      </c>
    </row>
    <row r="15" spans="1:18" ht="15" customHeight="1">
      <c r="A15" s="135"/>
      <c r="B15" s="869"/>
      <c r="C15" s="869"/>
      <c r="D15" s="869"/>
      <c r="E15" s="135"/>
      <c r="F15" s="135"/>
      <c r="G15" s="135"/>
      <c r="H15" s="135"/>
      <c r="I15" s="135"/>
      <c r="J15" s="135"/>
      <c r="O15" s="135"/>
      <c r="P15" s="1782" t="s">
        <v>9986</v>
      </c>
      <c r="Q15" s="1780" t="s">
        <v>9987</v>
      </c>
      <c r="R15" s="1784">
        <v>21514322</v>
      </c>
    </row>
    <row r="16" spans="1:18" ht="15" customHeight="1">
      <c r="A16" s="135"/>
      <c r="B16" s="135"/>
      <c r="C16" s="135"/>
      <c r="D16" s="135"/>
      <c r="E16" s="135"/>
      <c r="F16" s="135"/>
      <c r="G16" s="135"/>
      <c r="H16" s="135"/>
      <c r="I16" s="135"/>
      <c r="J16" s="135"/>
      <c r="O16" s="135"/>
      <c r="P16" s="1782" t="s">
        <v>9988</v>
      </c>
      <c r="Q16" s="1780" t="s">
        <v>9989</v>
      </c>
      <c r="R16" s="1784">
        <v>21927833</v>
      </c>
    </row>
    <row r="17" spans="6:18" ht="15" customHeight="1">
      <c r="F17" s="135"/>
      <c r="G17" s="135"/>
      <c r="H17" s="135"/>
      <c r="I17" s="135"/>
      <c r="J17" s="135"/>
      <c r="O17" s="135"/>
      <c r="P17" s="1782" t="s">
        <v>9990</v>
      </c>
      <c r="Q17" s="1780" t="s">
        <v>9991</v>
      </c>
      <c r="R17" s="1784">
        <v>22164448</v>
      </c>
    </row>
    <row r="18" spans="6:18" ht="15" customHeight="1">
      <c r="J18" s="135"/>
      <c r="O18" s="135"/>
      <c r="P18" s="1782" t="s">
        <v>9992</v>
      </c>
      <c r="Q18" s="1780" t="s">
        <v>9993</v>
      </c>
      <c r="R18" s="1784">
        <v>22205326</v>
      </c>
    </row>
    <row r="19" spans="6:18" ht="15" customHeight="1">
      <c r="J19" s="135"/>
      <c r="O19" s="135"/>
      <c r="P19" s="1782" t="s">
        <v>10067</v>
      </c>
      <c r="Q19" s="1780" t="s">
        <v>9994</v>
      </c>
      <c r="R19" s="1784">
        <v>22396478</v>
      </c>
    </row>
    <row r="20" spans="6:18" ht="15" customHeight="1">
      <c r="J20" s="135"/>
      <c r="O20" s="135"/>
      <c r="P20" s="1782" t="s">
        <v>10068</v>
      </c>
      <c r="Q20" s="1780" t="s">
        <v>9995</v>
      </c>
      <c r="R20" s="1784">
        <v>21942564</v>
      </c>
    </row>
    <row r="21" spans="6:18" ht="15" customHeight="1">
      <c r="J21" s="135"/>
      <c r="O21" s="135"/>
      <c r="P21" s="1782" t="s">
        <v>10069</v>
      </c>
      <c r="Q21" s="1780" t="s">
        <v>9996</v>
      </c>
      <c r="R21" s="1784">
        <v>22572921</v>
      </c>
    </row>
    <row r="22" spans="6:18" ht="15" customHeight="1">
      <c r="J22" s="135"/>
      <c r="O22" s="135"/>
      <c r="P22" s="1782" t="s">
        <v>10070</v>
      </c>
      <c r="Q22" s="1780" t="s">
        <v>9997</v>
      </c>
      <c r="R22" s="1784">
        <v>23159403</v>
      </c>
    </row>
    <row r="23" spans="6:18" ht="15" customHeight="1">
      <c r="J23" s="135"/>
      <c r="O23" s="135"/>
      <c r="P23" s="1782" t="s">
        <v>10071</v>
      </c>
      <c r="Q23" s="1780" t="s">
        <v>9999</v>
      </c>
      <c r="R23" s="1784">
        <v>24322647</v>
      </c>
    </row>
    <row r="24" spans="6:18">
      <c r="J24" s="135"/>
      <c r="O24" s="135"/>
      <c r="P24" s="638" t="s">
        <v>12099</v>
      </c>
      <c r="Q24" s="144"/>
      <c r="R24" s="1785">
        <v>24890653</v>
      </c>
    </row>
    <row r="25" spans="6:18">
      <c r="P25" s="133" t="s">
        <v>12101</v>
      </c>
    </row>
    <row r="26" spans="6:18">
      <c r="P26" s="133" t="s">
        <v>12102</v>
      </c>
    </row>
  </sheetData>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A235D-30CC-48C0-A608-503A3A6265D9}">
  <dimension ref="A1:AM397"/>
  <sheetViews>
    <sheetView topLeftCell="AA1" workbookViewId="0">
      <pane xSplit="3" ySplit="7" topLeftCell="AD59" activePane="bottomRight" state="frozen"/>
      <selection activeCell="AA1" sqref="AA1"/>
      <selection pane="topRight" activeCell="AD1" sqref="AD1"/>
      <selection pane="bottomLeft" activeCell="AA8" sqref="AA8"/>
      <selection pane="bottomRight" activeCell="AG68" sqref="AG68"/>
    </sheetView>
  </sheetViews>
  <sheetFormatPr defaultColWidth="9.58203125" defaultRowHeight="16.5"/>
  <cols>
    <col min="1" max="2" width="7.58203125" style="867" hidden="1" customWidth="1"/>
    <col min="3" max="8" width="0" style="867" hidden="1" customWidth="1"/>
    <col min="9" max="9" width="5.6640625" style="1221" hidden="1" customWidth="1"/>
    <col min="10" max="22" width="0" style="1221" hidden="1" customWidth="1"/>
    <col min="23" max="23" width="22.4140625" style="1221" hidden="1" customWidth="1"/>
    <col min="24" max="26" width="6.25" style="1221" hidden="1" customWidth="1"/>
    <col min="27" max="16384" width="9.58203125" style="1221"/>
  </cols>
  <sheetData>
    <row r="1" spans="1:39">
      <c r="C1" s="867" t="s">
        <v>11587</v>
      </c>
      <c r="I1" s="867"/>
      <c r="J1" s="867" t="s">
        <v>11587</v>
      </c>
      <c r="K1" s="867"/>
      <c r="L1" s="867"/>
      <c r="M1" s="867"/>
      <c r="N1" s="867"/>
      <c r="O1" s="867"/>
      <c r="P1" s="867"/>
      <c r="Q1" s="867"/>
      <c r="R1" s="867"/>
      <c r="S1" s="867"/>
      <c r="T1" s="867"/>
      <c r="U1" s="867"/>
      <c r="V1" s="867"/>
      <c r="AA1" s="867" t="s">
        <v>11750</v>
      </c>
      <c r="AB1" s="867"/>
      <c r="AC1" s="867"/>
      <c r="AD1" s="867"/>
      <c r="AE1" s="867"/>
      <c r="AF1" s="867"/>
      <c r="AG1" s="867"/>
      <c r="AH1" s="867"/>
      <c r="AI1" s="867"/>
      <c r="AJ1" s="867"/>
      <c r="AK1" s="867"/>
      <c r="AL1" s="867"/>
      <c r="AM1" s="867"/>
    </row>
    <row r="2" spans="1:39">
      <c r="C2" s="940" t="s">
        <v>11596</v>
      </c>
      <c r="D2" s="940"/>
      <c r="J2" s="1750" t="s">
        <v>11588</v>
      </c>
      <c r="K2" s="1750"/>
      <c r="L2" s="867" t="s">
        <v>11597</v>
      </c>
      <c r="M2" s="867"/>
      <c r="N2" s="867"/>
      <c r="O2" s="867"/>
      <c r="P2" s="867"/>
      <c r="Q2" s="867"/>
      <c r="R2" s="867"/>
      <c r="S2" s="867"/>
      <c r="T2" s="867"/>
      <c r="U2" s="867"/>
      <c r="V2" s="941" t="s">
        <v>11589</v>
      </c>
      <c r="AA2" s="1750" t="s">
        <v>11588</v>
      </c>
      <c r="AB2" s="1750"/>
      <c r="AC2" s="867" t="s">
        <v>11598</v>
      </c>
      <c r="AD2" s="867"/>
      <c r="AE2" s="867"/>
      <c r="AF2" s="867"/>
      <c r="AG2" s="867"/>
      <c r="AH2" s="867"/>
      <c r="AI2" s="867"/>
      <c r="AJ2" s="867"/>
      <c r="AK2" s="867"/>
      <c r="AL2" s="867"/>
      <c r="AM2" s="941" t="s">
        <v>11589</v>
      </c>
    </row>
    <row r="3" spans="1:39" ht="10" customHeight="1">
      <c r="C3" s="1720" t="s">
        <v>838</v>
      </c>
      <c r="D3" s="1720" t="s">
        <v>839</v>
      </c>
      <c r="E3" s="1222"/>
      <c r="J3" s="1723" t="s">
        <v>11599</v>
      </c>
      <c r="K3" s="1724"/>
      <c r="L3" s="1725"/>
      <c r="M3" s="1732" t="s">
        <v>11590</v>
      </c>
      <c r="N3" s="1735" t="s">
        <v>838</v>
      </c>
      <c r="O3" s="1735" t="s">
        <v>839</v>
      </c>
      <c r="P3" s="1747" t="s">
        <v>11591</v>
      </c>
      <c r="Q3" s="1223"/>
      <c r="R3" s="1223"/>
      <c r="S3" s="1223"/>
      <c r="T3" s="1223"/>
      <c r="U3" s="1223"/>
      <c r="V3" s="1224"/>
      <c r="AA3" s="1751" t="s">
        <v>11599</v>
      </c>
      <c r="AB3" s="1752"/>
      <c r="AC3" s="1753"/>
      <c r="AD3" s="1763" t="s">
        <v>11590</v>
      </c>
      <c r="AE3" s="1766" t="s">
        <v>838</v>
      </c>
      <c r="AF3" s="1766" t="s">
        <v>839</v>
      </c>
      <c r="AG3" s="1738" t="s">
        <v>11591</v>
      </c>
      <c r="AH3" s="1225"/>
      <c r="AI3" s="1225"/>
      <c r="AJ3" s="1225"/>
      <c r="AK3" s="1225"/>
      <c r="AL3" s="1225"/>
      <c r="AM3" s="1226"/>
    </row>
    <row r="4" spans="1:39" ht="10" customHeight="1">
      <c r="C4" s="1721"/>
      <c r="D4" s="1721"/>
      <c r="E4" s="1741" t="s">
        <v>841</v>
      </c>
      <c r="J4" s="1726"/>
      <c r="K4" s="1727"/>
      <c r="L4" s="1728"/>
      <c r="M4" s="1733"/>
      <c r="N4" s="1736"/>
      <c r="O4" s="1736"/>
      <c r="P4" s="1726"/>
      <c r="Q4" s="1744" t="s">
        <v>841</v>
      </c>
      <c r="R4" s="1747" t="s">
        <v>842</v>
      </c>
      <c r="S4" s="1227"/>
      <c r="T4" s="1227"/>
      <c r="U4" s="1227"/>
      <c r="V4" s="1228"/>
      <c r="AA4" s="1739"/>
      <c r="AB4" s="1754"/>
      <c r="AC4" s="1755"/>
      <c r="AD4" s="1764"/>
      <c r="AE4" s="1767"/>
      <c r="AF4" s="1767"/>
      <c r="AG4" s="1739"/>
      <c r="AH4" s="1758" t="s">
        <v>841</v>
      </c>
      <c r="AI4" s="1738" t="s">
        <v>842</v>
      </c>
      <c r="AJ4" s="1229"/>
      <c r="AK4" s="1229"/>
      <c r="AL4" s="1229"/>
      <c r="AM4" s="1230"/>
    </row>
    <row r="5" spans="1:39" ht="10" customHeight="1">
      <c r="C5" s="1721"/>
      <c r="D5" s="1721"/>
      <c r="E5" s="1742"/>
      <c r="H5" s="1741" t="s">
        <v>845</v>
      </c>
      <c r="J5" s="1726"/>
      <c r="K5" s="1727"/>
      <c r="L5" s="1728"/>
      <c r="M5" s="1733"/>
      <c r="N5" s="1736"/>
      <c r="O5" s="1736"/>
      <c r="P5" s="1726"/>
      <c r="Q5" s="1745"/>
      <c r="R5" s="1748"/>
      <c r="S5" s="1747" t="s">
        <v>844</v>
      </c>
      <c r="T5" s="1223"/>
      <c r="U5" s="1224"/>
      <c r="V5" s="1744" t="s">
        <v>845</v>
      </c>
      <c r="AA5" s="1739"/>
      <c r="AB5" s="1754"/>
      <c r="AC5" s="1755"/>
      <c r="AD5" s="1764"/>
      <c r="AE5" s="1767"/>
      <c r="AF5" s="1767"/>
      <c r="AG5" s="1739"/>
      <c r="AH5" s="1759"/>
      <c r="AI5" s="1761"/>
      <c r="AJ5" s="1738" t="s">
        <v>844</v>
      </c>
      <c r="AK5" s="1225"/>
      <c r="AL5" s="1226"/>
      <c r="AM5" s="1758" t="s">
        <v>845</v>
      </c>
    </row>
    <row r="6" spans="1:39">
      <c r="C6" s="1721"/>
      <c r="D6" s="1721"/>
      <c r="E6" s="1742"/>
      <c r="F6" s="1741" t="s">
        <v>11592</v>
      </c>
      <c r="G6" s="1741" t="s">
        <v>11593</v>
      </c>
      <c r="H6" s="1742"/>
      <c r="J6" s="1726"/>
      <c r="K6" s="1727"/>
      <c r="L6" s="1728"/>
      <c r="M6" s="1733"/>
      <c r="N6" s="1736"/>
      <c r="O6" s="1736"/>
      <c r="P6" s="1726"/>
      <c r="Q6" s="1745"/>
      <c r="R6" s="1748"/>
      <c r="S6" s="1748"/>
      <c r="T6" s="1744" t="s">
        <v>11592</v>
      </c>
      <c r="U6" s="1744" t="s">
        <v>11593</v>
      </c>
      <c r="V6" s="1745"/>
      <c r="X6" s="1221" t="s">
        <v>11600</v>
      </c>
      <c r="Y6" s="1221" t="s">
        <v>11601</v>
      </c>
      <c r="Z6" s="1221" t="s">
        <v>11602</v>
      </c>
      <c r="AA6" s="1739"/>
      <c r="AB6" s="1754"/>
      <c r="AC6" s="1755"/>
      <c r="AD6" s="1764"/>
      <c r="AE6" s="1767"/>
      <c r="AF6" s="1767"/>
      <c r="AG6" s="1739"/>
      <c r="AH6" s="1759"/>
      <c r="AI6" s="1761"/>
      <c r="AJ6" s="1761"/>
      <c r="AK6" s="1758" t="s">
        <v>11592</v>
      </c>
      <c r="AL6" s="1758" t="s">
        <v>11593</v>
      </c>
      <c r="AM6" s="1759"/>
    </row>
    <row r="7" spans="1:39">
      <c r="C7" s="1722"/>
      <c r="D7" s="1722"/>
      <c r="E7" s="1743"/>
      <c r="F7" s="1743"/>
      <c r="G7" s="1743"/>
      <c r="H7" s="1743"/>
      <c r="J7" s="1729"/>
      <c r="K7" s="1730"/>
      <c r="L7" s="1731"/>
      <c r="M7" s="1734"/>
      <c r="N7" s="1737"/>
      <c r="O7" s="1737"/>
      <c r="P7" s="1729"/>
      <c r="Q7" s="1746"/>
      <c r="R7" s="1749"/>
      <c r="S7" s="1749"/>
      <c r="T7" s="1746"/>
      <c r="U7" s="1746"/>
      <c r="V7" s="1746"/>
      <c r="X7" s="1221" t="s">
        <v>11603</v>
      </c>
      <c r="Y7" s="1221" t="s">
        <v>11603</v>
      </c>
      <c r="Z7" s="1221" t="s">
        <v>11603</v>
      </c>
      <c r="AA7" s="1740"/>
      <c r="AB7" s="1756"/>
      <c r="AC7" s="1757"/>
      <c r="AD7" s="1765"/>
      <c r="AE7" s="1768"/>
      <c r="AF7" s="1768"/>
      <c r="AG7" s="1740"/>
      <c r="AH7" s="1760"/>
      <c r="AI7" s="1762"/>
      <c r="AJ7" s="1762"/>
      <c r="AK7" s="1760"/>
      <c r="AL7" s="1760"/>
      <c r="AM7" s="1760"/>
    </row>
    <row r="8" spans="1:39" ht="16.5" customHeight="1">
      <c r="A8" s="1231" t="s">
        <v>29</v>
      </c>
      <c r="B8" s="867" t="s">
        <v>9052</v>
      </c>
      <c r="C8" s="1232">
        <v>22414</v>
      </c>
      <c r="D8" s="1232">
        <v>8754</v>
      </c>
      <c r="E8" s="1232">
        <v>1415</v>
      </c>
      <c r="F8" s="1232">
        <v>5170</v>
      </c>
      <c r="G8" s="1232">
        <v>2396</v>
      </c>
      <c r="H8" s="1232">
        <v>7946</v>
      </c>
      <c r="J8" s="1231" t="s">
        <v>850</v>
      </c>
      <c r="K8" s="867" t="s">
        <v>5324</v>
      </c>
      <c r="L8" s="867"/>
      <c r="M8" s="1232">
        <f>N8+O8+P8</f>
        <v>28515</v>
      </c>
      <c r="N8" s="1232">
        <v>15896</v>
      </c>
      <c r="O8" s="1232">
        <v>6032</v>
      </c>
      <c r="P8" s="1232">
        <f>Q8+R8</f>
        <v>6587</v>
      </c>
      <c r="Q8" s="1232">
        <v>490</v>
      </c>
      <c r="R8" s="1232">
        <f>S8+V8</f>
        <v>6097</v>
      </c>
      <c r="S8" s="1232">
        <f>T8+U8</f>
        <v>2938</v>
      </c>
      <c r="T8" s="1232">
        <v>2191</v>
      </c>
      <c r="U8" s="1232">
        <v>747</v>
      </c>
      <c r="V8" s="1232">
        <v>3159</v>
      </c>
      <c r="W8" s="1232"/>
      <c r="X8" s="1232" t="s">
        <v>21</v>
      </c>
      <c r="Y8" s="1232" t="s">
        <v>29</v>
      </c>
      <c r="Z8" s="1232" t="s">
        <v>11604</v>
      </c>
      <c r="AA8" s="1233" t="s">
        <v>850</v>
      </c>
      <c r="AB8" s="1234" t="s">
        <v>5324</v>
      </c>
      <c r="AC8" s="1235"/>
      <c r="AD8" s="1213">
        <f>AE8+AF8+AG8</f>
        <v>28515</v>
      </c>
      <c r="AE8" s="1213">
        <f>N8</f>
        <v>15896</v>
      </c>
      <c r="AF8" s="1213">
        <f t="shared" ref="AF8:AF70" si="0">O8</f>
        <v>6032</v>
      </c>
      <c r="AG8" s="1213">
        <f>AH8+AI8</f>
        <v>6587</v>
      </c>
      <c r="AH8" s="1213">
        <f>Q8</f>
        <v>490</v>
      </c>
      <c r="AI8" s="1213">
        <f>AJ8+AM8</f>
        <v>6097</v>
      </c>
      <c r="AJ8" s="1213">
        <f>AK8+AL8</f>
        <v>2938</v>
      </c>
      <c r="AK8" s="1213">
        <f>T8</f>
        <v>2191</v>
      </c>
      <c r="AL8" s="1213">
        <f t="shared" ref="AL8:AM23" si="1">U8</f>
        <v>747</v>
      </c>
      <c r="AM8" s="1213">
        <f t="shared" si="1"/>
        <v>3159</v>
      </c>
    </row>
    <row r="9" spans="1:39" ht="16.5" customHeight="1">
      <c r="A9" s="1231"/>
      <c r="J9" s="1231" t="s">
        <v>852</v>
      </c>
      <c r="K9" s="867" t="s">
        <v>5333</v>
      </c>
      <c r="L9" s="867"/>
      <c r="M9" s="1232">
        <f t="shared" ref="M9:M72" si="2">N9+O9+P9</f>
        <v>125</v>
      </c>
      <c r="N9" s="1232">
        <v>68</v>
      </c>
      <c r="O9" s="1232">
        <v>15</v>
      </c>
      <c r="P9" s="1232">
        <f t="shared" ref="P9:P72" si="3">Q9+R9</f>
        <v>42</v>
      </c>
      <c r="Q9" s="1232">
        <v>5</v>
      </c>
      <c r="R9" s="1232">
        <f t="shared" ref="R9:R72" si="4">S9+V9</f>
        <v>37</v>
      </c>
      <c r="S9" s="1232">
        <f t="shared" ref="S9:S72" si="5">T9+U9</f>
        <v>29</v>
      </c>
      <c r="T9" s="1232">
        <v>26</v>
      </c>
      <c r="U9" s="1232">
        <v>3</v>
      </c>
      <c r="V9" s="1232">
        <v>8</v>
      </c>
      <c r="W9" s="1232"/>
      <c r="X9" s="1232" t="s">
        <v>21</v>
      </c>
      <c r="Y9" s="1232" t="s">
        <v>29</v>
      </c>
      <c r="Z9" s="1232" t="s">
        <v>11604</v>
      </c>
      <c r="AA9" s="1236" t="s">
        <v>852</v>
      </c>
      <c r="AB9" s="867" t="s">
        <v>5333</v>
      </c>
      <c r="AC9" s="1237"/>
      <c r="AD9" s="942">
        <f t="shared" ref="AD9:AD72" si="6">AE9+AF9+AG9</f>
        <v>125</v>
      </c>
      <c r="AE9" s="942">
        <f t="shared" ref="AE9:AF72" si="7">N9</f>
        <v>68</v>
      </c>
      <c r="AF9" s="942">
        <f t="shared" si="0"/>
        <v>15</v>
      </c>
      <c r="AG9" s="942">
        <f t="shared" ref="AG9:AG72" si="8">AH9+AI9</f>
        <v>42</v>
      </c>
      <c r="AH9" s="942">
        <f t="shared" ref="AH9:AH72" si="9">Q9</f>
        <v>5</v>
      </c>
      <c r="AI9" s="942">
        <f t="shared" ref="AI9:AI72" si="10">AJ9+AM9</f>
        <v>37</v>
      </c>
      <c r="AJ9" s="942">
        <f t="shared" ref="AJ9:AJ72" si="11">AK9+AL9</f>
        <v>29</v>
      </c>
      <c r="AK9" s="942">
        <f t="shared" ref="AK9:AM72" si="12">T9</f>
        <v>26</v>
      </c>
      <c r="AL9" s="942">
        <f t="shared" si="1"/>
        <v>3</v>
      </c>
      <c r="AM9" s="942">
        <f t="shared" si="1"/>
        <v>8</v>
      </c>
    </row>
    <row r="10" spans="1:39" ht="16.5" customHeight="1">
      <c r="A10" s="1231"/>
      <c r="J10" s="1231" t="s">
        <v>854</v>
      </c>
      <c r="K10" s="867" t="s">
        <v>5342</v>
      </c>
      <c r="L10" s="867"/>
      <c r="M10" s="1232">
        <f t="shared" si="2"/>
        <v>215</v>
      </c>
      <c r="N10" s="1232">
        <v>87</v>
      </c>
      <c r="O10" s="1232">
        <v>52</v>
      </c>
      <c r="P10" s="1232">
        <f t="shared" si="3"/>
        <v>76</v>
      </c>
      <c r="Q10" s="1232">
        <v>8</v>
      </c>
      <c r="R10" s="1232">
        <f t="shared" si="4"/>
        <v>68</v>
      </c>
      <c r="S10" s="1232">
        <f t="shared" si="5"/>
        <v>26</v>
      </c>
      <c r="T10" s="1232">
        <v>14</v>
      </c>
      <c r="U10" s="1232">
        <v>12</v>
      </c>
      <c r="V10" s="1232">
        <v>42</v>
      </c>
      <c r="W10" s="1232"/>
      <c r="X10" s="1232" t="s">
        <v>28</v>
      </c>
      <c r="Y10" s="1232" t="s">
        <v>29</v>
      </c>
      <c r="Z10" s="1232" t="s">
        <v>11604</v>
      </c>
      <c r="AA10" s="1236" t="s">
        <v>854</v>
      </c>
      <c r="AB10" s="867" t="s">
        <v>5342</v>
      </c>
      <c r="AC10" s="1237"/>
      <c r="AD10" s="942">
        <f t="shared" si="6"/>
        <v>215</v>
      </c>
      <c r="AE10" s="942">
        <f t="shared" si="7"/>
        <v>87</v>
      </c>
      <c r="AF10" s="942">
        <f t="shared" si="0"/>
        <v>52</v>
      </c>
      <c r="AG10" s="942">
        <f t="shared" si="8"/>
        <v>76</v>
      </c>
      <c r="AH10" s="942">
        <f t="shared" si="9"/>
        <v>8</v>
      </c>
      <c r="AI10" s="942">
        <f t="shared" si="10"/>
        <v>68</v>
      </c>
      <c r="AJ10" s="942">
        <f t="shared" si="11"/>
        <v>26</v>
      </c>
      <c r="AK10" s="942">
        <f t="shared" si="12"/>
        <v>14</v>
      </c>
      <c r="AL10" s="942">
        <f t="shared" si="1"/>
        <v>12</v>
      </c>
      <c r="AM10" s="942">
        <f t="shared" si="1"/>
        <v>42</v>
      </c>
    </row>
    <row r="11" spans="1:39" ht="16.5" customHeight="1">
      <c r="A11" s="1231"/>
      <c r="J11" s="1231" t="s">
        <v>856</v>
      </c>
      <c r="K11" s="867" t="s">
        <v>5346</v>
      </c>
      <c r="L11" s="867"/>
      <c r="M11" s="1232">
        <f t="shared" si="2"/>
        <v>3350</v>
      </c>
      <c r="N11" s="1232">
        <v>1862</v>
      </c>
      <c r="O11" s="1232">
        <v>826</v>
      </c>
      <c r="P11" s="1232">
        <f t="shared" si="3"/>
        <v>662</v>
      </c>
      <c r="Q11" s="1232">
        <v>105</v>
      </c>
      <c r="R11" s="1232">
        <f t="shared" si="4"/>
        <v>557</v>
      </c>
      <c r="S11" s="1232">
        <f t="shared" si="5"/>
        <v>322</v>
      </c>
      <c r="T11" s="1232">
        <v>252</v>
      </c>
      <c r="U11" s="1232">
        <v>70</v>
      </c>
      <c r="V11" s="1232">
        <v>235</v>
      </c>
      <c r="W11" s="1232"/>
      <c r="X11" s="1232" t="s">
        <v>28</v>
      </c>
      <c r="Y11" s="1232" t="s">
        <v>29</v>
      </c>
      <c r="Z11" s="1232" t="s">
        <v>11604</v>
      </c>
      <c r="AA11" s="1236" t="s">
        <v>856</v>
      </c>
      <c r="AB11" s="867" t="s">
        <v>5346</v>
      </c>
      <c r="AC11" s="1237"/>
      <c r="AD11" s="942">
        <f t="shared" si="6"/>
        <v>3350</v>
      </c>
      <c r="AE11" s="942">
        <f t="shared" si="7"/>
        <v>1862</v>
      </c>
      <c r="AF11" s="942">
        <f t="shared" si="0"/>
        <v>826</v>
      </c>
      <c r="AG11" s="942">
        <f t="shared" si="8"/>
        <v>662</v>
      </c>
      <c r="AH11" s="942">
        <f t="shared" si="9"/>
        <v>105</v>
      </c>
      <c r="AI11" s="942">
        <f t="shared" si="10"/>
        <v>557</v>
      </c>
      <c r="AJ11" s="942">
        <f t="shared" si="11"/>
        <v>322</v>
      </c>
      <c r="AK11" s="942">
        <f t="shared" si="12"/>
        <v>252</v>
      </c>
      <c r="AL11" s="942">
        <f t="shared" si="1"/>
        <v>70</v>
      </c>
      <c r="AM11" s="942">
        <f t="shared" si="1"/>
        <v>235</v>
      </c>
    </row>
    <row r="12" spans="1:39" ht="16.5" customHeight="1">
      <c r="A12" s="1231"/>
      <c r="J12" s="1231" t="s">
        <v>858</v>
      </c>
      <c r="K12" s="867" t="s">
        <v>37</v>
      </c>
      <c r="L12" s="867"/>
      <c r="M12" s="1232">
        <f t="shared" si="2"/>
        <v>12067</v>
      </c>
      <c r="N12" s="1232">
        <v>3299</v>
      </c>
      <c r="O12" s="1232">
        <v>1288</v>
      </c>
      <c r="P12" s="1232">
        <f t="shared" si="3"/>
        <v>7480</v>
      </c>
      <c r="Q12" s="1232">
        <v>632</v>
      </c>
      <c r="R12" s="1232">
        <f t="shared" si="4"/>
        <v>6848</v>
      </c>
      <c r="S12" s="1232">
        <f t="shared" si="5"/>
        <v>3404</v>
      </c>
      <c r="T12" s="1232">
        <v>2170</v>
      </c>
      <c r="U12" s="1232">
        <v>1234</v>
      </c>
      <c r="V12" s="1232">
        <v>3444</v>
      </c>
      <c r="W12" s="1232"/>
      <c r="X12" s="1232" t="s">
        <v>35</v>
      </c>
      <c r="Y12" s="1232" t="s">
        <v>29</v>
      </c>
      <c r="Z12" s="1232" t="s">
        <v>11604</v>
      </c>
      <c r="AA12" s="1236" t="s">
        <v>858</v>
      </c>
      <c r="AB12" s="867" t="s">
        <v>37</v>
      </c>
      <c r="AC12" s="1237"/>
      <c r="AD12" s="942">
        <f t="shared" si="6"/>
        <v>12066</v>
      </c>
      <c r="AE12" s="942">
        <f t="shared" si="7"/>
        <v>3299</v>
      </c>
      <c r="AF12" s="942">
        <f t="shared" si="0"/>
        <v>1288</v>
      </c>
      <c r="AG12" s="942">
        <f t="shared" si="8"/>
        <v>7479</v>
      </c>
      <c r="AH12" s="942">
        <f>Q12</f>
        <v>632</v>
      </c>
      <c r="AI12" s="942">
        <f t="shared" si="10"/>
        <v>6847</v>
      </c>
      <c r="AJ12" s="942">
        <f t="shared" si="11"/>
        <v>3403</v>
      </c>
      <c r="AK12" s="942">
        <f t="shared" si="12"/>
        <v>2170</v>
      </c>
      <c r="AL12" s="1214">
        <f>U12-1</f>
        <v>1233</v>
      </c>
      <c r="AM12" s="942">
        <f t="shared" si="1"/>
        <v>3444</v>
      </c>
    </row>
    <row r="13" spans="1:39" ht="16.5" customHeight="1">
      <c r="A13" s="1231"/>
      <c r="J13" s="1231" t="s">
        <v>862</v>
      </c>
      <c r="K13" s="867" t="s">
        <v>39</v>
      </c>
      <c r="L13" s="867"/>
      <c r="M13" s="1232">
        <f t="shared" si="2"/>
        <v>2068</v>
      </c>
      <c r="N13" s="1232">
        <v>652</v>
      </c>
      <c r="O13" s="1232">
        <v>308</v>
      </c>
      <c r="P13" s="1232">
        <f t="shared" si="3"/>
        <v>1108</v>
      </c>
      <c r="Q13" s="1232">
        <v>36</v>
      </c>
      <c r="R13" s="1232">
        <f t="shared" si="4"/>
        <v>1072</v>
      </c>
      <c r="S13" s="1232">
        <f t="shared" si="5"/>
        <v>386</v>
      </c>
      <c r="T13" s="1232">
        <v>199</v>
      </c>
      <c r="U13" s="1232">
        <v>187</v>
      </c>
      <c r="V13" s="1232">
        <v>686</v>
      </c>
      <c r="W13" s="1232"/>
      <c r="X13" s="1232" t="s">
        <v>9401</v>
      </c>
      <c r="Y13" s="1232" t="s">
        <v>29</v>
      </c>
      <c r="Z13" s="1232" t="s">
        <v>11604</v>
      </c>
      <c r="AA13" s="1236" t="s">
        <v>862</v>
      </c>
      <c r="AB13" s="867" t="s">
        <v>39</v>
      </c>
      <c r="AC13" s="1237"/>
      <c r="AD13" s="942">
        <f t="shared" si="6"/>
        <v>2068</v>
      </c>
      <c r="AE13" s="942">
        <f t="shared" si="7"/>
        <v>652</v>
      </c>
      <c r="AF13" s="942">
        <f t="shared" si="0"/>
        <v>308</v>
      </c>
      <c r="AG13" s="942">
        <f t="shared" si="8"/>
        <v>1108</v>
      </c>
      <c r="AH13" s="942">
        <f t="shared" si="9"/>
        <v>36</v>
      </c>
      <c r="AI13" s="942">
        <f t="shared" si="10"/>
        <v>1072</v>
      </c>
      <c r="AJ13" s="942">
        <f t="shared" si="11"/>
        <v>386</v>
      </c>
      <c r="AK13" s="942">
        <f t="shared" si="12"/>
        <v>199</v>
      </c>
      <c r="AL13" s="942">
        <f t="shared" si="1"/>
        <v>187</v>
      </c>
      <c r="AM13" s="942">
        <f t="shared" si="1"/>
        <v>686</v>
      </c>
    </row>
    <row r="14" spans="1:39" ht="16.5" customHeight="1">
      <c r="A14" s="1231"/>
      <c r="J14" s="1231" t="s">
        <v>864</v>
      </c>
      <c r="K14" s="867" t="s">
        <v>41</v>
      </c>
      <c r="L14" s="867"/>
      <c r="M14" s="1232">
        <f t="shared" si="2"/>
        <v>0</v>
      </c>
      <c r="N14" s="1232">
        <v>0</v>
      </c>
      <c r="O14" s="1232">
        <v>0</v>
      </c>
      <c r="P14" s="1232">
        <f t="shared" si="3"/>
        <v>0</v>
      </c>
      <c r="Q14" s="1232">
        <v>0</v>
      </c>
      <c r="R14" s="1232">
        <f t="shared" si="4"/>
        <v>0</v>
      </c>
      <c r="S14" s="1232">
        <f t="shared" si="5"/>
        <v>0</v>
      </c>
      <c r="T14" s="1232">
        <v>0</v>
      </c>
      <c r="U14" s="1232">
        <v>0</v>
      </c>
      <c r="V14" s="1232">
        <v>0</v>
      </c>
      <c r="W14" s="1232"/>
      <c r="X14" s="1232" t="s">
        <v>40</v>
      </c>
      <c r="Y14" s="1232" t="s">
        <v>29</v>
      </c>
      <c r="Z14" s="1232" t="s">
        <v>11604</v>
      </c>
      <c r="AA14" s="1236" t="s">
        <v>864</v>
      </c>
      <c r="AB14" s="867" t="s">
        <v>41</v>
      </c>
      <c r="AC14" s="1237"/>
      <c r="AD14" s="942">
        <f t="shared" si="6"/>
        <v>0</v>
      </c>
      <c r="AE14" s="942">
        <f t="shared" si="7"/>
        <v>0</v>
      </c>
      <c r="AF14" s="942">
        <f t="shared" si="0"/>
        <v>0</v>
      </c>
      <c r="AG14" s="942">
        <f t="shared" si="8"/>
        <v>0</v>
      </c>
      <c r="AH14" s="942">
        <f t="shared" si="9"/>
        <v>0</v>
      </c>
      <c r="AI14" s="942">
        <f t="shared" si="10"/>
        <v>0</v>
      </c>
      <c r="AJ14" s="942">
        <f t="shared" si="11"/>
        <v>0</v>
      </c>
      <c r="AK14" s="942">
        <f t="shared" si="12"/>
        <v>0</v>
      </c>
      <c r="AL14" s="942">
        <f t="shared" si="1"/>
        <v>0</v>
      </c>
      <c r="AM14" s="942">
        <f t="shared" si="1"/>
        <v>0</v>
      </c>
    </row>
    <row r="15" spans="1:39" ht="16.5" customHeight="1">
      <c r="A15" s="1231"/>
      <c r="J15" s="1231" t="s">
        <v>866</v>
      </c>
      <c r="K15" s="867" t="s">
        <v>5521</v>
      </c>
      <c r="L15" s="867"/>
      <c r="M15" s="1232">
        <f t="shared" si="2"/>
        <v>20</v>
      </c>
      <c r="N15" s="1232">
        <v>6</v>
      </c>
      <c r="O15" s="1232">
        <v>4</v>
      </c>
      <c r="P15" s="1232">
        <f t="shared" si="3"/>
        <v>10</v>
      </c>
      <c r="Q15" s="1232">
        <v>1</v>
      </c>
      <c r="R15" s="1232">
        <f t="shared" si="4"/>
        <v>9</v>
      </c>
      <c r="S15" s="1232">
        <f t="shared" si="5"/>
        <v>4</v>
      </c>
      <c r="T15" s="1232">
        <v>2</v>
      </c>
      <c r="U15" s="1232">
        <v>2</v>
      </c>
      <c r="V15" s="1232">
        <v>5</v>
      </c>
      <c r="W15" s="1232"/>
      <c r="X15" s="1232" t="s">
        <v>40</v>
      </c>
      <c r="Y15" s="1232" t="s">
        <v>29</v>
      </c>
      <c r="Z15" s="1232" t="s">
        <v>11604</v>
      </c>
      <c r="AA15" s="1236" t="s">
        <v>866</v>
      </c>
      <c r="AB15" s="867" t="s">
        <v>5521</v>
      </c>
      <c r="AC15" s="1237"/>
      <c r="AD15" s="942">
        <f t="shared" si="6"/>
        <v>20</v>
      </c>
      <c r="AE15" s="942">
        <f t="shared" si="7"/>
        <v>6</v>
      </c>
      <c r="AF15" s="942">
        <f t="shared" si="0"/>
        <v>4</v>
      </c>
      <c r="AG15" s="942">
        <f t="shared" si="8"/>
        <v>10</v>
      </c>
      <c r="AH15" s="942">
        <f t="shared" si="9"/>
        <v>1</v>
      </c>
      <c r="AI15" s="942">
        <f t="shared" si="10"/>
        <v>9</v>
      </c>
      <c r="AJ15" s="942">
        <f t="shared" si="11"/>
        <v>4</v>
      </c>
      <c r="AK15" s="942">
        <f t="shared" si="12"/>
        <v>2</v>
      </c>
      <c r="AL15" s="942">
        <f t="shared" si="1"/>
        <v>2</v>
      </c>
      <c r="AM15" s="942">
        <f t="shared" si="1"/>
        <v>5</v>
      </c>
    </row>
    <row r="16" spans="1:39" ht="16.5" customHeight="1">
      <c r="A16" s="1231"/>
      <c r="J16" s="1231" t="s">
        <v>868</v>
      </c>
      <c r="K16" s="867" t="s">
        <v>5528</v>
      </c>
      <c r="L16" s="867"/>
      <c r="M16" s="1232">
        <f t="shared" si="2"/>
        <v>11</v>
      </c>
      <c r="N16" s="1232">
        <v>2</v>
      </c>
      <c r="O16" s="1232">
        <v>1</v>
      </c>
      <c r="P16" s="1232">
        <f t="shared" si="3"/>
        <v>8</v>
      </c>
      <c r="Q16" s="1232">
        <v>1</v>
      </c>
      <c r="R16" s="1232">
        <f t="shared" si="4"/>
        <v>7</v>
      </c>
      <c r="S16" s="1232">
        <f t="shared" si="5"/>
        <v>5</v>
      </c>
      <c r="T16" s="1232">
        <v>4</v>
      </c>
      <c r="U16" s="1232">
        <v>1</v>
      </c>
      <c r="V16" s="1232">
        <v>2</v>
      </c>
      <c r="W16" s="1232"/>
      <c r="X16" s="1232" t="s">
        <v>40</v>
      </c>
      <c r="Y16" s="1232" t="s">
        <v>29</v>
      </c>
      <c r="Z16" s="1232" t="s">
        <v>11604</v>
      </c>
      <c r="AA16" s="1236" t="s">
        <v>868</v>
      </c>
      <c r="AB16" s="867" t="s">
        <v>5528</v>
      </c>
      <c r="AC16" s="1237"/>
      <c r="AD16" s="942">
        <f t="shared" si="6"/>
        <v>11</v>
      </c>
      <c r="AE16" s="942">
        <f t="shared" si="7"/>
        <v>2</v>
      </c>
      <c r="AF16" s="942">
        <f t="shared" si="0"/>
        <v>1</v>
      </c>
      <c r="AG16" s="942">
        <f t="shared" si="8"/>
        <v>8</v>
      </c>
      <c r="AH16" s="942">
        <f t="shared" si="9"/>
        <v>1</v>
      </c>
      <c r="AI16" s="942">
        <f t="shared" si="10"/>
        <v>7</v>
      </c>
      <c r="AJ16" s="942">
        <f t="shared" si="11"/>
        <v>5</v>
      </c>
      <c r="AK16" s="942">
        <f t="shared" si="12"/>
        <v>4</v>
      </c>
      <c r="AL16" s="942">
        <f t="shared" si="1"/>
        <v>1</v>
      </c>
      <c r="AM16" s="942">
        <f t="shared" si="1"/>
        <v>2</v>
      </c>
    </row>
    <row r="17" spans="1:39" ht="16.5" customHeight="1">
      <c r="A17" s="1231"/>
      <c r="J17" s="1231" t="s">
        <v>870</v>
      </c>
      <c r="K17" s="867" t="s">
        <v>50</v>
      </c>
      <c r="L17" s="867"/>
      <c r="M17" s="1232">
        <f t="shared" si="2"/>
        <v>112</v>
      </c>
      <c r="N17" s="1232">
        <v>62</v>
      </c>
      <c r="O17" s="1232">
        <v>21</v>
      </c>
      <c r="P17" s="1232">
        <f t="shared" si="3"/>
        <v>29</v>
      </c>
      <c r="Q17" s="1232">
        <v>1</v>
      </c>
      <c r="R17" s="1232">
        <f t="shared" si="4"/>
        <v>28</v>
      </c>
      <c r="S17" s="1232">
        <f t="shared" si="5"/>
        <v>25</v>
      </c>
      <c r="T17" s="1232">
        <v>24</v>
      </c>
      <c r="U17" s="1232">
        <v>1</v>
      </c>
      <c r="V17" s="1232">
        <v>3</v>
      </c>
      <c r="W17" s="1232"/>
      <c r="X17" s="1232" t="s">
        <v>49</v>
      </c>
      <c r="Y17" s="1232" t="s">
        <v>29</v>
      </c>
      <c r="Z17" s="1232" t="s">
        <v>11604</v>
      </c>
      <c r="AA17" s="1236" t="s">
        <v>870</v>
      </c>
      <c r="AB17" s="867" t="s">
        <v>50</v>
      </c>
      <c r="AC17" s="1237"/>
      <c r="AD17" s="942">
        <f t="shared" si="6"/>
        <v>112</v>
      </c>
      <c r="AE17" s="942">
        <f t="shared" si="7"/>
        <v>62</v>
      </c>
      <c r="AF17" s="942">
        <f t="shared" si="0"/>
        <v>21</v>
      </c>
      <c r="AG17" s="942">
        <f t="shared" si="8"/>
        <v>29</v>
      </c>
      <c r="AH17" s="942">
        <f t="shared" si="9"/>
        <v>1</v>
      </c>
      <c r="AI17" s="942">
        <f t="shared" si="10"/>
        <v>28</v>
      </c>
      <c r="AJ17" s="942">
        <f t="shared" si="11"/>
        <v>25</v>
      </c>
      <c r="AK17" s="942">
        <f t="shared" si="12"/>
        <v>24</v>
      </c>
      <c r="AL17" s="942">
        <f t="shared" si="1"/>
        <v>1</v>
      </c>
      <c r="AM17" s="942">
        <f t="shared" si="1"/>
        <v>3</v>
      </c>
    </row>
    <row r="18" spans="1:39" ht="16.5" customHeight="1">
      <c r="A18" s="1231"/>
      <c r="J18" s="1231" t="s">
        <v>872</v>
      </c>
      <c r="K18" s="867" t="s">
        <v>51</v>
      </c>
      <c r="L18" s="867"/>
      <c r="M18" s="1232">
        <f t="shared" si="2"/>
        <v>306</v>
      </c>
      <c r="N18" s="1232">
        <v>67</v>
      </c>
      <c r="O18" s="1232">
        <v>35</v>
      </c>
      <c r="P18" s="1232">
        <f t="shared" si="3"/>
        <v>204</v>
      </c>
      <c r="Q18" s="1232">
        <v>33</v>
      </c>
      <c r="R18" s="1232">
        <f t="shared" si="4"/>
        <v>171</v>
      </c>
      <c r="S18" s="1232">
        <f t="shared" si="5"/>
        <v>84</v>
      </c>
      <c r="T18" s="1232">
        <v>50</v>
      </c>
      <c r="U18" s="1232">
        <v>34</v>
      </c>
      <c r="V18" s="1232">
        <v>87</v>
      </c>
      <c r="W18" s="1232"/>
      <c r="X18" s="1232" t="s">
        <v>49</v>
      </c>
      <c r="Y18" s="1232" t="s">
        <v>29</v>
      </c>
      <c r="Z18" s="1232" t="s">
        <v>11604</v>
      </c>
      <c r="AA18" s="1236" t="s">
        <v>872</v>
      </c>
      <c r="AB18" s="867" t="s">
        <v>51</v>
      </c>
      <c r="AC18" s="1237"/>
      <c r="AD18" s="942">
        <f t="shared" si="6"/>
        <v>306</v>
      </c>
      <c r="AE18" s="942">
        <f t="shared" si="7"/>
        <v>67</v>
      </c>
      <c r="AF18" s="942">
        <f t="shared" si="0"/>
        <v>35</v>
      </c>
      <c r="AG18" s="942">
        <f t="shared" si="8"/>
        <v>204</v>
      </c>
      <c r="AH18" s="942">
        <f t="shared" si="9"/>
        <v>33</v>
      </c>
      <c r="AI18" s="942">
        <f t="shared" si="10"/>
        <v>171</v>
      </c>
      <c r="AJ18" s="942">
        <f t="shared" si="11"/>
        <v>84</v>
      </c>
      <c r="AK18" s="942">
        <f t="shared" si="12"/>
        <v>50</v>
      </c>
      <c r="AL18" s="942">
        <f t="shared" si="1"/>
        <v>34</v>
      </c>
      <c r="AM18" s="942">
        <f t="shared" si="1"/>
        <v>87</v>
      </c>
    </row>
    <row r="19" spans="1:39" ht="16.5" customHeight="1">
      <c r="A19" s="1231"/>
      <c r="J19" s="1231" t="s">
        <v>874</v>
      </c>
      <c r="K19" s="867" t="s">
        <v>53</v>
      </c>
      <c r="L19" s="867"/>
      <c r="M19" s="1232">
        <f t="shared" si="2"/>
        <v>1298</v>
      </c>
      <c r="N19" s="1232">
        <v>408</v>
      </c>
      <c r="O19" s="1232">
        <v>169</v>
      </c>
      <c r="P19" s="1232">
        <f t="shared" si="3"/>
        <v>721</v>
      </c>
      <c r="Q19" s="1232">
        <v>103</v>
      </c>
      <c r="R19" s="1232">
        <f t="shared" si="4"/>
        <v>618</v>
      </c>
      <c r="S19" s="1232">
        <f t="shared" si="5"/>
        <v>344</v>
      </c>
      <c r="T19" s="1232">
        <v>238</v>
      </c>
      <c r="U19" s="1232">
        <v>106</v>
      </c>
      <c r="V19" s="1232">
        <v>274</v>
      </c>
      <c r="W19" s="1232"/>
      <c r="X19" s="1232" t="s">
        <v>49</v>
      </c>
      <c r="Y19" s="1232" t="s">
        <v>29</v>
      </c>
      <c r="Z19" s="1232" t="s">
        <v>11604</v>
      </c>
      <c r="AA19" s="1236" t="s">
        <v>874</v>
      </c>
      <c r="AB19" s="867" t="s">
        <v>53</v>
      </c>
      <c r="AC19" s="1237"/>
      <c r="AD19" s="942">
        <f t="shared" si="6"/>
        <v>1298</v>
      </c>
      <c r="AE19" s="942">
        <f t="shared" si="7"/>
        <v>408</v>
      </c>
      <c r="AF19" s="942">
        <f t="shared" si="0"/>
        <v>169</v>
      </c>
      <c r="AG19" s="942">
        <f t="shared" si="8"/>
        <v>721</v>
      </c>
      <c r="AH19" s="942">
        <f t="shared" si="9"/>
        <v>103</v>
      </c>
      <c r="AI19" s="942">
        <f t="shared" si="10"/>
        <v>618</v>
      </c>
      <c r="AJ19" s="942">
        <f t="shared" si="11"/>
        <v>344</v>
      </c>
      <c r="AK19" s="942">
        <f t="shared" si="12"/>
        <v>238</v>
      </c>
      <c r="AL19" s="942">
        <f t="shared" si="1"/>
        <v>106</v>
      </c>
      <c r="AM19" s="942">
        <f t="shared" si="1"/>
        <v>274</v>
      </c>
    </row>
    <row r="20" spans="1:39" ht="16.5" customHeight="1">
      <c r="A20" s="1238"/>
      <c r="B20" s="940"/>
      <c r="C20" s="940"/>
      <c r="D20" s="940"/>
      <c r="E20" s="940"/>
      <c r="F20" s="940"/>
      <c r="G20" s="940"/>
      <c r="H20" s="940"/>
      <c r="J20" s="1231" t="s">
        <v>876</v>
      </c>
      <c r="K20" s="867" t="s">
        <v>5560</v>
      </c>
      <c r="L20" s="867"/>
      <c r="M20" s="1232">
        <f t="shared" si="2"/>
        <v>8</v>
      </c>
      <c r="N20" s="1232">
        <f>C8-SUM(N8:N19)</f>
        <v>5</v>
      </c>
      <c r="O20" s="1232">
        <f>D8-SUM(O8:O19)</f>
        <v>3</v>
      </c>
      <c r="P20" s="1232">
        <f t="shared" si="3"/>
        <v>0</v>
      </c>
      <c r="Q20" s="1232">
        <f>E8-SUM(Q8:Q19)</f>
        <v>0</v>
      </c>
      <c r="R20" s="1232">
        <f t="shared" si="4"/>
        <v>0</v>
      </c>
      <c r="S20" s="1232">
        <f t="shared" si="5"/>
        <v>-1</v>
      </c>
      <c r="T20" s="1232">
        <f>F8-SUM(T8:T19)</f>
        <v>0</v>
      </c>
      <c r="U20" s="1232">
        <f>G8-SUM(U8:U19)</f>
        <v>-1</v>
      </c>
      <c r="V20" s="1232">
        <f>H8-SUM(V8:V19)</f>
        <v>1</v>
      </c>
      <c r="W20" s="1232"/>
      <c r="X20" s="1232" t="s">
        <v>49</v>
      </c>
      <c r="Y20" s="1232" t="s">
        <v>29</v>
      </c>
      <c r="Z20" s="1232" t="s">
        <v>11604</v>
      </c>
      <c r="AA20" s="1236" t="s">
        <v>876</v>
      </c>
      <c r="AB20" s="867" t="s">
        <v>5560</v>
      </c>
      <c r="AC20" s="1237"/>
      <c r="AD20" s="942">
        <f t="shared" si="6"/>
        <v>9</v>
      </c>
      <c r="AE20" s="942">
        <f t="shared" si="7"/>
        <v>5</v>
      </c>
      <c r="AF20" s="942">
        <f t="shared" si="0"/>
        <v>3</v>
      </c>
      <c r="AG20" s="942">
        <f t="shared" si="8"/>
        <v>1</v>
      </c>
      <c r="AH20" s="942">
        <f>Q20</f>
        <v>0</v>
      </c>
      <c r="AI20" s="942">
        <f t="shared" si="10"/>
        <v>1</v>
      </c>
      <c r="AJ20" s="942">
        <f t="shared" si="11"/>
        <v>0</v>
      </c>
      <c r="AK20" s="942">
        <f>T20</f>
        <v>0</v>
      </c>
      <c r="AL20" s="1214">
        <f>U20+1</f>
        <v>0</v>
      </c>
      <c r="AM20" s="942">
        <f t="shared" si="1"/>
        <v>1</v>
      </c>
    </row>
    <row r="21" spans="1:39" ht="16.5" customHeight="1">
      <c r="A21" s="1231" t="s">
        <v>22</v>
      </c>
      <c r="B21" s="867" t="s">
        <v>9053</v>
      </c>
      <c r="C21" s="1232">
        <v>933</v>
      </c>
      <c r="D21" s="1232">
        <v>463</v>
      </c>
      <c r="E21" s="1232">
        <v>526</v>
      </c>
      <c r="F21" s="1232">
        <v>1031</v>
      </c>
      <c r="G21" s="1232">
        <v>177</v>
      </c>
      <c r="H21" s="1232">
        <v>468</v>
      </c>
      <c r="J21" s="1239" t="s">
        <v>878</v>
      </c>
      <c r="K21" s="1234" t="s">
        <v>5569</v>
      </c>
      <c r="L21" s="1234"/>
      <c r="M21" s="1240">
        <f t="shared" si="2"/>
        <v>637</v>
      </c>
      <c r="N21" s="1240">
        <v>135</v>
      </c>
      <c r="O21" s="1240">
        <v>29</v>
      </c>
      <c r="P21" s="1240">
        <f t="shared" si="3"/>
        <v>473</v>
      </c>
      <c r="Q21" s="1240">
        <v>108</v>
      </c>
      <c r="R21" s="1240">
        <f t="shared" si="4"/>
        <v>365</v>
      </c>
      <c r="S21" s="1240">
        <f t="shared" si="5"/>
        <v>244</v>
      </c>
      <c r="T21" s="1240">
        <v>212</v>
      </c>
      <c r="U21" s="1240">
        <v>32</v>
      </c>
      <c r="V21" s="1240">
        <v>121</v>
      </c>
      <c r="W21" s="1232"/>
      <c r="X21" s="1232" t="s">
        <v>61</v>
      </c>
      <c r="Y21" s="1232" t="s">
        <v>22</v>
      </c>
      <c r="Z21" s="1232" t="s">
        <v>11604</v>
      </c>
      <c r="AA21" s="1233" t="s">
        <v>878</v>
      </c>
      <c r="AB21" s="1234" t="s">
        <v>5569</v>
      </c>
      <c r="AC21" s="1235"/>
      <c r="AD21" s="1213">
        <f t="shared" si="6"/>
        <v>637</v>
      </c>
      <c r="AE21" s="1213">
        <f t="shared" si="7"/>
        <v>135</v>
      </c>
      <c r="AF21" s="1213">
        <f t="shared" si="0"/>
        <v>29</v>
      </c>
      <c r="AG21" s="1213">
        <f t="shared" si="8"/>
        <v>473</v>
      </c>
      <c r="AH21" s="1213">
        <f t="shared" si="9"/>
        <v>108</v>
      </c>
      <c r="AI21" s="1213">
        <f t="shared" si="10"/>
        <v>365</v>
      </c>
      <c r="AJ21" s="1213">
        <f t="shared" si="11"/>
        <v>244</v>
      </c>
      <c r="AK21" s="1213">
        <f t="shared" si="12"/>
        <v>212</v>
      </c>
      <c r="AL21" s="1213">
        <f t="shared" si="1"/>
        <v>32</v>
      </c>
      <c r="AM21" s="1213">
        <f t="shared" si="1"/>
        <v>121</v>
      </c>
    </row>
    <row r="22" spans="1:39" ht="16.5" customHeight="1">
      <c r="A22" s="1231"/>
      <c r="J22" s="1231" t="s">
        <v>880</v>
      </c>
      <c r="K22" s="867" t="s">
        <v>66</v>
      </c>
      <c r="L22" s="867"/>
      <c r="M22" s="1232">
        <f t="shared" si="2"/>
        <v>1716</v>
      </c>
      <c r="N22" s="1232">
        <v>669</v>
      </c>
      <c r="O22" s="1232">
        <v>371</v>
      </c>
      <c r="P22" s="1232">
        <f t="shared" si="3"/>
        <v>676</v>
      </c>
      <c r="Q22" s="1232">
        <v>158</v>
      </c>
      <c r="R22" s="1232">
        <f t="shared" si="4"/>
        <v>518</v>
      </c>
      <c r="S22" s="1232">
        <f t="shared" si="5"/>
        <v>312</v>
      </c>
      <c r="T22" s="1232">
        <v>254</v>
      </c>
      <c r="U22" s="1232">
        <v>58</v>
      </c>
      <c r="V22" s="1232">
        <v>206</v>
      </c>
      <c r="W22" s="1232"/>
      <c r="X22" s="1232" t="s">
        <v>61</v>
      </c>
      <c r="Y22" s="1232" t="s">
        <v>22</v>
      </c>
      <c r="Z22" s="1232" t="s">
        <v>11604</v>
      </c>
      <c r="AA22" s="1236" t="s">
        <v>880</v>
      </c>
      <c r="AB22" s="867" t="s">
        <v>66</v>
      </c>
      <c r="AC22" s="1237"/>
      <c r="AD22" s="942">
        <f t="shared" si="6"/>
        <v>1716</v>
      </c>
      <c r="AE22" s="942">
        <f t="shared" si="7"/>
        <v>669</v>
      </c>
      <c r="AF22" s="942">
        <f t="shared" si="0"/>
        <v>371</v>
      </c>
      <c r="AG22" s="942">
        <f t="shared" si="8"/>
        <v>676</v>
      </c>
      <c r="AH22" s="942">
        <f t="shared" si="9"/>
        <v>158</v>
      </c>
      <c r="AI22" s="942">
        <f t="shared" si="10"/>
        <v>518</v>
      </c>
      <c r="AJ22" s="942">
        <f t="shared" si="11"/>
        <v>312</v>
      </c>
      <c r="AK22" s="942">
        <f t="shared" si="12"/>
        <v>254</v>
      </c>
      <c r="AL22" s="942">
        <f t="shared" si="1"/>
        <v>58</v>
      </c>
      <c r="AM22" s="942">
        <f t="shared" si="1"/>
        <v>206</v>
      </c>
    </row>
    <row r="23" spans="1:39" ht="16.5" customHeight="1">
      <c r="A23" s="1231"/>
      <c r="J23" s="1231" t="s">
        <v>882</v>
      </c>
      <c r="K23" s="867" t="s">
        <v>68</v>
      </c>
      <c r="L23" s="867"/>
      <c r="M23" s="1232">
        <f t="shared" si="2"/>
        <v>52</v>
      </c>
      <c r="N23" s="1232">
        <v>3</v>
      </c>
      <c r="O23" s="1232">
        <v>1</v>
      </c>
      <c r="P23" s="1232">
        <f t="shared" si="3"/>
        <v>48</v>
      </c>
      <c r="Q23" s="1232">
        <v>19</v>
      </c>
      <c r="R23" s="1232">
        <f t="shared" si="4"/>
        <v>29</v>
      </c>
      <c r="S23" s="1232">
        <f t="shared" si="5"/>
        <v>26</v>
      </c>
      <c r="T23" s="1232">
        <v>24</v>
      </c>
      <c r="U23" s="1232">
        <v>2</v>
      </c>
      <c r="V23" s="1232">
        <v>3</v>
      </c>
      <c r="W23" s="1232"/>
      <c r="X23" s="1232" t="s">
        <v>61</v>
      </c>
      <c r="Y23" s="1232" t="s">
        <v>22</v>
      </c>
      <c r="Z23" s="1232" t="s">
        <v>11604</v>
      </c>
      <c r="AA23" s="1236" t="s">
        <v>882</v>
      </c>
      <c r="AB23" s="867" t="s">
        <v>68</v>
      </c>
      <c r="AC23" s="1237"/>
      <c r="AD23" s="942">
        <f t="shared" si="6"/>
        <v>52</v>
      </c>
      <c r="AE23" s="942">
        <f t="shared" si="7"/>
        <v>3</v>
      </c>
      <c r="AF23" s="942">
        <f t="shared" si="0"/>
        <v>1</v>
      </c>
      <c r="AG23" s="942">
        <f t="shared" si="8"/>
        <v>48</v>
      </c>
      <c r="AH23" s="942">
        <f t="shared" si="9"/>
        <v>19</v>
      </c>
      <c r="AI23" s="942">
        <f t="shared" si="10"/>
        <v>29</v>
      </c>
      <c r="AJ23" s="942">
        <f t="shared" si="11"/>
        <v>26</v>
      </c>
      <c r="AK23" s="942">
        <f t="shared" si="12"/>
        <v>24</v>
      </c>
      <c r="AL23" s="942">
        <f t="shared" si="1"/>
        <v>2</v>
      </c>
      <c r="AM23" s="942">
        <f t="shared" si="1"/>
        <v>3</v>
      </c>
    </row>
    <row r="24" spans="1:39" ht="16.5" customHeight="1">
      <c r="A24" s="1231"/>
      <c r="J24" s="1231" t="s">
        <v>884</v>
      </c>
      <c r="K24" s="867" t="s">
        <v>70</v>
      </c>
      <c r="L24" s="867"/>
      <c r="M24" s="1232">
        <f t="shared" si="2"/>
        <v>909</v>
      </c>
      <c r="N24" s="1232">
        <v>69</v>
      </c>
      <c r="O24" s="1232">
        <v>37</v>
      </c>
      <c r="P24" s="1232">
        <f t="shared" si="3"/>
        <v>803</v>
      </c>
      <c r="Q24" s="1232">
        <v>197</v>
      </c>
      <c r="R24" s="1232">
        <f t="shared" si="4"/>
        <v>606</v>
      </c>
      <c r="S24" s="1232">
        <f t="shared" si="5"/>
        <v>499</v>
      </c>
      <c r="T24" s="1232">
        <v>432</v>
      </c>
      <c r="U24" s="1232">
        <v>67</v>
      </c>
      <c r="V24" s="1232">
        <v>107</v>
      </c>
      <c r="W24" s="1232"/>
      <c r="X24" s="1232" t="s">
        <v>61</v>
      </c>
      <c r="Y24" s="1232" t="s">
        <v>22</v>
      </c>
      <c r="Z24" s="1232" t="s">
        <v>11604</v>
      </c>
      <c r="AA24" s="1236" t="s">
        <v>884</v>
      </c>
      <c r="AB24" s="867" t="s">
        <v>70</v>
      </c>
      <c r="AC24" s="1237"/>
      <c r="AD24" s="942">
        <f t="shared" si="6"/>
        <v>909</v>
      </c>
      <c r="AE24" s="942">
        <f t="shared" si="7"/>
        <v>69</v>
      </c>
      <c r="AF24" s="942">
        <f t="shared" si="0"/>
        <v>37</v>
      </c>
      <c r="AG24" s="942">
        <f t="shared" si="8"/>
        <v>803</v>
      </c>
      <c r="AH24" s="942">
        <f t="shared" si="9"/>
        <v>197</v>
      </c>
      <c r="AI24" s="942">
        <f t="shared" si="10"/>
        <v>606</v>
      </c>
      <c r="AJ24" s="942">
        <f t="shared" si="11"/>
        <v>499</v>
      </c>
      <c r="AK24" s="942">
        <f t="shared" si="12"/>
        <v>432</v>
      </c>
      <c r="AL24" s="942">
        <f t="shared" si="12"/>
        <v>67</v>
      </c>
      <c r="AM24" s="942">
        <f t="shared" si="12"/>
        <v>107</v>
      </c>
    </row>
    <row r="25" spans="1:39" ht="16.5" customHeight="1">
      <c r="A25" s="1231"/>
      <c r="J25" s="1231" t="s">
        <v>886</v>
      </c>
      <c r="K25" s="867" t="s">
        <v>72</v>
      </c>
      <c r="L25" s="867"/>
      <c r="M25" s="1232">
        <f t="shared" si="2"/>
        <v>216</v>
      </c>
      <c r="N25" s="1232">
        <v>25</v>
      </c>
      <c r="O25" s="1232">
        <v>8</v>
      </c>
      <c r="P25" s="1232">
        <f t="shared" si="3"/>
        <v>183</v>
      </c>
      <c r="Q25" s="1232">
        <v>41</v>
      </c>
      <c r="R25" s="1232">
        <f t="shared" si="4"/>
        <v>142</v>
      </c>
      <c r="S25" s="1232">
        <f t="shared" si="5"/>
        <v>118</v>
      </c>
      <c r="T25" s="1232">
        <v>103</v>
      </c>
      <c r="U25" s="1232">
        <v>15</v>
      </c>
      <c r="V25" s="1232">
        <v>24</v>
      </c>
      <c r="W25" s="1232"/>
      <c r="X25" s="1232" t="s">
        <v>61</v>
      </c>
      <c r="Y25" s="1232" t="s">
        <v>22</v>
      </c>
      <c r="Z25" s="1232" t="s">
        <v>11604</v>
      </c>
      <c r="AA25" s="1236" t="s">
        <v>886</v>
      </c>
      <c r="AB25" s="867" t="s">
        <v>72</v>
      </c>
      <c r="AC25" s="1237"/>
      <c r="AD25" s="942">
        <f t="shared" si="6"/>
        <v>216</v>
      </c>
      <c r="AE25" s="942">
        <f t="shared" si="7"/>
        <v>25</v>
      </c>
      <c r="AF25" s="942">
        <f t="shared" si="0"/>
        <v>8</v>
      </c>
      <c r="AG25" s="942">
        <f t="shared" si="8"/>
        <v>183</v>
      </c>
      <c r="AH25" s="942">
        <f t="shared" si="9"/>
        <v>41</v>
      </c>
      <c r="AI25" s="942">
        <f t="shared" si="10"/>
        <v>142</v>
      </c>
      <c r="AJ25" s="942">
        <f t="shared" si="11"/>
        <v>118</v>
      </c>
      <c r="AK25" s="942">
        <f t="shared" si="12"/>
        <v>103</v>
      </c>
      <c r="AL25" s="942">
        <f t="shared" si="12"/>
        <v>15</v>
      </c>
      <c r="AM25" s="942">
        <f t="shared" si="12"/>
        <v>24</v>
      </c>
    </row>
    <row r="26" spans="1:39" ht="16.5" customHeight="1">
      <c r="A26" s="1231"/>
      <c r="J26" s="1238" t="s">
        <v>888</v>
      </c>
      <c r="K26" s="940" t="s">
        <v>73</v>
      </c>
      <c r="L26" s="940"/>
      <c r="M26" s="1241">
        <f t="shared" si="2"/>
        <v>68</v>
      </c>
      <c r="N26" s="1241">
        <f>C21-SUM(N21:N25)</f>
        <v>32</v>
      </c>
      <c r="O26" s="1241">
        <f>D21-SUM(O21:O25)</f>
        <v>17</v>
      </c>
      <c r="P26" s="1241">
        <f t="shared" si="3"/>
        <v>19</v>
      </c>
      <c r="Q26" s="1241">
        <f>E21-SUM(Q21:Q25)</f>
        <v>3</v>
      </c>
      <c r="R26" s="1241">
        <f t="shared" si="4"/>
        <v>16</v>
      </c>
      <c r="S26" s="1241">
        <f t="shared" si="5"/>
        <v>9</v>
      </c>
      <c r="T26" s="1241">
        <f>F21-SUM(T21:T25)</f>
        <v>6</v>
      </c>
      <c r="U26" s="1241">
        <f t="shared" ref="U26:V26" si="13">G21-SUM(U21:U25)</f>
        <v>3</v>
      </c>
      <c r="V26" s="1241">
        <f t="shared" si="13"/>
        <v>7</v>
      </c>
      <c r="W26" s="1232"/>
      <c r="X26" s="1232" t="s">
        <v>61</v>
      </c>
      <c r="Y26" s="1232" t="s">
        <v>22</v>
      </c>
      <c r="Z26" s="1232" t="s">
        <v>11604</v>
      </c>
      <c r="AA26" s="1242" t="s">
        <v>888</v>
      </c>
      <c r="AB26" s="940" t="s">
        <v>73</v>
      </c>
      <c r="AC26" s="1243"/>
      <c r="AD26" s="943">
        <f t="shared" si="6"/>
        <v>68</v>
      </c>
      <c r="AE26" s="943">
        <f t="shared" si="7"/>
        <v>32</v>
      </c>
      <c r="AF26" s="943">
        <f t="shared" si="0"/>
        <v>17</v>
      </c>
      <c r="AG26" s="943">
        <f t="shared" si="8"/>
        <v>19</v>
      </c>
      <c r="AH26" s="943">
        <f t="shared" si="9"/>
        <v>3</v>
      </c>
      <c r="AI26" s="943">
        <f t="shared" si="10"/>
        <v>16</v>
      </c>
      <c r="AJ26" s="943">
        <f t="shared" si="11"/>
        <v>9</v>
      </c>
      <c r="AK26" s="943">
        <f t="shared" si="12"/>
        <v>6</v>
      </c>
      <c r="AL26" s="943">
        <f t="shared" si="12"/>
        <v>3</v>
      </c>
      <c r="AM26" s="943">
        <f t="shared" si="12"/>
        <v>7</v>
      </c>
    </row>
    <row r="27" spans="1:39" ht="16.5" customHeight="1">
      <c r="A27" s="1244" t="s">
        <v>115</v>
      </c>
      <c r="B27" s="1245" t="s">
        <v>9054</v>
      </c>
      <c r="C27" s="1246">
        <v>5</v>
      </c>
      <c r="D27" s="1246">
        <v>2</v>
      </c>
      <c r="E27" s="1246">
        <v>97</v>
      </c>
      <c r="F27" s="1246">
        <v>99</v>
      </c>
      <c r="G27" s="1246">
        <v>175</v>
      </c>
      <c r="H27" s="1246">
        <v>442</v>
      </c>
      <c r="J27" s="1244" t="s">
        <v>890</v>
      </c>
      <c r="K27" s="1245" t="s">
        <v>9054</v>
      </c>
      <c r="L27" s="1245"/>
      <c r="M27" s="1246">
        <f t="shared" si="2"/>
        <v>820</v>
      </c>
      <c r="N27" s="1246">
        <f>C27</f>
        <v>5</v>
      </c>
      <c r="O27" s="1246">
        <f>D27</f>
        <v>2</v>
      </c>
      <c r="P27" s="1246">
        <f t="shared" si="3"/>
        <v>813</v>
      </c>
      <c r="Q27" s="1246">
        <f>E27</f>
        <v>97</v>
      </c>
      <c r="R27" s="1246">
        <f t="shared" si="4"/>
        <v>716</v>
      </c>
      <c r="S27" s="1246">
        <f t="shared" si="5"/>
        <v>274</v>
      </c>
      <c r="T27" s="1246">
        <f>F27</f>
        <v>99</v>
      </c>
      <c r="U27" s="1246">
        <f t="shared" ref="U27:V27" si="14">G27</f>
        <v>175</v>
      </c>
      <c r="V27" s="1246">
        <f t="shared" si="14"/>
        <v>442</v>
      </c>
      <c r="W27" s="1232"/>
      <c r="X27" s="1232" t="s">
        <v>74</v>
      </c>
      <c r="Y27" s="1232" t="s">
        <v>115</v>
      </c>
      <c r="Z27" s="1232" t="s">
        <v>11604</v>
      </c>
      <c r="AA27" s="1247" t="s">
        <v>890</v>
      </c>
      <c r="AB27" s="1245" t="s">
        <v>9054</v>
      </c>
      <c r="AC27" s="1248"/>
      <c r="AD27" s="1215">
        <f t="shared" si="6"/>
        <v>820</v>
      </c>
      <c r="AE27" s="1215">
        <f t="shared" si="7"/>
        <v>5</v>
      </c>
      <c r="AF27" s="1215">
        <f t="shared" si="0"/>
        <v>2</v>
      </c>
      <c r="AG27" s="1215">
        <f t="shared" si="8"/>
        <v>813</v>
      </c>
      <c r="AH27" s="1215">
        <f t="shared" si="9"/>
        <v>97</v>
      </c>
      <c r="AI27" s="1215">
        <f t="shared" si="10"/>
        <v>716</v>
      </c>
      <c r="AJ27" s="1215">
        <f t="shared" si="11"/>
        <v>274</v>
      </c>
      <c r="AK27" s="1215">
        <f t="shared" si="12"/>
        <v>99</v>
      </c>
      <c r="AL27" s="1215">
        <f t="shared" si="12"/>
        <v>175</v>
      </c>
      <c r="AM27" s="1215">
        <f t="shared" si="12"/>
        <v>442</v>
      </c>
    </row>
    <row r="28" spans="1:39" ht="16.5" customHeight="1">
      <c r="A28" s="1231" t="s">
        <v>119</v>
      </c>
      <c r="B28" s="867" t="s">
        <v>1595</v>
      </c>
      <c r="C28" s="1240">
        <v>183</v>
      </c>
      <c r="D28" s="1240">
        <v>75</v>
      </c>
      <c r="E28" s="1240">
        <v>597</v>
      </c>
      <c r="F28" s="1240">
        <v>1137</v>
      </c>
      <c r="G28" s="1240">
        <v>252</v>
      </c>
      <c r="H28" s="1240">
        <v>571</v>
      </c>
      <c r="J28" s="1231" t="s">
        <v>894</v>
      </c>
      <c r="K28" s="867" t="s">
        <v>78</v>
      </c>
      <c r="L28" s="867"/>
      <c r="M28" s="1232">
        <f t="shared" si="2"/>
        <v>1389</v>
      </c>
      <c r="N28" s="1232">
        <v>116</v>
      </c>
      <c r="O28" s="1232">
        <v>25</v>
      </c>
      <c r="P28" s="1232">
        <f t="shared" si="3"/>
        <v>1248</v>
      </c>
      <c r="Q28" s="1232">
        <v>360</v>
      </c>
      <c r="R28" s="1232">
        <f t="shared" si="4"/>
        <v>888</v>
      </c>
      <c r="S28" s="1232">
        <f t="shared" si="5"/>
        <v>654</v>
      </c>
      <c r="T28" s="1232">
        <v>543</v>
      </c>
      <c r="U28" s="1232">
        <v>111</v>
      </c>
      <c r="V28" s="1232">
        <v>234</v>
      </c>
      <c r="W28" s="1232"/>
      <c r="X28" s="1232" t="s">
        <v>9402</v>
      </c>
      <c r="Y28" s="1232" t="s">
        <v>119</v>
      </c>
      <c r="Z28" s="1232" t="s">
        <v>11605</v>
      </c>
      <c r="AA28" s="1236" t="s">
        <v>894</v>
      </c>
      <c r="AB28" s="867" t="s">
        <v>78</v>
      </c>
      <c r="AC28" s="1237"/>
      <c r="AD28" s="942">
        <f t="shared" si="6"/>
        <v>1389</v>
      </c>
      <c r="AE28" s="942">
        <f t="shared" si="7"/>
        <v>116</v>
      </c>
      <c r="AF28" s="942">
        <f t="shared" si="0"/>
        <v>25</v>
      </c>
      <c r="AG28" s="942">
        <f t="shared" si="8"/>
        <v>1248</v>
      </c>
      <c r="AH28" s="942">
        <f t="shared" si="9"/>
        <v>360</v>
      </c>
      <c r="AI28" s="942">
        <f t="shared" si="10"/>
        <v>888</v>
      </c>
      <c r="AJ28" s="942">
        <f t="shared" si="11"/>
        <v>654</v>
      </c>
      <c r="AK28" s="942">
        <f t="shared" si="12"/>
        <v>543</v>
      </c>
      <c r="AL28" s="942">
        <f t="shared" si="12"/>
        <v>111</v>
      </c>
      <c r="AM28" s="942">
        <f t="shared" si="12"/>
        <v>234</v>
      </c>
    </row>
    <row r="29" spans="1:39" ht="16.5" customHeight="1">
      <c r="A29" s="1231"/>
      <c r="J29" s="1231" t="s">
        <v>896</v>
      </c>
      <c r="K29" s="867" t="s">
        <v>81</v>
      </c>
      <c r="L29" s="867"/>
      <c r="M29" s="1232">
        <f t="shared" si="2"/>
        <v>1015</v>
      </c>
      <c r="N29" s="1232">
        <v>46</v>
      </c>
      <c r="O29" s="1232">
        <v>10</v>
      </c>
      <c r="P29" s="1232">
        <f t="shared" si="3"/>
        <v>959</v>
      </c>
      <c r="Q29" s="1232">
        <v>210</v>
      </c>
      <c r="R29" s="1232">
        <f t="shared" si="4"/>
        <v>749</v>
      </c>
      <c r="S29" s="1232">
        <f t="shared" si="5"/>
        <v>635</v>
      </c>
      <c r="T29" s="1232">
        <v>511</v>
      </c>
      <c r="U29" s="1232">
        <v>124</v>
      </c>
      <c r="V29" s="1232">
        <v>114</v>
      </c>
      <c r="W29" s="1232"/>
      <c r="X29" s="1232" t="s">
        <v>80</v>
      </c>
      <c r="Y29" s="1232" t="s">
        <v>119</v>
      </c>
      <c r="Z29" s="1232" t="s">
        <v>11605</v>
      </c>
      <c r="AA29" s="1236" t="s">
        <v>896</v>
      </c>
      <c r="AB29" s="867" t="s">
        <v>81</v>
      </c>
      <c r="AC29" s="1237"/>
      <c r="AD29" s="942">
        <f t="shared" si="6"/>
        <v>1015</v>
      </c>
      <c r="AE29" s="942">
        <f t="shared" si="7"/>
        <v>46</v>
      </c>
      <c r="AF29" s="942">
        <f t="shared" si="0"/>
        <v>10</v>
      </c>
      <c r="AG29" s="942">
        <f t="shared" si="8"/>
        <v>959</v>
      </c>
      <c r="AH29" s="942">
        <f t="shared" si="9"/>
        <v>210</v>
      </c>
      <c r="AI29" s="942">
        <f t="shared" si="10"/>
        <v>749</v>
      </c>
      <c r="AJ29" s="942">
        <f t="shared" si="11"/>
        <v>635</v>
      </c>
      <c r="AK29" s="942">
        <f t="shared" si="12"/>
        <v>511</v>
      </c>
      <c r="AL29" s="942">
        <f t="shared" si="12"/>
        <v>124</v>
      </c>
      <c r="AM29" s="942">
        <f t="shared" si="12"/>
        <v>114</v>
      </c>
    </row>
    <row r="30" spans="1:39" ht="16.5" customHeight="1">
      <c r="A30" s="1238"/>
      <c r="B30" s="940"/>
      <c r="C30" s="940"/>
      <c r="D30" s="940"/>
      <c r="E30" s="940"/>
      <c r="F30" s="940"/>
      <c r="G30" s="940"/>
      <c r="H30" s="940"/>
      <c r="J30" s="1238" t="s">
        <v>898</v>
      </c>
      <c r="K30" s="940" t="s">
        <v>11606</v>
      </c>
      <c r="L30" s="940"/>
      <c r="M30" s="1241">
        <f t="shared" si="2"/>
        <v>411</v>
      </c>
      <c r="N30" s="1241">
        <f>C28-SUM(N28:N29)</f>
        <v>21</v>
      </c>
      <c r="O30" s="1241">
        <f>D28-SUM(O28:O29)</f>
        <v>40</v>
      </c>
      <c r="P30" s="1241">
        <f t="shared" si="3"/>
        <v>350</v>
      </c>
      <c r="Q30" s="1241">
        <f>E28-SUM(Q28:Q29)</f>
        <v>27</v>
      </c>
      <c r="R30" s="1241">
        <f t="shared" si="4"/>
        <v>323</v>
      </c>
      <c r="S30" s="1241">
        <f t="shared" si="5"/>
        <v>100</v>
      </c>
      <c r="T30" s="1241">
        <f>F28-SUM(T28:T29)</f>
        <v>83</v>
      </c>
      <c r="U30" s="1241">
        <f t="shared" ref="U30:V30" si="15">G28-SUM(U28:U29)</f>
        <v>17</v>
      </c>
      <c r="V30" s="1241">
        <f t="shared" si="15"/>
        <v>223</v>
      </c>
      <c r="W30" s="1232"/>
      <c r="X30" s="1232" t="s">
        <v>9403</v>
      </c>
      <c r="Y30" s="1232" t="s">
        <v>119</v>
      </c>
      <c r="Z30" s="1232" t="s">
        <v>11605</v>
      </c>
      <c r="AA30" s="1242" t="s">
        <v>898</v>
      </c>
      <c r="AB30" s="940" t="s">
        <v>11606</v>
      </c>
      <c r="AC30" s="1243"/>
      <c r="AD30" s="943">
        <f t="shared" si="6"/>
        <v>411</v>
      </c>
      <c r="AE30" s="943">
        <f t="shared" si="7"/>
        <v>21</v>
      </c>
      <c r="AF30" s="943">
        <f t="shared" si="0"/>
        <v>40</v>
      </c>
      <c r="AG30" s="943">
        <f t="shared" si="8"/>
        <v>350</v>
      </c>
      <c r="AH30" s="943">
        <f t="shared" si="9"/>
        <v>27</v>
      </c>
      <c r="AI30" s="943">
        <f t="shared" si="10"/>
        <v>323</v>
      </c>
      <c r="AJ30" s="943">
        <f t="shared" si="11"/>
        <v>100</v>
      </c>
      <c r="AK30" s="943">
        <f t="shared" si="12"/>
        <v>83</v>
      </c>
      <c r="AL30" s="943">
        <f t="shared" si="12"/>
        <v>17</v>
      </c>
      <c r="AM30" s="943">
        <f t="shared" si="12"/>
        <v>223</v>
      </c>
    </row>
    <row r="31" spans="1:39" ht="16.5" customHeight="1">
      <c r="A31" s="1231" t="s">
        <v>327</v>
      </c>
      <c r="B31" s="867" t="s">
        <v>1596</v>
      </c>
      <c r="C31" s="1240">
        <v>2542</v>
      </c>
      <c r="D31" s="1240">
        <v>145</v>
      </c>
      <c r="E31" s="1240">
        <v>281</v>
      </c>
      <c r="F31" s="1240">
        <v>1147</v>
      </c>
      <c r="G31" s="1240">
        <v>625</v>
      </c>
      <c r="H31" s="1240">
        <v>100</v>
      </c>
      <c r="J31" s="1231" t="s">
        <v>900</v>
      </c>
      <c r="K31" s="867" t="s">
        <v>9497</v>
      </c>
      <c r="L31" s="867"/>
      <c r="M31" s="1232">
        <f t="shared" si="2"/>
        <v>2844</v>
      </c>
      <c r="N31" s="1232">
        <v>1813</v>
      </c>
      <c r="O31" s="1232">
        <v>35</v>
      </c>
      <c r="P31" s="1232">
        <f t="shared" si="3"/>
        <v>996</v>
      </c>
      <c r="Q31" s="1232">
        <v>159</v>
      </c>
      <c r="R31" s="1232">
        <f t="shared" si="4"/>
        <v>837</v>
      </c>
      <c r="S31" s="1232">
        <f t="shared" si="5"/>
        <v>789</v>
      </c>
      <c r="T31" s="1232">
        <v>557</v>
      </c>
      <c r="U31" s="1232">
        <v>232</v>
      </c>
      <c r="V31" s="1232">
        <v>48</v>
      </c>
      <c r="W31" s="1232"/>
      <c r="X31" s="1232" t="s">
        <v>84</v>
      </c>
      <c r="Y31" s="1232" t="s">
        <v>327</v>
      </c>
      <c r="Z31" s="1232" t="s">
        <v>11607</v>
      </c>
      <c r="AA31" s="1236" t="s">
        <v>900</v>
      </c>
      <c r="AB31" s="867" t="s">
        <v>9497</v>
      </c>
      <c r="AC31" s="1237"/>
      <c r="AD31" s="942">
        <f t="shared" si="6"/>
        <v>2844</v>
      </c>
      <c r="AE31" s="942">
        <f t="shared" si="7"/>
        <v>1813</v>
      </c>
      <c r="AF31" s="942">
        <f t="shared" si="0"/>
        <v>35</v>
      </c>
      <c r="AG31" s="942">
        <f t="shared" si="8"/>
        <v>996</v>
      </c>
      <c r="AH31" s="942">
        <f t="shared" si="9"/>
        <v>159</v>
      </c>
      <c r="AI31" s="942">
        <f t="shared" si="10"/>
        <v>837</v>
      </c>
      <c r="AJ31" s="942">
        <f t="shared" si="11"/>
        <v>789</v>
      </c>
      <c r="AK31" s="942">
        <f t="shared" si="12"/>
        <v>557</v>
      </c>
      <c r="AL31" s="942">
        <f t="shared" si="12"/>
        <v>232</v>
      </c>
      <c r="AM31" s="942">
        <f t="shared" si="12"/>
        <v>48</v>
      </c>
    </row>
    <row r="32" spans="1:39" ht="16.5" customHeight="1">
      <c r="A32" s="1231"/>
      <c r="J32" s="1231" t="s">
        <v>902</v>
      </c>
      <c r="K32" s="867" t="s">
        <v>88</v>
      </c>
      <c r="L32" s="867"/>
      <c r="M32" s="1232">
        <f t="shared" si="2"/>
        <v>1887</v>
      </c>
      <c r="N32" s="1232">
        <v>702</v>
      </c>
      <c r="O32" s="1232">
        <v>105</v>
      </c>
      <c r="P32" s="1232">
        <f t="shared" si="3"/>
        <v>1080</v>
      </c>
      <c r="Q32" s="1232">
        <v>112</v>
      </c>
      <c r="R32" s="1232">
        <f t="shared" si="4"/>
        <v>968</v>
      </c>
      <c r="S32" s="1232">
        <f t="shared" si="5"/>
        <v>920</v>
      </c>
      <c r="T32" s="1232">
        <v>552</v>
      </c>
      <c r="U32" s="1232">
        <v>368</v>
      </c>
      <c r="V32" s="1232">
        <v>48</v>
      </c>
      <c r="W32" s="1232"/>
      <c r="X32" s="1232" t="s">
        <v>84</v>
      </c>
      <c r="Y32" s="1232" t="s">
        <v>327</v>
      </c>
      <c r="Z32" s="1232" t="s">
        <v>11607</v>
      </c>
      <c r="AA32" s="1236" t="s">
        <v>902</v>
      </c>
      <c r="AB32" s="867" t="s">
        <v>88</v>
      </c>
      <c r="AC32" s="1237"/>
      <c r="AD32" s="942">
        <f t="shared" si="6"/>
        <v>1887</v>
      </c>
      <c r="AE32" s="942">
        <f t="shared" si="7"/>
        <v>702</v>
      </c>
      <c r="AF32" s="942">
        <f t="shared" si="0"/>
        <v>105</v>
      </c>
      <c r="AG32" s="942">
        <f t="shared" si="8"/>
        <v>1080</v>
      </c>
      <c r="AH32" s="942">
        <f t="shared" si="9"/>
        <v>112</v>
      </c>
      <c r="AI32" s="942">
        <f t="shared" si="10"/>
        <v>968</v>
      </c>
      <c r="AJ32" s="942">
        <f t="shared" si="11"/>
        <v>920</v>
      </c>
      <c r="AK32" s="942">
        <f t="shared" si="12"/>
        <v>552</v>
      </c>
      <c r="AL32" s="942">
        <f t="shared" si="12"/>
        <v>368</v>
      </c>
      <c r="AM32" s="942">
        <f t="shared" si="12"/>
        <v>48</v>
      </c>
    </row>
    <row r="33" spans="1:39" ht="16.5" customHeight="1">
      <c r="A33" s="1231"/>
      <c r="J33" s="1231" t="s">
        <v>904</v>
      </c>
      <c r="K33" s="867" t="s">
        <v>9498</v>
      </c>
      <c r="L33" s="867"/>
      <c r="M33" s="1232">
        <f t="shared" si="2"/>
        <v>4</v>
      </c>
      <c r="N33" s="1232">
        <v>3</v>
      </c>
      <c r="O33" s="1232">
        <v>0</v>
      </c>
      <c r="P33" s="1232">
        <f t="shared" si="3"/>
        <v>1</v>
      </c>
      <c r="Q33" s="1232">
        <v>0</v>
      </c>
      <c r="R33" s="1232">
        <f t="shared" si="4"/>
        <v>1</v>
      </c>
      <c r="S33" s="1232">
        <f t="shared" si="5"/>
        <v>1</v>
      </c>
      <c r="T33" s="1232">
        <v>1</v>
      </c>
      <c r="U33" s="1232">
        <v>0</v>
      </c>
      <c r="V33" s="1232">
        <v>0</v>
      </c>
      <c r="W33" s="1232"/>
      <c r="X33" s="1232" t="s">
        <v>9404</v>
      </c>
      <c r="Y33" s="1232" t="s">
        <v>327</v>
      </c>
      <c r="Z33" s="1232" t="s">
        <v>11607</v>
      </c>
      <c r="AA33" s="1236" t="s">
        <v>904</v>
      </c>
      <c r="AB33" s="867" t="s">
        <v>9498</v>
      </c>
      <c r="AC33" s="1237"/>
      <c r="AD33" s="942">
        <f t="shared" si="6"/>
        <v>4</v>
      </c>
      <c r="AE33" s="942">
        <f t="shared" si="7"/>
        <v>3</v>
      </c>
      <c r="AF33" s="942">
        <f t="shared" si="0"/>
        <v>0</v>
      </c>
      <c r="AG33" s="942">
        <f t="shared" si="8"/>
        <v>1</v>
      </c>
      <c r="AH33" s="942">
        <f t="shared" si="9"/>
        <v>0</v>
      </c>
      <c r="AI33" s="942">
        <f t="shared" si="10"/>
        <v>1</v>
      </c>
      <c r="AJ33" s="942">
        <f t="shared" si="11"/>
        <v>1</v>
      </c>
      <c r="AK33" s="942">
        <f t="shared" si="12"/>
        <v>1</v>
      </c>
      <c r="AL33" s="942">
        <f t="shared" si="12"/>
        <v>0</v>
      </c>
      <c r="AM33" s="942">
        <f t="shared" si="12"/>
        <v>0</v>
      </c>
    </row>
    <row r="34" spans="1:39" ht="16.5" customHeight="1">
      <c r="A34" s="1238"/>
      <c r="B34" s="940"/>
      <c r="C34" s="940"/>
      <c r="D34" s="940"/>
      <c r="E34" s="940"/>
      <c r="F34" s="940"/>
      <c r="G34" s="940"/>
      <c r="H34" s="940"/>
      <c r="J34" s="1231" t="s">
        <v>906</v>
      </c>
      <c r="K34" s="867" t="s">
        <v>11608</v>
      </c>
      <c r="L34" s="867"/>
      <c r="M34" s="1232">
        <f t="shared" si="2"/>
        <v>105</v>
      </c>
      <c r="N34" s="1232">
        <f>C31-SUM(N31:N33)</f>
        <v>24</v>
      </c>
      <c r="O34" s="1232">
        <f>D31-SUM(O31:O33)</f>
        <v>5</v>
      </c>
      <c r="P34" s="1241">
        <f t="shared" si="3"/>
        <v>76</v>
      </c>
      <c r="Q34" s="1241">
        <f>E31-SUM(Q31:Q33)</f>
        <v>10</v>
      </c>
      <c r="R34" s="1241">
        <f t="shared" si="4"/>
        <v>66</v>
      </c>
      <c r="S34" s="1241">
        <f t="shared" si="5"/>
        <v>62</v>
      </c>
      <c r="T34" s="1241">
        <f>F31-SUM(T31:T33)</f>
        <v>37</v>
      </c>
      <c r="U34" s="1241">
        <f>G31-SUM(U31:U33)</f>
        <v>25</v>
      </c>
      <c r="V34" s="1241">
        <f>H31-SUM(V31:V33)</f>
        <v>4</v>
      </c>
      <c r="W34" s="1232"/>
      <c r="X34" s="1232" t="s">
        <v>9404</v>
      </c>
      <c r="Y34" s="1232" t="s">
        <v>327</v>
      </c>
      <c r="Z34" s="1232" t="s">
        <v>11607</v>
      </c>
      <c r="AA34" s="1236" t="s">
        <v>906</v>
      </c>
      <c r="AB34" s="867" t="s">
        <v>11608</v>
      </c>
      <c r="AC34" s="1237"/>
      <c r="AD34" s="942">
        <f t="shared" si="6"/>
        <v>105</v>
      </c>
      <c r="AE34" s="942">
        <f t="shared" si="7"/>
        <v>24</v>
      </c>
      <c r="AF34" s="942">
        <f t="shared" si="0"/>
        <v>5</v>
      </c>
      <c r="AG34" s="943">
        <f t="shared" si="8"/>
        <v>76</v>
      </c>
      <c r="AH34" s="943">
        <f t="shared" si="9"/>
        <v>10</v>
      </c>
      <c r="AI34" s="943">
        <f t="shared" si="10"/>
        <v>66</v>
      </c>
      <c r="AJ34" s="943">
        <f t="shared" si="11"/>
        <v>62</v>
      </c>
      <c r="AK34" s="943">
        <f t="shared" si="12"/>
        <v>37</v>
      </c>
      <c r="AL34" s="943">
        <f t="shared" si="12"/>
        <v>25</v>
      </c>
      <c r="AM34" s="943">
        <f t="shared" si="12"/>
        <v>4</v>
      </c>
    </row>
    <row r="35" spans="1:39" ht="16.5" customHeight="1">
      <c r="A35" s="1231" t="s">
        <v>696</v>
      </c>
      <c r="B35" s="867" t="s">
        <v>9055</v>
      </c>
      <c r="C35" s="1240">
        <v>0</v>
      </c>
      <c r="D35" s="1240">
        <v>0</v>
      </c>
      <c r="E35" s="1240">
        <v>0</v>
      </c>
      <c r="F35" s="1240">
        <v>0</v>
      </c>
      <c r="G35" s="1240">
        <v>0</v>
      </c>
      <c r="H35" s="1240">
        <v>0</v>
      </c>
      <c r="J35" s="1244" t="s">
        <v>908</v>
      </c>
      <c r="K35" s="1245" t="s">
        <v>9055</v>
      </c>
      <c r="L35" s="1245"/>
      <c r="M35" s="1246">
        <f t="shared" si="2"/>
        <v>0</v>
      </c>
      <c r="N35" s="1246">
        <f>C35</f>
        <v>0</v>
      </c>
      <c r="O35" s="1246">
        <f>D35</f>
        <v>0</v>
      </c>
      <c r="P35" s="1246">
        <f t="shared" si="3"/>
        <v>0</v>
      </c>
      <c r="Q35" s="1246">
        <f>E35</f>
        <v>0</v>
      </c>
      <c r="R35" s="1246">
        <f t="shared" si="4"/>
        <v>0</v>
      </c>
      <c r="S35" s="1246">
        <f t="shared" si="5"/>
        <v>0</v>
      </c>
      <c r="T35" s="1246">
        <f>F35</f>
        <v>0</v>
      </c>
      <c r="U35" s="1246">
        <f t="shared" ref="U35:V35" si="16">G35</f>
        <v>0</v>
      </c>
      <c r="V35" s="1246">
        <f t="shared" si="16"/>
        <v>0</v>
      </c>
      <c r="W35" s="1232"/>
      <c r="X35" s="1232" t="s">
        <v>91</v>
      </c>
      <c r="Y35" s="1232" t="s">
        <v>696</v>
      </c>
      <c r="Z35" s="1232" t="s">
        <v>11609</v>
      </c>
      <c r="AA35" s="1247" t="s">
        <v>908</v>
      </c>
      <c r="AB35" s="1245" t="s">
        <v>9055</v>
      </c>
      <c r="AC35" s="1248"/>
      <c r="AD35" s="1215">
        <f t="shared" si="6"/>
        <v>0</v>
      </c>
      <c r="AE35" s="1215">
        <f t="shared" si="7"/>
        <v>0</v>
      </c>
      <c r="AF35" s="1215">
        <f t="shared" si="0"/>
        <v>0</v>
      </c>
      <c r="AG35" s="1215">
        <f t="shared" si="8"/>
        <v>0</v>
      </c>
      <c r="AH35" s="1215">
        <f t="shared" si="9"/>
        <v>0</v>
      </c>
      <c r="AI35" s="1215">
        <f t="shared" si="10"/>
        <v>0</v>
      </c>
      <c r="AJ35" s="1215">
        <f t="shared" si="11"/>
        <v>0</v>
      </c>
      <c r="AK35" s="1215">
        <f t="shared" si="12"/>
        <v>0</v>
      </c>
      <c r="AL35" s="1215">
        <f t="shared" si="12"/>
        <v>0</v>
      </c>
      <c r="AM35" s="1215">
        <f t="shared" si="12"/>
        <v>0</v>
      </c>
    </row>
    <row r="36" spans="1:39" ht="16.5" customHeight="1">
      <c r="A36" s="1239" t="s">
        <v>9127</v>
      </c>
      <c r="B36" s="1234" t="s">
        <v>11610</v>
      </c>
      <c r="C36" s="1240">
        <v>7</v>
      </c>
      <c r="D36" s="1240">
        <v>3</v>
      </c>
      <c r="E36" s="1240">
        <v>38</v>
      </c>
      <c r="F36" s="1240">
        <v>191</v>
      </c>
      <c r="G36" s="1240">
        <v>27</v>
      </c>
      <c r="H36" s="1240">
        <v>2</v>
      </c>
      <c r="J36" s="1231" t="s">
        <v>910</v>
      </c>
      <c r="K36" s="867" t="s">
        <v>5838</v>
      </c>
      <c r="L36" s="867"/>
      <c r="M36" s="1232">
        <f t="shared" si="2"/>
        <v>254</v>
      </c>
      <c r="N36" s="1232">
        <v>7</v>
      </c>
      <c r="O36" s="1232">
        <v>3</v>
      </c>
      <c r="P36" s="1232">
        <f t="shared" si="3"/>
        <v>244</v>
      </c>
      <c r="Q36" s="1232">
        <v>37</v>
      </c>
      <c r="R36" s="1232">
        <f t="shared" si="4"/>
        <v>207</v>
      </c>
      <c r="S36" s="1232">
        <f t="shared" si="5"/>
        <v>205</v>
      </c>
      <c r="T36" s="1232">
        <v>180</v>
      </c>
      <c r="U36" s="1232">
        <v>25</v>
      </c>
      <c r="V36" s="1232">
        <v>2</v>
      </c>
      <c r="W36" s="1232"/>
      <c r="X36" s="1232" t="s">
        <v>9405</v>
      </c>
      <c r="Y36" s="1232" t="s">
        <v>9127</v>
      </c>
      <c r="Z36" s="1232" t="s">
        <v>11609</v>
      </c>
      <c r="AA36" s="1236" t="s">
        <v>910</v>
      </c>
      <c r="AB36" s="867" t="s">
        <v>5838</v>
      </c>
      <c r="AC36" s="1237"/>
      <c r="AD36" s="942">
        <f t="shared" si="6"/>
        <v>254</v>
      </c>
      <c r="AE36" s="942">
        <f t="shared" si="7"/>
        <v>7</v>
      </c>
      <c r="AF36" s="942">
        <f t="shared" si="0"/>
        <v>3</v>
      </c>
      <c r="AG36" s="942">
        <f t="shared" si="8"/>
        <v>244</v>
      </c>
      <c r="AH36" s="942">
        <f t="shared" si="9"/>
        <v>37</v>
      </c>
      <c r="AI36" s="942">
        <f t="shared" si="10"/>
        <v>207</v>
      </c>
      <c r="AJ36" s="942">
        <f t="shared" si="11"/>
        <v>205</v>
      </c>
      <c r="AK36" s="942">
        <f t="shared" si="12"/>
        <v>180</v>
      </c>
      <c r="AL36" s="942">
        <f t="shared" si="12"/>
        <v>25</v>
      </c>
      <c r="AM36" s="942">
        <f t="shared" si="12"/>
        <v>2</v>
      </c>
    </row>
    <row r="37" spans="1:39" ht="16.5" customHeight="1">
      <c r="A37" s="1231"/>
      <c r="J37" s="1238" t="s">
        <v>914</v>
      </c>
      <c r="K37" s="940" t="s">
        <v>9500</v>
      </c>
      <c r="L37" s="940"/>
      <c r="M37" s="1241">
        <f t="shared" si="2"/>
        <v>14</v>
      </c>
      <c r="N37" s="1241">
        <f>C36-SUM(N36:N36)</f>
        <v>0</v>
      </c>
      <c r="O37" s="1241">
        <f>D36-SUM(O36:O36)</f>
        <v>0</v>
      </c>
      <c r="P37" s="1241">
        <f t="shared" si="3"/>
        <v>14</v>
      </c>
      <c r="Q37" s="1241">
        <f>E36-SUM(Q36:Q36)</f>
        <v>1</v>
      </c>
      <c r="R37" s="1241">
        <f t="shared" si="4"/>
        <v>13</v>
      </c>
      <c r="S37" s="1241">
        <f t="shared" si="5"/>
        <v>13</v>
      </c>
      <c r="T37" s="1241">
        <f>F36-SUM(T36:T36)</f>
        <v>11</v>
      </c>
      <c r="U37" s="1241">
        <f>G36-SUM(U36:U36)</f>
        <v>2</v>
      </c>
      <c r="V37" s="1241">
        <f>H36-SUM(V36:V36)</f>
        <v>0</v>
      </c>
      <c r="W37" s="1232"/>
      <c r="X37" s="1232" t="s">
        <v>101</v>
      </c>
      <c r="Y37" s="1232" t="s">
        <v>9127</v>
      </c>
      <c r="Z37" s="1232" t="s">
        <v>11609</v>
      </c>
      <c r="AA37" s="1242" t="s">
        <v>914</v>
      </c>
      <c r="AB37" s="940" t="s">
        <v>9500</v>
      </c>
      <c r="AC37" s="1243"/>
      <c r="AD37" s="943">
        <f t="shared" si="6"/>
        <v>14</v>
      </c>
      <c r="AE37" s="943">
        <f t="shared" si="7"/>
        <v>0</v>
      </c>
      <c r="AF37" s="943">
        <f t="shared" si="0"/>
        <v>0</v>
      </c>
      <c r="AG37" s="943">
        <f t="shared" si="8"/>
        <v>14</v>
      </c>
      <c r="AH37" s="943">
        <f t="shared" si="9"/>
        <v>1</v>
      </c>
      <c r="AI37" s="943">
        <f t="shared" si="10"/>
        <v>13</v>
      </c>
      <c r="AJ37" s="943">
        <f t="shared" si="11"/>
        <v>13</v>
      </c>
      <c r="AK37" s="943">
        <f t="shared" si="12"/>
        <v>11</v>
      </c>
      <c r="AL37" s="943">
        <f t="shared" si="12"/>
        <v>2</v>
      </c>
      <c r="AM37" s="943">
        <f t="shared" si="12"/>
        <v>0</v>
      </c>
    </row>
    <row r="38" spans="1:39" ht="16.5" customHeight="1">
      <c r="A38" s="1239" t="s">
        <v>5377</v>
      </c>
      <c r="B38" s="1234" t="s">
        <v>1597</v>
      </c>
      <c r="C38" s="1240">
        <v>1813</v>
      </c>
      <c r="D38" s="1240">
        <v>735</v>
      </c>
      <c r="E38" s="1240">
        <v>2169</v>
      </c>
      <c r="F38" s="1240">
        <v>27565</v>
      </c>
      <c r="G38" s="1240">
        <v>33044</v>
      </c>
      <c r="H38" s="1240">
        <v>999</v>
      </c>
      <c r="J38" s="1231" t="s">
        <v>916</v>
      </c>
      <c r="K38" s="867" t="s">
        <v>11611</v>
      </c>
      <c r="L38" s="867"/>
      <c r="M38" s="1232">
        <f t="shared" si="2"/>
        <v>2410</v>
      </c>
      <c r="N38" s="1232">
        <v>16</v>
      </c>
      <c r="O38" s="1232">
        <v>6</v>
      </c>
      <c r="P38" s="1232">
        <f t="shared" si="3"/>
        <v>2388</v>
      </c>
      <c r="Q38" s="1232">
        <v>64</v>
      </c>
      <c r="R38" s="1232">
        <f t="shared" si="4"/>
        <v>2324</v>
      </c>
      <c r="S38" s="1232">
        <f t="shared" si="5"/>
        <v>2292</v>
      </c>
      <c r="T38" s="1232">
        <v>1045</v>
      </c>
      <c r="U38" s="1232">
        <v>1247</v>
      </c>
      <c r="V38" s="1232">
        <v>32</v>
      </c>
      <c r="W38" s="1232"/>
      <c r="X38" s="1232" t="s">
        <v>111</v>
      </c>
      <c r="Y38" s="1232" t="s">
        <v>5377</v>
      </c>
      <c r="Z38" s="1232" t="s">
        <v>9248</v>
      </c>
      <c r="AA38" s="1236" t="s">
        <v>916</v>
      </c>
      <c r="AB38" s="867" t="s">
        <v>11611</v>
      </c>
      <c r="AC38" s="1237"/>
      <c r="AD38" s="942">
        <f t="shared" si="6"/>
        <v>2410</v>
      </c>
      <c r="AE38" s="942">
        <f t="shared" si="7"/>
        <v>16</v>
      </c>
      <c r="AF38" s="942">
        <f t="shared" si="0"/>
        <v>6</v>
      </c>
      <c r="AG38" s="942">
        <f t="shared" si="8"/>
        <v>2388</v>
      </c>
      <c r="AH38" s="942">
        <f t="shared" si="9"/>
        <v>64</v>
      </c>
      <c r="AI38" s="942">
        <f t="shared" si="10"/>
        <v>2324</v>
      </c>
      <c r="AJ38" s="942">
        <f t="shared" si="11"/>
        <v>2292</v>
      </c>
      <c r="AK38" s="942">
        <f t="shared" si="12"/>
        <v>1045</v>
      </c>
      <c r="AL38" s="942">
        <f t="shared" si="12"/>
        <v>1247</v>
      </c>
      <c r="AM38" s="942">
        <f t="shared" si="12"/>
        <v>32</v>
      </c>
    </row>
    <row r="39" spans="1:39" ht="16.5" customHeight="1">
      <c r="A39" s="1231"/>
      <c r="J39" s="1231" t="s">
        <v>8050</v>
      </c>
      <c r="K39" s="867" t="s">
        <v>5896</v>
      </c>
      <c r="L39" s="867"/>
      <c r="M39" s="1232">
        <f t="shared" si="2"/>
        <v>2145</v>
      </c>
      <c r="N39" s="1232">
        <v>11</v>
      </c>
      <c r="O39" s="1232">
        <v>4</v>
      </c>
      <c r="P39" s="1232">
        <f t="shared" si="3"/>
        <v>2130</v>
      </c>
      <c r="Q39" s="1232">
        <v>46</v>
      </c>
      <c r="R39" s="1232">
        <f t="shared" si="4"/>
        <v>2084</v>
      </c>
      <c r="S39" s="1232">
        <f t="shared" si="5"/>
        <v>2059</v>
      </c>
      <c r="T39" s="1232">
        <v>939</v>
      </c>
      <c r="U39" s="1232">
        <v>1120</v>
      </c>
      <c r="V39" s="1232">
        <v>25</v>
      </c>
      <c r="W39" s="1232"/>
      <c r="X39" s="1232" t="s">
        <v>111</v>
      </c>
      <c r="Y39" s="1232" t="s">
        <v>5377</v>
      </c>
      <c r="Z39" s="1232" t="s">
        <v>9248</v>
      </c>
      <c r="AA39" s="1236" t="s">
        <v>8050</v>
      </c>
      <c r="AB39" s="867" t="s">
        <v>5896</v>
      </c>
      <c r="AC39" s="1237"/>
      <c r="AD39" s="942">
        <f t="shared" si="6"/>
        <v>2145</v>
      </c>
      <c r="AE39" s="942">
        <f t="shared" si="7"/>
        <v>11</v>
      </c>
      <c r="AF39" s="942">
        <f t="shared" si="0"/>
        <v>4</v>
      </c>
      <c r="AG39" s="942">
        <f t="shared" si="8"/>
        <v>2130</v>
      </c>
      <c r="AH39" s="942">
        <f t="shared" si="9"/>
        <v>46</v>
      </c>
      <c r="AI39" s="942">
        <f t="shared" si="10"/>
        <v>2084</v>
      </c>
      <c r="AJ39" s="942">
        <f t="shared" si="11"/>
        <v>2059</v>
      </c>
      <c r="AK39" s="942">
        <f t="shared" si="12"/>
        <v>939</v>
      </c>
      <c r="AL39" s="942">
        <f t="shared" si="12"/>
        <v>1120</v>
      </c>
      <c r="AM39" s="942">
        <f t="shared" si="12"/>
        <v>25</v>
      </c>
    </row>
    <row r="40" spans="1:39" ht="16.5" customHeight="1">
      <c r="A40" s="1231"/>
      <c r="J40" s="1231" t="s">
        <v>8070</v>
      </c>
      <c r="K40" s="867" t="s">
        <v>11612</v>
      </c>
      <c r="L40" s="867"/>
      <c r="M40" s="1232">
        <f t="shared" si="2"/>
        <v>4426</v>
      </c>
      <c r="N40" s="1232">
        <v>26</v>
      </c>
      <c r="O40" s="1232">
        <v>8</v>
      </c>
      <c r="P40" s="1232">
        <f t="shared" si="3"/>
        <v>4392</v>
      </c>
      <c r="Q40" s="1232">
        <v>97</v>
      </c>
      <c r="R40" s="1232">
        <f t="shared" si="4"/>
        <v>4295</v>
      </c>
      <c r="S40" s="1232">
        <f t="shared" si="5"/>
        <v>4251</v>
      </c>
      <c r="T40" s="1232">
        <v>1939</v>
      </c>
      <c r="U40" s="1232">
        <v>2312</v>
      </c>
      <c r="V40" s="1232">
        <v>44</v>
      </c>
      <c r="W40" s="1232"/>
      <c r="X40" s="1232" t="s">
        <v>111</v>
      </c>
      <c r="Y40" s="1232" t="s">
        <v>5377</v>
      </c>
      <c r="Z40" s="1232" t="s">
        <v>9248</v>
      </c>
      <c r="AA40" s="1236" t="s">
        <v>8070</v>
      </c>
      <c r="AB40" s="867" t="s">
        <v>11612</v>
      </c>
      <c r="AC40" s="1237"/>
      <c r="AD40" s="942">
        <f t="shared" si="6"/>
        <v>4426</v>
      </c>
      <c r="AE40" s="942">
        <f t="shared" si="7"/>
        <v>26</v>
      </c>
      <c r="AF40" s="942">
        <f t="shared" si="0"/>
        <v>8</v>
      </c>
      <c r="AG40" s="942">
        <f t="shared" si="8"/>
        <v>4392</v>
      </c>
      <c r="AH40" s="942">
        <f t="shared" si="9"/>
        <v>97</v>
      </c>
      <c r="AI40" s="942">
        <f t="shared" si="10"/>
        <v>4295</v>
      </c>
      <c r="AJ40" s="942">
        <f t="shared" si="11"/>
        <v>4251</v>
      </c>
      <c r="AK40" s="942">
        <f t="shared" si="12"/>
        <v>1939</v>
      </c>
      <c r="AL40" s="942">
        <f t="shared" si="12"/>
        <v>2312</v>
      </c>
      <c r="AM40" s="942">
        <f t="shared" si="12"/>
        <v>44</v>
      </c>
    </row>
    <row r="41" spans="1:39" ht="16.5" customHeight="1">
      <c r="A41" s="1231"/>
      <c r="J41" s="1231" t="s">
        <v>8077</v>
      </c>
      <c r="K41" s="867" t="s">
        <v>126</v>
      </c>
      <c r="L41" s="867"/>
      <c r="M41" s="1232">
        <f t="shared" si="2"/>
        <v>172</v>
      </c>
      <c r="N41" s="1232">
        <v>7</v>
      </c>
      <c r="O41" s="1232">
        <v>2</v>
      </c>
      <c r="P41" s="1232">
        <f t="shared" si="3"/>
        <v>163</v>
      </c>
      <c r="Q41" s="1232">
        <v>9</v>
      </c>
      <c r="R41" s="1232">
        <f t="shared" si="4"/>
        <v>154</v>
      </c>
      <c r="S41" s="1232">
        <f t="shared" si="5"/>
        <v>151</v>
      </c>
      <c r="T41" s="1232">
        <v>65</v>
      </c>
      <c r="U41" s="1232">
        <v>86</v>
      </c>
      <c r="V41" s="1232">
        <v>3</v>
      </c>
      <c r="W41" s="1232"/>
      <c r="X41" s="1232" t="s">
        <v>125</v>
      </c>
      <c r="Y41" s="1232" t="s">
        <v>5377</v>
      </c>
      <c r="Z41" s="1232" t="s">
        <v>9248</v>
      </c>
      <c r="AA41" s="1236" t="s">
        <v>8077</v>
      </c>
      <c r="AB41" s="867" t="s">
        <v>126</v>
      </c>
      <c r="AC41" s="1237"/>
      <c r="AD41" s="942">
        <f t="shared" si="6"/>
        <v>172</v>
      </c>
      <c r="AE41" s="942">
        <f t="shared" si="7"/>
        <v>7</v>
      </c>
      <c r="AF41" s="942">
        <f t="shared" si="0"/>
        <v>2</v>
      </c>
      <c r="AG41" s="942">
        <f t="shared" si="8"/>
        <v>163</v>
      </c>
      <c r="AH41" s="942">
        <f t="shared" si="9"/>
        <v>9</v>
      </c>
      <c r="AI41" s="942">
        <f t="shared" si="10"/>
        <v>154</v>
      </c>
      <c r="AJ41" s="942">
        <f t="shared" si="11"/>
        <v>151</v>
      </c>
      <c r="AK41" s="942">
        <f t="shared" si="12"/>
        <v>65</v>
      </c>
      <c r="AL41" s="942">
        <f t="shared" si="12"/>
        <v>86</v>
      </c>
      <c r="AM41" s="942">
        <f t="shared" si="12"/>
        <v>3</v>
      </c>
    </row>
    <row r="42" spans="1:39" ht="16.5" customHeight="1">
      <c r="A42" s="1231"/>
      <c r="J42" s="1231" t="s">
        <v>8082</v>
      </c>
      <c r="K42" s="867" t="s">
        <v>127</v>
      </c>
      <c r="L42" s="867"/>
      <c r="M42" s="1232">
        <f t="shared" si="2"/>
        <v>612</v>
      </c>
      <c r="N42" s="1232">
        <v>33</v>
      </c>
      <c r="O42" s="1232">
        <v>12</v>
      </c>
      <c r="P42" s="1232">
        <f t="shared" si="3"/>
        <v>567</v>
      </c>
      <c r="Q42" s="1232">
        <v>49</v>
      </c>
      <c r="R42" s="1232">
        <f t="shared" si="4"/>
        <v>518</v>
      </c>
      <c r="S42" s="1232">
        <f t="shared" si="5"/>
        <v>501</v>
      </c>
      <c r="T42" s="1232">
        <v>215</v>
      </c>
      <c r="U42" s="1232">
        <v>286</v>
      </c>
      <c r="V42" s="1232">
        <v>17</v>
      </c>
      <c r="W42" s="1232"/>
      <c r="X42" s="1232" t="s">
        <v>125</v>
      </c>
      <c r="Y42" s="1232" t="s">
        <v>5377</v>
      </c>
      <c r="Z42" s="1232" t="s">
        <v>9248</v>
      </c>
      <c r="AA42" s="1236" t="s">
        <v>8082</v>
      </c>
      <c r="AB42" s="867" t="s">
        <v>127</v>
      </c>
      <c r="AC42" s="1237"/>
      <c r="AD42" s="942">
        <f t="shared" si="6"/>
        <v>612</v>
      </c>
      <c r="AE42" s="942">
        <f t="shared" si="7"/>
        <v>33</v>
      </c>
      <c r="AF42" s="942">
        <f t="shared" si="0"/>
        <v>12</v>
      </c>
      <c r="AG42" s="942">
        <f t="shared" si="8"/>
        <v>567</v>
      </c>
      <c r="AH42" s="942">
        <f t="shared" si="9"/>
        <v>49</v>
      </c>
      <c r="AI42" s="942">
        <f t="shared" si="10"/>
        <v>518</v>
      </c>
      <c r="AJ42" s="942">
        <f t="shared" si="11"/>
        <v>501</v>
      </c>
      <c r="AK42" s="942">
        <f t="shared" si="12"/>
        <v>215</v>
      </c>
      <c r="AL42" s="942">
        <f t="shared" si="12"/>
        <v>286</v>
      </c>
      <c r="AM42" s="942">
        <f t="shared" si="12"/>
        <v>17</v>
      </c>
    </row>
    <row r="43" spans="1:39" ht="16.5" customHeight="1">
      <c r="A43" s="1231"/>
      <c r="J43" s="1231" t="s">
        <v>8089</v>
      </c>
      <c r="K43" s="867" t="s">
        <v>128</v>
      </c>
      <c r="L43" s="867"/>
      <c r="M43" s="1232">
        <f t="shared" si="2"/>
        <v>41</v>
      </c>
      <c r="N43" s="1232">
        <v>1</v>
      </c>
      <c r="O43" s="1232">
        <v>0</v>
      </c>
      <c r="P43" s="1232">
        <f t="shared" si="3"/>
        <v>40</v>
      </c>
      <c r="Q43" s="1232">
        <v>2</v>
      </c>
      <c r="R43" s="1232">
        <f t="shared" si="4"/>
        <v>38</v>
      </c>
      <c r="S43" s="1232">
        <f t="shared" si="5"/>
        <v>38</v>
      </c>
      <c r="T43" s="1232">
        <v>20</v>
      </c>
      <c r="U43" s="1232">
        <v>18</v>
      </c>
      <c r="V43" s="1232">
        <v>0</v>
      </c>
      <c r="W43" s="1232"/>
      <c r="X43" s="1232" t="s">
        <v>125</v>
      </c>
      <c r="Y43" s="1232" t="s">
        <v>5377</v>
      </c>
      <c r="Z43" s="1232" t="s">
        <v>9248</v>
      </c>
      <c r="AA43" s="1236" t="s">
        <v>8089</v>
      </c>
      <c r="AB43" s="867" t="s">
        <v>128</v>
      </c>
      <c r="AC43" s="1237"/>
      <c r="AD43" s="942">
        <f t="shared" si="6"/>
        <v>41</v>
      </c>
      <c r="AE43" s="942">
        <f t="shared" si="7"/>
        <v>1</v>
      </c>
      <c r="AF43" s="942">
        <f t="shared" si="0"/>
        <v>0</v>
      </c>
      <c r="AG43" s="942">
        <f t="shared" si="8"/>
        <v>40</v>
      </c>
      <c r="AH43" s="942">
        <f t="shared" si="9"/>
        <v>2</v>
      </c>
      <c r="AI43" s="942">
        <f t="shared" si="10"/>
        <v>38</v>
      </c>
      <c r="AJ43" s="942">
        <f t="shared" si="11"/>
        <v>38</v>
      </c>
      <c r="AK43" s="942">
        <f t="shared" si="12"/>
        <v>20</v>
      </c>
      <c r="AL43" s="942">
        <f t="shared" si="12"/>
        <v>18</v>
      </c>
      <c r="AM43" s="942">
        <f t="shared" si="12"/>
        <v>0</v>
      </c>
    </row>
    <row r="44" spans="1:39" ht="16.5" customHeight="1">
      <c r="A44" s="1231"/>
      <c r="J44" s="1231" t="s">
        <v>8094</v>
      </c>
      <c r="K44" s="867" t="s">
        <v>130</v>
      </c>
      <c r="L44" s="867"/>
      <c r="M44" s="1232">
        <f t="shared" si="2"/>
        <v>2024</v>
      </c>
      <c r="N44" s="1232">
        <v>50</v>
      </c>
      <c r="O44" s="1232">
        <v>16</v>
      </c>
      <c r="P44" s="1232">
        <f t="shared" si="3"/>
        <v>1958</v>
      </c>
      <c r="Q44" s="1232">
        <v>104</v>
      </c>
      <c r="R44" s="1232">
        <f t="shared" si="4"/>
        <v>1854</v>
      </c>
      <c r="S44" s="1232">
        <f t="shared" si="5"/>
        <v>1819</v>
      </c>
      <c r="T44" s="1232">
        <v>781</v>
      </c>
      <c r="U44" s="1232">
        <v>1038</v>
      </c>
      <c r="V44" s="1232">
        <v>35</v>
      </c>
      <c r="W44" s="1232"/>
      <c r="X44" s="1232" t="s">
        <v>125</v>
      </c>
      <c r="Y44" s="1232" t="s">
        <v>5377</v>
      </c>
      <c r="Z44" s="1232" t="s">
        <v>9248</v>
      </c>
      <c r="AA44" s="1236" t="s">
        <v>8094</v>
      </c>
      <c r="AB44" s="867" t="s">
        <v>130</v>
      </c>
      <c r="AC44" s="1237"/>
      <c r="AD44" s="942">
        <f t="shared" si="6"/>
        <v>2024</v>
      </c>
      <c r="AE44" s="942">
        <f t="shared" si="7"/>
        <v>50</v>
      </c>
      <c r="AF44" s="942">
        <f t="shared" si="0"/>
        <v>16</v>
      </c>
      <c r="AG44" s="942">
        <f t="shared" si="8"/>
        <v>1958</v>
      </c>
      <c r="AH44" s="942">
        <f t="shared" si="9"/>
        <v>104</v>
      </c>
      <c r="AI44" s="942">
        <f t="shared" si="10"/>
        <v>1854</v>
      </c>
      <c r="AJ44" s="942">
        <f t="shared" si="11"/>
        <v>1819</v>
      </c>
      <c r="AK44" s="942">
        <f t="shared" si="12"/>
        <v>781</v>
      </c>
      <c r="AL44" s="942">
        <f t="shared" si="12"/>
        <v>1038</v>
      </c>
      <c r="AM44" s="942">
        <f t="shared" si="12"/>
        <v>35</v>
      </c>
    </row>
    <row r="45" spans="1:39" ht="16.5" customHeight="1">
      <c r="A45" s="1231"/>
      <c r="J45" s="1231" t="s">
        <v>8099</v>
      </c>
      <c r="K45" s="867" t="s">
        <v>11613</v>
      </c>
      <c r="L45" s="867"/>
      <c r="M45" s="1232">
        <f t="shared" si="2"/>
        <v>3157</v>
      </c>
      <c r="N45" s="1232">
        <v>177</v>
      </c>
      <c r="O45" s="1232">
        <v>59</v>
      </c>
      <c r="P45" s="1232">
        <f t="shared" si="3"/>
        <v>2921</v>
      </c>
      <c r="Q45" s="1232">
        <v>162</v>
      </c>
      <c r="R45" s="1232">
        <f t="shared" si="4"/>
        <v>2759</v>
      </c>
      <c r="S45" s="1232">
        <f t="shared" si="5"/>
        <v>2692</v>
      </c>
      <c r="T45" s="1232">
        <v>1156</v>
      </c>
      <c r="U45" s="1232">
        <v>1536</v>
      </c>
      <c r="V45" s="1232">
        <v>67</v>
      </c>
      <c r="W45" s="1232"/>
      <c r="X45" s="1232" t="s">
        <v>125</v>
      </c>
      <c r="Y45" s="1232" t="s">
        <v>5377</v>
      </c>
      <c r="Z45" s="1232" t="s">
        <v>9248</v>
      </c>
      <c r="AA45" s="1236" t="s">
        <v>8099</v>
      </c>
      <c r="AB45" s="867" t="s">
        <v>11613</v>
      </c>
      <c r="AC45" s="1237"/>
      <c r="AD45" s="942">
        <f t="shared" si="6"/>
        <v>3157</v>
      </c>
      <c r="AE45" s="942">
        <f t="shared" si="7"/>
        <v>177</v>
      </c>
      <c r="AF45" s="942">
        <f t="shared" si="0"/>
        <v>59</v>
      </c>
      <c r="AG45" s="942">
        <f t="shared" si="8"/>
        <v>2921</v>
      </c>
      <c r="AH45" s="942">
        <f t="shared" si="9"/>
        <v>162</v>
      </c>
      <c r="AI45" s="942">
        <f t="shared" si="10"/>
        <v>2759</v>
      </c>
      <c r="AJ45" s="942">
        <f t="shared" si="11"/>
        <v>2692</v>
      </c>
      <c r="AK45" s="942">
        <f t="shared" si="12"/>
        <v>1156</v>
      </c>
      <c r="AL45" s="942">
        <f t="shared" si="12"/>
        <v>1536</v>
      </c>
      <c r="AM45" s="942">
        <f t="shared" si="12"/>
        <v>67</v>
      </c>
    </row>
    <row r="46" spans="1:39" ht="16.5" customHeight="1">
      <c r="A46" s="1231"/>
      <c r="J46" s="1231" t="s">
        <v>8105</v>
      </c>
      <c r="K46" s="867" t="s">
        <v>5949</v>
      </c>
      <c r="L46" s="867"/>
      <c r="M46" s="1232">
        <f t="shared" si="2"/>
        <v>258</v>
      </c>
      <c r="N46" s="1232">
        <v>22</v>
      </c>
      <c r="O46" s="1232">
        <v>9</v>
      </c>
      <c r="P46" s="1232">
        <f t="shared" si="3"/>
        <v>227</v>
      </c>
      <c r="Q46" s="1232">
        <v>18</v>
      </c>
      <c r="R46" s="1232">
        <f t="shared" si="4"/>
        <v>209</v>
      </c>
      <c r="S46" s="1232">
        <f t="shared" si="5"/>
        <v>205</v>
      </c>
      <c r="T46" s="1232">
        <v>101</v>
      </c>
      <c r="U46" s="1232">
        <v>104</v>
      </c>
      <c r="V46" s="1232">
        <v>4</v>
      </c>
      <c r="W46" s="1232"/>
      <c r="X46" s="1232" t="s">
        <v>134</v>
      </c>
      <c r="Y46" s="1232" t="s">
        <v>5377</v>
      </c>
      <c r="Z46" s="1232" t="s">
        <v>9248</v>
      </c>
      <c r="AA46" s="1236" t="s">
        <v>8105</v>
      </c>
      <c r="AB46" s="867" t="s">
        <v>5949</v>
      </c>
      <c r="AC46" s="1237"/>
      <c r="AD46" s="942">
        <f t="shared" si="6"/>
        <v>258</v>
      </c>
      <c r="AE46" s="942">
        <f t="shared" si="7"/>
        <v>22</v>
      </c>
      <c r="AF46" s="942">
        <f t="shared" si="0"/>
        <v>9</v>
      </c>
      <c r="AG46" s="942">
        <f t="shared" si="8"/>
        <v>227</v>
      </c>
      <c r="AH46" s="942">
        <f t="shared" si="9"/>
        <v>18</v>
      </c>
      <c r="AI46" s="942">
        <f t="shared" si="10"/>
        <v>209</v>
      </c>
      <c r="AJ46" s="942">
        <f t="shared" si="11"/>
        <v>205</v>
      </c>
      <c r="AK46" s="942">
        <f t="shared" si="12"/>
        <v>101</v>
      </c>
      <c r="AL46" s="942">
        <f t="shared" si="12"/>
        <v>104</v>
      </c>
      <c r="AM46" s="942">
        <f t="shared" si="12"/>
        <v>4</v>
      </c>
    </row>
    <row r="47" spans="1:39" ht="16.5" customHeight="1">
      <c r="A47" s="1231"/>
      <c r="J47" s="1231" t="s">
        <v>8111</v>
      </c>
      <c r="K47" s="867" t="s">
        <v>5955</v>
      </c>
      <c r="L47" s="867"/>
      <c r="M47" s="1232">
        <f t="shared" si="2"/>
        <v>1296</v>
      </c>
      <c r="N47" s="1232">
        <v>68</v>
      </c>
      <c r="O47" s="1232">
        <v>24</v>
      </c>
      <c r="P47" s="1232">
        <f t="shared" si="3"/>
        <v>1204</v>
      </c>
      <c r="Q47" s="1232">
        <v>99</v>
      </c>
      <c r="R47" s="1232">
        <f t="shared" si="4"/>
        <v>1105</v>
      </c>
      <c r="S47" s="1232">
        <f t="shared" si="5"/>
        <v>1084</v>
      </c>
      <c r="T47" s="1232">
        <v>536</v>
      </c>
      <c r="U47" s="1232">
        <v>548</v>
      </c>
      <c r="V47" s="1232">
        <v>21</v>
      </c>
      <c r="W47" s="1232"/>
      <c r="X47" s="1232" t="s">
        <v>134</v>
      </c>
      <c r="Y47" s="1232" t="s">
        <v>5377</v>
      </c>
      <c r="Z47" s="1232" t="s">
        <v>9248</v>
      </c>
      <c r="AA47" s="1236" t="s">
        <v>8111</v>
      </c>
      <c r="AB47" s="867" t="s">
        <v>5955</v>
      </c>
      <c r="AC47" s="1237"/>
      <c r="AD47" s="942">
        <f t="shared" si="6"/>
        <v>1296</v>
      </c>
      <c r="AE47" s="942">
        <f t="shared" si="7"/>
        <v>68</v>
      </c>
      <c r="AF47" s="942">
        <f t="shared" si="0"/>
        <v>24</v>
      </c>
      <c r="AG47" s="942">
        <f t="shared" si="8"/>
        <v>1204</v>
      </c>
      <c r="AH47" s="942">
        <f t="shared" si="9"/>
        <v>99</v>
      </c>
      <c r="AI47" s="942">
        <f t="shared" si="10"/>
        <v>1105</v>
      </c>
      <c r="AJ47" s="942">
        <f t="shared" si="11"/>
        <v>1084</v>
      </c>
      <c r="AK47" s="942">
        <f t="shared" si="12"/>
        <v>536</v>
      </c>
      <c r="AL47" s="942">
        <f t="shared" si="12"/>
        <v>548</v>
      </c>
      <c r="AM47" s="942">
        <f t="shared" si="12"/>
        <v>21</v>
      </c>
    </row>
    <row r="48" spans="1:39" ht="16.5" customHeight="1">
      <c r="A48" s="1231"/>
      <c r="J48" s="1231" t="s">
        <v>8116</v>
      </c>
      <c r="K48" s="867" t="s">
        <v>139</v>
      </c>
      <c r="L48" s="867"/>
      <c r="M48" s="1232">
        <f t="shared" si="2"/>
        <v>4179</v>
      </c>
      <c r="N48" s="1232">
        <v>201</v>
      </c>
      <c r="O48" s="1232">
        <v>158</v>
      </c>
      <c r="P48" s="1232">
        <f t="shared" si="3"/>
        <v>3820</v>
      </c>
      <c r="Q48" s="1232">
        <v>225</v>
      </c>
      <c r="R48" s="1232">
        <f t="shared" si="4"/>
        <v>3595</v>
      </c>
      <c r="S48" s="1232">
        <f t="shared" si="5"/>
        <v>3549</v>
      </c>
      <c r="T48" s="1232">
        <v>1852</v>
      </c>
      <c r="U48" s="1232">
        <v>1697</v>
      </c>
      <c r="V48" s="1232">
        <v>46</v>
      </c>
      <c r="W48" s="1232"/>
      <c r="X48" s="1232" t="s">
        <v>138</v>
      </c>
      <c r="Y48" s="1232" t="s">
        <v>5377</v>
      </c>
      <c r="Z48" s="1232" t="s">
        <v>9248</v>
      </c>
      <c r="AA48" s="1236" t="s">
        <v>8116</v>
      </c>
      <c r="AB48" s="867" t="s">
        <v>139</v>
      </c>
      <c r="AC48" s="1237"/>
      <c r="AD48" s="942">
        <f t="shared" si="6"/>
        <v>4179</v>
      </c>
      <c r="AE48" s="942">
        <f t="shared" si="7"/>
        <v>201</v>
      </c>
      <c r="AF48" s="942">
        <f t="shared" si="0"/>
        <v>158</v>
      </c>
      <c r="AG48" s="942">
        <f t="shared" si="8"/>
        <v>3820</v>
      </c>
      <c r="AH48" s="942">
        <f t="shared" si="9"/>
        <v>225</v>
      </c>
      <c r="AI48" s="942">
        <f t="shared" si="10"/>
        <v>3595</v>
      </c>
      <c r="AJ48" s="942">
        <f t="shared" si="11"/>
        <v>3549</v>
      </c>
      <c r="AK48" s="942">
        <f t="shared" si="12"/>
        <v>1852</v>
      </c>
      <c r="AL48" s="942">
        <f t="shared" si="12"/>
        <v>1697</v>
      </c>
      <c r="AM48" s="942">
        <f t="shared" si="12"/>
        <v>46</v>
      </c>
    </row>
    <row r="49" spans="1:39" ht="16.5" customHeight="1">
      <c r="A49" s="1231"/>
      <c r="J49" s="1231" t="s">
        <v>8121</v>
      </c>
      <c r="K49" s="867" t="s">
        <v>140</v>
      </c>
      <c r="L49" s="867"/>
      <c r="M49" s="1232">
        <f t="shared" si="2"/>
        <v>5966</v>
      </c>
      <c r="N49" s="1232">
        <v>74</v>
      </c>
      <c r="O49" s="1232">
        <v>24</v>
      </c>
      <c r="P49" s="1232">
        <f t="shared" si="3"/>
        <v>5868</v>
      </c>
      <c r="Q49" s="1232">
        <v>84</v>
      </c>
      <c r="R49" s="1232">
        <f t="shared" si="4"/>
        <v>5784</v>
      </c>
      <c r="S49" s="1232">
        <f t="shared" si="5"/>
        <v>5716</v>
      </c>
      <c r="T49" s="1232">
        <v>2510</v>
      </c>
      <c r="U49" s="1232">
        <v>3206</v>
      </c>
      <c r="V49" s="1232">
        <v>68</v>
      </c>
      <c r="W49" s="1232"/>
      <c r="X49" s="1232" t="s">
        <v>138</v>
      </c>
      <c r="Y49" s="1232" t="s">
        <v>5377</v>
      </c>
      <c r="Z49" s="1232" t="s">
        <v>9248</v>
      </c>
      <c r="AA49" s="1236" t="s">
        <v>8121</v>
      </c>
      <c r="AB49" s="867" t="s">
        <v>140</v>
      </c>
      <c r="AC49" s="1237"/>
      <c r="AD49" s="942">
        <f t="shared" si="6"/>
        <v>5966</v>
      </c>
      <c r="AE49" s="942">
        <f t="shared" si="7"/>
        <v>74</v>
      </c>
      <c r="AF49" s="942">
        <f t="shared" si="0"/>
        <v>24</v>
      </c>
      <c r="AG49" s="942">
        <f t="shared" si="8"/>
        <v>5868</v>
      </c>
      <c r="AH49" s="942">
        <f t="shared" si="9"/>
        <v>84</v>
      </c>
      <c r="AI49" s="942">
        <f t="shared" si="10"/>
        <v>5784</v>
      </c>
      <c r="AJ49" s="942">
        <f t="shared" si="11"/>
        <v>5716</v>
      </c>
      <c r="AK49" s="942">
        <f t="shared" si="12"/>
        <v>2510</v>
      </c>
      <c r="AL49" s="942">
        <f t="shared" si="12"/>
        <v>3206</v>
      </c>
      <c r="AM49" s="942">
        <f t="shared" si="12"/>
        <v>68</v>
      </c>
    </row>
    <row r="50" spans="1:39" ht="16.5" customHeight="1">
      <c r="A50" s="1231"/>
      <c r="J50" s="1231" t="s">
        <v>8127</v>
      </c>
      <c r="K50" s="867" t="s">
        <v>141</v>
      </c>
      <c r="L50" s="867"/>
      <c r="M50" s="1232">
        <f t="shared" si="2"/>
        <v>8341</v>
      </c>
      <c r="N50" s="1232">
        <v>330</v>
      </c>
      <c r="O50" s="1232">
        <v>110</v>
      </c>
      <c r="P50" s="1232">
        <f t="shared" si="3"/>
        <v>7901</v>
      </c>
      <c r="Q50" s="1232">
        <v>260</v>
      </c>
      <c r="R50" s="1232">
        <f t="shared" si="4"/>
        <v>7641</v>
      </c>
      <c r="S50" s="1232">
        <f t="shared" si="5"/>
        <v>7554</v>
      </c>
      <c r="T50" s="1232">
        <v>3318</v>
      </c>
      <c r="U50" s="1232">
        <v>4236</v>
      </c>
      <c r="V50" s="1232">
        <v>87</v>
      </c>
      <c r="W50" s="1232"/>
      <c r="X50" s="1232" t="s">
        <v>138</v>
      </c>
      <c r="Y50" s="1232" t="s">
        <v>5377</v>
      </c>
      <c r="Z50" s="1232" t="s">
        <v>9248</v>
      </c>
      <c r="AA50" s="1236" t="s">
        <v>8127</v>
      </c>
      <c r="AB50" s="867" t="s">
        <v>141</v>
      </c>
      <c r="AC50" s="1237"/>
      <c r="AD50" s="942">
        <f t="shared" si="6"/>
        <v>8341</v>
      </c>
      <c r="AE50" s="942">
        <f t="shared" si="7"/>
        <v>330</v>
      </c>
      <c r="AF50" s="942">
        <f t="shared" si="0"/>
        <v>110</v>
      </c>
      <c r="AG50" s="942">
        <f t="shared" si="8"/>
        <v>7901</v>
      </c>
      <c r="AH50" s="942">
        <f t="shared" si="9"/>
        <v>260</v>
      </c>
      <c r="AI50" s="942">
        <f t="shared" si="10"/>
        <v>7641</v>
      </c>
      <c r="AJ50" s="942">
        <f t="shared" si="11"/>
        <v>7554</v>
      </c>
      <c r="AK50" s="942">
        <f t="shared" si="12"/>
        <v>3318</v>
      </c>
      <c r="AL50" s="942">
        <f t="shared" si="12"/>
        <v>4236</v>
      </c>
      <c r="AM50" s="942">
        <f t="shared" si="12"/>
        <v>87</v>
      </c>
    </row>
    <row r="51" spans="1:39" ht="16.5" customHeight="1">
      <c r="A51" s="1231"/>
      <c r="J51" s="1231" t="s">
        <v>8133</v>
      </c>
      <c r="K51" s="867" t="s">
        <v>9505</v>
      </c>
      <c r="L51" s="867"/>
      <c r="M51" s="1232">
        <f t="shared" si="2"/>
        <v>2859</v>
      </c>
      <c r="N51" s="1232">
        <v>95</v>
      </c>
      <c r="O51" s="1232">
        <v>36</v>
      </c>
      <c r="P51" s="1232">
        <f t="shared" si="3"/>
        <v>2728</v>
      </c>
      <c r="Q51" s="1232">
        <v>159</v>
      </c>
      <c r="R51" s="1232">
        <f t="shared" si="4"/>
        <v>2569</v>
      </c>
      <c r="S51" s="1232">
        <f t="shared" si="5"/>
        <v>2452</v>
      </c>
      <c r="T51" s="1232">
        <v>1074</v>
      </c>
      <c r="U51" s="1232">
        <v>1378</v>
      </c>
      <c r="V51" s="1232">
        <v>117</v>
      </c>
      <c r="W51" s="1232"/>
      <c r="X51" s="1232" t="s">
        <v>9406</v>
      </c>
      <c r="Y51" s="1232" t="s">
        <v>5377</v>
      </c>
      <c r="Z51" s="1232" t="s">
        <v>9248</v>
      </c>
      <c r="AA51" s="1236" t="s">
        <v>8133</v>
      </c>
      <c r="AB51" s="867" t="s">
        <v>9505</v>
      </c>
      <c r="AC51" s="1237"/>
      <c r="AD51" s="942">
        <f t="shared" si="6"/>
        <v>2859</v>
      </c>
      <c r="AE51" s="942">
        <f t="shared" si="7"/>
        <v>95</v>
      </c>
      <c r="AF51" s="942">
        <f t="shared" si="0"/>
        <v>36</v>
      </c>
      <c r="AG51" s="942">
        <f t="shared" si="8"/>
        <v>2728</v>
      </c>
      <c r="AH51" s="942">
        <f t="shared" si="9"/>
        <v>159</v>
      </c>
      <c r="AI51" s="942">
        <f t="shared" si="10"/>
        <v>2569</v>
      </c>
      <c r="AJ51" s="942">
        <f t="shared" si="11"/>
        <v>2452</v>
      </c>
      <c r="AK51" s="942">
        <f t="shared" si="12"/>
        <v>1074</v>
      </c>
      <c r="AL51" s="942">
        <f t="shared" si="12"/>
        <v>1378</v>
      </c>
      <c r="AM51" s="942">
        <f t="shared" si="12"/>
        <v>117</v>
      </c>
    </row>
    <row r="52" spans="1:39" ht="16.5" customHeight="1">
      <c r="A52" s="1231"/>
      <c r="J52" s="1231" t="s">
        <v>8144</v>
      </c>
      <c r="K52" s="867" t="s">
        <v>5979</v>
      </c>
      <c r="L52" s="867"/>
      <c r="M52" s="1232">
        <f t="shared" si="2"/>
        <v>567</v>
      </c>
      <c r="N52" s="1232">
        <v>9</v>
      </c>
      <c r="O52" s="1232">
        <v>4</v>
      </c>
      <c r="P52" s="1232">
        <f t="shared" si="3"/>
        <v>554</v>
      </c>
      <c r="Q52" s="1232">
        <v>21</v>
      </c>
      <c r="R52" s="1232">
        <f t="shared" si="4"/>
        <v>533</v>
      </c>
      <c r="S52" s="1232">
        <f t="shared" si="5"/>
        <v>506</v>
      </c>
      <c r="T52" s="1232">
        <v>388</v>
      </c>
      <c r="U52" s="1232">
        <v>118</v>
      </c>
      <c r="V52" s="1232">
        <v>27</v>
      </c>
      <c r="W52" s="1232"/>
      <c r="X52" s="1232" t="s">
        <v>144</v>
      </c>
      <c r="Y52" s="1232" t="s">
        <v>5377</v>
      </c>
      <c r="Z52" s="1232" t="s">
        <v>9248</v>
      </c>
      <c r="AA52" s="1236" t="s">
        <v>8144</v>
      </c>
      <c r="AB52" s="867" t="s">
        <v>5979</v>
      </c>
      <c r="AC52" s="1237"/>
      <c r="AD52" s="942">
        <f t="shared" si="6"/>
        <v>567</v>
      </c>
      <c r="AE52" s="942">
        <f t="shared" si="7"/>
        <v>9</v>
      </c>
      <c r="AF52" s="942">
        <f t="shared" si="0"/>
        <v>4</v>
      </c>
      <c r="AG52" s="942">
        <f t="shared" si="8"/>
        <v>554</v>
      </c>
      <c r="AH52" s="942">
        <f t="shared" si="9"/>
        <v>21</v>
      </c>
      <c r="AI52" s="942">
        <f t="shared" si="10"/>
        <v>533</v>
      </c>
      <c r="AJ52" s="942">
        <f t="shared" si="11"/>
        <v>506</v>
      </c>
      <c r="AK52" s="942">
        <f t="shared" si="12"/>
        <v>388</v>
      </c>
      <c r="AL52" s="942">
        <f t="shared" si="12"/>
        <v>118</v>
      </c>
      <c r="AM52" s="942">
        <f t="shared" si="12"/>
        <v>27</v>
      </c>
    </row>
    <row r="53" spans="1:39" ht="16.5" customHeight="1">
      <c r="A53" s="1231"/>
      <c r="J53" s="1231" t="s">
        <v>8150</v>
      </c>
      <c r="K53" s="867" t="s">
        <v>147</v>
      </c>
      <c r="L53" s="867"/>
      <c r="M53" s="1232">
        <f t="shared" si="2"/>
        <v>85</v>
      </c>
      <c r="N53" s="1232">
        <v>2</v>
      </c>
      <c r="O53" s="1232">
        <v>1</v>
      </c>
      <c r="P53" s="1232">
        <f t="shared" si="3"/>
        <v>82</v>
      </c>
      <c r="Q53" s="1232">
        <v>4</v>
      </c>
      <c r="R53" s="1232">
        <f t="shared" si="4"/>
        <v>78</v>
      </c>
      <c r="S53" s="1232">
        <f t="shared" si="5"/>
        <v>74</v>
      </c>
      <c r="T53" s="1232">
        <v>47</v>
      </c>
      <c r="U53" s="1232">
        <v>27</v>
      </c>
      <c r="V53" s="1232">
        <v>4</v>
      </c>
      <c r="W53" s="1232"/>
      <c r="X53" s="1232" t="s">
        <v>144</v>
      </c>
      <c r="Y53" s="1232" t="s">
        <v>5377</v>
      </c>
      <c r="Z53" s="1232" t="s">
        <v>9248</v>
      </c>
      <c r="AA53" s="1236" t="s">
        <v>8150</v>
      </c>
      <c r="AB53" s="867" t="s">
        <v>147</v>
      </c>
      <c r="AC53" s="1237"/>
      <c r="AD53" s="942">
        <f t="shared" si="6"/>
        <v>85</v>
      </c>
      <c r="AE53" s="942">
        <f t="shared" si="7"/>
        <v>2</v>
      </c>
      <c r="AF53" s="942">
        <f t="shared" si="0"/>
        <v>1</v>
      </c>
      <c r="AG53" s="942">
        <f t="shared" si="8"/>
        <v>82</v>
      </c>
      <c r="AH53" s="942">
        <f t="shared" si="9"/>
        <v>4</v>
      </c>
      <c r="AI53" s="942">
        <f t="shared" si="10"/>
        <v>78</v>
      </c>
      <c r="AJ53" s="942">
        <f t="shared" si="11"/>
        <v>74</v>
      </c>
      <c r="AK53" s="942">
        <f t="shared" si="12"/>
        <v>47</v>
      </c>
      <c r="AL53" s="942">
        <f t="shared" si="12"/>
        <v>27</v>
      </c>
      <c r="AM53" s="942">
        <f t="shared" si="12"/>
        <v>4</v>
      </c>
    </row>
    <row r="54" spans="1:39" ht="16.5" customHeight="1">
      <c r="A54" s="1231"/>
      <c r="J54" s="1231" t="s">
        <v>8155</v>
      </c>
      <c r="K54" s="867" t="s">
        <v>148</v>
      </c>
      <c r="L54" s="867"/>
      <c r="M54" s="1232">
        <f t="shared" si="2"/>
        <v>288</v>
      </c>
      <c r="N54" s="1232">
        <v>3</v>
      </c>
      <c r="O54" s="1232">
        <v>1</v>
      </c>
      <c r="P54" s="1232">
        <f t="shared" si="3"/>
        <v>284</v>
      </c>
      <c r="Q54" s="1232">
        <v>6</v>
      </c>
      <c r="R54" s="1232">
        <f t="shared" si="4"/>
        <v>278</v>
      </c>
      <c r="S54" s="1232">
        <f t="shared" si="5"/>
        <v>278</v>
      </c>
      <c r="T54" s="1232">
        <v>243</v>
      </c>
      <c r="U54" s="1232">
        <v>35</v>
      </c>
      <c r="V54" s="1232">
        <v>0</v>
      </c>
      <c r="W54" s="1232"/>
      <c r="X54" s="1232" t="s">
        <v>144</v>
      </c>
      <c r="Y54" s="1232" t="s">
        <v>5377</v>
      </c>
      <c r="Z54" s="1232" t="s">
        <v>9248</v>
      </c>
      <c r="AA54" s="1236" t="s">
        <v>8155</v>
      </c>
      <c r="AB54" s="867" t="s">
        <v>148</v>
      </c>
      <c r="AC54" s="1237"/>
      <c r="AD54" s="942">
        <f t="shared" si="6"/>
        <v>288</v>
      </c>
      <c r="AE54" s="942">
        <f t="shared" si="7"/>
        <v>3</v>
      </c>
      <c r="AF54" s="942">
        <f t="shared" si="0"/>
        <v>1</v>
      </c>
      <c r="AG54" s="942">
        <f t="shared" si="8"/>
        <v>284</v>
      </c>
      <c r="AH54" s="942">
        <f t="shared" si="9"/>
        <v>6</v>
      </c>
      <c r="AI54" s="942">
        <f t="shared" si="10"/>
        <v>278</v>
      </c>
      <c r="AJ54" s="942">
        <f t="shared" si="11"/>
        <v>278</v>
      </c>
      <c r="AK54" s="942">
        <f t="shared" si="12"/>
        <v>243</v>
      </c>
      <c r="AL54" s="942">
        <f t="shared" si="12"/>
        <v>35</v>
      </c>
      <c r="AM54" s="942">
        <f t="shared" si="12"/>
        <v>0</v>
      </c>
    </row>
    <row r="55" spans="1:39" ht="16.5" customHeight="1">
      <c r="A55" s="1231"/>
      <c r="J55" s="1231" t="s">
        <v>8161</v>
      </c>
      <c r="K55" s="867" t="s">
        <v>11614</v>
      </c>
      <c r="L55" s="867"/>
      <c r="M55" s="1232">
        <f t="shared" si="2"/>
        <v>1520</v>
      </c>
      <c r="N55" s="1232">
        <v>13</v>
      </c>
      <c r="O55" s="1232">
        <v>3</v>
      </c>
      <c r="P55" s="1232">
        <f t="shared" si="3"/>
        <v>1504</v>
      </c>
      <c r="Q55" s="1232">
        <v>63</v>
      </c>
      <c r="R55" s="1232">
        <f t="shared" si="4"/>
        <v>1441</v>
      </c>
      <c r="S55" s="1232">
        <f t="shared" si="5"/>
        <v>1428</v>
      </c>
      <c r="T55" s="1232">
        <v>764</v>
      </c>
      <c r="U55" s="1232">
        <v>664</v>
      </c>
      <c r="V55" s="1232">
        <v>13</v>
      </c>
      <c r="W55" s="1232"/>
      <c r="X55" s="1232" t="s">
        <v>144</v>
      </c>
      <c r="Y55" s="1232" t="s">
        <v>5377</v>
      </c>
      <c r="Z55" s="1232" t="s">
        <v>9248</v>
      </c>
      <c r="AA55" s="1236" t="s">
        <v>8161</v>
      </c>
      <c r="AB55" s="867" t="s">
        <v>11614</v>
      </c>
      <c r="AC55" s="1237"/>
      <c r="AD55" s="942">
        <f t="shared" si="6"/>
        <v>1520</v>
      </c>
      <c r="AE55" s="942">
        <f t="shared" si="7"/>
        <v>13</v>
      </c>
      <c r="AF55" s="942">
        <f t="shared" si="0"/>
        <v>3</v>
      </c>
      <c r="AG55" s="942">
        <f t="shared" si="8"/>
        <v>1504</v>
      </c>
      <c r="AH55" s="942">
        <f t="shared" si="9"/>
        <v>63</v>
      </c>
      <c r="AI55" s="942">
        <f t="shared" si="10"/>
        <v>1441</v>
      </c>
      <c r="AJ55" s="942">
        <f t="shared" si="11"/>
        <v>1428</v>
      </c>
      <c r="AK55" s="942">
        <f t="shared" si="12"/>
        <v>764</v>
      </c>
      <c r="AL55" s="942">
        <f t="shared" si="12"/>
        <v>664</v>
      </c>
      <c r="AM55" s="942">
        <f t="shared" si="12"/>
        <v>13</v>
      </c>
    </row>
    <row r="56" spans="1:39" ht="16.5" customHeight="1">
      <c r="A56" s="1231"/>
      <c r="J56" s="1231" t="s">
        <v>8171</v>
      </c>
      <c r="K56" s="867" t="s">
        <v>6009</v>
      </c>
      <c r="L56" s="867"/>
      <c r="M56" s="1232">
        <f t="shared" si="2"/>
        <v>4336</v>
      </c>
      <c r="N56" s="1232">
        <v>68</v>
      </c>
      <c r="O56" s="1232">
        <v>34</v>
      </c>
      <c r="P56" s="1232">
        <f t="shared" si="3"/>
        <v>4234</v>
      </c>
      <c r="Q56" s="1232">
        <v>179</v>
      </c>
      <c r="R56" s="1232">
        <f t="shared" si="4"/>
        <v>4055</v>
      </c>
      <c r="S56" s="1232">
        <f t="shared" si="5"/>
        <v>4020</v>
      </c>
      <c r="T56" s="1232">
        <v>2185</v>
      </c>
      <c r="U56" s="1232">
        <v>1835</v>
      </c>
      <c r="V56" s="1232">
        <v>35</v>
      </c>
      <c r="W56" s="1232"/>
      <c r="X56" s="1232" t="s">
        <v>144</v>
      </c>
      <c r="Y56" s="1232" t="s">
        <v>5377</v>
      </c>
      <c r="Z56" s="1232" t="s">
        <v>9248</v>
      </c>
      <c r="AA56" s="1236" t="s">
        <v>8171</v>
      </c>
      <c r="AB56" s="867" t="s">
        <v>6009</v>
      </c>
      <c r="AC56" s="1237"/>
      <c r="AD56" s="942">
        <f t="shared" si="6"/>
        <v>4336</v>
      </c>
      <c r="AE56" s="942">
        <f t="shared" si="7"/>
        <v>68</v>
      </c>
      <c r="AF56" s="942">
        <f t="shared" si="0"/>
        <v>34</v>
      </c>
      <c r="AG56" s="942">
        <f t="shared" si="8"/>
        <v>4234</v>
      </c>
      <c r="AH56" s="942">
        <f t="shared" si="9"/>
        <v>179</v>
      </c>
      <c r="AI56" s="942">
        <f t="shared" si="10"/>
        <v>4055</v>
      </c>
      <c r="AJ56" s="942">
        <f t="shared" si="11"/>
        <v>4020</v>
      </c>
      <c r="AK56" s="942">
        <f t="shared" si="12"/>
        <v>2185</v>
      </c>
      <c r="AL56" s="942">
        <f t="shared" si="12"/>
        <v>1835</v>
      </c>
      <c r="AM56" s="942">
        <f t="shared" si="12"/>
        <v>35</v>
      </c>
    </row>
    <row r="57" spans="1:39" ht="16.5" customHeight="1">
      <c r="A57" s="1231"/>
      <c r="J57" s="1231" t="s">
        <v>936</v>
      </c>
      <c r="K57" s="867" t="s">
        <v>158</v>
      </c>
      <c r="L57" s="867"/>
      <c r="M57" s="1232">
        <f t="shared" si="2"/>
        <v>830</v>
      </c>
      <c r="N57" s="1232">
        <v>6</v>
      </c>
      <c r="O57" s="1232">
        <v>3</v>
      </c>
      <c r="P57" s="1232">
        <f t="shared" si="3"/>
        <v>821</v>
      </c>
      <c r="Q57" s="1232">
        <v>14</v>
      </c>
      <c r="R57" s="1232">
        <f t="shared" si="4"/>
        <v>807</v>
      </c>
      <c r="S57" s="1232">
        <f t="shared" si="5"/>
        <v>799</v>
      </c>
      <c r="T57" s="1232">
        <v>336</v>
      </c>
      <c r="U57" s="1232">
        <v>463</v>
      </c>
      <c r="V57" s="1232">
        <v>8</v>
      </c>
      <c r="W57" s="1232"/>
      <c r="X57" s="1232" t="s">
        <v>157</v>
      </c>
      <c r="Y57" s="1232" t="s">
        <v>5377</v>
      </c>
      <c r="Z57" s="1232" t="s">
        <v>9248</v>
      </c>
      <c r="AA57" s="1236" t="s">
        <v>936</v>
      </c>
      <c r="AB57" s="867" t="s">
        <v>158</v>
      </c>
      <c r="AC57" s="1237"/>
      <c r="AD57" s="942">
        <f t="shared" si="6"/>
        <v>830</v>
      </c>
      <c r="AE57" s="942">
        <f t="shared" si="7"/>
        <v>6</v>
      </c>
      <c r="AF57" s="942">
        <f t="shared" si="0"/>
        <v>3</v>
      </c>
      <c r="AG57" s="942">
        <f t="shared" si="8"/>
        <v>821</v>
      </c>
      <c r="AH57" s="942">
        <f t="shared" si="9"/>
        <v>14</v>
      </c>
      <c r="AI57" s="942">
        <f t="shared" si="10"/>
        <v>807</v>
      </c>
      <c r="AJ57" s="942">
        <f t="shared" si="11"/>
        <v>799</v>
      </c>
      <c r="AK57" s="942">
        <f t="shared" si="12"/>
        <v>336</v>
      </c>
      <c r="AL57" s="942">
        <f t="shared" si="12"/>
        <v>463</v>
      </c>
      <c r="AM57" s="942">
        <f t="shared" si="12"/>
        <v>8</v>
      </c>
    </row>
    <row r="58" spans="1:39" ht="16.5" customHeight="1">
      <c r="A58" s="1231"/>
      <c r="J58" s="1231" t="s">
        <v>938</v>
      </c>
      <c r="K58" s="867" t="s">
        <v>159</v>
      </c>
      <c r="L58" s="867"/>
      <c r="M58" s="1232">
        <f t="shared" si="2"/>
        <v>106</v>
      </c>
      <c r="N58" s="1232">
        <v>0</v>
      </c>
      <c r="O58" s="1232">
        <v>0</v>
      </c>
      <c r="P58" s="1232">
        <f t="shared" si="3"/>
        <v>106</v>
      </c>
      <c r="Q58" s="1232">
        <v>2</v>
      </c>
      <c r="R58" s="1232">
        <f t="shared" si="4"/>
        <v>104</v>
      </c>
      <c r="S58" s="1232">
        <f t="shared" si="5"/>
        <v>103</v>
      </c>
      <c r="T58" s="1232">
        <v>46</v>
      </c>
      <c r="U58" s="1232">
        <v>57</v>
      </c>
      <c r="V58" s="1232">
        <v>1</v>
      </c>
      <c r="W58" s="1232"/>
      <c r="X58" s="1232" t="s">
        <v>157</v>
      </c>
      <c r="Y58" s="1232" t="s">
        <v>5377</v>
      </c>
      <c r="Z58" s="1232" t="s">
        <v>9248</v>
      </c>
      <c r="AA58" s="1236" t="s">
        <v>938</v>
      </c>
      <c r="AB58" s="867" t="s">
        <v>159</v>
      </c>
      <c r="AC58" s="1237"/>
      <c r="AD58" s="942">
        <f t="shared" si="6"/>
        <v>106</v>
      </c>
      <c r="AE58" s="942">
        <f t="shared" si="7"/>
        <v>0</v>
      </c>
      <c r="AF58" s="942">
        <f t="shared" si="0"/>
        <v>0</v>
      </c>
      <c r="AG58" s="942">
        <f t="shared" si="8"/>
        <v>106</v>
      </c>
      <c r="AH58" s="942">
        <f t="shared" si="9"/>
        <v>2</v>
      </c>
      <c r="AI58" s="942">
        <f t="shared" si="10"/>
        <v>104</v>
      </c>
      <c r="AJ58" s="942">
        <f t="shared" si="11"/>
        <v>103</v>
      </c>
      <c r="AK58" s="942">
        <f t="shared" si="12"/>
        <v>46</v>
      </c>
      <c r="AL58" s="942">
        <f t="shared" si="12"/>
        <v>57</v>
      </c>
      <c r="AM58" s="942">
        <f t="shared" si="12"/>
        <v>1</v>
      </c>
    </row>
    <row r="59" spans="1:39" ht="16.5" customHeight="1">
      <c r="A59" s="1231"/>
      <c r="J59" s="1231" t="s">
        <v>940</v>
      </c>
      <c r="K59" s="867" t="s">
        <v>160</v>
      </c>
      <c r="L59" s="867"/>
      <c r="M59" s="1232">
        <f t="shared" si="2"/>
        <v>12628</v>
      </c>
      <c r="N59" s="1232">
        <v>130</v>
      </c>
      <c r="O59" s="1232">
        <v>48</v>
      </c>
      <c r="P59" s="1232">
        <f t="shared" si="3"/>
        <v>12450</v>
      </c>
      <c r="Q59" s="1232">
        <v>156</v>
      </c>
      <c r="R59" s="1232">
        <f t="shared" si="4"/>
        <v>12294</v>
      </c>
      <c r="S59" s="1232">
        <f t="shared" si="5"/>
        <v>12062</v>
      </c>
      <c r="T59" s="1232">
        <v>5071</v>
      </c>
      <c r="U59" s="1232">
        <v>6991</v>
      </c>
      <c r="V59" s="1232">
        <v>232</v>
      </c>
      <c r="W59" s="1232"/>
      <c r="X59" s="1232" t="s">
        <v>157</v>
      </c>
      <c r="Y59" s="1232" t="s">
        <v>5377</v>
      </c>
      <c r="Z59" s="1232" t="s">
        <v>9248</v>
      </c>
      <c r="AA59" s="1236" t="s">
        <v>940</v>
      </c>
      <c r="AB59" s="867" t="s">
        <v>160</v>
      </c>
      <c r="AC59" s="1237"/>
      <c r="AD59" s="942">
        <f t="shared" si="6"/>
        <v>12628</v>
      </c>
      <c r="AE59" s="942">
        <f t="shared" si="7"/>
        <v>130</v>
      </c>
      <c r="AF59" s="942">
        <f t="shared" si="0"/>
        <v>48</v>
      </c>
      <c r="AG59" s="942">
        <f t="shared" si="8"/>
        <v>12450</v>
      </c>
      <c r="AH59" s="942">
        <f t="shared" si="9"/>
        <v>156</v>
      </c>
      <c r="AI59" s="942">
        <f t="shared" si="10"/>
        <v>12294</v>
      </c>
      <c r="AJ59" s="942">
        <f t="shared" si="11"/>
        <v>12062</v>
      </c>
      <c r="AK59" s="942">
        <f t="shared" si="12"/>
        <v>5071</v>
      </c>
      <c r="AL59" s="942">
        <f t="shared" si="12"/>
        <v>6991</v>
      </c>
      <c r="AM59" s="942">
        <f t="shared" si="12"/>
        <v>232</v>
      </c>
    </row>
    <row r="60" spans="1:39" ht="16.5" customHeight="1">
      <c r="A60" s="1231"/>
      <c r="J60" s="1238" t="s">
        <v>942</v>
      </c>
      <c r="K60" s="940" t="s">
        <v>161</v>
      </c>
      <c r="L60" s="940"/>
      <c r="M60" s="1241">
        <f t="shared" si="2"/>
        <v>8079</v>
      </c>
      <c r="N60" s="1241">
        <f>C38-SUM(N38:N59)</f>
        <v>471</v>
      </c>
      <c r="O60" s="1241">
        <f>D38-SUM(O38:O59)</f>
        <v>173</v>
      </c>
      <c r="P60" s="1241">
        <f t="shared" si="3"/>
        <v>7435</v>
      </c>
      <c r="Q60" s="1241">
        <f>E38-SUM(Q38:Q59)</f>
        <v>346</v>
      </c>
      <c r="R60" s="1241">
        <f t="shared" si="4"/>
        <v>7089</v>
      </c>
      <c r="S60" s="1241">
        <f t="shared" si="5"/>
        <v>6976</v>
      </c>
      <c r="T60" s="1241">
        <f>F38-SUM(T38:T59)</f>
        <v>2934</v>
      </c>
      <c r="U60" s="1241">
        <f>G38-SUM(U38:U59)</f>
        <v>4042</v>
      </c>
      <c r="V60" s="1241">
        <f>H38-SUM(V38:V59)</f>
        <v>113</v>
      </c>
      <c r="W60" s="1232"/>
      <c r="X60" s="1232" t="s">
        <v>157</v>
      </c>
      <c r="Y60" s="1232" t="s">
        <v>5377</v>
      </c>
      <c r="Z60" s="1232" t="s">
        <v>9248</v>
      </c>
      <c r="AA60" s="1242" t="s">
        <v>942</v>
      </c>
      <c r="AB60" s="940" t="s">
        <v>161</v>
      </c>
      <c r="AC60" s="1243"/>
      <c r="AD60" s="943">
        <f t="shared" si="6"/>
        <v>8079</v>
      </c>
      <c r="AE60" s="943">
        <f t="shared" si="7"/>
        <v>471</v>
      </c>
      <c r="AF60" s="943">
        <f t="shared" si="0"/>
        <v>173</v>
      </c>
      <c r="AG60" s="943">
        <f t="shared" si="8"/>
        <v>7435</v>
      </c>
      <c r="AH60" s="943">
        <f t="shared" si="9"/>
        <v>346</v>
      </c>
      <c r="AI60" s="943">
        <f t="shared" si="10"/>
        <v>7089</v>
      </c>
      <c r="AJ60" s="943">
        <f t="shared" si="11"/>
        <v>6976</v>
      </c>
      <c r="AK60" s="943">
        <f t="shared" si="12"/>
        <v>2934</v>
      </c>
      <c r="AL60" s="943">
        <f t="shared" si="12"/>
        <v>4042</v>
      </c>
      <c r="AM60" s="943">
        <f t="shared" si="12"/>
        <v>113</v>
      </c>
    </row>
    <row r="61" spans="1:39" ht="16.5" customHeight="1">
      <c r="A61" s="1239" t="s">
        <v>5379</v>
      </c>
      <c r="B61" s="1234" t="s">
        <v>11615</v>
      </c>
      <c r="C61" s="1240">
        <v>17</v>
      </c>
      <c r="D61" s="1240">
        <v>12</v>
      </c>
      <c r="E61" s="1240">
        <v>256</v>
      </c>
      <c r="F61" s="1240">
        <v>3895</v>
      </c>
      <c r="G61" s="1240">
        <v>1266</v>
      </c>
      <c r="H61" s="1240">
        <v>206</v>
      </c>
      <c r="J61" s="1231" t="s">
        <v>944</v>
      </c>
      <c r="K61" s="867" t="s">
        <v>163</v>
      </c>
      <c r="L61" s="867"/>
      <c r="M61" s="1232">
        <f t="shared" si="2"/>
        <v>1035</v>
      </c>
      <c r="N61" s="1232">
        <v>2</v>
      </c>
      <c r="O61" s="1232">
        <v>1</v>
      </c>
      <c r="P61" s="1232">
        <f t="shared" si="3"/>
        <v>1032</v>
      </c>
      <c r="Q61" s="1232">
        <v>83</v>
      </c>
      <c r="R61" s="1232">
        <f t="shared" si="4"/>
        <v>949</v>
      </c>
      <c r="S61" s="1232">
        <f t="shared" si="5"/>
        <v>933</v>
      </c>
      <c r="T61" s="1232">
        <v>699</v>
      </c>
      <c r="U61" s="1232">
        <v>234</v>
      </c>
      <c r="V61" s="1232">
        <v>16</v>
      </c>
      <c r="W61" s="1232"/>
      <c r="X61" s="1232" t="s">
        <v>162</v>
      </c>
      <c r="Y61" s="1232" t="s">
        <v>5379</v>
      </c>
      <c r="Z61" s="1232" t="s">
        <v>9248</v>
      </c>
      <c r="AA61" s="1236" t="s">
        <v>944</v>
      </c>
      <c r="AB61" s="867" t="s">
        <v>163</v>
      </c>
      <c r="AC61" s="1237"/>
      <c r="AD61" s="942">
        <f t="shared" si="6"/>
        <v>1035</v>
      </c>
      <c r="AE61" s="942">
        <f t="shared" si="7"/>
        <v>2</v>
      </c>
      <c r="AF61" s="942">
        <f t="shared" si="0"/>
        <v>1</v>
      </c>
      <c r="AG61" s="942">
        <f t="shared" si="8"/>
        <v>1032</v>
      </c>
      <c r="AH61" s="942">
        <f t="shared" si="9"/>
        <v>83</v>
      </c>
      <c r="AI61" s="942">
        <f t="shared" si="10"/>
        <v>949</v>
      </c>
      <c r="AJ61" s="942">
        <f t="shared" si="11"/>
        <v>933</v>
      </c>
      <c r="AK61" s="942">
        <f t="shared" si="12"/>
        <v>699</v>
      </c>
      <c r="AL61" s="942">
        <f t="shared" si="12"/>
        <v>234</v>
      </c>
      <c r="AM61" s="942">
        <f t="shared" si="12"/>
        <v>16</v>
      </c>
    </row>
    <row r="62" spans="1:39" ht="16.5" customHeight="1">
      <c r="A62" s="1231"/>
      <c r="J62" s="1231" t="s">
        <v>946</v>
      </c>
      <c r="K62" s="867" t="s">
        <v>11616</v>
      </c>
      <c r="L62" s="867"/>
      <c r="M62" s="1232">
        <f t="shared" si="2"/>
        <v>211</v>
      </c>
      <c r="N62" s="1232">
        <v>0</v>
      </c>
      <c r="O62" s="1232">
        <v>0</v>
      </c>
      <c r="P62" s="1232">
        <f t="shared" si="3"/>
        <v>211</v>
      </c>
      <c r="Q62" s="1232">
        <v>4</v>
      </c>
      <c r="R62" s="1232">
        <f t="shared" si="4"/>
        <v>207</v>
      </c>
      <c r="S62" s="1232">
        <f t="shared" si="5"/>
        <v>206</v>
      </c>
      <c r="T62" s="1232">
        <v>154</v>
      </c>
      <c r="U62" s="1232">
        <v>52</v>
      </c>
      <c r="V62" s="1232">
        <v>1</v>
      </c>
      <c r="W62" s="1232"/>
      <c r="X62" s="1232" t="s">
        <v>162</v>
      </c>
      <c r="Y62" s="1232" t="s">
        <v>5379</v>
      </c>
      <c r="Z62" s="1232" t="s">
        <v>9248</v>
      </c>
      <c r="AA62" s="1236" t="s">
        <v>946</v>
      </c>
      <c r="AB62" s="867" t="s">
        <v>11616</v>
      </c>
      <c r="AC62" s="1237"/>
      <c r="AD62" s="942">
        <f t="shared" si="6"/>
        <v>211</v>
      </c>
      <c r="AE62" s="942">
        <f t="shared" si="7"/>
        <v>0</v>
      </c>
      <c r="AF62" s="942">
        <f t="shared" si="0"/>
        <v>0</v>
      </c>
      <c r="AG62" s="942">
        <f t="shared" si="8"/>
        <v>211</v>
      </c>
      <c r="AH62" s="942">
        <f t="shared" si="9"/>
        <v>4</v>
      </c>
      <c r="AI62" s="942">
        <f t="shared" si="10"/>
        <v>207</v>
      </c>
      <c r="AJ62" s="942">
        <f t="shared" si="11"/>
        <v>206</v>
      </c>
      <c r="AK62" s="942">
        <f t="shared" si="12"/>
        <v>154</v>
      </c>
      <c r="AL62" s="942">
        <f t="shared" si="12"/>
        <v>52</v>
      </c>
      <c r="AM62" s="942">
        <f t="shared" si="12"/>
        <v>1</v>
      </c>
    </row>
    <row r="63" spans="1:39" ht="16.5" customHeight="1">
      <c r="A63" s="1231"/>
      <c r="J63" s="1231" t="s">
        <v>948</v>
      </c>
      <c r="K63" s="867" t="s">
        <v>11617</v>
      </c>
      <c r="L63" s="867"/>
      <c r="M63" s="1232">
        <f t="shared" si="2"/>
        <v>4</v>
      </c>
      <c r="N63" s="1232">
        <v>0</v>
      </c>
      <c r="O63" s="1232">
        <v>0</v>
      </c>
      <c r="P63" s="1232">
        <f t="shared" si="3"/>
        <v>4</v>
      </c>
      <c r="Q63" s="1232">
        <v>0</v>
      </c>
      <c r="R63" s="1232">
        <f t="shared" si="4"/>
        <v>4</v>
      </c>
      <c r="S63" s="1232">
        <f t="shared" si="5"/>
        <v>4</v>
      </c>
      <c r="T63" s="1232">
        <v>3</v>
      </c>
      <c r="U63" s="1232">
        <v>1</v>
      </c>
      <c r="V63" s="1232">
        <v>0</v>
      </c>
      <c r="W63" s="1232"/>
      <c r="X63" s="1232" t="s">
        <v>162</v>
      </c>
      <c r="Y63" s="1232" t="s">
        <v>5379</v>
      </c>
      <c r="Z63" s="1232" t="s">
        <v>9248</v>
      </c>
      <c r="AA63" s="1236" t="s">
        <v>948</v>
      </c>
      <c r="AB63" s="867" t="s">
        <v>11617</v>
      </c>
      <c r="AC63" s="1237"/>
      <c r="AD63" s="942">
        <f t="shared" si="6"/>
        <v>4</v>
      </c>
      <c r="AE63" s="942">
        <f t="shared" si="7"/>
        <v>0</v>
      </c>
      <c r="AF63" s="942">
        <f t="shared" si="0"/>
        <v>0</v>
      </c>
      <c r="AG63" s="942">
        <f t="shared" si="8"/>
        <v>4</v>
      </c>
      <c r="AH63" s="942">
        <f t="shared" si="9"/>
        <v>0</v>
      </c>
      <c r="AI63" s="942">
        <f t="shared" si="10"/>
        <v>4</v>
      </c>
      <c r="AJ63" s="942">
        <f t="shared" si="11"/>
        <v>4</v>
      </c>
      <c r="AK63" s="942">
        <f t="shared" si="12"/>
        <v>3</v>
      </c>
      <c r="AL63" s="942">
        <f t="shared" si="12"/>
        <v>1</v>
      </c>
      <c r="AM63" s="942">
        <f t="shared" si="12"/>
        <v>0</v>
      </c>
    </row>
    <row r="64" spans="1:39" ht="16.5" customHeight="1">
      <c r="A64" s="1231"/>
      <c r="J64" s="1231" t="s">
        <v>950</v>
      </c>
      <c r="K64" s="867" t="s">
        <v>166</v>
      </c>
      <c r="L64" s="867"/>
      <c r="M64" s="1232">
        <f t="shared" si="2"/>
        <v>408</v>
      </c>
      <c r="N64" s="1232">
        <v>0</v>
      </c>
      <c r="O64" s="1232">
        <v>0</v>
      </c>
      <c r="P64" s="1232">
        <f t="shared" si="3"/>
        <v>408</v>
      </c>
      <c r="Q64" s="1232">
        <v>19</v>
      </c>
      <c r="R64" s="1232">
        <f t="shared" si="4"/>
        <v>389</v>
      </c>
      <c r="S64" s="1232">
        <f t="shared" si="5"/>
        <v>385</v>
      </c>
      <c r="T64" s="1232">
        <v>288</v>
      </c>
      <c r="U64" s="1232">
        <v>97</v>
      </c>
      <c r="V64" s="1232">
        <v>4</v>
      </c>
      <c r="W64" s="1232"/>
      <c r="X64" s="1232" t="s">
        <v>162</v>
      </c>
      <c r="Y64" s="1232" t="s">
        <v>5379</v>
      </c>
      <c r="Z64" s="1232" t="s">
        <v>9248</v>
      </c>
      <c r="AA64" s="1236" t="s">
        <v>950</v>
      </c>
      <c r="AB64" s="867" t="s">
        <v>166</v>
      </c>
      <c r="AC64" s="1237"/>
      <c r="AD64" s="942">
        <f t="shared" si="6"/>
        <v>408</v>
      </c>
      <c r="AE64" s="942">
        <f t="shared" si="7"/>
        <v>0</v>
      </c>
      <c r="AF64" s="942">
        <f t="shared" si="0"/>
        <v>0</v>
      </c>
      <c r="AG64" s="942">
        <f t="shared" si="8"/>
        <v>408</v>
      </c>
      <c r="AH64" s="942">
        <f t="shared" si="9"/>
        <v>19</v>
      </c>
      <c r="AI64" s="942">
        <f t="shared" si="10"/>
        <v>389</v>
      </c>
      <c r="AJ64" s="942">
        <f t="shared" si="11"/>
        <v>385</v>
      </c>
      <c r="AK64" s="942">
        <f t="shared" si="12"/>
        <v>288</v>
      </c>
      <c r="AL64" s="942">
        <f t="shared" si="12"/>
        <v>97</v>
      </c>
      <c r="AM64" s="942">
        <f t="shared" si="12"/>
        <v>4</v>
      </c>
    </row>
    <row r="65" spans="1:39" ht="16.5" customHeight="1">
      <c r="A65" s="1231"/>
      <c r="J65" s="1231" t="s">
        <v>952</v>
      </c>
      <c r="K65" s="867" t="s">
        <v>168</v>
      </c>
      <c r="L65" s="867"/>
      <c r="M65" s="1232">
        <f t="shared" si="2"/>
        <v>1399</v>
      </c>
      <c r="N65" s="1232">
        <v>13</v>
      </c>
      <c r="O65" s="1232">
        <v>10</v>
      </c>
      <c r="P65" s="1232">
        <f t="shared" si="3"/>
        <v>1376</v>
      </c>
      <c r="Q65" s="1232">
        <v>99</v>
      </c>
      <c r="R65" s="1232">
        <f t="shared" si="4"/>
        <v>1277</v>
      </c>
      <c r="S65" s="1232">
        <f t="shared" si="5"/>
        <v>1105</v>
      </c>
      <c r="T65" s="1232">
        <v>811</v>
      </c>
      <c r="U65" s="1232">
        <v>294</v>
      </c>
      <c r="V65" s="1232">
        <v>172</v>
      </c>
      <c r="W65" s="1232"/>
      <c r="X65" s="1232" t="s">
        <v>167</v>
      </c>
      <c r="Y65" s="1232" t="s">
        <v>5379</v>
      </c>
      <c r="Z65" s="1232" t="s">
        <v>9248</v>
      </c>
      <c r="AA65" s="1236" t="s">
        <v>952</v>
      </c>
      <c r="AB65" s="867" t="s">
        <v>168</v>
      </c>
      <c r="AC65" s="1237"/>
      <c r="AD65" s="942">
        <f t="shared" si="6"/>
        <v>1399</v>
      </c>
      <c r="AE65" s="942">
        <f t="shared" si="7"/>
        <v>13</v>
      </c>
      <c r="AF65" s="942">
        <f t="shared" si="0"/>
        <v>10</v>
      </c>
      <c r="AG65" s="942">
        <f t="shared" si="8"/>
        <v>1376</v>
      </c>
      <c r="AH65" s="942">
        <f t="shared" si="9"/>
        <v>99</v>
      </c>
      <c r="AI65" s="942">
        <f t="shared" si="10"/>
        <v>1277</v>
      </c>
      <c r="AJ65" s="942">
        <f t="shared" si="11"/>
        <v>1105</v>
      </c>
      <c r="AK65" s="942">
        <f t="shared" si="12"/>
        <v>811</v>
      </c>
      <c r="AL65" s="942">
        <f t="shared" si="12"/>
        <v>294</v>
      </c>
      <c r="AM65" s="942">
        <f t="shared" si="12"/>
        <v>172</v>
      </c>
    </row>
    <row r="66" spans="1:39" ht="16.5" customHeight="1">
      <c r="A66" s="1231"/>
      <c r="J66" s="1231" t="s">
        <v>954</v>
      </c>
      <c r="K66" s="867" t="s">
        <v>169</v>
      </c>
      <c r="L66" s="867"/>
      <c r="M66" s="1232">
        <f t="shared" si="2"/>
        <v>2458</v>
      </c>
      <c r="N66" s="1232">
        <v>1</v>
      </c>
      <c r="O66" s="1232">
        <v>0</v>
      </c>
      <c r="P66" s="1232">
        <f t="shared" si="3"/>
        <v>2457</v>
      </c>
      <c r="Q66" s="1232">
        <v>44</v>
      </c>
      <c r="R66" s="1232">
        <f t="shared" si="4"/>
        <v>2413</v>
      </c>
      <c r="S66" s="1232">
        <f t="shared" si="5"/>
        <v>2402</v>
      </c>
      <c r="T66" s="1232">
        <v>1848</v>
      </c>
      <c r="U66" s="1232">
        <v>554</v>
      </c>
      <c r="V66" s="1232">
        <v>11</v>
      </c>
      <c r="W66" s="1232"/>
      <c r="X66" s="1232" t="s">
        <v>167</v>
      </c>
      <c r="Y66" s="1232" t="s">
        <v>5379</v>
      </c>
      <c r="Z66" s="1232" t="s">
        <v>9248</v>
      </c>
      <c r="AA66" s="1236" t="s">
        <v>954</v>
      </c>
      <c r="AB66" s="867" t="s">
        <v>169</v>
      </c>
      <c r="AC66" s="1237"/>
      <c r="AD66" s="942">
        <f t="shared" si="6"/>
        <v>2458</v>
      </c>
      <c r="AE66" s="942">
        <f t="shared" si="7"/>
        <v>1</v>
      </c>
      <c r="AF66" s="942">
        <f t="shared" si="0"/>
        <v>0</v>
      </c>
      <c r="AG66" s="942">
        <f t="shared" si="8"/>
        <v>2457</v>
      </c>
      <c r="AH66" s="942">
        <f t="shared" si="9"/>
        <v>44</v>
      </c>
      <c r="AI66" s="942">
        <f t="shared" si="10"/>
        <v>2413</v>
      </c>
      <c r="AJ66" s="942">
        <f t="shared" si="11"/>
        <v>2402</v>
      </c>
      <c r="AK66" s="942">
        <f t="shared" si="12"/>
        <v>1848</v>
      </c>
      <c r="AL66" s="942">
        <f t="shared" si="12"/>
        <v>554</v>
      </c>
      <c r="AM66" s="942">
        <f t="shared" si="12"/>
        <v>11</v>
      </c>
    </row>
    <row r="67" spans="1:39" ht="16.5" customHeight="1">
      <c r="A67" s="1231"/>
      <c r="J67" s="1231" t="s">
        <v>956</v>
      </c>
      <c r="K67" s="940" t="s">
        <v>170</v>
      </c>
      <c r="L67" s="940"/>
      <c r="M67" s="1241">
        <f t="shared" si="2"/>
        <v>137</v>
      </c>
      <c r="N67" s="1241">
        <f>C61-SUM(N61:N66)</f>
        <v>1</v>
      </c>
      <c r="O67" s="1241">
        <f>D61-SUM(O61:O66)</f>
        <v>1</v>
      </c>
      <c r="P67" s="1241">
        <f t="shared" si="3"/>
        <v>135</v>
      </c>
      <c r="Q67" s="1241">
        <f>E61-SUM(Q61:Q66)</f>
        <v>7</v>
      </c>
      <c r="R67" s="1241">
        <f t="shared" si="4"/>
        <v>128</v>
      </c>
      <c r="S67" s="1241">
        <f t="shared" si="5"/>
        <v>126</v>
      </c>
      <c r="T67" s="1241">
        <f>F61-SUM(T61:T66)</f>
        <v>92</v>
      </c>
      <c r="U67" s="1241">
        <f>G61-SUM(U61:U66)</f>
        <v>34</v>
      </c>
      <c r="V67" s="1241">
        <f>H61-SUM(V61:V66)</f>
        <v>2</v>
      </c>
      <c r="W67" s="1232"/>
      <c r="X67" s="1232" t="s">
        <v>167</v>
      </c>
      <c r="Y67" s="1232" t="s">
        <v>5379</v>
      </c>
      <c r="Z67" s="1232" t="s">
        <v>9248</v>
      </c>
      <c r="AA67" s="1236" t="s">
        <v>956</v>
      </c>
      <c r="AB67" s="940" t="s">
        <v>170</v>
      </c>
      <c r="AC67" s="1243"/>
      <c r="AD67" s="943">
        <f t="shared" si="6"/>
        <v>137</v>
      </c>
      <c r="AE67" s="943">
        <f t="shared" si="7"/>
        <v>1</v>
      </c>
      <c r="AF67" s="943">
        <f t="shared" si="0"/>
        <v>1</v>
      </c>
      <c r="AG67" s="943">
        <f t="shared" si="8"/>
        <v>135</v>
      </c>
      <c r="AH67" s="943">
        <f t="shared" si="9"/>
        <v>7</v>
      </c>
      <c r="AI67" s="943">
        <f t="shared" si="10"/>
        <v>128</v>
      </c>
      <c r="AJ67" s="943">
        <f t="shared" si="11"/>
        <v>126</v>
      </c>
      <c r="AK67" s="943">
        <f t="shared" si="12"/>
        <v>92</v>
      </c>
      <c r="AL67" s="943">
        <f t="shared" si="12"/>
        <v>34</v>
      </c>
      <c r="AM67" s="943">
        <f t="shared" si="12"/>
        <v>2</v>
      </c>
    </row>
    <row r="68" spans="1:39" ht="16.5" customHeight="1">
      <c r="A68" s="1239" t="s">
        <v>5693</v>
      </c>
      <c r="B68" s="1234" t="s">
        <v>9058</v>
      </c>
      <c r="C68" s="1240">
        <v>5</v>
      </c>
      <c r="D68" s="1240">
        <v>2</v>
      </c>
      <c r="E68" s="1240">
        <v>60</v>
      </c>
      <c r="F68" s="1240">
        <v>725</v>
      </c>
      <c r="G68" s="1240">
        <v>275</v>
      </c>
      <c r="H68" s="1240">
        <v>20</v>
      </c>
      <c r="J68" s="1239" t="s">
        <v>958</v>
      </c>
      <c r="K68" s="1234" t="s">
        <v>172</v>
      </c>
      <c r="L68" s="1234"/>
      <c r="M68" s="1240">
        <f t="shared" si="2"/>
        <v>916</v>
      </c>
      <c r="N68" s="1240">
        <v>3</v>
      </c>
      <c r="O68" s="1232">
        <v>1</v>
      </c>
      <c r="P68" s="1232">
        <f t="shared" si="3"/>
        <v>912</v>
      </c>
      <c r="Q68" s="1232">
        <v>46</v>
      </c>
      <c r="R68" s="1232">
        <f t="shared" si="4"/>
        <v>866</v>
      </c>
      <c r="S68" s="1232">
        <f t="shared" si="5"/>
        <v>854</v>
      </c>
      <c r="T68" s="1232">
        <v>621</v>
      </c>
      <c r="U68" s="1232">
        <v>233</v>
      </c>
      <c r="V68" s="1232">
        <v>12</v>
      </c>
      <c r="W68" s="1232"/>
      <c r="X68" s="1232" t="s">
        <v>171</v>
      </c>
      <c r="Y68" s="1232" t="s">
        <v>5693</v>
      </c>
      <c r="Z68" s="1232" t="s">
        <v>9248</v>
      </c>
      <c r="AA68" s="1233" t="s">
        <v>958</v>
      </c>
      <c r="AB68" s="1234" t="s">
        <v>172</v>
      </c>
      <c r="AC68" s="1235"/>
      <c r="AD68" s="1213">
        <f t="shared" si="6"/>
        <v>916</v>
      </c>
      <c r="AE68" s="1213">
        <f t="shared" si="7"/>
        <v>3</v>
      </c>
      <c r="AF68" s="942">
        <f t="shared" si="0"/>
        <v>1</v>
      </c>
      <c r="AG68" s="942">
        <f t="shared" si="8"/>
        <v>912</v>
      </c>
      <c r="AH68" s="942">
        <f t="shared" si="9"/>
        <v>46</v>
      </c>
      <c r="AI68" s="942">
        <f t="shared" si="10"/>
        <v>866</v>
      </c>
      <c r="AJ68" s="942">
        <f t="shared" si="11"/>
        <v>854</v>
      </c>
      <c r="AK68" s="942">
        <f t="shared" si="12"/>
        <v>621</v>
      </c>
      <c r="AL68" s="942">
        <f t="shared" si="12"/>
        <v>233</v>
      </c>
      <c r="AM68" s="942">
        <f t="shared" si="12"/>
        <v>12</v>
      </c>
    </row>
    <row r="69" spans="1:39" ht="16.5" customHeight="1">
      <c r="A69" s="1231"/>
      <c r="J69" s="1238" t="s">
        <v>960</v>
      </c>
      <c r="K69" s="940" t="s">
        <v>11618</v>
      </c>
      <c r="L69" s="940"/>
      <c r="M69" s="1241">
        <f t="shared" si="2"/>
        <v>171</v>
      </c>
      <c r="N69" s="1241">
        <f>C68-SUM(N68:N68)</f>
        <v>2</v>
      </c>
      <c r="O69" s="1241">
        <f>D68-SUM(O68:O68)</f>
        <v>1</v>
      </c>
      <c r="P69" s="1241">
        <f t="shared" si="3"/>
        <v>168</v>
      </c>
      <c r="Q69" s="1241">
        <f>E68-SUM(Q68:Q68)</f>
        <v>14</v>
      </c>
      <c r="R69" s="1241">
        <f t="shared" si="4"/>
        <v>154</v>
      </c>
      <c r="S69" s="1241">
        <f t="shared" si="5"/>
        <v>146</v>
      </c>
      <c r="T69" s="1241">
        <f>F68-SUM(T68:T68)</f>
        <v>104</v>
      </c>
      <c r="U69" s="1241">
        <f>G68-SUM(U68:U68)</f>
        <v>42</v>
      </c>
      <c r="V69" s="1241">
        <f>H68-SUM(V68:V68)</f>
        <v>8</v>
      </c>
      <c r="W69" s="1232"/>
      <c r="X69" s="1232" t="s">
        <v>171</v>
      </c>
      <c r="Y69" s="1232" t="s">
        <v>5693</v>
      </c>
      <c r="Z69" s="1232" t="s">
        <v>9248</v>
      </c>
      <c r="AA69" s="1242" t="s">
        <v>960</v>
      </c>
      <c r="AB69" s="940" t="s">
        <v>11618</v>
      </c>
      <c r="AC69" s="1243"/>
      <c r="AD69" s="943">
        <f t="shared" si="6"/>
        <v>171</v>
      </c>
      <c r="AE69" s="943">
        <f t="shared" si="7"/>
        <v>2</v>
      </c>
      <c r="AF69" s="943">
        <f t="shared" si="0"/>
        <v>1</v>
      </c>
      <c r="AG69" s="943">
        <f t="shared" si="8"/>
        <v>168</v>
      </c>
      <c r="AH69" s="943">
        <f t="shared" si="9"/>
        <v>14</v>
      </c>
      <c r="AI69" s="943">
        <f t="shared" si="10"/>
        <v>154</v>
      </c>
      <c r="AJ69" s="943">
        <f t="shared" si="11"/>
        <v>146</v>
      </c>
      <c r="AK69" s="943">
        <f t="shared" si="12"/>
        <v>104</v>
      </c>
      <c r="AL69" s="943">
        <f t="shared" si="12"/>
        <v>42</v>
      </c>
      <c r="AM69" s="943">
        <f t="shared" si="12"/>
        <v>8</v>
      </c>
    </row>
    <row r="70" spans="1:39" ht="16.5" customHeight="1">
      <c r="A70" s="1239" t="s">
        <v>5695</v>
      </c>
      <c r="B70" s="1234" t="s">
        <v>175</v>
      </c>
      <c r="C70" s="1240">
        <v>0</v>
      </c>
      <c r="D70" s="1240">
        <v>0</v>
      </c>
      <c r="E70" s="1240">
        <v>0</v>
      </c>
      <c r="F70" s="1240">
        <v>0</v>
      </c>
      <c r="G70" s="1240">
        <v>0</v>
      </c>
      <c r="H70" s="1240">
        <v>0</v>
      </c>
      <c r="J70" s="1231" t="s">
        <v>962</v>
      </c>
      <c r="K70" s="1245" t="s">
        <v>175</v>
      </c>
      <c r="L70" s="1245"/>
      <c r="M70" s="1246">
        <f t="shared" si="2"/>
        <v>0</v>
      </c>
      <c r="N70" s="1241">
        <f>C70</f>
        <v>0</v>
      </c>
      <c r="O70" s="1246">
        <f>D70</f>
        <v>0</v>
      </c>
      <c r="P70" s="1246">
        <f t="shared" si="3"/>
        <v>0</v>
      </c>
      <c r="Q70" s="1246">
        <f>E70</f>
        <v>0</v>
      </c>
      <c r="R70" s="1246">
        <f t="shared" si="4"/>
        <v>0</v>
      </c>
      <c r="S70" s="1246">
        <f t="shared" si="5"/>
        <v>0</v>
      </c>
      <c r="T70" s="1246">
        <f>F70</f>
        <v>0</v>
      </c>
      <c r="U70" s="1246">
        <f t="shared" ref="U70:V70" si="17">G70</f>
        <v>0</v>
      </c>
      <c r="V70" s="1246">
        <f t="shared" si="17"/>
        <v>0</v>
      </c>
      <c r="W70" s="1232"/>
      <c r="X70" s="1232" t="s">
        <v>174</v>
      </c>
      <c r="Y70" s="1232" t="s">
        <v>5695</v>
      </c>
      <c r="Z70" s="1232" t="s">
        <v>9248</v>
      </c>
      <c r="AA70" s="1236" t="s">
        <v>962</v>
      </c>
      <c r="AB70" s="1245" t="s">
        <v>175</v>
      </c>
      <c r="AC70" s="1248"/>
      <c r="AD70" s="1215">
        <f t="shared" si="6"/>
        <v>0</v>
      </c>
      <c r="AE70" s="943">
        <f t="shared" si="7"/>
        <v>0</v>
      </c>
      <c r="AF70" s="1215">
        <f t="shared" si="0"/>
        <v>0</v>
      </c>
      <c r="AG70" s="1215">
        <f t="shared" si="8"/>
        <v>0</v>
      </c>
      <c r="AH70" s="1215">
        <f t="shared" si="9"/>
        <v>0</v>
      </c>
      <c r="AI70" s="1215">
        <f t="shared" si="10"/>
        <v>0</v>
      </c>
      <c r="AJ70" s="1215">
        <f t="shared" si="11"/>
        <v>0</v>
      </c>
      <c r="AK70" s="1215">
        <f t="shared" si="12"/>
        <v>0</v>
      </c>
      <c r="AL70" s="1215">
        <f t="shared" si="12"/>
        <v>0</v>
      </c>
      <c r="AM70" s="1215">
        <f t="shared" si="12"/>
        <v>0</v>
      </c>
    </row>
    <row r="71" spans="1:39" ht="16.5" customHeight="1">
      <c r="A71" s="1239" t="s">
        <v>9128</v>
      </c>
      <c r="B71" s="1234" t="s">
        <v>9059</v>
      </c>
      <c r="C71" s="1240">
        <v>687</v>
      </c>
      <c r="D71" s="1240">
        <v>282</v>
      </c>
      <c r="E71" s="1240">
        <v>318</v>
      </c>
      <c r="F71" s="1240">
        <v>1385</v>
      </c>
      <c r="G71" s="1240">
        <v>831</v>
      </c>
      <c r="H71" s="1240">
        <v>40</v>
      </c>
      <c r="J71" s="1239" t="s">
        <v>964</v>
      </c>
      <c r="K71" s="867" t="s">
        <v>6076</v>
      </c>
      <c r="L71" s="867"/>
      <c r="M71" s="1232">
        <f t="shared" si="2"/>
        <v>1023</v>
      </c>
      <c r="N71" s="1232">
        <v>255</v>
      </c>
      <c r="O71" s="1232">
        <v>108</v>
      </c>
      <c r="P71" s="1232">
        <f t="shared" si="3"/>
        <v>660</v>
      </c>
      <c r="Q71" s="1232">
        <v>90</v>
      </c>
      <c r="R71" s="1232">
        <f t="shared" si="4"/>
        <v>570</v>
      </c>
      <c r="S71" s="1232">
        <f t="shared" si="5"/>
        <v>560</v>
      </c>
      <c r="T71" s="1232">
        <v>391</v>
      </c>
      <c r="U71" s="1232">
        <v>169</v>
      </c>
      <c r="V71" s="1232">
        <v>10</v>
      </c>
      <c r="W71" s="1232"/>
      <c r="X71" s="1232" t="s">
        <v>176</v>
      </c>
      <c r="Y71" s="1232" t="s">
        <v>9128</v>
      </c>
      <c r="Z71" s="1232" t="s">
        <v>9252</v>
      </c>
      <c r="AA71" s="1233" t="s">
        <v>964</v>
      </c>
      <c r="AB71" s="867" t="s">
        <v>6076</v>
      </c>
      <c r="AC71" s="1237"/>
      <c r="AD71" s="942">
        <f t="shared" si="6"/>
        <v>1019</v>
      </c>
      <c r="AE71" s="1214">
        <f>N71-2</f>
        <v>253</v>
      </c>
      <c r="AF71" s="1214">
        <f>O71-1</f>
        <v>107</v>
      </c>
      <c r="AG71" s="942">
        <f t="shared" si="8"/>
        <v>659</v>
      </c>
      <c r="AH71" s="942">
        <f t="shared" si="9"/>
        <v>90</v>
      </c>
      <c r="AI71" s="942">
        <f t="shared" si="10"/>
        <v>569</v>
      </c>
      <c r="AJ71" s="942">
        <f t="shared" si="11"/>
        <v>559</v>
      </c>
      <c r="AK71" s="1214">
        <f>T71-1</f>
        <v>390</v>
      </c>
      <c r="AL71" s="942">
        <f t="shared" si="12"/>
        <v>169</v>
      </c>
      <c r="AM71" s="942">
        <f t="shared" si="12"/>
        <v>10</v>
      </c>
    </row>
    <row r="72" spans="1:39" ht="16.5" customHeight="1">
      <c r="A72" s="1231"/>
      <c r="J72" s="1231" t="s">
        <v>966</v>
      </c>
      <c r="K72" s="867" t="s">
        <v>11619</v>
      </c>
      <c r="L72" s="867"/>
      <c r="M72" s="1232">
        <f t="shared" si="2"/>
        <v>324</v>
      </c>
      <c r="N72" s="1232">
        <v>90</v>
      </c>
      <c r="O72" s="1232">
        <v>37</v>
      </c>
      <c r="P72" s="1232">
        <f t="shared" si="3"/>
        <v>197</v>
      </c>
      <c r="Q72" s="1232">
        <v>31</v>
      </c>
      <c r="R72" s="1232">
        <f t="shared" si="4"/>
        <v>166</v>
      </c>
      <c r="S72" s="1232">
        <f t="shared" si="5"/>
        <v>162</v>
      </c>
      <c r="T72" s="1232">
        <v>98</v>
      </c>
      <c r="U72" s="1232">
        <v>64</v>
      </c>
      <c r="V72" s="1232">
        <v>4</v>
      </c>
      <c r="W72" s="1232"/>
      <c r="X72" s="1232" t="s">
        <v>179</v>
      </c>
      <c r="Y72" s="1232" t="s">
        <v>9128</v>
      </c>
      <c r="Z72" s="1232" t="s">
        <v>9252</v>
      </c>
      <c r="AA72" s="1236" t="s">
        <v>966</v>
      </c>
      <c r="AB72" s="867" t="s">
        <v>11619</v>
      </c>
      <c r="AC72" s="1237"/>
      <c r="AD72" s="942">
        <f t="shared" si="6"/>
        <v>324</v>
      </c>
      <c r="AE72" s="942">
        <f t="shared" si="7"/>
        <v>90</v>
      </c>
      <c r="AF72" s="942">
        <f t="shared" si="7"/>
        <v>37</v>
      </c>
      <c r="AG72" s="942">
        <f t="shared" si="8"/>
        <v>197</v>
      </c>
      <c r="AH72" s="942">
        <f t="shared" si="9"/>
        <v>31</v>
      </c>
      <c r="AI72" s="942">
        <f t="shared" si="10"/>
        <v>166</v>
      </c>
      <c r="AJ72" s="942">
        <f t="shared" si="11"/>
        <v>162</v>
      </c>
      <c r="AK72" s="942">
        <f t="shared" si="12"/>
        <v>98</v>
      </c>
      <c r="AL72" s="942">
        <f t="shared" si="12"/>
        <v>64</v>
      </c>
      <c r="AM72" s="942">
        <f t="shared" si="12"/>
        <v>4</v>
      </c>
    </row>
    <row r="73" spans="1:39" ht="16.5" customHeight="1">
      <c r="A73" s="1231"/>
      <c r="J73" s="1231" t="s">
        <v>968</v>
      </c>
      <c r="K73" s="867" t="s">
        <v>11620</v>
      </c>
      <c r="L73" s="867"/>
      <c r="M73" s="1232">
        <f t="shared" ref="M73:M136" si="18">N73+O73+P73</f>
        <v>0</v>
      </c>
      <c r="N73" s="1232">
        <v>0</v>
      </c>
      <c r="O73" s="1232">
        <v>0</v>
      </c>
      <c r="P73" s="1232">
        <f t="shared" ref="P73:P136" si="19">Q73+R73</f>
        <v>0</v>
      </c>
      <c r="Q73" s="1232">
        <v>0</v>
      </c>
      <c r="R73" s="1232">
        <f t="shared" ref="R73:R136" si="20">S73+V73</f>
        <v>0</v>
      </c>
      <c r="S73" s="1232">
        <f t="shared" ref="S73:S136" si="21">T73+U73</f>
        <v>0</v>
      </c>
      <c r="T73" s="1232">
        <v>0</v>
      </c>
      <c r="U73" s="1232">
        <v>0</v>
      </c>
      <c r="V73" s="1232">
        <v>0</v>
      </c>
      <c r="W73" s="1232"/>
      <c r="X73" s="1232" t="s">
        <v>179</v>
      </c>
      <c r="Y73" s="1232" t="s">
        <v>9128</v>
      </c>
      <c r="Z73" s="1232" t="s">
        <v>9252</v>
      </c>
      <c r="AA73" s="1236" t="s">
        <v>968</v>
      </c>
      <c r="AB73" s="867" t="s">
        <v>11620</v>
      </c>
      <c r="AC73" s="1237"/>
      <c r="AD73" s="942">
        <f t="shared" ref="AD73:AD136" si="22">AE73+AF73+AG73</f>
        <v>5</v>
      </c>
      <c r="AE73" s="1214">
        <f>N73+2</f>
        <v>2</v>
      </c>
      <c r="AF73" s="1214">
        <f>O73+1</f>
        <v>1</v>
      </c>
      <c r="AG73" s="942">
        <f t="shared" ref="AG73:AG136" si="23">AH73+AI73</f>
        <v>2</v>
      </c>
      <c r="AH73" s="942">
        <f t="shared" ref="AH73:AH136" si="24">Q73</f>
        <v>0</v>
      </c>
      <c r="AI73" s="942">
        <f t="shared" ref="AI73:AI136" si="25">AJ73+AM73</f>
        <v>2</v>
      </c>
      <c r="AJ73" s="942">
        <f t="shared" ref="AJ73:AJ136" si="26">AK73+AL73</f>
        <v>2</v>
      </c>
      <c r="AK73" s="1214">
        <f>T73+1</f>
        <v>1</v>
      </c>
      <c r="AL73" s="1214">
        <f>U73+1</f>
        <v>1</v>
      </c>
      <c r="AM73" s="942">
        <f t="shared" ref="AM73:AM136" si="27">V73</f>
        <v>0</v>
      </c>
    </row>
    <row r="74" spans="1:39" ht="16.5" customHeight="1">
      <c r="A74" s="1231"/>
      <c r="J74" s="1231" t="s">
        <v>970</v>
      </c>
      <c r="K74" s="867" t="s">
        <v>11621</v>
      </c>
      <c r="L74" s="867"/>
      <c r="M74" s="1232">
        <f t="shared" si="18"/>
        <v>687</v>
      </c>
      <c r="N74" s="1232">
        <v>186</v>
      </c>
      <c r="O74" s="1232">
        <v>60</v>
      </c>
      <c r="P74" s="1232">
        <f t="shared" si="19"/>
        <v>441</v>
      </c>
      <c r="Q74" s="1232">
        <v>74</v>
      </c>
      <c r="R74" s="1232">
        <f t="shared" si="20"/>
        <v>367</v>
      </c>
      <c r="S74" s="1232">
        <f t="shared" si="21"/>
        <v>360</v>
      </c>
      <c r="T74" s="1232">
        <v>218</v>
      </c>
      <c r="U74" s="1232">
        <v>142</v>
      </c>
      <c r="V74" s="1232">
        <v>7</v>
      </c>
      <c r="W74" s="1232"/>
      <c r="X74" s="1232" t="s">
        <v>179</v>
      </c>
      <c r="Y74" s="1232" t="s">
        <v>9128</v>
      </c>
      <c r="Z74" s="1232" t="s">
        <v>9252</v>
      </c>
      <c r="AA74" s="1236" t="s">
        <v>970</v>
      </c>
      <c r="AB74" s="867" t="s">
        <v>11621</v>
      </c>
      <c r="AC74" s="1237"/>
      <c r="AD74" s="942">
        <f t="shared" si="22"/>
        <v>687</v>
      </c>
      <c r="AE74" s="942">
        <f t="shared" ref="AE74:AF136" si="28">N74</f>
        <v>186</v>
      </c>
      <c r="AF74" s="942">
        <f t="shared" si="28"/>
        <v>60</v>
      </c>
      <c r="AG74" s="942">
        <f t="shared" si="23"/>
        <v>441</v>
      </c>
      <c r="AH74" s="942">
        <f t="shared" si="24"/>
        <v>74</v>
      </c>
      <c r="AI74" s="942">
        <f t="shared" si="25"/>
        <v>367</v>
      </c>
      <c r="AJ74" s="942">
        <f t="shared" si="26"/>
        <v>360</v>
      </c>
      <c r="AK74" s="942">
        <f t="shared" ref="AK74:AL136" si="29">T74</f>
        <v>218</v>
      </c>
      <c r="AL74" s="942">
        <f t="shared" si="29"/>
        <v>142</v>
      </c>
      <c r="AM74" s="942">
        <f t="shared" si="27"/>
        <v>7</v>
      </c>
    </row>
    <row r="75" spans="1:39" ht="16.5" customHeight="1">
      <c r="A75" s="1231"/>
      <c r="J75" s="1231" t="s">
        <v>972</v>
      </c>
      <c r="K75" s="867" t="s">
        <v>184</v>
      </c>
      <c r="L75" s="867"/>
      <c r="M75" s="1232">
        <f t="shared" si="18"/>
        <v>64</v>
      </c>
      <c r="N75" s="1232">
        <v>6</v>
      </c>
      <c r="O75" s="1232">
        <v>3</v>
      </c>
      <c r="P75" s="1232">
        <f t="shared" si="19"/>
        <v>55</v>
      </c>
      <c r="Q75" s="1232">
        <v>7</v>
      </c>
      <c r="R75" s="1232">
        <f t="shared" si="20"/>
        <v>48</v>
      </c>
      <c r="S75" s="1232">
        <f t="shared" si="21"/>
        <v>47</v>
      </c>
      <c r="T75" s="1232">
        <v>28</v>
      </c>
      <c r="U75" s="1232">
        <v>19</v>
      </c>
      <c r="V75" s="1232">
        <v>1</v>
      </c>
      <c r="W75" s="1232"/>
      <c r="X75" s="1232" t="s">
        <v>183</v>
      </c>
      <c r="Y75" s="1232" t="s">
        <v>9128</v>
      </c>
      <c r="Z75" s="1232" t="s">
        <v>9252</v>
      </c>
      <c r="AA75" s="1236" t="s">
        <v>972</v>
      </c>
      <c r="AB75" s="867" t="s">
        <v>184</v>
      </c>
      <c r="AC75" s="1237"/>
      <c r="AD75" s="942">
        <f t="shared" si="22"/>
        <v>64</v>
      </c>
      <c r="AE75" s="942">
        <f t="shared" si="28"/>
        <v>6</v>
      </c>
      <c r="AF75" s="942">
        <f t="shared" si="28"/>
        <v>3</v>
      </c>
      <c r="AG75" s="942">
        <f t="shared" si="23"/>
        <v>55</v>
      </c>
      <c r="AH75" s="942">
        <f t="shared" si="24"/>
        <v>7</v>
      </c>
      <c r="AI75" s="942">
        <f t="shared" si="25"/>
        <v>48</v>
      </c>
      <c r="AJ75" s="942">
        <f t="shared" si="26"/>
        <v>47</v>
      </c>
      <c r="AK75" s="942">
        <f t="shared" si="29"/>
        <v>28</v>
      </c>
      <c r="AL75" s="942">
        <f t="shared" si="29"/>
        <v>19</v>
      </c>
      <c r="AM75" s="942">
        <f t="shared" si="27"/>
        <v>1</v>
      </c>
    </row>
    <row r="76" spans="1:39" ht="16.5" customHeight="1">
      <c r="A76" s="1231"/>
      <c r="J76" s="1231" t="s">
        <v>974</v>
      </c>
      <c r="K76" s="867" t="s">
        <v>186</v>
      </c>
      <c r="L76" s="867"/>
      <c r="M76" s="1232">
        <f t="shared" si="18"/>
        <v>645</v>
      </c>
      <c r="N76" s="1232">
        <v>80</v>
      </c>
      <c r="O76" s="1232">
        <v>35</v>
      </c>
      <c r="P76" s="1232">
        <f t="shared" si="19"/>
        <v>530</v>
      </c>
      <c r="Q76" s="1232">
        <v>59</v>
      </c>
      <c r="R76" s="1232">
        <f t="shared" si="20"/>
        <v>471</v>
      </c>
      <c r="S76" s="1232">
        <f t="shared" si="21"/>
        <v>465</v>
      </c>
      <c r="T76" s="1232">
        <v>279</v>
      </c>
      <c r="U76" s="1232">
        <v>186</v>
      </c>
      <c r="V76" s="1232">
        <v>6</v>
      </c>
      <c r="W76" s="1232"/>
      <c r="X76" s="1232" t="s">
        <v>185</v>
      </c>
      <c r="Y76" s="1232" t="s">
        <v>9128</v>
      </c>
      <c r="Z76" s="1232" t="s">
        <v>9252</v>
      </c>
      <c r="AA76" s="1236" t="s">
        <v>974</v>
      </c>
      <c r="AB76" s="867" t="s">
        <v>186</v>
      </c>
      <c r="AC76" s="1237"/>
      <c r="AD76" s="942">
        <f t="shared" si="22"/>
        <v>645</v>
      </c>
      <c r="AE76" s="942">
        <f t="shared" si="28"/>
        <v>80</v>
      </c>
      <c r="AF76" s="942">
        <f t="shared" si="28"/>
        <v>35</v>
      </c>
      <c r="AG76" s="942">
        <f t="shared" si="23"/>
        <v>530</v>
      </c>
      <c r="AH76" s="942">
        <f t="shared" si="24"/>
        <v>59</v>
      </c>
      <c r="AI76" s="942">
        <f t="shared" si="25"/>
        <v>471</v>
      </c>
      <c r="AJ76" s="942">
        <f t="shared" si="26"/>
        <v>465</v>
      </c>
      <c r="AK76" s="942">
        <f t="shared" si="29"/>
        <v>279</v>
      </c>
      <c r="AL76" s="942">
        <f t="shared" si="29"/>
        <v>186</v>
      </c>
      <c r="AM76" s="942">
        <f t="shared" si="27"/>
        <v>6</v>
      </c>
    </row>
    <row r="77" spans="1:39" ht="16.5" customHeight="1">
      <c r="A77" s="1231"/>
      <c r="J77" s="1238" t="s">
        <v>976</v>
      </c>
      <c r="K77" s="940" t="s">
        <v>9510</v>
      </c>
      <c r="L77" s="940"/>
      <c r="M77" s="1241">
        <f t="shared" si="18"/>
        <v>800</v>
      </c>
      <c r="N77" s="1241">
        <f>C71-SUM(N71:N76)</f>
        <v>70</v>
      </c>
      <c r="O77" s="1241">
        <f>D71-SUM(O71:O76)</f>
        <v>39</v>
      </c>
      <c r="P77" s="1241">
        <f t="shared" si="19"/>
        <v>691</v>
      </c>
      <c r="Q77" s="1241">
        <f>E71-SUM(Q71:Q76)</f>
        <v>57</v>
      </c>
      <c r="R77" s="1241">
        <f t="shared" si="20"/>
        <v>634</v>
      </c>
      <c r="S77" s="1241">
        <f t="shared" si="21"/>
        <v>622</v>
      </c>
      <c r="T77" s="1241">
        <f>F71-SUM(T71:T76)</f>
        <v>371</v>
      </c>
      <c r="U77" s="1241">
        <f>G71-SUM(U71:U76)</f>
        <v>251</v>
      </c>
      <c r="V77" s="1241">
        <f>H71-SUM(V71:V76)</f>
        <v>12</v>
      </c>
      <c r="W77" s="1232"/>
      <c r="X77" s="1232" t="s">
        <v>187</v>
      </c>
      <c r="Y77" s="1232" t="s">
        <v>9128</v>
      </c>
      <c r="Z77" s="1232" t="s">
        <v>9252</v>
      </c>
      <c r="AA77" s="1242" t="s">
        <v>976</v>
      </c>
      <c r="AB77" s="940" t="s">
        <v>9510</v>
      </c>
      <c r="AC77" s="1243"/>
      <c r="AD77" s="943">
        <f t="shared" si="22"/>
        <v>799</v>
      </c>
      <c r="AE77" s="943">
        <f t="shared" si="28"/>
        <v>70</v>
      </c>
      <c r="AF77" s="943">
        <f t="shared" si="28"/>
        <v>39</v>
      </c>
      <c r="AG77" s="943">
        <f t="shared" si="23"/>
        <v>690</v>
      </c>
      <c r="AH77" s="943">
        <f t="shared" si="24"/>
        <v>57</v>
      </c>
      <c r="AI77" s="943">
        <f t="shared" si="25"/>
        <v>633</v>
      </c>
      <c r="AJ77" s="943">
        <f t="shared" si="26"/>
        <v>621</v>
      </c>
      <c r="AK77" s="943">
        <f t="shared" si="29"/>
        <v>371</v>
      </c>
      <c r="AL77" s="1216">
        <f>U77-1</f>
        <v>250</v>
      </c>
      <c r="AM77" s="943">
        <f t="shared" si="27"/>
        <v>12</v>
      </c>
    </row>
    <row r="78" spans="1:39" ht="16.5" customHeight="1">
      <c r="A78" s="1239" t="s">
        <v>9129</v>
      </c>
      <c r="B78" s="1234" t="s">
        <v>11622</v>
      </c>
      <c r="C78" s="1240">
        <v>1257</v>
      </c>
      <c r="D78" s="1240">
        <v>412</v>
      </c>
      <c r="E78" s="1240">
        <v>554</v>
      </c>
      <c r="F78" s="1240">
        <v>2717</v>
      </c>
      <c r="G78" s="1240">
        <v>2008</v>
      </c>
      <c r="H78" s="1240">
        <v>90</v>
      </c>
      <c r="J78" s="1231" t="s">
        <v>978</v>
      </c>
      <c r="K78" s="867" t="s">
        <v>191</v>
      </c>
      <c r="L78" s="867"/>
      <c r="M78" s="1232">
        <f t="shared" si="18"/>
        <v>1439</v>
      </c>
      <c r="N78" s="1232">
        <v>249</v>
      </c>
      <c r="O78" s="1232">
        <v>82</v>
      </c>
      <c r="P78" s="1232">
        <f t="shared" si="19"/>
        <v>1108</v>
      </c>
      <c r="Q78" s="1232">
        <v>97</v>
      </c>
      <c r="R78" s="1232">
        <f t="shared" si="20"/>
        <v>1011</v>
      </c>
      <c r="S78" s="1232">
        <f t="shared" si="21"/>
        <v>995</v>
      </c>
      <c r="T78" s="1232">
        <v>568</v>
      </c>
      <c r="U78" s="1232">
        <v>427</v>
      </c>
      <c r="V78" s="1232">
        <v>16</v>
      </c>
      <c r="W78" s="1232"/>
      <c r="X78" s="1232" t="s">
        <v>190</v>
      </c>
      <c r="Y78" s="1232" t="s">
        <v>9129</v>
      </c>
      <c r="Z78" s="1232" t="s">
        <v>9252</v>
      </c>
      <c r="AA78" s="1236" t="s">
        <v>978</v>
      </c>
      <c r="AB78" s="867" t="s">
        <v>191</v>
      </c>
      <c r="AC78" s="1237"/>
      <c r="AD78" s="942">
        <f t="shared" si="22"/>
        <v>1439</v>
      </c>
      <c r="AE78" s="942">
        <f t="shared" si="28"/>
        <v>249</v>
      </c>
      <c r="AF78" s="942">
        <f t="shared" si="28"/>
        <v>82</v>
      </c>
      <c r="AG78" s="942">
        <f t="shared" si="23"/>
        <v>1108</v>
      </c>
      <c r="AH78" s="942">
        <f t="shared" si="24"/>
        <v>97</v>
      </c>
      <c r="AI78" s="942">
        <f t="shared" si="25"/>
        <v>1011</v>
      </c>
      <c r="AJ78" s="942">
        <f t="shared" si="26"/>
        <v>995</v>
      </c>
      <c r="AK78" s="942">
        <f t="shared" si="29"/>
        <v>568</v>
      </c>
      <c r="AL78" s="942">
        <f t="shared" si="29"/>
        <v>427</v>
      </c>
      <c r="AM78" s="942">
        <f t="shared" si="27"/>
        <v>16</v>
      </c>
    </row>
    <row r="79" spans="1:39" ht="16.5" customHeight="1">
      <c r="A79" s="1231"/>
      <c r="J79" s="1231" t="s">
        <v>980</v>
      </c>
      <c r="K79" s="867" t="s">
        <v>192</v>
      </c>
      <c r="L79" s="867"/>
      <c r="M79" s="1232">
        <f t="shared" si="18"/>
        <v>1496</v>
      </c>
      <c r="N79" s="1232">
        <v>210</v>
      </c>
      <c r="O79" s="1232">
        <v>70</v>
      </c>
      <c r="P79" s="1232">
        <f t="shared" si="19"/>
        <v>1216</v>
      </c>
      <c r="Q79" s="1232">
        <v>109</v>
      </c>
      <c r="R79" s="1232">
        <f t="shared" si="20"/>
        <v>1107</v>
      </c>
      <c r="S79" s="1232">
        <f t="shared" si="21"/>
        <v>1084</v>
      </c>
      <c r="T79" s="1232">
        <v>619</v>
      </c>
      <c r="U79" s="1232">
        <v>465</v>
      </c>
      <c r="V79" s="1232">
        <v>23</v>
      </c>
      <c r="W79" s="1232"/>
      <c r="X79" s="1232" t="s">
        <v>190</v>
      </c>
      <c r="Y79" s="1232" t="s">
        <v>9129</v>
      </c>
      <c r="Z79" s="1232" t="s">
        <v>9252</v>
      </c>
      <c r="AA79" s="1236" t="s">
        <v>980</v>
      </c>
      <c r="AB79" s="867" t="s">
        <v>192</v>
      </c>
      <c r="AC79" s="1237"/>
      <c r="AD79" s="942">
        <f t="shared" si="22"/>
        <v>1496</v>
      </c>
      <c r="AE79" s="942">
        <f t="shared" si="28"/>
        <v>210</v>
      </c>
      <c r="AF79" s="942">
        <f t="shared" si="28"/>
        <v>70</v>
      </c>
      <c r="AG79" s="942">
        <f t="shared" si="23"/>
        <v>1216</v>
      </c>
      <c r="AH79" s="942">
        <f t="shared" si="24"/>
        <v>109</v>
      </c>
      <c r="AI79" s="942">
        <f t="shared" si="25"/>
        <v>1107</v>
      </c>
      <c r="AJ79" s="942">
        <f t="shared" si="26"/>
        <v>1084</v>
      </c>
      <c r="AK79" s="942">
        <f t="shared" si="29"/>
        <v>619</v>
      </c>
      <c r="AL79" s="942">
        <f t="shared" si="29"/>
        <v>465</v>
      </c>
      <c r="AM79" s="942">
        <f t="shared" si="27"/>
        <v>23</v>
      </c>
    </row>
    <row r="80" spans="1:39" ht="16.5" customHeight="1">
      <c r="A80" s="1231"/>
      <c r="J80" s="1231" t="s">
        <v>982</v>
      </c>
      <c r="K80" s="867" t="s">
        <v>194</v>
      </c>
      <c r="L80" s="867"/>
      <c r="M80" s="1232">
        <f t="shared" si="18"/>
        <v>1761</v>
      </c>
      <c r="N80" s="1232">
        <v>369</v>
      </c>
      <c r="O80" s="1232">
        <v>129</v>
      </c>
      <c r="P80" s="1232">
        <f t="shared" si="19"/>
        <v>1263</v>
      </c>
      <c r="Q80" s="1232">
        <v>153</v>
      </c>
      <c r="R80" s="1232">
        <f t="shared" si="20"/>
        <v>1110</v>
      </c>
      <c r="S80" s="1232">
        <f t="shared" si="21"/>
        <v>1089</v>
      </c>
      <c r="T80" s="1232">
        <v>622</v>
      </c>
      <c r="U80" s="1232">
        <v>467</v>
      </c>
      <c r="V80" s="1232">
        <v>21</v>
      </c>
      <c r="W80" s="1232"/>
      <c r="X80" s="1232" t="s">
        <v>193</v>
      </c>
      <c r="Y80" s="1232" t="s">
        <v>9129</v>
      </c>
      <c r="Z80" s="1232" t="s">
        <v>9252</v>
      </c>
      <c r="AA80" s="1236" t="s">
        <v>982</v>
      </c>
      <c r="AB80" s="867" t="s">
        <v>194</v>
      </c>
      <c r="AC80" s="1237"/>
      <c r="AD80" s="942">
        <f t="shared" si="22"/>
        <v>1761</v>
      </c>
      <c r="AE80" s="942">
        <f t="shared" si="28"/>
        <v>369</v>
      </c>
      <c r="AF80" s="942">
        <f t="shared" si="28"/>
        <v>129</v>
      </c>
      <c r="AG80" s="942">
        <f t="shared" si="23"/>
        <v>1263</v>
      </c>
      <c r="AH80" s="942">
        <f t="shared" si="24"/>
        <v>153</v>
      </c>
      <c r="AI80" s="942">
        <f t="shared" si="25"/>
        <v>1110</v>
      </c>
      <c r="AJ80" s="942">
        <f t="shared" si="26"/>
        <v>1089</v>
      </c>
      <c r="AK80" s="942">
        <f t="shared" si="29"/>
        <v>622</v>
      </c>
      <c r="AL80" s="942">
        <f t="shared" si="29"/>
        <v>467</v>
      </c>
      <c r="AM80" s="942">
        <f t="shared" si="27"/>
        <v>21</v>
      </c>
    </row>
    <row r="81" spans="1:39" ht="16.5" customHeight="1">
      <c r="A81" s="1231"/>
      <c r="J81" s="1231" t="s">
        <v>984</v>
      </c>
      <c r="K81" s="867" t="s">
        <v>196</v>
      </c>
      <c r="L81" s="867"/>
      <c r="M81" s="1232">
        <f t="shared" si="18"/>
        <v>491</v>
      </c>
      <c r="N81" s="1232">
        <v>102</v>
      </c>
      <c r="O81" s="1232">
        <v>29</v>
      </c>
      <c r="P81" s="1232">
        <f t="shared" si="19"/>
        <v>360</v>
      </c>
      <c r="Q81" s="1232">
        <v>48</v>
      </c>
      <c r="R81" s="1232">
        <f t="shared" si="20"/>
        <v>312</v>
      </c>
      <c r="S81" s="1232">
        <f t="shared" si="21"/>
        <v>305</v>
      </c>
      <c r="T81" s="1232">
        <v>177</v>
      </c>
      <c r="U81" s="1232">
        <v>128</v>
      </c>
      <c r="V81" s="1232">
        <v>7</v>
      </c>
      <c r="W81" s="1232"/>
      <c r="X81" s="1232" t="s">
        <v>195</v>
      </c>
      <c r="Y81" s="1232" t="s">
        <v>9129</v>
      </c>
      <c r="Z81" s="1232" t="s">
        <v>9252</v>
      </c>
      <c r="AA81" s="1236" t="s">
        <v>984</v>
      </c>
      <c r="AB81" s="867" t="s">
        <v>196</v>
      </c>
      <c r="AC81" s="1237"/>
      <c r="AD81" s="942">
        <f t="shared" si="22"/>
        <v>491</v>
      </c>
      <c r="AE81" s="942">
        <f t="shared" si="28"/>
        <v>102</v>
      </c>
      <c r="AF81" s="942">
        <f t="shared" si="28"/>
        <v>29</v>
      </c>
      <c r="AG81" s="942">
        <f t="shared" si="23"/>
        <v>360</v>
      </c>
      <c r="AH81" s="942">
        <f t="shared" si="24"/>
        <v>48</v>
      </c>
      <c r="AI81" s="942">
        <f t="shared" si="25"/>
        <v>312</v>
      </c>
      <c r="AJ81" s="942">
        <f t="shared" si="26"/>
        <v>305</v>
      </c>
      <c r="AK81" s="942">
        <f t="shared" si="29"/>
        <v>177</v>
      </c>
      <c r="AL81" s="942">
        <f t="shared" si="29"/>
        <v>128</v>
      </c>
      <c r="AM81" s="942">
        <f t="shared" si="27"/>
        <v>7</v>
      </c>
    </row>
    <row r="82" spans="1:39" ht="16.5" customHeight="1">
      <c r="A82" s="1231"/>
      <c r="J82" s="1231" t="s">
        <v>986</v>
      </c>
      <c r="K82" s="867" t="s">
        <v>198</v>
      </c>
      <c r="L82" s="867"/>
      <c r="M82" s="1232">
        <f t="shared" si="18"/>
        <v>512</v>
      </c>
      <c r="N82" s="1232">
        <v>67</v>
      </c>
      <c r="O82" s="1232">
        <v>23</v>
      </c>
      <c r="P82" s="1232">
        <f t="shared" si="19"/>
        <v>422</v>
      </c>
      <c r="Q82" s="1232">
        <v>27</v>
      </c>
      <c r="R82" s="1232">
        <f t="shared" si="20"/>
        <v>395</v>
      </c>
      <c r="S82" s="1232">
        <f t="shared" si="21"/>
        <v>388</v>
      </c>
      <c r="T82" s="1232">
        <v>230</v>
      </c>
      <c r="U82" s="1232">
        <v>158</v>
      </c>
      <c r="V82" s="1232">
        <v>7</v>
      </c>
      <c r="W82" s="1232"/>
      <c r="X82" s="1232" t="s">
        <v>195</v>
      </c>
      <c r="Y82" s="1232" t="s">
        <v>9129</v>
      </c>
      <c r="Z82" s="1232" t="s">
        <v>9252</v>
      </c>
      <c r="AA82" s="1236" t="s">
        <v>986</v>
      </c>
      <c r="AB82" s="867" t="s">
        <v>198</v>
      </c>
      <c r="AC82" s="1237"/>
      <c r="AD82" s="942">
        <f t="shared" si="22"/>
        <v>512</v>
      </c>
      <c r="AE82" s="942">
        <f t="shared" si="28"/>
        <v>67</v>
      </c>
      <c r="AF82" s="942">
        <f t="shared" si="28"/>
        <v>23</v>
      </c>
      <c r="AG82" s="942">
        <f t="shared" si="23"/>
        <v>422</v>
      </c>
      <c r="AH82" s="942">
        <f t="shared" si="24"/>
        <v>27</v>
      </c>
      <c r="AI82" s="942">
        <f t="shared" si="25"/>
        <v>395</v>
      </c>
      <c r="AJ82" s="942">
        <f t="shared" si="26"/>
        <v>388</v>
      </c>
      <c r="AK82" s="942">
        <f t="shared" si="29"/>
        <v>230</v>
      </c>
      <c r="AL82" s="942">
        <f t="shared" si="29"/>
        <v>158</v>
      </c>
      <c r="AM82" s="942">
        <f t="shared" si="27"/>
        <v>7</v>
      </c>
    </row>
    <row r="83" spans="1:39" ht="16.5" customHeight="1">
      <c r="A83" s="1231"/>
      <c r="J83" s="1238" t="s">
        <v>988</v>
      </c>
      <c r="K83" s="940" t="s">
        <v>6119</v>
      </c>
      <c r="L83" s="940"/>
      <c r="M83" s="1241">
        <f t="shared" si="18"/>
        <v>1339</v>
      </c>
      <c r="N83" s="1241">
        <f>C78-SUM(N78:N82)</f>
        <v>260</v>
      </c>
      <c r="O83" s="1241">
        <f>D78-SUM(O78:O82)</f>
        <v>79</v>
      </c>
      <c r="P83" s="1241">
        <f t="shared" si="19"/>
        <v>1000</v>
      </c>
      <c r="Q83" s="1241">
        <f>E78-SUM(Q78:Q82)</f>
        <v>120</v>
      </c>
      <c r="R83" s="1241">
        <f t="shared" si="20"/>
        <v>880</v>
      </c>
      <c r="S83" s="1241">
        <f t="shared" si="21"/>
        <v>864</v>
      </c>
      <c r="T83" s="1241">
        <f>F78-SUM(T78:T82)</f>
        <v>501</v>
      </c>
      <c r="U83" s="1241">
        <f>G78-SUM(U78:U82)</f>
        <v>363</v>
      </c>
      <c r="V83" s="1241">
        <f>H78-SUM(V78:V82)</f>
        <v>16</v>
      </c>
      <c r="W83" s="1232"/>
      <c r="X83" s="1232" t="s">
        <v>195</v>
      </c>
      <c r="Y83" s="1232" t="s">
        <v>9129</v>
      </c>
      <c r="Z83" s="1232" t="s">
        <v>9252</v>
      </c>
      <c r="AA83" s="1242" t="s">
        <v>988</v>
      </c>
      <c r="AB83" s="940" t="s">
        <v>6119</v>
      </c>
      <c r="AC83" s="1243"/>
      <c r="AD83" s="943">
        <f t="shared" si="22"/>
        <v>1339</v>
      </c>
      <c r="AE83" s="943">
        <f t="shared" si="28"/>
        <v>260</v>
      </c>
      <c r="AF83" s="943">
        <f t="shared" si="28"/>
        <v>79</v>
      </c>
      <c r="AG83" s="943">
        <f t="shared" si="23"/>
        <v>1000</v>
      </c>
      <c r="AH83" s="943">
        <f t="shared" si="24"/>
        <v>120</v>
      </c>
      <c r="AI83" s="943">
        <f t="shared" si="25"/>
        <v>880</v>
      </c>
      <c r="AJ83" s="943">
        <f t="shared" si="26"/>
        <v>864</v>
      </c>
      <c r="AK83" s="943">
        <f t="shared" si="29"/>
        <v>501</v>
      </c>
      <c r="AL83" s="943">
        <f t="shared" si="29"/>
        <v>363</v>
      </c>
      <c r="AM83" s="943">
        <f t="shared" si="27"/>
        <v>16</v>
      </c>
    </row>
    <row r="84" spans="1:39" ht="16.5" customHeight="1">
      <c r="A84" s="1239" t="s">
        <v>9130</v>
      </c>
      <c r="B84" s="1234" t="s">
        <v>11623</v>
      </c>
      <c r="C84" s="1240">
        <v>395</v>
      </c>
      <c r="D84" s="1240">
        <v>161</v>
      </c>
      <c r="E84" s="1240">
        <v>421</v>
      </c>
      <c r="F84" s="1240">
        <v>1822</v>
      </c>
      <c r="G84" s="1240">
        <v>833</v>
      </c>
      <c r="H84" s="1240">
        <v>18</v>
      </c>
      <c r="J84" s="1231" t="s">
        <v>990</v>
      </c>
      <c r="K84" s="867" t="s">
        <v>202</v>
      </c>
      <c r="L84" s="867"/>
      <c r="M84" s="1232">
        <f t="shared" si="18"/>
        <v>1563</v>
      </c>
      <c r="N84" s="1232">
        <v>196</v>
      </c>
      <c r="O84" s="1232">
        <v>55</v>
      </c>
      <c r="P84" s="1232">
        <f t="shared" si="19"/>
        <v>1312</v>
      </c>
      <c r="Q84" s="1232">
        <v>245</v>
      </c>
      <c r="R84" s="1232">
        <f t="shared" si="20"/>
        <v>1067</v>
      </c>
      <c r="S84" s="1232">
        <f t="shared" si="21"/>
        <v>1058</v>
      </c>
      <c r="T84" s="1232">
        <v>759</v>
      </c>
      <c r="U84" s="1232">
        <v>299</v>
      </c>
      <c r="V84" s="1232">
        <v>9</v>
      </c>
      <c r="W84" s="1232"/>
      <c r="X84" s="1232" t="s">
        <v>201</v>
      </c>
      <c r="Y84" s="1232" t="s">
        <v>9130</v>
      </c>
      <c r="Z84" s="1232" t="s">
        <v>9253</v>
      </c>
      <c r="AA84" s="1236" t="s">
        <v>990</v>
      </c>
      <c r="AB84" s="867" t="s">
        <v>202</v>
      </c>
      <c r="AC84" s="1237"/>
      <c r="AD84" s="942">
        <f t="shared" si="22"/>
        <v>1563</v>
      </c>
      <c r="AE84" s="942">
        <f t="shared" si="28"/>
        <v>196</v>
      </c>
      <c r="AF84" s="942">
        <f t="shared" si="28"/>
        <v>55</v>
      </c>
      <c r="AG84" s="942">
        <f t="shared" si="23"/>
        <v>1312</v>
      </c>
      <c r="AH84" s="942">
        <f t="shared" si="24"/>
        <v>245</v>
      </c>
      <c r="AI84" s="942">
        <f t="shared" si="25"/>
        <v>1067</v>
      </c>
      <c r="AJ84" s="942">
        <f t="shared" si="26"/>
        <v>1058</v>
      </c>
      <c r="AK84" s="942">
        <f t="shared" si="29"/>
        <v>759</v>
      </c>
      <c r="AL84" s="942">
        <f t="shared" si="29"/>
        <v>299</v>
      </c>
      <c r="AM84" s="942">
        <f t="shared" si="27"/>
        <v>9</v>
      </c>
    </row>
    <row r="85" spans="1:39" ht="16.5" customHeight="1">
      <c r="A85" s="1231"/>
      <c r="J85" s="1231" t="s">
        <v>992</v>
      </c>
      <c r="K85" s="867" t="s">
        <v>11624</v>
      </c>
      <c r="L85" s="867"/>
      <c r="M85" s="1232">
        <f t="shared" si="18"/>
        <v>163</v>
      </c>
      <c r="N85" s="1232">
        <v>6</v>
      </c>
      <c r="O85" s="1232">
        <v>1</v>
      </c>
      <c r="P85" s="1232">
        <f t="shared" si="19"/>
        <v>156</v>
      </c>
      <c r="Q85" s="1232">
        <v>12</v>
      </c>
      <c r="R85" s="1232">
        <f t="shared" si="20"/>
        <v>144</v>
      </c>
      <c r="S85" s="1232">
        <f t="shared" si="21"/>
        <v>143</v>
      </c>
      <c r="T85" s="1232">
        <v>100</v>
      </c>
      <c r="U85" s="1232">
        <v>43</v>
      </c>
      <c r="V85" s="1232">
        <v>1</v>
      </c>
      <c r="W85" s="1232"/>
      <c r="X85" s="1232" t="s">
        <v>201</v>
      </c>
      <c r="Y85" s="1232" t="s">
        <v>9130</v>
      </c>
      <c r="Z85" s="1232" t="s">
        <v>9253</v>
      </c>
      <c r="AA85" s="1236" t="s">
        <v>992</v>
      </c>
      <c r="AB85" s="867" t="s">
        <v>11624</v>
      </c>
      <c r="AC85" s="1237"/>
      <c r="AD85" s="942">
        <f t="shared" si="22"/>
        <v>163</v>
      </c>
      <c r="AE85" s="942">
        <f t="shared" si="28"/>
        <v>6</v>
      </c>
      <c r="AF85" s="942">
        <f t="shared" si="28"/>
        <v>1</v>
      </c>
      <c r="AG85" s="942">
        <f t="shared" si="23"/>
        <v>156</v>
      </c>
      <c r="AH85" s="942">
        <f t="shared" si="24"/>
        <v>12</v>
      </c>
      <c r="AI85" s="942">
        <f t="shared" si="25"/>
        <v>144</v>
      </c>
      <c r="AJ85" s="942">
        <f t="shared" si="26"/>
        <v>143</v>
      </c>
      <c r="AK85" s="942">
        <f t="shared" si="29"/>
        <v>100</v>
      </c>
      <c r="AL85" s="942">
        <f t="shared" si="29"/>
        <v>43</v>
      </c>
      <c r="AM85" s="942">
        <f t="shared" si="27"/>
        <v>1</v>
      </c>
    </row>
    <row r="86" spans="1:39" ht="16.5" customHeight="1">
      <c r="A86" s="1231"/>
      <c r="J86" s="1231" t="s">
        <v>994</v>
      </c>
      <c r="K86" s="867" t="s">
        <v>205</v>
      </c>
      <c r="L86" s="867"/>
      <c r="M86" s="1232">
        <f t="shared" si="18"/>
        <v>177</v>
      </c>
      <c r="N86" s="1232">
        <v>19</v>
      </c>
      <c r="O86" s="1232">
        <v>5</v>
      </c>
      <c r="P86" s="1232">
        <f t="shared" si="19"/>
        <v>153</v>
      </c>
      <c r="Q86" s="1232">
        <v>18</v>
      </c>
      <c r="R86" s="1232">
        <f t="shared" si="20"/>
        <v>135</v>
      </c>
      <c r="S86" s="1232">
        <f t="shared" si="21"/>
        <v>134</v>
      </c>
      <c r="T86" s="1232">
        <v>98</v>
      </c>
      <c r="U86" s="1232">
        <v>36</v>
      </c>
      <c r="V86" s="1232">
        <v>1</v>
      </c>
      <c r="W86" s="1232"/>
      <c r="X86" s="1232" t="s">
        <v>201</v>
      </c>
      <c r="Y86" s="1232" t="s">
        <v>9130</v>
      </c>
      <c r="Z86" s="1232" t="s">
        <v>9253</v>
      </c>
      <c r="AA86" s="1236" t="s">
        <v>994</v>
      </c>
      <c r="AB86" s="867" t="s">
        <v>205</v>
      </c>
      <c r="AC86" s="1237"/>
      <c r="AD86" s="942">
        <f t="shared" si="22"/>
        <v>177</v>
      </c>
      <c r="AE86" s="942">
        <f t="shared" si="28"/>
        <v>19</v>
      </c>
      <c r="AF86" s="942">
        <f t="shared" si="28"/>
        <v>5</v>
      </c>
      <c r="AG86" s="942">
        <f t="shared" si="23"/>
        <v>153</v>
      </c>
      <c r="AH86" s="942">
        <f t="shared" si="24"/>
        <v>18</v>
      </c>
      <c r="AI86" s="942">
        <f t="shared" si="25"/>
        <v>135</v>
      </c>
      <c r="AJ86" s="942">
        <f t="shared" si="26"/>
        <v>134</v>
      </c>
      <c r="AK86" s="942">
        <f t="shared" si="29"/>
        <v>98</v>
      </c>
      <c r="AL86" s="942">
        <f t="shared" si="29"/>
        <v>36</v>
      </c>
      <c r="AM86" s="942">
        <f t="shared" si="27"/>
        <v>1</v>
      </c>
    </row>
    <row r="87" spans="1:39" ht="16.5" customHeight="1">
      <c r="A87" s="1231"/>
      <c r="J87" s="1231" t="s">
        <v>996</v>
      </c>
      <c r="K87" s="940" t="s">
        <v>6132</v>
      </c>
      <c r="L87" s="940"/>
      <c r="M87" s="1241">
        <f t="shared" si="18"/>
        <v>1747</v>
      </c>
      <c r="N87" s="1241">
        <f>C84-SUM(N84:N86)</f>
        <v>174</v>
      </c>
      <c r="O87" s="1241">
        <f>D84-SUM(O84:O86)</f>
        <v>100</v>
      </c>
      <c r="P87" s="1241">
        <f t="shared" si="19"/>
        <v>1473</v>
      </c>
      <c r="Q87" s="1241">
        <f>E84-SUM(Q84:Q86)</f>
        <v>146</v>
      </c>
      <c r="R87" s="1241">
        <f t="shared" si="20"/>
        <v>1327</v>
      </c>
      <c r="S87" s="1241">
        <f t="shared" si="21"/>
        <v>1320</v>
      </c>
      <c r="T87" s="1241">
        <f>F84-SUM(T84:T86)</f>
        <v>865</v>
      </c>
      <c r="U87" s="1241">
        <f>G84-SUM(U84:U86)</f>
        <v>455</v>
      </c>
      <c r="V87" s="1241">
        <f>H84-SUM(V84:V86)</f>
        <v>7</v>
      </c>
      <c r="W87" s="1232"/>
      <c r="X87" s="1232" t="s">
        <v>206</v>
      </c>
      <c r="Y87" s="1232" t="s">
        <v>9130</v>
      </c>
      <c r="Z87" s="1232" t="s">
        <v>9253</v>
      </c>
      <c r="AA87" s="1236" t="s">
        <v>996</v>
      </c>
      <c r="AB87" s="940" t="s">
        <v>6132</v>
      </c>
      <c r="AC87" s="1243"/>
      <c r="AD87" s="943">
        <f t="shared" si="22"/>
        <v>1747</v>
      </c>
      <c r="AE87" s="943">
        <f t="shared" si="28"/>
        <v>174</v>
      </c>
      <c r="AF87" s="943">
        <f t="shared" si="28"/>
        <v>100</v>
      </c>
      <c r="AG87" s="943">
        <f t="shared" si="23"/>
        <v>1473</v>
      </c>
      <c r="AH87" s="943">
        <f t="shared" si="24"/>
        <v>146</v>
      </c>
      <c r="AI87" s="943">
        <f t="shared" si="25"/>
        <v>1327</v>
      </c>
      <c r="AJ87" s="943">
        <f t="shared" si="26"/>
        <v>1320</v>
      </c>
      <c r="AK87" s="943">
        <f t="shared" si="29"/>
        <v>865</v>
      </c>
      <c r="AL87" s="943">
        <f t="shared" si="29"/>
        <v>455</v>
      </c>
      <c r="AM87" s="943">
        <f t="shared" si="27"/>
        <v>7</v>
      </c>
    </row>
    <row r="88" spans="1:39" ht="16.5" customHeight="1">
      <c r="A88" s="1239" t="s">
        <v>9131</v>
      </c>
      <c r="B88" s="1234" t="s">
        <v>9062</v>
      </c>
      <c r="C88" s="1240">
        <v>753</v>
      </c>
      <c r="D88" s="1240">
        <v>236</v>
      </c>
      <c r="E88" s="1240">
        <v>365</v>
      </c>
      <c r="F88" s="1240">
        <v>1694</v>
      </c>
      <c r="G88" s="1240">
        <v>543</v>
      </c>
      <c r="H88" s="1240">
        <v>37</v>
      </c>
      <c r="J88" s="1239" t="s">
        <v>998</v>
      </c>
      <c r="K88" s="867" t="s">
        <v>11625</v>
      </c>
      <c r="L88" s="867"/>
      <c r="M88" s="1232">
        <f t="shared" si="18"/>
        <v>1995</v>
      </c>
      <c r="N88" s="1232">
        <v>400</v>
      </c>
      <c r="O88" s="1232">
        <v>89</v>
      </c>
      <c r="P88" s="1232">
        <f t="shared" si="19"/>
        <v>1506</v>
      </c>
      <c r="Q88" s="1232">
        <v>205</v>
      </c>
      <c r="R88" s="1232">
        <f t="shared" si="20"/>
        <v>1301</v>
      </c>
      <c r="S88" s="1232">
        <f t="shared" si="21"/>
        <v>1284</v>
      </c>
      <c r="T88" s="1232">
        <v>969</v>
      </c>
      <c r="U88" s="1232">
        <v>315</v>
      </c>
      <c r="V88" s="1232">
        <v>17</v>
      </c>
      <c r="W88" s="1232"/>
      <c r="X88" s="1232" t="s">
        <v>9407</v>
      </c>
      <c r="Y88" s="1232" t="s">
        <v>9131</v>
      </c>
      <c r="Z88" s="1232" t="s">
        <v>9253</v>
      </c>
      <c r="AA88" s="1233" t="s">
        <v>998</v>
      </c>
      <c r="AB88" s="867" t="s">
        <v>11625</v>
      </c>
      <c r="AC88" s="1237"/>
      <c r="AD88" s="942">
        <f t="shared" si="22"/>
        <v>1995</v>
      </c>
      <c r="AE88" s="942">
        <f t="shared" si="28"/>
        <v>400</v>
      </c>
      <c r="AF88" s="942">
        <f t="shared" si="28"/>
        <v>89</v>
      </c>
      <c r="AG88" s="942">
        <f t="shared" si="23"/>
        <v>1506</v>
      </c>
      <c r="AH88" s="942">
        <f t="shared" si="24"/>
        <v>205</v>
      </c>
      <c r="AI88" s="942">
        <f t="shared" si="25"/>
        <v>1301</v>
      </c>
      <c r="AJ88" s="942">
        <f t="shared" si="26"/>
        <v>1284</v>
      </c>
      <c r="AK88" s="942">
        <f t="shared" si="29"/>
        <v>969</v>
      </c>
      <c r="AL88" s="942">
        <f t="shared" si="29"/>
        <v>315</v>
      </c>
      <c r="AM88" s="942">
        <f t="shared" si="27"/>
        <v>17</v>
      </c>
    </row>
    <row r="89" spans="1:39" ht="16.5" customHeight="1">
      <c r="A89" s="1231"/>
      <c r="J89" s="1231" t="s">
        <v>1000</v>
      </c>
      <c r="K89" s="867" t="s">
        <v>11626</v>
      </c>
      <c r="L89" s="867"/>
      <c r="M89" s="1232">
        <f t="shared" si="18"/>
        <v>43</v>
      </c>
      <c r="N89" s="1232">
        <v>3</v>
      </c>
      <c r="O89" s="1232">
        <v>1</v>
      </c>
      <c r="P89" s="1232">
        <f t="shared" si="19"/>
        <v>39</v>
      </c>
      <c r="Q89" s="1232">
        <v>2</v>
      </c>
      <c r="R89" s="1232">
        <f t="shared" si="20"/>
        <v>37</v>
      </c>
      <c r="S89" s="1232">
        <f t="shared" si="21"/>
        <v>37</v>
      </c>
      <c r="T89" s="1232">
        <v>29</v>
      </c>
      <c r="U89" s="1232">
        <v>8</v>
      </c>
      <c r="V89" s="1232">
        <v>0</v>
      </c>
      <c r="W89" s="1232"/>
      <c r="X89" s="1232" t="s">
        <v>9407</v>
      </c>
      <c r="Y89" s="1232" t="s">
        <v>9131</v>
      </c>
      <c r="Z89" s="1232" t="s">
        <v>9253</v>
      </c>
      <c r="AA89" s="1236" t="s">
        <v>1000</v>
      </c>
      <c r="AB89" s="867" t="s">
        <v>11626</v>
      </c>
      <c r="AC89" s="1237"/>
      <c r="AD89" s="942">
        <f t="shared" si="22"/>
        <v>43</v>
      </c>
      <c r="AE89" s="942">
        <f t="shared" si="28"/>
        <v>3</v>
      </c>
      <c r="AF89" s="942">
        <f t="shared" si="28"/>
        <v>1</v>
      </c>
      <c r="AG89" s="942">
        <f t="shared" si="23"/>
        <v>39</v>
      </c>
      <c r="AH89" s="942">
        <f t="shared" si="24"/>
        <v>2</v>
      </c>
      <c r="AI89" s="942">
        <f t="shared" si="25"/>
        <v>37</v>
      </c>
      <c r="AJ89" s="942">
        <f t="shared" si="26"/>
        <v>37</v>
      </c>
      <c r="AK89" s="942">
        <f t="shared" si="29"/>
        <v>29</v>
      </c>
      <c r="AL89" s="942">
        <f t="shared" si="29"/>
        <v>8</v>
      </c>
      <c r="AM89" s="942">
        <f t="shared" si="27"/>
        <v>0</v>
      </c>
    </row>
    <row r="90" spans="1:39" ht="16.5" customHeight="1">
      <c r="A90" s="1231"/>
      <c r="J90" s="1231" t="s">
        <v>1002</v>
      </c>
      <c r="K90" s="867" t="s">
        <v>212</v>
      </c>
      <c r="L90" s="867"/>
      <c r="M90" s="1232">
        <f t="shared" si="18"/>
        <v>908</v>
      </c>
      <c r="N90" s="1232">
        <v>226</v>
      </c>
      <c r="O90" s="1232">
        <v>117</v>
      </c>
      <c r="P90" s="1232">
        <f t="shared" si="19"/>
        <v>565</v>
      </c>
      <c r="Q90" s="1232">
        <v>97</v>
      </c>
      <c r="R90" s="1232">
        <f t="shared" si="20"/>
        <v>468</v>
      </c>
      <c r="S90" s="1232">
        <f t="shared" si="21"/>
        <v>454</v>
      </c>
      <c r="T90" s="1232">
        <v>340</v>
      </c>
      <c r="U90" s="1232">
        <v>114</v>
      </c>
      <c r="V90" s="1232">
        <v>14</v>
      </c>
      <c r="W90" s="1232"/>
      <c r="X90" s="1232" t="s">
        <v>9407</v>
      </c>
      <c r="Y90" s="1232" t="s">
        <v>9131</v>
      </c>
      <c r="Z90" s="1232" t="s">
        <v>9253</v>
      </c>
      <c r="AA90" s="1236" t="s">
        <v>1002</v>
      </c>
      <c r="AB90" s="867" t="s">
        <v>212</v>
      </c>
      <c r="AC90" s="1237"/>
      <c r="AD90" s="942">
        <f t="shared" si="22"/>
        <v>908</v>
      </c>
      <c r="AE90" s="942">
        <f t="shared" si="28"/>
        <v>226</v>
      </c>
      <c r="AF90" s="942">
        <f t="shared" si="28"/>
        <v>117</v>
      </c>
      <c r="AG90" s="942">
        <f t="shared" si="23"/>
        <v>565</v>
      </c>
      <c r="AH90" s="942">
        <f t="shared" si="24"/>
        <v>97</v>
      </c>
      <c r="AI90" s="942">
        <f t="shared" si="25"/>
        <v>468</v>
      </c>
      <c r="AJ90" s="942">
        <f t="shared" si="26"/>
        <v>454</v>
      </c>
      <c r="AK90" s="942">
        <f t="shared" si="29"/>
        <v>340</v>
      </c>
      <c r="AL90" s="942">
        <f t="shared" si="29"/>
        <v>114</v>
      </c>
      <c r="AM90" s="942">
        <f t="shared" si="27"/>
        <v>14</v>
      </c>
    </row>
    <row r="91" spans="1:39" ht="16.5" customHeight="1">
      <c r="A91" s="1231"/>
      <c r="J91" s="1231" t="s">
        <v>1004</v>
      </c>
      <c r="K91" s="940" t="s">
        <v>11627</v>
      </c>
      <c r="L91" s="940"/>
      <c r="M91" s="1241">
        <f t="shared" si="18"/>
        <v>682</v>
      </c>
      <c r="N91" s="1241">
        <f>C88-SUM(N88:N90)</f>
        <v>124</v>
      </c>
      <c r="O91" s="1241">
        <f>D88-SUM(O88:O90)</f>
        <v>29</v>
      </c>
      <c r="P91" s="1241">
        <f t="shared" si="19"/>
        <v>529</v>
      </c>
      <c r="Q91" s="1241">
        <f>E88-SUM(Q88:Q90)</f>
        <v>61</v>
      </c>
      <c r="R91" s="1241">
        <f t="shared" si="20"/>
        <v>468</v>
      </c>
      <c r="S91" s="1241">
        <f t="shared" si="21"/>
        <v>462</v>
      </c>
      <c r="T91" s="1241">
        <f>F88-SUM(T88:T90)</f>
        <v>356</v>
      </c>
      <c r="U91" s="1241">
        <f>G88-SUM(U88:U90)</f>
        <v>106</v>
      </c>
      <c r="V91" s="1241">
        <f>H88-SUM(V88:V90)</f>
        <v>6</v>
      </c>
      <c r="W91" s="1232"/>
      <c r="X91" s="1232" t="s">
        <v>9407</v>
      </c>
      <c r="Y91" s="1232" t="s">
        <v>9131</v>
      </c>
      <c r="Z91" s="1232" t="s">
        <v>9253</v>
      </c>
      <c r="AA91" s="1236" t="s">
        <v>1004</v>
      </c>
      <c r="AB91" s="940" t="s">
        <v>11627</v>
      </c>
      <c r="AC91" s="1243"/>
      <c r="AD91" s="943">
        <f t="shared" si="22"/>
        <v>682</v>
      </c>
      <c r="AE91" s="943">
        <f t="shared" si="28"/>
        <v>124</v>
      </c>
      <c r="AF91" s="943">
        <f t="shared" si="28"/>
        <v>29</v>
      </c>
      <c r="AG91" s="943">
        <f t="shared" si="23"/>
        <v>529</v>
      </c>
      <c r="AH91" s="943">
        <f t="shared" si="24"/>
        <v>61</v>
      </c>
      <c r="AI91" s="943">
        <f t="shared" si="25"/>
        <v>468</v>
      </c>
      <c r="AJ91" s="943">
        <f t="shared" si="26"/>
        <v>462</v>
      </c>
      <c r="AK91" s="943">
        <f t="shared" si="29"/>
        <v>356</v>
      </c>
      <c r="AL91" s="943">
        <f t="shared" si="29"/>
        <v>106</v>
      </c>
      <c r="AM91" s="943">
        <f t="shared" si="27"/>
        <v>6</v>
      </c>
    </row>
    <row r="92" spans="1:39" ht="16.5" customHeight="1">
      <c r="A92" s="1239" t="s">
        <v>9132</v>
      </c>
      <c r="B92" s="1234" t="s">
        <v>9063</v>
      </c>
      <c r="C92" s="1240">
        <v>38</v>
      </c>
      <c r="D92" s="1240">
        <v>13</v>
      </c>
      <c r="E92" s="1240">
        <v>58</v>
      </c>
      <c r="F92" s="1240">
        <v>1724</v>
      </c>
      <c r="G92" s="1240">
        <v>501</v>
      </c>
      <c r="H92" s="1240">
        <v>10</v>
      </c>
      <c r="J92" s="1239" t="s">
        <v>1006</v>
      </c>
      <c r="K92" s="867" t="s">
        <v>215</v>
      </c>
      <c r="L92" s="867"/>
      <c r="M92" s="1232">
        <f t="shared" si="18"/>
        <v>95</v>
      </c>
      <c r="N92" s="1232">
        <v>0</v>
      </c>
      <c r="O92" s="1232">
        <v>0</v>
      </c>
      <c r="P92" s="1232">
        <f t="shared" si="19"/>
        <v>95</v>
      </c>
      <c r="Q92" s="1232">
        <v>2</v>
      </c>
      <c r="R92" s="1232">
        <f t="shared" si="20"/>
        <v>93</v>
      </c>
      <c r="S92" s="1232">
        <f t="shared" si="21"/>
        <v>92</v>
      </c>
      <c r="T92" s="1232">
        <v>74</v>
      </c>
      <c r="U92" s="1232">
        <v>18</v>
      </c>
      <c r="V92" s="1232">
        <v>1</v>
      </c>
      <c r="W92" s="1232"/>
      <c r="X92" s="1232" t="s">
        <v>9408</v>
      </c>
      <c r="Y92" s="1232" t="s">
        <v>9132</v>
      </c>
      <c r="Z92" s="1232" t="s">
        <v>9253</v>
      </c>
      <c r="AA92" s="1233" t="s">
        <v>1006</v>
      </c>
      <c r="AB92" s="867" t="s">
        <v>215</v>
      </c>
      <c r="AC92" s="1237"/>
      <c r="AD92" s="942">
        <f t="shared" si="22"/>
        <v>95</v>
      </c>
      <c r="AE92" s="942">
        <f t="shared" si="28"/>
        <v>0</v>
      </c>
      <c r="AF92" s="942">
        <f t="shared" si="28"/>
        <v>0</v>
      </c>
      <c r="AG92" s="942">
        <f t="shared" si="23"/>
        <v>95</v>
      </c>
      <c r="AH92" s="942">
        <f t="shared" si="24"/>
        <v>2</v>
      </c>
      <c r="AI92" s="942">
        <f t="shared" si="25"/>
        <v>93</v>
      </c>
      <c r="AJ92" s="942">
        <f t="shared" si="26"/>
        <v>92</v>
      </c>
      <c r="AK92" s="942">
        <f t="shared" si="29"/>
        <v>74</v>
      </c>
      <c r="AL92" s="942">
        <f t="shared" si="29"/>
        <v>18</v>
      </c>
      <c r="AM92" s="942">
        <f t="shared" si="27"/>
        <v>1</v>
      </c>
    </row>
    <row r="93" spans="1:39" ht="16.5" customHeight="1">
      <c r="A93" s="1231"/>
      <c r="J93" s="1231" t="s">
        <v>1008</v>
      </c>
      <c r="K93" s="867" t="s">
        <v>219</v>
      </c>
      <c r="L93" s="867"/>
      <c r="M93" s="1232">
        <f t="shared" si="18"/>
        <v>527</v>
      </c>
      <c r="N93" s="1232">
        <v>7</v>
      </c>
      <c r="O93" s="1232">
        <v>3</v>
      </c>
      <c r="P93" s="1232">
        <f t="shared" si="19"/>
        <v>517</v>
      </c>
      <c r="Q93" s="1232">
        <v>10</v>
      </c>
      <c r="R93" s="1232">
        <f t="shared" si="20"/>
        <v>507</v>
      </c>
      <c r="S93" s="1232">
        <f t="shared" si="21"/>
        <v>502</v>
      </c>
      <c r="T93" s="1232">
        <v>402</v>
      </c>
      <c r="U93" s="1232">
        <v>100</v>
      </c>
      <c r="V93" s="1232">
        <v>5</v>
      </c>
      <c r="W93" s="1232"/>
      <c r="X93" s="1232" t="s">
        <v>9409</v>
      </c>
      <c r="Y93" s="1232" t="s">
        <v>9132</v>
      </c>
      <c r="Z93" s="1232" t="s">
        <v>9253</v>
      </c>
      <c r="AA93" s="1236" t="s">
        <v>1008</v>
      </c>
      <c r="AB93" s="867" t="s">
        <v>219</v>
      </c>
      <c r="AC93" s="1237"/>
      <c r="AD93" s="942">
        <f t="shared" si="22"/>
        <v>527</v>
      </c>
      <c r="AE93" s="942">
        <f t="shared" si="28"/>
        <v>7</v>
      </c>
      <c r="AF93" s="942">
        <f t="shared" si="28"/>
        <v>3</v>
      </c>
      <c r="AG93" s="942">
        <f t="shared" si="23"/>
        <v>517</v>
      </c>
      <c r="AH93" s="942">
        <f t="shared" si="24"/>
        <v>10</v>
      </c>
      <c r="AI93" s="942">
        <f t="shared" si="25"/>
        <v>507</v>
      </c>
      <c r="AJ93" s="942">
        <f t="shared" si="26"/>
        <v>502</v>
      </c>
      <c r="AK93" s="942">
        <f t="shared" si="29"/>
        <v>402</v>
      </c>
      <c r="AL93" s="942">
        <f t="shared" si="29"/>
        <v>100</v>
      </c>
      <c r="AM93" s="942">
        <f t="shared" si="27"/>
        <v>5</v>
      </c>
    </row>
    <row r="94" spans="1:39" ht="16.5" customHeight="1">
      <c r="A94" s="1231"/>
      <c r="J94" s="1231" t="s">
        <v>1010</v>
      </c>
      <c r="K94" s="867" t="s">
        <v>220</v>
      </c>
      <c r="L94" s="867"/>
      <c r="M94" s="1232">
        <f t="shared" si="18"/>
        <v>489</v>
      </c>
      <c r="N94" s="1232">
        <v>3</v>
      </c>
      <c r="O94" s="1232">
        <v>1</v>
      </c>
      <c r="P94" s="1232">
        <f t="shared" si="19"/>
        <v>485</v>
      </c>
      <c r="Q94" s="1232">
        <v>10</v>
      </c>
      <c r="R94" s="1232">
        <f t="shared" si="20"/>
        <v>475</v>
      </c>
      <c r="S94" s="1232">
        <f t="shared" si="21"/>
        <v>472</v>
      </c>
      <c r="T94" s="1232">
        <v>378</v>
      </c>
      <c r="U94" s="1232">
        <v>94</v>
      </c>
      <c r="V94" s="1232">
        <v>3</v>
      </c>
      <c r="W94" s="1232"/>
      <c r="X94" s="1232" t="s">
        <v>9409</v>
      </c>
      <c r="Y94" s="1232" t="s">
        <v>9132</v>
      </c>
      <c r="Z94" s="1232" t="s">
        <v>9253</v>
      </c>
      <c r="AA94" s="1236" t="s">
        <v>1010</v>
      </c>
      <c r="AB94" s="867" t="s">
        <v>220</v>
      </c>
      <c r="AC94" s="1237"/>
      <c r="AD94" s="942">
        <f t="shared" si="22"/>
        <v>489</v>
      </c>
      <c r="AE94" s="942">
        <f t="shared" si="28"/>
        <v>3</v>
      </c>
      <c r="AF94" s="942">
        <f t="shared" si="28"/>
        <v>1</v>
      </c>
      <c r="AG94" s="942">
        <f t="shared" si="23"/>
        <v>485</v>
      </c>
      <c r="AH94" s="942">
        <f t="shared" si="24"/>
        <v>10</v>
      </c>
      <c r="AI94" s="942">
        <f t="shared" si="25"/>
        <v>475</v>
      </c>
      <c r="AJ94" s="942">
        <f t="shared" si="26"/>
        <v>472</v>
      </c>
      <c r="AK94" s="942">
        <f t="shared" si="29"/>
        <v>378</v>
      </c>
      <c r="AL94" s="942">
        <f t="shared" si="29"/>
        <v>94</v>
      </c>
      <c r="AM94" s="942">
        <f t="shared" si="27"/>
        <v>3</v>
      </c>
    </row>
    <row r="95" spans="1:39" ht="16.5" customHeight="1">
      <c r="A95" s="1231"/>
      <c r="J95" s="1231" t="s">
        <v>1012</v>
      </c>
      <c r="K95" s="867" t="s">
        <v>222</v>
      </c>
      <c r="L95" s="867"/>
      <c r="M95" s="1232">
        <f t="shared" si="18"/>
        <v>349</v>
      </c>
      <c r="N95" s="1232">
        <v>0</v>
      </c>
      <c r="O95" s="1232">
        <v>0</v>
      </c>
      <c r="P95" s="1232">
        <f t="shared" si="19"/>
        <v>349</v>
      </c>
      <c r="Q95" s="1232">
        <v>12</v>
      </c>
      <c r="R95" s="1232">
        <f t="shared" si="20"/>
        <v>337</v>
      </c>
      <c r="S95" s="1232">
        <f t="shared" si="21"/>
        <v>336</v>
      </c>
      <c r="T95" s="1232">
        <v>252</v>
      </c>
      <c r="U95" s="1232">
        <v>84</v>
      </c>
      <c r="V95" s="1232">
        <v>1</v>
      </c>
      <c r="W95" s="1232"/>
      <c r="X95" s="1232">
        <v>1633</v>
      </c>
      <c r="Y95" s="1232" t="s">
        <v>9132</v>
      </c>
      <c r="Z95" s="1232" t="s">
        <v>9253</v>
      </c>
      <c r="AA95" s="1236" t="s">
        <v>1012</v>
      </c>
      <c r="AB95" s="867" t="s">
        <v>222</v>
      </c>
      <c r="AC95" s="1237"/>
      <c r="AD95" s="942">
        <f t="shared" si="22"/>
        <v>349</v>
      </c>
      <c r="AE95" s="942">
        <f t="shared" si="28"/>
        <v>0</v>
      </c>
      <c r="AF95" s="942">
        <f t="shared" si="28"/>
        <v>0</v>
      </c>
      <c r="AG95" s="942">
        <f t="shared" si="23"/>
        <v>349</v>
      </c>
      <c r="AH95" s="942">
        <f t="shared" si="24"/>
        <v>12</v>
      </c>
      <c r="AI95" s="942">
        <f t="shared" si="25"/>
        <v>337</v>
      </c>
      <c r="AJ95" s="942">
        <f t="shared" si="26"/>
        <v>336</v>
      </c>
      <c r="AK95" s="942">
        <f t="shared" si="29"/>
        <v>252</v>
      </c>
      <c r="AL95" s="942">
        <f t="shared" si="29"/>
        <v>84</v>
      </c>
      <c r="AM95" s="942">
        <f t="shared" si="27"/>
        <v>1</v>
      </c>
    </row>
    <row r="96" spans="1:39" ht="16.5" customHeight="1">
      <c r="A96" s="1231"/>
      <c r="J96" s="1231" t="s">
        <v>1014</v>
      </c>
      <c r="K96" s="940" t="s">
        <v>223</v>
      </c>
      <c r="L96" s="940"/>
      <c r="M96" s="1241">
        <f t="shared" si="18"/>
        <v>884</v>
      </c>
      <c r="N96" s="1241">
        <f>C92-SUM(N92:N95)</f>
        <v>28</v>
      </c>
      <c r="O96" s="1241">
        <f>D92-SUM(O92:O95)</f>
        <v>9</v>
      </c>
      <c r="P96" s="1241">
        <f t="shared" si="19"/>
        <v>847</v>
      </c>
      <c r="Q96" s="1241">
        <f>E92-SUM(Q92:Q95)</f>
        <v>24</v>
      </c>
      <c r="R96" s="1241">
        <f t="shared" si="20"/>
        <v>823</v>
      </c>
      <c r="S96" s="1241">
        <f t="shared" si="21"/>
        <v>823</v>
      </c>
      <c r="T96" s="1241">
        <f>F92-SUM(T92:T95)</f>
        <v>618</v>
      </c>
      <c r="U96" s="1241">
        <f>G92-SUM(U92:U95)</f>
        <v>205</v>
      </c>
      <c r="V96" s="1241">
        <f>H92-SUM(V92:V95)</f>
        <v>0</v>
      </c>
      <c r="W96" s="1232"/>
      <c r="X96" s="1232">
        <v>1633</v>
      </c>
      <c r="Y96" s="1232" t="s">
        <v>9132</v>
      </c>
      <c r="Z96" s="1232" t="s">
        <v>9253</v>
      </c>
      <c r="AA96" s="1236" t="s">
        <v>1014</v>
      </c>
      <c r="AB96" s="940" t="s">
        <v>223</v>
      </c>
      <c r="AC96" s="1243"/>
      <c r="AD96" s="943">
        <f t="shared" si="22"/>
        <v>884</v>
      </c>
      <c r="AE96" s="943">
        <f t="shared" si="28"/>
        <v>28</v>
      </c>
      <c r="AF96" s="943">
        <f t="shared" si="28"/>
        <v>9</v>
      </c>
      <c r="AG96" s="943">
        <f t="shared" si="23"/>
        <v>847</v>
      </c>
      <c r="AH96" s="943">
        <f t="shared" si="24"/>
        <v>24</v>
      </c>
      <c r="AI96" s="943">
        <f t="shared" si="25"/>
        <v>823</v>
      </c>
      <c r="AJ96" s="943">
        <f t="shared" si="26"/>
        <v>823</v>
      </c>
      <c r="AK96" s="943">
        <f t="shared" si="29"/>
        <v>618</v>
      </c>
      <c r="AL96" s="943">
        <f t="shared" si="29"/>
        <v>205</v>
      </c>
      <c r="AM96" s="943">
        <f t="shared" si="27"/>
        <v>0</v>
      </c>
    </row>
    <row r="97" spans="1:39" ht="16.5" customHeight="1">
      <c r="A97" s="1239" t="s">
        <v>9133</v>
      </c>
      <c r="B97" s="1234" t="s">
        <v>9064</v>
      </c>
      <c r="C97" s="1240">
        <v>230</v>
      </c>
      <c r="D97" s="1240">
        <v>70</v>
      </c>
      <c r="E97" s="1240">
        <v>386</v>
      </c>
      <c r="F97" s="1240">
        <v>4335</v>
      </c>
      <c r="G97" s="1240">
        <v>1694</v>
      </c>
      <c r="H97" s="1240">
        <v>36</v>
      </c>
      <c r="J97" s="1239" t="s">
        <v>1016</v>
      </c>
      <c r="K97" s="867" t="s">
        <v>225</v>
      </c>
      <c r="L97" s="867"/>
      <c r="M97" s="1232">
        <f t="shared" si="18"/>
        <v>2755</v>
      </c>
      <c r="N97" s="1232">
        <v>89</v>
      </c>
      <c r="O97" s="1232">
        <v>28</v>
      </c>
      <c r="P97" s="1232">
        <f t="shared" si="19"/>
        <v>2638</v>
      </c>
      <c r="Q97" s="1232">
        <v>148</v>
      </c>
      <c r="R97" s="1232">
        <f t="shared" si="20"/>
        <v>2490</v>
      </c>
      <c r="S97" s="1232">
        <f t="shared" si="21"/>
        <v>2482</v>
      </c>
      <c r="T97" s="1232">
        <v>1763</v>
      </c>
      <c r="U97" s="1232">
        <v>719</v>
      </c>
      <c r="V97" s="1232">
        <v>8</v>
      </c>
      <c r="W97" s="1232"/>
      <c r="X97" s="1232" t="s">
        <v>9411</v>
      </c>
      <c r="Y97" s="1232" t="s">
        <v>9133</v>
      </c>
      <c r="Z97" s="1232" t="s">
        <v>9253</v>
      </c>
      <c r="AA97" s="1233" t="s">
        <v>1016</v>
      </c>
      <c r="AB97" s="867" t="s">
        <v>225</v>
      </c>
      <c r="AC97" s="1237"/>
      <c r="AD97" s="942">
        <f t="shared" si="22"/>
        <v>2755</v>
      </c>
      <c r="AE97" s="942">
        <f t="shared" si="28"/>
        <v>89</v>
      </c>
      <c r="AF97" s="942">
        <f t="shared" si="28"/>
        <v>28</v>
      </c>
      <c r="AG97" s="942">
        <f t="shared" si="23"/>
        <v>2638</v>
      </c>
      <c r="AH97" s="942">
        <f t="shared" si="24"/>
        <v>148</v>
      </c>
      <c r="AI97" s="942">
        <f t="shared" si="25"/>
        <v>2490</v>
      </c>
      <c r="AJ97" s="942">
        <f t="shared" si="26"/>
        <v>2482</v>
      </c>
      <c r="AK97" s="942">
        <f t="shared" si="29"/>
        <v>1763</v>
      </c>
      <c r="AL97" s="942">
        <f t="shared" si="29"/>
        <v>719</v>
      </c>
      <c r="AM97" s="942">
        <f t="shared" si="27"/>
        <v>8</v>
      </c>
    </row>
    <row r="98" spans="1:39" ht="16.5" customHeight="1">
      <c r="A98" s="1231"/>
      <c r="J98" s="1231" t="s">
        <v>1018</v>
      </c>
      <c r="K98" s="867" t="s">
        <v>226</v>
      </c>
      <c r="L98" s="867"/>
      <c r="M98" s="1232">
        <f t="shared" si="18"/>
        <v>2123</v>
      </c>
      <c r="N98" s="1232">
        <v>82</v>
      </c>
      <c r="O98" s="1232">
        <v>26</v>
      </c>
      <c r="P98" s="1232">
        <f t="shared" si="19"/>
        <v>2015</v>
      </c>
      <c r="Q98" s="1232">
        <v>129</v>
      </c>
      <c r="R98" s="1232">
        <f t="shared" si="20"/>
        <v>1886</v>
      </c>
      <c r="S98" s="1232">
        <f t="shared" si="21"/>
        <v>1870</v>
      </c>
      <c r="T98" s="1232">
        <v>1328</v>
      </c>
      <c r="U98" s="1232">
        <v>542</v>
      </c>
      <c r="V98" s="1232">
        <v>16</v>
      </c>
      <c r="W98" s="1232"/>
      <c r="X98" s="1232" t="s">
        <v>9411</v>
      </c>
      <c r="Y98" s="1232" t="s">
        <v>9133</v>
      </c>
      <c r="Z98" s="1232" t="s">
        <v>9253</v>
      </c>
      <c r="AA98" s="1236" t="s">
        <v>1018</v>
      </c>
      <c r="AB98" s="867" t="s">
        <v>226</v>
      </c>
      <c r="AC98" s="1237"/>
      <c r="AD98" s="942">
        <f t="shared" si="22"/>
        <v>2123</v>
      </c>
      <c r="AE98" s="942">
        <f t="shared" si="28"/>
        <v>82</v>
      </c>
      <c r="AF98" s="942">
        <f t="shared" si="28"/>
        <v>26</v>
      </c>
      <c r="AG98" s="942">
        <f t="shared" si="23"/>
        <v>2015</v>
      </c>
      <c r="AH98" s="942">
        <f t="shared" si="24"/>
        <v>129</v>
      </c>
      <c r="AI98" s="942">
        <f t="shared" si="25"/>
        <v>1886</v>
      </c>
      <c r="AJ98" s="942">
        <f t="shared" si="26"/>
        <v>1870</v>
      </c>
      <c r="AK98" s="942">
        <f t="shared" si="29"/>
        <v>1328</v>
      </c>
      <c r="AL98" s="942">
        <f t="shared" si="29"/>
        <v>542</v>
      </c>
      <c r="AM98" s="942">
        <f t="shared" si="27"/>
        <v>16</v>
      </c>
    </row>
    <row r="99" spans="1:39" ht="16.5" customHeight="1">
      <c r="A99" s="1231"/>
      <c r="J99" s="1231" t="s">
        <v>1020</v>
      </c>
      <c r="K99" s="867" t="s">
        <v>228</v>
      </c>
      <c r="L99" s="867"/>
      <c r="M99" s="1232">
        <f t="shared" si="18"/>
        <v>140</v>
      </c>
      <c r="N99" s="1232">
        <v>2</v>
      </c>
      <c r="O99" s="1232">
        <v>1</v>
      </c>
      <c r="P99" s="1232">
        <f t="shared" si="19"/>
        <v>137</v>
      </c>
      <c r="Q99" s="1232">
        <v>4</v>
      </c>
      <c r="R99" s="1232">
        <f t="shared" si="20"/>
        <v>133</v>
      </c>
      <c r="S99" s="1232">
        <f t="shared" si="21"/>
        <v>132</v>
      </c>
      <c r="T99" s="1232">
        <v>98</v>
      </c>
      <c r="U99" s="1232">
        <v>34</v>
      </c>
      <c r="V99" s="1232">
        <v>1</v>
      </c>
      <c r="W99" s="1232"/>
      <c r="X99" s="1232" t="s">
        <v>9412</v>
      </c>
      <c r="Y99" s="1232" t="s">
        <v>9133</v>
      </c>
      <c r="Z99" s="1232" t="s">
        <v>9253</v>
      </c>
      <c r="AA99" s="1236" t="s">
        <v>1020</v>
      </c>
      <c r="AB99" s="867" t="s">
        <v>228</v>
      </c>
      <c r="AC99" s="1237"/>
      <c r="AD99" s="942">
        <f t="shared" si="22"/>
        <v>140</v>
      </c>
      <c r="AE99" s="942">
        <f t="shared" si="28"/>
        <v>2</v>
      </c>
      <c r="AF99" s="942">
        <f t="shared" si="28"/>
        <v>1</v>
      </c>
      <c r="AG99" s="942">
        <f t="shared" si="23"/>
        <v>137</v>
      </c>
      <c r="AH99" s="942">
        <f t="shared" si="24"/>
        <v>4</v>
      </c>
      <c r="AI99" s="942">
        <f t="shared" si="25"/>
        <v>133</v>
      </c>
      <c r="AJ99" s="942">
        <f t="shared" si="26"/>
        <v>132</v>
      </c>
      <c r="AK99" s="942">
        <f t="shared" si="29"/>
        <v>98</v>
      </c>
      <c r="AL99" s="942">
        <f t="shared" si="29"/>
        <v>34</v>
      </c>
      <c r="AM99" s="942">
        <f t="shared" si="27"/>
        <v>1</v>
      </c>
    </row>
    <row r="100" spans="1:39" ht="16.5" customHeight="1">
      <c r="A100" s="1231"/>
      <c r="J100" s="1231" t="s">
        <v>1022</v>
      </c>
      <c r="K100" s="867" t="s">
        <v>11628</v>
      </c>
      <c r="L100" s="867"/>
      <c r="M100" s="1232">
        <f t="shared" si="18"/>
        <v>1733</v>
      </c>
      <c r="N100" s="1241">
        <f>C97-SUM(N97:N99)</f>
        <v>57</v>
      </c>
      <c r="O100" s="1241">
        <f>D97-SUM(O97:O99)</f>
        <v>15</v>
      </c>
      <c r="P100" s="1241">
        <f t="shared" si="19"/>
        <v>1661</v>
      </c>
      <c r="Q100" s="1241">
        <f>E97-SUM(Q97:Q99)</f>
        <v>105</v>
      </c>
      <c r="R100" s="1241">
        <f t="shared" si="20"/>
        <v>1556</v>
      </c>
      <c r="S100" s="1241">
        <f t="shared" si="21"/>
        <v>1545</v>
      </c>
      <c r="T100" s="1241">
        <f>F97-SUM(T97:T99)</f>
        <v>1146</v>
      </c>
      <c r="U100" s="1241">
        <f>G97-SUM(U97:U99)</f>
        <v>399</v>
      </c>
      <c r="V100" s="1241">
        <f>H97-SUM(V97:V99)</f>
        <v>11</v>
      </c>
      <c r="W100" s="1232"/>
      <c r="X100" s="1232" t="s">
        <v>9412</v>
      </c>
      <c r="Y100" s="1232" t="s">
        <v>9133</v>
      </c>
      <c r="Z100" s="1232" t="s">
        <v>9253</v>
      </c>
      <c r="AA100" s="1236" t="s">
        <v>1022</v>
      </c>
      <c r="AB100" s="867" t="s">
        <v>11628</v>
      </c>
      <c r="AC100" s="1237"/>
      <c r="AD100" s="942">
        <f t="shared" si="22"/>
        <v>1733</v>
      </c>
      <c r="AE100" s="943">
        <f t="shared" si="28"/>
        <v>57</v>
      </c>
      <c r="AF100" s="943">
        <f t="shared" si="28"/>
        <v>15</v>
      </c>
      <c r="AG100" s="943">
        <f t="shared" si="23"/>
        <v>1661</v>
      </c>
      <c r="AH100" s="943">
        <f t="shared" si="24"/>
        <v>105</v>
      </c>
      <c r="AI100" s="943">
        <f t="shared" si="25"/>
        <v>1556</v>
      </c>
      <c r="AJ100" s="943">
        <f t="shared" si="26"/>
        <v>1545</v>
      </c>
      <c r="AK100" s="943">
        <f t="shared" si="29"/>
        <v>1146</v>
      </c>
      <c r="AL100" s="943">
        <f t="shared" si="29"/>
        <v>399</v>
      </c>
      <c r="AM100" s="943">
        <f t="shared" si="27"/>
        <v>11</v>
      </c>
    </row>
    <row r="101" spans="1:39" ht="16.5" customHeight="1">
      <c r="A101" s="1244" t="s">
        <v>9134</v>
      </c>
      <c r="B101" s="1245" t="s">
        <v>11629</v>
      </c>
      <c r="C101" s="1240">
        <v>449</v>
      </c>
      <c r="D101" s="1240">
        <v>192</v>
      </c>
      <c r="E101" s="1240">
        <v>750</v>
      </c>
      <c r="F101" s="1240">
        <v>6053</v>
      </c>
      <c r="G101" s="1240">
        <v>1839</v>
      </c>
      <c r="H101" s="1240">
        <v>54</v>
      </c>
      <c r="J101" s="1244" t="s">
        <v>1024</v>
      </c>
      <c r="K101" s="1245" t="s">
        <v>231</v>
      </c>
      <c r="L101" s="1245"/>
      <c r="M101" s="1246">
        <f t="shared" si="18"/>
        <v>9337</v>
      </c>
      <c r="N101" s="1246">
        <f t="shared" ref="N101:O102" si="30">C101</f>
        <v>449</v>
      </c>
      <c r="O101" s="1246">
        <f t="shared" si="30"/>
        <v>192</v>
      </c>
      <c r="P101" s="1246">
        <f t="shared" si="19"/>
        <v>8696</v>
      </c>
      <c r="Q101" s="1246">
        <f t="shared" ref="Q101:Q102" si="31">E101</f>
        <v>750</v>
      </c>
      <c r="R101" s="1246">
        <f t="shared" si="20"/>
        <v>7946</v>
      </c>
      <c r="S101" s="1246">
        <f t="shared" si="21"/>
        <v>7892</v>
      </c>
      <c r="T101" s="1246">
        <f t="shared" ref="T101:V102" si="32">F101</f>
        <v>6053</v>
      </c>
      <c r="U101" s="1246">
        <f t="shared" si="32"/>
        <v>1839</v>
      </c>
      <c r="V101" s="1246">
        <f t="shared" si="32"/>
        <v>54</v>
      </c>
      <c r="W101" s="1232"/>
      <c r="X101" s="1232" t="s">
        <v>230</v>
      </c>
      <c r="Y101" s="1232" t="s">
        <v>9134</v>
      </c>
      <c r="Z101" s="1232" t="s">
        <v>9276</v>
      </c>
      <c r="AA101" s="1247" t="s">
        <v>1024</v>
      </c>
      <c r="AB101" s="1245" t="s">
        <v>231</v>
      </c>
      <c r="AC101" s="1248"/>
      <c r="AD101" s="1215">
        <f t="shared" si="22"/>
        <v>9337</v>
      </c>
      <c r="AE101" s="1215">
        <f t="shared" si="28"/>
        <v>449</v>
      </c>
      <c r="AF101" s="1215">
        <f t="shared" si="28"/>
        <v>192</v>
      </c>
      <c r="AG101" s="1215">
        <f t="shared" si="23"/>
        <v>8696</v>
      </c>
      <c r="AH101" s="1215">
        <f t="shared" si="24"/>
        <v>750</v>
      </c>
      <c r="AI101" s="1215">
        <f t="shared" si="25"/>
        <v>7946</v>
      </c>
      <c r="AJ101" s="1215">
        <f t="shared" si="26"/>
        <v>7892</v>
      </c>
      <c r="AK101" s="1215">
        <f t="shared" si="29"/>
        <v>6053</v>
      </c>
      <c r="AL101" s="1215">
        <f t="shared" si="29"/>
        <v>1839</v>
      </c>
      <c r="AM101" s="1215">
        <f t="shared" si="27"/>
        <v>54</v>
      </c>
    </row>
    <row r="102" spans="1:39" ht="16.5" customHeight="1">
      <c r="A102" s="1244" t="s">
        <v>5383</v>
      </c>
      <c r="B102" s="1245" t="s">
        <v>234</v>
      </c>
      <c r="C102" s="1240">
        <v>1</v>
      </c>
      <c r="D102" s="1240">
        <v>0</v>
      </c>
      <c r="E102" s="1240">
        <v>19</v>
      </c>
      <c r="F102" s="1240">
        <v>275</v>
      </c>
      <c r="G102" s="1240">
        <v>65</v>
      </c>
      <c r="H102" s="1240">
        <v>4</v>
      </c>
      <c r="J102" s="1244" t="s">
        <v>1026</v>
      </c>
      <c r="K102" s="1245" t="s">
        <v>234</v>
      </c>
      <c r="L102" s="1245"/>
      <c r="M102" s="1246">
        <f t="shared" si="18"/>
        <v>364</v>
      </c>
      <c r="N102" s="1246">
        <f t="shared" si="30"/>
        <v>1</v>
      </c>
      <c r="O102" s="1246">
        <f t="shared" si="30"/>
        <v>0</v>
      </c>
      <c r="P102" s="1246">
        <f t="shared" si="19"/>
        <v>363</v>
      </c>
      <c r="Q102" s="1246">
        <f t="shared" si="31"/>
        <v>19</v>
      </c>
      <c r="R102" s="1246">
        <f t="shared" si="20"/>
        <v>344</v>
      </c>
      <c r="S102" s="1246">
        <f t="shared" si="21"/>
        <v>340</v>
      </c>
      <c r="T102" s="1246">
        <f t="shared" si="32"/>
        <v>275</v>
      </c>
      <c r="U102" s="1246">
        <f t="shared" si="32"/>
        <v>65</v>
      </c>
      <c r="V102" s="1246">
        <f t="shared" si="32"/>
        <v>4</v>
      </c>
      <c r="W102" s="1232"/>
      <c r="X102" s="1232" t="s">
        <v>233</v>
      </c>
      <c r="Y102" s="1232" t="s">
        <v>5383</v>
      </c>
      <c r="Z102" s="1232" t="s">
        <v>9257</v>
      </c>
      <c r="AA102" s="1247" t="s">
        <v>1026</v>
      </c>
      <c r="AB102" s="1245" t="s">
        <v>234</v>
      </c>
      <c r="AC102" s="1248"/>
      <c r="AD102" s="1215">
        <f t="shared" si="22"/>
        <v>364</v>
      </c>
      <c r="AE102" s="1215">
        <f t="shared" si="28"/>
        <v>1</v>
      </c>
      <c r="AF102" s="1215">
        <f t="shared" si="28"/>
        <v>0</v>
      </c>
      <c r="AG102" s="1215">
        <f t="shared" si="23"/>
        <v>363</v>
      </c>
      <c r="AH102" s="1215">
        <f t="shared" si="24"/>
        <v>19</v>
      </c>
      <c r="AI102" s="1215">
        <f t="shared" si="25"/>
        <v>344</v>
      </c>
      <c r="AJ102" s="1215">
        <f t="shared" si="26"/>
        <v>340</v>
      </c>
      <c r="AK102" s="1215">
        <f t="shared" si="29"/>
        <v>275</v>
      </c>
      <c r="AL102" s="1215">
        <f t="shared" si="29"/>
        <v>65</v>
      </c>
      <c r="AM102" s="1215">
        <f t="shared" si="27"/>
        <v>4</v>
      </c>
    </row>
    <row r="103" spans="1:39" ht="16.5" customHeight="1">
      <c r="A103" s="1231" t="s">
        <v>5385</v>
      </c>
      <c r="B103" s="867" t="s">
        <v>11630</v>
      </c>
      <c r="C103" s="1240">
        <v>9</v>
      </c>
      <c r="D103" s="1240">
        <v>4</v>
      </c>
      <c r="E103" s="1240">
        <v>71</v>
      </c>
      <c r="F103" s="1240">
        <v>1875</v>
      </c>
      <c r="G103" s="1240">
        <v>373</v>
      </c>
      <c r="H103" s="1240">
        <v>9</v>
      </c>
      <c r="J103" s="1231" t="s">
        <v>1028</v>
      </c>
      <c r="K103" s="867" t="s">
        <v>6226</v>
      </c>
      <c r="L103" s="867"/>
      <c r="M103" s="1232">
        <f t="shared" si="18"/>
        <v>194</v>
      </c>
      <c r="N103" s="1232">
        <v>0</v>
      </c>
      <c r="O103" s="1232">
        <v>0</v>
      </c>
      <c r="P103" s="1232">
        <f t="shared" si="19"/>
        <v>194</v>
      </c>
      <c r="Q103" s="1232">
        <v>1</v>
      </c>
      <c r="R103" s="1232">
        <f t="shared" si="20"/>
        <v>193</v>
      </c>
      <c r="S103" s="1232">
        <f t="shared" si="21"/>
        <v>192</v>
      </c>
      <c r="T103" s="1232">
        <v>160</v>
      </c>
      <c r="U103" s="1232">
        <v>32</v>
      </c>
      <c r="V103" s="1232">
        <v>1</v>
      </c>
      <c r="W103" s="1232"/>
      <c r="X103" s="1232" t="s">
        <v>236</v>
      </c>
      <c r="Y103" s="1232" t="s">
        <v>5385</v>
      </c>
      <c r="Z103" s="1232" t="s">
        <v>9257</v>
      </c>
      <c r="AA103" s="1236" t="s">
        <v>1028</v>
      </c>
      <c r="AB103" s="867" t="s">
        <v>6226</v>
      </c>
      <c r="AC103" s="1237"/>
      <c r="AD103" s="942">
        <f t="shared" si="22"/>
        <v>194</v>
      </c>
      <c r="AE103" s="942">
        <f t="shared" si="28"/>
        <v>0</v>
      </c>
      <c r="AF103" s="942">
        <f t="shared" si="28"/>
        <v>0</v>
      </c>
      <c r="AG103" s="942">
        <f t="shared" si="23"/>
        <v>194</v>
      </c>
      <c r="AH103" s="942">
        <f t="shared" si="24"/>
        <v>1</v>
      </c>
      <c r="AI103" s="942">
        <f t="shared" si="25"/>
        <v>193</v>
      </c>
      <c r="AJ103" s="942">
        <f t="shared" si="26"/>
        <v>192</v>
      </c>
      <c r="AK103" s="942">
        <f t="shared" si="29"/>
        <v>160</v>
      </c>
      <c r="AL103" s="942">
        <f t="shared" si="29"/>
        <v>32</v>
      </c>
      <c r="AM103" s="942">
        <f t="shared" si="27"/>
        <v>1</v>
      </c>
    </row>
    <row r="104" spans="1:39" ht="16.5" customHeight="1">
      <c r="A104" s="1231"/>
      <c r="J104" s="1231" t="s">
        <v>1030</v>
      </c>
      <c r="K104" s="867" t="s">
        <v>6234</v>
      </c>
      <c r="L104" s="867"/>
      <c r="M104" s="1232">
        <f t="shared" si="18"/>
        <v>117</v>
      </c>
      <c r="N104" s="1232">
        <v>0</v>
      </c>
      <c r="O104" s="1232">
        <v>0</v>
      </c>
      <c r="P104" s="1232">
        <f t="shared" si="19"/>
        <v>117</v>
      </c>
      <c r="Q104" s="1232">
        <v>3</v>
      </c>
      <c r="R104" s="1232">
        <f t="shared" si="20"/>
        <v>114</v>
      </c>
      <c r="S104" s="1232">
        <f t="shared" si="21"/>
        <v>114</v>
      </c>
      <c r="T104" s="1232">
        <v>95</v>
      </c>
      <c r="U104" s="1232">
        <v>19</v>
      </c>
      <c r="V104" s="1232">
        <v>0</v>
      </c>
      <c r="W104" s="1232"/>
      <c r="X104" s="1232" t="s">
        <v>241</v>
      </c>
      <c r="Y104" s="1232" t="s">
        <v>5385</v>
      </c>
      <c r="Z104" s="1232" t="s">
        <v>9257</v>
      </c>
      <c r="AA104" s="1236" t="s">
        <v>1030</v>
      </c>
      <c r="AB104" s="867" t="s">
        <v>6234</v>
      </c>
      <c r="AC104" s="1237"/>
      <c r="AD104" s="942">
        <f t="shared" si="22"/>
        <v>117</v>
      </c>
      <c r="AE104" s="942">
        <f t="shared" si="28"/>
        <v>0</v>
      </c>
      <c r="AF104" s="942">
        <f t="shared" si="28"/>
        <v>0</v>
      </c>
      <c r="AG104" s="942">
        <f t="shared" si="23"/>
        <v>117</v>
      </c>
      <c r="AH104" s="942">
        <f t="shared" si="24"/>
        <v>3</v>
      </c>
      <c r="AI104" s="942">
        <f t="shared" si="25"/>
        <v>114</v>
      </c>
      <c r="AJ104" s="942">
        <f t="shared" si="26"/>
        <v>114</v>
      </c>
      <c r="AK104" s="942">
        <f t="shared" si="29"/>
        <v>95</v>
      </c>
      <c r="AL104" s="942">
        <f t="shared" si="29"/>
        <v>19</v>
      </c>
      <c r="AM104" s="942">
        <f t="shared" si="27"/>
        <v>0</v>
      </c>
    </row>
    <row r="105" spans="1:39" ht="16.5" customHeight="1">
      <c r="A105" s="1231"/>
      <c r="J105" s="1231" t="s">
        <v>1032</v>
      </c>
      <c r="K105" s="867" t="s">
        <v>245</v>
      </c>
      <c r="L105" s="867"/>
      <c r="M105" s="1232">
        <f t="shared" si="18"/>
        <v>202</v>
      </c>
      <c r="N105" s="1232">
        <v>2</v>
      </c>
      <c r="O105" s="1232">
        <v>1</v>
      </c>
      <c r="P105" s="1232">
        <f t="shared" si="19"/>
        <v>199</v>
      </c>
      <c r="Q105" s="1232">
        <v>8</v>
      </c>
      <c r="R105" s="1232">
        <f t="shared" si="20"/>
        <v>191</v>
      </c>
      <c r="S105" s="1232">
        <f t="shared" si="21"/>
        <v>191</v>
      </c>
      <c r="T105" s="1232">
        <v>159</v>
      </c>
      <c r="U105" s="1232">
        <v>32</v>
      </c>
      <c r="V105" s="1232">
        <v>0</v>
      </c>
      <c r="W105" s="1232"/>
      <c r="X105" s="1232" t="s">
        <v>241</v>
      </c>
      <c r="Y105" s="1232" t="s">
        <v>5385</v>
      </c>
      <c r="Z105" s="1232" t="s">
        <v>9257</v>
      </c>
      <c r="AA105" s="1236" t="s">
        <v>1032</v>
      </c>
      <c r="AB105" s="867" t="s">
        <v>245</v>
      </c>
      <c r="AC105" s="1237"/>
      <c r="AD105" s="942">
        <f t="shared" si="22"/>
        <v>202</v>
      </c>
      <c r="AE105" s="942">
        <f t="shared" si="28"/>
        <v>2</v>
      </c>
      <c r="AF105" s="942">
        <f t="shared" si="28"/>
        <v>1</v>
      </c>
      <c r="AG105" s="942">
        <f t="shared" si="23"/>
        <v>199</v>
      </c>
      <c r="AH105" s="942">
        <f t="shared" si="24"/>
        <v>8</v>
      </c>
      <c r="AI105" s="942">
        <f t="shared" si="25"/>
        <v>191</v>
      </c>
      <c r="AJ105" s="942">
        <f t="shared" si="26"/>
        <v>191</v>
      </c>
      <c r="AK105" s="942">
        <f t="shared" si="29"/>
        <v>159</v>
      </c>
      <c r="AL105" s="942">
        <f t="shared" si="29"/>
        <v>32</v>
      </c>
      <c r="AM105" s="942">
        <f t="shared" si="27"/>
        <v>0</v>
      </c>
    </row>
    <row r="106" spans="1:39" ht="16.5" customHeight="1">
      <c r="A106" s="1231"/>
      <c r="J106" s="1231" t="s">
        <v>1034</v>
      </c>
      <c r="K106" s="867" t="s">
        <v>248</v>
      </c>
      <c r="L106" s="867"/>
      <c r="M106" s="1232">
        <f t="shared" si="18"/>
        <v>270</v>
      </c>
      <c r="N106" s="1232">
        <v>5</v>
      </c>
      <c r="O106" s="1232">
        <v>2</v>
      </c>
      <c r="P106" s="1232">
        <f t="shared" si="19"/>
        <v>263</v>
      </c>
      <c r="Q106" s="1232">
        <v>18</v>
      </c>
      <c r="R106" s="1232">
        <f t="shared" si="20"/>
        <v>245</v>
      </c>
      <c r="S106" s="1232">
        <f t="shared" si="21"/>
        <v>242</v>
      </c>
      <c r="T106" s="1232">
        <v>203</v>
      </c>
      <c r="U106" s="1232">
        <v>39</v>
      </c>
      <c r="V106" s="1232">
        <v>3</v>
      </c>
      <c r="W106" s="1232"/>
      <c r="X106" s="1232" t="s">
        <v>241</v>
      </c>
      <c r="Y106" s="1232" t="s">
        <v>5385</v>
      </c>
      <c r="Z106" s="1232" t="s">
        <v>9257</v>
      </c>
      <c r="AA106" s="1236" t="s">
        <v>1034</v>
      </c>
      <c r="AB106" s="867" t="s">
        <v>248</v>
      </c>
      <c r="AC106" s="1237"/>
      <c r="AD106" s="942">
        <f t="shared" si="22"/>
        <v>270</v>
      </c>
      <c r="AE106" s="942">
        <f t="shared" si="28"/>
        <v>5</v>
      </c>
      <c r="AF106" s="942">
        <f t="shared" si="28"/>
        <v>2</v>
      </c>
      <c r="AG106" s="942">
        <f t="shared" si="23"/>
        <v>263</v>
      </c>
      <c r="AH106" s="942">
        <f t="shared" si="24"/>
        <v>18</v>
      </c>
      <c r="AI106" s="942">
        <f t="shared" si="25"/>
        <v>245</v>
      </c>
      <c r="AJ106" s="942">
        <f t="shared" si="26"/>
        <v>242</v>
      </c>
      <c r="AK106" s="942">
        <f t="shared" si="29"/>
        <v>203</v>
      </c>
      <c r="AL106" s="942">
        <f t="shared" si="29"/>
        <v>39</v>
      </c>
      <c r="AM106" s="942">
        <f t="shared" si="27"/>
        <v>3</v>
      </c>
    </row>
    <row r="107" spans="1:39" ht="16.5" customHeight="1">
      <c r="A107" s="1231"/>
      <c r="J107" s="1231" t="s">
        <v>1036</v>
      </c>
      <c r="K107" s="940" t="s">
        <v>249</v>
      </c>
      <c r="L107" s="940"/>
      <c r="M107" s="1241">
        <f t="shared" si="18"/>
        <v>1558</v>
      </c>
      <c r="N107" s="1241">
        <f>C103-SUM(N103:N106)</f>
        <v>2</v>
      </c>
      <c r="O107" s="1241">
        <f>D103-SUM(O103:O106)</f>
        <v>1</v>
      </c>
      <c r="P107" s="1241">
        <f t="shared" si="19"/>
        <v>1555</v>
      </c>
      <c r="Q107" s="1241">
        <f>E103-SUM(Q103:Q106)</f>
        <v>41</v>
      </c>
      <c r="R107" s="1241">
        <f t="shared" si="20"/>
        <v>1514</v>
      </c>
      <c r="S107" s="1241">
        <f t="shared" si="21"/>
        <v>1509</v>
      </c>
      <c r="T107" s="1241">
        <f>F103-SUM(T103:T106)</f>
        <v>1258</v>
      </c>
      <c r="U107" s="1241">
        <f>G103-SUM(U103:U106)</f>
        <v>251</v>
      </c>
      <c r="V107" s="1241">
        <f>H103-SUM(V103:V106)</f>
        <v>5</v>
      </c>
      <c r="W107" s="1232"/>
      <c r="X107" s="1232" t="s">
        <v>241</v>
      </c>
      <c r="Y107" s="1232" t="s">
        <v>5385</v>
      </c>
      <c r="Z107" s="1232" t="s">
        <v>9257</v>
      </c>
      <c r="AA107" s="1236" t="s">
        <v>1036</v>
      </c>
      <c r="AB107" s="940" t="s">
        <v>249</v>
      </c>
      <c r="AC107" s="1243"/>
      <c r="AD107" s="943">
        <f t="shared" si="22"/>
        <v>1558</v>
      </c>
      <c r="AE107" s="943">
        <f t="shared" si="28"/>
        <v>2</v>
      </c>
      <c r="AF107" s="943">
        <f t="shared" si="28"/>
        <v>1</v>
      </c>
      <c r="AG107" s="943">
        <f t="shared" si="23"/>
        <v>1555</v>
      </c>
      <c r="AH107" s="943">
        <f t="shared" si="24"/>
        <v>41</v>
      </c>
      <c r="AI107" s="943">
        <f t="shared" si="25"/>
        <v>1514</v>
      </c>
      <c r="AJ107" s="943">
        <f t="shared" si="26"/>
        <v>1509</v>
      </c>
      <c r="AK107" s="943">
        <f t="shared" si="29"/>
        <v>1258</v>
      </c>
      <c r="AL107" s="943">
        <f t="shared" si="29"/>
        <v>251</v>
      </c>
      <c r="AM107" s="943">
        <f t="shared" si="27"/>
        <v>5</v>
      </c>
    </row>
    <row r="108" spans="1:39" ht="16.5" customHeight="1">
      <c r="A108" s="1239" t="s">
        <v>5906</v>
      </c>
      <c r="B108" s="1234" t="s">
        <v>11631</v>
      </c>
      <c r="C108" s="1240">
        <v>0</v>
      </c>
      <c r="D108" s="1240">
        <v>0</v>
      </c>
      <c r="E108" s="1240">
        <v>1</v>
      </c>
      <c r="F108" s="1240">
        <v>222</v>
      </c>
      <c r="G108" s="1240">
        <v>41</v>
      </c>
      <c r="H108" s="1240">
        <v>1</v>
      </c>
      <c r="J108" s="1239" t="s">
        <v>1038</v>
      </c>
      <c r="K108" s="867" t="s">
        <v>6273</v>
      </c>
      <c r="L108" s="867"/>
      <c r="M108" s="1232" t="e">
        <f t="shared" si="18"/>
        <v>#DIV/0!</v>
      </c>
      <c r="N108" s="1232" t="e">
        <v>#DIV/0!</v>
      </c>
      <c r="O108" s="1232" t="e">
        <v>#DIV/0!</v>
      </c>
      <c r="P108" s="1232">
        <f t="shared" si="19"/>
        <v>0</v>
      </c>
      <c r="Q108" s="1232">
        <v>0</v>
      </c>
      <c r="R108" s="1232">
        <f t="shared" si="20"/>
        <v>0</v>
      </c>
      <c r="S108" s="1232">
        <f t="shared" si="21"/>
        <v>0</v>
      </c>
      <c r="T108" s="1232">
        <v>0</v>
      </c>
      <c r="U108" s="1232">
        <v>0</v>
      </c>
      <c r="V108" s="1232">
        <v>0</v>
      </c>
      <c r="W108" s="1232"/>
      <c r="X108" s="1232" t="s">
        <v>250</v>
      </c>
      <c r="Y108" s="1232" t="s">
        <v>5906</v>
      </c>
      <c r="Z108" s="1232" t="s">
        <v>9257</v>
      </c>
      <c r="AA108" s="1233" t="s">
        <v>1038</v>
      </c>
      <c r="AB108" s="867" t="s">
        <v>6273</v>
      </c>
      <c r="AC108" s="1237"/>
      <c r="AD108" s="942">
        <f t="shared" si="22"/>
        <v>0</v>
      </c>
      <c r="AE108" s="1217">
        <v>0</v>
      </c>
      <c r="AF108" s="1217">
        <v>0</v>
      </c>
      <c r="AG108" s="942">
        <f t="shared" si="23"/>
        <v>0</v>
      </c>
      <c r="AH108" s="942">
        <f t="shared" si="24"/>
        <v>0</v>
      </c>
      <c r="AI108" s="942">
        <f t="shared" si="25"/>
        <v>0</v>
      </c>
      <c r="AJ108" s="942">
        <f t="shared" si="26"/>
        <v>0</v>
      </c>
      <c r="AK108" s="942">
        <f t="shared" si="29"/>
        <v>0</v>
      </c>
      <c r="AL108" s="942">
        <f t="shared" si="29"/>
        <v>0</v>
      </c>
      <c r="AM108" s="942">
        <f t="shared" si="27"/>
        <v>0</v>
      </c>
    </row>
    <row r="109" spans="1:39" ht="16.5" customHeight="1">
      <c r="A109" s="1231"/>
      <c r="J109" s="1231" t="s">
        <v>1040</v>
      </c>
      <c r="K109" s="940" t="s">
        <v>11632</v>
      </c>
      <c r="L109" s="940"/>
      <c r="M109" s="1241" t="e">
        <f t="shared" si="18"/>
        <v>#DIV/0!</v>
      </c>
      <c r="N109" s="1241" t="e">
        <f>C108-SUM(N108:N108)</f>
        <v>#DIV/0!</v>
      </c>
      <c r="O109" s="1241" t="e">
        <f>D108-SUM(O108:O108)</f>
        <v>#DIV/0!</v>
      </c>
      <c r="P109" s="1241">
        <f t="shared" si="19"/>
        <v>265</v>
      </c>
      <c r="Q109" s="1241">
        <f>E108-SUM(Q108:Q108)</f>
        <v>1</v>
      </c>
      <c r="R109" s="1241">
        <f t="shared" si="20"/>
        <v>264</v>
      </c>
      <c r="S109" s="1241">
        <f t="shared" si="21"/>
        <v>263</v>
      </c>
      <c r="T109" s="1241">
        <f>F108-SUM(T108:T108)</f>
        <v>222</v>
      </c>
      <c r="U109" s="1241">
        <f>G108-SUM(U108:U108)</f>
        <v>41</v>
      </c>
      <c r="V109" s="1241">
        <f>H108-SUM(V108:V108)</f>
        <v>1</v>
      </c>
      <c r="W109" s="1232"/>
      <c r="X109" s="1232" t="s">
        <v>250</v>
      </c>
      <c r="Y109" s="1232" t="s">
        <v>5906</v>
      </c>
      <c r="Z109" s="1232" t="s">
        <v>9257</v>
      </c>
      <c r="AA109" s="1236" t="s">
        <v>1040</v>
      </c>
      <c r="AB109" s="940" t="s">
        <v>11632</v>
      </c>
      <c r="AC109" s="1243"/>
      <c r="AD109" s="943">
        <f t="shared" si="22"/>
        <v>265</v>
      </c>
      <c r="AE109" s="1218">
        <v>0</v>
      </c>
      <c r="AF109" s="1218">
        <v>0</v>
      </c>
      <c r="AG109" s="943">
        <f t="shared" si="23"/>
        <v>265</v>
      </c>
      <c r="AH109" s="943">
        <f t="shared" si="24"/>
        <v>1</v>
      </c>
      <c r="AI109" s="943">
        <f t="shared" si="25"/>
        <v>264</v>
      </c>
      <c r="AJ109" s="943">
        <f t="shared" si="26"/>
        <v>263</v>
      </c>
      <c r="AK109" s="943">
        <f t="shared" si="29"/>
        <v>222</v>
      </c>
      <c r="AL109" s="943">
        <f t="shared" si="29"/>
        <v>41</v>
      </c>
      <c r="AM109" s="943">
        <f t="shared" si="27"/>
        <v>1</v>
      </c>
    </row>
    <row r="110" spans="1:39" ht="16.5" customHeight="1">
      <c r="A110" s="1239" t="s">
        <v>5908</v>
      </c>
      <c r="B110" s="1234" t="s">
        <v>11633</v>
      </c>
      <c r="C110" s="1240">
        <v>10</v>
      </c>
      <c r="D110" s="1240">
        <v>4</v>
      </c>
      <c r="E110" s="1240">
        <v>49</v>
      </c>
      <c r="F110" s="1240">
        <v>2859</v>
      </c>
      <c r="G110" s="1240">
        <v>570</v>
      </c>
      <c r="H110" s="1240">
        <v>4</v>
      </c>
      <c r="J110" s="1239" t="s">
        <v>1042</v>
      </c>
      <c r="K110" s="867" t="s">
        <v>6286</v>
      </c>
      <c r="L110" s="867"/>
      <c r="M110" s="1232">
        <f t="shared" si="18"/>
        <v>589</v>
      </c>
      <c r="N110" s="1232">
        <v>1</v>
      </c>
      <c r="O110" s="1232">
        <v>0</v>
      </c>
      <c r="P110" s="1232">
        <f t="shared" si="19"/>
        <v>588</v>
      </c>
      <c r="Q110" s="1232">
        <v>4</v>
      </c>
      <c r="R110" s="1232">
        <f t="shared" si="20"/>
        <v>584</v>
      </c>
      <c r="S110" s="1232">
        <f t="shared" si="21"/>
        <v>584</v>
      </c>
      <c r="T110" s="1232">
        <v>487</v>
      </c>
      <c r="U110" s="1232">
        <v>97</v>
      </c>
      <c r="V110" s="1232">
        <v>0</v>
      </c>
      <c r="W110" s="1232"/>
      <c r="X110" s="1232" t="s">
        <v>262</v>
      </c>
      <c r="Y110" s="1232" t="s">
        <v>5908</v>
      </c>
      <c r="Z110" s="1232" t="s">
        <v>9257</v>
      </c>
      <c r="AA110" s="1233" t="s">
        <v>1042</v>
      </c>
      <c r="AB110" s="867" t="s">
        <v>6286</v>
      </c>
      <c r="AC110" s="1237"/>
      <c r="AD110" s="942">
        <f t="shared" si="22"/>
        <v>589</v>
      </c>
      <c r="AE110" s="942">
        <f t="shared" si="28"/>
        <v>1</v>
      </c>
      <c r="AF110" s="942">
        <f t="shared" si="28"/>
        <v>0</v>
      </c>
      <c r="AG110" s="942">
        <f t="shared" si="23"/>
        <v>588</v>
      </c>
      <c r="AH110" s="942">
        <f t="shared" si="24"/>
        <v>4</v>
      </c>
      <c r="AI110" s="942">
        <f t="shared" si="25"/>
        <v>584</v>
      </c>
      <c r="AJ110" s="942">
        <f t="shared" si="26"/>
        <v>584</v>
      </c>
      <c r="AK110" s="942">
        <f t="shared" si="29"/>
        <v>487</v>
      </c>
      <c r="AL110" s="942">
        <f t="shared" si="29"/>
        <v>97</v>
      </c>
      <c r="AM110" s="942">
        <f t="shared" si="27"/>
        <v>0</v>
      </c>
    </row>
    <row r="111" spans="1:39" ht="16.5" customHeight="1">
      <c r="A111" s="1231"/>
      <c r="J111" s="1231" t="s">
        <v>1044</v>
      </c>
      <c r="K111" s="867" t="s">
        <v>11634</v>
      </c>
      <c r="L111" s="867"/>
      <c r="M111" s="1232">
        <f t="shared" si="18"/>
        <v>591</v>
      </c>
      <c r="N111" s="1232">
        <v>1</v>
      </c>
      <c r="O111" s="1232">
        <v>0</v>
      </c>
      <c r="P111" s="1232">
        <f t="shared" si="19"/>
        <v>590</v>
      </c>
      <c r="Q111" s="1232">
        <v>9</v>
      </c>
      <c r="R111" s="1232">
        <f t="shared" si="20"/>
        <v>581</v>
      </c>
      <c r="S111" s="1232">
        <f t="shared" si="21"/>
        <v>581</v>
      </c>
      <c r="T111" s="1232">
        <v>484</v>
      </c>
      <c r="U111" s="1232">
        <v>97</v>
      </c>
      <c r="V111" s="1232">
        <v>0</v>
      </c>
      <c r="W111" s="1232"/>
      <c r="X111" s="1232" t="s">
        <v>262</v>
      </c>
      <c r="Y111" s="1232" t="s">
        <v>5908</v>
      </c>
      <c r="Z111" s="1232" t="s">
        <v>9257</v>
      </c>
      <c r="AA111" s="1236" t="s">
        <v>1044</v>
      </c>
      <c r="AB111" s="867" t="s">
        <v>11634</v>
      </c>
      <c r="AC111" s="1237"/>
      <c r="AD111" s="942">
        <f t="shared" si="22"/>
        <v>591</v>
      </c>
      <c r="AE111" s="942">
        <f t="shared" si="28"/>
        <v>1</v>
      </c>
      <c r="AF111" s="942">
        <f t="shared" si="28"/>
        <v>0</v>
      </c>
      <c r="AG111" s="942">
        <f t="shared" si="23"/>
        <v>590</v>
      </c>
      <c r="AH111" s="942">
        <f t="shared" si="24"/>
        <v>9</v>
      </c>
      <c r="AI111" s="942">
        <f t="shared" si="25"/>
        <v>581</v>
      </c>
      <c r="AJ111" s="942">
        <f t="shared" si="26"/>
        <v>581</v>
      </c>
      <c r="AK111" s="942">
        <f t="shared" si="29"/>
        <v>484</v>
      </c>
      <c r="AL111" s="942">
        <f t="shared" si="29"/>
        <v>97</v>
      </c>
      <c r="AM111" s="942">
        <f t="shared" si="27"/>
        <v>0</v>
      </c>
    </row>
    <row r="112" spans="1:39" ht="16.5" customHeight="1">
      <c r="A112" s="1231"/>
      <c r="J112" s="1231" t="s">
        <v>1046</v>
      </c>
      <c r="K112" s="867" t="s">
        <v>280</v>
      </c>
      <c r="L112" s="867"/>
      <c r="M112" s="1232">
        <f t="shared" si="18"/>
        <v>147</v>
      </c>
      <c r="N112" s="1232">
        <v>0</v>
      </c>
      <c r="O112" s="1232">
        <v>0</v>
      </c>
      <c r="P112" s="1232">
        <f t="shared" si="19"/>
        <v>147</v>
      </c>
      <c r="Q112" s="1232">
        <v>0</v>
      </c>
      <c r="R112" s="1232">
        <f t="shared" si="20"/>
        <v>147</v>
      </c>
      <c r="S112" s="1232">
        <f t="shared" si="21"/>
        <v>147</v>
      </c>
      <c r="T112" s="1232">
        <v>123</v>
      </c>
      <c r="U112" s="1232">
        <v>24</v>
      </c>
      <c r="V112" s="1232">
        <v>0</v>
      </c>
      <c r="W112" s="1232"/>
      <c r="X112" s="1232" t="s">
        <v>9413</v>
      </c>
      <c r="Y112" s="1232" t="s">
        <v>5908</v>
      </c>
      <c r="Z112" s="1232" t="s">
        <v>9257</v>
      </c>
      <c r="AA112" s="1236" t="s">
        <v>1046</v>
      </c>
      <c r="AB112" s="867" t="s">
        <v>280</v>
      </c>
      <c r="AC112" s="1237"/>
      <c r="AD112" s="942">
        <f t="shared" si="22"/>
        <v>147</v>
      </c>
      <c r="AE112" s="942">
        <f t="shared" si="28"/>
        <v>0</v>
      </c>
      <c r="AF112" s="942">
        <f t="shared" si="28"/>
        <v>0</v>
      </c>
      <c r="AG112" s="942">
        <f t="shared" si="23"/>
        <v>147</v>
      </c>
      <c r="AH112" s="942">
        <f t="shared" si="24"/>
        <v>0</v>
      </c>
      <c r="AI112" s="942">
        <f t="shared" si="25"/>
        <v>147</v>
      </c>
      <c r="AJ112" s="942">
        <f t="shared" si="26"/>
        <v>147</v>
      </c>
      <c r="AK112" s="942">
        <f t="shared" si="29"/>
        <v>123</v>
      </c>
      <c r="AL112" s="942">
        <f t="shared" si="29"/>
        <v>24</v>
      </c>
      <c r="AM112" s="942">
        <f t="shared" si="27"/>
        <v>0</v>
      </c>
    </row>
    <row r="113" spans="1:39" ht="16.5" customHeight="1">
      <c r="A113" s="1231"/>
      <c r="J113" s="1231" t="s">
        <v>1048</v>
      </c>
      <c r="K113" s="867" t="s">
        <v>282</v>
      </c>
      <c r="L113" s="867"/>
      <c r="M113" s="1232">
        <f t="shared" si="18"/>
        <v>0</v>
      </c>
      <c r="N113" s="1232">
        <v>0</v>
      </c>
      <c r="O113" s="1232">
        <v>0</v>
      </c>
      <c r="P113" s="1232">
        <f t="shared" si="19"/>
        <v>0</v>
      </c>
      <c r="Q113" s="1232">
        <v>0</v>
      </c>
      <c r="R113" s="1232">
        <f t="shared" si="20"/>
        <v>0</v>
      </c>
      <c r="S113" s="1232">
        <f t="shared" si="21"/>
        <v>0</v>
      </c>
      <c r="T113" s="1232">
        <v>0</v>
      </c>
      <c r="U113" s="1232">
        <v>0</v>
      </c>
      <c r="V113" s="1232">
        <v>0</v>
      </c>
      <c r="W113" s="1232"/>
      <c r="X113" s="1232" t="s">
        <v>9414</v>
      </c>
      <c r="Y113" s="1232" t="s">
        <v>5908</v>
      </c>
      <c r="Z113" s="1232" t="s">
        <v>9257</v>
      </c>
      <c r="AA113" s="1236" t="s">
        <v>1048</v>
      </c>
      <c r="AB113" s="867" t="s">
        <v>282</v>
      </c>
      <c r="AC113" s="1237"/>
      <c r="AD113" s="942">
        <f t="shared" si="22"/>
        <v>0</v>
      </c>
      <c r="AE113" s="942">
        <f t="shared" si="28"/>
        <v>0</v>
      </c>
      <c r="AF113" s="942">
        <f t="shared" si="28"/>
        <v>0</v>
      </c>
      <c r="AG113" s="942">
        <f t="shared" si="23"/>
        <v>0</v>
      </c>
      <c r="AH113" s="942">
        <f t="shared" si="24"/>
        <v>0</v>
      </c>
      <c r="AI113" s="942">
        <f t="shared" si="25"/>
        <v>0</v>
      </c>
      <c r="AJ113" s="942">
        <f t="shared" si="26"/>
        <v>0</v>
      </c>
      <c r="AK113" s="942">
        <f t="shared" si="29"/>
        <v>0</v>
      </c>
      <c r="AL113" s="942">
        <f t="shared" si="29"/>
        <v>0</v>
      </c>
      <c r="AM113" s="942">
        <f t="shared" si="27"/>
        <v>0</v>
      </c>
    </row>
    <row r="114" spans="1:39" ht="16.5" customHeight="1">
      <c r="A114" s="1231"/>
      <c r="J114" s="1231" t="s">
        <v>1050</v>
      </c>
      <c r="K114" s="867" t="s">
        <v>283</v>
      </c>
      <c r="L114" s="867"/>
      <c r="M114" s="1232">
        <f t="shared" si="18"/>
        <v>19</v>
      </c>
      <c r="N114" s="1232">
        <v>0</v>
      </c>
      <c r="O114" s="1232">
        <v>0</v>
      </c>
      <c r="P114" s="1232">
        <f t="shared" si="19"/>
        <v>19</v>
      </c>
      <c r="Q114" s="1232">
        <v>0</v>
      </c>
      <c r="R114" s="1232">
        <f t="shared" si="20"/>
        <v>19</v>
      </c>
      <c r="S114" s="1232">
        <f t="shared" si="21"/>
        <v>19</v>
      </c>
      <c r="T114" s="1232">
        <v>16</v>
      </c>
      <c r="U114" s="1232">
        <v>3</v>
      </c>
      <c r="V114" s="1232">
        <v>0</v>
      </c>
      <c r="W114" s="1232"/>
      <c r="X114" s="1232" t="s">
        <v>9414</v>
      </c>
      <c r="Y114" s="1232" t="s">
        <v>5908</v>
      </c>
      <c r="Z114" s="1232" t="s">
        <v>9257</v>
      </c>
      <c r="AA114" s="1236" t="s">
        <v>1050</v>
      </c>
      <c r="AB114" s="867" t="s">
        <v>283</v>
      </c>
      <c r="AC114" s="1237"/>
      <c r="AD114" s="942">
        <f t="shared" si="22"/>
        <v>19</v>
      </c>
      <c r="AE114" s="942">
        <f t="shared" si="28"/>
        <v>0</v>
      </c>
      <c r="AF114" s="942">
        <f t="shared" si="28"/>
        <v>0</v>
      </c>
      <c r="AG114" s="942">
        <f t="shared" si="23"/>
        <v>19</v>
      </c>
      <c r="AH114" s="942">
        <f t="shared" si="24"/>
        <v>0</v>
      </c>
      <c r="AI114" s="942">
        <f t="shared" si="25"/>
        <v>19</v>
      </c>
      <c r="AJ114" s="942">
        <f t="shared" si="26"/>
        <v>19</v>
      </c>
      <c r="AK114" s="942">
        <f t="shared" si="29"/>
        <v>16</v>
      </c>
      <c r="AL114" s="942">
        <f t="shared" si="29"/>
        <v>3</v>
      </c>
      <c r="AM114" s="942">
        <f t="shared" si="27"/>
        <v>0</v>
      </c>
    </row>
    <row r="115" spans="1:39" ht="16.5" customHeight="1">
      <c r="A115" s="1231"/>
      <c r="J115" s="1231" t="s">
        <v>1052</v>
      </c>
      <c r="K115" s="940" t="s">
        <v>284</v>
      </c>
      <c r="L115" s="940"/>
      <c r="M115" s="1241">
        <f t="shared" si="18"/>
        <v>2150</v>
      </c>
      <c r="N115" s="1241">
        <f>C110-SUM(N110:N114)</f>
        <v>8</v>
      </c>
      <c r="O115" s="1241">
        <f>D110-SUM(O110:O114)</f>
        <v>4</v>
      </c>
      <c r="P115" s="1241">
        <f t="shared" si="19"/>
        <v>2138</v>
      </c>
      <c r="Q115" s="1241">
        <f>E110-SUM(Q110:Q114)</f>
        <v>36</v>
      </c>
      <c r="R115" s="1241">
        <f t="shared" si="20"/>
        <v>2102</v>
      </c>
      <c r="S115" s="1241">
        <f t="shared" si="21"/>
        <v>2098</v>
      </c>
      <c r="T115" s="1241">
        <f>F110-SUM(T110:T114)</f>
        <v>1749</v>
      </c>
      <c r="U115" s="1241">
        <f>G110-SUM(U110:U114)</f>
        <v>349</v>
      </c>
      <c r="V115" s="1241">
        <f>H110-SUM(V110:V114)</f>
        <v>4</v>
      </c>
      <c r="W115" s="1232"/>
      <c r="X115" s="1232" t="s">
        <v>9414</v>
      </c>
      <c r="Y115" s="1232" t="s">
        <v>5908</v>
      </c>
      <c r="Z115" s="1232" t="s">
        <v>9257</v>
      </c>
      <c r="AA115" s="1236" t="s">
        <v>1052</v>
      </c>
      <c r="AB115" s="940" t="s">
        <v>284</v>
      </c>
      <c r="AC115" s="1243"/>
      <c r="AD115" s="943">
        <f t="shared" si="22"/>
        <v>2150</v>
      </c>
      <c r="AE115" s="943">
        <f t="shared" si="28"/>
        <v>8</v>
      </c>
      <c r="AF115" s="943">
        <f t="shared" si="28"/>
        <v>4</v>
      </c>
      <c r="AG115" s="943">
        <f t="shared" si="23"/>
        <v>2138</v>
      </c>
      <c r="AH115" s="943">
        <f t="shared" si="24"/>
        <v>36</v>
      </c>
      <c r="AI115" s="943">
        <f t="shared" si="25"/>
        <v>2102</v>
      </c>
      <c r="AJ115" s="943">
        <f t="shared" si="26"/>
        <v>2098</v>
      </c>
      <c r="AK115" s="943">
        <f t="shared" si="29"/>
        <v>1749</v>
      </c>
      <c r="AL115" s="943">
        <f t="shared" si="29"/>
        <v>349</v>
      </c>
      <c r="AM115" s="943">
        <f t="shared" si="27"/>
        <v>4</v>
      </c>
    </row>
    <row r="116" spans="1:39" ht="16.5" customHeight="1">
      <c r="A116" s="1239" t="s">
        <v>9135</v>
      </c>
      <c r="B116" s="1234" t="s">
        <v>9068</v>
      </c>
      <c r="C116" s="1240">
        <v>2</v>
      </c>
      <c r="D116" s="1240">
        <v>1</v>
      </c>
      <c r="E116" s="1240">
        <v>13</v>
      </c>
      <c r="F116" s="1240">
        <v>1036</v>
      </c>
      <c r="G116" s="1240">
        <v>177</v>
      </c>
      <c r="H116" s="1240">
        <v>1</v>
      </c>
      <c r="J116" s="1239" t="s">
        <v>1054</v>
      </c>
      <c r="K116" s="867" t="s">
        <v>286</v>
      </c>
      <c r="L116" s="867"/>
      <c r="M116" s="1232">
        <f t="shared" si="18"/>
        <v>294</v>
      </c>
      <c r="N116" s="1232">
        <v>1</v>
      </c>
      <c r="O116" s="1232">
        <v>0</v>
      </c>
      <c r="P116" s="1232">
        <f t="shared" si="19"/>
        <v>293</v>
      </c>
      <c r="Q116" s="1232">
        <v>4</v>
      </c>
      <c r="R116" s="1232">
        <f t="shared" si="20"/>
        <v>289</v>
      </c>
      <c r="S116" s="1232">
        <f t="shared" si="21"/>
        <v>289</v>
      </c>
      <c r="T116" s="1232">
        <v>237</v>
      </c>
      <c r="U116" s="1232">
        <v>52</v>
      </c>
      <c r="V116" s="1232">
        <v>0</v>
      </c>
      <c r="W116" s="1232"/>
      <c r="X116" s="1232" t="s">
        <v>288</v>
      </c>
      <c r="Y116" s="1232" t="s">
        <v>9135</v>
      </c>
      <c r="Z116" s="1232" t="s">
        <v>9257</v>
      </c>
      <c r="AA116" s="1233" t="s">
        <v>1054</v>
      </c>
      <c r="AB116" s="867" t="s">
        <v>286</v>
      </c>
      <c r="AC116" s="1237"/>
      <c r="AD116" s="942">
        <f t="shared" si="22"/>
        <v>294</v>
      </c>
      <c r="AE116" s="942">
        <f t="shared" si="28"/>
        <v>1</v>
      </c>
      <c r="AF116" s="942">
        <f t="shared" si="28"/>
        <v>0</v>
      </c>
      <c r="AG116" s="942">
        <f t="shared" si="23"/>
        <v>293</v>
      </c>
      <c r="AH116" s="942">
        <f t="shared" si="24"/>
        <v>4</v>
      </c>
      <c r="AI116" s="942">
        <f t="shared" si="25"/>
        <v>289</v>
      </c>
      <c r="AJ116" s="942">
        <f t="shared" si="26"/>
        <v>289</v>
      </c>
      <c r="AK116" s="942">
        <f t="shared" si="29"/>
        <v>237</v>
      </c>
      <c r="AL116" s="942">
        <f t="shared" si="29"/>
        <v>52</v>
      </c>
      <c r="AM116" s="942">
        <f t="shared" si="27"/>
        <v>0</v>
      </c>
    </row>
    <row r="117" spans="1:39" ht="16.5" customHeight="1">
      <c r="A117" s="1231"/>
      <c r="J117" s="1231" t="s">
        <v>1056</v>
      </c>
      <c r="K117" s="867" t="s">
        <v>6330</v>
      </c>
      <c r="L117" s="867"/>
      <c r="M117" s="1232">
        <f t="shared" si="18"/>
        <v>487</v>
      </c>
      <c r="N117" s="1232">
        <v>1</v>
      </c>
      <c r="O117" s="1232">
        <v>1</v>
      </c>
      <c r="P117" s="1232">
        <f t="shared" si="19"/>
        <v>485</v>
      </c>
      <c r="Q117" s="1232">
        <v>6</v>
      </c>
      <c r="R117" s="1232">
        <f t="shared" si="20"/>
        <v>479</v>
      </c>
      <c r="S117" s="1232">
        <f t="shared" si="21"/>
        <v>479</v>
      </c>
      <c r="T117" s="1232">
        <v>393</v>
      </c>
      <c r="U117" s="1232">
        <v>86</v>
      </c>
      <c r="V117" s="1232">
        <v>0</v>
      </c>
      <c r="W117" s="1232"/>
      <c r="X117" s="1232" t="s">
        <v>288</v>
      </c>
      <c r="Y117" s="1232" t="s">
        <v>9135</v>
      </c>
      <c r="Z117" s="1232" t="s">
        <v>9257</v>
      </c>
      <c r="AA117" s="1236" t="s">
        <v>1056</v>
      </c>
      <c r="AB117" s="867" t="s">
        <v>6330</v>
      </c>
      <c r="AC117" s="1237"/>
      <c r="AD117" s="942">
        <f t="shared" si="22"/>
        <v>487</v>
      </c>
      <c r="AE117" s="942">
        <f t="shared" si="28"/>
        <v>1</v>
      </c>
      <c r="AF117" s="942">
        <f t="shared" si="28"/>
        <v>1</v>
      </c>
      <c r="AG117" s="942">
        <f t="shared" si="23"/>
        <v>485</v>
      </c>
      <c r="AH117" s="942">
        <f t="shared" si="24"/>
        <v>6</v>
      </c>
      <c r="AI117" s="942">
        <f t="shared" si="25"/>
        <v>479</v>
      </c>
      <c r="AJ117" s="942">
        <f t="shared" si="26"/>
        <v>479</v>
      </c>
      <c r="AK117" s="942">
        <f t="shared" si="29"/>
        <v>393</v>
      </c>
      <c r="AL117" s="942">
        <f t="shared" si="29"/>
        <v>86</v>
      </c>
      <c r="AM117" s="942">
        <f t="shared" si="27"/>
        <v>0</v>
      </c>
    </row>
    <row r="118" spans="1:39" ht="16.5" customHeight="1">
      <c r="A118" s="1231"/>
      <c r="J118" s="1231" t="s">
        <v>1058</v>
      </c>
      <c r="K118" s="867" t="s">
        <v>295</v>
      </c>
      <c r="L118" s="867"/>
      <c r="M118" s="1232">
        <f t="shared" si="18"/>
        <v>27</v>
      </c>
      <c r="N118" s="1232">
        <v>0</v>
      </c>
      <c r="O118" s="1232">
        <v>0</v>
      </c>
      <c r="P118" s="1232">
        <f t="shared" si="19"/>
        <v>27</v>
      </c>
      <c r="Q118" s="1232">
        <v>0</v>
      </c>
      <c r="R118" s="1232">
        <f t="shared" si="20"/>
        <v>27</v>
      </c>
      <c r="S118" s="1232">
        <f t="shared" si="21"/>
        <v>27</v>
      </c>
      <c r="T118" s="1232">
        <v>22</v>
      </c>
      <c r="U118" s="1232">
        <v>5</v>
      </c>
      <c r="V118" s="1232">
        <v>0</v>
      </c>
      <c r="W118" s="1232"/>
      <c r="X118" s="1232" t="s">
        <v>288</v>
      </c>
      <c r="Y118" s="1232" t="s">
        <v>9135</v>
      </c>
      <c r="Z118" s="1232" t="s">
        <v>9257</v>
      </c>
      <c r="AA118" s="1236" t="s">
        <v>1058</v>
      </c>
      <c r="AB118" s="867" t="s">
        <v>295</v>
      </c>
      <c r="AC118" s="1237"/>
      <c r="AD118" s="942">
        <f t="shared" si="22"/>
        <v>27</v>
      </c>
      <c r="AE118" s="942">
        <f t="shared" si="28"/>
        <v>0</v>
      </c>
      <c r="AF118" s="942">
        <f t="shared" si="28"/>
        <v>0</v>
      </c>
      <c r="AG118" s="942">
        <f t="shared" si="23"/>
        <v>27</v>
      </c>
      <c r="AH118" s="942">
        <f t="shared" si="24"/>
        <v>0</v>
      </c>
      <c r="AI118" s="942">
        <f t="shared" si="25"/>
        <v>27</v>
      </c>
      <c r="AJ118" s="942">
        <f t="shared" si="26"/>
        <v>27</v>
      </c>
      <c r="AK118" s="942">
        <f t="shared" si="29"/>
        <v>22</v>
      </c>
      <c r="AL118" s="942">
        <f t="shared" si="29"/>
        <v>5</v>
      </c>
      <c r="AM118" s="942">
        <f t="shared" si="27"/>
        <v>0</v>
      </c>
    </row>
    <row r="119" spans="1:39" ht="16.5" customHeight="1">
      <c r="A119" s="1231"/>
      <c r="J119" s="1231" t="s">
        <v>1060</v>
      </c>
      <c r="K119" s="867" t="s">
        <v>296</v>
      </c>
      <c r="L119" s="867"/>
      <c r="M119" s="1232">
        <f t="shared" si="18"/>
        <v>422</v>
      </c>
      <c r="N119" s="1241">
        <f>C116-SUM(N116:N118)</f>
        <v>0</v>
      </c>
      <c r="O119" s="1241">
        <f>D116-SUM(O116:O118)</f>
        <v>0</v>
      </c>
      <c r="P119" s="1241">
        <f t="shared" si="19"/>
        <v>422</v>
      </c>
      <c r="Q119" s="1241">
        <f>E116-SUM(Q116:Q118)</f>
        <v>3</v>
      </c>
      <c r="R119" s="1241">
        <f t="shared" si="20"/>
        <v>419</v>
      </c>
      <c r="S119" s="1241">
        <f t="shared" si="21"/>
        <v>418</v>
      </c>
      <c r="T119" s="1241">
        <f>F116-SUM(T116:T118)</f>
        <v>384</v>
      </c>
      <c r="U119" s="1241">
        <f>G116-SUM(U116:U118)</f>
        <v>34</v>
      </c>
      <c r="V119" s="1241">
        <f>H116-SUM(V116:V118)</f>
        <v>1</v>
      </c>
      <c r="W119" s="1232"/>
      <c r="X119" s="1232" t="s">
        <v>288</v>
      </c>
      <c r="Y119" s="1232" t="s">
        <v>9135</v>
      </c>
      <c r="Z119" s="1232" t="s">
        <v>9257</v>
      </c>
      <c r="AA119" s="1236" t="s">
        <v>1060</v>
      </c>
      <c r="AB119" s="867" t="s">
        <v>296</v>
      </c>
      <c r="AC119" s="1237"/>
      <c r="AD119" s="942">
        <f t="shared" si="22"/>
        <v>422</v>
      </c>
      <c r="AE119" s="943">
        <f t="shared" si="28"/>
        <v>0</v>
      </c>
      <c r="AF119" s="943">
        <f t="shared" si="28"/>
        <v>0</v>
      </c>
      <c r="AG119" s="943">
        <f t="shared" si="23"/>
        <v>422</v>
      </c>
      <c r="AH119" s="943">
        <f t="shared" si="24"/>
        <v>3</v>
      </c>
      <c r="AI119" s="943">
        <f t="shared" si="25"/>
        <v>419</v>
      </c>
      <c r="AJ119" s="943">
        <f t="shared" si="26"/>
        <v>418</v>
      </c>
      <c r="AK119" s="943">
        <f t="shared" si="29"/>
        <v>384</v>
      </c>
      <c r="AL119" s="943">
        <f t="shared" si="29"/>
        <v>34</v>
      </c>
      <c r="AM119" s="943">
        <f t="shared" si="27"/>
        <v>1</v>
      </c>
    </row>
    <row r="120" spans="1:39" ht="16.5" customHeight="1">
      <c r="A120" s="1244" t="s">
        <v>9136</v>
      </c>
      <c r="B120" s="1245" t="s">
        <v>9069</v>
      </c>
      <c r="C120" s="1240">
        <v>0</v>
      </c>
      <c r="D120" s="1240">
        <v>0</v>
      </c>
      <c r="E120" s="1240">
        <v>10</v>
      </c>
      <c r="F120" s="1240">
        <v>529</v>
      </c>
      <c r="G120" s="1240">
        <v>178</v>
      </c>
      <c r="H120" s="1240">
        <v>4</v>
      </c>
      <c r="J120" s="1244" t="s">
        <v>1062</v>
      </c>
      <c r="K120" s="1245" t="s">
        <v>9069</v>
      </c>
      <c r="L120" s="1245"/>
      <c r="M120" s="1246">
        <f t="shared" si="18"/>
        <v>721</v>
      </c>
      <c r="N120" s="1246">
        <f t="shared" ref="N120:O121" si="33">C120</f>
        <v>0</v>
      </c>
      <c r="O120" s="1246">
        <f t="shared" si="33"/>
        <v>0</v>
      </c>
      <c r="P120" s="1246">
        <f t="shared" si="19"/>
        <v>721</v>
      </c>
      <c r="Q120" s="1246">
        <f t="shared" ref="Q120:Q121" si="34">E120</f>
        <v>10</v>
      </c>
      <c r="R120" s="1246">
        <f t="shared" si="20"/>
        <v>711</v>
      </c>
      <c r="S120" s="1246">
        <f t="shared" si="21"/>
        <v>707</v>
      </c>
      <c r="T120" s="1246">
        <f t="shared" ref="T120:V121" si="35">F120</f>
        <v>529</v>
      </c>
      <c r="U120" s="1246">
        <f t="shared" si="35"/>
        <v>178</v>
      </c>
      <c r="V120" s="1246">
        <f t="shared" si="35"/>
        <v>4</v>
      </c>
      <c r="W120" s="1232"/>
      <c r="X120" s="1232" t="s">
        <v>9415</v>
      </c>
      <c r="Y120" s="1232" t="s">
        <v>9136</v>
      </c>
      <c r="Z120" s="1232" t="s">
        <v>9257</v>
      </c>
      <c r="AA120" s="1247" t="s">
        <v>1062</v>
      </c>
      <c r="AB120" s="1245" t="s">
        <v>9069</v>
      </c>
      <c r="AC120" s="1248"/>
      <c r="AD120" s="1215">
        <f t="shared" si="22"/>
        <v>721</v>
      </c>
      <c r="AE120" s="1215">
        <f t="shared" si="28"/>
        <v>0</v>
      </c>
      <c r="AF120" s="1215">
        <f t="shared" si="28"/>
        <v>0</v>
      </c>
      <c r="AG120" s="1215">
        <f t="shared" si="23"/>
        <v>721</v>
      </c>
      <c r="AH120" s="1215">
        <f t="shared" si="24"/>
        <v>10</v>
      </c>
      <c r="AI120" s="1215">
        <f t="shared" si="25"/>
        <v>711</v>
      </c>
      <c r="AJ120" s="1215">
        <f t="shared" si="26"/>
        <v>707</v>
      </c>
      <c r="AK120" s="1215">
        <f t="shared" si="29"/>
        <v>529</v>
      </c>
      <c r="AL120" s="1215">
        <f t="shared" si="29"/>
        <v>178</v>
      </c>
      <c r="AM120" s="1215">
        <f t="shared" si="27"/>
        <v>4</v>
      </c>
    </row>
    <row r="121" spans="1:39" ht="16.5" customHeight="1">
      <c r="A121" s="1244" t="s">
        <v>5463</v>
      </c>
      <c r="B121" s="1245" t="s">
        <v>11635</v>
      </c>
      <c r="C121" s="1240">
        <v>5</v>
      </c>
      <c r="D121" s="1240">
        <v>3</v>
      </c>
      <c r="E121" s="1240">
        <v>175</v>
      </c>
      <c r="F121" s="1240">
        <v>7058</v>
      </c>
      <c r="G121" s="1240">
        <v>1193</v>
      </c>
      <c r="H121" s="1240">
        <v>29</v>
      </c>
      <c r="J121" s="1244" t="s">
        <v>1064</v>
      </c>
      <c r="K121" s="1245" t="s">
        <v>301</v>
      </c>
      <c r="L121" s="1245"/>
      <c r="M121" s="1246">
        <f t="shared" si="18"/>
        <v>8463</v>
      </c>
      <c r="N121" s="1246">
        <f t="shared" si="33"/>
        <v>5</v>
      </c>
      <c r="O121" s="1246">
        <f t="shared" si="33"/>
        <v>3</v>
      </c>
      <c r="P121" s="1246">
        <f t="shared" si="19"/>
        <v>8455</v>
      </c>
      <c r="Q121" s="1246">
        <f t="shared" si="34"/>
        <v>175</v>
      </c>
      <c r="R121" s="1246">
        <f t="shared" si="20"/>
        <v>8280</v>
      </c>
      <c r="S121" s="1246">
        <f t="shared" si="21"/>
        <v>8251</v>
      </c>
      <c r="T121" s="1246">
        <f t="shared" si="35"/>
        <v>7058</v>
      </c>
      <c r="U121" s="1246">
        <f t="shared" si="35"/>
        <v>1193</v>
      </c>
      <c r="V121" s="1246">
        <f t="shared" si="35"/>
        <v>29</v>
      </c>
      <c r="W121" s="1232"/>
      <c r="X121" s="1232" t="s">
        <v>9416</v>
      </c>
      <c r="Y121" s="1232" t="s">
        <v>5463</v>
      </c>
      <c r="Z121" s="1232" t="s">
        <v>9257</v>
      </c>
      <c r="AA121" s="1247" t="s">
        <v>1064</v>
      </c>
      <c r="AB121" s="1245" t="s">
        <v>301</v>
      </c>
      <c r="AC121" s="1248"/>
      <c r="AD121" s="1215">
        <f t="shared" si="22"/>
        <v>8463</v>
      </c>
      <c r="AE121" s="1215">
        <f t="shared" si="28"/>
        <v>5</v>
      </c>
      <c r="AF121" s="1215">
        <f t="shared" si="28"/>
        <v>3</v>
      </c>
      <c r="AG121" s="1215">
        <f t="shared" si="23"/>
        <v>8455</v>
      </c>
      <c r="AH121" s="1215">
        <f t="shared" si="24"/>
        <v>175</v>
      </c>
      <c r="AI121" s="1215">
        <f t="shared" si="25"/>
        <v>8280</v>
      </c>
      <c r="AJ121" s="1215">
        <f t="shared" si="26"/>
        <v>8251</v>
      </c>
      <c r="AK121" s="1215">
        <f t="shared" si="29"/>
        <v>7058</v>
      </c>
      <c r="AL121" s="1215">
        <f t="shared" si="29"/>
        <v>1193</v>
      </c>
      <c r="AM121" s="1215">
        <f t="shared" si="27"/>
        <v>29</v>
      </c>
    </row>
    <row r="122" spans="1:39" ht="16.5" customHeight="1">
      <c r="A122" s="1231" t="s">
        <v>5465</v>
      </c>
      <c r="B122" s="867" t="s">
        <v>11636</v>
      </c>
      <c r="C122" s="1240">
        <v>27</v>
      </c>
      <c r="D122" s="1240">
        <v>9</v>
      </c>
      <c r="E122" s="1240">
        <v>327</v>
      </c>
      <c r="F122" s="1240">
        <v>7447</v>
      </c>
      <c r="G122" s="1240">
        <v>1996</v>
      </c>
      <c r="H122" s="1240">
        <v>94</v>
      </c>
      <c r="J122" s="1231" t="s">
        <v>1066</v>
      </c>
      <c r="K122" s="867" t="s">
        <v>9518</v>
      </c>
      <c r="L122" s="867"/>
      <c r="M122" s="1232">
        <f t="shared" si="18"/>
        <v>687</v>
      </c>
      <c r="N122" s="1232">
        <v>3</v>
      </c>
      <c r="O122" s="1232">
        <v>1</v>
      </c>
      <c r="P122" s="1232">
        <f t="shared" si="19"/>
        <v>683</v>
      </c>
      <c r="Q122" s="1232">
        <v>21</v>
      </c>
      <c r="R122" s="1232">
        <f t="shared" si="20"/>
        <v>662</v>
      </c>
      <c r="S122" s="1232">
        <f t="shared" si="21"/>
        <v>656</v>
      </c>
      <c r="T122" s="1232">
        <v>539</v>
      </c>
      <c r="U122" s="1232">
        <v>117</v>
      </c>
      <c r="V122" s="1232">
        <v>6</v>
      </c>
      <c r="W122" s="1232"/>
      <c r="X122" s="1232" t="s">
        <v>304</v>
      </c>
      <c r="Y122" s="1232" t="s">
        <v>5465</v>
      </c>
      <c r="Z122" s="1232" t="s">
        <v>9257</v>
      </c>
      <c r="AA122" s="1236" t="s">
        <v>1066</v>
      </c>
      <c r="AB122" s="867" t="s">
        <v>9518</v>
      </c>
      <c r="AC122" s="1237"/>
      <c r="AD122" s="942">
        <f t="shared" si="22"/>
        <v>687</v>
      </c>
      <c r="AE122" s="942">
        <f t="shared" si="28"/>
        <v>3</v>
      </c>
      <c r="AF122" s="942">
        <f t="shared" si="28"/>
        <v>1</v>
      </c>
      <c r="AG122" s="942">
        <f t="shared" si="23"/>
        <v>683</v>
      </c>
      <c r="AH122" s="942">
        <f t="shared" si="24"/>
        <v>21</v>
      </c>
      <c r="AI122" s="942">
        <f t="shared" si="25"/>
        <v>662</v>
      </c>
      <c r="AJ122" s="942">
        <f t="shared" si="26"/>
        <v>656</v>
      </c>
      <c r="AK122" s="942">
        <f t="shared" si="29"/>
        <v>539</v>
      </c>
      <c r="AL122" s="942">
        <f t="shared" si="29"/>
        <v>117</v>
      </c>
      <c r="AM122" s="942">
        <f t="shared" si="27"/>
        <v>6</v>
      </c>
    </row>
    <row r="123" spans="1:39" ht="16.5" customHeight="1">
      <c r="A123" s="1231"/>
      <c r="J123" s="1231" t="s">
        <v>8361</v>
      </c>
      <c r="K123" s="867" t="s">
        <v>308</v>
      </c>
      <c r="L123" s="867"/>
      <c r="M123" s="1232">
        <f t="shared" si="18"/>
        <v>3228</v>
      </c>
      <c r="N123" s="1232">
        <v>4</v>
      </c>
      <c r="O123" s="1232">
        <v>1</v>
      </c>
      <c r="P123" s="1232">
        <f t="shared" si="19"/>
        <v>3223</v>
      </c>
      <c r="Q123" s="1232">
        <v>111</v>
      </c>
      <c r="R123" s="1232">
        <f t="shared" si="20"/>
        <v>3112</v>
      </c>
      <c r="S123" s="1232">
        <f t="shared" si="21"/>
        <v>3057</v>
      </c>
      <c r="T123" s="1232">
        <v>2180</v>
      </c>
      <c r="U123" s="1232">
        <v>877</v>
      </c>
      <c r="V123" s="1232">
        <v>55</v>
      </c>
      <c r="W123" s="1232"/>
      <c r="X123" s="1232" t="s">
        <v>9417</v>
      </c>
      <c r="Y123" s="1232" t="s">
        <v>5465</v>
      </c>
      <c r="Z123" s="1232" t="s">
        <v>9257</v>
      </c>
      <c r="AA123" s="1236" t="s">
        <v>8361</v>
      </c>
      <c r="AB123" s="867" t="s">
        <v>308</v>
      </c>
      <c r="AC123" s="1237"/>
      <c r="AD123" s="942">
        <f t="shared" si="22"/>
        <v>3228</v>
      </c>
      <c r="AE123" s="942">
        <f t="shared" si="28"/>
        <v>4</v>
      </c>
      <c r="AF123" s="942">
        <f t="shared" si="28"/>
        <v>1</v>
      </c>
      <c r="AG123" s="942">
        <f t="shared" si="23"/>
        <v>3223</v>
      </c>
      <c r="AH123" s="942">
        <f t="shared" si="24"/>
        <v>111</v>
      </c>
      <c r="AI123" s="942">
        <f t="shared" si="25"/>
        <v>3112</v>
      </c>
      <c r="AJ123" s="942">
        <f t="shared" si="26"/>
        <v>3057</v>
      </c>
      <c r="AK123" s="942">
        <f t="shared" si="29"/>
        <v>2180</v>
      </c>
      <c r="AL123" s="942">
        <f t="shared" si="29"/>
        <v>877</v>
      </c>
      <c r="AM123" s="942">
        <f t="shared" si="27"/>
        <v>55</v>
      </c>
    </row>
    <row r="124" spans="1:39" ht="16.5" customHeight="1">
      <c r="A124" s="1231"/>
      <c r="J124" s="1231" t="s">
        <v>8363</v>
      </c>
      <c r="K124" s="867" t="s">
        <v>310</v>
      </c>
      <c r="L124" s="867"/>
      <c r="M124" s="1232">
        <f t="shared" si="18"/>
        <v>2250</v>
      </c>
      <c r="N124" s="1232">
        <v>8</v>
      </c>
      <c r="O124" s="1232">
        <v>3</v>
      </c>
      <c r="P124" s="1232">
        <f t="shared" si="19"/>
        <v>2239</v>
      </c>
      <c r="Q124" s="1232">
        <v>78</v>
      </c>
      <c r="R124" s="1232">
        <f t="shared" si="20"/>
        <v>2161</v>
      </c>
      <c r="S124" s="1232">
        <f t="shared" si="21"/>
        <v>2145</v>
      </c>
      <c r="T124" s="1232">
        <v>1763</v>
      </c>
      <c r="U124" s="1232">
        <v>382</v>
      </c>
      <c r="V124" s="1232">
        <v>16</v>
      </c>
      <c r="W124" s="1232"/>
      <c r="X124" s="1232" t="s">
        <v>9418</v>
      </c>
      <c r="Y124" s="1232" t="s">
        <v>5465</v>
      </c>
      <c r="Z124" s="1232" t="s">
        <v>9257</v>
      </c>
      <c r="AA124" s="1236" t="s">
        <v>8363</v>
      </c>
      <c r="AB124" s="867" t="s">
        <v>310</v>
      </c>
      <c r="AC124" s="1237"/>
      <c r="AD124" s="942">
        <f t="shared" si="22"/>
        <v>2250</v>
      </c>
      <c r="AE124" s="942">
        <f t="shared" si="28"/>
        <v>8</v>
      </c>
      <c r="AF124" s="942">
        <f t="shared" si="28"/>
        <v>3</v>
      </c>
      <c r="AG124" s="942">
        <f t="shared" si="23"/>
        <v>2239</v>
      </c>
      <c r="AH124" s="942">
        <f t="shared" si="24"/>
        <v>78</v>
      </c>
      <c r="AI124" s="942">
        <f t="shared" si="25"/>
        <v>2161</v>
      </c>
      <c r="AJ124" s="942">
        <f t="shared" si="26"/>
        <v>2145</v>
      </c>
      <c r="AK124" s="942">
        <f t="shared" si="29"/>
        <v>1763</v>
      </c>
      <c r="AL124" s="942">
        <f t="shared" si="29"/>
        <v>382</v>
      </c>
      <c r="AM124" s="942">
        <f t="shared" si="27"/>
        <v>16</v>
      </c>
    </row>
    <row r="125" spans="1:39" ht="16.5" customHeight="1">
      <c r="A125" s="1231"/>
      <c r="J125" s="1231" t="s">
        <v>8365</v>
      </c>
      <c r="K125" s="867" t="s">
        <v>6405</v>
      </c>
      <c r="L125" s="867"/>
      <c r="M125" s="1232">
        <f t="shared" si="18"/>
        <v>211</v>
      </c>
      <c r="N125" s="1232">
        <v>0</v>
      </c>
      <c r="O125" s="1232">
        <v>0</v>
      </c>
      <c r="P125" s="1232">
        <f t="shared" si="19"/>
        <v>211</v>
      </c>
      <c r="Q125" s="1232">
        <v>5</v>
      </c>
      <c r="R125" s="1232">
        <f t="shared" si="20"/>
        <v>206</v>
      </c>
      <c r="S125" s="1232">
        <f t="shared" si="21"/>
        <v>206</v>
      </c>
      <c r="T125" s="1232">
        <v>169</v>
      </c>
      <c r="U125" s="1232">
        <v>37</v>
      </c>
      <c r="V125" s="1232">
        <v>0</v>
      </c>
      <c r="W125" s="1232"/>
      <c r="X125" s="1232" t="s">
        <v>9418</v>
      </c>
      <c r="Y125" s="1232" t="s">
        <v>5465</v>
      </c>
      <c r="Z125" s="1232" t="s">
        <v>9257</v>
      </c>
      <c r="AA125" s="1236" t="s">
        <v>8365</v>
      </c>
      <c r="AB125" s="867" t="s">
        <v>6405</v>
      </c>
      <c r="AC125" s="1237"/>
      <c r="AD125" s="942">
        <f t="shared" si="22"/>
        <v>211</v>
      </c>
      <c r="AE125" s="942">
        <f t="shared" si="28"/>
        <v>0</v>
      </c>
      <c r="AF125" s="942">
        <f t="shared" si="28"/>
        <v>0</v>
      </c>
      <c r="AG125" s="942">
        <f t="shared" si="23"/>
        <v>211</v>
      </c>
      <c r="AH125" s="942">
        <f t="shared" si="24"/>
        <v>5</v>
      </c>
      <c r="AI125" s="942">
        <f t="shared" si="25"/>
        <v>206</v>
      </c>
      <c r="AJ125" s="942">
        <f t="shared" si="26"/>
        <v>206</v>
      </c>
      <c r="AK125" s="942">
        <f t="shared" si="29"/>
        <v>169</v>
      </c>
      <c r="AL125" s="942">
        <f t="shared" si="29"/>
        <v>37</v>
      </c>
      <c r="AM125" s="942">
        <f t="shared" si="27"/>
        <v>0</v>
      </c>
    </row>
    <row r="126" spans="1:39" ht="16.5" customHeight="1">
      <c r="A126" s="1231"/>
      <c r="J126" s="1231" t="s">
        <v>1071</v>
      </c>
      <c r="K126" s="867" t="s">
        <v>313</v>
      </c>
      <c r="L126" s="867"/>
      <c r="M126" s="1232">
        <f t="shared" si="18"/>
        <v>75</v>
      </c>
      <c r="N126" s="1232">
        <v>0</v>
      </c>
      <c r="O126" s="1232">
        <v>0</v>
      </c>
      <c r="P126" s="1232">
        <f t="shared" si="19"/>
        <v>75</v>
      </c>
      <c r="Q126" s="1232">
        <v>2</v>
      </c>
      <c r="R126" s="1232">
        <f t="shared" si="20"/>
        <v>73</v>
      </c>
      <c r="S126" s="1232">
        <f t="shared" si="21"/>
        <v>72</v>
      </c>
      <c r="T126" s="1232">
        <v>60</v>
      </c>
      <c r="U126" s="1232">
        <v>12</v>
      </c>
      <c r="V126" s="1232">
        <v>1</v>
      </c>
      <c r="W126" s="1232"/>
      <c r="X126" s="1232" t="s">
        <v>9419</v>
      </c>
      <c r="Y126" s="1232" t="s">
        <v>5465</v>
      </c>
      <c r="Z126" s="1232" t="s">
        <v>9257</v>
      </c>
      <c r="AA126" s="1236" t="s">
        <v>1071</v>
      </c>
      <c r="AB126" s="867" t="s">
        <v>313</v>
      </c>
      <c r="AC126" s="1237"/>
      <c r="AD126" s="942">
        <f t="shared" si="22"/>
        <v>75</v>
      </c>
      <c r="AE126" s="942">
        <f t="shared" si="28"/>
        <v>0</v>
      </c>
      <c r="AF126" s="942">
        <f t="shared" si="28"/>
        <v>0</v>
      </c>
      <c r="AG126" s="942">
        <f t="shared" si="23"/>
        <v>75</v>
      </c>
      <c r="AH126" s="942">
        <f t="shared" si="24"/>
        <v>2</v>
      </c>
      <c r="AI126" s="942">
        <f t="shared" si="25"/>
        <v>73</v>
      </c>
      <c r="AJ126" s="942">
        <f t="shared" si="26"/>
        <v>72</v>
      </c>
      <c r="AK126" s="942">
        <f t="shared" si="29"/>
        <v>60</v>
      </c>
      <c r="AL126" s="942">
        <f t="shared" si="29"/>
        <v>12</v>
      </c>
      <c r="AM126" s="942">
        <f t="shared" si="27"/>
        <v>1</v>
      </c>
    </row>
    <row r="127" spans="1:39" ht="16.5" customHeight="1">
      <c r="A127" s="1231"/>
      <c r="J127" s="1231" t="s">
        <v>1073</v>
      </c>
      <c r="K127" s="867" t="s">
        <v>315</v>
      </c>
      <c r="L127" s="867"/>
      <c r="M127" s="1232">
        <f t="shared" si="18"/>
        <v>342</v>
      </c>
      <c r="N127" s="1232">
        <v>1</v>
      </c>
      <c r="O127" s="1232">
        <v>0</v>
      </c>
      <c r="P127" s="1232">
        <f t="shared" si="19"/>
        <v>341</v>
      </c>
      <c r="Q127" s="1232">
        <v>9</v>
      </c>
      <c r="R127" s="1232">
        <f t="shared" si="20"/>
        <v>332</v>
      </c>
      <c r="S127" s="1232">
        <f t="shared" si="21"/>
        <v>331</v>
      </c>
      <c r="T127" s="1232">
        <v>274</v>
      </c>
      <c r="U127" s="1232">
        <v>57</v>
      </c>
      <c r="V127" s="1232">
        <v>1</v>
      </c>
      <c r="W127" s="1232"/>
      <c r="X127" s="1232" t="s">
        <v>9420</v>
      </c>
      <c r="Y127" s="1232" t="s">
        <v>5465</v>
      </c>
      <c r="Z127" s="1232" t="s">
        <v>9257</v>
      </c>
      <c r="AA127" s="1236" t="s">
        <v>1073</v>
      </c>
      <c r="AB127" s="867" t="s">
        <v>315</v>
      </c>
      <c r="AC127" s="1237"/>
      <c r="AD127" s="942">
        <f t="shared" si="22"/>
        <v>342</v>
      </c>
      <c r="AE127" s="942">
        <f t="shared" si="28"/>
        <v>1</v>
      </c>
      <c r="AF127" s="942">
        <f t="shared" si="28"/>
        <v>0</v>
      </c>
      <c r="AG127" s="942">
        <f t="shared" si="23"/>
        <v>341</v>
      </c>
      <c r="AH127" s="942">
        <f t="shared" si="24"/>
        <v>9</v>
      </c>
      <c r="AI127" s="942">
        <f t="shared" si="25"/>
        <v>332</v>
      </c>
      <c r="AJ127" s="942">
        <f t="shared" si="26"/>
        <v>331</v>
      </c>
      <c r="AK127" s="942">
        <f t="shared" si="29"/>
        <v>274</v>
      </c>
      <c r="AL127" s="942">
        <f t="shared" si="29"/>
        <v>57</v>
      </c>
      <c r="AM127" s="942">
        <f t="shared" si="27"/>
        <v>1</v>
      </c>
    </row>
    <row r="128" spans="1:39" ht="16.5" customHeight="1">
      <c r="A128" s="1231"/>
      <c r="J128" s="1231" t="s">
        <v>8378</v>
      </c>
      <c r="K128" s="867" t="s">
        <v>316</v>
      </c>
      <c r="L128" s="867"/>
      <c r="M128" s="1232">
        <f t="shared" si="18"/>
        <v>25</v>
      </c>
      <c r="N128" s="1232">
        <v>0</v>
      </c>
      <c r="O128" s="1232">
        <v>0</v>
      </c>
      <c r="P128" s="1232">
        <f t="shared" si="19"/>
        <v>25</v>
      </c>
      <c r="Q128" s="1232">
        <v>0</v>
      </c>
      <c r="R128" s="1232">
        <f t="shared" si="20"/>
        <v>25</v>
      </c>
      <c r="S128" s="1232">
        <f t="shared" si="21"/>
        <v>25</v>
      </c>
      <c r="T128" s="1232">
        <v>21</v>
      </c>
      <c r="U128" s="1232">
        <v>4</v>
      </c>
      <c r="V128" s="1232">
        <v>0</v>
      </c>
      <c r="W128" s="1232"/>
      <c r="X128" s="1232" t="s">
        <v>9420</v>
      </c>
      <c r="Y128" s="1232" t="s">
        <v>5465</v>
      </c>
      <c r="Z128" s="1232" t="s">
        <v>9257</v>
      </c>
      <c r="AA128" s="1236" t="s">
        <v>8378</v>
      </c>
      <c r="AB128" s="867" t="s">
        <v>316</v>
      </c>
      <c r="AC128" s="1237"/>
      <c r="AD128" s="942">
        <f t="shared" si="22"/>
        <v>25</v>
      </c>
      <c r="AE128" s="942">
        <f t="shared" si="28"/>
        <v>0</v>
      </c>
      <c r="AF128" s="942">
        <f t="shared" si="28"/>
        <v>0</v>
      </c>
      <c r="AG128" s="942">
        <f t="shared" si="23"/>
        <v>25</v>
      </c>
      <c r="AH128" s="942">
        <f t="shared" si="24"/>
        <v>0</v>
      </c>
      <c r="AI128" s="942">
        <f t="shared" si="25"/>
        <v>25</v>
      </c>
      <c r="AJ128" s="942">
        <f t="shared" si="26"/>
        <v>25</v>
      </c>
      <c r="AK128" s="942">
        <f t="shared" si="29"/>
        <v>21</v>
      </c>
      <c r="AL128" s="942">
        <f t="shared" si="29"/>
        <v>4</v>
      </c>
      <c r="AM128" s="942">
        <f t="shared" si="27"/>
        <v>0</v>
      </c>
    </row>
    <row r="129" spans="1:39" ht="16.5" customHeight="1">
      <c r="A129" s="1231"/>
      <c r="J129" s="1231" t="s">
        <v>1076</v>
      </c>
      <c r="K129" s="940" t="s">
        <v>6428</v>
      </c>
      <c r="L129" s="940"/>
      <c r="M129" s="1241">
        <f t="shared" si="18"/>
        <v>3082</v>
      </c>
      <c r="N129" s="1241">
        <f>C122-SUM(N122:N128)</f>
        <v>11</v>
      </c>
      <c r="O129" s="1241">
        <f>D122-SUM(O122:O128)</f>
        <v>4</v>
      </c>
      <c r="P129" s="1241">
        <f t="shared" si="19"/>
        <v>3067</v>
      </c>
      <c r="Q129" s="1241">
        <f>E122-SUM(Q122:Q128)</f>
        <v>101</v>
      </c>
      <c r="R129" s="1241">
        <f t="shared" si="20"/>
        <v>2966</v>
      </c>
      <c r="S129" s="1241">
        <f t="shared" si="21"/>
        <v>2951</v>
      </c>
      <c r="T129" s="1241">
        <f>F122-SUM(T122:T128)</f>
        <v>2441</v>
      </c>
      <c r="U129" s="1241">
        <f>G122-SUM(U122:U128)</f>
        <v>510</v>
      </c>
      <c r="V129" s="1241">
        <f>H122-SUM(V122:V128)</f>
        <v>15</v>
      </c>
      <c r="W129" s="1232"/>
      <c r="X129" s="1232" t="s">
        <v>9420</v>
      </c>
      <c r="Y129" s="1232" t="s">
        <v>5465</v>
      </c>
      <c r="Z129" s="1232" t="s">
        <v>9257</v>
      </c>
      <c r="AA129" s="1236" t="s">
        <v>1076</v>
      </c>
      <c r="AB129" s="940" t="s">
        <v>6428</v>
      </c>
      <c r="AC129" s="1243"/>
      <c r="AD129" s="943">
        <f t="shared" si="22"/>
        <v>3082</v>
      </c>
      <c r="AE129" s="943">
        <f t="shared" si="28"/>
        <v>11</v>
      </c>
      <c r="AF129" s="943">
        <f t="shared" si="28"/>
        <v>4</v>
      </c>
      <c r="AG129" s="943">
        <f t="shared" si="23"/>
        <v>3067</v>
      </c>
      <c r="AH129" s="943">
        <f t="shared" si="24"/>
        <v>101</v>
      </c>
      <c r="AI129" s="943">
        <f t="shared" si="25"/>
        <v>2966</v>
      </c>
      <c r="AJ129" s="943">
        <f t="shared" si="26"/>
        <v>2951</v>
      </c>
      <c r="AK129" s="943">
        <f t="shared" si="29"/>
        <v>2441</v>
      </c>
      <c r="AL129" s="943">
        <f t="shared" si="29"/>
        <v>510</v>
      </c>
      <c r="AM129" s="943">
        <f t="shared" si="27"/>
        <v>15</v>
      </c>
    </row>
    <row r="130" spans="1:39" ht="16.5" customHeight="1">
      <c r="A130" s="1239" t="s">
        <v>5471</v>
      </c>
      <c r="B130" s="1234" t="s">
        <v>6441</v>
      </c>
      <c r="C130" s="1240">
        <v>0</v>
      </c>
      <c r="D130" s="1240">
        <v>0</v>
      </c>
      <c r="E130" s="1240">
        <v>29</v>
      </c>
      <c r="F130" s="1240">
        <v>836</v>
      </c>
      <c r="G130" s="1240">
        <v>93</v>
      </c>
      <c r="H130" s="1240">
        <v>1</v>
      </c>
      <c r="J130" s="1239" t="s">
        <v>1078</v>
      </c>
      <c r="K130" s="867" t="s">
        <v>6441</v>
      </c>
      <c r="L130" s="867"/>
      <c r="M130" s="1232">
        <f t="shared" si="18"/>
        <v>959</v>
      </c>
      <c r="N130" s="1232">
        <f t="shared" ref="N130:O130" si="36">C130</f>
        <v>0</v>
      </c>
      <c r="O130" s="1246">
        <f t="shared" si="36"/>
        <v>0</v>
      </c>
      <c r="P130" s="1246">
        <f t="shared" si="19"/>
        <v>959</v>
      </c>
      <c r="Q130" s="1246">
        <f t="shared" ref="Q130" si="37">E130</f>
        <v>29</v>
      </c>
      <c r="R130" s="1246">
        <f t="shared" si="20"/>
        <v>930</v>
      </c>
      <c r="S130" s="1246">
        <f t="shared" si="21"/>
        <v>929</v>
      </c>
      <c r="T130" s="1246">
        <f t="shared" ref="T130:V130" si="38">F130</f>
        <v>836</v>
      </c>
      <c r="U130" s="1246">
        <f t="shared" si="38"/>
        <v>93</v>
      </c>
      <c r="V130" s="1246">
        <f t="shared" si="38"/>
        <v>1</v>
      </c>
      <c r="W130" s="1232"/>
      <c r="X130" s="1232" t="s">
        <v>319</v>
      </c>
      <c r="Y130" s="1232" t="s">
        <v>5471</v>
      </c>
      <c r="Z130" s="1232" t="s">
        <v>9258</v>
      </c>
      <c r="AA130" s="1233" t="s">
        <v>1078</v>
      </c>
      <c r="AB130" s="867" t="s">
        <v>6441</v>
      </c>
      <c r="AC130" s="1237"/>
      <c r="AD130" s="942">
        <f t="shared" si="22"/>
        <v>959</v>
      </c>
      <c r="AE130" s="942">
        <f t="shared" si="28"/>
        <v>0</v>
      </c>
      <c r="AF130" s="1215">
        <f t="shared" si="28"/>
        <v>0</v>
      </c>
      <c r="AG130" s="1215">
        <f t="shared" si="23"/>
        <v>959</v>
      </c>
      <c r="AH130" s="1215">
        <f t="shared" si="24"/>
        <v>29</v>
      </c>
      <c r="AI130" s="1215">
        <f t="shared" si="25"/>
        <v>930</v>
      </c>
      <c r="AJ130" s="1215">
        <f t="shared" si="26"/>
        <v>929</v>
      </c>
      <c r="AK130" s="1215">
        <f t="shared" si="29"/>
        <v>836</v>
      </c>
      <c r="AL130" s="1215">
        <f t="shared" si="29"/>
        <v>93</v>
      </c>
      <c r="AM130" s="1215">
        <f t="shared" si="27"/>
        <v>1</v>
      </c>
    </row>
    <row r="131" spans="1:39" ht="16.5" customHeight="1">
      <c r="A131" s="1239" t="s">
        <v>9137</v>
      </c>
      <c r="B131" s="1234" t="s">
        <v>6454</v>
      </c>
      <c r="C131" s="1240">
        <v>0</v>
      </c>
      <c r="D131" s="1240">
        <v>0</v>
      </c>
      <c r="E131" s="1240">
        <v>32</v>
      </c>
      <c r="F131" s="1240">
        <v>375</v>
      </c>
      <c r="G131" s="1240">
        <v>51</v>
      </c>
      <c r="H131" s="1240">
        <v>2</v>
      </c>
      <c r="J131" s="1239" t="s">
        <v>1080</v>
      </c>
      <c r="K131" s="1234" t="s">
        <v>6454</v>
      </c>
      <c r="L131" s="1234"/>
      <c r="M131" s="1240" t="e">
        <f t="shared" si="18"/>
        <v>#DIV/0!</v>
      </c>
      <c r="N131" s="1240">
        <v>0</v>
      </c>
      <c r="O131" s="1232" t="e">
        <v>#DIV/0!</v>
      </c>
      <c r="P131" s="1232">
        <f t="shared" si="19"/>
        <v>149</v>
      </c>
      <c r="Q131" s="1232">
        <v>3</v>
      </c>
      <c r="R131" s="1232">
        <f t="shared" si="20"/>
        <v>146</v>
      </c>
      <c r="S131" s="1232">
        <f t="shared" si="21"/>
        <v>146</v>
      </c>
      <c r="T131" s="1232">
        <v>128</v>
      </c>
      <c r="U131" s="1232">
        <v>18</v>
      </c>
      <c r="V131" s="1232">
        <v>0</v>
      </c>
      <c r="W131" s="1232"/>
      <c r="X131" s="1232" t="s">
        <v>332</v>
      </c>
      <c r="Y131" s="1232" t="s">
        <v>9137</v>
      </c>
      <c r="Z131" s="1232" t="s">
        <v>9258</v>
      </c>
      <c r="AA131" s="1233" t="s">
        <v>1080</v>
      </c>
      <c r="AB131" s="1234" t="s">
        <v>6454</v>
      </c>
      <c r="AC131" s="1235"/>
      <c r="AD131" s="1213">
        <f t="shared" si="22"/>
        <v>149</v>
      </c>
      <c r="AE131" s="1213">
        <f t="shared" si="28"/>
        <v>0</v>
      </c>
      <c r="AF131" s="1217">
        <v>0</v>
      </c>
      <c r="AG131" s="942">
        <f t="shared" si="23"/>
        <v>149</v>
      </c>
      <c r="AH131" s="942">
        <f t="shared" si="24"/>
        <v>3</v>
      </c>
      <c r="AI131" s="942">
        <f t="shared" si="25"/>
        <v>146</v>
      </c>
      <c r="AJ131" s="942">
        <f t="shared" si="26"/>
        <v>146</v>
      </c>
      <c r="AK131" s="942">
        <f t="shared" si="29"/>
        <v>128</v>
      </c>
      <c r="AL131" s="942">
        <f t="shared" si="29"/>
        <v>18</v>
      </c>
      <c r="AM131" s="942">
        <f t="shared" si="27"/>
        <v>0</v>
      </c>
    </row>
    <row r="132" spans="1:39" ht="16.5" customHeight="1">
      <c r="A132" s="1231"/>
      <c r="J132" s="1231" t="s">
        <v>1082</v>
      </c>
      <c r="K132" s="940" t="s">
        <v>335</v>
      </c>
      <c r="L132" s="940"/>
      <c r="M132" s="1241" t="e">
        <f t="shared" si="18"/>
        <v>#DIV/0!</v>
      </c>
      <c r="N132" s="1241">
        <f>C131-SUM(N131:N131)</f>
        <v>0</v>
      </c>
      <c r="O132" s="1241" t="e">
        <f>D131-SUM(O131:O131)</f>
        <v>#DIV/0!</v>
      </c>
      <c r="P132" s="1241">
        <f t="shared" si="19"/>
        <v>311</v>
      </c>
      <c r="Q132" s="1241">
        <f>E131-SUM(Q131:Q131)</f>
        <v>29</v>
      </c>
      <c r="R132" s="1241">
        <f t="shared" si="20"/>
        <v>282</v>
      </c>
      <c r="S132" s="1241">
        <f t="shared" si="21"/>
        <v>280</v>
      </c>
      <c r="T132" s="1241">
        <f>F131-SUM(T131:T131)</f>
        <v>247</v>
      </c>
      <c r="U132" s="1241">
        <f>G131-SUM(U131:U131)</f>
        <v>33</v>
      </c>
      <c r="V132" s="1241">
        <f>H131-SUM(V131:V131)</f>
        <v>2</v>
      </c>
      <c r="W132" s="1232"/>
      <c r="X132" s="1232" t="s">
        <v>332</v>
      </c>
      <c r="Y132" s="1232" t="s">
        <v>9137</v>
      </c>
      <c r="Z132" s="1232" t="s">
        <v>9258</v>
      </c>
      <c r="AA132" s="1236" t="s">
        <v>1082</v>
      </c>
      <c r="AB132" s="940" t="s">
        <v>335</v>
      </c>
      <c r="AC132" s="1243"/>
      <c r="AD132" s="943">
        <f t="shared" si="22"/>
        <v>311</v>
      </c>
      <c r="AE132" s="943">
        <f t="shared" si="28"/>
        <v>0</v>
      </c>
      <c r="AF132" s="1217">
        <v>0</v>
      </c>
      <c r="AG132" s="943">
        <f t="shared" si="23"/>
        <v>311</v>
      </c>
      <c r="AH132" s="943">
        <f t="shared" si="24"/>
        <v>29</v>
      </c>
      <c r="AI132" s="943">
        <f t="shared" si="25"/>
        <v>282</v>
      </c>
      <c r="AJ132" s="943">
        <f t="shared" si="26"/>
        <v>280</v>
      </c>
      <c r="AK132" s="943">
        <f t="shared" si="29"/>
        <v>247</v>
      </c>
      <c r="AL132" s="943">
        <f t="shared" si="29"/>
        <v>33</v>
      </c>
      <c r="AM132" s="943">
        <f t="shared" si="27"/>
        <v>2</v>
      </c>
    </row>
    <row r="133" spans="1:39" ht="16.5" customHeight="1">
      <c r="A133" s="1239" t="s">
        <v>9138</v>
      </c>
      <c r="B133" s="1234" t="s">
        <v>6460</v>
      </c>
      <c r="C133" s="1240">
        <v>530</v>
      </c>
      <c r="D133" s="1240">
        <v>228</v>
      </c>
      <c r="E133" s="1240">
        <v>836</v>
      </c>
      <c r="F133" s="1240">
        <v>10232</v>
      </c>
      <c r="G133" s="1240">
        <v>4913</v>
      </c>
      <c r="H133" s="1240">
        <v>129</v>
      </c>
      <c r="J133" s="1239" t="s">
        <v>1084</v>
      </c>
      <c r="K133" s="867" t="s">
        <v>6460</v>
      </c>
      <c r="L133" s="867"/>
      <c r="M133" s="1232">
        <f t="shared" si="18"/>
        <v>16868</v>
      </c>
      <c r="N133" s="1232">
        <f t="shared" ref="N133:O133" si="39">C133</f>
        <v>530</v>
      </c>
      <c r="O133" s="1240">
        <f t="shared" si="39"/>
        <v>228</v>
      </c>
      <c r="P133" s="1240">
        <f t="shared" si="19"/>
        <v>16110</v>
      </c>
      <c r="Q133" s="1240">
        <f t="shared" ref="Q133" si="40">E133</f>
        <v>836</v>
      </c>
      <c r="R133" s="1240">
        <f t="shared" si="20"/>
        <v>15274</v>
      </c>
      <c r="S133" s="1240">
        <f t="shared" si="21"/>
        <v>15145</v>
      </c>
      <c r="T133" s="1240">
        <f t="shared" ref="T133:V133" si="41">F133</f>
        <v>10232</v>
      </c>
      <c r="U133" s="1240">
        <f t="shared" si="41"/>
        <v>4913</v>
      </c>
      <c r="V133" s="1240">
        <f t="shared" si="41"/>
        <v>129</v>
      </c>
      <c r="W133" s="1232"/>
      <c r="X133" s="1232" t="s">
        <v>336</v>
      </c>
      <c r="Y133" s="1232" t="s">
        <v>9138</v>
      </c>
      <c r="Z133" s="1232" t="s">
        <v>9259</v>
      </c>
      <c r="AA133" s="1233" t="s">
        <v>1084</v>
      </c>
      <c r="AB133" s="867" t="s">
        <v>6460</v>
      </c>
      <c r="AC133" s="1237"/>
      <c r="AD133" s="942">
        <f t="shared" si="22"/>
        <v>16868</v>
      </c>
      <c r="AE133" s="942">
        <f t="shared" si="28"/>
        <v>530</v>
      </c>
      <c r="AF133" s="1213">
        <f t="shared" si="28"/>
        <v>228</v>
      </c>
      <c r="AG133" s="1213">
        <f t="shared" si="23"/>
        <v>16110</v>
      </c>
      <c r="AH133" s="1213">
        <f t="shared" si="24"/>
        <v>836</v>
      </c>
      <c r="AI133" s="1213">
        <f t="shared" si="25"/>
        <v>15274</v>
      </c>
      <c r="AJ133" s="1213">
        <f t="shared" si="26"/>
        <v>15145</v>
      </c>
      <c r="AK133" s="1213">
        <f t="shared" si="29"/>
        <v>10232</v>
      </c>
      <c r="AL133" s="1213">
        <f t="shared" si="29"/>
        <v>4913</v>
      </c>
      <c r="AM133" s="1213">
        <f t="shared" si="27"/>
        <v>129</v>
      </c>
    </row>
    <row r="134" spans="1:39" ht="16.5" customHeight="1">
      <c r="A134" s="1239" t="s">
        <v>9139</v>
      </c>
      <c r="B134" s="1234" t="s">
        <v>9071</v>
      </c>
      <c r="C134" s="1240">
        <v>418</v>
      </c>
      <c r="D134" s="1240">
        <v>128</v>
      </c>
      <c r="E134" s="1240">
        <v>431</v>
      </c>
      <c r="F134" s="1240">
        <v>6235</v>
      </c>
      <c r="G134" s="1240">
        <v>2114</v>
      </c>
      <c r="H134" s="1240">
        <v>156</v>
      </c>
      <c r="J134" s="1239" t="s">
        <v>1086</v>
      </c>
      <c r="K134" s="1234" t="s">
        <v>347</v>
      </c>
      <c r="L134" s="1234"/>
      <c r="M134" s="1240">
        <f t="shared" si="18"/>
        <v>740</v>
      </c>
      <c r="N134" s="1240">
        <v>1</v>
      </c>
      <c r="O134" s="1240">
        <v>0</v>
      </c>
      <c r="P134" s="1240">
        <f t="shared" si="19"/>
        <v>739</v>
      </c>
      <c r="Q134" s="1240">
        <v>3</v>
      </c>
      <c r="R134" s="1240">
        <f t="shared" si="20"/>
        <v>736</v>
      </c>
      <c r="S134" s="1240">
        <f t="shared" si="21"/>
        <v>736</v>
      </c>
      <c r="T134" s="1240">
        <v>587</v>
      </c>
      <c r="U134" s="1240">
        <v>149</v>
      </c>
      <c r="V134" s="1240">
        <v>0</v>
      </c>
      <c r="W134" s="1232"/>
      <c r="X134" s="1232" t="s">
        <v>9421</v>
      </c>
      <c r="Y134" s="1232" t="s">
        <v>9139</v>
      </c>
      <c r="Z134" s="1232" t="s">
        <v>9259</v>
      </c>
      <c r="AA134" s="1233" t="s">
        <v>1086</v>
      </c>
      <c r="AB134" s="1234" t="s">
        <v>347</v>
      </c>
      <c r="AC134" s="1235"/>
      <c r="AD134" s="1213">
        <f t="shared" si="22"/>
        <v>740</v>
      </c>
      <c r="AE134" s="1213">
        <f t="shared" si="28"/>
        <v>1</v>
      </c>
      <c r="AF134" s="1213">
        <f t="shared" si="28"/>
        <v>0</v>
      </c>
      <c r="AG134" s="1213">
        <f t="shared" si="23"/>
        <v>739</v>
      </c>
      <c r="AH134" s="1213">
        <f t="shared" si="24"/>
        <v>3</v>
      </c>
      <c r="AI134" s="1213">
        <f t="shared" si="25"/>
        <v>736</v>
      </c>
      <c r="AJ134" s="1213">
        <f t="shared" si="26"/>
        <v>736</v>
      </c>
      <c r="AK134" s="1213">
        <f t="shared" si="29"/>
        <v>587</v>
      </c>
      <c r="AL134" s="1213">
        <f t="shared" si="29"/>
        <v>149</v>
      </c>
      <c r="AM134" s="1213">
        <f t="shared" si="27"/>
        <v>0</v>
      </c>
    </row>
    <row r="135" spans="1:39" ht="16.5" customHeight="1">
      <c r="A135" s="1231"/>
      <c r="J135" s="1231" t="s">
        <v>1088</v>
      </c>
      <c r="K135" s="940" t="s">
        <v>9520</v>
      </c>
      <c r="L135" s="940"/>
      <c r="M135" s="1241">
        <f t="shared" si="18"/>
        <v>8742</v>
      </c>
      <c r="N135" s="1241">
        <f>C134-SUM(N134:N134)</f>
        <v>417</v>
      </c>
      <c r="O135" s="1241">
        <f>D134-SUM(O134:O134)</f>
        <v>128</v>
      </c>
      <c r="P135" s="1241">
        <f t="shared" si="19"/>
        <v>8197</v>
      </c>
      <c r="Q135" s="1241">
        <f>E134-SUM(Q134:Q134)</f>
        <v>428</v>
      </c>
      <c r="R135" s="1241">
        <f t="shared" si="20"/>
        <v>7769</v>
      </c>
      <c r="S135" s="1241">
        <f t="shared" si="21"/>
        <v>7613</v>
      </c>
      <c r="T135" s="1241">
        <f>F134-SUM(T134:T134)</f>
        <v>5648</v>
      </c>
      <c r="U135" s="1241">
        <f>G134-SUM(U134:U134)</f>
        <v>1965</v>
      </c>
      <c r="V135" s="1241">
        <f>H134-SUM(V134:V134)</f>
        <v>156</v>
      </c>
      <c r="W135" s="1232"/>
      <c r="X135" s="1232" t="s">
        <v>9422</v>
      </c>
      <c r="Y135" s="1232" t="s">
        <v>9139</v>
      </c>
      <c r="Z135" s="1232" t="s">
        <v>9259</v>
      </c>
      <c r="AA135" s="1236" t="s">
        <v>1088</v>
      </c>
      <c r="AB135" s="940" t="s">
        <v>9520</v>
      </c>
      <c r="AC135" s="1243"/>
      <c r="AD135" s="943">
        <f t="shared" si="22"/>
        <v>8742</v>
      </c>
      <c r="AE135" s="943">
        <f t="shared" si="28"/>
        <v>417</v>
      </c>
      <c r="AF135" s="943">
        <f t="shared" si="28"/>
        <v>128</v>
      </c>
      <c r="AG135" s="943">
        <f t="shared" si="23"/>
        <v>8197</v>
      </c>
      <c r="AH135" s="943">
        <f t="shared" si="24"/>
        <v>428</v>
      </c>
      <c r="AI135" s="943">
        <f t="shared" si="25"/>
        <v>7769</v>
      </c>
      <c r="AJ135" s="943">
        <f t="shared" si="26"/>
        <v>7613</v>
      </c>
      <c r="AK135" s="943">
        <f t="shared" si="29"/>
        <v>5648</v>
      </c>
      <c r="AL135" s="943">
        <f t="shared" si="29"/>
        <v>1965</v>
      </c>
      <c r="AM135" s="943">
        <f t="shared" si="27"/>
        <v>156</v>
      </c>
    </row>
    <row r="136" spans="1:39" ht="16.5" customHeight="1">
      <c r="A136" s="1239" t="s">
        <v>9140</v>
      </c>
      <c r="B136" s="1234" t="s">
        <v>11637</v>
      </c>
      <c r="C136" s="1240">
        <v>1133</v>
      </c>
      <c r="D136" s="1240">
        <v>409</v>
      </c>
      <c r="E136" s="1240">
        <v>431</v>
      </c>
      <c r="F136" s="1240">
        <v>2671</v>
      </c>
      <c r="G136" s="1240">
        <v>790</v>
      </c>
      <c r="H136" s="1240">
        <v>106</v>
      </c>
      <c r="J136" s="1239" t="s">
        <v>1090</v>
      </c>
      <c r="K136" s="1234" t="s">
        <v>352</v>
      </c>
      <c r="L136" s="1234"/>
      <c r="M136" s="1240">
        <f t="shared" si="18"/>
        <v>1622</v>
      </c>
      <c r="N136" s="1240">
        <v>236</v>
      </c>
      <c r="O136" s="1240">
        <v>84</v>
      </c>
      <c r="P136" s="1240">
        <f t="shared" si="19"/>
        <v>1302</v>
      </c>
      <c r="Q136" s="1232">
        <v>118</v>
      </c>
      <c r="R136" s="1232">
        <f t="shared" si="20"/>
        <v>1184</v>
      </c>
      <c r="S136" s="1232">
        <f t="shared" si="21"/>
        <v>1163</v>
      </c>
      <c r="T136" s="1232">
        <v>904</v>
      </c>
      <c r="U136" s="1232">
        <v>259</v>
      </c>
      <c r="V136" s="1232">
        <v>21</v>
      </c>
      <c r="W136" s="1232"/>
      <c r="X136" s="1232" t="s">
        <v>9423</v>
      </c>
      <c r="Y136" s="1232" t="s">
        <v>9140</v>
      </c>
      <c r="Z136" s="1232" t="s">
        <v>9276</v>
      </c>
      <c r="AA136" s="1233" t="s">
        <v>1090</v>
      </c>
      <c r="AB136" s="1234" t="s">
        <v>352</v>
      </c>
      <c r="AC136" s="1235"/>
      <c r="AD136" s="1213">
        <f t="shared" si="22"/>
        <v>1622</v>
      </c>
      <c r="AE136" s="1213">
        <f t="shared" si="28"/>
        <v>236</v>
      </c>
      <c r="AF136" s="1213">
        <f t="shared" si="28"/>
        <v>84</v>
      </c>
      <c r="AG136" s="1213">
        <f t="shared" si="23"/>
        <v>1302</v>
      </c>
      <c r="AH136" s="942">
        <f t="shared" si="24"/>
        <v>118</v>
      </c>
      <c r="AI136" s="942">
        <f t="shared" si="25"/>
        <v>1184</v>
      </c>
      <c r="AJ136" s="942">
        <f t="shared" si="26"/>
        <v>1163</v>
      </c>
      <c r="AK136" s="942">
        <f t="shared" si="29"/>
        <v>904</v>
      </c>
      <c r="AL136" s="942">
        <f t="shared" si="29"/>
        <v>259</v>
      </c>
      <c r="AM136" s="942">
        <f t="shared" si="27"/>
        <v>21</v>
      </c>
    </row>
    <row r="137" spans="1:39" ht="16.5" customHeight="1">
      <c r="A137" s="1231"/>
      <c r="J137" s="1231" t="s">
        <v>1092</v>
      </c>
      <c r="K137" s="940" t="s">
        <v>9521</v>
      </c>
      <c r="L137" s="940"/>
      <c r="M137" s="1241">
        <f t="shared" ref="M137:M200" si="42">N137+O137+P137</f>
        <v>3918</v>
      </c>
      <c r="N137" s="1241">
        <f>C136-SUM(N136:N136)</f>
        <v>897</v>
      </c>
      <c r="O137" s="1241">
        <f>D136-SUM(O136:O136)</f>
        <v>325</v>
      </c>
      <c r="P137" s="1241">
        <f t="shared" ref="P137:P200" si="43">Q137+R137</f>
        <v>2696</v>
      </c>
      <c r="Q137" s="1241">
        <f>E136-SUM(Q136:Q136)</f>
        <v>313</v>
      </c>
      <c r="R137" s="1241">
        <f t="shared" ref="R137:R200" si="44">S137+V137</f>
        <v>2383</v>
      </c>
      <c r="S137" s="1241">
        <f t="shared" ref="S137:S200" si="45">T137+U137</f>
        <v>2298</v>
      </c>
      <c r="T137" s="1241">
        <f>F136-SUM(T136:T136)</f>
        <v>1767</v>
      </c>
      <c r="U137" s="1241">
        <f>G136-SUM(U136:U136)</f>
        <v>531</v>
      </c>
      <c r="V137" s="1241">
        <f>H136-SUM(V136:V136)</f>
        <v>85</v>
      </c>
      <c r="W137" s="1232"/>
      <c r="X137" s="1232" t="s">
        <v>9424</v>
      </c>
      <c r="Y137" s="1232" t="s">
        <v>9140</v>
      </c>
      <c r="Z137" s="1232" t="s">
        <v>9276</v>
      </c>
      <c r="AA137" s="1236" t="s">
        <v>1092</v>
      </c>
      <c r="AB137" s="940" t="s">
        <v>9521</v>
      </c>
      <c r="AC137" s="1243"/>
      <c r="AD137" s="943">
        <f t="shared" ref="AD137:AD200" si="46">AE137+AF137+AG137</f>
        <v>3918</v>
      </c>
      <c r="AE137" s="943">
        <f t="shared" ref="AE137:AF200" si="47">N137</f>
        <v>897</v>
      </c>
      <c r="AF137" s="943">
        <f t="shared" si="47"/>
        <v>325</v>
      </c>
      <c r="AG137" s="943">
        <f t="shared" ref="AG137:AG200" si="48">AH137+AI137</f>
        <v>2696</v>
      </c>
      <c r="AH137" s="943">
        <f t="shared" ref="AH137:AH200" si="49">Q137</f>
        <v>313</v>
      </c>
      <c r="AI137" s="943">
        <f t="shared" ref="AI137:AI200" si="50">AJ137+AM137</f>
        <v>2383</v>
      </c>
      <c r="AJ137" s="943">
        <f t="shared" ref="AJ137:AJ200" si="51">AK137+AL137</f>
        <v>2298</v>
      </c>
      <c r="AK137" s="943">
        <f t="shared" ref="AK137:AM200" si="52">T137</f>
        <v>1767</v>
      </c>
      <c r="AL137" s="943">
        <f t="shared" si="52"/>
        <v>531</v>
      </c>
      <c r="AM137" s="943">
        <f t="shared" si="52"/>
        <v>85</v>
      </c>
    </row>
    <row r="138" spans="1:39" ht="16.5" customHeight="1">
      <c r="A138" s="1239" t="s">
        <v>9141</v>
      </c>
      <c r="B138" s="1234" t="s">
        <v>9073</v>
      </c>
      <c r="C138" s="1240">
        <v>51</v>
      </c>
      <c r="D138" s="1240">
        <v>15</v>
      </c>
      <c r="E138" s="1240">
        <v>71</v>
      </c>
      <c r="F138" s="1240">
        <v>1552</v>
      </c>
      <c r="G138" s="1240">
        <v>270</v>
      </c>
      <c r="H138" s="1240">
        <v>17</v>
      </c>
      <c r="J138" s="1239" t="s">
        <v>1094</v>
      </c>
      <c r="K138" s="1234" t="s">
        <v>6484</v>
      </c>
      <c r="L138" s="1234"/>
      <c r="M138" s="1240">
        <f t="shared" si="42"/>
        <v>827</v>
      </c>
      <c r="N138" s="1240">
        <v>14</v>
      </c>
      <c r="O138" s="1232">
        <v>4</v>
      </c>
      <c r="P138" s="1232">
        <f t="shared" si="43"/>
        <v>809</v>
      </c>
      <c r="Q138" s="1232">
        <v>20</v>
      </c>
      <c r="R138" s="1232">
        <f t="shared" si="44"/>
        <v>789</v>
      </c>
      <c r="S138" s="1232">
        <f t="shared" si="45"/>
        <v>788</v>
      </c>
      <c r="T138" s="1232">
        <v>671</v>
      </c>
      <c r="U138" s="1232">
        <v>117</v>
      </c>
      <c r="V138" s="1232">
        <v>1</v>
      </c>
      <c r="W138" s="1232"/>
      <c r="X138" s="1232" t="s">
        <v>356</v>
      </c>
      <c r="Y138" s="1232" t="s">
        <v>9141</v>
      </c>
      <c r="Z138" s="1232" t="s">
        <v>9262</v>
      </c>
      <c r="AA138" s="1233" t="s">
        <v>1094</v>
      </c>
      <c r="AB138" s="1234" t="s">
        <v>6484</v>
      </c>
      <c r="AC138" s="1235"/>
      <c r="AD138" s="1213">
        <f t="shared" si="46"/>
        <v>827</v>
      </c>
      <c r="AE138" s="1213">
        <f t="shared" si="47"/>
        <v>14</v>
      </c>
      <c r="AF138" s="942">
        <f t="shared" si="47"/>
        <v>4</v>
      </c>
      <c r="AG138" s="942">
        <f t="shared" si="48"/>
        <v>809</v>
      </c>
      <c r="AH138" s="942">
        <f t="shared" si="49"/>
        <v>20</v>
      </c>
      <c r="AI138" s="942">
        <f t="shared" si="50"/>
        <v>789</v>
      </c>
      <c r="AJ138" s="942">
        <f t="shared" si="51"/>
        <v>788</v>
      </c>
      <c r="AK138" s="942">
        <f t="shared" si="52"/>
        <v>671</v>
      </c>
      <c r="AL138" s="942">
        <f t="shared" si="52"/>
        <v>117</v>
      </c>
      <c r="AM138" s="942">
        <f t="shared" si="52"/>
        <v>1</v>
      </c>
    </row>
    <row r="139" spans="1:39" ht="16.5" customHeight="1">
      <c r="A139" s="1231"/>
      <c r="J139" s="1231" t="s">
        <v>1096</v>
      </c>
      <c r="K139" s="867" t="s">
        <v>361</v>
      </c>
      <c r="L139" s="867"/>
      <c r="M139" s="1232">
        <f t="shared" si="42"/>
        <v>25</v>
      </c>
      <c r="N139" s="1232">
        <v>0</v>
      </c>
      <c r="O139" s="1232">
        <v>0</v>
      </c>
      <c r="P139" s="1232">
        <f t="shared" si="43"/>
        <v>25</v>
      </c>
      <c r="Q139" s="1232">
        <v>1</v>
      </c>
      <c r="R139" s="1232">
        <f t="shared" si="44"/>
        <v>24</v>
      </c>
      <c r="S139" s="1232">
        <f t="shared" si="45"/>
        <v>22</v>
      </c>
      <c r="T139" s="1232">
        <v>19</v>
      </c>
      <c r="U139" s="1232">
        <v>3</v>
      </c>
      <c r="V139" s="1232">
        <v>2</v>
      </c>
      <c r="W139" s="1232"/>
      <c r="X139" s="1232" t="s">
        <v>356</v>
      </c>
      <c r="Y139" s="1232" t="s">
        <v>9141</v>
      </c>
      <c r="Z139" s="1232" t="s">
        <v>9262</v>
      </c>
      <c r="AA139" s="1236" t="s">
        <v>1096</v>
      </c>
      <c r="AB139" s="867" t="s">
        <v>361</v>
      </c>
      <c r="AC139" s="1237"/>
      <c r="AD139" s="942">
        <f t="shared" si="46"/>
        <v>25</v>
      </c>
      <c r="AE139" s="942">
        <f t="shared" si="47"/>
        <v>0</v>
      </c>
      <c r="AF139" s="942">
        <f t="shared" si="47"/>
        <v>0</v>
      </c>
      <c r="AG139" s="942">
        <f t="shared" si="48"/>
        <v>25</v>
      </c>
      <c r="AH139" s="942">
        <f t="shared" si="49"/>
        <v>1</v>
      </c>
      <c r="AI139" s="942">
        <f t="shared" si="50"/>
        <v>24</v>
      </c>
      <c r="AJ139" s="942">
        <f t="shared" si="51"/>
        <v>22</v>
      </c>
      <c r="AK139" s="942">
        <f t="shared" si="52"/>
        <v>19</v>
      </c>
      <c r="AL139" s="942">
        <f t="shared" si="52"/>
        <v>3</v>
      </c>
      <c r="AM139" s="942">
        <f t="shared" si="52"/>
        <v>2</v>
      </c>
    </row>
    <row r="140" spans="1:39" ht="16.5" customHeight="1">
      <c r="A140" s="1231"/>
      <c r="J140" s="1238" t="s">
        <v>1098</v>
      </c>
      <c r="K140" s="940" t="s">
        <v>6490</v>
      </c>
      <c r="L140" s="940"/>
      <c r="M140" s="1241">
        <f t="shared" si="42"/>
        <v>1124</v>
      </c>
      <c r="N140" s="1241">
        <f>C138-SUM(N138:N139)</f>
        <v>37</v>
      </c>
      <c r="O140" s="1241">
        <f>D138-SUM(O138:O139)</f>
        <v>11</v>
      </c>
      <c r="P140" s="1241">
        <f t="shared" si="43"/>
        <v>1076</v>
      </c>
      <c r="Q140" s="1241">
        <f>E138-SUM(Q138:Q139)</f>
        <v>50</v>
      </c>
      <c r="R140" s="1241">
        <f t="shared" si="44"/>
        <v>1026</v>
      </c>
      <c r="S140" s="1241">
        <f t="shared" si="45"/>
        <v>1012</v>
      </c>
      <c r="T140" s="1241">
        <f>F138-SUM(T138:T139)</f>
        <v>862</v>
      </c>
      <c r="U140" s="1241">
        <f t="shared" ref="U140:V140" si="53">G138-SUM(U138:U139)</f>
        <v>150</v>
      </c>
      <c r="V140" s="1241">
        <f t="shared" si="53"/>
        <v>14</v>
      </c>
      <c r="W140" s="1232"/>
      <c r="X140" s="1232" t="s">
        <v>356</v>
      </c>
      <c r="Y140" s="1232" t="s">
        <v>9141</v>
      </c>
      <c r="Z140" s="1232" t="s">
        <v>9262</v>
      </c>
      <c r="AA140" s="1242" t="s">
        <v>1098</v>
      </c>
      <c r="AB140" s="940" t="s">
        <v>6490</v>
      </c>
      <c r="AC140" s="1243"/>
      <c r="AD140" s="943">
        <f t="shared" si="46"/>
        <v>1124</v>
      </c>
      <c r="AE140" s="943">
        <f t="shared" si="47"/>
        <v>37</v>
      </c>
      <c r="AF140" s="943">
        <f t="shared" si="47"/>
        <v>11</v>
      </c>
      <c r="AG140" s="943">
        <f t="shared" si="48"/>
        <v>1076</v>
      </c>
      <c r="AH140" s="943">
        <f t="shared" si="49"/>
        <v>50</v>
      </c>
      <c r="AI140" s="943">
        <f t="shared" si="50"/>
        <v>1026</v>
      </c>
      <c r="AJ140" s="943">
        <f t="shared" si="51"/>
        <v>1012</v>
      </c>
      <c r="AK140" s="943">
        <f t="shared" si="52"/>
        <v>862</v>
      </c>
      <c r="AL140" s="943">
        <f t="shared" si="52"/>
        <v>150</v>
      </c>
      <c r="AM140" s="943">
        <f t="shared" si="52"/>
        <v>14</v>
      </c>
    </row>
    <row r="141" spans="1:39" ht="16.5" customHeight="1">
      <c r="A141" s="1239" t="s">
        <v>9142</v>
      </c>
      <c r="B141" s="1234" t="s">
        <v>9074</v>
      </c>
      <c r="C141" s="1240">
        <v>26</v>
      </c>
      <c r="D141" s="1240">
        <v>9</v>
      </c>
      <c r="E141" s="1240">
        <v>350</v>
      </c>
      <c r="F141" s="1240">
        <v>2725</v>
      </c>
      <c r="G141" s="1240">
        <v>516</v>
      </c>
      <c r="H141" s="1240">
        <v>156</v>
      </c>
      <c r="J141" s="1231" t="s">
        <v>1100</v>
      </c>
      <c r="K141" s="867" t="s">
        <v>365</v>
      </c>
      <c r="L141" s="867"/>
      <c r="M141" s="1232">
        <f t="shared" si="42"/>
        <v>253</v>
      </c>
      <c r="N141" s="1232">
        <v>1</v>
      </c>
      <c r="O141" s="1232">
        <v>0</v>
      </c>
      <c r="P141" s="1232">
        <f t="shared" si="43"/>
        <v>252</v>
      </c>
      <c r="Q141" s="1232">
        <v>6</v>
      </c>
      <c r="R141" s="1232">
        <f t="shared" si="44"/>
        <v>246</v>
      </c>
      <c r="S141" s="1232">
        <f t="shared" si="45"/>
        <v>246</v>
      </c>
      <c r="T141" s="1232">
        <v>207</v>
      </c>
      <c r="U141" s="1232">
        <v>39</v>
      </c>
      <c r="V141" s="1232">
        <v>0</v>
      </c>
      <c r="W141" s="1232"/>
      <c r="X141" s="1232" t="s">
        <v>364</v>
      </c>
      <c r="Y141" s="1232" t="s">
        <v>9142</v>
      </c>
      <c r="Z141" s="1232" t="s">
        <v>9262</v>
      </c>
      <c r="AA141" s="1236" t="s">
        <v>1100</v>
      </c>
      <c r="AB141" s="867" t="s">
        <v>365</v>
      </c>
      <c r="AC141" s="1237"/>
      <c r="AD141" s="942">
        <f t="shared" si="46"/>
        <v>253</v>
      </c>
      <c r="AE141" s="942">
        <f t="shared" si="47"/>
        <v>1</v>
      </c>
      <c r="AF141" s="942">
        <f t="shared" si="47"/>
        <v>0</v>
      </c>
      <c r="AG141" s="942">
        <f t="shared" si="48"/>
        <v>252</v>
      </c>
      <c r="AH141" s="942">
        <f t="shared" si="49"/>
        <v>6</v>
      </c>
      <c r="AI141" s="942">
        <f t="shared" si="50"/>
        <v>246</v>
      </c>
      <c r="AJ141" s="942">
        <f t="shared" si="51"/>
        <v>246</v>
      </c>
      <c r="AK141" s="942">
        <f t="shared" si="52"/>
        <v>207</v>
      </c>
      <c r="AL141" s="942">
        <f t="shared" si="52"/>
        <v>39</v>
      </c>
      <c r="AM141" s="942">
        <f t="shared" si="52"/>
        <v>0</v>
      </c>
    </row>
    <row r="142" spans="1:39" ht="16.5" customHeight="1">
      <c r="A142" s="1231"/>
      <c r="J142" s="1231" t="s">
        <v>1102</v>
      </c>
      <c r="K142" s="867" t="s">
        <v>367</v>
      </c>
      <c r="L142" s="867"/>
      <c r="M142" s="1232">
        <f t="shared" si="42"/>
        <v>1909</v>
      </c>
      <c r="N142" s="1232">
        <v>18</v>
      </c>
      <c r="O142" s="1232">
        <v>6</v>
      </c>
      <c r="P142" s="1232">
        <f t="shared" si="43"/>
        <v>1885</v>
      </c>
      <c r="Q142" s="1232">
        <v>239</v>
      </c>
      <c r="R142" s="1232">
        <f t="shared" si="44"/>
        <v>1646</v>
      </c>
      <c r="S142" s="1232">
        <f t="shared" si="45"/>
        <v>1512</v>
      </c>
      <c r="T142" s="1232">
        <v>1271</v>
      </c>
      <c r="U142" s="1232">
        <v>241</v>
      </c>
      <c r="V142" s="1232">
        <v>134</v>
      </c>
      <c r="W142" s="1232"/>
      <c r="X142" s="1232" t="s">
        <v>364</v>
      </c>
      <c r="Y142" s="1232" t="s">
        <v>9142</v>
      </c>
      <c r="Z142" s="1232" t="s">
        <v>9262</v>
      </c>
      <c r="AA142" s="1236" t="s">
        <v>1102</v>
      </c>
      <c r="AB142" s="867" t="s">
        <v>367</v>
      </c>
      <c r="AC142" s="1237"/>
      <c r="AD142" s="942">
        <f t="shared" si="46"/>
        <v>1909</v>
      </c>
      <c r="AE142" s="942">
        <f t="shared" si="47"/>
        <v>18</v>
      </c>
      <c r="AF142" s="942">
        <f t="shared" si="47"/>
        <v>6</v>
      </c>
      <c r="AG142" s="942">
        <f t="shared" si="48"/>
        <v>1885</v>
      </c>
      <c r="AH142" s="942">
        <f t="shared" si="49"/>
        <v>239</v>
      </c>
      <c r="AI142" s="942">
        <f t="shared" si="50"/>
        <v>1646</v>
      </c>
      <c r="AJ142" s="942">
        <f t="shared" si="51"/>
        <v>1512</v>
      </c>
      <c r="AK142" s="942">
        <f t="shared" si="52"/>
        <v>1271</v>
      </c>
      <c r="AL142" s="942">
        <f t="shared" si="52"/>
        <v>241</v>
      </c>
      <c r="AM142" s="942">
        <f t="shared" si="52"/>
        <v>134</v>
      </c>
    </row>
    <row r="143" spans="1:39" ht="16.5" customHeight="1">
      <c r="A143" s="1231"/>
      <c r="J143" s="1231" t="s">
        <v>1104</v>
      </c>
      <c r="K143" s="867" t="s">
        <v>368</v>
      </c>
      <c r="L143" s="867"/>
      <c r="M143" s="1232">
        <f t="shared" si="42"/>
        <v>1620</v>
      </c>
      <c r="N143" s="1232">
        <f>C141-SUM(N141:N142)</f>
        <v>7</v>
      </c>
      <c r="O143" s="1241">
        <f>D141-SUM(O141:O142)</f>
        <v>3</v>
      </c>
      <c r="P143" s="1241">
        <f t="shared" si="43"/>
        <v>1610</v>
      </c>
      <c r="Q143" s="1241">
        <f>E141-SUM(Q141:Q142)</f>
        <v>105</v>
      </c>
      <c r="R143" s="1241">
        <f t="shared" si="44"/>
        <v>1505</v>
      </c>
      <c r="S143" s="1241">
        <f t="shared" si="45"/>
        <v>1483</v>
      </c>
      <c r="T143" s="1241">
        <f>F141-SUM(T141:T142)</f>
        <v>1247</v>
      </c>
      <c r="U143" s="1241">
        <f t="shared" ref="U143:V143" si="54">G141-SUM(U141:U142)</f>
        <v>236</v>
      </c>
      <c r="V143" s="1241">
        <f t="shared" si="54"/>
        <v>22</v>
      </c>
      <c r="W143" s="1232"/>
      <c r="X143" s="1232" t="s">
        <v>364</v>
      </c>
      <c r="Y143" s="1232" t="s">
        <v>9142</v>
      </c>
      <c r="Z143" s="1232" t="s">
        <v>9262</v>
      </c>
      <c r="AA143" s="1236" t="s">
        <v>1104</v>
      </c>
      <c r="AB143" s="867" t="s">
        <v>368</v>
      </c>
      <c r="AC143" s="1237"/>
      <c r="AD143" s="942">
        <f t="shared" si="46"/>
        <v>1620</v>
      </c>
      <c r="AE143" s="942">
        <f t="shared" si="47"/>
        <v>7</v>
      </c>
      <c r="AF143" s="943">
        <f t="shared" si="47"/>
        <v>3</v>
      </c>
      <c r="AG143" s="943">
        <f t="shared" si="48"/>
        <v>1610</v>
      </c>
      <c r="AH143" s="943">
        <f t="shared" si="49"/>
        <v>105</v>
      </c>
      <c r="AI143" s="943">
        <f t="shared" si="50"/>
        <v>1505</v>
      </c>
      <c r="AJ143" s="943">
        <f t="shared" si="51"/>
        <v>1483</v>
      </c>
      <c r="AK143" s="943">
        <f t="shared" si="52"/>
        <v>1247</v>
      </c>
      <c r="AL143" s="943">
        <f t="shared" si="52"/>
        <v>236</v>
      </c>
      <c r="AM143" s="943">
        <f t="shared" si="52"/>
        <v>22</v>
      </c>
    </row>
    <row r="144" spans="1:39" ht="16.5" customHeight="1">
      <c r="A144" s="1239" t="s">
        <v>9143</v>
      </c>
      <c r="B144" s="1234" t="s">
        <v>6506</v>
      </c>
      <c r="C144" s="1240">
        <v>178</v>
      </c>
      <c r="D144" s="1240">
        <v>79</v>
      </c>
      <c r="E144" s="1240">
        <v>110</v>
      </c>
      <c r="F144" s="1240">
        <v>1089</v>
      </c>
      <c r="G144" s="1240">
        <v>198</v>
      </c>
      <c r="H144" s="1240">
        <v>25</v>
      </c>
      <c r="J144" s="1239" t="s">
        <v>1106</v>
      </c>
      <c r="K144" s="1245" t="s">
        <v>6506</v>
      </c>
      <c r="L144" s="1245"/>
      <c r="M144" s="1246">
        <f t="shared" si="42"/>
        <v>1679</v>
      </c>
      <c r="N144" s="1246">
        <f t="shared" ref="N144:O144" si="55">C144</f>
        <v>178</v>
      </c>
      <c r="O144" s="1246">
        <f t="shared" si="55"/>
        <v>79</v>
      </c>
      <c r="P144" s="1246">
        <f t="shared" si="43"/>
        <v>1422</v>
      </c>
      <c r="Q144" s="1246">
        <f t="shared" ref="Q144" si="56">E144</f>
        <v>110</v>
      </c>
      <c r="R144" s="1246">
        <f t="shared" si="44"/>
        <v>1312</v>
      </c>
      <c r="S144" s="1246">
        <f t="shared" si="45"/>
        <v>1287</v>
      </c>
      <c r="T144" s="1246">
        <f t="shared" ref="T144:V144" si="57">F144</f>
        <v>1089</v>
      </c>
      <c r="U144" s="1246">
        <f t="shared" si="57"/>
        <v>198</v>
      </c>
      <c r="V144" s="1246">
        <f t="shared" si="57"/>
        <v>25</v>
      </c>
      <c r="W144" s="1232"/>
      <c r="X144" s="1232" t="s">
        <v>369</v>
      </c>
      <c r="Y144" s="1232" t="s">
        <v>9143</v>
      </c>
      <c r="Z144" s="1232" t="s">
        <v>9262</v>
      </c>
      <c r="AA144" s="1233" t="s">
        <v>1106</v>
      </c>
      <c r="AB144" s="1245" t="s">
        <v>6506</v>
      </c>
      <c r="AC144" s="1248"/>
      <c r="AD144" s="1215">
        <f t="shared" si="46"/>
        <v>1679</v>
      </c>
      <c r="AE144" s="1215">
        <f t="shared" si="47"/>
        <v>178</v>
      </c>
      <c r="AF144" s="1215">
        <f t="shared" si="47"/>
        <v>79</v>
      </c>
      <c r="AG144" s="1215">
        <f t="shared" si="48"/>
        <v>1422</v>
      </c>
      <c r="AH144" s="1215">
        <f t="shared" si="49"/>
        <v>110</v>
      </c>
      <c r="AI144" s="1215">
        <f t="shared" si="50"/>
        <v>1312</v>
      </c>
      <c r="AJ144" s="1215">
        <f t="shared" si="51"/>
        <v>1287</v>
      </c>
      <c r="AK144" s="1215">
        <f t="shared" si="52"/>
        <v>1089</v>
      </c>
      <c r="AL144" s="1215">
        <f t="shared" si="52"/>
        <v>198</v>
      </c>
      <c r="AM144" s="1215">
        <f t="shared" si="52"/>
        <v>25</v>
      </c>
    </row>
    <row r="145" spans="1:39" ht="16.5" customHeight="1">
      <c r="A145" s="1239" t="s">
        <v>9144</v>
      </c>
      <c r="B145" s="1234" t="s">
        <v>11638</v>
      </c>
      <c r="C145" s="1240">
        <v>155</v>
      </c>
      <c r="D145" s="1240">
        <v>45</v>
      </c>
      <c r="E145" s="1240">
        <v>323</v>
      </c>
      <c r="F145" s="1240">
        <v>2331</v>
      </c>
      <c r="G145" s="1240">
        <v>477</v>
      </c>
      <c r="H145" s="1240">
        <v>52</v>
      </c>
      <c r="J145" s="1239" t="s">
        <v>1108</v>
      </c>
      <c r="K145" s="867" t="s">
        <v>374</v>
      </c>
      <c r="L145" s="867"/>
      <c r="M145" s="1232">
        <f t="shared" si="42"/>
        <v>1167</v>
      </c>
      <c r="N145" s="1232">
        <v>3</v>
      </c>
      <c r="O145" s="1232">
        <v>1</v>
      </c>
      <c r="P145" s="1232">
        <f t="shared" si="43"/>
        <v>1163</v>
      </c>
      <c r="Q145" s="1232">
        <v>58</v>
      </c>
      <c r="R145" s="1232">
        <f t="shared" si="44"/>
        <v>1105</v>
      </c>
      <c r="S145" s="1232">
        <f t="shared" si="45"/>
        <v>1099</v>
      </c>
      <c r="T145" s="1232">
        <v>916</v>
      </c>
      <c r="U145" s="1232">
        <v>183</v>
      </c>
      <c r="V145" s="1232">
        <v>6</v>
      </c>
      <c r="W145" s="1232"/>
      <c r="X145" s="1232" t="s">
        <v>9425</v>
      </c>
      <c r="Y145" s="1232" t="s">
        <v>9144</v>
      </c>
      <c r="Z145" s="1232" t="s">
        <v>9262</v>
      </c>
      <c r="AA145" s="1233" t="s">
        <v>1108</v>
      </c>
      <c r="AB145" s="867" t="s">
        <v>374</v>
      </c>
      <c r="AC145" s="1237"/>
      <c r="AD145" s="942">
        <f t="shared" si="46"/>
        <v>1167</v>
      </c>
      <c r="AE145" s="942">
        <f t="shared" si="47"/>
        <v>3</v>
      </c>
      <c r="AF145" s="942">
        <f t="shared" si="47"/>
        <v>1</v>
      </c>
      <c r="AG145" s="942">
        <f t="shared" si="48"/>
        <v>1163</v>
      </c>
      <c r="AH145" s="942">
        <f t="shared" si="49"/>
        <v>58</v>
      </c>
      <c r="AI145" s="942">
        <f t="shared" si="50"/>
        <v>1105</v>
      </c>
      <c r="AJ145" s="942">
        <f t="shared" si="51"/>
        <v>1099</v>
      </c>
      <c r="AK145" s="942">
        <f t="shared" si="52"/>
        <v>916</v>
      </c>
      <c r="AL145" s="942">
        <f t="shared" si="52"/>
        <v>183</v>
      </c>
      <c r="AM145" s="942">
        <f t="shared" si="52"/>
        <v>6</v>
      </c>
    </row>
    <row r="146" spans="1:39" ht="16.5" customHeight="1">
      <c r="A146" s="1231"/>
      <c r="J146" s="1231" t="s">
        <v>1110</v>
      </c>
      <c r="K146" s="867" t="s">
        <v>375</v>
      </c>
      <c r="L146" s="867"/>
      <c r="M146" s="1232">
        <f t="shared" si="42"/>
        <v>483</v>
      </c>
      <c r="N146" s="1232">
        <v>50</v>
      </c>
      <c r="O146" s="1232">
        <v>18</v>
      </c>
      <c r="P146" s="1232">
        <f t="shared" si="43"/>
        <v>415</v>
      </c>
      <c r="Q146" s="1232">
        <v>59</v>
      </c>
      <c r="R146" s="1232">
        <f t="shared" si="44"/>
        <v>356</v>
      </c>
      <c r="S146" s="1232">
        <f t="shared" si="45"/>
        <v>346</v>
      </c>
      <c r="T146" s="1232">
        <v>288</v>
      </c>
      <c r="U146" s="1232">
        <v>58</v>
      </c>
      <c r="V146" s="1232">
        <v>10</v>
      </c>
      <c r="W146" s="1232"/>
      <c r="X146" s="1232" t="s">
        <v>9425</v>
      </c>
      <c r="Y146" s="1232" t="s">
        <v>9144</v>
      </c>
      <c r="Z146" s="1232" t="s">
        <v>9262</v>
      </c>
      <c r="AA146" s="1236" t="s">
        <v>1110</v>
      </c>
      <c r="AB146" s="867" t="s">
        <v>375</v>
      </c>
      <c r="AC146" s="1237"/>
      <c r="AD146" s="942">
        <f t="shared" si="46"/>
        <v>483</v>
      </c>
      <c r="AE146" s="942">
        <f t="shared" si="47"/>
        <v>50</v>
      </c>
      <c r="AF146" s="942">
        <f t="shared" si="47"/>
        <v>18</v>
      </c>
      <c r="AG146" s="942">
        <f t="shared" si="48"/>
        <v>415</v>
      </c>
      <c r="AH146" s="942">
        <f t="shared" si="49"/>
        <v>59</v>
      </c>
      <c r="AI146" s="942">
        <f t="shared" si="50"/>
        <v>356</v>
      </c>
      <c r="AJ146" s="942">
        <f t="shared" si="51"/>
        <v>346</v>
      </c>
      <c r="AK146" s="942">
        <f t="shared" si="52"/>
        <v>288</v>
      </c>
      <c r="AL146" s="942">
        <f t="shared" si="52"/>
        <v>58</v>
      </c>
      <c r="AM146" s="942">
        <f t="shared" si="52"/>
        <v>10</v>
      </c>
    </row>
    <row r="147" spans="1:39" ht="16.5" customHeight="1">
      <c r="A147" s="1231"/>
      <c r="J147" s="1231" t="s">
        <v>1112</v>
      </c>
      <c r="K147" s="867" t="s">
        <v>377</v>
      </c>
      <c r="L147" s="867"/>
      <c r="M147" s="1232">
        <f t="shared" si="42"/>
        <v>133</v>
      </c>
      <c r="N147" s="1232">
        <v>1</v>
      </c>
      <c r="O147" s="1232">
        <v>0</v>
      </c>
      <c r="P147" s="1232">
        <f t="shared" si="43"/>
        <v>132</v>
      </c>
      <c r="Q147" s="1232">
        <v>4</v>
      </c>
      <c r="R147" s="1232">
        <f t="shared" si="44"/>
        <v>128</v>
      </c>
      <c r="S147" s="1232">
        <f t="shared" si="45"/>
        <v>125</v>
      </c>
      <c r="T147" s="1232">
        <v>103</v>
      </c>
      <c r="U147" s="1232">
        <v>22</v>
      </c>
      <c r="V147" s="1232">
        <v>3</v>
      </c>
      <c r="W147" s="1232"/>
      <c r="X147" s="1232" t="s">
        <v>376</v>
      </c>
      <c r="Y147" s="1232" t="s">
        <v>9144</v>
      </c>
      <c r="Z147" s="1232" t="s">
        <v>9262</v>
      </c>
      <c r="AA147" s="1236" t="s">
        <v>1112</v>
      </c>
      <c r="AB147" s="867" t="s">
        <v>377</v>
      </c>
      <c r="AC147" s="1237"/>
      <c r="AD147" s="942">
        <f t="shared" si="46"/>
        <v>133</v>
      </c>
      <c r="AE147" s="942">
        <f t="shared" si="47"/>
        <v>1</v>
      </c>
      <c r="AF147" s="942">
        <f t="shared" si="47"/>
        <v>0</v>
      </c>
      <c r="AG147" s="942">
        <f t="shared" si="48"/>
        <v>132</v>
      </c>
      <c r="AH147" s="942">
        <f t="shared" si="49"/>
        <v>4</v>
      </c>
      <c r="AI147" s="942">
        <f t="shared" si="50"/>
        <v>128</v>
      </c>
      <c r="AJ147" s="942">
        <f t="shared" si="51"/>
        <v>125</v>
      </c>
      <c r="AK147" s="942">
        <f t="shared" si="52"/>
        <v>103</v>
      </c>
      <c r="AL147" s="942">
        <f t="shared" si="52"/>
        <v>22</v>
      </c>
      <c r="AM147" s="942">
        <f t="shared" si="52"/>
        <v>3</v>
      </c>
    </row>
    <row r="148" spans="1:39" ht="16.5" customHeight="1">
      <c r="A148" s="1231"/>
      <c r="J148" s="1231" t="s">
        <v>1114</v>
      </c>
      <c r="K148" s="867" t="s">
        <v>378</v>
      </c>
      <c r="L148" s="867"/>
      <c r="M148" s="1232">
        <f t="shared" si="42"/>
        <v>150</v>
      </c>
      <c r="N148" s="1232">
        <v>2</v>
      </c>
      <c r="O148" s="1232">
        <v>0</v>
      </c>
      <c r="P148" s="1232">
        <f t="shared" si="43"/>
        <v>148</v>
      </c>
      <c r="Q148" s="1232">
        <v>11</v>
      </c>
      <c r="R148" s="1232">
        <f t="shared" si="44"/>
        <v>137</v>
      </c>
      <c r="S148" s="1232">
        <f t="shared" si="45"/>
        <v>136</v>
      </c>
      <c r="T148" s="1232">
        <v>113</v>
      </c>
      <c r="U148" s="1232">
        <v>23</v>
      </c>
      <c r="V148" s="1232">
        <v>1</v>
      </c>
      <c r="W148" s="1232"/>
      <c r="X148" s="1232" t="s">
        <v>376</v>
      </c>
      <c r="Y148" s="1232" t="s">
        <v>9144</v>
      </c>
      <c r="Z148" s="1232" t="s">
        <v>9262</v>
      </c>
      <c r="AA148" s="1236" t="s">
        <v>1114</v>
      </c>
      <c r="AB148" s="867" t="s">
        <v>378</v>
      </c>
      <c r="AC148" s="1237"/>
      <c r="AD148" s="942">
        <f t="shared" si="46"/>
        <v>150</v>
      </c>
      <c r="AE148" s="942">
        <f t="shared" si="47"/>
        <v>2</v>
      </c>
      <c r="AF148" s="942">
        <f t="shared" si="47"/>
        <v>0</v>
      </c>
      <c r="AG148" s="942">
        <f t="shared" si="48"/>
        <v>148</v>
      </c>
      <c r="AH148" s="942">
        <f t="shared" si="49"/>
        <v>11</v>
      </c>
      <c r="AI148" s="942">
        <f t="shared" si="50"/>
        <v>137</v>
      </c>
      <c r="AJ148" s="942">
        <f t="shared" si="51"/>
        <v>136</v>
      </c>
      <c r="AK148" s="942">
        <f t="shared" si="52"/>
        <v>113</v>
      </c>
      <c r="AL148" s="942">
        <f t="shared" si="52"/>
        <v>23</v>
      </c>
      <c r="AM148" s="942">
        <f t="shared" si="52"/>
        <v>1</v>
      </c>
    </row>
    <row r="149" spans="1:39" ht="16.5" customHeight="1">
      <c r="A149" s="1231"/>
      <c r="J149" s="1231" t="s">
        <v>1116</v>
      </c>
      <c r="K149" s="940" t="s">
        <v>379</v>
      </c>
      <c r="L149" s="940"/>
      <c r="M149" s="1241">
        <f t="shared" si="42"/>
        <v>1450</v>
      </c>
      <c r="N149" s="1241">
        <f>C145-SUM(N145:N148)</f>
        <v>99</v>
      </c>
      <c r="O149" s="1241">
        <f>D145-SUM(O145:O148)</f>
        <v>26</v>
      </c>
      <c r="P149" s="1241">
        <f t="shared" si="43"/>
        <v>1325</v>
      </c>
      <c r="Q149" s="1241">
        <f>E145-SUM(Q145:Q148)</f>
        <v>191</v>
      </c>
      <c r="R149" s="1241">
        <f t="shared" si="44"/>
        <v>1134</v>
      </c>
      <c r="S149" s="1241">
        <f t="shared" si="45"/>
        <v>1102</v>
      </c>
      <c r="T149" s="1241">
        <f>F145-SUM(T145:T148)</f>
        <v>911</v>
      </c>
      <c r="U149" s="1241">
        <f>G145-SUM(U145:U148)</f>
        <v>191</v>
      </c>
      <c r="V149" s="1241">
        <f>H145-SUM(V145:V148)</f>
        <v>32</v>
      </c>
      <c r="W149" s="1232"/>
      <c r="X149" s="1232" t="s">
        <v>376</v>
      </c>
      <c r="Y149" s="1232" t="s">
        <v>9144</v>
      </c>
      <c r="Z149" s="1232" t="s">
        <v>9262</v>
      </c>
      <c r="AA149" s="1236" t="s">
        <v>1116</v>
      </c>
      <c r="AB149" s="940" t="s">
        <v>379</v>
      </c>
      <c r="AC149" s="1243"/>
      <c r="AD149" s="943">
        <f t="shared" si="46"/>
        <v>1450</v>
      </c>
      <c r="AE149" s="943">
        <f t="shared" si="47"/>
        <v>99</v>
      </c>
      <c r="AF149" s="943">
        <f t="shared" si="47"/>
        <v>26</v>
      </c>
      <c r="AG149" s="943">
        <f t="shared" si="48"/>
        <v>1325</v>
      </c>
      <c r="AH149" s="943">
        <f t="shared" si="49"/>
        <v>191</v>
      </c>
      <c r="AI149" s="943">
        <f t="shared" si="50"/>
        <v>1134</v>
      </c>
      <c r="AJ149" s="943">
        <f t="shared" si="51"/>
        <v>1102</v>
      </c>
      <c r="AK149" s="943">
        <f t="shared" si="52"/>
        <v>911</v>
      </c>
      <c r="AL149" s="943">
        <f t="shared" si="52"/>
        <v>191</v>
      </c>
      <c r="AM149" s="943">
        <f t="shared" si="52"/>
        <v>32</v>
      </c>
    </row>
    <row r="150" spans="1:39" ht="16.5" customHeight="1">
      <c r="A150" s="1239" t="s">
        <v>9145</v>
      </c>
      <c r="B150" s="1234" t="s">
        <v>9075</v>
      </c>
      <c r="C150" s="1240">
        <v>0</v>
      </c>
      <c r="D150" s="1240">
        <v>0</v>
      </c>
      <c r="E150" s="1240">
        <v>18</v>
      </c>
      <c r="F150" s="1240">
        <v>2382</v>
      </c>
      <c r="G150" s="1240">
        <v>159</v>
      </c>
      <c r="H150" s="1240">
        <v>28</v>
      </c>
      <c r="J150" s="1239" t="s">
        <v>1118</v>
      </c>
      <c r="K150" s="867" t="s">
        <v>381</v>
      </c>
      <c r="L150" s="867"/>
      <c r="M150" s="1232" t="e">
        <f t="shared" si="42"/>
        <v>#DIV/0!</v>
      </c>
      <c r="N150" s="1232">
        <v>0</v>
      </c>
      <c r="O150" s="1232" t="e">
        <v>#DIV/0!</v>
      </c>
      <c r="P150" s="1232">
        <f t="shared" si="43"/>
        <v>233</v>
      </c>
      <c r="Q150" s="1232">
        <v>2</v>
      </c>
      <c r="R150" s="1232">
        <f t="shared" si="44"/>
        <v>231</v>
      </c>
      <c r="S150" s="1232">
        <f t="shared" si="45"/>
        <v>228</v>
      </c>
      <c r="T150" s="1232">
        <v>210</v>
      </c>
      <c r="U150" s="1232">
        <v>18</v>
      </c>
      <c r="V150" s="1232">
        <v>3</v>
      </c>
      <c r="W150" s="1232"/>
      <c r="X150" s="1232" t="s">
        <v>380</v>
      </c>
      <c r="Y150" s="1232" t="s">
        <v>9145</v>
      </c>
      <c r="Z150" s="1232" t="s">
        <v>9263</v>
      </c>
      <c r="AA150" s="1233" t="s">
        <v>1118</v>
      </c>
      <c r="AB150" s="867" t="s">
        <v>381</v>
      </c>
      <c r="AC150" s="1237"/>
      <c r="AD150" s="942">
        <f t="shared" si="46"/>
        <v>233</v>
      </c>
      <c r="AE150" s="942">
        <f t="shared" si="47"/>
        <v>0</v>
      </c>
      <c r="AF150" s="1217">
        <v>0</v>
      </c>
      <c r="AG150" s="942">
        <f t="shared" si="48"/>
        <v>233</v>
      </c>
      <c r="AH150" s="942">
        <f t="shared" si="49"/>
        <v>2</v>
      </c>
      <c r="AI150" s="942">
        <f t="shared" si="50"/>
        <v>231</v>
      </c>
      <c r="AJ150" s="942">
        <f t="shared" si="51"/>
        <v>228</v>
      </c>
      <c r="AK150" s="942">
        <f t="shared" si="52"/>
        <v>210</v>
      </c>
      <c r="AL150" s="942">
        <f t="shared" si="52"/>
        <v>18</v>
      </c>
      <c r="AM150" s="942">
        <f t="shared" si="52"/>
        <v>3</v>
      </c>
    </row>
    <row r="151" spans="1:39" ht="16.5" customHeight="1">
      <c r="A151" s="1231"/>
      <c r="J151" s="1231" t="s">
        <v>1120</v>
      </c>
      <c r="K151" s="867" t="s">
        <v>383</v>
      </c>
      <c r="L151" s="867"/>
      <c r="M151" s="1232" t="e">
        <f t="shared" si="42"/>
        <v>#DIV/0!</v>
      </c>
      <c r="N151" s="1232">
        <v>0</v>
      </c>
      <c r="O151" s="1232" t="e">
        <v>#DIV/0!</v>
      </c>
      <c r="P151" s="1232">
        <f t="shared" si="43"/>
        <v>155</v>
      </c>
      <c r="Q151" s="1232">
        <v>2</v>
      </c>
      <c r="R151" s="1232">
        <f t="shared" si="44"/>
        <v>153</v>
      </c>
      <c r="S151" s="1232">
        <f t="shared" si="45"/>
        <v>153</v>
      </c>
      <c r="T151" s="1232">
        <v>138</v>
      </c>
      <c r="U151" s="1232">
        <v>15</v>
      </c>
      <c r="V151" s="1232">
        <v>0</v>
      </c>
      <c r="W151" s="1232"/>
      <c r="X151" s="1232" t="s">
        <v>380</v>
      </c>
      <c r="Y151" s="1232" t="s">
        <v>9145</v>
      </c>
      <c r="Z151" s="1232" t="s">
        <v>9263</v>
      </c>
      <c r="AA151" s="1236" t="s">
        <v>1120</v>
      </c>
      <c r="AB151" s="867" t="s">
        <v>383</v>
      </c>
      <c r="AC151" s="1237"/>
      <c r="AD151" s="942">
        <f t="shared" si="46"/>
        <v>155</v>
      </c>
      <c r="AE151" s="942">
        <f t="shared" si="47"/>
        <v>0</v>
      </c>
      <c r="AF151" s="1217">
        <v>0</v>
      </c>
      <c r="AG151" s="942">
        <f t="shared" si="48"/>
        <v>155</v>
      </c>
      <c r="AH151" s="942">
        <f t="shared" si="49"/>
        <v>2</v>
      </c>
      <c r="AI151" s="942">
        <f t="shared" si="50"/>
        <v>153</v>
      </c>
      <c r="AJ151" s="942">
        <f t="shared" si="51"/>
        <v>153</v>
      </c>
      <c r="AK151" s="942">
        <f t="shared" si="52"/>
        <v>138</v>
      </c>
      <c r="AL151" s="942">
        <f t="shared" si="52"/>
        <v>15</v>
      </c>
      <c r="AM151" s="942">
        <f t="shared" si="52"/>
        <v>0</v>
      </c>
    </row>
    <row r="152" spans="1:39" ht="16.5" customHeight="1">
      <c r="A152" s="1231"/>
      <c r="J152" s="1231" t="s">
        <v>1122</v>
      </c>
      <c r="K152" s="867" t="s">
        <v>384</v>
      </c>
      <c r="L152" s="867"/>
      <c r="M152" s="1232" t="e">
        <f t="shared" si="42"/>
        <v>#DIV/0!</v>
      </c>
      <c r="N152" s="1232">
        <v>0</v>
      </c>
      <c r="O152" s="1232" t="e">
        <v>#DIV/0!</v>
      </c>
      <c r="P152" s="1232">
        <f t="shared" si="43"/>
        <v>1320</v>
      </c>
      <c r="Q152" s="1232">
        <v>8</v>
      </c>
      <c r="R152" s="1232">
        <f t="shared" si="44"/>
        <v>1312</v>
      </c>
      <c r="S152" s="1232">
        <f t="shared" si="45"/>
        <v>1297</v>
      </c>
      <c r="T152" s="1232">
        <v>1221</v>
      </c>
      <c r="U152" s="1232">
        <v>76</v>
      </c>
      <c r="V152" s="1232">
        <v>15</v>
      </c>
      <c r="W152" s="1232"/>
      <c r="X152" s="1232" t="s">
        <v>380</v>
      </c>
      <c r="Y152" s="1232" t="s">
        <v>9145</v>
      </c>
      <c r="Z152" s="1232" t="s">
        <v>9263</v>
      </c>
      <c r="AA152" s="1236" t="s">
        <v>1122</v>
      </c>
      <c r="AB152" s="867" t="s">
        <v>384</v>
      </c>
      <c r="AC152" s="1237"/>
      <c r="AD152" s="942">
        <f t="shared" si="46"/>
        <v>1320</v>
      </c>
      <c r="AE152" s="942">
        <f t="shared" si="47"/>
        <v>0</v>
      </c>
      <c r="AF152" s="1217">
        <v>0</v>
      </c>
      <c r="AG152" s="942">
        <f t="shared" si="48"/>
        <v>1320</v>
      </c>
      <c r="AH152" s="942">
        <f t="shared" si="49"/>
        <v>8</v>
      </c>
      <c r="AI152" s="942">
        <f t="shared" si="50"/>
        <v>1312</v>
      </c>
      <c r="AJ152" s="942">
        <f t="shared" si="51"/>
        <v>1297</v>
      </c>
      <c r="AK152" s="942">
        <f t="shared" si="52"/>
        <v>1221</v>
      </c>
      <c r="AL152" s="942">
        <f t="shared" si="52"/>
        <v>76</v>
      </c>
      <c r="AM152" s="942">
        <f t="shared" si="52"/>
        <v>15</v>
      </c>
    </row>
    <row r="153" spans="1:39" ht="16.5" customHeight="1">
      <c r="A153" s="1231"/>
      <c r="J153" s="1231" t="s">
        <v>1124</v>
      </c>
      <c r="K153" s="940" t="s">
        <v>385</v>
      </c>
      <c r="L153" s="940"/>
      <c r="M153" s="1241" t="e">
        <f t="shared" si="42"/>
        <v>#DIV/0!</v>
      </c>
      <c r="N153" s="1241">
        <f>C150-SUM(N150:N152)</f>
        <v>0</v>
      </c>
      <c r="O153" s="1241" t="e">
        <f>D150-SUM(O150:O152)</f>
        <v>#DIV/0!</v>
      </c>
      <c r="P153" s="1241">
        <f t="shared" si="43"/>
        <v>879</v>
      </c>
      <c r="Q153" s="1241">
        <f>E150-SUM(Q150:Q152)</f>
        <v>6</v>
      </c>
      <c r="R153" s="1241">
        <f t="shared" si="44"/>
        <v>873</v>
      </c>
      <c r="S153" s="1241">
        <f t="shared" si="45"/>
        <v>863</v>
      </c>
      <c r="T153" s="1241">
        <f>F150-SUM(T150:T152)</f>
        <v>813</v>
      </c>
      <c r="U153" s="1241">
        <f>G150-SUM(U150:U152)</f>
        <v>50</v>
      </c>
      <c r="V153" s="1241">
        <f>H150-SUM(V150:V152)</f>
        <v>10</v>
      </c>
      <c r="W153" s="1232"/>
      <c r="X153" s="1232" t="s">
        <v>380</v>
      </c>
      <c r="Y153" s="1232" t="s">
        <v>9145</v>
      </c>
      <c r="Z153" s="1232" t="s">
        <v>9263</v>
      </c>
      <c r="AA153" s="1236" t="s">
        <v>1124</v>
      </c>
      <c r="AB153" s="940" t="s">
        <v>385</v>
      </c>
      <c r="AC153" s="1243"/>
      <c r="AD153" s="943">
        <f t="shared" si="46"/>
        <v>879</v>
      </c>
      <c r="AE153" s="943">
        <f t="shared" si="47"/>
        <v>0</v>
      </c>
      <c r="AF153" s="1218">
        <v>0</v>
      </c>
      <c r="AG153" s="943">
        <f t="shared" si="48"/>
        <v>879</v>
      </c>
      <c r="AH153" s="943">
        <f t="shared" si="49"/>
        <v>6</v>
      </c>
      <c r="AI153" s="943">
        <f t="shared" si="50"/>
        <v>873</v>
      </c>
      <c r="AJ153" s="943">
        <f t="shared" si="51"/>
        <v>863</v>
      </c>
      <c r="AK153" s="943">
        <f t="shared" si="52"/>
        <v>813</v>
      </c>
      <c r="AL153" s="943">
        <f t="shared" si="52"/>
        <v>50</v>
      </c>
      <c r="AM153" s="943">
        <f t="shared" si="52"/>
        <v>10</v>
      </c>
    </row>
    <row r="154" spans="1:39" ht="16.5" customHeight="1">
      <c r="A154" s="1239" t="s">
        <v>9146</v>
      </c>
      <c r="B154" s="1234" t="s">
        <v>9076</v>
      </c>
      <c r="C154" s="1240">
        <v>23</v>
      </c>
      <c r="D154" s="1240">
        <v>4</v>
      </c>
      <c r="E154" s="1240">
        <v>75</v>
      </c>
      <c r="F154" s="1240">
        <v>10981</v>
      </c>
      <c r="G154" s="1240">
        <v>1174</v>
      </c>
      <c r="H154" s="1240">
        <v>9</v>
      </c>
      <c r="J154" s="1239" t="s">
        <v>1126</v>
      </c>
      <c r="K154" s="867" t="s">
        <v>6543</v>
      </c>
      <c r="L154" s="867"/>
      <c r="M154" s="1232">
        <f t="shared" si="42"/>
        <v>5083</v>
      </c>
      <c r="N154" s="1232">
        <v>1</v>
      </c>
      <c r="O154" s="1232">
        <v>0</v>
      </c>
      <c r="P154" s="1232">
        <f t="shared" si="43"/>
        <v>5082</v>
      </c>
      <c r="Q154" s="1232">
        <v>18</v>
      </c>
      <c r="R154" s="1232">
        <f t="shared" si="44"/>
        <v>5064</v>
      </c>
      <c r="S154" s="1232">
        <f t="shared" si="45"/>
        <v>5064</v>
      </c>
      <c r="T154" s="1232">
        <v>4575</v>
      </c>
      <c r="U154" s="1232">
        <v>489</v>
      </c>
      <c r="V154" s="1232">
        <v>0</v>
      </c>
      <c r="W154" s="1232"/>
      <c r="X154" s="1232" t="s">
        <v>389</v>
      </c>
      <c r="Y154" s="1232" t="s">
        <v>9146</v>
      </c>
      <c r="Z154" s="1232" t="s">
        <v>9263</v>
      </c>
      <c r="AA154" s="1233" t="s">
        <v>1126</v>
      </c>
      <c r="AB154" s="867" t="s">
        <v>6543</v>
      </c>
      <c r="AC154" s="1237"/>
      <c r="AD154" s="942">
        <f t="shared" si="46"/>
        <v>5083</v>
      </c>
      <c r="AE154" s="942">
        <f t="shared" si="47"/>
        <v>1</v>
      </c>
      <c r="AF154" s="942">
        <f t="shared" si="47"/>
        <v>0</v>
      </c>
      <c r="AG154" s="942">
        <f t="shared" si="48"/>
        <v>5082</v>
      </c>
      <c r="AH154" s="942">
        <f t="shared" si="49"/>
        <v>18</v>
      </c>
      <c r="AI154" s="942">
        <f t="shared" si="50"/>
        <v>5064</v>
      </c>
      <c r="AJ154" s="942">
        <f t="shared" si="51"/>
        <v>5064</v>
      </c>
      <c r="AK154" s="942">
        <f t="shared" si="52"/>
        <v>4575</v>
      </c>
      <c r="AL154" s="942">
        <f t="shared" si="52"/>
        <v>489</v>
      </c>
      <c r="AM154" s="942">
        <f t="shared" si="52"/>
        <v>0</v>
      </c>
    </row>
    <row r="155" spans="1:39" ht="16.5" customHeight="1">
      <c r="A155" s="1231"/>
      <c r="J155" s="1231" t="s">
        <v>1128</v>
      </c>
      <c r="K155" s="867" t="s">
        <v>6597</v>
      </c>
      <c r="L155" s="867"/>
      <c r="M155" s="1232">
        <f t="shared" si="42"/>
        <v>2037</v>
      </c>
      <c r="N155" s="1232">
        <v>1</v>
      </c>
      <c r="O155" s="1232">
        <v>0</v>
      </c>
      <c r="P155" s="1232">
        <f t="shared" si="43"/>
        <v>2036</v>
      </c>
      <c r="Q155" s="1232">
        <v>15</v>
      </c>
      <c r="R155" s="1232">
        <f t="shared" si="44"/>
        <v>2021</v>
      </c>
      <c r="S155" s="1232">
        <f t="shared" si="45"/>
        <v>2016</v>
      </c>
      <c r="T155" s="1232">
        <v>1821</v>
      </c>
      <c r="U155" s="1232">
        <v>195</v>
      </c>
      <c r="V155" s="1232">
        <v>5</v>
      </c>
      <c r="W155" s="1232"/>
      <c r="X155" s="1232" t="s">
        <v>396</v>
      </c>
      <c r="Y155" s="1232" t="s">
        <v>9146</v>
      </c>
      <c r="Z155" s="1232" t="s">
        <v>9263</v>
      </c>
      <c r="AA155" s="1236" t="s">
        <v>1128</v>
      </c>
      <c r="AB155" s="867" t="s">
        <v>6597</v>
      </c>
      <c r="AC155" s="1237"/>
      <c r="AD155" s="942">
        <f t="shared" si="46"/>
        <v>2037</v>
      </c>
      <c r="AE155" s="942">
        <f t="shared" si="47"/>
        <v>1</v>
      </c>
      <c r="AF155" s="942">
        <f t="shared" si="47"/>
        <v>0</v>
      </c>
      <c r="AG155" s="942">
        <f t="shared" si="48"/>
        <v>2036</v>
      </c>
      <c r="AH155" s="942">
        <f t="shared" si="49"/>
        <v>15</v>
      </c>
      <c r="AI155" s="942">
        <f t="shared" si="50"/>
        <v>2021</v>
      </c>
      <c r="AJ155" s="942">
        <f t="shared" si="51"/>
        <v>2016</v>
      </c>
      <c r="AK155" s="942">
        <f t="shared" si="52"/>
        <v>1821</v>
      </c>
      <c r="AL155" s="942">
        <f t="shared" si="52"/>
        <v>195</v>
      </c>
      <c r="AM155" s="942">
        <f t="shared" si="52"/>
        <v>5</v>
      </c>
    </row>
    <row r="156" spans="1:39" ht="16.5" customHeight="1">
      <c r="A156" s="1231"/>
      <c r="J156" s="1231" t="s">
        <v>1130</v>
      </c>
      <c r="K156" s="867" t="s">
        <v>6608</v>
      </c>
      <c r="L156" s="867"/>
      <c r="M156" s="1232">
        <f t="shared" si="42"/>
        <v>3298</v>
      </c>
      <c r="N156" s="1232">
        <v>5</v>
      </c>
      <c r="O156" s="1232">
        <v>0</v>
      </c>
      <c r="P156" s="1232">
        <f t="shared" si="43"/>
        <v>3293</v>
      </c>
      <c r="Q156" s="1232">
        <v>32</v>
      </c>
      <c r="R156" s="1232">
        <f t="shared" si="44"/>
        <v>3261</v>
      </c>
      <c r="S156" s="1232">
        <f t="shared" si="45"/>
        <v>3257</v>
      </c>
      <c r="T156" s="1232">
        <v>2942</v>
      </c>
      <c r="U156" s="1232">
        <v>315</v>
      </c>
      <c r="V156" s="1232">
        <v>4</v>
      </c>
      <c r="W156" s="1232"/>
      <c r="X156" s="1232" t="s">
        <v>399</v>
      </c>
      <c r="Y156" s="1232" t="s">
        <v>9146</v>
      </c>
      <c r="Z156" s="1232" t="s">
        <v>9263</v>
      </c>
      <c r="AA156" s="1236" t="s">
        <v>1130</v>
      </c>
      <c r="AB156" s="867" t="s">
        <v>6608</v>
      </c>
      <c r="AC156" s="1237"/>
      <c r="AD156" s="942">
        <f t="shared" si="46"/>
        <v>3298</v>
      </c>
      <c r="AE156" s="942">
        <f t="shared" si="47"/>
        <v>5</v>
      </c>
      <c r="AF156" s="942">
        <f t="shared" si="47"/>
        <v>0</v>
      </c>
      <c r="AG156" s="942">
        <f t="shared" si="48"/>
        <v>3293</v>
      </c>
      <c r="AH156" s="942">
        <f t="shared" si="49"/>
        <v>32</v>
      </c>
      <c r="AI156" s="942">
        <f t="shared" si="50"/>
        <v>3261</v>
      </c>
      <c r="AJ156" s="942">
        <f t="shared" si="51"/>
        <v>3257</v>
      </c>
      <c r="AK156" s="942">
        <f t="shared" si="52"/>
        <v>2942</v>
      </c>
      <c r="AL156" s="942">
        <f t="shared" si="52"/>
        <v>315</v>
      </c>
      <c r="AM156" s="942">
        <f t="shared" si="52"/>
        <v>4</v>
      </c>
    </row>
    <row r="157" spans="1:39" ht="16.5" customHeight="1">
      <c r="A157" s="1231"/>
      <c r="J157" s="1231" t="s">
        <v>1132</v>
      </c>
      <c r="K157" s="940" t="s">
        <v>403</v>
      </c>
      <c r="L157" s="940"/>
      <c r="M157" s="1241">
        <f t="shared" si="42"/>
        <v>1848</v>
      </c>
      <c r="N157" s="1241">
        <f>C154-SUM(N154:N156)</f>
        <v>16</v>
      </c>
      <c r="O157" s="1241">
        <f>D154-SUM(O154:O156)</f>
        <v>4</v>
      </c>
      <c r="P157" s="1241">
        <f t="shared" si="43"/>
        <v>1828</v>
      </c>
      <c r="Q157" s="1241">
        <f>E154-SUM(Q154:Q156)</f>
        <v>10</v>
      </c>
      <c r="R157" s="1241">
        <f t="shared" si="44"/>
        <v>1818</v>
      </c>
      <c r="S157" s="1241">
        <f t="shared" si="45"/>
        <v>1818</v>
      </c>
      <c r="T157" s="1241">
        <f>F154-SUM(T154:T156)</f>
        <v>1643</v>
      </c>
      <c r="U157" s="1241">
        <f>G154-SUM(U154:U156)</f>
        <v>175</v>
      </c>
      <c r="V157" s="1241">
        <f>H154-SUM(V154:V156)</f>
        <v>0</v>
      </c>
      <c r="W157" s="1232"/>
      <c r="X157" s="1232" t="s">
        <v>399</v>
      </c>
      <c r="Y157" s="1232" t="s">
        <v>9146</v>
      </c>
      <c r="Z157" s="1232" t="s">
        <v>9263</v>
      </c>
      <c r="AA157" s="1236" t="s">
        <v>1132</v>
      </c>
      <c r="AB157" s="940" t="s">
        <v>403</v>
      </c>
      <c r="AC157" s="1243"/>
      <c r="AD157" s="943">
        <f t="shared" si="46"/>
        <v>1848</v>
      </c>
      <c r="AE157" s="943">
        <f t="shared" si="47"/>
        <v>16</v>
      </c>
      <c r="AF157" s="943">
        <f t="shared" si="47"/>
        <v>4</v>
      </c>
      <c r="AG157" s="943">
        <f t="shared" si="48"/>
        <v>1828</v>
      </c>
      <c r="AH157" s="943">
        <f t="shared" si="49"/>
        <v>10</v>
      </c>
      <c r="AI157" s="943">
        <f t="shared" si="50"/>
        <v>1818</v>
      </c>
      <c r="AJ157" s="943">
        <f t="shared" si="51"/>
        <v>1818</v>
      </c>
      <c r="AK157" s="943">
        <f t="shared" si="52"/>
        <v>1643</v>
      </c>
      <c r="AL157" s="943">
        <f t="shared" si="52"/>
        <v>175</v>
      </c>
      <c r="AM157" s="943">
        <f t="shared" si="52"/>
        <v>0</v>
      </c>
    </row>
    <row r="158" spans="1:39" ht="16.5" customHeight="1">
      <c r="A158" s="1239" t="s">
        <v>9147</v>
      </c>
      <c r="B158" s="1234" t="s">
        <v>11639</v>
      </c>
      <c r="C158" s="1240">
        <v>162</v>
      </c>
      <c r="D158" s="1240">
        <v>25</v>
      </c>
      <c r="E158" s="1240">
        <v>244</v>
      </c>
      <c r="F158" s="1240">
        <v>5489</v>
      </c>
      <c r="G158" s="1240">
        <v>587</v>
      </c>
      <c r="H158" s="1240">
        <v>37</v>
      </c>
      <c r="J158" s="1239" t="s">
        <v>1134</v>
      </c>
      <c r="K158" s="867" t="s">
        <v>6638</v>
      </c>
      <c r="L158" s="867"/>
      <c r="M158" s="1232">
        <f t="shared" si="42"/>
        <v>2486</v>
      </c>
      <c r="N158" s="1232">
        <v>7</v>
      </c>
      <c r="O158" s="1232">
        <v>1</v>
      </c>
      <c r="P158" s="1232">
        <f t="shared" si="43"/>
        <v>2478</v>
      </c>
      <c r="Q158" s="1232">
        <v>52</v>
      </c>
      <c r="R158" s="1232">
        <f t="shared" si="44"/>
        <v>2426</v>
      </c>
      <c r="S158" s="1232">
        <f t="shared" si="45"/>
        <v>2414</v>
      </c>
      <c r="T158" s="1232">
        <v>2181</v>
      </c>
      <c r="U158" s="1232">
        <v>233</v>
      </c>
      <c r="V158" s="1232">
        <v>12</v>
      </c>
      <c r="W158" s="1232"/>
      <c r="X158" s="1232" t="s">
        <v>404</v>
      </c>
      <c r="Y158" s="1232" t="s">
        <v>9147</v>
      </c>
      <c r="Z158" s="1232" t="s">
        <v>9263</v>
      </c>
      <c r="AA158" s="1233" t="s">
        <v>1134</v>
      </c>
      <c r="AB158" s="867" t="s">
        <v>6638</v>
      </c>
      <c r="AC158" s="1237"/>
      <c r="AD158" s="942">
        <f t="shared" si="46"/>
        <v>2486</v>
      </c>
      <c r="AE158" s="942">
        <f t="shared" si="47"/>
        <v>7</v>
      </c>
      <c r="AF158" s="942">
        <f t="shared" si="47"/>
        <v>1</v>
      </c>
      <c r="AG158" s="942">
        <f t="shared" si="48"/>
        <v>2478</v>
      </c>
      <c r="AH158" s="942">
        <f t="shared" si="49"/>
        <v>52</v>
      </c>
      <c r="AI158" s="942">
        <f t="shared" si="50"/>
        <v>2426</v>
      </c>
      <c r="AJ158" s="942">
        <f t="shared" si="51"/>
        <v>2414</v>
      </c>
      <c r="AK158" s="942">
        <f t="shared" si="52"/>
        <v>2181</v>
      </c>
      <c r="AL158" s="942">
        <f t="shared" si="52"/>
        <v>233</v>
      </c>
      <c r="AM158" s="942">
        <f t="shared" si="52"/>
        <v>12</v>
      </c>
    </row>
    <row r="159" spans="1:39" ht="16.5" customHeight="1">
      <c r="A159" s="1231"/>
      <c r="J159" s="1231" t="s">
        <v>1136</v>
      </c>
      <c r="K159" s="867" t="s">
        <v>407</v>
      </c>
      <c r="L159" s="867"/>
      <c r="M159" s="1232">
        <f t="shared" si="42"/>
        <v>881</v>
      </c>
      <c r="N159" s="1232">
        <v>9</v>
      </c>
      <c r="O159" s="1232">
        <v>1</v>
      </c>
      <c r="P159" s="1232">
        <f t="shared" si="43"/>
        <v>871</v>
      </c>
      <c r="Q159" s="1232">
        <v>15</v>
      </c>
      <c r="R159" s="1232">
        <f t="shared" si="44"/>
        <v>856</v>
      </c>
      <c r="S159" s="1232">
        <f t="shared" si="45"/>
        <v>856</v>
      </c>
      <c r="T159" s="1232">
        <v>773</v>
      </c>
      <c r="U159" s="1232">
        <v>83</v>
      </c>
      <c r="V159" s="1232">
        <v>0</v>
      </c>
      <c r="W159" s="1232"/>
      <c r="X159" s="1232" t="s">
        <v>404</v>
      </c>
      <c r="Y159" s="1232" t="s">
        <v>9147</v>
      </c>
      <c r="Z159" s="1232" t="s">
        <v>9263</v>
      </c>
      <c r="AA159" s="1236" t="s">
        <v>1136</v>
      </c>
      <c r="AB159" s="867" t="s">
        <v>407</v>
      </c>
      <c r="AC159" s="1237"/>
      <c r="AD159" s="942">
        <f t="shared" si="46"/>
        <v>881</v>
      </c>
      <c r="AE159" s="942">
        <f t="shared" si="47"/>
        <v>9</v>
      </c>
      <c r="AF159" s="942">
        <f t="shared" si="47"/>
        <v>1</v>
      </c>
      <c r="AG159" s="942">
        <f t="shared" si="48"/>
        <v>871</v>
      </c>
      <c r="AH159" s="942">
        <f t="shared" si="49"/>
        <v>15</v>
      </c>
      <c r="AI159" s="942">
        <f t="shared" si="50"/>
        <v>856</v>
      </c>
      <c r="AJ159" s="942">
        <f t="shared" si="51"/>
        <v>856</v>
      </c>
      <c r="AK159" s="942">
        <f t="shared" si="52"/>
        <v>773</v>
      </c>
      <c r="AL159" s="942">
        <f t="shared" si="52"/>
        <v>83</v>
      </c>
      <c r="AM159" s="942">
        <f t="shared" si="52"/>
        <v>0</v>
      </c>
    </row>
    <row r="160" spans="1:39" ht="16.5" customHeight="1">
      <c r="A160" s="1231"/>
      <c r="J160" s="1231" t="s">
        <v>1138</v>
      </c>
      <c r="K160" s="940" t="s">
        <v>11640</v>
      </c>
      <c r="L160" s="940"/>
      <c r="M160" s="1241">
        <f t="shared" si="42"/>
        <v>3177</v>
      </c>
      <c r="N160" s="1241">
        <f>C158-SUM(N158:N159)</f>
        <v>146</v>
      </c>
      <c r="O160" s="1241">
        <f>D158-SUM(O158:O159)</f>
        <v>23</v>
      </c>
      <c r="P160" s="1241">
        <f t="shared" si="43"/>
        <v>3008</v>
      </c>
      <c r="Q160" s="1241">
        <f>E158-SUM(Q158:Q159)</f>
        <v>177</v>
      </c>
      <c r="R160" s="1241">
        <f t="shared" si="44"/>
        <v>2831</v>
      </c>
      <c r="S160" s="1241">
        <f t="shared" si="45"/>
        <v>2806</v>
      </c>
      <c r="T160" s="1241">
        <f>F158-SUM(T158:T159)</f>
        <v>2535</v>
      </c>
      <c r="U160" s="1241">
        <f t="shared" ref="U160:V160" si="58">G158-SUM(U158:U159)</f>
        <v>271</v>
      </c>
      <c r="V160" s="1241">
        <f t="shared" si="58"/>
        <v>25</v>
      </c>
      <c r="W160" s="1232"/>
      <c r="X160" s="1232" t="s">
        <v>404</v>
      </c>
      <c r="Y160" s="1232" t="s">
        <v>9147</v>
      </c>
      <c r="Z160" s="1232" t="s">
        <v>9263</v>
      </c>
      <c r="AA160" s="1236" t="s">
        <v>1138</v>
      </c>
      <c r="AB160" s="940" t="s">
        <v>11640</v>
      </c>
      <c r="AC160" s="1243"/>
      <c r="AD160" s="943">
        <f t="shared" si="46"/>
        <v>3177</v>
      </c>
      <c r="AE160" s="943">
        <f t="shared" si="47"/>
        <v>146</v>
      </c>
      <c r="AF160" s="943">
        <f t="shared" si="47"/>
        <v>23</v>
      </c>
      <c r="AG160" s="943">
        <f t="shared" si="48"/>
        <v>3008</v>
      </c>
      <c r="AH160" s="943">
        <f t="shared" si="49"/>
        <v>177</v>
      </c>
      <c r="AI160" s="943">
        <f t="shared" si="50"/>
        <v>2831</v>
      </c>
      <c r="AJ160" s="943">
        <f t="shared" si="51"/>
        <v>2806</v>
      </c>
      <c r="AK160" s="943">
        <f t="shared" si="52"/>
        <v>2535</v>
      </c>
      <c r="AL160" s="943">
        <f t="shared" si="52"/>
        <v>271</v>
      </c>
      <c r="AM160" s="943">
        <f t="shared" si="52"/>
        <v>25</v>
      </c>
    </row>
    <row r="161" spans="1:39" ht="16.5" customHeight="1">
      <c r="A161" s="1239" t="s">
        <v>9148</v>
      </c>
      <c r="B161" s="1234" t="s">
        <v>11641</v>
      </c>
      <c r="C161" s="1240">
        <v>206</v>
      </c>
      <c r="D161" s="1240">
        <v>40</v>
      </c>
      <c r="E161" s="1240">
        <v>395</v>
      </c>
      <c r="F161" s="1240">
        <v>4941</v>
      </c>
      <c r="G161" s="1240">
        <v>539</v>
      </c>
      <c r="H161" s="1240">
        <v>54</v>
      </c>
      <c r="J161" s="1239" t="s">
        <v>1140</v>
      </c>
      <c r="K161" s="867" t="s">
        <v>411</v>
      </c>
      <c r="L161" s="867"/>
      <c r="M161" s="1232">
        <f t="shared" si="42"/>
        <v>2541</v>
      </c>
      <c r="N161" s="1232">
        <v>56</v>
      </c>
      <c r="O161" s="1232">
        <v>12</v>
      </c>
      <c r="P161" s="1232">
        <f t="shared" si="43"/>
        <v>2473</v>
      </c>
      <c r="Q161" s="1232">
        <v>125</v>
      </c>
      <c r="R161" s="1232">
        <f t="shared" si="44"/>
        <v>2348</v>
      </c>
      <c r="S161" s="1232">
        <f t="shared" si="45"/>
        <v>2336</v>
      </c>
      <c r="T161" s="1232">
        <v>2113</v>
      </c>
      <c r="U161" s="1232">
        <v>223</v>
      </c>
      <c r="V161" s="1232">
        <v>12</v>
      </c>
      <c r="W161" s="1232"/>
      <c r="X161" s="1232" t="s">
        <v>9426</v>
      </c>
      <c r="Y161" s="1232" t="s">
        <v>9148</v>
      </c>
      <c r="Z161" s="1232" t="s">
        <v>9263</v>
      </c>
      <c r="AA161" s="1233" t="s">
        <v>1140</v>
      </c>
      <c r="AB161" s="867" t="s">
        <v>411</v>
      </c>
      <c r="AC161" s="1237"/>
      <c r="AD161" s="942">
        <f t="shared" si="46"/>
        <v>2541</v>
      </c>
      <c r="AE161" s="942">
        <f t="shared" si="47"/>
        <v>56</v>
      </c>
      <c r="AF161" s="942">
        <f t="shared" si="47"/>
        <v>12</v>
      </c>
      <c r="AG161" s="942">
        <f t="shared" si="48"/>
        <v>2473</v>
      </c>
      <c r="AH161" s="942">
        <f t="shared" si="49"/>
        <v>125</v>
      </c>
      <c r="AI161" s="942">
        <f t="shared" si="50"/>
        <v>2348</v>
      </c>
      <c r="AJ161" s="942">
        <f t="shared" si="51"/>
        <v>2336</v>
      </c>
      <c r="AK161" s="942">
        <f t="shared" si="52"/>
        <v>2113</v>
      </c>
      <c r="AL161" s="942">
        <f t="shared" si="52"/>
        <v>223</v>
      </c>
      <c r="AM161" s="942">
        <f t="shared" si="52"/>
        <v>12</v>
      </c>
    </row>
    <row r="162" spans="1:39" ht="16.5" customHeight="1">
      <c r="A162" s="1231"/>
      <c r="J162" s="1231" t="s">
        <v>1142</v>
      </c>
      <c r="K162" s="867" t="s">
        <v>412</v>
      </c>
      <c r="L162" s="867"/>
      <c r="M162" s="1232">
        <f t="shared" si="42"/>
        <v>3634</v>
      </c>
      <c r="N162" s="1241">
        <f>C161-SUM(N161:N161)</f>
        <v>150</v>
      </c>
      <c r="O162" s="1241">
        <f>D161-SUM(O161:O161)</f>
        <v>28</v>
      </c>
      <c r="P162" s="1241">
        <f t="shared" si="43"/>
        <v>3456</v>
      </c>
      <c r="Q162" s="1241">
        <f>E161-SUM(Q161:Q161)</f>
        <v>270</v>
      </c>
      <c r="R162" s="1241">
        <f t="shared" si="44"/>
        <v>3186</v>
      </c>
      <c r="S162" s="1241">
        <f t="shared" si="45"/>
        <v>3144</v>
      </c>
      <c r="T162" s="1241">
        <f>F161-SUM(T161:T161)</f>
        <v>2828</v>
      </c>
      <c r="U162" s="1241">
        <f>G161-SUM(U161:U161)</f>
        <v>316</v>
      </c>
      <c r="V162" s="1241">
        <f>H161-SUM(V161:V161)</f>
        <v>42</v>
      </c>
      <c r="W162" s="1232"/>
      <c r="X162" s="1232" t="s">
        <v>9426</v>
      </c>
      <c r="Y162" s="1232" t="s">
        <v>9148</v>
      </c>
      <c r="Z162" s="1232" t="s">
        <v>9263</v>
      </c>
      <c r="AA162" s="1236" t="s">
        <v>1142</v>
      </c>
      <c r="AB162" s="867" t="s">
        <v>412</v>
      </c>
      <c r="AC162" s="1237"/>
      <c r="AD162" s="942">
        <f t="shared" si="46"/>
        <v>3634</v>
      </c>
      <c r="AE162" s="943">
        <f t="shared" si="47"/>
        <v>150</v>
      </c>
      <c r="AF162" s="943">
        <f t="shared" si="47"/>
        <v>28</v>
      </c>
      <c r="AG162" s="943">
        <f t="shared" si="48"/>
        <v>3456</v>
      </c>
      <c r="AH162" s="943">
        <f t="shared" si="49"/>
        <v>270</v>
      </c>
      <c r="AI162" s="943">
        <f t="shared" si="50"/>
        <v>3186</v>
      </c>
      <c r="AJ162" s="943">
        <f t="shared" si="51"/>
        <v>3144</v>
      </c>
      <c r="AK162" s="943">
        <f t="shared" si="52"/>
        <v>2828</v>
      </c>
      <c r="AL162" s="943">
        <f t="shared" si="52"/>
        <v>316</v>
      </c>
      <c r="AM162" s="943">
        <f t="shared" si="52"/>
        <v>42</v>
      </c>
    </row>
    <row r="163" spans="1:39" ht="16.5" customHeight="1">
      <c r="A163" s="1239" t="s">
        <v>9149</v>
      </c>
      <c r="B163" s="1234" t="s">
        <v>9078</v>
      </c>
      <c r="C163" s="1240">
        <v>15</v>
      </c>
      <c r="D163" s="1240">
        <v>4</v>
      </c>
      <c r="E163" s="1240">
        <v>51</v>
      </c>
      <c r="F163" s="1240">
        <v>961</v>
      </c>
      <c r="G163" s="1240">
        <v>234</v>
      </c>
      <c r="H163" s="1240">
        <v>14</v>
      </c>
      <c r="J163" s="1239" t="s">
        <v>1144</v>
      </c>
      <c r="K163" s="1234" t="s">
        <v>414</v>
      </c>
      <c r="L163" s="1234"/>
      <c r="M163" s="1240">
        <f t="shared" si="42"/>
        <v>0</v>
      </c>
      <c r="N163" s="1232">
        <v>0</v>
      </c>
      <c r="O163" s="1232">
        <v>0</v>
      </c>
      <c r="P163" s="1232">
        <f t="shared" si="43"/>
        <v>0</v>
      </c>
      <c r="Q163" s="1232">
        <v>0</v>
      </c>
      <c r="R163" s="1232">
        <f t="shared" si="44"/>
        <v>0</v>
      </c>
      <c r="S163" s="1232">
        <f t="shared" si="45"/>
        <v>0</v>
      </c>
      <c r="T163" s="1232">
        <v>0</v>
      </c>
      <c r="U163" s="1232">
        <v>0</v>
      </c>
      <c r="V163" s="1232">
        <v>0</v>
      </c>
      <c r="W163" s="1232"/>
      <c r="X163" s="1232" t="s">
        <v>413</v>
      </c>
      <c r="Y163" s="1232" t="s">
        <v>9149</v>
      </c>
      <c r="Z163" s="1232" t="s">
        <v>9264</v>
      </c>
      <c r="AA163" s="1233" t="s">
        <v>1144</v>
      </c>
      <c r="AB163" s="1234" t="s">
        <v>414</v>
      </c>
      <c r="AC163" s="1235"/>
      <c r="AD163" s="1213">
        <f t="shared" si="46"/>
        <v>0</v>
      </c>
      <c r="AE163" s="942">
        <f t="shared" si="47"/>
        <v>0</v>
      </c>
      <c r="AF163" s="942">
        <f t="shared" si="47"/>
        <v>0</v>
      </c>
      <c r="AG163" s="942">
        <f t="shared" si="48"/>
        <v>0</v>
      </c>
      <c r="AH163" s="942">
        <f t="shared" si="49"/>
        <v>0</v>
      </c>
      <c r="AI163" s="942">
        <f t="shared" si="50"/>
        <v>0</v>
      </c>
      <c r="AJ163" s="942">
        <f t="shared" si="51"/>
        <v>0</v>
      </c>
      <c r="AK163" s="942">
        <f t="shared" si="52"/>
        <v>0</v>
      </c>
      <c r="AL163" s="942">
        <f t="shared" si="52"/>
        <v>0</v>
      </c>
      <c r="AM163" s="942">
        <f t="shared" si="52"/>
        <v>0</v>
      </c>
    </row>
    <row r="164" spans="1:39" ht="16.5" customHeight="1">
      <c r="A164" s="1231"/>
      <c r="J164" s="1231" t="s">
        <v>1146</v>
      </c>
      <c r="K164" s="867" t="s">
        <v>11642</v>
      </c>
      <c r="L164" s="867"/>
      <c r="M164" s="1232">
        <f t="shared" si="42"/>
        <v>114</v>
      </c>
      <c r="N164" s="1232">
        <v>2</v>
      </c>
      <c r="O164" s="1232">
        <v>0</v>
      </c>
      <c r="P164" s="1232">
        <f t="shared" si="43"/>
        <v>112</v>
      </c>
      <c r="Q164" s="1232">
        <v>5</v>
      </c>
      <c r="R164" s="1232">
        <f t="shared" si="44"/>
        <v>107</v>
      </c>
      <c r="S164" s="1232">
        <f t="shared" si="45"/>
        <v>106</v>
      </c>
      <c r="T164" s="1232">
        <v>85</v>
      </c>
      <c r="U164" s="1232">
        <v>21</v>
      </c>
      <c r="V164" s="1232">
        <v>1</v>
      </c>
      <c r="W164" s="1232"/>
      <c r="X164" s="1232" t="s">
        <v>413</v>
      </c>
      <c r="Y164" s="1232" t="s">
        <v>9149</v>
      </c>
      <c r="Z164" s="1232" t="s">
        <v>9264</v>
      </c>
      <c r="AA164" s="1236" t="s">
        <v>1146</v>
      </c>
      <c r="AB164" s="867" t="s">
        <v>11642</v>
      </c>
      <c r="AC164" s="1237"/>
      <c r="AD164" s="942">
        <f t="shared" si="46"/>
        <v>114</v>
      </c>
      <c r="AE164" s="942">
        <f t="shared" si="47"/>
        <v>2</v>
      </c>
      <c r="AF164" s="942">
        <f t="shared" si="47"/>
        <v>0</v>
      </c>
      <c r="AG164" s="942">
        <f t="shared" si="48"/>
        <v>112</v>
      </c>
      <c r="AH164" s="942">
        <f t="shared" si="49"/>
        <v>5</v>
      </c>
      <c r="AI164" s="942">
        <f t="shared" si="50"/>
        <v>107</v>
      </c>
      <c r="AJ164" s="942">
        <f t="shared" si="51"/>
        <v>106</v>
      </c>
      <c r="AK164" s="942">
        <f t="shared" si="52"/>
        <v>85</v>
      </c>
      <c r="AL164" s="942">
        <f t="shared" si="52"/>
        <v>21</v>
      </c>
      <c r="AM164" s="942">
        <f t="shared" si="52"/>
        <v>1</v>
      </c>
    </row>
    <row r="165" spans="1:39" ht="16.5" customHeight="1">
      <c r="A165" s="1231"/>
      <c r="J165" s="1231" t="s">
        <v>1148</v>
      </c>
      <c r="K165" s="867" t="s">
        <v>11643</v>
      </c>
      <c r="L165" s="867"/>
      <c r="M165" s="1232">
        <f t="shared" si="42"/>
        <v>303</v>
      </c>
      <c r="N165" s="1232">
        <v>4</v>
      </c>
      <c r="O165" s="1232">
        <v>1</v>
      </c>
      <c r="P165" s="1232">
        <f t="shared" si="43"/>
        <v>298</v>
      </c>
      <c r="Q165" s="1232">
        <v>17</v>
      </c>
      <c r="R165" s="1232">
        <f t="shared" si="44"/>
        <v>281</v>
      </c>
      <c r="S165" s="1232">
        <f t="shared" si="45"/>
        <v>271</v>
      </c>
      <c r="T165" s="1232">
        <v>218</v>
      </c>
      <c r="U165" s="1232">
        <v>53</v>
      </c>
      <c r="V165" s="1232">
        <v>10</v>
      </c>
      <c r="W165" s="1232"/>
      <c r="X165" s="1232" t="s">
        <v>413</v>
      </c>
      <c r="Y165" s="1232" t="s">
        <v>9149</v>
      </c>
      <c r="Z165" s="1232" t="s">
        <v>9264</v>
      </c>
      <c r="AA165" s="1236" t="s">
        <v>1148</v>
      </c>
      <c r="AB165" s="867" t="s">
        <v>11643</v>
      </c>
      <c r="AC165" s="1237"/>
      <c r="AD165" s="942">
        <f t="shared" si="46"/>
        <v>303</v>
      </c>
      <c r="AE165" s="942">
        <f t="shared" si="47"/>
        <v>4</v>
      </c>
      <c r="AF165" s="942">
        <f t="shared" si="47"/>
        <v>1</v>
      </c>
      <c r="AG165" s="942">
        <f t="shared" si="48"/>
        <v>298</v>
      </c>
      <c r="AH165" s="942">
        <f t="shared" si="49"/>
        <v>17</v>
      </c>
      <c r="AI165" s="942">
        <f t="shared" si="50"/>
        <v>281</v>
      </c>
      <c r="AJ165" s="942">
        <f t="shared" si="51"/>
        <v>271</v>
      </c>
      <c r="AK165" s="942">
        <f t="shared" si="52"/>
        <v>218</v>
      </c>
      <c r="AL165" s="942">
        <f t="shared" si="52"/>
        <v>53</v>
      </c>
      <c r="AM165" s="942">
        <f t="shared" si="52"/>
        <v>10</v>
      </c>
    </row>
    <row r="166" spans="1:39" ht="16.5" customHeight="1">
      <c r="A166" s="1231"/>
      <c r="J166" s="1231" t="s">
        <v>1150</v>
      </c>
      <c r="K166" s="940" t="s">
        <v>418</v>
      </c>
      <c r="L166" s="940"/>
      <c r="M166" s="1241">
        <f t="shared" si="42"/>
        <v>862</v>
      </c>
      <c r="N166" s="1241">
        <f>C163-SUM(N163:N165)</f>
        <v>9</v>
      </c>
      <c r="O166" s="1241">
        <f>D163-SUM(O163:O165)</f>
        <v>3</v>
      </c>
      <c r="P166" s="1241">
        <f t="shared" si="43"/>
        <v>850</v>
      </c>
      <c r="Q166" s="1241">
        <f>E163-SUM(Q163:Q165)</f>
        <v>29</v>
      </c>
      <c r="R166" s="1241">
        <f t="shared" si="44"/>
        <v>821</v>
      </c>
      <c r="S166" s="1241">
        <f t="shared" si="45"/>
        <v>818</v>
      </c>
      <c r="T166" s="1241">
        <f>F163-SUM(T163:T165)</f>
        <v>658</v>
      </c>
      <c r="U166" s="1241">
        <f>G163-SUM(U163:U165)</f>
        <v>160</v>
      </c>
      <c r="V166" s="1241">
        <f>H163-SUM(V163:V165)</f>
        <v>3</v>
      </c>
      <c r="W166" s="1232"/>
      <c r="X166" s="1232" t="s">
        <v>413</v>
      </c>
      <c r="Y166" s="1232" t="s">
        <v>9149</v>
      </c>
      <c r="Z166" s="1232" t="s">
        <v>9264</v>
      </c>
      <c r="AA166" s="1236" t="s">
        <v>1150</v>
      </c>
      <c r="AB166" s="940" t="s">
        <v>418</v>
      </c>
      <c r="AC166" s="1243"/>
      <c r="AD166" s="943">
        <f t="shared" si="46"/>
        <v>862</v>
      </c>
      <c r="AE166" s="943">
        <f t="shared" si="47"/>
        <v>9</v>
      </c>
      <c r="AF166" s="943">
        <f t="shared" si="47"/>
        <v>3</v>
      </c>
      <c r="AG166" s="943">
        <f t="shared" si="48"/>
        <v>850</v>
      </c>
      <c r="AH166" s="943">
        <f t="shared" si="49"/>
        <v>29</v>
      </c>
      <c r="AI166" s="943">
        <f t="shared" si="50"/>
        <v>821</v>
      </c>
      <c r="AJ166" s="943">
        <f t="shared" si="51"/>
        <v>818</v>
      </c>
      <c r="AK166" s="943">
        <f t="shared" si="52"/>
        <v>658</v>
      </c>
      <c r="AL166" s="943">
        <f t="shared" si="52"/>
        <v>160</v>
      </c>
      <c r="AM166" s="943">
        <f t="shared" si="52"/>
        <v>3</v>
      </c>
    </row>
    <row r="167" spans="1:39" ht="16.5" customHeight="1">
      <c r="A167" s="1239" t="s">
        <v>9150</v>
      </c>
      <c r="B167" s="1234" t="s">
        <v>9079</v>
      </c>
      <c r="C167" s="1240">
        <v>147</v>
      </c>
      <c r="D167" s="1240">
        <v>40</v>
      </c>
      <c r="E167" s="1240">
        <v>280</v>
      </c>
      <c r="F167" s="1240">
        <v>4755</v>
      </c>
      <c r="G167" s="1240">
        <v>1135</v>
      </c>
      <c r="H167" s="1240">
        <v>55</v>
      </c>
      <c r="J167" s="1239" t="s">
        <v>1152</v>
      </c>
      <c r="K167" s="867" t="s">
        <v>423</v>
      </c>
      <c r="L167" s="867"/>
      <c r="M167" s="1232">
        <f t="shared" si="42"/>
        <v>490</v>
      </c>
      <c r="N167" s="1232">
        <v>12</v>
      </c>
      <c r="O167" s="1232">
        <v>3</v>
      </c>
      <c r="P167" s="1232">
        <f t="shared" si="43"/>
        <v>475</v>
      </c>
      <c r="Q167" s="1232">
        <v>11</v>
      </c>
      <c r="R167" s="1232">
        <f t="shared" si="44"/>
        <v>464</v>
      </c>
      <c r="S167" s="1232">
        <f t="shared" si="45"/>
        <v>461</v>
      </c>
      <c r="T167" s="1232">
        <v>371</v>
      </c>
      <c r="U167" s="1232">
        <v>90</v>
      </c>
      <c r="V167" s="1232">
        <v>3</v>
      </c>
      <c r="W167" s="1232"/>
      <c r="X167" s="1232" t="s">
        <v>422</v>
      </c>
      <c r="Y167" s="1232" t="s">
        <v>9150</v>
      </c>
      <c r="Z167" s="1232" t="s">
        <v>9264</v>
      </c>
      <c r="AA167" s="1233" t="s">
        <v>1152</v>
      </c>
      <c r="AB167" s="867" t="s">
        <v>423</v>
      </c>
      <c r="AC167" s="1237"/>
      <c r="AD167" s="942">
        <f t="shared" si="46"/>
        <v>490</v>
      </c>
      <c r="AE167" s="942">
        <f t="shared" si="47"/>
        <v>12</v>
      </c>
      <c r="AF167" s="942">
        <f t="shared" si="47"/>
        <v>3</v>
      </c>
      <c r="AG167" s="942">
        <f t="shared" si="48"/>
        <v>475</v>
      </c>
      <c r="AH167" s="942">
        <f t="shared" si="49"/>
        <v>11</v>
      </c>
      <c r="AI167" s="942">
        <f t="shared" si="50"/>
        <v>464</v>
      </c>
      <c r="AJ167" s="942">
        <f t="shared" si="51"/>
        <v>461</v>
      </c>
      <c r="AK167" s="942">
        <f t="shared" si="52"/>
        <v>371</v>
      </c>
      <c r="AL167" s="942">
        <f t="shared" si="52"/>
        <v>90</v>
      </c>
      <c r="AM167" s="942">
        <f t="shared" si="52"/>
        <v>3</v>
      </c>
    </row>
    <row r="168" spans="1:39" ht="16.5" customHeight="1">
      <c r="A168" s="1231"/>
      <c r="J168" s="1231" t="s">
        <v>1154</v>
      </c>
      <c r="K168" s="867" t="s">
        <v>424</v>
      </c>
      <c r="L168" s="867"/>
      <c r="M168" s="1232">
        <f t="shared" si="42"/>
        <v>0</v>
      </c>
      <c r="N168" s="1232">
        <v>0</v>
      </c>
      <c r="O168" s="1232">
        <v>0</v>
      </c>
      <c r="P168" s="1232">
        <f t="shared" si="43"/>
        <v>0</v>
      </c>
      <c r="Q168" s="1232">
        <v>0</v>
      </c>
      <c r="R168" s="1232">
        <f t="shared" si="44"/>
        <v>0</v>
      </c>
      <c r="S168" s="1232">
        <f t="shared" si="45"/>
        <v>0</v>
      </c>
      <c r="T168" s="1232">
        <v>0</v>
      </c>
      <c r="U168" s="1232">
        <v>0</v>
      </c>
      <c r="V168" s="1232">
        <v>0</v>
      </c>
      <c r="W168" s="1232"/>
      <c r="X168" s="1232" t="s">
        <v>422</v>
      </c>
      <c r="Y168" s="1232" t="s">
        <v>9150</v>
      </c>
      <c r="Z168" s="1232" t="s">
        <v>9264</v>
      </c>
      <c r="AA168" s="1236" t="s">
        <v>1154</v>
      </c>
      <c r="AB168" s="867" t="s">
        <v>424</v>
      </c>
      <c r="AC168" s="1237"/>
      <c r="AD168" s="942">
        <f t="shared" si="46"/>
        <v>0</v>
      </c>
      <c r="AE168" s="942">
        <f t="shared" si="47"/>
        <v>0</v>
      </c>
      <c r="AF168" s="942">
        <f t="shared" si="47"/>
        <v>0</v>
      </c>
      <c r="AG168" s="942">
        <f t="shared" si="48"/>
        <v>0</v>
      </c>
      <c r="AH168" s="942">
        <f t="shared" si="49"/>
        <v>0</v>
      </c>
      <c r="AI168" s="942">
        <f t="shared" si="50"/>
        <v>0</v>
      </c>
      <c r="AJ168" s="942">
        <f t="shared" si="51"/>
        <v>0</v>
      </c>
      <c r="AK168" s="942">
        <f t="shared" si="52"/>
        <v>0</v>
      </c>
      <c r="AL168" s="942">
        <f t="shared" si="52"/>
        <v>0</v>
      </c>
      <c r="AM168" s="942">
        <f t="shared" si="52"/>
        <v>0</v>
      </c>
    </row>
    <row r="169" spans="1:39" ht="16.5" customHeight="1">
      <c r="A169" s="1231"/>
      <c r="J169" s="1231" t="s">
        <v>1156</v>
      </c>
      <c r="K169" s="867" t="s">
        <v>426</v>
      </c>
      <c r="L169" s="867"/>
      <c r="M169" s="1232">
        <f t="shared" si="42"/>
        <v>132</v>
      </c>
      <c r="N169" s="1232">
        <v>3</v>
      </c>
      <c r="O169" s="1232">
        <v>1</v>
      </c>
      <c r="P169" s="1232">
        <f t="shared" si="43"/>
        <v>128</v>
      </c>
      <c r="Q169" s="1232">
        <v>4</v>
      </c>
      <c r="R169" s="1232">
        <f t="shared" si="44"/>
        <v>124</v>
      </c>
      <c r="S169" s="1232">
        <f t="shared" si="45"/>
        <v>121</v>
      </c>
      <c r="T169" s="1232">
        <v>97</v>
      </c>
      <c r="U169" s="1232">
        <v>24</v>
      </c>
      <c r="V169" s="1232">
        <v>3</v>
      </c>
      <c r="W169" s="1232"/>
      <c r="X169" s="1232" t="s">
        <v>9427</v>
      </c>
      <c r="Y169" s="1232" t="s">
        <v>9150</v>
      </c>
      <c r="Z169" s="1232" t="s">
        <v>9264</v>
      </c>
      <c r="AA169" s="1236" t="s">
        <v>1156</v>
      </c>
      <c r="AB169" s="867" t="s">
        <v>426</v>
      </c>
      <c r="AC169" s="1237"/>
      <c r="AD169" s="942">
        <f t="shared" si="46"/>
        <v>132</v>
      </c>
      <c r="AE169" s="942">
        <f t="shared" si="47"/>
        <v>3</v>
      </c>
      <c r="AF169" s="942">
        <f t="shared" si="47"/>
        <v>1</v>
      </c>
      <c r="AG169" s="942">
        <f t="shared" si="48"/>
        <v>128</v>
      </c>
      <c r="AH169" s="942">
        <f t="shared" si="49"/>
        <v>4</v>
      </c>
      <c r="AI169" s="942">
        <f t="shared" si="50"/>
        <v>124</v>
      </c>
      <c r="AJ169" s="942">
        <f t="shared" si="51"/>
        <v>121</v>
      </c>
      <c r="AK169" s="942">
        <f t="shared" si="52"/>
        <v>97</v>
      </c>
      <c r="AL169" s="942">
        <f t="shared" si="52"/>
        <v>24</v>
      </c>
      <c r="AM169" s="942">
        <f t="shared" si="52"/>
        <v>3</v>
      </c>
    </row>
    <row r="170" spans="1:39" ht="16.5" customHeight="1">
      <c r="A170" s="1231"/>
      <c r="J170" s="1231" t="s">
        <v>1158</v>
      </c>
      <c r="K170" s="867" t="s">
        <v>427</v>
      </c>
      <c r="L170" s="867"/>
      <c r="M170" s="1232">
        <f t="shared" si="42"/>
        <v>6</v>
      </c>
      <c r="N170" s="1232">
        <v>0</v>
      </c>
      <c r="O170" s="1232">
        <v>0</v>
      </c>
      <c r="P170" s="1232">
        <f t="shared" si="43"/>
        <v>6</v>
      </c>
      <c r="Q170" s="1232">
        <v>0</v>
      </c>
      <c r="R170" s="1232">
        <f t="shared" si="44"/>
        <v>6</v>
      </c>
      <c r="S170" s="1232">
        <f t="shared" si="45"/>
        <v>6</v>
      </c>
      <c r="T170" s="1232">
        <v>5</v>
      </c>
      <c r="U170" s="1232">
        <v>1</v>
      </c>
      <c r="V170" s="1232">
        <v>0</v>
      </c>
      <c r="W170" s="1232"/>
      <c r="X170" s="1232" t="s">
        <v>9427</v>
      </c>
      <c r="Y170" s="1232" t="s">
        <v>9150</v>
      </c>
      <c r="Z170" s="1232" t="s">
        <v>9264</v>
      </c>
      <c r="AA170" s="1236" t="s">
        <v>1158</v>
      </c>
      <c r="AB170" s="867" t="s">
        <v>427</v>
      </c>
      <c r="AC170" s="1237"/>
      <c r="AD170" s="942">
        <f t="shared" si="46"/>
        <v>6</v>
      </c>
      <c r="AE170" s="942">
        <f t="shared" si="47"/>
        <v>0</v>
      </c>
      <c r="AF170" s="942">
        <f t="shared" si="47"/>
        <v>0</v>
      </c>
      <c r="AG170" s="942">
        <f t="shared" si="48"/>
        <v>6</v>
      </c>
      <c r="AH170" s="942">
        <f t="shared" si="49"/>
        <v>0</v>
      </c>
      <c r="AI170" s="942">
        <f t="shared" si="50"/>
        <v>6</v>
      </c>
      <c r="AJ170" s="942">
        <f t="shared" si="51"/>
        <v>6</v>
      </c>
      <c r="AK170" s="942">
        <f t="shared" si="52"/>
        <v>5</v>
      </c>
      <c r="AL170" s="942">
        <f t="shared" si="52"/>
        <v>1</v>
      </c>
      <c r="AM170" s="942">
        <f t="shared" si="52"/>
        <v>0</v>
      </c>
    </row>
    <row r="171" spans="1:39" ht="16.5" customHeight="1">
      <c r="A171" s="1231"/>
      <c r="J171" s="1231" t="s">
        <v>1160</v>
      </c>
      <c r="K171" s="867" t="s">
        <v>428</v>
      </c>
      <c r="L171" s="867"/>
      <c r="M171" s="1232">
        <f t="shared" si="42"/>
        <v>2325</v>
      </c>
      <c r="N171" s="1232">
        <v>55</v>
      </c>
      <c r="O171" s="1232">
        <v>24</v>
      </c>
      <c r="P171" s="1232">
        <f t="shared" si="43"/>
        <v>2246</v>
      </c>
      <c r="Q171" s="1232">
        <v>138</v>
      </c>
      <c r="R171" s="1232">
        <f t="shared" si="44"/>
        <v>2108</v>
      </c>
      <c r="S171" s="1232">
        <f t="shared" si="45"/>
        <v>2079</v>
      </c>
      <c r="T171" s="1232">
        <v>1691</v>
      </c>
      <c r="U171" s="1232">
        <v>388</v>
      </c>
      <c r="V171" s="1232">
        <v>29</v>
      </c>
      <c r="W171" s="1232"/>
      <c r="X171" s="1232" t="s">
        <v>9427</v>
      </c>
      <c r="Y171" s="1232" t="s">
        <v>9150</v>
      </c>
      <c r="Z171" s="1232" t="s">
        <v>9264</v>
      </c>
      <c r="AA171" s="1236" t="s">
        <v>1160</v>
      </c>
      <c r="AB171" s="867" t="s">
        <v>428</v>
      </c>
      <c r="AC171" s="1237"/>
      <c r="AD171" s="942">
        <f t="shared" si="46"/>
        <v>2325</v>
      </c>
      <c r="AE171" s="942">
        <f t="shared" si="47"/>
        <v>55</v>
      </c>
      <c r="AF171" s="942">
        <f t="shared" si="47"/>
        <v>24</v>
      </c>
      <c r="AG171" s="942">
        <f t="shared" si="48"/>
        <v>2246</v>
      </c>
      <c r="AH171" s="942">
        <f t="shared" si="49"/>
        <v>138</v>
      </c>
      <c r="AI171" s="942">
        <f t="shared" si="50"/>
        <v>2108</v>
      </c>
      <c r="AJ171" s="942">
        <f t="shared" si="51"/>
        <v>2079</v>
      </c>
      <c r="AK171" s="942">
        <f t="shared" si="52"/>
        <v>1691</v>
      </c>
      <c r="AL171" s="942">
        <f t="shared" si="52"/>
        <v>388</v>
      </c>
      <c r="AM171" s="942">
        <f t="shared" si="52"/>
        <v>29</v>
      </c>
    </row>
    <row r="172" spans="1:39" ht="16.5" customHeight="1">
      <c r="A172" s="1231"/>
      <c r="J172" s="1231" t="s">
        <v>1162</v>
      </c>
      <c r="K172" s="867" t="s">
        <v>429</v>
      </c>
      <c r="L172" s="867"/>
      <c r="M172" s="1232">
        <f t="shared" si="42"/>
        <v>0</v>
      </c>
      <c r="N172" s="1232">
        <v>0</v>
      </c>
      <c r="O172" s="1232">
        <v>0</v>
      </c>
      <c r="P172" s="1232">
        <f t="shared" si="43"/>
        <v>0</v>
      </c>
      <c r="Q172" s="1232">
        <v>0</v>
      </c>
      <c r="R172" s="1232">
        <f t="shared" si="44"/>
        <v>0</v>
      </c>
      <c r="S172" s="1232">
        <f t="shared" si="45"/>
        <v>0</v>
      </c>
      <c r="T172" s="1232">
        <v>0</v>
      </c>
      <c r="U172" s="1232">
        <v>0</v>
      </c>
      <c r="V172" s="1232">
        <v>0</v>
      </c>
      <c r="W172" s="1232"/>
      <c r="X172" s="1232" t="s">
        <v>9427</v>
      </c>
      <c r="Y172" s="1232" t="s">
        <v>9150</v>
      </c>
      <c r="Z172" s="1232" t="s">
        <v>9264</v>
      </c>
      <c r="AA172" s="1236" t="s">
        <v>1162</v>
      </c>
      <c r="AB172" s="867" t="s">
        <v>429</v>
      </c>
      <c r="AC172" s="1237"/>
      <c r="AD172" s="942">
        <f t="shared" si="46"/>
        <v>0</v>
      </c>
      <c r="AE172" s="942">
        <f t="shared" si="47"/>
        <v>0</v>
      </c>
      <c r="AF172" s="942">
        <f t="shared" si="47"/>
        <v>0</v>
      </c>
      <c r="AG172" s="942">
        <f t="shared" si="48"/>
        <v>0</v>
      </c>
      <c r="AH172" s="942">
        <f t="shared" si="49"/>
        <v>0</v>
      </c>
      <c r="AI172" s="942">
        <f t="shared" si="50"/>
        <v>0</v>
      </c>
      <c r="AJ172" s="942">
        <f t="shared" si="51"/>
        <v>0</v>
      </c>
      <c r="AK172" s="942">
        <f t="shared" si="52"/>
        <v>0</v>
      </c>
      <c r="AL172" s="942">
        <f t="shared" si="52"/>
        <v>0</v>
      </c>
      <c r="AM172" s="942">
        <f t="shared" si="52"/>
        <v>0</v>
      </c>
    </row>
    <row r="173" spans="1:39" ht="16.5" customHeight="1">
      <c r="A173" s="1231"/>
      <c r="J173" s="1231" t="s">
        <v>1164</v>
      </c>
      <c r="K173" s="940" t="s">
        <v>430</v>
      </c>
      <c r="L173" s="940"/>
      <c r="M173" s="1241">
        <f t="shared" si="42"/>
        <v>3459</v>
      </c>
      <c r="N173" s="1241">
        <f>C167-SUM(N167:N172)</f>
        <v>77</v>
      </c>
      <c r="O173" s="1241">
        <f>D167-SUM(O167:O172)</f>
        <v>12</v>
      </c>
      <c r="P173" s="1241">
        <f t="shared" si="43"/>
        <v>3370</v>
      </c>
      <c r="Q173" s="1241">
        <f>E167-SUM(Q167:Q172)</f>
        <v>127</v>
      </c>
      <c r="R173" s="1241">
        <f t="shared" si="44"/>
        <v>3243</v>
      </c>
      <c r="S173" s="1241">
        <f t="shared" si="45"/>
        <v>3223</v>
      </c>
      <c r="T173" s="1241">
        <f>F167-SUM(T167:T172)</f>
        <v>2591</v>
      </c>
      <c r="U173" s="1241">
        <f>G167-SUM(U167:U172)</f>
        <v>632</v>
      </c>
      <c r="V173" s="1241">
        <f>H167-SUM(V167:V172)</f>
        <v>20</v>
      </c>
      <c r="W173" s="1232"/>
      <c r="X173" s="1232" t="s">
        <v>9427</v>
      </c>
      <c r="Y173" s="1232" t="s">
        <v>9150</v>
      </c>
      <c r="Z173" s="1232" t="s">
        <v>9264</v>
      </c>
      <c r="AA173" s="1236" t="s">
        <v>1164</v>
      </c>
      <c r="AB173" s="940" t="s">
        <v>430</v>
      </c>
      <c r="AC173" s="1243"/>
      <c r="AD173" s="943">
        <f t="shared" si="46"/>
        <v>3459</v>
      </c>
      <c r="AE173" s="943">
        <f t="shared" si="47"/>
        <v>77</v>
      </c>
      <c r="AF173" s="943">
        <f t="shared" si="47"/>
        <v>12</v>
      </c>
      <c r="AG173" s="943">
        <f t="shared" si="48"/>
        <v>3370</v>
      </c>
      <c r="AH173" s="943">
        <f t="shared" si="49"/>
        <v>127</v>
      </c>
      <c r="AI173" s="943">
        <f t="shared" si="50"/>
        <v>3243</v>
      </c>
      <c r="AJ173" s="943">
        <f t="shared" si="51"/>
        <v>3223</v>
      </c>
      <c r="AK173" s="943">
        <f t="shared" si="52"/>
        <v>2591</v>
      </c>
      <c r="AL173" s="943">
        <f t="shared" si="52"/>
        <v>632</v>
      </c>
      <c r="AM173" s="943">
        <f t="shared" si="52"/>
        <v>20</v>
      </c>
    </row>
    <row r="174" spans="1:39" ht="16.5" customHeight="1">
      <c r="A174" s="1239" t="s">
        <v>9151</v>
      </c>
      <c r="B174" s="1234" t="s">
        <v>11644</v>
      </c>
      <c r="C174" s="1240">
        <v>724</v>
      </c>
      <c r="D174" s="1240">
        <v>119</v>
      </c>
      <c r="E174" s="1240">
        <v>941</v>
      </c>
      <c r="F174" s="1240">
        <v>6463</v>
      </c>
      <c r="G174" s="1240">
        <v>1812</v>
      </c>
      <c r="H174" s="1240">
        <v>89</v>
      </c>
      <c r="J174" s="1239" t="s">
        <v>1166</v>
      </c>
      <c r="K174" s="867" t="s">
        <v>432</v>
      </c>
      <c r="L174" s="867"/>
      <c r="M174" s="1232">
        <f t="shared" si="42"/>
        <v>6982</v>
      </c>
      <c r="N174" s="1232">
        <v>540</v>
      </c>
      <c r="O174" s="1232">
        <v>90</v>
      </c>
      <c r="P174" s="1232">
        <f t="shared" si="43"/>
        <v>6352</v>
      </c>
      <c r="Q174" s="1232">
        <v>725</v>
      </c>
      <c r="R174" s="1232">
        <f t="shared" si="44"/>
        <v>5627</v>
      </c>
      <c r="S174" s="1232">
        <f t="shared" si="45"/>
        <v>5555</v>
      </c>
      <c r="T174" s="1232">
        <v>4339</v>
      </c>
      <c r="U174" s="1232">
        <v>1216</v>
      </c>
      <c r="V174" s="1232">
        <v>72</v>
      </c>
      <c r="W174" s="1232"/>
      <c r="X174" s="1232" t="s">
        <v>431</v>
      </c>
      <c r="Y174" s="1232" t="s">
        <v>9151</v>
      </c>
      <c r="Z174" s="1232" t="s">
        <v>9265</v>
      </c>
      <c r="AA174" s="1233" t="s">
        <v>1166</v>
      </c>
      <c r="AB174" s="867" t="s">
        <v>432</v>
      </c>
      <c r="AC174" s="1237"/>
      <c r="AD174" s="942">
        <f t="shared" si="46"/>
        <v>6982</v>
      </c>
      <c r="AE174" s="942">
        <f t="shared" si="47"/>
        <v>540</v>
      </c>
      <c r="AF174" s="942">
        <f t="shared" si="47"/>
        <v>90</v>
      </c>
      <c r="AG174" s="942">
        <f t="shared" si="48"/>
        <v>6352</v>
      </c>
      <c r="AH174" s="942">
        <f t="shared" si="49"/>
        <v>725</v>
      </c>
      <c r="AI174" s="942">
        <f t="shared" si="50"/>
        <v>5627</v>
      </c>
      <c r="AJ174" s="942">
        <f t="shared" si="51"/>
        <v>5555</v>
      </c>
      <c r="AK174" s="942">
        <f t="shared" si="52"/>
        <v>4339</v>
      </c>
      <c r="AL174" s="942">
        <f t="shared" si="52"/>
        <v>1216</v>
      </c>
      <c r="AM174" s="942">
        <f t="shared" si="52"/>
        <v>72</v>
      </c>
    </row>
    <row r="175" spans="1:39" ht="16.5" customHeight="1">
      <c r="A175" s="1231"/>
      <c r="J175" s="1231" t="s">
        <v>1168</v>
      </c>
      <c r="K175" s="940" t="s">
        <v>435</v>
      </c>
      <c r="L175" s="940"/>
      <c r="M175" s="1241">
        <f t="shared" si="42"/>
        <v>3166</v>
      </c>
      <c r="N175" s="1241">
        <f>C174-SUM(N174:N174)</f>
        <v>184</v>
      </c>
      <c r="O175" s="1241">
        <f>D174-SUM(O174:O174)</f>
        <v>29</v>
      </c>
      <c r="P175" s="1241">
        <f t="shared" si="43"/>
        <v>2953</v>
      </c>
      <c r="Q175" s="1241">
        <f>E174-SUM(Q174:Q174)</f>
        <v>216</v>
      </c>
      <c r="R175" s="1241">
        <f t="shared" si="44"/>
        <v>2737</v>
      </c>
      <c r="S175" s="1241">
        <f t="shared" si="45"/>
        <v>2720</v>
      </c>
      <c r="T175" s="1241">
        <f>F174-SUM(T174:T174)</f>
        <v>2124</v>
      </c>
      <c r="U175" s="1241">
        <f>G174-SUM(U174:U174)</f>
        <v>596</v>
      </c>
      <c r="V175" s="1241">
        <f>H174-SUM(V174:V174)</f>
        <v>17</v>
      </c>
      <c r="W175" s="1232"/>
      <c r="X175" s="1232" t="s">
        <v>434</v>
      </c>
      <c r="Y175" s="1232" t="s">
        <v>9151</v>
      </c>
      <c r="Z175" s="1232" t="s">
        <v>9265</v>
      </c>
      <c r="AA175" s="1236" t="s">
        <v>1168</v>
      </c>
      <c r="AB175" s="940" t="s">
        <v>435</v>
      </c>
      <c r="AC175" s="1243"/>
      <c r="AD175" s="943">
        <f t="shared" si="46"/>
        <v>3166</v>
      </c>
      <c r="AE175" s="943">
        <f t="shared" si="47"/>
        <v>184</v>
      </c>
      <c r="AF175" s="943">
        <f t="shared" si="47"/>
        <v>29</v>
      </c>
      <c r="AG175" s="943">
        <f t="shared" si="48"/>
        <v>2953</v>
      </c>
      <c r="AH175" s="943">
        <f t="shared" si="49"/>
        <v>216</v>
      </c>
      <c r="AI175" s="943">
        <f t="shared" si="50"/>
        <v>2737</v>
      </c>
      <c r="AJ175" s="943">
        <f t="shared" si="51"/>
        <v>2720</v>
      </c>
      <c r="AK175" s="943">
        <f t="shared" si="52"/>
        <v>2124</v>
      </c>
      <c r="AL175" s="943">
        <f t="shared" si="52"/>
        <v>596</v>
      </c>
      <c r="AM175" s="943">
        <f t="shared" si="52"/>
        <v>17</v>
      </c>
    </row>
    <row r="176" spans="1:39" ht="16.5" customHeight="1">
      <c r="A176" s="1239" t="s">
        <v>9152</v>
      </c>
      <c r="B176" s="1234" t="s">
        <v>6740</v>
      </c>
      <c r="C176" s="1240">
        <v>2073</v>
      </c>
      <c r="D176" s="1240">
        <v>369</v>
      </c>
      <c r="E176" s="1240">
        <v>2575</v>
      </c>
      <c r="F176" s="1240">
        <v>18250</v>
      </c>
      <c r="G176" s="1240">
        <v>5117</v>
      </c>
      <c r="H176" s="1240">
        <v>280</v>
      </c>
      <c r="J176" s="1239" t="s">
        <v>1170</v>
      </c>
      <c r="K176" s="867" t="s">
        <v>9524</v>
      </c>
      <c r="L176" s="867"/>
      <c r="M176" s="1232">
        <f t="shared" si="42"/>
        <v>4059</v>
      </c>
      <c r="N176" s="1232">
        <v>93</v>
      </c>
      <c r="O176" s="1232">
        <v>16</v>
      </c>
      <c r="P176" s="1232">
        <f t="shared" si="43"/>
        <v>3950</v>
      </c>
      <c r="Q176" s="1232">
        <v>161</v>
      </c>
      <c r="R176" s="1232">
        <f t="shared" si="44"/>
        <v>3789</v>
      </c>
      <c r="S176" s="1232">
        <f t="shared" si="45"/>
        <v>3759</v>
      </c>
      <c r="T176" s="1232">
        <v>2936</v>
      </c>
      <c r="U176" s="1232">
        <v>823</v>
      </c>
      <c r="V176" s="1232">
        <v>30</v>
      </c>
      <c r="W176" s="1232"/>
      <c r="X176" s="1232" t="s">
        <v>436</v>
      </c>
      <c r="Y176" s="1232" t="s">
        <v>9152</v>
      </c>
      <c r="Z176" s="1232" t="s">
        <v>9265</v>
      </c>
      <c r="AA176" s="1233" t="s">
        <v>1170</v>
      </c>
      <c r="AB176" s="867" t="s">
        <v>9524</v>
      </c>
      <c r="AC176" s="1237"/>
      <c r="AD176" s="942">
        <f t="shared" si="46"/>
        <v>4059</v>
      </c>
      <c r="AE176" s="942">
        <f t="shared" si="47"/>
        <v>93</v>
      </c>
      <c r="AF176" s="942">
        <f t="shared" si="47"/>
        <v>16</v>
      </c>
      <c r="AG176" s="942">
        <f t="shared" si="48"/>
        <v>3950</v>
      </c>
      <c r="AH176" s="942">
        <f t="shared" si="49"/>
        <v>161</v>
      </c>
      <c r="AI176" s="942">
        <f t="shared" si="50"/>
        <v>3789</v>
      </c>
      <c r="AJ176" s="942">
        <f t="shared" si="51"/>
        <v>3759</v>
      </c>
      <c r="AK176" s="942">
        <f t="shared" si="52"/>
        <v>2936</v>
      </c>
      <c r="AL176" s="942">
        <f t="shared" si="52"/>
        <v>823</v>
      </c>
      <c r="AM176" s="942">
        <f t="shared" si="52"/>
        <v>30</v>
      </c>
    </row>
    <row r="177" spans="1:39" ht="16.5" customHeight="1">
      <c r="A177" s="1231"/>
      <c r="J177" s="1231" t="s">
        <v>1172</v>
      </c>
      <c r="K177" s="867" t="s">
        <v>11645</v>
      </c>
      <c r="L177" s="867"/>
      <c r="M177" s="1232">
        <f t="shared" si="42"/>
        <v>2156</v>
      </c>
      <c r="N177" s="1232">
        <v>138</v>
      </c>
      <c r="O177" s="1232">
        <v>26</v>
      </c>
      <c r="P177" s="1232">
        <f t="shared" si="43"/>
        <v>1992</v>
      </c>
      <c r="Q177" s="1232">
        <v>168</v>
      </c>
      <c r="R177" s="1232">
        <f t="shared" si="44"/>
        <v>1824</v>
      </c>
      <c r="S177" s="1232">
        <f t="shared" si="45"/>
        <v>1799</v>
      </c>
      <c r="T177" s="1232">
        <v>1405</v>
      </c>
      <c r="U177" s="1232">
        <v>394</v>
      </c>
      <c r="V177" s="1232">
        <v>25</v>
      </c>
      <c r="W177" s="1232"/>
      <c r="X177" s="1232" t="s">
        <v>438</v>
      </c>
      <c r="Y177" s="1232" t="s">
        <v>9152</v>
      </c>
      <c r="Z177" s="1232" t="s">
        <v>9265</v>
      </c>
      <c r="AA177" s="1236" t="s">
        <v>1172</v>
      </c>
      <c r="AB177" s="867" t="s">
        <v>11645</v>
      </c>
      <c r="AC177" s="1237"/>
      <c r="AD177" s="942">
        <f t="shared" si="46"/>
        <v>2156</v>
      </c>
      <c r="AE177" s="942">
        <f t="shared" si="47"/>
        <v>138</v>
      </c>
      <c r="AF177" s="942">
        <f t="shared" si="47"/>
        <v>26</v>
      </c>
      <c r="AG177" s="942">
        <f t="shared" si="48"/>
        <v>1992</v>
      </c>
      <c r="AH177" s="942">
        <f t="shared" si="49"/>
        <v>168</v>
      </c>
      <c r="AI177" s="942">
        <f t="shared" si="50"/>
        <v>1824</v>
      </c>
      <c r="AJ177" s="942">
        <f t="shared" si="51"/>
        <v>1799</v>
      </c>
      <c r="AK177" s="942">
        <f t="shared" si="52"/>
        <v>1405</v>
      </c>
      <c r="AL177" s="942">
        <f t="shared" si="52"/>
        <v>394</v>
      </c>
      <c r="AM177" s="942">
        <f t="shared" si="52"/>
        <v>25</v>
      </c>
    </row>
    <row r="178" spans="1:39" ht="16.5" customHeight="1">
      <c r="A178" s="1231"/>
      <c r="J178" s="1231" t="s">
        <v>1174</v>
      </c>
      <c r="K178" s="867" t="s">
        <v>11646</v>
      </c>
      <c r="L178" s="867"/>
      <c r="M178" s="1232">
        <f t="shared" si="42"/>
        <v>4715</v>
      </c>
      <c r="N178" s="1232">
        <v>395</v>
      </c>
      <c r="O178" s="1232">
        <v>60</v>
      </c>
      <c r="P178" s="1232">
        <f t="shared" si="43"/>
        <v>4260</v>
      </c>
      <c r="Q178" s="1232">
        <v>651</v>
      </c>
      <c r="R178" s="1232">
        <f t="shared" si="44"/>
        <v>3609</v>
      </c>
      <c r="S178" s="1232">
        <f t="shared" si="45"/>
        <v>3552</v>
      </c>
      <c r="T178" s="1232">
        <v>2774</v>
      </c>
      <c r="U178" s="1232">
        <v>778</v>
      </c>
      <c r="V178" s="1232">
        <v>57</v>
      </c>
      <c r="W178" s="1232"/>
      <c r="X178" s="1232" t="s">
        <v>438</v>
      </c>
      <c r="Y178" s="1232" t="s">
        <v>9152</v>
      </c>
      <c r="Z178" s="1232" t="s">
        <v>9265</v>
      </c>
      <c r="AA178" s="1236" t="s">
        <v>1174</v>
      </c>
      <c r="AB178" s="867" t="s">
        <v>11646</v>
      </c>
      <c r="AC178" s="1237"/>
      <c r="AD178" s="942">
        <f t="shared" si="46"/>
        <v>4715</v>
      </c>
      <c r="AE178" s="942">
        <f t="shared" si="47"/>
        <v>395</v>
      </c>
      <c r="AF178" s="942">
        <f t="shared" si="47"/>
        <v>60</v>
      </c>
      <c r="AG178" s="942">
        <f t="shared" si="48"/>
        <v>4260</v>
      </c>
      <c r="AH178" s="942">
        <f t="shared" si="49"/>
        <v>651</v>
      </c>
      <c r="AI178" s="942">
        <f t="shared" si="50"/>
        <v>3609</v>
      </c>
      <c r="AJ178" s="942">
        <f t="shared" si="51"/>
        <v>3552</v>
      </c>
      <c r="AK178" s="942">
        <f t="shared" si="52"/>
        <v>2774</v>
      </c>
      <c r="AL178" s="942">
        <f t="shared" si="52"/>
        <v>778</v>
      </c>
      <c r="AM178" s="942">
        <f t="shared" si="52"/>
        <v>57</v>
      </c>
    </row>
    <row r="179" spans="1:39" ht="16.5" customHeight="1">
      <c r="A179" s="1231"/>
      <c r="J179" s="1231" t="s">
        <v>1176</v>
      </c>
      <c r="K179" s="867" t="s">
        <v>11647</v>
      </c>
      <c r="L179" s="867"/>
      <c r="M179" s="1232">
        <f t="shared" si="42"/>
        <v>5595</v>
      </c>
      <c r="N179" s="1232">
        <v>503</v>
      </c>
      <c r="O179" s="1232">
        <v>91</v>
      </c>
      <c r="P179" s="1232">
        <f t="shared" si="43"/>
        <v>5001</v>
      </c>
      <c r="Q179" s="1232">
        <v>458</v>
      </c>
      <c r="R179" s="1232">
        <f t="shared" si="44"/>
        <v>4543</v>
      </c>
      <c r="S179" s="1232">
        <f t="shared" si="45"/>
        <v>4494</v>
      </c>
      <c r="T179" s="1232">
        <v>3510</v>
      </c>
      <c r="U179" s="1232">
        <v>984</v>
      </c>
      <c r="V179" s="1232">
        <v>49</v>
      </c>
      <c r="W179" s="1232"/>
      <c r="X179" s="1232" t="s">
        <v>438</v>
      </c>
      <c r="Y179" s="1232" t="s">
        <v>9152</v>
      </c>
      <c r="Z179" s="1232" t="s">
        <v>9265</v>
      </c>
      <c r="AA179" s="1236" t="s">
        <v>1176</v>
      </c>
      <c r="AB179" s="867" t="s">
        <v>11647</v>
      </c>
      <c r="AC179" s="1237"/>
      <c r="AD179" s="942">
        <f t="shared" si="46"/>
        <v>5595</v>
      </c>
      <c r="AE179" s="942">
        <f t="shared" si="47"/>
        <v>503</v>
      </c>
      <c r="AF179" s="942">
        <f t="shared" si="47"/>
        <v>91</v>
      </c>
      <c r="AG179" s="942">
        <f t="shared" si="48"/>
        <v>5001</v>
      </c>
      <c r="AH179" s="942">
        <f t="shared" si="49"/>
        <v>458</v>
      </c>
      <c r="AI179" s="942">
        <f t="shared" si="50"/>
        <v>4543</v>
      </c>
      <c r="AJ179" s="942">
        <f t="shared" si="51"/>
        <v>4494</v>
      </c>
      <c r="AK179" s="942">
        <f t="shared" si="52"/>
        <v>3510</v>
      </c>
      <c r="AL179" s="942">
        <f t="shared" si="52"/>
        <v>984</v>
      </c>
      <c r="AM179" s="942">
        <f t="shared" si="52"/>
        <v>49</v>
      </c>
    </row>
    <row r="180" spans="1:39" ht="16.5" customHeight="1">
      <c r="A180" s="1231"/>
      <c r="J180" s="1231" t="s">
        <v>1178</v>
      </c>
      <c r="K180" s="940" t="s">
        <v>6740</v>
      </c>
      <c r="L180" s="940"/>
      <c r="M180" s="1241">
        <f t="shared" si="42"/>
        <v>12139</v>
      </c>
      <c r="N180" s="1241">
        <f>C176-SUM(N176:N179)</f>
        <v>944</v>
      </c>
      <c r="O180" s="1241">
        <f>D176-SUM(O176:O179)</f>
        <v>176</v>
      </c>
      <c r="P180" s="1241">
        <f t="shared" si="43"/>
        <v>11019</v>
      </c>
      <c r="Q180" s="1241">
        <f>E176-SUM(Q176:Q179)</f>
        <v>1137</v>
      </c>
      <c r="R180" s="1241">
        <f t="shared" si="44"/>
        <v>9882</v>
      </c>
      <c r="S180" s="1241">
        <f t="shared" si="45"/>
        <v>9763</v>
      </c>
      <c r="T180" s="1241">
        <f>F176-SUM(T176:T179)</f>
        <v>7625</v>
      </c>
      <c r="U180" s="1241">
        <f>G176-SUM(U176:U179)</f>
        <v>2138</v>
      </c>
      <c r="V180" s="1241">
        <f>H176-SUM(V176:V179)</f>
        <v>119</v>
      </c>
      <c r="W180" s="1232"/>
      <c r="X180" s="1232" t="s">
        <v>438</v>
      </c>
      <c r="Y180" s="1232" t="s">
        <v>9152</v>
      </c>
      <c r="Z180" s="1232" t="s">
        <v>9265</v>
      </c>
      <c r="AA180" s="1236" t="s">
        <v>1178</v>
      </c>
      <c r="AB180" s="940" t="s">
        <v>6740</v>
      </c>
      <c r="AC180" s="1243"/>
      <c r="AD180" s="943">
        <f t="shared" si="46"/>
        <v>12139</v>
      </c>
      <c r="AE180" s="943">
        <f t="shared" si="47"/>
        <v>944</v>
      </c>
      <c r="AF180" s="943">
        <f t="shared" si="47"/>
        <v>176</v>
      </c>
      <c r="AG180" s="943">
        <f t="shared" si="48"/>
        <v>11019</v>
      </c>
      <c r="AH180" s="943">
        <f t="shared" si="49"/>
        <v>1137</v>
      </c>
      <c r="AI180" s="943">
        <f t="shared" si="50"/>
        <v>9882</v>
      </c>
      <c r="AJ180" s="943">
        <f t="shared" si="51"/>
        <v>9763</v>
      </c>
      <c r="AK180" s="943">
        <f t="shared" si="52"/>
        <v>7625</v>
      </c>
      <c r="AL180" s="943">
        <f t="shared" si="52"/>
        <v>2138</v>
      </c>
      <c r="AM180" s="943">
        <f t="shared" si="52"/>
        <v>119</v>
      </c>
    </row>
    <row r="181" spans="1:39" ht="16.5" customHeight="1">
      <c r="A181" s="1239" t="s">
        <v>9153</v>
      </c>
      <c r="B181" s="1234" t="s">
        <v>11648</v>
      </c>
      <c r="C181" s="1240">
        <v>775</v>
      </c>
      <c r="D181" s="1240">
        <v>218</v>
      </c>
      <c r="E181" s="1240">
        <v>1283</v>
      </c>
      <c r="F181" s="1240">
        <v>24282</v>
      </c>
      <c r="G181" s="1240">
        <v>3513</v>
      </c>
      <c r="H181" s="1240">
        <v>91</v>
      </c>
      <c r="J181" s="1239" t="s">
        <v>1180</v>
      </c>
      <c r="K181" s="867" t="s">
        <v>449</v>
      </c>
      <c r="L181" s="867"/>
      <c r="M181" s="1232">
        <f t="shared" si="42"/>
        <v>1410</v>
      </c>
      <c r="N181" s="1232">
        <v>12</v>
      </c>
      <c r="O181" s="1232">
        <v>3</v>
      </c>
      <c r="P181" s="1232">
        <f t="shared" si="43"/>
        <v>1395</v>
      </c>
      <c r="Q181" s="1232">
        <v>35</v>
      </c>
      <c r="R181" s="1232">
        <f t="shared" si="44"/>
        <v>1360</v>
      </c>
      <c r="S181" s="1232">
        <f t="shared" si="45"/>
        <v>1359</v>
      </c>
      <c r="T181" s="1232">
        <v>1184</v>
      </c>
      <c r="U181" s="1232">
        <v>175</v>
      </c>
      <c r="V181" s="1232">
        <v>1</v>
      </c>
      <c r="W181" s="1232"/>
      <c r="X181" s="1232" t="s">
        <v>9428</v>
      </c>
      <c r="Y181" s="1232" t="s">
        <v>9153</v>
      </c>
      <c r="Z181" s="1232" t="s">
        <v>9266</v>
      </c>
      <c r="AA181" s="1233" t="s">
        <v>1180</v>
      </c>
      <c r="AB181" s="867" t="s">
        <v>449</v>
      </c>
      <c r="AC181" s="1237"/>
      <c r="AD181" s="942">
        <f t="shared" si="46"/>
        <v>1410</v>
      </c>
      <c r="AE181" s="942">
        <f t="shared" si="47"/>
        <v>12</v>
      </c>
      <c r="AF181" s="942">
        <f t="shared" si="47"/>
        <v>3</v>
      </c>
      <c r="AG181" s="942">
        <f t="shared" si="48"/>
        <v>1395</v>
      </c>
      <c r="AH181" s="942">
        <f t="shared" si="49"/>
        <v>35</v>
      </c>
      <c r="AI181" s="942">
        <f t="shared" si="50"/>
        <v>1360</v>
      </c>
      <c r="AJ181" s="942">
        <f t="shared" si="51"/>
        <v>1359</v>
      </c>
      <c r="AK181" s="942">
        <f t="shared" si="52"/>
        <v>1184</v>
      </c>
      <c r="AL181" s="942">
        <f t="shared" si="52"/>
        <v>175</v>
      </c>
      <c r="AM181" s="942">
        <f t="shared" si="52"/>
        <v>1</v>
      </c>
    </row>
    <row r="182" spans="1:39" ht="16.5" customHeight="1">
      <c r="A182" s="1231"/>
      <c r="J182" s="1231" t="s">
        <v>1182</v>
      </c>
      <c r="K182" s="867" t="s">
        <v>451</v>
      </c>
      <c r="L182" s="867"/>
      <c r="M182" s="1232">
        <f t="shared" si="42"/>
        <v>6042</v>
      </c>
      <c r="N182" s="1232">
        <v>44</v>
      </c>
      <c r="O182" s="1232">
        <v>11</v>
      </c>
      <c r="P182" s="1232">
        <f t="shared" si="43"/>
        <v>5987</v>
      </c>
      <c r="Q182" s="1232">
        <v>139</v>
      </c>
      <c r="R182" s="1232">
        <f t="shared" si="44"/>
        <v>5848</v>
      </c>
      <c r="S182" s="1232">
        <f t="shared" si="45"/>
        <v>5843</v>
      </c>
      <c r="T182" s="1232">
        <v>5091</v>
      </c>
      <c r="U182" s="1232">
        <v>752</v>
      </c>
      <c r="V182" s="1232">
        <v>5</v>
      </c>
      <c r="W182" s="1232"/>
      <c r="X182" s="1232" t="s">
        <v>9428</v>
      </c>
      <c r="Y182" s="1232" t="s">
        <v>9153</v>
      </c>
      <c r="Z182" s="1232" t="s">
        <v>9266</v>
      </c>
      <c r="AA182" s="1236" t="s">
        <v>1182</v>
      </c>
      <c r="AB182" s="867" t="s">
        <v>451</v>
      </c>
      <c r="AC182" s="1237"/>
      <c r="AD182" s="942">
        <f t="shared" si="46"/>
        <v>6042</v>
      </c>
      <c r="AE182" s="942">
        <f t="shared" si="47"/>
        <v>44</v>
      </c>
      <c r="AF182" s="942">
        <f t="shared" si="47"/>
        <v>11</v>
      </c>
      <c r="AG182" s="942">
        <f t="shared" si="48"/>
        <v>5987</v>
      </c>
      <c r="AH182" s="942">
        <f t="shared" si="49"/>
        <v>139</v>
      </c>
      <c r="AI182" s="942">
        <f t="shared" si="50"/>
        <v>5848</v>
      </c>
      <c r="AJ182" s="942">
        <f t="shared" si="51"/>
        <v>5843</v>
      </c>
      <c r="AK182" s="942">
        <f t="shared" si="52"/>
        <v>5091</v>
      </c>
      <c r="AL182" s="942">
        <f t="shared" si="52"/>
        <v>752</v>
      </c>
      <c r="AM182" s="942">
        <f t="shared" si="52"/>
        <v>5</v>
      </c>
    </row>
    <row r="183" spans="1:39" ht="16.5" customHeight="1">
      <c r="A183" s="1231"/>
      <c r="J183" s="1231" t="s">
        <v>1184</v>
      </c>
      <c r="K183" s="867" t="s">
        <v>452</v>
      </c>
      <c r="L183" s="867"/>
      <c r="M183" s="1232">
        <f t="shared" si="42"/>
        <v>5240</v>
      </c>
      <c r="N183" s="1232">
        <v>20</v>
      </c>
      <c r="O183" s="1232">
        <v>5</v>
      </c>
      <c r="P183" s="1232">
        <f t="shared" si="43"/>
        <v>5215</v>
      </c>
      <c r="Q183" s="1232">
        <v>74</v>
      </c>
      <c r="R183" s="1232">
        <f t="shared" si="44"/>
        <v>5141</v>
      </c>
      <c r="S183" s="1232">
        <f t="shared" si="45"/>
        <v>5132</v>
      </c>
      <c r="T183" s="1232">
        <v>4471</v>
      </c>
      <c r="U183" s="1232">
        <v>661</v>
      </c>
      <c r="V183" s="1232">
        <v>9</v>
      </c>
      <c r="W183" s="1232"/>
      <c r="X183" s="1232" t="s">
        <v>9428</v>
      </c>
      <c r="Y183" s="1232" t="s">
        <v>9153</v>
      </c>
      <c r="Z183" s="1232" t="s">
        <v>9266</v>
      </c>
      <c r="AA183" s="1236" t="s">
        <v>1184</v>
      </c>
      <c r="AB183" s="867" t="s">
        <v>452</v>
      </c>
      <c r="AC183" s="1237"/>
      <c r="AD183" s="942">
        <f t="shared" si="46"/>
        <v>5240</v>
      </c>
      <c r="AE183" s="942">
        <f t="shared" si="47"/>
        <v>20</v>
      </c>
      <c r="AF183" s="942">
        <f t="shared" si="47"/>
        <v>5</v>
      </c>
      <c r="AG183" s="942">
        <f t="shared" si="48"/>
        <v>5215</v>
      </c>
      <c r="AH183" s="942">
        <f t="shared" si="49"/>
        <v>74</v>
      </c>
      <c r="AI183" s="942">
        <f t="shared" si="50"/>
        <v>5141</v>
      </c>
      <c r="AJ183" s="942">
        <f t="shared" si="51"/>
        <v>5132</v>
      </c>
      <c r="AK183" s="942">
        <f t="shared" si="52"/>
        <v>4471</v>
      </c>
      <c r="AL183" s="942">
        <f t="shared" si="52"/>
        <v>661</v>
      </c>
      <c r="AM183" s="942">
        <f t="shared" si="52"/>
        <v>9</v>
      </c>
    </row>
    <row r="184" spans="1:39" ht="16.5" customHeight="1">
      <c r="A184" s="1231"/>
      <c r="J184" s="1231" t="s">
        <v>1186</v>
      </c>
      <c r="K184" s="867" t="s">
        <v>9526</v>
      </c>
      <c r="L184" s="867"/>
      <c r="M184" s="1232">
        <f t="shared" si="42"/>
        <v>7585</v>
      </c>
      <c r="N184" s="1232">
        <v>188</v>
      </c>
      <c r="O184" s="1232">
        <v>43</v>
      </c>
      <c r="P184" s="1232">
        <f t="shared" si="43"/>
        <v>7354</v>
      </c>
      <c r="Q184" s="1232">
        <v>333</v>
      </c>
      <c r="R184" s="1232">
        <f t="shared" si="44"/>
        <v>7021</v>
      </c>
      <c r="S184" s="1232">
        <f t="shared" si="45"/>
        <v>6991</v>
      </c>
      <c r="T184" s="1232">
        <v>6097</v>
      </c>
      <c r="U184" s="1232">
        <v>894</v>
      </c>
      <c r="V184" s="1232">
        <v>30</v>
      </c>
      <c r="W184" s="1232"/>
      <c r="X184" s="1232" t="s">
        <v>9429</v>
      </c>
      <c r="Y184" s="1232" t="s">
        <v>9153</v>
      </c>
      <c r="Z184" s="1232" t="s">
        <v>9266</v>
      </c>
      <c r="AA184" s="1236" t="s">
        <v>1186</v>
      </c>
      <c r="AB184" s="867" t="s">
        <v>9526</v>
      </c>
      <c r="AC184" s="1237"/>
      <c r="AD184" s="942">
        <f t="shared" si="46"/>
        <v>7585</v>
      </c>
      <c r="AE184" s="942">
        <f t="shared" si="47"/>
        <v>188</v>
      </c>
      <c r="AF184" s="942">
        <f t="shared" si="47"/>
        <v>43</v>
      </c>
      <c r="AG184" s="942">
        <f t="shared" si="48"/>
        <v>7354</v>
      </c>
      <c r="AH184" s="942">
        <f t="shared" si="49"/>
        <v>333</v>
      </c>
      <c r="AI184" s="942">
        <f t="shared" si="50"/>
        <v>7021</v>
      </c>
      <c r="AJ184" s="942">
        <f t="shared" si="51"/>
        <v>6991</v>
      </c>
      <c r="AK184" s="942">
        <f t="shared" si="52"/>
        <v>6097</v>
      </c>
      <c r="AL184" s="942">
        <f t="shared" si="52"/>
        <v>894</v>
      </c>
      <c r="AM184" s="942">
        <f t="shared" si="52"/>
        <v>30</v>
      </c>
    </row>
    <row r="185" spans="1:39" ht="16.5" customHeight="1">
      <c r="A185" s="1231"/>
      <c r="J185" s="1231" t="s">
        <v>1188</v>
      </c>
      <c r="K185" s="867" t="s">
        <v>456</v>
      </c>
      <c r="L185" s="867"/>
      <c r="M185" s="1232">
        <f t="shared" si="42"/>
        <v>3085</v>
      </c>
      <c r="N185" s="1232">
        <v>74</v>
      </c>
      <c r="O185" s="1232">
        <v>28</v>
      </c>
      <c r="P185" s="1232">
        <f t="shared" si="43"/>
        <v>2983</v>
      </c>
      <c r="Q185" s="1232">
        <v>208</v>
      </c>
      <c r="R185" s="1232">
        <f t="shared" si="44"/>
        <v>2775</v>
      </c>
      <c r="S185" s="1232">
        <f t="shared" si="45"/>
        <v>2764</v>
      </c>
      <c r="T185" s="1232">
        <v>2463</v>
      </c>
      <c r="U185" s="1232">
        <v>301</v>
      </c>
      <c r="V185" s="1232">
        <v>11</v>
      </c>
      <c r="W185" s="1232"/>
      <c r="X185" s="1232" t="s">
        <v>9430</v>
      </c>
      <c r="Y185" s="1232" t="s">
        <v>9153</v>
      </c>
      <c r="Z185" s="1232" t="s">
        <v>9266</v>
      </c>
      <c r="AA185" s="1236" t="s">
        <v>1188</v>
      </c>
      <c r="AB185" s="867" t="s">
        <v>456</v>
      </c>
      <c r="AC185" s="1237"/>
      <c r="AD185" s="942">
        <f t="shared" si="46"/>
        <v>3085</v>
      </c>
      <c r="AE185" s="942">
        <f t="shared" si="47"/>
        <v>74</v>
      </c>
      <c r="AF185" s="942">
        <f t="shared" si="47"/>
        <v>28</v>
      </c>
      <c r="AG185" s="942">
        <f t="shared" si="48"/>
        <v>2983</v>
      </c>
      <c r="AH185" s="942">
        <f t="shared" si="49"/>
        <v>208</v>
      </c>
      <c r="AI185" s="942">
        <f t="shared" si="50"/>
        <v>2775</v>
      </c>
      <c r="AJ185" s="942">
        <f t="shared" si="51"/>
        <v>2764</v>
      </c>
      <c r="AK185" s="942">
        <f t="shared" si="52"/>
        <v>2463</v>
      </c>
      <c r="AL185" s="942">
        <f t="shared" si="52"/>
        <v>301</v>
      </c>
      <c r="AM185" s="942">
        <f t="shared" si="52"/>
        <v>11</v>
      </c>
    </row>
    <row r="186" spans="1:39" ht="16.5" customHeight="1">
      <c r="A186" s="1231"/>
      <c r="J186" s="1231" t="s">
        <v>1190</v>
      </c>
      <c r="K186" s="867" t="s">
        <v>458</v>
      </c>
      <c r="L186" s="867"/>
      <c r="M186" s="1232">
        <f t="shared" si="42"/>
        <v>239</v>
      </c>
      <c r="N186" s="1232">
        <v>2</v>
      </c>
      <c r="O186" s="1232">
        <v>0</v>
      </c>
      <c r="P186" s="1232">
        <f t="shared" si="43"/>
        <v>237</v>
      </c>
      <c r="Q186" s="1232">
        <v>6</v>
      </c>
      <c r="R186" s="1232">
        <f t="shared" si="44"/>
        <v>231</v>
      </c>
      <c r="S186" s="1232">
        <f t="shared" si="45"/>
        <v>231</v>
      </c>
      <c r="T186" s="1232">
        <v>206</v>
      </c>
      <c r="U186" s="1232">
        <v>25</v>
      </c>
      <c r="V186" s="1232">
        <v>0</v>
      </c>
      <c r="W186" s="1232"/>
      <c r="X186" s="1232" t="s">
        <v>9431</v>
      </c>
      <c r="Y186" s="1232" t="s">
        <v>9153</v>
      </c>
      <c r="Z186" s="1232" t="s">
        <v>9266</v>
      </c>
      <c r="AA186" s="1236" t="s">
        <v>1190</v>
      </c>
      <c r="AB186" s="867" t="s">
        <v>458</v>
      </c>
      <c r="AC186" s="1237"/>
      <c r="AD186" s="942">
        <f t="shared" si="46"/>
        <v>239</v>
      </c>
      <c r="AE186" s="942">
        <f t="shared" si="47"/>
        <v>2</v>
      </c>
      <c r="AF186" s="942">
        <f t="shared" si="47"/>
        <v>0</v>
      </c>
      <c r="AG186" s="942">
        <f t="shared" si="48"/>
        <v>237</v>
      </c>
      <c r="AH186" s="942">
        <f t="shared" si="49"/>
        <v>6</v>
      </c>
      <c r="AI186" s="942">
        <f t="shared" si="50"/>
        <v>231</v>
      </c>
      <c r="AJ186" s="942">
        <f t="shared" si="51"/>
        <v>231</v>
      </c>
      <c r="AK186" s="942">
        <f t="shared" si="52"/>
        <v>206</v>
      </c>
      <c r="AL186" s="942">
        <f t="shared" si="52"/>
        <v>25</v>
      </c>
      <c r="AM186" s="942">
        <f t="shared" si="52"/>
        <v>0</v>
      </c>
    </row>
    <row r="187" spans="1:39" ht="16.5" customHeight="1">
      <c r="A187" s="1231"/>
      <c r="J187" s="1231" t="s">
        <v>1192</v>
      </c>
      <c r="K187" s="867" t="s">
        <v>460</v>
      </c>
      <c r="L187" s="867"/>
      <c r="M187" s="1232">
        <f t="shared" si="42"/>
        <v>56</v>
      </c>
      <c r="N187" s="1232">
        <v>1</v>
      </c>
      <c r="O187" s="1232">
        <v>0</v>
      </c>
      <c r="P187" s="1232">
        <f t="shared" si="43"/>
        <v>55</v>
      </c>
      <c r="Q187" s="1232">
        <v>1</v>
      </c>
      <c r="R187" s="1232">
        <f t="shared" si="44"/>
        <v>54</v>
      </c>
      <c r="S187" s="1232">
        <f t="shared" si="45"/>
        <v>54</v>
      </c>
      <c r="T187" s="1232">
        <v>47</v>
      </c>
      <c r="U187" s="1232">
        <v>7</v>
      </c>
      <c r="V187" s="1232">
        <v>0</v>
      </c>
      <c r="W187" s="1232"/>
      <c r="X187" s="1232" t="s">
        <v>9432</v>
      </c>
      <c r="Y187" s="1232" t="s">
        <v>9153</v>
      </c>
      <c r="Z187" s="1232" t="s">
        <v>9266</v>
      </c>
      <c r="AA187" s="1236" t="s">
        <v>1192</v>
      </c>
      <c r="AB187" s="867" t="s">
        <v>460</v>
      </c>
      <c r="AC187" s="1237"/>
      <c r="AD187" s="942">
        <f t="shared" si="46"/>
        <v>56</v>
      </c>
      <c r="AE187" s="942">
        <f t="shared" si="47"/>
        <v>1</v>
      </c>
      <c r="AF187" s="942">
        <f t="shared" si="47"/>
        <v>0</v>
      </c>
      <c r="AG187" s="942">
        <f t="shared" si="48"/>
        <v>55</v>
      </c>
      <c r="AH187" s="942">
        <f t="shared" si="49"/>
        <v>1</v>
      </c>
      <c r="AI187" s="942">
        <f t="shared" si="50"/>
        <v>54</v>
      </c>
      <c r="AJ187" s="942">
        <f t="shared" si="51"/>
        <v>54</v>
      </c>
      <c r="AK187" s="942">
        <f t="shared" si="52"/>
        <v>47</v>
      </c>
      <c r="AL187" s="942">
        <f t="shared" si="52"/>
        <v>7</v>
      </c>
      <c r="AM187" s="942">
        <f t="shared" si="52"/>
        <v>0</v>
      </c>
    </row>
    <row r="188" spans="1:39" ht="16.5" customHeight="1">
      <c r="A188" s="1231"/>
      <c r="J188" s="1231" t="s">
        <v>1194</v>
      </c>
      <c r="K188" s="940" t="s">
        <v>9527</v>
      </c>
      <c r="L188" s="940"/>
      <c r="M188" s="1241">
        <f t="shared" si="42"/>
        <v>6505</v>
      </c>
      <c r="N188" s="1241">
        <f>C181-SUM(N181:N187)</f>
        <v>434</v>
      </c>
      <c r="O188" s="1241">
        <f>D181-SUM(O181:O187)</f>
        <v>128</v>
      </c>
      <c r="P188" s="1241">
        <f t="shared" si="43"/>
        <v>5943</v>
      </c>
      <c r="Q188" s="1241">
        <f>E181-SUM(Q181:Q187)</f>
        <v>487</v>
      </c>
      <c r="R188" s="1241">
        <f t="shared" si="44"/>
        <v>5456</v>
      </c>
      <c r="S188" s="1241">
        <f t="shared" si="45"/>
        <v>5421</v>
      </c>
      <c r="T188" s="1241">
        <f>F181-SUM(T181:T187)</f>
        <v>4723</v>
      </c>
      <c r="U188" s="1241">
        <f>G181-SUM(U181:U187)</f>
        <v>698</v>
      </c>
      <c r="V188" s="1241">
        <f>H181-SUM(V181:V187)</f>
        <v>35</v>
      </c>
      <c r="W188" s="1232"/>
      <c r="X188" s="1232" t="s">
        <v>9432</v>
      </c>
      <c r="Y188" s="1232" t="s">
        <v>9153</v>
      </c>
      <c r="Z188" s="1232" t="s">
        <v>9266</v>
      </c>
      <c r="AA188" s="1236" t="s">
        <v>1194</v>
      </c>
      <c r="AB188" s="940" t="s">
        <v>9527</v>
      </c>
      <c r="AC188" s="1243"/>
      <c r="AD188" s="943">
        <f t="shared" si="46"/>
        <v>6505</v>
      </c>
      <c r="AE188" s="943">
        <f t="shared" si="47"/>
        <v>434</v>
      </c>
      <c r="AF188" s="943">
        <f t="shared" si="47"/>
        <v>128</v>
      </c>
      <c r="AG188" s="943">
        <f t="shared" si="48"/>
        <v>5943</v>
      </c>
      <c r="AH188" s="943">
        <f t="shared" si="49"/>
        <v>487</v>
      </c>
      <c r="AI188" s="943">
        <f t="shared" si="50"/>
        <v>5456</v>
      </c>
      <c r="AJ188" s="943">
        <f t="shared" si="51"/>
        <v>5421</v>
      </c>
      <c r="AK188" s="943">
        <f t="shared" si="52"/>
        <v>4723</v>
      </c>
      <c r="AL188" s="943">
        <f t="shared" si="52"/>
        <v>698</v>
      </c>
      <c r="AM188" s="943">
        <f t="shared" si="52"/>
        <v>35</v>
      </c>
    </row>
    <row r="189" spans="1:39" ht="16.5" customHeight="1">
      <c r="A189" s="1239" t="s">
        <v>5421</v>
      </c>
      <c r="B189" s="1234" t="s">
        <v>11649</v>
      </c>
      <c r="C189" s="1240">
        <v>995</v>
      </c>
      <c r="D189" s="1240">
        <v>156</v>
      </c>
      <c r="E189" s="1240">
        <v>2220</v>
      </c>
      <c r="F189" s="1240">
        <v>24915</v>
      </c>
      <c r="G189" s="1240">
        <v>5807</v>
      </c>
      <c r="H189" s="1240">
        <v>210</v>
      </c>
      <c r="J189" s="1239" t="s">
        <v>1196</v>
      </c>
      <c r="K189" s="867" t="s">
        <v>9528</v>
      </c>
      <c r="L189" s="867"/>
      <c r="M189" s="1232">
        <f t="shared" si="42"/>
        <v>524</v>
      </c>
      <c r="N189" s="1232">
        <v>11</v>
      </c>
      <c r="O189" s="1232">
        <v>3</v>
      </c>
      <c r="P189" s="1232">
        <f t="shared" si="43"/>
        <v>510</v>
      </c>
      <c r="Q189" s="1232">
        <v>28</v>
      </c>
      <c r="R189" s="1232">
        <f t="shared" si="44"/>
        <v>482</v>
      </c>
      <c r="S189" s="1232">
        <f t="shared" si="45"/>
        <v>478</v>
      </c>
      <c r="T189" s="1232">
        <v>393</v>
      </c>
      <c r="U189" s="1232">
        <v>85</v>
      </c>
      <c r="V189" s="1232">
        <v>4</v>
      </c>
      <c r="W189" s="1232"/>
      <c r="X189" s="1232" t="s">
        <v>9433</v>
      </c>
      <c r="Y189" s="1232" t="s">
        <v>5421</v>
      </c>
      <c r="Z189" s="1232" t="s">
        <v>9267</v>
      </c>
      <c r="AA189" s="1233" t="s">
        <v>1196</v>
      </c>
      <c r="AB189" s="867" t="s">
        <v>9528</v>
      </c>
      <c r="AC189" s="1237"/>
      <c r="AD189" s="942">
        <f t="shared" si="46"/>
        <v>524</v>
      </c>
      <c r="AE189" s="942">
        <f t="shared" si="47"/>
        <v>11</v>
      </c>
      <c r="AF189" s="942">
        <f t="shared" si="47"/>
        <v>3</v>
      </c>
      <c r="AG189" s="942">
        <f t="shared" si="48"/>
        <v>510</v>
      </c>
      <c r="AH189" s="942">
        <f t="shared" si="49"/>
        <v>28</v>
      </c>
      <c r="AI189" s="942">
        <f t="shared" si="50"/>
        <v>482</v>
      </c>
      <c r="AJ189" s="942">
        <f t="shared" si="51"/>
        <v>478</v>
      </c>
      <c r="AK189" s="942">
        <f t="shared" si="52"/>
        <v>393</v>
      </c>
      <c r="AL189" s="942">
        <f t="shared" si="52"/>
        <v>85</v>
      </c>
      <c r="AM189" s="942">
        <f t="shared" si="52"/>
        <v>4</v>
      </c>
    </row>
    <row r="190" spans="1:39" ht="16.5" customHeight="1">
      <c r="A190" s="1231"/>
      <c r="J190" s="1231" t="s">
        <v>1198</v>
      </c>
      <c r="K190" s="867" t="s">
        <v>9529</v>
      </c>
      <c r="L190" s="867"/>
      <c r="M190" s="1232">
        <f t="shared" si="42"/>
        <v>8267</v>
      </c>
      <c r="N190" s="1232">
        <v>78</v>
      </c>
      <c r="O190" s="1232">
        <v>24</v>
      </c>
      <c r="P190" s="1232">
        <f t="shared" si="43"/>
        <v>8165</v>
      </c>
      <c r="Q190" s="1232">
        <v>352</v>
      </c>
      <c r="R190" s="1232">
        <f t="shared" si="44"/>
        <v>7813</v>
      </c>
      <c r="S190" s="1232">
        <f t="shared" si="45"/>
        <v>7783</v>
      </c>
      <c r="T190" s="1232">
        <v>6394</v>
      </c>
      <c r="U190" s="1232">
        <v>1389</v>
      </c>
      <c r="V190" s="1232">
        <v>30</v>
      </c>
      <c r="W190" s="1232"/>
      <c r="X190" s="1232" t="s">
        <v>9434</v>
      </c>
      <c r="Y190" s="1232" t="s">
        <v>5421</v>
      </c>
      <c r="Z190" s="1232" t="s">
        <v>9267</v>
      </c>
      <c r="AA190" s="1236" t="s">
        <v>1198</v>
      </c>
      <c r="AB190" s="867" t="s">
        <v>9529</v>
      </c>
      <c r="AC190" s="1237"/>
      <c r="AD190" s="942">
        <f t="shared" si="46"/>
        <v>8267</v>
      </c>
      <c r="AE190" s="942">
        <f t="shared" si="47"/>
        <v>78</v>
      </c>
      <c r="AF190" s="942">
        <f t="shared" si="47"/>
        <v>24</v>
      </c>
      <c r="AG190" s="942">
        <f t="shared" si="48"/>
        <v>8165</v>
      </c>
      <c r="AH190" s="942">
        <f t="shared" si="49"/>
        <v>352</v>
      </c>
      <c r="AI190" s="942">
        <f t="shared" si="50"/>
        <v>7813</v>
      </c>
      <c r="AJ190" s="942">
        <f t="shared" si="51"/>
        <v>7783</v>
      </c>
      <c r="AK190" s="942">
        <f t="shared" si="52"/>
        <v>6394</v>
      </c>
      <c r="AL190" s="942">
        <f t="shared" si="52"/>
        <v>1389</v>
      </c>
      <c r="AM190" s="942">
        <f t="shared" si="52"/>
        <v>30</v>
      </c>
    </row>
    <row r="191" spans="1:39" ht="16.5" customHeight="1">
      <c r="A191" s="1231"/>
      <c r="J191" s="1231" t="s">
        <v>1200</v>
      </c>
      <c r="K191" s="867" t="s">
        <v>469</v>
      </c>
      <c r="L191" s="867"/>
      <c r="M191" s="1232">
        <f t="shared" si="42"/>
        <v>726</v>
      </c>
      <c r="N191" s="1232">
        <v>24</v>
      </c>
      <c r="O191" s="1232">
        <v>9</v>
      </c>
      <c r="P191" s="1232">
        <f t="shared" si="43"/>
        <v>693</v>
      </c>
      <c r="Q191" s="1232">
        <v>48</v>
      </c>
      <c r="R191" s="1232">
        <f t="shared" si="44"/>
        <v>645</v>
      </c>
      <c r="S191" s="1232">
        <f t="shared" si="45"/>
        <v>641</v>
      </c>
      <c r="T191" s="1232">
        <v>522</v>
      </c>
      <c r="U191" s="1232">
        <v>119</v>
      </c>
      <c r="V191" s="1232">
        <v>4</v>
      </c>
      <c r="W191" s="1232"/>
      <c r="X191" s="1232" t="s">
        <v>9435</v>
      </c>
      <c r="Y191" s="1232" t="s">
        <v>5421</v>
      </c>
      <c r="Z191" s="1232" t="s">
        <v>9267</v>
      </c>
      <c r="AA191" s="1236" t="s">
        <v>1200</v>
      </c>
      <c r="AB191" s="867" t="s">
        <v>469</v>
      </c>
      <c r="AC191" s="1237"/>
      <c r="AD191" s="942">
        <f t="shared" si="46"/>
        <v>726</v>
      </c>
      <c r="AE191" s="942">
        <f t="shared" si="47"/>
        <v>24</v>
      </c>
      <c r="AF191" s="942">
        <f t="shared" si="47"/>
        <v>9</v>
      </c>
      <c r="AG191" s="942">
        <f t="shared" si="48"/>
        <v>693</v>
      </c>
      <c r="AH191" s="942">
        <f t="shared" si="49"/>
        <v>48</v>
      </c>
      <c r="AI191" s="942">
        <f t="shared" si="50"/>
        <v>645</v>
      </c>
      <c r="AJ191" s="942">
        <f t="shared" si="51"/>
        <v>641</v>
      </c>
      <c r="AK191" s="942">
        <f t="shared" si="52"/>
        <v>522</v>
      </c>
      <c r="AL191" s="942">
        <f t="shared" si="52"/>
        <v>119</v>
      </c>
      <c r="AM191" s="942">
        <f t="shared" si="52"/>
        <v>4</v>
      </c>
    </row>
    <row r="192" spans="1:39" ht="16.5" customHeight="1">
      <c r="A192" s="1231"/>
      <c r="J192" s="1231" t="s">
        <v>1202</v>
      </c>
      <c r="K192" s="867" t="s">
        <v>9530</v>
      </c>
      <c r="L192" s="867"/>
      <c r="M192" s="1232">
        <f t="shared" si="42"/>
        <v>1464</v>
      </c>
      <c r="N192" s="1232">
        <v>28</v>
      </c>
      <c r="O192" s="1232">
        <v>8</v>
      </c>
      <c r="P192" s="1232">
        <f t="shared" si="43"/>
        <v>1428</v>
      </c>
      <c r="Q192" s="1232">
        <v>132</v>
      </c>
      <c r="R192" s="1232">
        <f t="shared" si="44"/>
        <v>1296</v>
      </c>
      <c r="S192" s="1232">
        <f t="shared" si="45"/>
        <v>1286</v>
      </c>
      <c r="T192" s="1232">
        <v>1057</v>
      </c>
      <c r="U192" s="1232">
        <v>229</v>
      </c>
      <c r="V192" s="1232">
        <v>10</v>
      </c>
      <c r="W192" s="1232"/>
      <c r="X192" s="1232" t="s">
        <v>9436</v>
      </c>
      <c r="Y192" s="1232" t="s">
        <v>5421</v>
      </c>
      <c r="Z192" s="1232" t="s">
        <v>9267</v>
      </c>
      <c r="AA192" s="1236" t="s">
        <v>1202</v>
      </c>
      <c r="AB192" s="867" t="s">
        <v>9530</v>
      </c>
      <c r="AC192" s="1237"/>
      <c r="AD192" s="942">
        <f t="shared" si="46"/>
        <v>1464</v>
      </c>
      <c r="AE192" s="942">
        <f t="shared" si="47"/>
        <v>28</v>
      </c>
      <c r="AF192" s="942">
        <f t="shared" si="47"/>
        <v>8</v>
      </c>
      <c r="AG192" s="942">
        <f t="shared" si="48"/>
        <v>1428</v>
      </c>
      <c r="AH192" s="942">
        <f t="shared" si="49"/>
        <v>132</v>
      </c>
      <c r="AI192" s="942">
        <f t="shared" si="50"/>
        <v>1296</v>
      </c>
      <c r="AJ192" s="942">
        <f t="shared" si="51"/>
        <v>1286</v>
      </c>
      <c r="AK192" s="942">
        <f t="shared" si="52"/>
        <v>1057</v>
      </c>
      <c r="AL192" s="942">
        <f t="shared" si="52"/>
        <v>229</v>
      </c>
      <c r="AM192" s="942">
        <f t="shared" si="52"/>
        <v>10</v>
      </c>
    </row>
    <row r="193" spans="1:39" ht="16.5" customHeight="1">
      <c r="A193" s="1231"/>
      <c r="J193" s="1231" t="s">
        <v>1204</v>
      </c>
      <c r="K193" s="867" t="s">
        <v>479</v>
      </c>
      <c r="L193" s="867"/>
      <c r="M193" s="1232">
        <f t="shared" si="42"/>
        <v>3641</v>
      </c>
      <c r="N193" s="1232">
        <v>86</v>
      </c>
      <c r="O193" s="1232">
        <v>10</v>
      </c>
      <c r="P193" s="1232">
        <f t="shared" si="43"/>
        <v>3545</v>
      </c>
      <c r="Q193" s="1232">
        <v>227</v>
      </c>
      <c r="R193" s="1232">
        <f t="shared" si="44"/>
        <v>3318</v>
      </c>
      <c r="S193" s="1232">
        <f t="shared" si="45"/>
        <v>3284</v>
      </c>
      <c r="T193" s="1232">
        <v>2644</v>
      </c>
      <c r="U193" s="1232">
        <v>640</v>
      </c>
      <c r="V193" s="1232">
        <v>34</v>
      </c>
      <c r="W193" s="1232"/>
      <c r="X193" s="1232" t="s">
        <v>9437</v>
      </c>
      <c r="Y193" s="1232" t="s">
        <v>5421</v>
      </c>
      <c r="Z193" s="1232" t="s">
        <v>9267</v>
      </c>
      <c r="AA193" s="1236" t="s">
        <v>1204</v>
      </c>
      <c r="AB193" s="867" t="s">
        <v>479</v>
      </c>
      <c r="AC193" s="1237"/>
      <c r="AD193" s="942">
        <f t="shared" si="46"/>
        <v>3641</v>
      </c>
      <c r="AE193" s="942">
        <f t="shared" si="47"/>
        <v>86</v>
      </c>
      <c r="AF193" s="942">
        <f t="shared" si="47"/>
        <v>10</v>
      </c>
      <c r="AG193" s="942">
        <f t="shared" si="48"/>
        <v>3545</v>
      </c>
      <c r="AH193" s="942">
        <f t="shared" si="49"/>
        <v>227</v>
      </c>
      <c r="AI193" s="942">
        <f t="shared" si="50"/>
        <v>3318</v>
      </c>
      <c r="AJ193" s="942">
        <f t="shared" si="51"/>
        <v>3284</v>
      </c>
      <c r="AK193" s="942">
        <f t="shared" si="52"/>
        <v>2644</v>
      </c>
      <c r="AL193" s="942">
        <f t="shared" si="52"/>
        <v>640</v>
      </c>
      <c r="AM193" s="942">
        <f t="shared" si="52"/>
        <v>34</v>
      </c>
    </row>
    <row r="194" spans="1:39" ht="16.5" customHeight="1">
      <c r="A194" s="1231"/>
      <c r="J194" s="1231" t="s">
        <v>1206</v>
      </c>
      <c r="K194" s="867" t="s">
        <v>11650</v>
      </c>
      <c r="L194" s="867"/>
      <c r="M194" s="1232">
        <f t="shared" si="42"/>
        <v>2572</v>
      </c>
      <c r="N194" s="1232">
        <v>47</v>
      </c>
      <c r="O194" s="1232">
        <v>5</v>
      </c>
      <c r="P194" s="1232">
        <f t="shared" si="43"/>
        <v>2520</v>
      </c>
      <c r="Q194" s="1232">
        <v>171</v>
      </c>
      <c r="R194" s="1232">
        <f t="shared" si="44"/>
        <v>2349</v>
      </c>
      <c r="S194" s="1232">
        <f t="shared" si="45"/>
        <v>2339</v>
      </c>
      <c r="T194" s="1232">
        <v>1883</v>
      </c>
      <c r="U194" s="1232">
        <v>456</v>
      </c>
      <c r="V194" s="1232">
        <v>10</v>
      </c>
      <c r="W194" s="1232"/>
      <c r="X194" s="1232" t="s">
        <v>9437</v>
      </c>
      <c r="Y194" s="1232" t="s">
        <v>5421</v>
      </c>
      <c r="Z194" s="1232" t="s">
        <v>9267</v>
      </c>
      <c r="AA194" s="1236" t="s">
        <v>1206</v>
      </c>
      <c r="AB194" s="867" t="s">
        <v>11650</v>
      </c>
      <c r="AC194" s="1237"/>
      <c r="AD194" s="942">
        <f t="shared" si="46"/>
        <v>2572</v>
      </c>
      <c r="AE194" s="942">
        <f t="shared" si="47"/>
        <v>47</v>
      </c>
      <c r="AF194" s="942">
        <f t="shared" si="47"/>
        <v>5</v>
      </c>
      <c r="AG194" s="942">
        <f t="shared" si="48"/>
        <v>2520</v>
      </c>
      <c r="AH194" s="942">
        <f t="shared" si="49"/>
        <v>171</v>
      </c>
      <c r="AI194" s="942">
        <f t="shared" si="50"/>
        <v>2349</v>
      </c>
      <c r="AJ194" s="942">
        <f t="shared" si="51"/>
        <v>2339</v>
      </c>
      <c r="AK194" s="942">
        <f t="shared" si="52"/>
        <v>1883</v>
      </c>
      <c r="AL194" s="942">
        <f t="shared" si="52"/>
        <v>456</v>
      </c>
      <c r="AM194" s="942">
        <f t="shared" si="52"/>
        <v>10</v>
      </c>
    </row>
    <row r="195" spans="1:39" ht="16.5" customHeight="1">
      <c r="A195" s="1231"/>
      <c r="J195" s="1231" t="s">
        <v>1208</v>
      </c>
      <c r="K195" s="867" t="s">
        <v>483</v>
      </c>
      <c r="L195" s="867"/>
      <c r="M195" s="1232">
        <f t="shared" si="42"/>
        <v>2155</v>
      </c>
      <c r="N195" s="1232">
        <v>142</v>
      </c>
      <c r="O195" s="1232">
        <v>17</v>
      </c>
      <c r="P195" s="1232">
        <f t="shared" si="43"/>
        <v>1996</v>
      </c>
      <c r="Q195" s="1232">
        <v>187</v>
      </c>
      <c r="R195" s="1232">
        <f t="shared" si="44"/>
        <v>1809</v>
      </c>
      <c r="S195" s="1232">
        <f t="shared" si="45"/>
        <v>1794</v>
      </c>
      <c r="T195" s="1232">
        <v>1447</v>
      </c>
      <c r="U195" s="1232">
        <v>347</v>
      </c>
      <c r="V195" s="1232">
        <v>15</v>
      </c>
      <c r="W195" s="1232"/>
      <c r="X195" s="1232" t="s">
        <v>9438</v>
      </c>
      <c r="Y195" s="1232" t="s">
        <v>5421</v>
      </c>
      <c r="Z195" s="1232" t="s">
        <v>9267</v>
      </c>
      <c r="AA195" s="1236" t="s">
        <v>1208</v>
      </c>
      <c r="AB195" s="867" t="s">
        <v>483</v>
      </c>
      <c r="AC195" s="1237"/>
      <c r="AD195" s="942">
        <f t="shared" si="46"/>
        <v>2155</v>
      </c>
      <c r="AE195" s="942">
        <f t="shared" si="47"/>
        <v>142</v>
      </c>
      <c r="AF195" s="942">
        <f t="shared" si="47"/>
        <v>17</v>
      </c>
      <c r="AG195" s="942">
        <f t="shared" si="48"/>
        <v>1996</v>
      </c>
      <c r="AH195" s="942">
        <f t="shared" si="49"/>
        <v>187</v>
      </c>
      <c r="AI195" s="942">
        <f t="shared" si="50"/>
        <v>1809</v>
      </c>
      <c r="AJ195" s="942">
        <f t="shared" si="51"/>
        <v>1794</v>
      </c>
      <c r="AK195" s="942">
        <f t="shared" si="52"/>
        <v>1447</v>
      </c>
      <c r="AL195" s="942">
        <f t="shared" si="52"/>
        <v>347</v>
      </c>
      <c r="AM195" s="942">
        <f t="shared" si="52"/>
        <v>15</v>
      </c>
    </row>
    <row r="196" spans="1:39" ht="16.5" customHeight="1">
      <c r="A196" s="1231"/>
      <c r="J196" s="1231" t="s">
        <v>1210</v>
      </c>
      <c r="K196" s="867" t="s">
        <v>484</v>
      </c>
      <c r="L196" s="867"/>
      <c r="M196" s="1232">
        <f t="shared" si="42"/>
        <v>2844</v>
      </c>
      <c r="N196" s="1232">
        <v>114</v>
      </c>
      <c r="O196" s="1232">
        <v>20</v>
      </c>
      <c r="P196" s="1232">
        <f t="shared" si="43"/>
        <v>2710</v>
      </c>
      <c r="Q196" s="1232">
        <v>244</v>
      </c>
      <c r="R196" s="1232">
        <f t="shared" si="44"/>
        <v>2466</v>
      </c>
      <c r="S196" s="1232">
        <f t="shared" si="45"/>
        <v>2436</v>
      </c>
      <c r="T196" s="1232">
        <v>1965</v>
      </c>
      <c r="U196" s="1232">
        <v>471</v>
      </c>
      <c r="V196" s="1232">
        <v>30</v>
      </c>
      <c r="W196" s="1232"/>
      <c r="X196" s="1232" t="s">
        <v>9438</v>
      </c>
      <c r="Y196" s="1232" t="s">
        <v>5421</v>
      </c>
      <c r="Z196" s="1232" t="s">
        <v>9267</v>
      </c>
      <c r="AA196" s="1236" t="s">
        <v>1210</v>
      </c>
      <c r="AB196" s="867" t="s">
        <v>484</v>
      </c>
      <c r="AC196" s="1237"/>
      <c r="AD196" s="942">
        <f t="shared" si="46"/>
        <v>2844</v>
      </c>
      <c r="AE196" s="942">
        <f t="shared" si="47"/>
        <v>114</v>
      </c>
      <c r="AF196" s="942">
        <f t="shared" si="47"/>
        <v>20</v>
      </c>
      <c r="AG196" s="942">
        <f t="shared" si="48"/>
        <v>2710</v>
      </c>
      <c r="AH196" s="942">
        <f t="shared" si="49"/>
        <v>244</v>
      </c>
      <c r="AI196" s="942">
        <f t="shared" si="50"/>
        <v>2466</v>
      </c>
      <c r="AJ196" s="942">
        <f t="shared" si="51"/>
        <v>2436</v>
      </c>
      <c r="AK196" s="942">
        <f t="shared" si="52"/>
        <v>1965</v>
      </c>
      <c r="AL196" s="942">
        <f t="shared" si="52"/>
        <v>471</v>
      </c>
      <c r="AM196" s="942">
        <f t="shared" si="52"/>
        <v>30</v>
      </c>
    </row>
    <row r="197" spans="1:39" ht="16.5" customHeight="1">
      <c r="A197" s="1231"/>
      <c r="J197" s="1231" t="s">
        <v>1212</v>
      </c>
      <c r="K197" s="867" t="s">
        <v>485</v>
      </c>
      <c r="L197" s="867"/>
      <c r="M197" s="1232">
        <f t="shared" si="42"/>
        <v>2191</v>
      </c>
      <c r="N197" s="1232">
        <v>77</v>
      </c>
      <c r="O197" s="1232">
        <v>9</v>
      </c>
      <c r="P197" s="1232">
        <f t="shared" si="43"/>
        <v>2105</v>
      </c>
      <c r="Q197" s="1232">
        <v>134</v>
      </c>
      <c r="R197" s="1232">
        <f t="shared" si="44"/>
        <v>1971</v>
      </c>
      <c r="S197" s="1232">
        <f t="shared" si="45"/>
        <v>1962</v>
      </c>
      <c r="T197" s="1232">
        <v>1583</v>
      </c>
      <c r="U197" s="1232">
        <v>379</v>
      </c>
      <c r="V197" s="1232">
        <v>9</v>
      </c>
      <c r="W197" s="1232"/>
      <c r="X197" s="1232" t="s">
        <v>9438</v>
      </c>
      <c r="Y197" s="1232" t="s">
        <v>5421</v>
      </c>
      <c r="Z197" s="1232" t="s">
        <v>9267</v>
      </c>
      <c r="AA197" s="1236" t="s">
        <v>1212</v>
      </c>
      <c r="AB197" s="867" t="s">
        <v>485</v>
      </c>
      <c r="AC197" s="1237"/>
      <c r="AD197" s="942">
        <f t="shared" si="46"/>
        <v>2191</v>
      </c>
      <c r="AE197" s="942">
        <f t="shared" si="47"/>
        <v>77</v>
      </c>
      <c r="AF197" s="942">
        <f t="shared" si="47"/>
        <v>9</v>
      </c>
      <c r="AG197" s="942">
        <f t="shared" si="48"/>
        <v>2105</v>
      </c>
      <c r="AH197" s="942">
        <f t="shared" si="49"/>
        <v>134</v>
      </c>
      <c r="AI197" s="942">
        <f t="shared" si="50"/>
        <v>1971</v>
      </c>
      <c r="AJ197" s="942">
        <f t="shared" si="51"/>
        <v>1962</v>
      </c>
      <c r="AK197" s="942">
        <f t="shared" si="52"/>
        <v>1583</v>
      </c>
      <c r="AL197" s="942">
        <f t="shared" si="52"/>
        <v>379</v>
      </c>
      <c r="AM197" s="942">
        <f t="shared" si="52"/>
        <v>9</v>
      </c>
    </row>
    <row r="198" spans="1:39" ht="16.5" customHeight="1">
      <c r="A198" s="1231"/>
      <c r="J198" s="1231" t="s">
        <v>1214</v>
      </c>
      <c r="K198" s="867" t="s">
        <v>487</v>
      </c>
      <c r="L198" s="867"/>
      <c r="M198" s="1232">
        <f t="shared" si="42"/>
        <v>966</v>
      </c>
      <c r="N198" s="1232">
        <v>4</v>
      </c>
      <c r="O198" s="1232">
        <v>1</v>
      </c>
      <c r="P198" s="1232">
        <f t="shared" si="43"/>
        <v>961</v>
      </c>
      <c r="Q198" s="1232">
        <v>39</v>
      </c>
      <c r="R198" s="1232">
        <f t="shared" si="44"/>
        <v>922</v>
      </c>
      <c r="S198" s="1232">
        <f t="shared" si="45"/>
        <v>918</v>
      </c>
      <c r="T198" s="1232">
        <v>747</v>
      </c>
      <c r="U198" s="1232">
        <v>171</v>
      </c>
      <c r="V198" s="1232">
        <v>4</v>
      </c>
      <c r="W198" s="1232"/>
      <c r="X198" s="1232" t="s">
        <v>9439</v>
      </c>
      <c r="Y198" s="1232" t="s">
        <v>5421</v>
      </c>
      <c r="Z198" s="1232" t="s">
        <v>9267</v>
      </c>
      <c r="AA198" s="1236" t="s">
        <v>1214</v>
      </c>
      <c r="AB198" s="867" t="s">
        <v>487</v>
      </c>
      <c r="AC198" s="1237"/>
      <c r="AD198" s="942">
        <f t="shared" si="46"/>
        <v>966</v>
      </c>
      <c r="AE198" s="942">
        <f t="shared" si="47"/>
        <v>4</v>
      </c>
      <c r="AF198" s="942">
        <f t="shared" si="47"/>
        <v>1</v>
      </c>
      <c r="AG198" s="942">
        <f t="shared" si="48"/>
        <v>961</v>
      </c>
      <c r="AH198" s="942">
        <f t="shared" si="49"/>
        <v>39</v>
      </c>
      <c r="AI198" s="942">
        <f t="shared" si="50"/>
        <v>922</v>
      </c>
      <c r="AJ198" s="942">
        <f t="shared" si="51"/>
        <v>918</v>
      </c>
      <c r="AK198" s="942">
        <f t="shared" si="52"/>
        <v>747</v>
      </c>
      <c r="AL198" s="942">
        <f t="shared" si="52"/>
        <v>171</v>
      </c>
      <c r="AM198" s="942">
        <f t="shared" si="52"/>
        <v>4</v>
      </c>
    </row>
    <row r="199" spans="1:39" ht="16.5" customHeight="1">
      <c r="A199" s="1231"/>
      <c r="J199" s="1231" t="s">
        <v>1216</v>
      </c>
      <c r="K199" s="867" t="s">
        <v>489</v>
      </c>
      <c r="L199" s="867"/>
      <c r="M199" s="1232">
        <f t="shared" si="42"/>
        <v>2247</v>
      </c>
      <c r="N199" s="1232">
        <v>107</v>
      </c>
      <c r="O199" s="1232">
        <v>13</v>
      </c>
      <c r="P199" s="1232">
        <f t="shared" si="43"/>
        <v>2127</v>
      </c>
      <c r="Q199" s="1232">
        <v>209</v>
      </c>
      <c r="R199" s="1232">
        <f t="shared" si="44"/>
        <v>1918</v>
      </c>
      <c r="S199" s="1232">
        <f t="shared" si="45"/>
        <v>1902</v>
      </c>
      <c r="T199" s="1232">
        <v>1531</v>
      </c>
      <c r="U199" s="1232">
        <v>371</v>
      </c>
      <c r="V199" s="1232">
        <v>16</v>
      </c>
      <c r="W199" s="1232"/>
      <c r="X199" s="1232" t="s">
        <v>9440</v>
      </c>
      <c r="Y199" s="1232" t="s">
        <v>5421</v>
      </c>
      <c r="Z199" s="1232" t="s">
        <v>9267</v>
      </c>
      <c r="AA199" s="1236" t="s">
        <v>1216</v>
      </c>
      <c r="AB199" s="867" t="s">
        <v>489</v>
      </c>
      <c r="AC199" s="1237"/>
      <c r="AD199" s="942">
        <f t="shared" si="46"/>
        <v>2247</v>
      </c>
      <c r="AE199" s="942">
        <f t="shared" si="47"/>
        <v>107</v>
      </c>
      <c r="AF199" s="942">
        <f t="shared" si="47"/>
        <v>13</v>
      </c>
      <c r="AG199" s="942">
        <f t="shared" si="48"/>
        <v>2127</v>
      </c>
      <c r="AH199" s="942">
        <f t="shared" si="49"/>
        <v>209</v>
      </c>
      <c r="AI199" s="942">
        <f t="shared" si="50"/>
        <v>1918</v>
      </c>
      <c r="AJ199" s="942">
        <f t="shared" si="51"/>
        <v>1902</v>
      </c>
      <c r="AK199" s="942">
        <f t="shared" si="52"/>
        <v>1531</v>
      </c>
      <c r="AL199" s="942">
        <f t="shared" si="52"/>
        <v>371</v>
      </c>
      <c r="AM199" s="942">
        <f t="shared" si="52"/>
        <v>16</v>
      </c>
    </row>
    <row r="200" spans="1:39" ht="16.5" customHeight="1">
      <c r="A200" s="1231"/>
      <c r="J200" s="1231" t="s">
        <v>1218</v>
      </c>
      <c r="K200" s="867" t="s">
        <v>11651</v>
      </c>
      <c r="L200" s="867"/>
      <c r="M200" s="1232">
        <f t="shared" si="42"/>
        <v>96</v>
      </c>
      <c r="N200" s="1232">
        <v>3</v>
      </c>
      <c r="O200" s="1232">
        <v>0</v>
      </c>
      <c r="P200" s="1232">
        <f t="shared" si="43"/>
        <v>93</v>
      </c>
      <c r="Q200" s="1232">
        <v>6</v>
      </c>
      <c r="R200" s="1232">
        <f t="shared" si="44"/>
        <v>87</v>
      </c>
      <c r="S200" s="1232">
        <f t="shared" si="45"/>
        <v>87</v>
      </c>
      <c r="T200" s="1232">
        <v>70</v>
      </c>
      <c r="U200" s="1232">
        <v>17</v>
      </c>
      <c r="V200" s="1232">
        <v>0</v>
      </c>
      <c r="W200" s="1232"/>
      <c r="X200" s="1232" t="s">
        <v>9440</v>
      </c>
      <c r="Y200" s="1232" t="s">
        <v>5421</v>
      </c>
      <c r="Z200" s="1232" t="s">
        <v>9267</v>
      </c>
      <c r="AA200" s="1236" t="s">
        <v>1218</v>
      </c>
      <c r="AB200" s="867" t="s">
        <v>11651</v>
      </c>
      <c r="AC200" s="1237"/>
      <c r="AD200" s="942">
        <f t="shared" si="46"/>
        <v>96</v>
      </c>
      <c r="AE200" s="942">
        <f t="shared" si="47"/>
        <v>3</v>
      </c>
      <c r="AF200" s="942">
        <f t="shared" si="47"/>
        <v>0</v>
      </c>
      <c r="AG200" s="942">
        <f t="shared" si="48"/>
        <v>93</v>
      </c>
      <c r="AH200" s="942">
        <f t="shared" si="49"/>
        <v>6</v>
      </c>
      <c r="AI200" s="942">
        <f t="shared" si="50"/>
        <v>87</v>
      </c>
      <c r="AJ200" s="942">
        <f t="shared" si="51"/>
        <v>87</v>
      </c>
      <c r="AK200" s="942">
        <f t="shared" si="52"/>
        <v>70</v>
      </c>
      <c r="AL200" s="942">
        <f t="shared" si="52"/>
        <v>17</v>
      </c>
      <c r="AM200" s="942">
        <f t="shared" si="52"/>
        <v>0</v>
      </c>
    </row>
    <row r="201" spans="1:39" ht="16.5" customHeight="1">
      <c r="A201" s="1231"/>
      <c r="J201" s="1231" t="s">
        <v>1220</v>
      </c>
      <c r="K201" s="867" t="s">
        <v>11652</v>
      </c>
      <c r="L201" s="867"/>
      <c r="M201" s="1232">
        <f t="shared" ref="M201:M264" si="59">N201+O201+P201</f>
        <v>1933</v>
      </c>
      <c r="N201" s="1232">
        <v>40</v>
      </c>
      <c r="O201" s="1232">
        <v>6</v>
      </c>
      <c r="P201" s="1232">
        <f t="shared" ref="P201:P264" si="60">Q201+R201</f>
        <v>1887</v>
      </c>
      <c r="Q201" s="1232">
        <v>83</v>
      </c>
      <c r="R201" s="1232">
        <f t="shared" ref="R201:R264" si="61">S201+V201</f>
        <v>1804</v>
      </c>
      <c r="S201" s="1232">
        <f t="shared" ref="S201:S264" si="62">T201+U201</f>
        <v>1797</v>
      </c>
      <c r="T201" s="1232">
        <v>1447</v>
      </c>
      <c r="U201" s="1232">
        <v>350</v>
      </c>
      <c r="V201" s="1232">
        <v>7</v>
      </c>
      <c r="W201" s="1232"/>
      <c r="X201" s="1232" t="s">
        <v>9440</v>
      </c>
      <c r="Y201" s="1232" t="s">
        <v>5421</v>
      </c>
      <c r="Z201" s="1232" t="s">
        <v>9267</v>
      </c>
      <c r="AA201" s="1236" t="s">
        <v>1220</v>
      </c>
      <c r="AB201" s="867" t="s">
        <v>11652</v>
      </c>
      <c r="AC201" s="1237"/>
      <c r="AD201" s="942">
        <f t="shared" ref="AD201:AD264" si="63">AE201+AF201+AG201</f>
        <v>1933</v>
      </c>
      <c r="AE201" s="942">
        <f t="shared" ref="AE201:AF264" si="64">N201</f>
        <v>40</v>
      </c>
      <c r="AF201" s="942">
        <f t="shared" si="64"/>
        <v>6</v>
      </c>
      <c r="AG201" s="942">
        <f t="shared" ref="AG201:AG264" si="65">AH201+AI201</f>
        <v>1887</v>
      </c>
      <c r="AH201" s="942">
        <f t="shared" ref="AH201:AH264" si="66">Q201</f>
        <v>83</v>
      </c>
      <c r="AI201" s="942">
        <f t="shared" ref="AI201:AI264" si="67">AJ201+AM201</f>
        <v>1804</v>
      </c>
      <c r="AJ201" s="942">
        <f t="shared" ref="AJ201:AJ264" si="68">AK201+AL201</f>
        <v>1797</v>
      </c>
      <c r="AK201" s="942">
        <f t="shared" ref="AK201:AM264" si="69">T201</f>
        <v>1447</v>
      </c>
      <c r="AL201" s="942">
        <f t="shared" si="69"/>
        <v>350</v>
      </c>
      <c r="AM201" s="942">
        <f t="shared" si="69"/>
        <v>7</v>
      </c>
    </row>
    <row r="202" spans="1:39" ht="16.5" customHeight="1">
      <c r="A202" s="1231"/>
      <c r="J202" s="1231" t="s">
        <v>1222</v>
      </c>
      <c r="K202" s="940" t="s">
        <v>9532</v>
      </c>
      <c r="L202" s="940"/>
      <c r="M202" s="1241">
        <f t="shared" si="59"/>
        <v>4677</v>
      </c>
      <c r="N202" s="1241">
        <f>C189-SUM(N189:N201)</f>
        <v>234</v>
      </c>
      <c r="O202" s="1241">
        <f>D189-SUM(O189:O201)</f>
        <v>31</v>
      </c>
      <c r="P202" s="1241">
        <f t="shared" si="60"/>
        <v>4412</v>
      </c>
      <c r="Q202" s="1241">
        <f>E189-SUM(Q189:Q201)</f>
        <v>360</v>
      </c>
      <c r="R202" s="1241">
        <f t="shared" si="61"/>
        <v>4052</v>
      </c>
      <c r="S202" s="1241">
        <f t="shared" si="62"/>
        <v>4015</v>
      </c>
      <c r="T202" s="1241">
        <f>F189-SUM(T189:T201)</f>
        <v>3232</v>
      </c>
      <c r="U202" s="1241">
        <f>G189-SUM(U189:U201)</f>
        <v>783</v>
      </c>
      <c r="V202" s="1241">
        <f>H189-SUM(V189:V201)</f>
        <v>37</v>
      </c>
      <c r="W202" s="1232"/>
      <c r="X202" s="1232" t="s">
        <v>9440</v>
      </c>
      <c r="Y202" s="1232" t="s">
        <v>5421</v>
      </c>
      <c r="Z202" s="1232" t="s">
        <v>9267</v>
      </c>
      <c r="AA202" s="1236" t="s">
        <v>1222</v>
      </c>
      <c r="AB202" s="940" t="s">
        <v>9532</v>
      </c>
      <c r="AC202" s="1243"/>
      <c r="AD202" s="943">
        <f t="shared" si="63"/>
        <v>4677</v>
      </c>
      <c r="AE202" s="943">
        <f t="shared" si="64"/>
        <v>234</v>
      </c>
      <c r="AF202" s="943">
        <f t="shared" si="64"/>
        <v>31</v>
      </c>
      <c r="AG202" s="943">
        <f t="shared" si="65"/>
        <v>4412</v>
      </c>
      <c r="AH202" s="943">
        <f t="shared" si="66"/>
        <v>360</v>
      </c>
      <c r="AI202" s="943">
        <f t="shared" si="67"/>
        <v>4052</v>
      </c>
      <c r="AJ202" s="943">
        <f t="shared" si="68"/>
        <v>4015</v>
      </c>
      <c r="AK202" s="943">
        <f t="shared" si="69"/>
        <v>3232</v>
      </c>
      <c r="AL202" s="943">
        <f t="shared" si="69"/>
        <v>783</v>
      </c>
      <c r="AM202" s="943">
        <f t="shared" si="69"/>
        <v>37</v>
      </c>
    </row>
    <row r="203" spans="1:39" ht="16.5" customHeight="1">
      <c r="A203" s="1239" t="s">
        <v>9154</v>
      </c>
      <c r="B203" s="1234" t="s">
        <v>11653</v>
      </c>
      <c r="C203" s="1240">
        <v>132</v>
      </c>
      <c r="D203" s="1240">
        <v>36</v>
      </c>
      <c r="E203" s="1240">
        <v>347</v>
      </c>
      <c r="F203" s="1240">
        <v>6465</v>
      </c>
      <c r="G203" s="1240">
        <v>1706</v>
      </c>
      <c r="H203" s="1240">
        <v>17</v>
      </c>
      <c r="J203" s="1239" t="s">
        <v>1224</v>
      </c>
      <c r="K203" s="867" t="s">
        <v>494</v>
      </c>
      <c r="L203" s="867"/>
      <c r="M203" s="1232">
        <f t="shared" si="59"/>
        <v>1</v>
      </c>
      <c r="N203" s="1232">
        <v>0</v>
      </c>
      <c r="O203" s="1232">
        <v>0</v>
      </c>
      <c r="P203" s="1232">
        <f t="shared" si="60"/>
        <v>1</v>
      </c>
      <c r="Q203" s="1232">
        <v>0</v>
      </c>
      <c r="R203" s="1232">
        <f t="shared" si="61"/>
        <v>1</v>
      </c>
      <c r="S203" s="1232">
        <f t="shared" si="62"/>
        <v>1</v>
      </c>
      <c r="T203" s="1232">
        <v>1</v>
      </c>
      <c r="U203" s="1232">
        <v>0</v>
      </c>
      <c r="V203" s="1232">
        <v>0</v>
      </c>
      <c r="W203" s="1232"/>
      <c r="X203" s="1232" t="s">
        <v>493</v>
      </c>
      <c r="Y203" s="1232" t="s">
        <v>9154</v>
      </c>
      <c r="Z203" s="1232" t="s">
        <v>9268</v>
      </c>
      <c r="AA203" s="1233" t="s">
        <v>1224</v>
      </c>
      <c r="AB203" s="867" t="s">
        <v>494</v>
      </c>
      <c r="AC203" s="1237"/>
      <c r="AD203" s="942">
        <f t="shared" si="63"/>
        <v>1</v>
      </c>
      <c r="AE203" s="942">
        <f t="shared" si="64"/>
        <v>0</v>
      </c>
      <c r="AF203" s="942">
        <f t="shared" si="64"/>
        <v>0</v>
      </c>
      <c r="AG203" s="942">
        <f t="shared" si="65"/>
        <v>1</v>
      </c>
      <c r="AH203" s="942">
        <f t="shared" si="66"/>
        <v>0</v>
      </c>
      <c r="AI203" s="942">
        <f t="shared" si="67"/>
        <v>1</v>
      </c>
      <c r="AJ203" s="942">
        <f t="shared" si="68"/>
        <v>1</v>
      </c>
      <c r="AK203" s="942">
        <f t="shared" si="69"/>
        <v>1</v>
      </c>
      <c r="AL203" s="942">
        <f t="shared" si="69"/>
        <v>0</v>
      </c>
      <c r="AM203" s="942">
        <f t="shared" si="69"/>
        <v>0</v>
      </c>
    </row>
    <row r="204" spans="1:39" ht="16.5" customHeight="1">
      <c r="A204" s="1231"/>
      <c r="J204" s="1231" t="s">
        <v>1226</v>
      </c>
      <c r="K204" s="867" t="s">
        <v>497</v>
      </c>
      <c r="L204" s="867"/>
      <c r="M204" s="1232">
        <f t="shared" si="59"/>
        <v>4007</v>
      </c>
      <c r="N204" s="1232">
        <v>42</v>
      </c>
      <c r="O204" s="1232">
        <v>7</v>
      </c>
      <c r="P204" s="1232">
        <f t="shared" si="60"/>
        <v>3958</v>
      </c>
      <c r="Q204" s="1232">
        <v>81</v>
      </c>
      <c r="R204" s="1232">
        <f t="shared" si="61"/>
        <v>3877</v>
      </c>
      <c r="S204" s="1232">
        <f t="shared" si="62"/>
        <v>3873</v>
      </c>
      <c r="T204" s="1232">
        <v>3013</v>
      </c>
      <c r="U204" s="1232">
        <v>860</v>
      </c>
      <c r="V204" s="1232">
        <v>4</v>
      </c>
      <c r="W204" s="1232"/>
      <c r="X204" s="1232" t="s">
        <v>493</v>
      </c>
      <c r="Y204" s="1232" t="s">
        <v>9154</v>
      </c>
      <c r="Z204" s="1232" t="s">
        <v>9268</v>
      </c>
      <c r="AA204" s="1236" t="s">
        <v>1226</v>
      </c>
      <c r="AB204" s="867" t="s">
        <v>497</v>
      </c>
      <c r="AC204" s="1237"/>
      <c r="AD204" s="942">
        <f t="shared" si="63"/>
        <v>4007</v>
      </c>
      <c r="AE204" s="942">
        <f t="shared" si="64"/>
        <v>42</v>
      </c>
      <c r="AF204" s="942">
        <f t="shared" si="64"/>
        <v>7</v>
      </c>
      <c r="AG204" s="942">
        <f t="shared" si="65"/>
        <v>3958</v>
      </c>
      <c r="AH204" s="942">
        <f t="shared" si="66"/>
        <v>81</v>
      </c>
      <c r="AI204" s="942">
        <f t="shared" si="67"/>
        <v>3877</v>
      </c>
      <c r="AJ204" s="942">
        <f t="shared" si="68"/>
        <v>3873</v>
      </c>
      <c r="AK204" s="942">
        <f t="shared" si="69"/>
        <v>3013</v>
      </c>
      <c r="AL204" s="942">
        <f t="shared" si="69"/>
        <v>860</v>
      </c>
      <c r="AM204" s="942">
        <f t="shared" si="69"/>
        <v>4</v>
      </c>
    </row>
    <row r="205" spans="1:39" ht="16.5" customHeight="1">
      <c r="A205" s="1231"/>
      <c r="J205" s="1231" t="s">
        <v>1228</v>
      </c>
      <c r="K205" s="867" t="s">
        <v>11654</v>
      </c>
      <c r="L205" s="867"/>
      <c r="M205" s="1232">
        <f t="shared" si="59"/>
        <v>1732</v>
      </c>
      <c r="N205" s="1232">
        <v>27</v>
      </c>
      <c r="O205" s="1232">
        <v>6</v>
      </c>
      <c r="P205" s="1232">
        <f t="shared" si="60"/>
        <v>1699</v>
      </c>
      <c r="Q205" s="1232">
        <v>90</v>
      </c>
      <c r="R205" s="1232">
        <f t="shared" si="61"/>
        <v>1609</v>
      </c>
      <c r="S205" s="1232">
        <f t="shared" si="62"/>
        <v>1601</v>
      </c>
      <c r="T205" s="1232">
        <v>1289</v>
      </c>
      <c r="U205" s="1232">
        <v>312</v>
      </c>
      <c r="V205" s="1232">
        <v>8</v>
      </c>
      <c r="W205" s="1232"/>
      <c r="X205" s="1232" t="s">
        <v>498</v>
      </c>
      <c r="Y205" s="1232" t="s">
        <v>9154</v>
      </c>
      <c r="Z205" s="1232" t="s">
        <v>9268</v>
      </c>
      <c r="AA205" s="1236" t="s">
        <v>1228</v>
      </c>
      <c r="AB205" s="867" t="s">
        <v>11654</v>
      </c>
      <c r="AC205" s="1237"/>
      <c r="AD205" s="942">
        <f t="shared" si="63"/>
        <v>1732</v>
      </c>
      <c r="AE205" s="942">
        <f t="shared" si="64"/>
        <v>27</v>
      </c>
      <c r="AF205" s="942">
        <f t="shared" si="64"/>
        <v>6</v>
      </c>
      <c r="AG205" s="942">
        <f t="shared" si="65"/>
        <v>1699</v>
      </c>
      <c r="AH205" s="942">
        <f t="shared" si="66"/>
        <v>90</v>
      </c>
      <c r="AI205" s="942">
        <f t="shared" si="67"/>
        <v>1609</v>
      </c>
      <c r="AJ205" s="942">
        <f t="shared" si="68"/>
        <v>1601</v>
      </c>
      <c r="AK205" s="942">
        <f t="shared" si="69"/>
        <v>1289</v>
      </c>
      <c r="AL205" s="942">
        <f t="shared" si="69"/>
        <v>312</v>
      </c>
      <c r="AM205" s="942">
        <f t="shared" si="69"/>
        <v>8</v>
      </c>
    </row>
    <row r="206" spans="1:39" ht="16.5" customHeight="1">
      <c r="A206" s="1231"/>
      <c r="J206" s="1231" t="s">
        <v>1230</v>
      </c>
      <c r="K206" s="867" t="s">
        <v>9535</v>
      </c>
      <c r="L206" s="867"/>
      <c r="M206" s="1232">
        <f t="shared" si="59"/>
        <v>1947</v>
      </c>
      <c r="N206" s="1232">
        <v>49</v>
      </c>
      <c r="O206" s="1232">
        <v>16</v>
      </c>
      <c r="P206" s="1232">
        <f t="shared" si="60"/>
        <v>1882</v>
      </c>
      <c r="Q206" s="1232">
        <v>134</v>
      </c>
      <c r="R206" s="1232">
        <f t="shared" si="61"/>
        <v>1748</v>
      </c>
      <c r="S206" s="1232">
        <f t="shared" si="62"/>
        <v>1744</v>
      </c>
      <c r="T206" s="1232">
        <v>1372</v>
      </c>
      <c r="U206" s="1232">
        <v>372</v>
      </c>
      <c r="V206" s="1232">
        <v>4</v>
      </c>
      <c r="W206" s="1232"/>
      <c r="X206" s="1232" t="s">
        <v>9441</v>
      </c>
      <c r="Y206" s="1232" t="s">
        <v>9154</v>
      </c>
      <c r="Z206" s="1232" t="s">
        <v>9268</v>
      </c>
      <c r="AA206" s="1236" t="s">
        <v>1230</v>
      </c>
      <c r="AB206" s="867" t="s">
        <v>9535</v>
      </c>
      <c r="AC206" s="1237"/>
      <c r="AD206" s="942">
        <f t="shared" si="63"/>
        <v>1946</v>
      </c>
      <c r="AE206" s="942">
        <f t="shared" si="64"/>
        <v>49</v>
      </c>
      <c r="AF206" s="942">
        <f t="shared" si="64"/>
        <v>16</v>
      </c>
      <c r="AG206" s="942">
        <f t="shared" si="65"/>
        <v>1881</v>
      </c>
      <c r="AH206" s="1214">
        <f>Q206-1</f>
        <v>133</v>
      </c>
      <c r="AI206" s="942">
        <f t="shared" si="67"/>
        <v>1748</v>
      </c>
      <c r="AJ206" s="942">
        <f t="shared" si="68"/>
        <v>1744</v>
      </c>
      <c r="AK206" s="942">
        <f t="shared" si="69"/>
        <v>1372</v>
      </c>
      <c r="AL206" s="942">
        <f t="shared" si="69"/>
        <v>372</v>
      </c>
      <c r="AM206" s="942">
        <f t="shared" si="69"/>
        <v>4</v>
      </c>
    </row>
    <row r="207" spans="1:39" ht="16.5" customHeight="1">
      <c r="A207" s="1231"/>
      <c r="J207" s="1231" t="s">
        <v>1232</v>
      </c>
      <c r="K207" s="867" t="s">
        <v>505</v>
      </c>
      <c r="L207" s="867"/>
      <c r="M207" s="1232">
        <f t="shared" si="59"/>
        <v>897</v>
      </c>
      <c r="N207" s="1232">
        <v>12</v>
      </c>
      <c r="O207" s="1232">
        <v>5</v>
      </c>
      <c r="P207" s="1232">
        <f t="shared" si="60"/>
        <v>880</v>
      </c>
      <c r="Q207" s="1232">
        <v>39</v>
      </c>
      <c r="R207" s="1232">
        <f t="shared" si="61"/>
        <v>841</v>
      </c>
      <c r="S207" s="1232">
        <f t="shared" si="62"/>
        <v>840</v>
      </c>
      <c r="T207" s="1232">
        <v>699</v>
      </c>
      <c r="U207" s="1232">
        <v>141</v>
      </c>
      <c r="V207" s="1232">
        <v>1</v>
      </c>
      <c r="W207" s="1232"/>
      <c r="X207" s="1232" t="s">
        <v>9442</v>
      </c>
      <c r="Y207" s="1232" t="s">
        <v>9154</v>
      </c>
      <c r="Z207" s="1232" t="s">
        <v>9268</v>
      </c>
      <c r="AA207" s="1236" t="s">
        <v>1232</v>
      </c>
      <c r="AB207" s="867" t="s">
        <v>505</v>
      </c>
      <c r="AC207" s="1237"/>
      <c r="AD207" s="942">
        <f t="shared" si="63"/>
        <v>897</v>
      </c>
      <c r="AE207" s="942">
        <f t="shared" si="64"/>
        <v>12</v>
      </c>
      <c r="AF207" s="942">
        <f t="shared" si="64"/>
        <v>5</v>
      </c>
      <c r="AG207" s="942">
        <f t="shared" si="65"/>
        <v>880</v>
      </c>
      <c r="AH207" s="942">
        <f t="shared" si="66"/>
        <v>39</v>
      </c>
      <c r="AI207" s="942">
        <f t="shared" si="67"/>
        <v>841</v>
      </c>
      <c r="AJ207" s="942">
        <f t="shared" si="68"/>
        <v>840</v>
      </c>
      <c r="AK207" s="942">
        <f t="shared" si="69"/>
        <v>699</v>
      </c>
      <c r="AL207" s="942">
        <f t="shared" si="69"/>
        <v>141</v>
      </c>
      <c r="AM207" s="942">
        <f t="shared" si="69"/>
        <v>1</v>
      </c>
    </row>
    <row r="208" spans="1:39" ht="16.5" customHeight="1">
      <c r="A208" s="1231"/>
      <c r="J208" s="1231" t="s">
        <v>1234</v>
      </c>
      <c r="K208" s="867" t="s">
        <v>9536</v>
      </c>
      <c r="L208" s="867"/>
      <c r="M208" s="1232">
        <f t="shared" si="59"/>
        <v>92</v>
      </c>
      <c r="N208" s="1232">
        <v>2</v>
      </c>
      <c r="O208" s="1232">
        <v>1</v>
      </c>
      <c r="P208" s="1232">
        <f t="shared" si="60"/>
        <v>89</v>
      </c>
      <c r="Q208" s="1232">
        <v>4</v>
      </c>
      <c r="R208" s="1232">
        <f t="shared" si="61"/>
        <v>85</v>
      </c>
      <c r="S208" s="1232">
        <f t="shared" si="62"/>
        <v>85</v>
      </c>
      <c r="T208" s="1232">
        <v>71</v>
      </c>
      <c r="U208" s="1232">
        <v>14</v>
      </c>
      <c r="V208" s="1232">
        <v>0</v>
      </c>
      <c r="W208" s="1232"/>
      <c r="X208" s="1232" t="s">
        <v>9443</v>
      </c>
      <c r="Y208" s="1232" t="s">
        <v>9154</v>
      </c>
      <c r="Z208" s="1232" t="s">
        <v>9268</v>
      </c>
      <c r="AA208" s="1236" t="s">
        <v>1234</v>
      </c>
      <c r="AB208" s="867" t="s">
        <v>9536</v>
      </c>
      <c r="AC208" s="1237"/>
      <c r="AD208" s="942">
        <f t="shared" si="63"/>
        <v>92</v>
      </c>
      <c r="AE208" s="942">
        <f t="shared" si="64"/>
        <v>2</v>
      </c>
      <c r="AF208" s="942">
        <f t="shared" si="64"/>
        <v>1</v>
      </c>
      <c r="AG208" s="942">
        <f t="shared" si="65"/>
        <v>89</v>
      </c>
      <c r="AH208" s="942">
        <f t="shared" si="66"/>
        <v>4</v>
      </c>
      <c r="AI208" s="942">
        <f t="shared" si="67"/>
        <v>85</v>
      </c>
      <c r="AJ208" s="942">
        <f t="shared" si="68"/>
        <v>85</v>
      </c>
      <c r="AK208" s="942">
        <f t="shared" si="69"/>
        <v>71</v>
      </c>
      <c r="AL208" s="942">
        <f t="shared" si="69"/>
        <v>14</v>
      </c>
      <c r="AM208" s="942">
        <f t="shared" si="69"/>
        <v>0</v>
      </c>
    </row>
    <row r="209" spans="1:39" ht="16.5" customHeight="1">
      <c r="A209" s="1231"/>
      <c r="J209" s="1231" t="s">
        <v>1236</v>
      </c>
      <c r="K209" s="940" t="s">
        <v>509</v>
      </c>
      <c r="L209" s="940"/>
      <c r="M209" s="1241">
        <f t="shared" si="59"/>
        <v>27</v>
      </c>
      <c r="N209" s="1241">
        <f>C203-SUM(N203:N208)</f>
        <v>0</v>
      </c>
      <c r="O209" s="1241">
        <f>D203-SUM(O203:O208)</f>
        <v>1</v>
      </c>
      <c r="P209" s="1241">
        <f t="shared" si="60"/>
        <v>26</v>
      </c>
      <c r="Q209" s="1241">
        <f>E203-SUM(Q203:Q208)</f>
        <v>-1</v>
      </c>
      <c r="R209" s="1241">
        <f t="shared" si="61"/>
        <v>27</v>
      </c>
      <c r="S209" s="1241">
        <f t="shared" si="62"/>
        <v>27</v>
      </c>
      <c r="T209" s="1241">
        <f>F203-SUM(T203:T208)</f>
        <v>20</v>
      </c>
      <c r="U209" s="1241">
        <f>G203-SUM(U203:U208)</f>
        <v>7</v>
      </c>
      <c r="V209" s="1241">
        <f>H203-SUM(V203:V208)</f>
        <v>0</v>
      </c>
      <c r="W209" s="1232"/>
      <c r="X209" s="1232" t="s">
        <v>9444</v>
      </c>
      <c r="Y209" s="1232" t="s">
        <v>9154</v>
      </c>
      <c r="Z209" s="1232" t="s">
        <v>9268</v>
      </c>
      <c r="AA209" s="1236" t="s">
        <v>1236</v>
      </c>
      <c r="AB209" s="940" t="s">
        <v>509</v>
      </c>
      <c r="AC209" s="1243"/>
      <c r="AD209" s="943">
        <f t="shared" si="63"/>
        <v>28</v>
      </c>
      <c r="AE209" s="943">
        <f t="shared" si="64"/>
        <v>0</v>
      </c>
      <c r="AF209" s="943">
        <f t="shared" si="64"/>
        <v>1</v>
      </c>
      <c r="AG209" s="943">
        <f t="shared" si="65"/>
        <v>27</v>
      </c>
      <c r="AH209" s="1216">
        <f>Q209+1</f>
        <v>0</v>
      </c>
      <c r="AI209" s="943">
        <f t="shared" si="67"/>
        <v>27</v>
      </c>
      <c r="AJ209" s="943">
        <f t="shared" si="68"/>
        <v>27</v>
      </c>
      <c r="AK209" s="943">
        <f t="shared" si="69"/>
        <v>20</v>
      </c>
      <c r="AL209" s="943">
        <f t="shared" si="69"/>
        <v>7</v>
      </c>
      <c r="AM209" s="943">
        <f t="shared" si="69"/>
        <v>0</v>
      </c>
    </row>
    <row r="210" spans="1:39" ht="16.5" customHeight="1">
      <c r="A210" s="1239" t="s">
        <v>9155</v>
      </c>
      <c r="B210" s="1234" t="s">
        <v>11655</v>
      </c>
      <c r="C210" s="1240">
        <v>1</v>
      </c>
      <c r="D210" s="1240">
        <v>0</v>
      </c>
      <c r="E210" s="1240">
        <v>14</v>
      </c>
      <c r="F210" s="1240">
        <v>2149</v>
      </c>
      <c r="G210" s="1240">
        <v>898</v>
      </c>
      <c r="H210" s="1240">
        <v>1</v>
      </c>
      <c r="J210" s="1239" t="s">
        <v>8509</v>
      </c>
      <c r="K210" s="1234" t="s">
        <v>512</v>
      </c>
      <c r="L210" s="1234"/>
      <c r="M210" s="1240">
        <f t="shared" si="59"/>
        <v>2701</v>
      </c>
      <c r="N210" s="1240">
        <v>1</v>
      </c>
      <c r="O210" s="1232">
        <v>0</v>
      </c>
      <c r="P210" s="1232">
        <f t="shared" si="60"/>
        <v>2700</v>
      </c>
      <c r="Q210" s="1232">
        <v>13</v>
      </c>
      <c r="R210" s="1232">
        <f t="shared" si="61"/>
        <v>2687</v>
      </c>
      <c r="S210" s="1232">
        <f t="shared" si="62"/>
        <v>2686</v>
      </c>
      <c r="T210" s="1232">
        <v>1894</v>
      </c>
      <c r="U210" s="1232">
        <v>792</v>
      </c>
      <c r="V210" s="1232">
        <v>1</v>
      </c>
      <c r="W210" s="1232"/>
      <c r="X210" s="1232" t="s">
        <v>516</v>
      </c>
      <c r="Y210" s="1232" t="s">
        <v>9155</v>
      </c>
      <c r="Z210" s="1232" t="s">
        <v>9269</v>
      </c>
      <c r="AA210" s="1233" t="s">
        <v>8509</v>
      </c>
      <c r="AB210" s="1234" t="s">
        <v>512</v>
      </c>
      <c r="AC210" s="1235"/>
      <c r="AD210" s="1213">
        <f t="shared" si="63"/>
        <v>2701</v>
      </c>
      <c r="AE210" s="1213">
        <f t="shared" si="64"/>
        <v>1</v>
      </c>
      <c r="AF210" s="942">
        <f t="shared" si="64"/>
        <v>0</v>
      </c>
      <c r="AG210" s="942">
        <f t="shared" si="65"/>
        <v>2700</v>
      </c>
      <c r="AH210" s="942">
        <f t="shared" si="66"/>
        <v>13</v>
      </c>
      <c r="AI210" s="942">
        <f t="shared" si="67"/>
        <v>2687</v>
      </c>
      <c r="AJ210" s="942">
        <f t="shared" si="68"/>
        <v>2686</v>
      </c>
      <c r="AK210" s="942">
        <f t="shared" si="69"/>
        <v>1894</v>
      </c>
      <c r="AL210" s="942">
        <f t="shared" si="69"/>
        <v>792</v>
      </c>
      <c r="AM210" s="942">
        <f t="shared" si="69"/>
        <v>1</v>
      </c>
    </row>
    <row r="211" spans="1:39" ht="16.5" customHeight="1">
      <c r="A211" s="1231"/>
      <c r="J211" s="1231" t="s">
        <v>8511</v>
      </c>
      <c r="K211" s="867" t="s">
        <v>6854</v>
      </c>
      <c r="L211" s="867"/>
      <c r="M211" s="1232">
        <f t="shared" si="59"/>
        <v>212</v>
      </c>
      <c r="N211" s="1232">
        <v>0</v>
      </c>
      <c r="O211" s="1232">
        <v>0</v>
      </c>
      <c r="P211" s="1232">
        <f t="shared" si="60"/>
        <v>212</v>
      </c>
      <c r="Q211" s="1232">
        <v>0</v>
      </c>
      <c r="R211" s="1232">
        <f t="shared" si="61"/>
        <v>212</v>
      </c>
      <c r="S211" s="1232">
        <f t="shared" si="62"/>
        <v>212</v>
      </c>
      <c r="T211" s="1232">
        <v>150</v>
      </c>
      <c r="U211" s="1232">
        <v>62</v>
      </c>
      <c r="V211" s="1232">
        <v>0</v>
      </c>
      <c r="W211" s="1232"/>
      <c r="X211" s="1232" t="s">
        <v>516</v>
      </c>
      <c r="Y211" s="1232" t="s">
        <v>9155</v>
      </c>
      <c r="Z211" s="1232" t="s">
        <v>9269</v>
      </c>
      <c r="AA211" s="1236" t="s">
        <v>8511</v>
      </c>
      <c r="AB211" s="867" t="s">
        <v>6854</v>
      </c>
      <c r="AC211" s="1237"/>
      <c r="AD211" s="942">
        <f t="shared" si="63"/>
        <v>212</v>
      </c>
      <c r="AE211" s="942">
        <f t="shared" si="64"/>
        <v>0</v>
      </c>
      <c r="AF211" s="942">
        <f t="shared" si="64"/>
        <v>0</v>
      </c>
      <c r="AG211" s="942">
        <f t="shared" si="65"/>
        <v>212</v>
      </c>
      <c r="AH211" s="942">
        <f t="shared" si="66"/>
        <v>0</v>
      </c>
      <c r="AI211" s="942">
        <f t="shared" si="67"/>
        <v>212</v>
      </c>
      <c r="AJ211" s="942">
        <f t="shared" si="68"/>
        <v>212</v>
      </c>
      <c r="AK211" s="942">
        <f t="shared" si="69"/>
        <v>150</v>
      </c>
      <c r="AL211" s="942">
        <f t="shared" si="69"/>
        <v>62</v>
      </c>
      <c r="AM211" s="942">
        <f t="shared" si="69"/>
        <v>0</v>
      </c>
    </row>
    <row r="212" spans="1:39" ht="16.5" customHeight="1">
      <c r="A212" s="1231"/>
      <c r="J212" s="1231" t="s">
        <v>8514</v>
      </c>
      <c r="K212" s="867" t="s">
        <v>11656</v>
      </c>
      <c r="L212" s="867"/>
      <c r="M212" s="1232">
        <f t="shared" si="59"/>
        <v>149</v>
      </c>
      <c r="N212" s="1232">
        <v>0</v>
      </c>
      <c r="O212" s="1232">
        <v>0</v>
      </c>
      <c r="P212" s="1232">
        <f t="shared" si="60"/>
        <v>149</v>
      </c>
      <c r="Q212" s="1232">
        <v>0</v>
      </c>
      <c r="R212" s="1232">
        <f t="shared" si="61"/>
        <v>149</v>
      </c>
      <c r="S212" s="1232">
        <f t="shared" si="62"/>
        <v>149</v>
      </c>
      <c r="T212" s="1232">
        <v>105</v>
      </c>
      <c r="U212" s="1232">
        <v>44</v>
      </c>
      <c r="V212" s="1232">
        <v>0</v>
      </c>
      <c r="W212" s="1232"/>
      <c r="X212" s="1232" t="s">
        <v>516</v>
      </c>
      <c r="Y212" s="1232" t="s">
        <v>9155</v>
      </c>
      <c r="Z212" s="1232" t="s">
        <v>9269</v>
      </c>
      <c r="AA212" s="1236" t="s">
        <v>8514</v>
      </c>
      <c r="AB212" s="867" t="s">
        <v>11656</v>
      </c>
      <c r="AC212" s="1237"/>
      <c r="AD212" s="942">
        <f t="shared" si="63"/>
        <v>149</v>
      </c>
      <c r="AE212" s="942">
        <f t="shared" si="64"/>
        <v>0</v>
      </c>
      <c r="AF212" s="942">
        <f t="shared" si="64"/>
        <v>0</v>
      </c>
      <c r="AG212" s="942">
        <f t="shared" si="65"/>
        <v>149</v>
      </c>
      <c r="AH212" s="942">
        <f t="shared" si="66"/>
        <v>0</v>
      </c>
      <c r="AI212" s="942">
        <f t="shared" si="67"/>
        <v>149</v>
      </c>
      <c r="AJ212" s="942">
        <f t="shared" si="68"/>
        <v>149</v>
      </c>
      <c r="AK212" s="942">
        <f t="shared" si="69"/>
        <v>105</v>
      </c>
      <c r="AL212" s="942">
        <f t="shared" si="69"/>
        <v>44</v>
      </c>
      <c r="AM212" s="942">
        <f t="shared" si="69"/>
        <v>0</v>
      </c>
    </row>
    <row r="213" spans="1:39" ht="16.5" customHeight="1">
      <c r="A213" s="1231"/>
      <c r="J213" s="1231" t="s">
        <v>8516</v>
      </c>
      <c r="K213" s="940" t="s">
        <v>11657</v>
      </c>
      <c r="L213" s="940"/>
      <c r="M213" s="1241">
        <f t="shared" si="59"/>
        <v>1</v>
      </c>
      <c r="N213" s="1241">
        <f>C210-SUM(N210:N212)</f>
        <v>0</v>
      </c>
      <c r="O213" s="1241">
        <f>D210-SUM(O210:O212)</f>
        <v>0</v>
      </c>
      <c r="P213" s="1241">
        <f t="shared" si="60"/>
        <v>1</v>
      </c>
      <c r="Q213" s="1241">
        <f>E210-SUM(Q210:Q212)</f>
        <v>1</v>
      </c>
      <c r="R213" s="1241">
        <f t="shared" si="61"/>
        <v>0</v>
      </c>
      <c r="S213" s="1241">
        <f t="shared" si="62"/>
        <v>0</v>
      </c>
      <c r="T213" s="1241">
        <f>F210-SUM(T210:T212)</f>
        <v>0</v>
      </c>
      <c r="U213" s="1241">
        <f>G210-SUM(U210:U212)</f>
        <v>0</v>
      </c>
      <c r="V213" s="1241">
        <f>H210-SUM(V210:V212)</f>
        <v>0</v>
      </c>
      <c r="W213" s="1232"/>
      <c r="X213" s="1232" t="s">
        <v>516</v>
      </c>
      <c r="Y213" s="1232" t="s">
        <v>9155</v>
      </c>
      <c r="Z213" s="1232" t="s">
        <v>9269</v>
      </c>
      <c r="AA213" s="1236" t="s">
        <v>8516</v>
      </c>
      <c r="AB213" s="940" t="s">
        <v>11657</v>
      </c>
      <c r="AC213" s="1243"/>
      <c r="AD213" s="943">
        <f t="shared" si="63"/>
        <v>1</v>
      </c>
      <c r="AE213" s="943">
        <f t="shared" si="64"/>
        <v>0</v>
      </c>
      <c r="AF213" s="943">
        <f t="shared" si="64"/>
        <v>0</v>
      </c>
      <c r="AG213" s="943">
        <f t="shared" si="65"/>
        <v>1</v>
      </c>
      <c r="AH213" s="943">
        <f t="shared" si="66"/>
        <v>1</v>
      </c>
      <c r="AI213" s="943">
        <f t="shared" si="67"/>
        <v>0</v>
      </c>
      <c r="AJ213" s="943">
        <f t="shared" si="68"/>
        <v>0</v>
      </c>
      <c r="AK213" s="943">
        <f t="shared" si="69"/>
        <v>0</v>
      </c>
      <c r="AL213" s="943">
        <f t="shared" si="69"/>
        <v>0</v>
      </c>
      <c r="AM213" s="943">
        <f t="shared" si="69"/>
        <v>0</v>
      </c>
    </row>
    <row r="214" spans="1:39" ht="16.5" customHeight="1">
      <c r="A214" s="1239" t="s">
        <v>9156</v>
      </c>
      <c r="B214" s="1234" t="s">
        <v>11658</v>
      </c>
      <c r="C214" s="1240">
        <v>83</v>
      </c>
      <c r="D214" s="1240">
        <v>10</v>
      </c>
      <c r="E214" s="1240">
        <v>284</v>
      </c>
      <c r="F214" s="1240">
        <v>5891</v>
      </c>
      <c r="G214" s="1240">
        <v>2431</v>
      </c>
      <c r="H214" s="1240">
        <v>33</v>
      </c>
      <c r="J214" s="1239" t="s">
        <v>1242</v>
      </c>
      <c r="K214" s="1234" t="s">
        <v>11659</v>
      </c>
      <c r="L214" s="1234"/>
      <c r="M214" s="1240">
        <f t="shared" si="59"/>
        <v>0</v>
      </c>
      <c r="N214" s="1240">
        <v>0</v>
      </c>
      <c r="O214" s="1232">
        <v>0</v>
      </c>
      <c r="P214" s="1232">
        <f t="shared" si="60"/>
        <v>0</v>
      </c>
      <c r="Q214" s="1232">
        <v>0</v>
      </c>
      <c r="R214" s="1232">
        <f t="shared" si="61"/>
        <v>0</v>
      </c>
      <c r="S214" s="1232">
        <f t="shared" si="62"/>
        <v>0</v>
      </c>
      <c r="T214" s="1232">
        <v>0</v>
      </c>
      <c r="U214" s="1232">
        <v>0</v>
      </c>
      <c r="V214" s="1232">
        <v>0</v>
      </c>
      <c r="W214" s="1232"/>
      <c r="X214" s="1232" t="s">
        <v>9445</v>
      </c>
      <c r="Y214" s="1232" t="s">
        <v>9156</v>
      </c>
      <c r="Z214" s="1232" t="s">
        <v>9269</v>
      </c>
      <c r="AA214" s="1233" t="s">
        <v>1242</v>
      </c>
      <c r="AB214" s="1234" t="s">
        <v>11659</v>
      </c>
      <c r="AC214" s="1235"/>
      <c r="AD214" s="1213">
        <f t="shared" si="63"/>
        <v>0</v>
      </c>
      <c r="AE214" s="1213">
        <f t="shared" si="64"/>
        <v>0</v>
      </c>
      <c r="AF214" s="942">
        <f t="shared" si="64"/>
        <v>0</v>
      </c>
      <c r="AG214" s="942">
        <f t="shared" si="65"/>
        <v>0</v>
      </c>
      <c r="AH214" s="942">
        <f t="shared" si="66"/>
        <v>0</v>
      </c>
      <c r="AI214" s="942">
        <f t="shared" si="67"/>
        <v>0</v>
      </c>
      <c r="AJ214" s="942">
        <f t="shared" si="68"/>
        <v>0</v>
      </c>
      <c r="AK214" s="942">
        <f t="shared" si="69"/>
        <v>0</v>
      </c>
      <c r="AL214" s="942">
        <f t="shared" si="69"/>
        <v>0</v>
      </c>
      <c r="AM214" s="942">
        <f t="shared" si="69"/>
        <v>0</v>
      </c>
    </row>
    <row r="215" spans="1:39" ht="16.5" customHeight="1">
      <c r="A215" s="1231"/>
      <c r="J215" s="1231" t="s">
        <v>1244</v>
      </c>
      <c r="K215" s="867" t="s">
        <v>11660</v>
      </c>
      <c r="L215" s="867"/>
      <c r="M215" s="1232">
        <f t="shared" si="59"/>
        <v>2662</v>
      </c>
      <c r="N215" s="1232">
        <v>24</v>
      </c>
      <c r="O215" s="1232">
        <v>2</v>
      </c>
      <c r="P215" s="1232">
        <f t="shared" si="60"/>
        <v>2636</v>
      </c>
      <c r="Q215" s="1232">
        <v>113</v>
      </c>
      <c r="R215" s="1232">
        <f t="shared" si="61"/>
        <v>2523</v>
      </c>
      <c r="S215" s="1232">
        <f t="shared" si="62"/>
        <v>2512</v>
      </c>
      <c r="T215" s="1232">
        <v>1811</v>
      </c>
      <c r="U215" s="1232">
        <v>701</v>
      </c>
      <c r="V215" s="1232">
        <v>11</v>
      </c>
      <c r="W215" s="1232"/>
      <c r="X215" s="1232" t="s">
        <v>9445</v>
      </c>
      <c r="Y215" s="1232" t="s">
        <v>9156</v>
      </c>
      <c r="Z215" s="1232" t="s">
        <v>9269</v>
      </c>
      <c r="AA215" s="1236" t="s">
        <v>1244</v>
      </c>
      <c r="AB215" s="867" t="s">
        <v>11660</v>
      </c>
      <c r="AC215" s="1237"/>
      <c r="AD215" s="942">
        <f t="shared" si="63"/>
        <v>2662</v>
      </c>
      <c r="AE215" s="942">
        <f t="shared" si="64"/>
        <v>24</v>
      </c>
      <c r="AF215" s="942">
        <f t="shared" si="64"/>
        <v>2</v>
      </c>
      <c r="AG215" s="942">
        <f t="shared" si="65"/>
        <v>2636</v>
      </c>
      <c r="AH215" s="942">
        <f t="shared" si="66"/>
        <v>113</v>
      </c>
      <c r="AI215" s="942">
        <f t="shared" si="67"/>
        <v>2523</v>
      </c>
      <c r="AJ215" s="942">
        <f t="shared" si="68"/>
        <v>2512</v>
      </c>
      <c r="AK215" s="942">
        <f t="shared" si="69"/>
        <v>1811</v>
      </c>
      <c r="AL215" s="942">
        <f t="shared" si="69"/>
        <v>701</v>
      </c>
      <c r="AM215" s="942">
        <f t="shared" si="69"/>
        <v>11</v>
      </c>
    </row>
    <row r="216" spans="1:39" ht="16.5" customHeight="1">
      <c r="A216" s="1231"/>
      <c r="J216" s="1231" t="s">
        <v>1246</v>
      </c>
      <c r="K216" s="940" t="s">
        <v>6900</v>
      </c>
      <c r="L216" s="940"/>
      <c r="M216" s="1241">
        <f t="shared" si="59"/>
        <v>6070</v>
      </c>
      <c r="N216" s="1241">
        <f>C214-SUM(N214:N215)</f>
        <v>59</v>
      </c>
      <c r="O216" s="1241">
        <f>D214-SUM(O214:O215)</f>
        <v>8</v>
      </c>
      <c r="P216" s="1241">
        <f t="shared" si="60"/>
        <v>6003</v>
      </c>
      <c r="Q216" s="1241">
        <f>E214-SUM(Q214:Q215)</f>
        <v>171</v>
      </c>
      <c r="R216" s="1241">
        <f t="shared" si="61"/>
        <v>5832</v>
      </c>
      <c r="S216" s="1241">
        <f t="shared" si="62"/>
        <v>5810</v>
      </c>
      <c r="T216" s="1241">
        <f>F214-SUM(T214:T215)</f>
        <v>4080</v>
      </c>
      <c r="U216" s="1241">
        <f t="shared" ref="U216:V216" si="70">G214-SUM(U214:U215)</f>
        <v>1730</v>
      </c>
      <c r="V216" s="1241">
        <f t="shared" si="70"/>
        <v>22</v>
      </c>
      <c r="W216" s="1232"/>
      <c r="X216" s="1232" t="s">
        <v>9445</v>
      </c>
      <c r="Y216" s="1232" t="s">
        <v>9156</v>
      </c>
      <c r="Z216" s="1232" t="s">
        <v>9269</v>
      </c>
      <c r="AA216" s="1236" t="s">
        <v>1246</v>
      </c>
      <c r="AB216" s="940" t="s">
        <v>6900</v>
      </c>
      <c r="AC216" s="1243"/>
      <c r="AD216" s="943">
        <f t="shared" si="63"/>
        <v>6070</v>
      </c>
      <c r="AE216" s="943">
        <f t="shared" si="64"/>
        <v>59</v>
      </c>
      <c r="AF216" s="943">
        <f t="shared" si="64"/>
        <v>8</v>
      </c>
      <c r="AG216" s="943">
        <f t="shared" si="65"/>
        <v>6003</v>
      </c>
      <c r="AH216" s="943">
        <f t="shared" si="66"/>
        <v>171</v>
      </c>
      <c r="AI216" s="943">
        <f t="shared" si="67"/>
        <v>5832</v>
      </c>
      <c r="AJ216" s="943">
        <f t="shared" si="68"/>
        <v>5810</v>
      </c>
      <c r="AK216" s="943">
        <f t="shared" si="69"/>
        <v>4080</v>
      </c>
      <c r="AL216" s="943">
        <f t="shared" si="69"/>
        <v>1730</v>
      </c>
      <c r="AM216" s="943">
        <f t="shared" si="69"/>
        <v>22</v>
      </c>
    </row>
    <row r="217" spans="1:39" ht="16.5" customHeight="1">
      <c r="A217" s="1239" t="s">
        <v>9157</v>
      </c>
      <c r="B217" s="1234" t="s">
        <v>11661</v>
      </c>
      <c r="C217" s="1240">
        <v>297</v>
      </c>
      <c r="D217" s="1240">
        <v>53</v>
      </c>
      <c r="E217" s="1240">
        <v>773</v>
      </c>
      <c r="F217" s="1240">
        <v>17617</v>
      </c>
      <c r="G217" s="1240">
        <v>5934</v>
      </c>
      <c r="H217" s="1240">
        <v>117</v>
      </c>
      <c r="J217" s="1239" t="s">
        <v>1248</v>
      </c>
      <c r="K217" s="867" t="s">
        <v>6902</v>
      </c>
      <c r="L217" s="867"/>
      <c r="M217" s="1232">
        <f t="shared" si="59"/>
        <v>6143</v>
      </c>
      <c r="N217" s="1232">
        <v>52</v>
      </c>
      <c r="O217" s="1232">
        <v>9</v>
      </c>
      <c r="P217" s="1232">
        <f t="shared" si="60"/>
        <v>6082</v>
      </c>
      <c r="Q217" s="1232">
        <v>152</v>
      </c>
      <c r="R217" s="1232">
        <f t="shared" si="61"/>
        <v>5930</v>
      </c>
      <c r="S217" s="1232">
        <f t="shared" si="62"/>
        <v>5909</v>
      </c>
      <c r="T217" s="1232">
        <v>4420</v>
      </c>
      <c r="U217" s="1232">
        <v>1489</v>
      </c>
      <c r="V217" s="1232">
        <v>21</v>
      </c>
      <c r="W217" s="1232"/>
      <c r="X217" s="1232" t="s">
        <v>529</v>
      </c>
      <c r="Y217" s="1232" t="s">
        <v>9157</v>
      </c>
      <c r="Z217" s="1232" t="s">
        <v>9270</v>
      </c>
      <c r="AA217" s="1233" t="s">
        <v>1248</v>
      </c>
      <c r="AB217" s="867" t="s">
        <v>6902</v>
      </c>
      <c r="AC217" s="1237"/>
      <c r="AD217" s="942">
        <f t="shared" si="63"/>
        <v>6143</v>
      </c>
      <c r="AE217" s="942">
        <f t="shared" si="64"/>
        <v>52</v>
      </c>
      <c r="AF217" s="942">
        <f t="shared" si="64"/>
        <v>9</v>
      </c>
      <c r="AG217" s="942">
        <f t="shared" si="65"/>
        <v>6082</v>
      </c>
      <c r="AH217" s="942">
        <f t="shared" si="66"/>
        <v>152</v>
      </c>
      <c r="AI217" s="942">
        <f t="shared" si="67"/>
        <v>5930</v>
      </c>
      <c r="AJ217" s="942">
        <f t="shared" si="68"/>
        <v>5909</v>
      </c>
      <c r="AK217" s="942">
        <f t="shared" si="69"/>
        <v>4420</v>
      </c>
      <c r="AL217" s="942">
        <f t="shared" si="69"/>
        <v>1489</v>
      </c>
      <c r="AM217" s="942">
        <f t="shared" si="69"/>
        <v>21</v>
      </c>
    </row>
    <row r="218" spans="1:39" ht="16.5" customHeight="1">
      <c r="A218" s="1231"/>
      <c r="J218" s="1231" t="s">
        <v>1250</v>
      </c>
      <c r="K218" s="867" t="s">
        <v>530</v>
      </c>
      <c r="L218" s="867"/>
      <c r="M218" s="1232">
        <f t="shared" si="59"/>
        <v>1157</v>
      </c>
      <c r="N218" s="1232">
        <v>12</v>
      </c>
      <c r="O218" s="1232">
        <v>2</v>
      </c>
      <c r="P218" s="1232">
        <f t="shared" si="60"/>
        <v>1143</v>
      </c>
      <c r="Q218" s="1232">
        <v>39</v>
      </c>
      <c r="R218" s="1232">
        <f t="shared" si="61"/>
        <v>1104</v>
      </c>
      <c r="S218" s="1232">
        <f t="shared" si="62"/>
        <v>1099</v>
      </c>
      <c r="T218" s="1232">
        <v>822</v>
      </c>
      <c r="U218" s="1232">
        <v>277</v>
      </c>
      <c r="V218" s="1232">
        <v>5</v>
      </c>
      <c r="W218" s="1232"/>
      <c r="X218" s="1232" t="s">
        <v>529</v>
      </c>
      <c r="Y218" s="1232" t="s">
        <v>9157</v>
      </c>
      <c r="Z218" s="1232" t="s">
        <v>9270</v>
      </c>
      <c r="AA218" s="1236" t="s">
        <v>1250</v>
      </c>
      <c r="AB218" s="867" t="s">
        <v>530</v>
      </c>
      <c r="AC218" s="1237"/>
      <c r="AD218" s="942">
        <f t="shared" si="63"/>
        <v>1157</v>
      </c>
      <c r="AE218" s="942">
        <f t="shared" si="64"/>
        <v>12</v>
      </c>
      <c r="AF218" s="942">
        <f t="shared" si="64"/>
        <v>2</v>
      </c>
      <c r="AG218" s="942">
        <f t="shared" si="65"/>
        <v>1143</v>
      </c>
      <c r="AH218" s="942">
        <f t="shared" si="66"/>
        <v>39</v>
      </c>
      <c r="AI218" s="942">
        <f t="shared" si="67"/>
        <v>1104</v>
      </c>
      <c r="AJ218" s="942">
        <f t="shared" si="68"/>
        <v>1099</v>
      </c>
      <c r="AK218" s="942">
        <f t="shared" si="69"/>
        <v>822</v>
      </c>
      <c r="AL218" s="942">
        <f t="shared" si="69"/>
        <v>277</v>
      </c>
      <c r="AM218" s="942">
        <f t="shared" si="69"/>
        <v>5</v>
      </c>
    </row>
    <row r="219" spans="1:39" ht="16.5" customHeight="1">
      <c r="A219" s="1231"/>
      <c r="J219" s="1231" t="s">
        <v>1252</v>
      </c>
      <c r="K219" s="867" t="s">
        <v>11662</v>
      </c>
      <c r="L219" s="867"/>
      <c r="M219" s="1232">
        <f t="shared" si="59"/>
        <v>4893</v>
      </c>
      <c r="N219" s="1232">
        <v>130</v>
      </c>
      <c r="O219" s="1232">
        <v>23</v>
      </c>
      <c r="P219" s="1232">
        <f t="shared" si="60"/>
        <v>4740</v>
      </c>
      <c r="Q219" s="1232">
        <v>281</v>
      </c>
      <c r="R219" s="1232">
        <f t="shared" si="61"/>
        <v>4459</v>
      </c>
      <c r="S219" s="1232">
        <f t="shared" si="62"/>
        <v>4420</v>
      </c>
      <c r="T219" s="1232">
        <v>3306</v>
      </c>
      <c r="U219" s="1232">
        <v>1114</v>
      </c>
      <c r="V219" s="1232">
        <v>39</v>
      </c>
      <c r="W219" s="1232"/>
      <c r="X219" s="1232" t="s">
        <v>529</v>
      </c>
      <c r="Y219" s="1232" t="s">
        <v>9157</v>
      </c>
      <c r="Z219" s="1232" t="s">
        <v>9270</v>
      </c>
      <c r="AA219" s="1236" t="s">
        <v>1252</v>
      </c>
      <c r="AB219" s="867" t="s">
        <v>11662</v>
      </c>
      <c r="AC219" s="1237"/>
      <c r="AD219" s="942">
        <f t="shared" si="63"/>
        <v>4893</v>
      </c>
      <c r="AE219" s="942">
        <f t="shared" si="64"/>
        <v>130</v>
      </c>
      <c r="AF219" s="942">
        <f t="shared" si="64"/>
        <v>23</v>
      </c>
      <c r="AG219" s="942">
        <f t="shared" si="65"/>
        <v>4740</v>
      </c>
      <c r="AH219" s="942">
        <f t="shared" si="66"/>
        <v>281</v>
      </c>
      <c r="AI219" s="942">
        <f t="shared" si="67"/>
        <v>4459</v>
      </c>
      <c r="AJ219" s="942">
        <f t="shared" si="68"/>
        <v>4420</v>
      </c>
      <c r="AK219" s="942">
        <f t="shared" si="69"/>
        <v>3306</v>
      </c>
      <c r="AL219" s="942">
        <f t="shared" si="69"/>
        <v>1114</v>
      </c>
      <c r="AM219" s="942">
        <f t="shared" si="69"/>
        <v>39</v>
      </c>
    </row>
    <row r="220" spans="1:39" ht="16.5" customHeight="1">
      <c r="A220" s="1231"/>
      <c r="J220" s="1231" t="s">
        <v>1254</v>
      </c>
      <c r="K220" s="867" t="s">
        <v>6929</v>
      </c>
      <c r="L220" s="867"/>
      <c r="M220" s="1232">
        <f t="shared" si="59"/>
        <v>203</v>
      </c>
      <c r="N220" s="1232">
        <v>2</v>
      </c>
      <c r="O220" s="1232">
        <v>0</v>
      </c>
      <c r="P220" s="1232">
        <f t="shared" si="60"/>
        <v>201</v>
      </c>
      <c r="Q220" s="1232">
        <v>7</v>
      </c>
      <c r="R220" s="1232">
        <f t="shared" si="61"/>
        <v>194</v>
      </c>
      <c r="S220" s="1232">
        <f t="shared" si="62"/>
        <v>191</v>
      </c>
      <c r="T220" s="1232">
        <v>143</v>
      </c>
      <c r="U220" s="1232">
        <v>48</v>
      </c>
      <c r="V220" s="1232">
        <v>3</v>
      </c>
      <c r="W220" s="1232"/>
      <c r="X220" s="1232" t="s">
        <v>529</v>
      </c>
      <c r="Y220" s="1232" t="s">
        <v>9157</v>
      </c>
      <c r="Z220" s="1232" t="s">
        <v>9270</v>
      </c>
      <c r="AA220" s="1236" t="s">
        <v>1254</v>
      </c>
      <c r="AB220" s="867" t="s">
        <v>6929</v>
      </c>
      <c r="AC220" s="1237"/>
      <c r="AD220" s="942">
        <f t="shared" si="63"/>
        <v>203</v>
      </c>
      <c r="AE220" s="942">
        <f t="shared" si="64"/>
        <v>2</v>
      </c>
      <c r="AF220" s="942">
        <f t="shared" si="64"/>
        <v>0</v>
      </c>
      <c r="AG220" s="942">
        <f t="shared" si="65"/>
        <v>201</v>
      </c>
      <c r="AH220" s="942">
        <f t="shared" si="66"/>
        <v>7</v>
      </c>
      <c r="AI220" s="942">
        <f t="shared" si="67"/>
        <v>194</v>
      </c>
      <c r="AJ220" s="942">
        <f t="shared" si="68"/>
        <v>191</v>
      </c>
      <c r="AK220" s="942">
        <f t="shared" si="69"/>
        <v>143</v>
      </c>
      <c r="AL220" s="942">
        <f t="shared" si="69"/>
        <v>48</v>
      </c>
      <c r="AM220" s="942">
        <f t="shared" si="69"/>
        <v>3</v>
      </c>
    </row>
    <row r="221" spans="1:39" ht="16.5" customHeight="1">
      <c r="A221" s="1231"/>
      <c r="J221" s="1231" t="s">
        <v>1256</v>
      </c>
      <c r="K221" s="867" t="s">
        <v>6932</v>
      </c>
      <c r="L221" s="867"/>
      <c r="M221" s="1232">
        <f t="shared" si="59"/>
        <v>8917</v>
      </c>
      <c r="N221" s="1232">
        <v>39</v>
      </c>
      <c r="O221" s="1232">
        <v>7</v>
      </c>
      <c r="P221" s="1232">
        <f t="shared" si="60"/>
        <v>8871</v>
      </c>
      <c r="Q221" s="1232">
        <v>142</v>
      </c>
      <c r="R221" s="1232">
        <f t="shared" si="61"/>
        <v>8729</v>
      </c>
      <c r="S221" s="1232">
        <f t="shared" si="62"/>
        <v>8709</v>
      </c>
      <c r="T221" s="1232">
        <v>6515</v>
      </c>
      <c r="U221" s="1232">
        <v>2194</v>
      </c>
      <c r="V221" s="1232">
        <v>20</v>
      </c>
      <c r="W221" s="1232"/>
      <c r="X221" s="1232" t="s">
        <v>529</v>
      </c>
      <c r="Y221" s="1232" t="s">
        <v>9157</v>
      </c>
      <c r="Z221" s="1232" t="s">
        <v>9270</v>
      </c>
      <c r="AA221" s="1236" t="s">
        <v>1256</v>
      </c>
      <c r="AB221" s="867" t="s">
        <v>6932</v>
      </c>
      <c r="AC221" s="1237"/>
      <c r="AD221" s="942">
        <f t="shared" si="63"/>
        <v>8917</v>
      </c>
      <c r="AE221" s="942">
        <f t="shared" si="64"/>
        <v>39</v>
      </c>
      <c r="AF221" s="942">
        <f t="shared" si="64"/>
        <v>7</v>
      </c>
      <c r="AG221" s="942">
        <f t="shared" si="65"/>
        <v>8871</v>
      </c>
      <c r="AH221" s="942">
        <f t="shared" si="66"/>
        <v>142</v>
      </c>
      <c r="AI221" s="942">
        <f t="shared" si="67"/>
        <v>8729</v>
      </c>
      <c r="AJ221" s="942">
        <f t="shared" si="68"/>
        <v>8709</v>
      </c>
      <c r="AK221" s="942">
        <f t="shared" si="69"/>
        <v>6515</v>
      </c>
      <c r="AL221" s="942">
        <f t="shared" si="69"/>
        <v>2194</v>
      </c>
      <c r="AM221" s="942">
        <f t="shared" si="69"/>
        <v>20</v>
      </c>
    </row>
    <row r="222" spans="1:39" ht="16.5" customHeight="1">
      <c r="A222" s="1231"/>
      <c r="J222" s="1231" t="s">
        <v>1258</v>
      </c>
      <c r="K222" s="940" t="s">
        <v>11663</v>
      </c>
      <c r="L222" s="940"/>
      <c r="M222" s="1241">
        <f t="shared" si="59"/>
        <v>3478</v>
      </c>
      <c r="N222" s="1241">
        <f>C217-SUM(N217:N221)</f>
        <v>62</v>
      </c>
      <c r="O222" s="1241">
        <f>D217-SUM(O217:O221)</f>
        <v>12</v>
      </c>
      <c r="P222" s="1241">
        <f t="shared" si="60"/>
        <v>3404</v>
      </c>
      <c r="Q222" s="1241">
        <f>E217-SUM(Q217:Q221)</f>
        <v>152</v>
      </c>
      <c r="R222" s="1241">
        <f t="shared" si="61"/>
        <v>3252</v>
      </c>
      <c r="S222" s="1241">
        <f t="shared" si="62"/>
        <v>3223</v>
      </c>
      <c r="T222" s="1241">
        <f>F217-SUM(T217:T221)</f>
        <v>2411</v>
      </c>
      <c r="U222" s="1241">
        <f>G217-SUM(U217:U221)</f>
        <v>812</v>
      </c>
      <c r="V222" s="1241">
        <f>H217-SUM(V217:V221)</f>
        <v>29</v>
      </c>
      <c r="W222" s="1232"/>
      <c r="X222" s="1232" t="s">
        <v>529</v>
      </c>
      <c r="Y222" s="1232" t="s">
        <v>9157</v>
      </c>
      <c r="Z222" s="1232" t="s">
        <v>9270</v>
      </c>
      <c r="AA222" s="1236" t="s">
        <v>1258</v>
      </c>
      <c r="AB222" s="940" t="s">
        <v>11663</v>
      </c>
      <c r="AC222" s="1243"/>
      <c r="AD222" s="943">
        <f t="shared" si="63"/>
        <v>3478</v>
      </c>
      <c r="AE222" s="943">
        <f t="shared" si="64"/>
        <v>62</v>
      </c>
      <c r="AF222" s="943">
        <f t="shared" si="64"/>
        <v>12</v>
      </c>
      <c r="AG222" s="943">
        <f t="shared" si="65"/>
        <v>3404</v>
      </c>
      <c r="AH222" s="943">
        <f t="shared" si="66"/>
        <v>152</v>
      </c>
      <c r="AI222" s="943">
        <f t="shared" si="67"/>
        <v>3252</v>
      </c>
      <c r="AJ222" s="943">
        <f t="shared" si="68"/>
        <v>3223</v>
      </c>
      <c r="AK222" s="943">
        <f t="shared" si="69"/>
        <v>2411</v>
      </c>
      <c r="AL222" s="943">
        <f t="shared" si="69"/>
        <v>812</v>
      </c>
      <c r="AM222" s="943">
        <f t="shared" si="69"/>
        <v>29</v>
      </c>
    </row>
    <row r="223" spans="1:39" ht="16.5" customHeight="1">
      <c r="A223" s="1239" t="s">
        <v>9158</v>
      </c>
      <c r="B223" s="1234" t="s">
        <v>11664</v>
      </c>
      <c r="C223" s="1240">
        <v>34</v>
      </c>
      <c r="D223" s="1240">
        <v>6</v>
      </c>
      <c r="E223" s="1240">
        <v>124</v>
      </c>
      <c r="F223" s="1240">
        <v>3629</v>
      </c>
      <c r="G223" s="1240">
        <v>929</v>
      </c>
      <c r="H223" s="1240">
        <v>42</v>
      </c>
      <c r="J223" s="1239" t="s">
        <v>1260</v>
      </c>
      <c r="K223" s="867" t="s">
        <v>6938</v>
      </c>
      <c r="L223" s="867"/>
      <c r="M223" s="1232">
        <f t="shared" si="59"/>
        <v>122</v>
      </c>
      <c r="N223" s="1232">
        <v>1</v>
      </c>
      <c r="O223" s="1232">
        <v>0</v>
      </c>
      <c r="P223" s="1232">
        <f t="shared" si="60"/>
        <v>121</v>
      </c>
      <c r="Q223" s="1232">
        <v>3</v>
      </c>
      <c r="R223" s="1232">
        <f t="shared" si="61"/>
        <v>118</v>
      </c>
      <c r="S223" s="1232">
        <f t="shared" si="62"/>
        <v>116</v>
      </c>
      <c r="T223" s="1232">
        <v>92</v>
      </c>
      <c r="U223" s="1232">
        <v>24</v>
      </c>
      <c r="V223" s="1232">
        <v>2</v>
      </c>
      <c r="W223" s="1232"/>
      <c r="X223" s="1232" t="s">
        <v>9446</v>
      </c>
      <c r="Y223" s="1232" t="s">
        <v>9158</v>
      </c>
      <c r="Z223" s="1232" t="s">
        <v>9270</v>
      </c>
      <c r="AA223" s="1233" t="s">
        <v>1260</v>
      </c>
      <c r="AB223" s="867" t="s">
        <v>6938</v>
      </c>
      <c r="AC223" s="1237"/>
      <c r="AD223" s="942">
        <f t="shared" si="63"/>
        <v>122</v>
      </c>
      <c r="AE223" s="942">
        <f t="shared" si="64"/>
        <v>1</v>
      </c>
      <c r="AF223" s="942">
        <f t="shared" si="64"/>
        <v>0</v>
      </c>
      <c r="AG223" s="942">
        <f t="shared" si="65"/>
        <v>121</v>
      </c>
      <c r="AH223" s="942">
        <f t="shared" si="66"/>
        <v>3</v>
      </c>
      <c r="AI223" s="942">
        <f t="shared" si="67"/>
        <v>118</v>
      </c>
      <c r="AJ223" s="942">
        <f t="shared" si="68"/>
        <v>116</v>
      </c>
      <c r="AK223" s="942">
        <f t="shared" si="69"/>
        <v>92</v>
      </c>
      <c r="AL223" s="942">
        <f t="shared" si="69"/>
        <v>24</v>
      </c>
      <c r="AM223" s="942">
        <f t="shared" si="69"/>
        <v>2</v>
      </c>
    </row>
    <row r="224" spans="1:39" ht="16.5" customHeight="1">
      <c r="A224" s="1231"/>
      <c r="J224" s="1231" t="s">
        <v>1262</v>
      </c>
      <c r="K224" s="940" t="s">
        <v>11665</v>
      </c>
      <c r="L224" s="940"/>
      <c r="M224" s="1241">
        <f t="shared" si="59"/>
        <v>4642</v>
      </c>
      <c r="N224" s="1241">
        <f>C223-SUM(N223:N223)</f>
        <v>33</v>
      </c>
      <c r="O224" s="1241">
        <f>D223-SUM(O223:O223)</f>
        <v>6</v>
      </c>
      <c r="P224" s="1241">
        <f t="shared" si="60"/>
        <v>4603</v>
      </c>
      <c r="Q224" s="1241">
        <f>E223-SUM(Q223:Q223)</f>
        <v>121</v>
      </c>
      <c r="R224" s="1241">
        <f t="shared" si="61"/>
        <v>4482</v>
      </c>
      <c r="S224" s="1241">
        <f t="shared" si="62"/>
        <v>4442</v>
      </c>
      <c r="T224" s="1241">
        <f>F223-SUM(T223:T223)</f>
        <v>3537</v>
      </c>
      <c r="U224" s="1241">
        <f>G223-SUM(U223:U223)</f>
        <v>905</v>
      </c>
      <c r="V224" s="1241">
        <f>H223-SUM(V223:V223)</f>
        <v>40</v>
      </c>
      <c r="W224" s="1232"/>
      <c r="X224" s="1232" t="s">
        <v>9446</v>
      </c>
      <c r="Y224" s="1232" t="s">
        <v>9158</v>
      </c>
      <c r="Z224" s="1232" t="s">
        <v>9270</v>
      </c>
      <c r="AA224" s="1236" t="s">
        <v>1262</v>
      </c>
      <c r="AB224" s="940" t="s">
        <v>11665</v>
      </c>
      <c r="AC224" s="1243"/>
      <c r="AD224" s="943">
        <f t="shared" si="63"/>
        <v>4642</v>
      </c>
      <c r="AE224" s="943">
        <f t="shared" si="64"/>
        <v>33</v>
      </c>
      <c r="AF224" s="943">
        <f t="shared" si="64"/>
        <v>6</v>
      </c>
      <c r="AG224" s="943">
        <f t="shared" si="65"/>
        <v>4603</v>
      </c>
      <c r="AH224" s="943">
        <f t="shared" si="66"/>
        <v>121</v>
      </c>
      <c r="AI224" s="943">
        <f t="shared" si="67"/>
        <v>4482</v>
      </c>
      <c r="AJ224" s="943">
        <f t="shared" si="68"/>
        <v>4442</v>
      </c>
      <c r="AK224" s="943">
        <f t="shared" si="69"/>
        <v>3537</v>
      </c>
      <c r="AL224" s="943">
        <f t="shared" si="69"/>
        <v>905</v>
      </c>
      <c r="AM224" s="943">
        <f t="shared" si="69"/>
        <v>40</v>
      </c>
    </row>
    <row r="225" spans="1:39" ht="16.5" customHeight="1">
      <c r="A225" s="1239" t="s">
        <v>9159</v>
      </c>
      <c r="B225" s="1234" t="s">
        <v>11666</v>
      </c>
      <c r="C225" s="1240">
        <v>27</v>
      </c>
      <c r="D225" s="1240">
        <v>4</v>
      </c>
      <c r="E225" s="1240">
        <v>184</v>
      </c>
      <c r="F225" s="1240">
        <v>3816</v>
      </c>
      <c r="G225" s="1240">
        <v>1168</v>
      </c>
      <c r="H225" s="1240">
        <v>11</v>
      </c>
      <c r="J225" s="1239" t="s">
        <v>1264</v>
      </c>
      <c r="K225" s="867" t="s">
        <v>539</v>
      </c>
      <c r="L225" s="867"/>
      <c r="M225" s="1232">
        <f t="shared" si="59"/>
        <v>1283</v>
      </c>
      <c r="N225" s="1232">
        <v>6</v>
      </c>
      <c r="O225" s="1232">
        <v>1</v>
      </c>
      <c r="P225" s="1232">
        <f t="shared" si="60"/>
        <v>1276</v>
      </c>
      <c r="Q225" s="1232">
        <v>48</v>
      </c>
      <c r="R225" s="1232">
        <f t="shared" si="61"/>
        <v>1228</v>
      </c>
      <c r="S225" s="1232">
        <f t="shared" si="62"/>
        <v>1226</v>
      </c>
      <c r="T225" s="1232">
        <v>943</v>
      </c>
      <c r="U225" s="1232">
        <v>283</v>
      </c>
      <c r="V225" s="1232">
        <v>2</v>
      </c>
      <c r="W225" s="1232"/>
      <c r="X225" s="1232" t="s">
        <v>9447</v>
      </c>
      <c r="Y225" s="1232" t="s">
        <v>9159</v>
      </c>
      <c r="Z225" s="1232" t="s">
        <v>9270</v>
      </c>
      <c r="AA225" s="1233" t="s">
        <v>1264</v>
      </c>
      <c r="AB225" s="867" t="s">
        <v>539</v>
      </c>
      <c r="AC225" s="1237"/>
      <c r="AD225" s="942">
        <f t="shared" si="63"/>
        <v>1283</v>
      </c>
      <c r="AE225" s="942">
        <f t="shared" si="64"/>
        <v>6</v>
      </c>
      <c r="AF225" s="942">
        <f t="shared" si="64"/>
        <v>1</v>
      </c>
      <c r="AG225" s="942">
        <f t="shared" si="65"/>
        <v>1276</v>
      </c>
      <c r="AH225" s="942">
        <f t="shared" si="66"/>
        <v>48</v>
      </c>
      <c r="AI225" s="942">
        <f t="shared" si="67"/>
        <v>1228</v>
      </c>
      <c r="AJ225" s="942">
        <f t="shared" si="68"/>
        <v>1226</v>
      </c>
      <c r="AK225" s="942">
        <f t="shared" si="69"/>
        <v>943</v>
      </c>
      <c r="AL225" s="942">
        <f t="shared" si="69"/>
        <v>283</v>
      </c>
      <c r="AM225" s="942">
        <f t="shared" si="69"/>
        <v>2</v>
      </c>
    </row>
    <row r="226" spans="1:39" ht="16.5" customHeight="1">
      <c r="A226" s="1231"/>
      <c r="J226" s="1231" t="s">
        <v>1266</v>
      </c>
      <c r="K226" s="940" t="s">
        <v>541</v>
      </c>
      <c r="L226" s="940"/>
      <c r="M226" s="1241">
        <f t="shared" si="59"/>
        <v>3927</v>
      </c>
      <c r="N226" s="1241">
        <f>C225-SUM(N225:N225)</f>
        <v>21</v>
      </c>
      <c r="O226" s="1241">
        <f>D225-SUM(O225:O225)</f>
        <v>3</v>
      </c>
      <c r="P226" s="1241">
        <f t="shared" si="60"/>
        <v>3903</v>
      </c>
      <c r="Q226" s="1241">
        <f>E225-SUM(Q225:Q225)</f>
        <v>136</v>
      </c>
      <c r="R226" s="1241">
        <f t="shared" si="61"/>
        <v>3767</v>
      </c>
      <c r="S226" s="1241">
        <f t="shared" si="62"/>
        <v>3758</v>
      </c>
      <c r="T226" s="1241">
        <f>F225-SUM(T225:T225)</f>
        <v>2873</v>
      </c>
      <c r="U226" s="1241">
        <f>G225-SUM(U225:U225)</f>
        <v>885</v>
      </c>
      <c r="V226" s="1241">
        <f>H225-SUM(V225:V225)</f>
        <v>9</v>
      </c>
      <c r="W226" s="1232"/>
      <c r="X226" s="1232" t="s">
        <v>9448</v>
      </c>
      <c r="Y226" s="1232" t="s">
        <v>9159</v>
      </c>
      <c r="Z226" s="1232" t="s">
        <v>9270</v>
      </c>
      <c r="AA226" s="1236" t="s">
        <v>1266</v>
      </c>
      <c r="AB226" s="940" t="s">
        <v>541</v>
      </c>
      <c r="AC226" s="1243"/>
      <c r="AD226" s="943">
        <f t="shared" si="63"/>
        <v>3927</v>
      </c>
      <c r="AE226" s="943">
        <f t="shared" si="64"/>
        <v>21</v>
      </c>
      <c r="AF226" s="943">
        <f t="shared" si="64"/>
        <v>3</v>
      </c>
      <c r="AG226" s="943">
        <f t="shared" si="65"/>
        <v>3903</v>
      </c>
      <c r="AH226" s="943">
        <f t="shared" si="66"/>
        <v>136</v>
      </c>
      <c r="AI226" s="943">
        <f t="shared" si="67"/>
        <v>3767</v>
      </c>
      <c r="AJ226" s="943">
        <f t="shared" si="68"/>
        <v>3758</v>
      </c>
      <c r="AK226" s="943">
        <f t="shared" si="69"/>
        <v>2873</v>
      </c>
      <c r="AL226" s="943">
        <f t="shared" si="69"/>
        <v>885</v>
      </c>
      <c r="AM226" s="943">
        <f t="shared" si="69"/>
        <v>9</v>
      </c>
    </row>
    <row r="227" spans="1:39" ht="16.5" customHeight="1">
      <c r="A227" s="1239" t="s">
        <v>9160</v>
      </c>
      <c r="B227" s="1234" t="s">
        <v>11667</v>
      </c>
      <c r="C227" s="1240">
        <v>51</v>
      </c>
      <c r="D227" s="1240">
        <v>11</v>
      </c>
      <c r="E227" s="1240">
        <v>137</v>
      </c>
      <c r="F227" s="1240">
        <v>4914</v>
      </c>
      <c r="G227" s="1240">
        <v>1304</v>
      </c>
      <c r="H227" s="1240">
        <v>20</v>
      </c>
      <c r="J227" s="1239" t="s">
        <v>1268</v>
      </c>
      <c r="K227" s="867" t="s">
        <v>543</v>
      </c>
      <c r="L227" s="867"/>
      <c r="M227" s="1232">
        <f t="shared" si="59"/>
        <v>1623</v>
      </c>
      <c r="N227" s="1232">
        <v>7</v>
      </c>
      <c r="O227" s="1232">
        <v>2</v>
      </c>
      <c r="P227" s="1232">
        <f t="shared" si="60"/>
        <v>1614</v>
      </c>
      <c r="Q227" s="1232">
        <v>27</v>
      </c>
      <c r="R227" s="1232">
        <f t="shared" si="61"/>
        <v>1587</v>
      </c>
      <c r="S227" s="1232">
        <f t="shared" si="62"/>
        <v>1582</v>
      </c>
      <c r="T227" s="1232">
        <v>1240</v>
      </c>
      <c r="U227" s="1232">
        <v>342</v>
      </c>
      <c r="V227" s="1232">
        <v>5</v>
      </c>
      <c r="W227" s="1232"/>
      <c r="X227" s="1232" t="s">
        <v>9449</v>
      </c>
      <c r="Y227" s="1232" t="s">
        <v>9160</v>
      </c>
      <c r="Z227" s="1232" t="s">
        <v>9270</v>
      </c>
      <c r="AA227" s="1233" t="s">
        <v>1268</v>
      </c>
      <c r="AB227" s="867" t="s">
        <v>543</v>
      </c>
      <c r="AC227" s="1237"/>
      <c r="AD227" s="942">
        <f t="shared" si="63"/>
        <v>1623</v>
      </c>
      <c r="AE227" s="942">
        <f t="shared" si="64"/>
        <v>7</v>
      </c>
      <c r="AF227" s="942">
        <f t="shared" si="64"/>
        <v>2</v>
      </c>
      <c r="AG227" s="942">
        <f t="shared" si="65"/>
        <v>1614</v>
      </c>
      <c r="AH227" s="942">
        <f t="shared" si="66"/>
        <v>27</v>
      </c>
      <c r="AI227" s="942">
        <f t="shared" si="67"/>
        <v>1587</v>
      </c>
      <c r="AJ227" s="942">
        <f t="shared" si="68"/>
        <v>1582</v>
      </c>
      <c r="AK227" s="942">
        <f t="shared" si="69"/>
        <v>1240</v>
      </c>
      <c r="AL227" s="942">
        <f t="shared" si="69"/>
        <v>342</v>
      </c>
      <c r="AM227" s="942">
        <f t="shared" si="69"/>
        <v>5</v>
      </c>
    </row>
    <row r="228" spans="1:39" ht="16.5" customHeight="1">
      <c r="A228" s="1231"/>
      <c r="J228" s="1231" t="s">
        <v>1270</v>
      </c>
      <c r="K228" s="867" t="s">
        <v>544</v>
      </c>
      <c r="L228" s="867"/>
      <c r="M228" s="1232">
        <f t="shared" si="59"/>
        <v>1640</v>
      </c>
      <c r="N228" s="1232">
        <v>23</v>
      </c>
      <c r="O228" s="1232">
        <v>4</v>
      </c>
      <c r="P228" s="1232">
        <f t="shared" si="60"/>
        <v>1613</v>
      </c>
      <c r="Q228" s="1232">
        <v>45</v>
      </c>
      <c r="R228" s="1232">
        <f t="shared" si="61"/>
        <v>1568</v>
      </c>
      <c r="S228" s="1232">
        <f t="shared" si="62"/>
        <v>1558</v>
      </c>
      <c r="T228" s="1232">
        <v>1221</v>
      </c>
      <c r="U228" s="1232">
        <v>337</v>
      </c>
      <c r="V228" s="1232">
        <v>10</v>
      </c>
      <c r="W228" s="1232"/>
      <c r="X228" s="1232" t="s">
        <v>9449</v>
      </c>
      <c r="Y228" s="1232" t="s">
        <v>9160</v>
      </c>
      <c r="Z228" s="1232" t="s">
        <v>9270</v>
      </c>
      <c r="AA228" s="1236" t="s">
        <v>1270</v>
      </c>
      <c r="AB228" s="867" t="s">
        <v>544</v>
      </c>
      <c r="AC228" s="1237"/>
      <c r="AD228" s="942">
        <f t="shared" si="63"/>
        <v>1640</v>
      </c>
      <c r="AE228" s="942">
        <f t="shared" si="64"/>
        <v>23</v>
      </c>
      <c r="AF228" s="942">
        <f t="shared" si="64"/>
        <v>4</v>
      </c>
      <c r="AG228" s="942">
        <f t="shared" si="65"/>
        <v>1613</v>
      </c>
      <c r="AH228" s="942">
        <f t="shared" si="66"/>
        <v>45</v>
      </c>
      <c r="AI228" s="942">
        <f t="shared" si="67"/>
        <v>1568</v>
      </c>
      <c r="AJ228" s="942">
        <f t="shared" si="68"/>
        <v>1558</v>
      </c>
      <c r="AK228" s="942">
        <f t="shared" si="69"/>
        <v>1221</v>
      </c>
      <c r="AL228" s="942">
        <f t="shared" si="69"/>
        <v>337</v>
      </c>
      <c r="AM228" s="942">
        <f t="shared" si="69"/>
        <v>10</v>
      </c>
    </row>
    <row r="229" spans="1:39" ht="16.5" customHeight="1">
      <c r="A229" s="1231"/>
      <c r="J229" s="1231" t="s">
        <v>1272</v>
      </c>
      <c r="K229" s="867" t="s">
        <v>545</v>
      </c>
      <c r="L229" s="867"/>
      <c r="M229" s="1232">
        <f t="shared" si="59"/>
        <v>1375</v>
      </c>
      <c r="N229" s="1232">
        <v>1</v>
      </c>
      <c r="O229" s="1232">
        <v>0</v>
      </c>
      <c r="P229" s="1232">
        <f t="shared" si="60"/>
        <v>1374</v>
      </c>
      <c r="Q229" s="1232">
        <v>11</v>
      </c>
      <c r="R229" s="1232">
        <f t="shared" si="61"/>
        <v>1363</v>
      </c>
      <c r="S229" s="1232">
        <f t="shared" si="62"/>
        <v>1362</v>
      </c>
      <c r="T229" s="1232">
        <v>1085</v>
      </c>
      <c r="U229" s="1232">
        <v>277</v>
      </c>
      <c r="V229" s="1232">
        <v>1</v>
      </c>
      <c r="W229" s="1232"/>
      <c r="X229" s="1232" t="s">
        <v>9449</v>
      </c>
      <c r="Y229" s="1232" t="s">
        <v>9160</v>
      </c>
      <c r="Z229" s="1232" t="s">
        <v>9270</v>
      </c>
      <c r="AA229" s="1236" t="s">
        <v>1272</v>
      </c>
      <c r="AB229" s="867" t="s">
        <v>545</v>
      </c>
      <c r="AC229" s="1237"/>
      <c r="AD229" s="942">
        <f t="shared" si="63"/>
        <v>1375</v>
      </c>
      <c r="AE229" s="942">
        <f t="shared" si="64"/>
        <v>1</v>
      </c>
      <c r="AF229" s="942">
        <f t="shared" si="64"/>
        <v>0</v>
      </c>
      <c r="AG229" s="942">
        <f t="shared" si="65"/>
        <v>1374</v>
      </c>
      <c r="AH229" s="942">
        <f t="shared" si="66"/>
        <v>11</v>
      </c>
      <c r="AI229" s="942">
        <f t="shared" si="67"/>
        <v>1363</v>
      </c>
      <c r="AJ229" s="942">
        <f t="shared" si="68"/>
        <v>1362</v>
      </c>
      <c r="AK229" s="942">
        <f t="shared" si="69"/>
        <v>1085</v>
      </c>
      <c r="AL229" s="942">
        <f t="shared" si="69"/>
        <v>277</v>
      </c>
      <c r="AM229" s="942">
        <f t="shared" si="69"/>
        <v>1</v>
      </c>
    </row>
    <row r="230" spans="1:39" ht="16.5" customHeight="1">
      <c r="A230" s="1231"/>
      <c r="J230" s="1231" t="s">
        <v>1274</v>
      </c>
      <c r="K230" s="940" t="s">
        <v>546</v>
      </c>
      <c r="L230" s="940"/>
      <c r="M230" s="1241">
        <f t="shared" si="59"/>
        <v>1799</v>
      </c>
      <c r="N230" s="1241">
        <f>C227-SUM(N227:N229)</f>
        <v>20</v>
      </c>
      <c r="O230" s="1241">
        <f>D227-SUM(O227:O229)</f>
        <v>5</v>
      </c>
      <c r="P230" s="1241">
        <f t="shared" si="60"/>
        <v>1774</v>
      </c>
      <c r="Q230" s="1241">
        <f>E227-SUM(Q227:Q229)</f>
        <v>54</v>
      </c>
      <c r="R230" s="1241">
        <f t="shared" si="61"/>
        <v>1720</v>
      </c>
      <c r="S230" s="1241">
        <f t="shared" si="62"/>
        <v>1716</v>
      </c>
      <c r="T230" s="1241">
        <f>F227-SUM(T227:T229)</f>
        <v>1368</v>
      </c>
      <c r="U230" s="1241">
        <f>G227-SUM(U227:U229)</f>
        <v>348</v>
      </c>
      <c r="V230" s="1241">
        <f>H227-SUM(V227:V229)</f>
        <v>4</v>
      </c>
      <c r="W230" s="1232"/>
      <c r="X230" s="1232" t="s">
        <v>9449</v>
      </c>
      <c r="Y230" s="1232" t="s">
        <v>9160</v>
      </c>
      <c r="Z230" s="1232" t="s">
        <v>9270</v>
      </c>
      <c r="AA230" s="1236" t="s">
        <v>1274</v>
      </c>
      <c r="AB230" s="940" t="s">
        <v>546</v>
      </c>
      <c r="AC230" s="1243"/>
      <c r="AD230" s="943">
        <f t="shared" si="63"/>
        <v>1799</v>
      </c>
      <c r="AE230" s="943">
        <f t="shared" si="64"/>
        <v>20</v>
      </c>
      <c r="AF230" s="943">
        <f t="shared" si="64"/>
        <v>5</v>
      </c>
      <c r="AG230" s="943">
        <f t="shared" si="65"/>
        <v>1774</v>
      </c>
      <c r="AH230" s="943">
        <f t="shared" si="66"/>
        <v>54</v>
      </c>
      <c r="AI230" s="943">
        <f t="shared" si="67"/>
        <v>1720</v>
      </c>
      <c r="AJ230" s="943">
        <f t="shared" si="68"/>
        <v>1716</v>
      </c>
      <c r="AK230" s="943">
        <f t="shared" si="69"/>
        <v>1368</v>
      </c>
      <c r="AL230" s="943">
        <f t="shared" si="69"/>
        <v>348</v>
      </c>
      <c r="AM230" s="943">
        <f t="shared" si="69"/>
        <v>4</v>
      </c>
    </row>
    <row r="231" spans="1:39" ht="16.5" customHeight="1">
      <c r="A231" s="1239" t="s">
        <v>9161</v>
      </c>
      <c r="B231" s="1234" t="s">
        <v>11668</v>
      </c>
      <c r="C231" s="1240">
        <v>18</v>
      </c>
      <c r="D231" s="1240">
        <v>4</v>
      </c>
      <c r="E231" s="1240">
        <v>75</v>
      </c>
      <c r="F231" s="1240">
        <v>4225</v>
      </c>
      <c r="G231" s="1240">
        <v>1078</v>
      </c>
      <c r="H231" s="1240">
        <v>317</v>
      </c>
      <c r="J231" s="1239" t="s">
        <v>8536</v>
      </c>
      <c r="K231" s="867" t="s">
        <v>548</v>
      </c>
      <c r="L231" s="867"/>
      <c r="M231" s="1232">
        <f t="shared" si="59"/>
        <v>227</v>
      </c>
      <c r="N231" s="1232">
        <v>0</v>
      </c>
      <c r="O231" s="1232">
        <v>0</v>
      </c>
      <c r="P231" s="1232">
        <f t="shared" si="60"/>
        <v>227</v>
      </c>
      <c r="Q231" s="1232">
        <v>3</v>
      </c>
      <c r="R231" s="1232">
        <f t="shared" si="61"/>
        <v>224</v>
      </c>
      <c r="S231" s="1232">
        <f t="shared" si="62"/>
        <v>207</v>
      </c>
      <c r="T231" s="1232">
        <v>165</v>
      </c>
      <c r="U231" s="1232">
        <v>42</v>
      </c>
      <c r="V231" s="1232">
        <v>17</v>
      </c>
      <c r="W231" s="1232"/>
      <c r="X231" s="1232" t="s">
        <v>547</v>
      </c>
      <c r="Y231" s="1232" t="s">
        <v>9161</v>
      </c>
      <c r="Z231" s="1232" t="s">
        <v>9271</v>
      </c>
      <c r="AA231" s="1233" t="s">
        <v>8536</v>
      </c>
      <c r="AB231" s="867" t="s">
        <v>548</v>
      </c>
      <c r="AC231" s="1237"/>
      <c r="AD231" s="942">
        <f t="shared" si="63"/>
        <v>227</v>
      </c>
      <c r="AE231" s="942">
        <f t="shared" si="64"/>
        <v>0</v>
      </c>
      <c r="AF231" s="942">
        <f t="shared" si="64"/>
        <v>0</v>
      </c>
      <c r="AG231" s="942">
        <f t="shared" si="65"/>
        <v>227</v>
      </c>
      <c r="AH231" s="942">
        <f t="shared" si="66"/>
        <v>3</v>
      </c>
      <c r="AI231" s="942">
        <f t="shared" si="67"/>
        <v>224</v>
      </c>
      <c r="AJ231" s="942">
        <f t="shared" si="68"/>
        <v>207</v>
      </c>
      <c r="AK231" s="942">
        <f t="shared" si="69"/>
        <v>165</v>
      </c>
      <c r="AL231" s="942">
        <f t="shared" si="69"/>
        <v>42</v>
      </c>
      <c r="AM231" s="942">
        <f t="shared" si="69"/>
        <v>17</v>
      </c>
    </row>
    <row r="232" spans="1:39" ht="16.5" customHeight="1">
      <c r="A232" s="1231"/>
      <c r="J232" s="1231" t="s">
        <v>8538</v>
      </c>
      <c r="K232" s="867" t="s">
        <v>6961</v>
      </c>
      <c r="L232" s="867"/>
      <c r="M232" s="1232">
        <f t="shared" si="59"/>
        <v>1715</v>
      </c>
      <c r="N232" s="1232">
        <v>0</v>
      </c>
      <c r="O232" s="1232">
        <v>0</v>
      </c>
      <c r="P232" s="1232">
        <f t="shared" si="60"/>
        <v>1715</v>
      </c>
      <c r="Q232" s="1232">
        <v>12</v>
      </c>
      <c r="R232" s="1232">
        <f t="shared" si="61"/>
        <v>1703</v>
      </c>
      <c r="S232" s="1232">
        <f t="shared" si="62"/>
        <v>1607</v>
      </c>
      <c r="T232" s="1232">
        <v>1283</v>
      </c>
      <c r="U232" s="1232">
        <v>324</v>
      </c>
      <c r="V232" s="1232">
        <v>96</v>
      </c>
      <c r="W232" s="1232"/>
      <c r="X232" s="1232" t="s">
        <v>547</v>
      </c>
      <c r="Y232" s="1232" t="s">
        <v>9161</v>
      </c>
      <c r="Z232" s="1232" t="s">
        <v>9271</v>
      </c>
      <c r="AA232" s="1236" t="s">
        <v>8538</v>
      </c>
      <c r="AB232" s="867" t="s">
        <v>6961</v>
      </c>
      <c r="AC232" s="1237"/>
      <c r="AD232" s="942">
        <f t="shared" si="63"/>
        <v>1715</v>
      </c>
      <c r="AE232" s="942">
        <f t="shared" si="64"/>
        <v>0</v>
      </c>
      <c r="AF232" s="942">
        <f t="shared" si="64"/>
        <v>0</v>
      </c>
      <c r="AG232" s="942">
        <f t="shared" si="65"/>
        <v>1715</v>
      </c>
      <c r="AH232" s="942">
        <f t="shared" si="66"/>
        <v>12</v>
      </c>
      <c r="AI232" s="942">
        <f t="shared" si="67"/>
        <v>1703</v>
      </c>
      <c r="AJ232" s="942">
        <f t="shared" si="68"/>
        <v>1607</v>
      </c>
      <c r="AK232" s="942">
        <f t="shared" si="69"/>
        <v>1283</v>
      </c>
      <c r="AL232" s="942">
        <f t="shared" si="69"/>
        <v>324</v>
      </c>
      <c r="AM232" s="942">
        <f t="shared" si="69"/>
        <v>96</v>
      </c>
    </row>
    <row r="233" spans="1:39" ht="16.5" customHeight="1">
      <c r="A233" s="1231"/>
      <c r="J233" s="1231" t="s">
        <v>8540</v>
      </c>
      <c r="K233" s="867" t="s">
        <v>11669</v>
      </c>
      <c r="L233" s="867"/>
      <c r="M233" s="1232">
        <f t="shared" si="59"/>
        <v>2646</v>
      </c>
      <c r="N233" s="1232">
        <v>3</v>
      </c>
      <c r="O233" s="1232">
        <v>1</v>
      </c>
      <c r="P233" s="1232">
        <f t="shared" si="60"/>
        <v>2642</v>
      </c>
      <c r="Q233" s="1232">
        <v>26</v>
      </c>
      <c r="R233" s="1232">
        <f t="shared" si="61"/>
        <v>2616</v>
      </c>
      <c r="S233" s="1232">
        <f t="shared" si="62"/>
        <v>2541</v>
      </c>
      <c r="T233" s="1232">
        <v>2027</v>
      </c>
      <c r="U233" s="1232">
        <v>514</v>
      </c>
      <c r="V233" s="1232">
        <v>75</v>
      </c>
      <c r="W233" s="1232"/>
      <c r="X233" s="1232" t="s">
        <v>547</v>
      </c>
      <c r="Y233" s="1232" t="s">
        <v>9161</v>
      </c>
      <c r="Z233" s="1232" t="s">
        <v>9271</v>
      </c>
      <c r="AA233" s="1236" t="s">
        <v>8540</v>
      </c>
      <c r="AB233" s="867" t="s">
        <v>11669</v>
      </c>
      <c r="AC233" s="1237"/>
      <c r="AD233" s="942">
        <f t="shared" si="63"/>
        <v>2646</v>
      </c>
      <c r="AE233" s="942">
        <f t="shared" si="64"/>
        <v>3</v>
      </c>
      <c r="AF233" s="942">
        <f t="shared" si="64"/>
        <v>1</v>
      </c>
      <c r="AG233" s="942">
        <f t="shared" si="65"/>
        <v>2642</v>
      </c>
      <c r="AH233" s="942">
        <f t="shared" si="66"/>
        <v>26</v>
      </c>
      <c r="AI233" s="942">
        <f t="shared" si="67"/>
        <v>2616</v>
      </c>
      <c r="AJ233" s="942">
        <f t="shared" si="68"/>
        <v>2541</v>
      </c>
      <c r="AK233" s="942">
        <f t="shared" si="69"/>
        <v>2027</v>
      </c>
      <c r="AL233" s="942">
        <f t="shared" si="69"/>
        <v>514</v>
      </c>
      <c r="AM233" s="942">
        <f t="shared" si="69"/>
        <v>75</v>
      </c>
    </row>
    <row r="234" spans="1:39" ht="16.5" customHeight="1">
      <c r="A234" s="1231"/>
      <c r="J234" s="1231" t="s">
        <v>8542</v>
      </c>
      <c r="K234" s="867" t="s">
        <v>552</v>
      </c>
      <c r="L234" s="867"/>
      <c r="M234" s="1232">
        <f t="shared" si="59"/>
        <v>14</v>
      </c>
      <c r="N234" s="1232">
        <v>0</v>
      </c>
      <c r="O234" s="1232">
        <v>0</v>
      </c>
      <c r="P234" s="1232">
        <f t="shared" si="60"/>
        <v>14</v>
      </c>
      <c r="Q234" s="1232">
        <v>0</v>
      </c>
      <c r="R234" s="1232">
        <f t="shared" si="61"/>
        <v>14</v>
      </c>
      <c r="S234" s="1232">
        <f t="shared" si="62"/>
        <v>14</v>
      </c>
      <c r="T234" s="1232">
        <v>11</v>
      </c>
      <c r="U234" s="1232">
        <v>3</v>
      </c>
      <c r="V234" s="1232">
        <v>0</v>
      </c>
      <c r="W234" s="1232"/>
      <c r="X234" s="1232" t="s">
        <v>547</v>
      </c>
      <c r="Y234" s="1232" t="s">
        <v>9161</v>
      </c>
      <c r="Z234" s="1232" t="s">
        <v>9271</v>
      </c>
      <c r="AA234" s="1236" t="s">
        <v>8542</v>
      </c>
      <c r="AB234" s="867" t="s">
        <v>552</v>
      </c>
      <c r="AC234" s="1237"/>
      <c r="AD234" s="942">
        <f t="shared" si="63"/>
        <v>14</v>
      </c>
      <c r="AE234" s="942">
        <f t="shared" si="64"/>
        <v>0</v>
      </c>
      <c r="AF234" s="942">
        <f t="shared" si="64"/>
        <v>0</v>
      </c>
      <c r="AG234" s="942">
        <f t="shared" si="65"/>
        <v>14</v>
      </c>
      <c r="AH234" s="942">
        <f t="shared" si="66"/>
        <v>0</v>
      </c>
      <c r="AI234" s="942">
        <f t="shared" si="67"/>
        <v>14</v>
      </c>
      <c r="AJ234" s="942">
        <f t="shared" si="68"/>
        <v>14</v>
      </c>
      <c r="AK234" s="942">
        <f t="shared" si="69"/>
        <v>11</v>
      </c>
      <c r="AL234" s="942">
        <f t="shared" si="69"/>
        <v>3</v>
      </c>
      <c r="AM234" s="942">
        <f t="shared" si="69"/>
        <v>0</v>
      </c>
    </row>
    <row r="235" spans="1:39" ht="16.5" customHeight="1">
      <c r="A235" s="1231"/>
      <c r="J235" s="1231" t="s">
        <v>8544</v>
      </c>
      <c r="K235" s="867" t="s">
        <v>553</v>
      </c>
      <c r="L235" s="867"/>
      <c r="M235" s="1232">
        <f t="shared" si="59"/>
        <v>612</v>
      </c>
      <c r="N235" s="1232">
        <v>6</v>
      </c>
      <c r="O235" s="1232">
        <v>1</v>
      </c>
      <c r="P235" s="1232">
        <f t="shared" si="60"/>
        <v>605</v>
      </c>
      <c r="Q235" s="1232">
        <v>13</v>
      </c>
      <c r="R235" s="1232">
        <f t="shared" si="61"/>
        <v>592</v>
      </c>
      <c r="S235" s="1232">
        <f t="shared" si="62"/>
        <v>481</v>
      </c>
      <c r="T235" s="1232">
        <v>384</v>
      </c>
      <c r="U235" s="1232">
        <v>97</v>
      </c>
      <c r="V235" s="1232">
        <v>111</v>
      </c>
      <c r="W235" s="1232"/>
      <c r="X235" s="1232" t="s">
        <v>547</v>
      </c>
      <c r="Y235" s="1232" t="s">
        <v>9161</v>
      </c>
      <c r="Z235" s="1232" t="s">
        <v>9271</v>
      </c>
      <c r="AA235" s="1236" t="s">
        <v>8544</v>
      </c>
      <c r="AB235" s="867" t="s">
        <v>553</v>
      </c>
      <c r="AC235" s="1237"/>
      <c r="AD235" s="942">
        <f t="shared" si="63"/>
        <v>612</v>
      </c>
      <c r="AE235" s="942">
        <f t="shared" si="64"/>
        <v>6</v>
      </c>
      <c r="AF235" s="942">
        <f t="shared" si="64"/>
        <v>1</v>
      </c>
      <c r="AG235" s="942">
        <f t="shared" si="65"/>
        <v>605</v>
      </c>
      <c r="AH235" s="942">
        <f t="shared" si="66"/>
        <v>13</v>
      </c>
      <c r="AI235" s="942">
        <f t="shared" si="67"/>
        <v>592</v>
      </c>
      <c r="AJ235" s="942">
        <f t="shared" si="68"/>
        <v>481</v>
      </c>
      <c r="AK235" s="942">
        <f t="shared" si="69"/>
        <v>384</v>
      </c>
      <c r="AL235" s="942">
        <f t="shared" si="69"/>
        <v>97</v>
      </c>
      <c r="AM235" s="942">
        <f t="shared" si="69"/>
        <v>111</v>
      </c>
    </row>
    <row r="236" spans="1:39" ht="16.5" customHeight="1">
      <c r="A236" s="1231"/>
      <c r="J236" s="1231" t="s">
        <v>8546</v>
      </c>
      <c r="K236" s="867" t="s">
        <v>11670</v>
      </c>
      <c r="L236" s="867"/>
      <c r="M236" s="1232">
        <f t="shared" si="59"/>
        <v>20</v>
      </c>
      <c r="N236" s="1232">
        <v>0</v>
      </c>
      <c r="O236" s="1232">
        <v>0</v>
      </c>
      <c r="P236" s="1232">
        <f t="shared" si="60"/>
        <v>20</v>
      </c>
      <c r="Q236" s="1232">
        <v>0</v>
      </c>
      <c r="R236" s="1232">
        <f t="shared" si="61"/>
        <v>20</v>
      </c>
      <c r="S236" s="1232">
        <f t="shared" si="62"/>
        <v>18</v>
      </c>
      <c r="T236" s="1232">
        <v>14</v>
      </c>
      <c r="U236" s="1232">
        <v>4</v>
      </c>
      <c r="V236" s="1232">
        <v>2</v>
      </c>
      <c r="W236" s="1232"/>
      <c r="X236" s="1232" t="s">
        <v>554</v>
      </c>
      <c r="Y236" s="1232" t="s">
        <v>9161</v>
      </c>
      <c r="Z236" s="1232" t="s">
        <v>9271</v>
      </c>
      <c r="AA236" s="1236" t="s">
        <v>8546</v>
      </c>
      <c r="AB236" s="867" t="s">
        <v>11670</v>
      </c>
      <c r="AC236" s="1237"/>
      <c r="AD236" s="942">
        <f t="shared" si="63"/>
        <v>20</v>
      </c>
      <c r="AE236" s="942">
        <f t="shared" si="64"/>
        <v>0</v>
      </c>
      <c r="AF236" s="942">
        <f t="shared" si="64"/>
        <v>0</v>
      </c>
      <c r="AG236" s="942">
        <f t="shared" si="65"/>
        <v>20</v>
      </c>
      <c r="AH236" s="942">
        <f t="shared" si="66"/>
        <v>0</v>
      </c>
      <c r="AI236" s="942">
        <f t="shared" si="67"/>
        <v>20</v>
      </c>
      <c r="AJ236" s="942">
        <f t="shared" si="68"/>
        <v>18</v>
      </c>
      <c r="AK236" s="942">
        <f t="shared" si="69"/>
        <v>14</v>
      </c>
      <c r="AL236" s="942">
        <f t="shared" si="69"/>
        <v>4</v>
      </c>
      <c r="AM236" s="942">
        <f t="shared" si="69"/>
        <v>2</v>
      </c>
    </row>
    <row r="237" spans="1:39" ht="16.5" customHeight="1">
      <c r="A237" s="1231"/>
      <c r="J237" s="1231" t="s">
        <v>8548</v>
      </c>
      <c r="K237" s="940" t="s">
        <v>556</v>
      </c>
      <c r="L237" s="940"/>
      <c r="M237" s="1241">
        <f t="shared" si="59"/>
        <v>483</v>
      </c>
      <c r="N237" s="1241">
        <f>C231-SUM(N231:N236)</f>
        <v>9</v>
      </c>
      <c r="O237" s="1241">
        <f>D231-SUM(O231:O236)</f>
        <v>2</v>
      </c>
      <c r="P237" s="1241">
        <f t="shared" si="60"/>
        <v>472</v>
      </c>
      <c r="Q237" s="1241">
        <f>E231-SUM(Q231:Q236)</f>
        <v>21</v>
      </c>
      <c r="R237" s="1241">
        <f t="shared" si="61"/>
        <v>451</v>
      </c>
      <c r="S237" s="1241">
        <f t="shared" si="62"/>
        <v>435</v>
      </c>
      <c r="T237" s="1241">
        <f>F231-SUM(T231:T236)</f>
        <v>341</v>
      </c>
      <c r="U237" s="1241">
        <f>G231-SUM(U231:U236)</f>
        <v>94</v>
      </c>
      <c r="V237" s="1241">
        <f>H231-SUM(V231:V236)</f>
        <v>16</v>
      </c>
      <c r="W237" s="1232"/>
      <c r="X237" s="1232" t="s">
        <v>554</v>
      </c>
      <c r="Y237" s="1232" t="s">
        <v>9161</v>
      </c>
      <c r="Z237" s="1232" t="s">
        <v>9271</v>
      </c>
      <c r="AA237" s="1236" t="s">
        <v>8548</v>
      </c>
      <c r="AB237" s="940" t="s">
        <v>556</v>
      </c>
      <c r="AC237" s="1243"/>
      <c r="AD237" s="943">
        <f t="shared" si="63"/>
        <v>483</v>
      </c>
      <c r="AE237" s="943">
        <f t="shared" si="64"/>
        <v>9</v>
      </c>
      <c r="AF237" s="943">
        <f t="shared" si="64"/>
        <v>2</v>
      </c>
      <c r="AG237" s="943">
        <f t="shared" si="65"/>
        <v>472</v>
      </c>
      <c r="AH237" s="943">
        <f t="shared" si="66"/>
        <v>21</v>
      </c>
      <c r="AI237" s="943">
        <f t="shared" si="67"/>
        <v>451</v>
      </c>
      <c r="AJ237" s="943">
        <f t="shared" si="68"/>
        <v>435</v>
      </c>
      <c r="AK237" s="943">
        <f t="shared" si="69"/>
        <v>341</v>
      </c>
      <c r="AL237" s="943">
        <f t="shared" si="69"/>
        <v>94</v>
      </c>
      <c r="AM237" s="943">
        <f t="shared" si="69"/>
        <v>16</v>
      </c>
    </row>
    <row r="238" spans="1:39" ht="16.5" customHeight="1">
      <c r="A238" s="1239" t="s">
        <v>9162</v>
      </c>
      <c r="B238" s="1234" t="s">
        <v>11671</v>
      </c>
      <c r="C238" s="1240">
        <v>7</v>
      </c>
      <c r="D238" s="1240">
        <v>3</v>
      </c>
      <c r="E238" s="1240">
        <v>35</v>
      </c>
      <c r="F238" s="1240">
        <v>2123</v>
      </c>
      <c r="G238" s="1240">
        <v>554</v>
      </c>
      <c r="H238" s="1240">
        <v>89</v>
      </c>
      <c r="J238" s="1239" t="s">
        <v>1283</v>
      </c>
      <c r="K238" s="867" t="s">
        <v>6977</v>
      </c>
      <c r="L238" s="867"/>
      <c r="M238" s="1232">
        <f t="shared" si="59"/>
        <v>1575</v>
      </c>
      <c r="N238" s="1232">
        <v>4</v>
      </c>
      <c r="O238" s="1232">
        <v>1</v>
      </c>
      <c r="P238" s="1232">
        <f t="shared" si="60"/>
        <v>1570</v>
      </c>
      <c r="Q238" s="1232">
        <v>21</v>
      </c>
      <c r="R238" s="1232">
        <f t="shared" si="61"/>
        <v>1549</v>
      </c>
      <c r="S238" s="1232">
        <f t="shared" si="62"/>
        <v>1479</v>
      </c>
      <c r="T238" s="1232">
        <v>1173</v>
      </c>
      <c r="U238" s="1232">
        <v>306</v>
      </c>
      <c r="V238" s="1232">
        <v>70</v>
      </c>
      <c r="W238" s="1232"/>
      <c r="X238" s="1232" t="s">
        <v>9450</v>
      </c>
      <c r="Y238" s="1232" t="s">
        <v>9162</v>
      </c>
      <c r="Z238" s="1232" t="s">
        <v>9271</v>
      </c>
      <c r="AA238" s="1233" t="s">
        <v>1283</v>
      </c>
      <c r="AB238" s="867" t="s">
        <v>6977</v>
      </c>
      <c r="AC238" s="1237"/>
      <c r="AD238" s="942">
        <f t="shared" si="63"/>
        <v>1575</v>
      </c>
      <c r="AE238" s="942">
        <f t="shared" si="64"/>
        <v>4</v>
      </c>
      <c r="AF238" s="942">
        <f t="shared" si="64"/>
        <v>1</v>
      </c>
      <c r="AG238" s="942">
        <f t="shared" si="65"/>
        <v>1570</v>
      </c>
      <c r="AH238" s="942">
        <f t="shared" si="66"/>
        <v>21</v>
      </c>
      <c r="AI238" s="942">
        <f t="shared" si="67"/>
        <v>1549</v>
      </c>
      <c r="AJ238" s="942">
        <f t="shared" si="68"/>
        <v>1479</v>
      </c>
      <c r="AK238" s="942">
        <f t="shared" si="69"/>
        <v>1173</v>
      </c>
      <c r="AL238" s="942">
        <f t="shared" si="69"/>
        <v>306</v>
      </c>
      <c r="AM238" s="942">
        <f t="shared" si="69"/>
        <v>70</v>
      </c>
    </row>
    <row r="239" spans="1:39" ht="16.5" customHeight="1">
      <c r="A239" s="1231"/>
      <c r="J239" s="1231" t="s">
        <v>1285</v>
      </c>
      <c r="K239" s="867" t="s">
        <v>11672</v>
      </c>
      <c r="L239" s="867"/>
      <c r="M239" s="1232">
        <f t="shared" si="59"/>
        <v>0</v>
      </c>
      <c r="N239" s="1232">
        <v>0</v>
      </c>
      <c r="O239" s="1232">
        <v>0</v>
      </c>
      <c r="P239" s="1232">
        <f t="shared" si="60"/>
        <v>0</v>
      </c>
      <c r="Q239" s="1232">
        <v>0</v>
      </c>
      <c r="R239" s="1232">
        <f t="shared" si="61"/>
        <v>0</v>
      </c>
      <c r="S239" s="1232">
        <f t="shared" si="62"/>
        <v>0</v>
      </c>
      <c r="T239" s="1232">
        <v>0</v>
      </c>
      <c r="U239" s="1232">
        <v>0</v>
      </c>
      <c r="V239" s="1232">
        <v>0</v>
      </c>
      <c r="W239" s="1232"/>
      <c r="X239" s="1232" t="s">
        <v>9450</v>
      </c>
      <c r="Y239" s="1232" t="s">
        <v>9162</v>
      </c>
      <c r="Z239" s="1232" t="s">
        <v>9271</v>
      </c>
      <c r="AA239" s="1236" t="s">
        <v>1285</v>
      </c>
      <c r="AB239" s="867" t="s">
        <v>11672</v>
      </c>
      <c r="AC239" s="1237"/>
      <c r="AD239" s="942">
        <f t="shared" si="63"/>
        <v>0</v>
      </c>
      <c r="AE239" s="942">
        <f t="shared" si="64"/>
        <v>0</v>
      </c>
      <c r="AF239" s="942">
        <f t="shared" si="64"/>
        <v>0</v>
      </c>
      <c r="AG239" s="942">
        <f t="shared" si="65"/>
        <v>0</v>
      </c>
      <c r="AH239" s="942">
        <f t="shared" si="66"/>
        <v>0</v>
      </c>
      <c r="AI239" s="942">
        <f t="shared" si="67"/>
        <v>0</v>
      </c>
      <c r="AJ239" s="942">
        <f t="shared" si="68"/>
        <v>0</v>
      </c>
      <c r="AK239" s="942">
        <f t="shared" si="69"/>
        <v>0</v>
      </c>
      <c r="AL239" s="942">
        <f t="shared" si="69"/>
        <v>0</v>
      </c>
      <c r="AM239" s="942">
        <f t="shared" si="69"/>
        <v>0</v>
      </c>
    </row>
    <row r="240" spans="1:39" ht="16.5" customHeight="1">
      <c r="A240" s="1231"/>
      <c r="J240" s="1231" t="s">
        <v>1287</v>
      </c>
      <c r="K240" s="940" t="s">
        <v>11673</v>
      </c>
      <c r="L240" s="940"/>
      <c r="M240" s="1241">
        <f t="shared" si="59"/>
        <v>1236</v>
      </c>
      <c r="N240" s="1241">
        <f>C238-SUM(N238:N239)</f>
        <v>3</v>
      </c>
      <c r="O240" s="1241">
        <f>D238-SUM(O238:O239)</f>
        <v>2</v>
      </c>
      <c r="P240" s="1241">
        <f t="shared" si="60"/>
        <v>1231</v>
      </c>
      <c r="Q240" s="1241">
        <f>E238-SUM(Q238:Q239)</f>
        <v>14</v>
      </c>
      <c r="R240" s="1241">
        <f t="shared" si="61"/>
        <v>1217</v>
      </c>
      <c r="S240" s="1241">
        <f t="shared" si="62"/>
        <v>1198</v>
      </c>
      <c r="T240" s="1241">
        <f>F238-SUM(T238:T239)</f>
        <v>950</v>
      </c>
      <c r="U240" s="1241">
        <f t="shared" ref="U240:V240" si="71">G238-SUM(U238:U239)</f>
        <v>248</v>
      </c>
      <c r="V240" s="1241">
        <f t="shared" si="71"/>
        <v>19</v>
      </c>
      <c r="W240" s="1232"/>
      <c r="X240" s="1232" t="s">
        <v>9450</v>
      </c>
      <c r="Y240" s="1232" t="s">
        <v>9162</v>
      </c>
      <c r="Z240" s="1232" t="s">
        <v>9271</v>
      </c>
      <c r="AA240" s="1236" t="s">
        <v>1287</v>
      </c>
      <c r="AB240" s="940" t="s">
        <v>11673</v>
      </c>
      <c r="AC240" s="1243"/>
      <c r="AD240" s="943">
        <f t="shared" si="63"/>
        <v>1236</v>
      </c>
      <c r="AE240" s="943">
        <f t="shared" si="64"/>
        <v>3</v>
      </c>
      <c r="AF240" s="943">
        <f t="shared" si="64"/>
        <v>2</v>
      </c>
      <c r="AG240" s="943">
        <f t="shared" si="65"/>
        <v>1231</v>
      </c>
      <c r="AH240" s="943">
        <f t="shared" si="66"/>
        <v>14</v>
      </c>
      <c r="AI240" s="943">
        <f t="shared" si="67"/>
        <v>1217</v>
      </c>
      <c r="AJ240" s="943">
        <f t="shared" si="68"/>
        <v>1198</v>
      </c>
      <c r="AK240" s="943">
        <f t="shared" si="69"/>
        <v>950</v>
      </c>
      <c r="AL240" s="943">
        <f t="shared" si="69"/>
        <v>248</v>
      </c>
      <c r="AM240" s="943">
        <f t="shared" si="69"/>
        <v>19</v>
      </c>
    </row>
    <row r="241" spans="1:39" ht="16.5" customHeight="1">
      <c r="A241" s="1239" t="s">
        <v>9163</v>
      </c>
      <c r="B241" s="1234" t="s">
        <v>11674</v>
      </c>
      <c r="C241" s="1240">
        <v>0</v>
      </c>
      <c r="D241" s="1240">
        <v>0</v>
      </c>
      <c r="E241" s="1240">
        <v>0</v>
      </c>
      <c r="F241" s="1240">
        <v>0</v>
      </c>
      <c r="G241" s="1240">
        <v>0</v>
      </c>
      <c r="H241" s="1240">
        <v>0</v>
      </c>
      <c r="J241" s="1239" t="s">
        <v>1289</v>
      </c>
      <c r="K241" s="1234" t="s">
        <v>11675</v>
      </c>
      <c r="L241" s="1234"/>
      <c r="M241" s="1240" t="e">
        <f t="shared" si="59"/>
        <v>#DIV/0!</v>
      </c>
      <c r="N241" s="1240" t="e">
        <v>#DIV/0!</v>
      </c>
      <c r="O241" s="1240" t="e">
        <v>#DIV/0!</v>
      </c>
      <c r="P241" s="1232" t="e">
        <f t="shared" si="60"/>
        <v>#DIV/0!</v>
      </c>
      <c r="Q241" s="1232" t="e">
        <v>#DIV/0!</v>
      </c>
      <c r="R241" s="1232" t="e">
        <f t="shared" si="61"/>
        <v>#DIV/0!</v>
      </c>
      <c r="S241" s="1232" t="e">
        <f t="shared" si="62"/>
        <v>#DIV/0!</v>
      </c>
      <c r="T241" s="1232" t="e">
        <v>#DIV/0!</v>
      </c>
      <c r="U241" s="1232" t="e">
        <v>#DIV/0!</v>
      </c>
      <c r="V241" s="1232" t="e">
        <v>#DIV/0!</v>
      </c>
      <c r="W241" s="1232"/>
      <c r="X241" s="1232" t="s">
        <v>9451</v>
      </c>
      <c r="Y241" s="1232" t="s">
        <v>9163</v>
      </c>
      <c r="Z241" s="1232" t="s">
        <v>9272</v>
      </c>
      <c r="AA241" s="1233" t="s">
        <v>1289</v>
      </c>
      <c r="AB241" s="1234" t="s">
        <v>11675</v>
      </c>
      <c r="AC241" s="1235"/>
      <c r="AD241" s="1213">
        <f t="shared" si="63"/>
        <v>0</v>
      </c>
      <c r="AE241" s="1219">
        <v>0</v>
      </c>
      <c r="AF241" s="1219">
        <v>0</v>
      </c>
      <c r="AG241" s="942">
        <f t="shared" si="65"/>
        <v>0</v>
      </c>
      <c r="AH241" s="1219">
        <v>0</v>
      </c>
      <c r="AI241" s="942">
        <f t="shared" si="67"/>
        <v>0</v>
      </c>
      <c r="AJ241" s="942">
        <f t="shared" si="68"/>
        <v>0</v>
      </c>
      <c r="AK241" s="1219">
        <v>0</v>
      </c>
      <c r="AL241" s="1219">
        <v>0</v>
      </c>
      <c r="AM241" s="1219">
        <v>0</v>
      </c>
    </row>
    <row r="242" spans="1:39" ht="16.5" customHeight="1">
      <c r="A242" s="1231"/>
      <c r="J242" s="1231" t="s">
        <v>11676</v>
      </c>
      <c r="K242" s="940" t="s">
        <v>11677</v>
      </c>
      <c r="L242" s="940"/>
      <c r="M242" s="1241" t="e">
        <f t="shared" si="59"/>
        <v>#DIV/0!</v>
      </c>
      <c r="N242" s="1241" t="e">
        <f>C241-SUM(N241:N241)</f>
        <v>#DIV/0!</v>
      </c>
      <c r="O242" s="1241" t="e">
        <f>D241-SUM(O241:O241)</f>
        <v>#DIV/0!</v>
      </c>
      <c r="P242" s="1241" t="e">
        <f t="shared" si="60"/>
        <v>#DIV/0!</v>
      </c>
      <c r="Q242" s="1241" t="e">
        <f>E241-SUM(Q241:Q241)</f>
        <v>#DIV/0!</v>
      </c>
      <c r="R242" s="1241" t="e">
        <f t="shared" si="61"/>
        <v>#DIV/0!</v>
      </c>
      <c r="S242" s="1241" t="e">
        <f t="shared" si="62"/>
        <v>#DIV/0!</v>
      </c>
      <c r="T242" s="1241" t="e">
        <f>F241-SUM(T241:T241)</f>
        <v>#DIV/0!</v>
      </c>
      <c r="U242" s="1241" t="e">
        <f>G241-SUM(U241:U241)</f>
        <v>#DIV/0!</v>
      </c>
      <c r="V242" s="1241" t="e">
        <f>H241-SUM(V241:V241)</f>
        <v>#DIV/0!</v>
      </c>
      <c r="W242" s="1232"/>
      <c r="X242" s="1232" t="s">
        <v>9451</v>
      </c>
      <c r="Y242" s="1232" t="s">
        <v>9163</v>
      </c>
      <c r="Z242" s="1232" t="s">
        <v>9272</v>
      </c>
      <c r="AA242" s="1236" t="s">
        <v>11676</v>
      </c>
      <c r="AB242" s="940" t="s">
        <v>11677</v>
      </c>
      <c r="AC242" s="1243"/>
      <c r="AD242" s="943">
        <f t="shared" si="63"/>
        <v>0</v>
      </c>
      <c r="AE242" s="1218">
        <v>0</v>
      </c>
      <c r="AF242" s="1218">
        <v>0</v>
      </c>
      <c r="AG242" s="943">
        <f t="shared" si="65"/>
        <v>0</v>
      </c>
      <c r="AH242" s="1218">
        <v>0</v>
      </c>
      <c r="AI242" s="943">
        <f t="shared" si="67"/>
        <v>0</v>
      </c>
      <c r="AJ242" s="943">
        <f t="shared" si="68"/>
        <v>0</v>
      </c>
      <c r="AK242" s="1218">
        <v>0</v>
      </c>
      <c r="AL242" s="1218">
        <v>0</v>
      </c>
      <c r="AM242" s="1218">
        <v>0</v>
      </c>
    </row>
    <row r="243" spans="1:39" ht="16.5" customHeight="1">
      <c r="A243" s="1239" t="s">
        <v>9164</v>
      </c>
      <c r="B243" s="1234" t="s">
        <v>11678</v>
      </c>
      <c r="C243" s="1240">
        <v>0</v>
      </c>
      <c r="D243" s="1240">
        <v>0</v>
      </c>
      <c r="E243" s="1240">
        <v>42</v>
      </c>
      <c r="F243" s="1240">
        <v>2147</v>
      </c>
      <c r="G243" s="1240">
        <v>334</v>
      </c>
      <c r="H243" s="1240">
        <v>10</v>
      </c>
      <c r="J243" s="1239" t="s">
        <v>1291</v>
      </c>
      <c r="K243" s="867" t="s">
        <v>565</v>
      </c>
      <c r="L243" s="867"/>
      <c r="M243" s="1232" t="e">
        <f t="shared" si="59"/>
        <v>#DIV/0!</v>
      </c>
      <c r="N243" s="1232" t="e">
        <v>#DIV/0!</v>
      </c>
      <c r="O243" s="1232" t="e">
        <v>#DIV/0!</v>
      </c>
      <c r="P243" s="1232">
        <f t="shared" si="60"/>
        <v>829</v>
      </c>
      <c r="Q243" s="1232">
        <v>35</v>
      </c>
      <c r="R243" s="1232">
        <f t="shared" si="61"/>
        <v>794</v>
      </c>
      <c r="S243" s="1232">
        <f t="shared" si="62"/>
        <v>794</v>
      </c>
      <c r="T243" s="1232">
        <v>687</v>
      </c>
      <c r="U243" s="1232">
        <v>107</v>
      </c>
      <c r="V243" s="1232">
        <v>0</v>
      </c>
      <c r="W243" s="1232"/>
      <c r="X243" s="1232" t="s">
        <v>9452</v>
      </c>
      <c r="Y243" s="1232" t="s">
        <v>9164</v>
      </c>
      <c r="Z243" s="1232" t="s">
        <v>9272</v>
      </c>
      <c r="AA243" s="1233" t="s">
        <v>1291</v>
      </c>
      <c r="AB243" s="867" t="s">
        <v>565</v>
      </c>
      <c r="AC243" s="1237"/>
      <c r="AD243" s="942">
        <f t="shared" si="63"/>
        <v>829</v>
      </c>
      <c r="AE243" s="1217">
        <v>0</v>
      </c>
      <c r="AF243" s="1217">
        <v>0</v>
      </c>
      <c r="AG243" s="942">
        <f t="shared" si="65"/>
        <v>829</v>
      </c>
      <c r="AH243" s="942">
        <f t="shared" si="66"/>
        <v>35</v>
      </c>
      <c r="AI243" s="942">
        <f t="shared" si="67"/>
        <v>794</v>
      </c>
      <c r="AJ243" s="942">
        <f t="shared" si="68"/>
        <v>794</v>
      </c>
      <c r="AK243" s="942">
        <f t="shared" si="69"/>
        <v>687</v>
      </c>
      <c r="AL243" s="942">
        <f t="shared" si="69"/>
        <v>107</v>
      </c>
      <c r="AM243" s="942">
        <f t="shared" si="69"/>
        <v>0</v>
      </c>
    </row>
    <row r="244" spans="1:39" ht="16.5" customHeight="1">
      <c r="A244" s="1231"/>
      <c r="J244" s="1231" t="s">
        <v>1293</v>
      </c>
      <c r="K244" s="940" t="s">
        <v>567</v>
      </c>
      <c r="L244" s="940"/>
      <c r="M244" s="1241" t="e">
        <f t="shared" si="59"/>
        <v>#DIV/0!</v>
      </c>
      <c r="N244" s="1241" t="e">
        <f>C243-SUM(N243:N243)</f>
        <v>#DIV/0!</v>
      </c>
      <c r="O244" s="1241" t="e">
        <f>D243-SUM(O243:O243)</f>
        <v>#DIV/0!</v>
      </c>
      <c r="P244" s="1241">
        <f t="shared" si="60"/>
        <v>1704</v>
      </c>
      <c r="Q244" s="1241">
        <f>E243-SUM(Q243:Q243)</f>
        <v>7</v>
      </c>
      <c r="R244" s="1241">
        <f t="shared" si="61"/>
        <v>1697</v>
      </c>
      <c r="S244" s="1241">
        <f t="shared" si="62"/>
        <v>1687</v>
      </c>
      <c r="T244" s="1241">
        <f>F243-SUM(T243:T243)</f>
        <v>1460</v>
      </c>
      <c r="U244" s="1241">
        <f>G243-SUM(U243:U243)</f>
        <v>227</v>
      </c>
      <c r="V244" s="1241">
        <f>H243-SUM(V243:V243)</f>
        <v>10</v>
      </c>
      <c r="W244" s="1232"/>
      <c r="X244" s="1232" t="s">
        <v>9453</v>
      </c>
      <c r="Y244" s="1232" t="s">
        <v>9164</v>
      </c>
      <c r="Z244" s="1232" t="s">
        <v>9272</v>
      </c>
      <c r="AA244" s="1236" t="s">
        <v>1293</v>
      </c>
      <c r="AB244" s="940" t="s">
        <v>567</v>
      </c>
      <c r="AC244" s="1243"/>
      <c r="AD244" s="943">
        <f t="shared" si="63"/>
        <v>1704</v>
      </c>
      <c r="AE244" s="1218">
        <v>0</v>
      </c>
      <c r="AF244" s="1218">
        <v>0</v>
      </c>
      <c r="AG244" s="943">
        <f t="shared" si="65"/>
        <v>1704</v>
      </c>
      <c r="AH244" s="943">
        <f t="shared" si="66"/>
        <v>7</v>
      </c>
      <c r="AI244" s="943">
        <f t="shared" si="67"/>
        <v>1697</v>
      </c>
      <c r="AJ244" s="943">
        <f t="shared" si="68"/>
        <v>1687</v>
      </c>
      <c r="AK244" s="943">
        <f t="shared" si="69"/>
        <v>1460</v>
      </c>
      <c r="AL244" s="943">
        <f t="shared" si="69"/>
        <v>227</v>
      </c>
      <c r="AM244" s="943">
        <f t="shared" si="69"/>
        <v>10</v>
      </c>
    </row>
    <row r="245" spans="1:39" ht="16.5" customHeight="1">
      <c r="A245" s="1239" t="s">
        <v>9165</v>
      </c>
      <c r="B245" s="1234" t="s">
        <v>9092</v>
      </c>
      <c r="C245" s="1240">
        <v>233</v>
      </c>
      <c r="D245" s="1240">
        <v>67</v>
      </c>
      <c r="E245" s="1240">
        <v>792</v>
      </c>
      <c r="F245" s="1240">
        <v>20210</v>
      </c>
      <c r="G245" s="1240">
        <v>3140</v>
      </c>
      <c r="H245" s="1240">
        <v>208</v>
      </c>
      <c r="J245" s="1239" t="s">
        <v>1295</v>
      </c>
      <c r="K245" s="1234" t="s">
        <v>11679</v>
      </c>
      <c r="L245" s="1234"/>
      <c r="M245" s="1240">
        <f t="shared" si="59"/>
        <v>1733</v>
      </c>
      <c r="N245" s="1240">
        <v>1</v>
      </c>
      <c r="O245" s="1232">
        <v>1</v>
      </c>
      <c r="P245" s="1232">
        <f t="shared" si="60"/>
        <v>1731</v>
      </c>
      <c r="Q245" s="1232">
        <v>37</v>
      </c>
      <c r="R245" s="1232">
        <f t="shared" si="61"/>
        <v>1694</v>
      </c>
      <c r="S245" s="1232">
        <f t="shared" si="62"/>
        <v>1687</v>
      </c>
      <c r="T245" s="1232">
        <v>1460</v>
      </c>
      <c r="U245" s="1232">
        <v>227</v>
      </c>
      <c r="V245" s="1232">
        <v>7</v>
      </c>
      <c r="W245" s="1232"/>
      <c r="X245" s="1232" t="s">
        <v>9454</v>
      </c>
      <c r="Y245" s="1232" t="s">
        <v>9165</v>
      </c>
      <c r="Z245" s="1232" t="s">
        <v>9272</v>
      </c>
      <c r="AA245" s="1233" t="s">
        <v>1295</v>
      </c>
      <c r="AB245" s="1234" t="s">
        <v>11679</v>
      </c>
      <c r="AC245" s="1235"/>
      <c r="AD245" s="1213">
        <f t="shared" si="63"/>
        <v>1733</v>
      </c>
      <c r="AE245" s="942">
        <f t="shared" si="64"/>
        <v>1</v>
      </c>
      <c r="AF245" s="942">
        <f t="shared" si="64"/>
        <v>1</v>
      </c>
      <c r="AG245" s="942">
        <f t="shared" si="65"/>
        <v>1731</v>
      </c>
      <c r="AH245" s="942">
        <f t="shared" si="66"/>
        <v>37</v>
      </c>
      <c r="AI245" s="942">
        <f t="shared" si="67"/>
        <v>1694</v>
      </c>
      <c r="AJ245" s="942">
        <f t="shared" si="68"/>
        <v>1687</v>
      </c>
      <c r="AK245" s="942">
        <f t="shared" si="69"/>
        <v>1460</v>
      </c>
      <c r="AL245" s="942">
        <f t="shared" si="69"/>
        <v>227</v>
      </c>
      <c r="AM245" s="942">
        <f t="shared" si="69"/>
        <v>7</v>
      </c>
    </row>
    <row r="246" spans="1:39" ht="16.5" customHeight="1">
      <c r="A246" s="1231"/>
      <c r="J246" s="1231" t="s">
        <v>1297</v>
      </c>
      <c r="K246" s="940" t="s">
        <v>570</v>
      </c>
      <c r="L246" s="940"/>
      <c r="M246" s="1241">
        <f t="shared" si="59"/>
        <v>22917</v>
      </c>
      <c r="N246" s="1241">
        <f>C245-SUM(N245:N245)</f>
        <v>232</v>
      </c>
      <c r="O246" s="1241">
        <f>D245-SUM(O245:O245)</f>
        <v>66</v>
      </c>
      <c r="P246" s="1241">
        <f t="shared" si="60"/>
        <v>22619</v>
      </c>
      <c r="Q246" s="1241">
        <f>E245-SUM(Q245:Q245)</f>
        <v>755</v>
      </c>
      <c r="R246" s="1241">
        <f t="shared" si="61"/>
        <v>21864</v>
      </c>
      <c r="S246" s="1241">
        <f t="shared" si="62"/>
        <v>21663</v>
      </c>
      <c r="T246" s="1241">
        <f>F245-SUM(T245:T245)</f>
        <v>18750</v>
      </c>
      <c r="U246" s="1241">
        <f>G245-SUM(U245:U245)</f>
        <v>2913</v>
      </c>
      <c r="V246" s="1241">
        <f>H245-SUM(V245:V245)</f>
        <v>201</v>
      </c>
      <c r="W246" s="1232"/>
      <c r="X246" s="1232" t="s">
        <v>9454</v>
      </c>
      <c r="Y246" s="1232" t="s">
        <v>9165</v>
      </c>
      <c r="Z246" s="1232" t="s">
        <v>9272</v>
      </c>
      <c r="AA246" s="1236" t="s">
        <v>1297</v>
      </c>
      <c r="AB246" s="940" t="s">
        <v>570</v>
      </c>
      <c r="AC246" s="1243"/>
      <c r="AD246" s="943">
        <f t="shared" si="63"/>
        <v>22917</v>
      </c>
      <c r="AE246" s="943">
        <f t="shared" si="64"/>
        <v>232</v>
      </c>
      <c r="AF246" s="943">
        <f t="shared" si="64"/>
        <v>66</v>
      </c>
      <c r="AG246" s="943">
        <f t="shared" si="65"/>
        <v>22619</v>
      </c>
      <c r="AH246" s="943">
        <f t="shared" si="66"/>
        <v>755</v>
      </c>
      <c r="AI246" s="943">
        <f t="shared" si="67"/>
        <v>21864</v>
      </c>
      <c r="AJ246" s="943">
        <f t="shared" si="68"/>
        <v>21663</v>
      </c>
      <c r="AK246" s="943">
        <f t="shared" si="69"/>
        <v>18750</v>
      </c>
      <c r="AL246" s="943">
        <f t="shared" si="69"/>
        <v>2913</v>
      </c>
      <c r="AM246" s="943">
        <f t="shared" si="69"/>
        <v>201</v>
      </c>
    </row>
    <row r="247" spans="1:39" ht="16.5" customHeight="1">
      <c r="A247" s="1239" t="s">
        <v>9166</v>
      </c>
      <c r="B247" s="1234" t="s">
        <v>9093</v>
      </c>
      <c r="C247" s="1240">
        <v>63</v>
      </c>
      <c r="D247" s="1240">
        <v>18</v>
      </c>
      <c r="E247" s="1240">
        <v>236</v>
      </c>
      <c r="F247" s="1240">
        <v>2951</v>
      </c>
      <c r="G247" s="1240">
        <v>429</v>
      </c>
      <c r="H247" s="1240">
        <v>51</v>
      </c>
      <c r="J247" s="1239" t="s">
        <v>1299</v>
      </c>
      <c r="K247" s="867" t="s">
        <v>572</v>
      </c>
      <c r="L247" s="867"/>
      <c r="M247" s="1232">
        <f t="shared" si="59"/>
        <v>862</v>
      </c>
      <c r="N247" s="1232">
        <v>1</v>
      </c>
      <c r="O247" s="1232">
        <v>0</v>
      </c>
      <c r="P247" s="1232">
        <f t="shared" si="60"/>
        <v>861</v>
      </c>
      <c r="Q247" s="1232">
        <v>56</v>
      </c>
      <c r="R247" s="1232">
        <f t="shared" si="61"/>
        <v>805</v>
      </c>
      <c r="S247" s="1232">
        <f t="shared" si="62"/>
        <v>794</v>
      </c>
      <c r="T247" s="1232">
        <v>696</v>
      </c>
      <c r="U247" s="1232">
        <v>98</v>
      </c>
      <c r="V247" s="1232">
        <v>11</v>
      </c>
      <c r="W247" s="1232"/>
      <c r="X247" s="1232" t="s">
        <v>9455</v>
      </c>
      <c r="Y247" s="1232" t="s">
        <v>9166</v>
      </c>
      <c r="Z247" s="1232" t="s">
        <v>9272</v>
      </c>
      <c r="AA247" s="1233" t="s">
        <v>1299</v>
      </c>
      <c r="AB247" s="867" t="s">
        <v>572</v>
      </c>
      <c r="AC247" s="1237"/>
      <c r="AD247" s="942">
        <f t="shared" si="63"/>
        <v>862</v>
      </c>
      <c r="AE247" s="942">
        <f t="shared" si="64"/>
        <v>1</v>
      </c>
      <c r="AF247" s="942">
        <f t="shared" si="64"/>
        <v>0</v>
      </c>
      <c r="AG247" s="942">
        <f t="shared" si="65"/>
        <v>861</v>
      </c>
      <c r="AH247" s="942">
        <f t="shared" si="66"/>
        <v>56</v>
      </c>
      <c r="AI247" s="942">
        <f t="shared" si="67"/>
        <v>805</v>
      </c>
      <c r="AJ247" s="942">
        <f t="shared" si="68"/>
        <v>794</v>
      </c>
      <c r="AK247" s="942">
        <f t="shared" si="69"/>
        <v>696</v>
      </c>
      <c r="AL247" s="942">
        <f t="shared" si="69"/>
        <v>98</v>
      </c>
      <c r="AM247" s="942">
        <f t="shared" si="69"/>
        <v>11</v>
      </c>
    </row>
    <row r="248" spans="1:39" ht="16.5" customHeight="1">
      <c r="A248" s="1231"/>
      <c r="J248" s="1231" t="s">
        <v>1301</v>
      </c>
      <c r="K248" s="867" t="s">
        <v>573</v>
      </c>
      <c r="L248" s="867"/>
      <c r="M248" s="1232">
        <f t="shared" si="59"/>
        <v>55</v>
      </c>
      <c r="N248" s="1232">
        <v>6</v>
      </c>
      <c r="O248" s="1232">
        <v>2</v>
      </c>
      <c r="P248" s="1232">
        <f t="shared" si="60"/>
        <v>47</v>
      </c>
      <c r="Q248" s="1232">
        <v>2</v>
      </c>
      <c r="R248" s="1232">
        <f t="shared" si="61"/>
        <v>45</v>
      </c>
      <c r="S248" s="1232">
        <f t="shared" si="62"/>
        <v>41</v>
      </c>
      <c r="T248" s="1232">
        <v>35</v>
      </c>
      <c r="U248" s="1232">
        <v>6</v>
      </c>
      <c r="V248" s="1232">
        <v>4</v>
      </c>
      <c r="W248" s="1232"/>
      <c r="X248" s="1232" t="s">
        <v>9455</v>
      </c>
      <c r="Y248" s="1232" t="s">
        <v>9166</v>
      </c>
      <c r="Z248" s="1232" t="s">
        <v>9272</v>
      </c>
      <c r="AA248" s="1236" t="s">
        <v>1301</v>
      </c>
      <c r="AB248" s="867" t="s">
        <v>573</v>
      </c>
      <c r="AC248" s="1237"/>
      <c r="AD248" s="942">
        <f t="shared" si="63"/>
        <v>55</v>
      </c>
      <c r="AE248" s="942">
        <f t="shared" si="64"/>
        <v>6</v>
      </c>
      <c r="AF248" s="942">
        <f t="shared" si="64"/>
        <v>2</v>
      </c>
      <c r="AG248" s="942">
        <f t="shared" si="65"/>
        <v>47</v>
      </c>
      <c r="AH248" s="942">
        <f t="shared" si="66"/>
        <v>2</v>
      </c>
      <c r="AI248" s="942">
        <f t="shared" si="67"/>
        <v>45</v>
      </c>
      <c r="AJ248" s="942">
        <f t="shared" si="68"/>
        <v>41</v>
      </c>
      <c r="AK248" s="942">
        <f t="shared" si="69"/>
        <v>35</v>
      </c>
      <c r="AL248" s="942">
        <f t="shared" si="69"/>
        <v>6</v>
      </c>
      <c r="AM248" s="942">
        <f t="shared" si="69"/>
        <v>4</v>
      </c>
    </row>
    <row r="249" spans="1:39" ht="16.5" customHeight="1">
      <c r="A249" s="1231"/>
      <c r="J249" s="1231" t="s">
        <v>1303</v>
      </c>
      <c r="K249" s="867" t="s">
        <v>574</v>
      </c>
      <c r="L249" s="867"/>
      <c r="M249" s="1232">
        <f t="shared" si="59"/>
        <v>2287</v>
      </c>
      <c r="N249" s="1232">
        <v>45</v>
      </c>
      <c r="O249" s="1232">
        <v>12</v>
      </c>
      <c r="P249" s="1232">
        <f t="shared" si="60"/>
        <v>2230</v>
      </c>
      <c r="Q249" s="1232">
        <v>143</v>
      </c>
      <c r="R249" s="1232">
        <f t="shared" si="61"/>
        <v>2087</v>
      </c>
      <c r="S249" s="1232">
        <f t="shared" si="62"/>
        <v>2057</v>
      </c>
      <c r="T249" s="1232">
        <v>1793</v>
      </c>
      <c r="U249" s="1232">
        <v>264</v>
      </c>
      <c r="V249" s="1232">
        <v>30</v>
      </c>
      <c r="W249" s="1232"/>
      <c r="X249" s="1232" t="s">
        <v>9455</v>
      </c>
      <c r="Y249" s="1232" t="s">
        <v>9166</v>
      </c>
      <c r="Z249" s="1232" t="s">
        <v>9272</v>
      </c>
      <c r="AA249" s="1236" t="s">
        <v>1303</v>
      </c>
      <c r="AB249" s="867" t="s">
        <v>574</v>
      </c>
      <c r="AC249" s="1237"/>
      <c r="AD249" s="942">
        <f t="shared" si="63"/>
        <v>2287</v>
      </c>
      <c r="AE249" s="942">
        <f t="shared" si="64"/>
        <v>45</v>
      </c>
      <c r="AF249" s="942">
        <f t="shared" si="64"/>
        <v>12</v>
      </c>
      <c r="AG249" s="942">
        <f t="shared" si="65"/>
        <v>2230</v>
      </c>
      <c r="AH249" s="942">
        <f t="shared" si="66"/>
        <v>143</v>
      </c>
      <c r="AI249" s="942">
        <f t="shared" si="67"/>
        <v>2087</v>
      </c>
      <c r="AJ249" s="942">
        <f t="shared" si="68"/>
        <v>2057</v>
      </c>
      <c r="AK249" s="942">
        <f t="shared" si="69"/>
        <v>1793</v>
      </c>
      <c r="AL249" s="942">
        <f t="shared" si="69"/>
        <v>264</v>
      </c>
      <c r="AM249" s="942">
        <f t="shared" si="69"/>
        <v>30</v>
      </c>
    </row>
    <row r="250" spans="1:39" ht="16.5" customHeight="1">
      <c r="A250" s="1231"/>
      <c r="J250" s="1231" t="s">
        <v>1305</v>
      </c>
      <c r="K250" s="940" t="s">
        <v>576</v>
      </c>
      <c r="L250" s="940"/>
      <c r="M250" s="1241">
        <f t="shared" si="59"/>
        <v>544</v>
      </c>
      <c r="N250" s="1241">
        <f>C247-SUM(N247:N249)</f>
        <v>11</v>
      </c>
      <c r="O250" s="1241">
        <f>D247-SUM(O247:O249)</f>
        <v>4</v>
      </c>
      <c r="P250" s="1241">
        <f t="shared" si="60"/>
        <v>529</v>
      </c>
      <c r="Q250" s="1241">
        <f>E247-SUM(Q247:Q249)</f>
        <v>35</v>
      </c>
      <c r="R250" s="1241">
        <f t="shared" si="61"/>
        <v>494</v>
      </c>
      <c r="S250" s="1241">
        <f t="shared" si="62"/>
        <v>488</v>
      </c>
      <c r="T250" s="1241">
        <f>F247-SUM(T247:T249)</f>
        <v>427</v>
      </c>
      <c r="U250" s="1241">
        <f>G247-SUM(U247:U249)</f>
        <v>61</v>
      </c>
      <c r="V250" s="1241">
        <f>H247-SUM(V247:V249)</f>
        <v>6</v>
      </c>
      <c r="W250" s="1232"/>
      <c r="X250" s="1232" t="s">
        <v>9455</v>
      </c>
      <c r="Y250" s="1232" t="s">
        <v>9166</v>
      </c>
      <c r="Z250" s="1232" t="s">
        <v>9272</v>
      </c>
      <c r="AA250" s="1236" t="s">
        <v>1305</v>
      </c>
      <c r="AB250" s="940" t="s">
        <v>576</v>
      </c>
      <c r="AC250" s="1243"/>
      <c r="AD250" s="943">
        <f t="shared" si="63"/>
        <v>544</v>
      </c>
      <c r="AE250" s="943">
        <f t="shared" si="64"/>
        <v>11</v>
      </c>
      <c r="AF250" s="943">
        <f t="shared" si="64"/>
        <v>4</v>
      </c>
      <c r="AG250" s="943">
        <f t="shared" si="65"/>
        <v>529</v>
      </c>
      <c r="AH250" s="943">
        <f t="shared" si="66"/>
        <v>35</v>
      </c>
      <c r="AI250" s="943">
        <f t="shared" si="67"/>
        <v>494</v>
      </c>
      <c r="AJ250" s="943">
        <f t="shared" si="68"/>
        <v>488</v>
      </c>
      <c r="AK250" s="943">
        <f t="shared" si="69"/>
        <v>427</v>
      </c>
      <c r="AL250" s="943">
        <f t="shared" si="69"/>
        <v>61</v>
      </c>
      <c r="AM250" s="943">
        <f t="shared" si="69"/>
        <v>6</v>
      </c>
    </row>
    <row r="251" spans="1:39" ht="16.5" customHeight="1">
      <c r="A251" s="1239" t="s">
        <v>9167</v>
      </c>
      <c r="B251" s="1234" t="s">
        <v>9094</v>
      </c>
      <c r="C251" s="1240">
        <v>44</v>
      </c>
      <c r="D251" s="1240">
        <v>13</v>
      </c>
      <c r="E251" s="1240">
        <v>229</v>
      </c>
      <c r="F251" s="1240">
        <v>4546</v>
      </c>
      <c r="G251" s="1240">
        <v>697</v>
      </c>
      <c r="H251" s="1240">
        <v>45</v>
      </c>
      <c r="J251" s="1239" t="s">
        <v>1307</v>
      </c>
      <c r="K251" s="867" t="s">
        <v>578</v>
      </c>
      <c r="L251" s="867"/>
      <c r="M251" s="1232">
        <f t="shared" si="59"/>
        <v>2058</v>
      </c>
      <c r="N251" s="1232">
        <v>30</v>
      </c>
      <c r="O251" s="1232">
        <v>7</v>
      </c>
      <c r="P251" s="1232">
        <f t="shared" si="60"/>
        <v>2021</v>
      </c>
      <c r="Q251" s="1232">
        <v>119</v>
      </c>
      <c r="R251" s="1232">
        <f t="shared" si="61"/>
        <v>1902</v>
      </c>
      <c r="S251" s="1232">
        <f t="shared" si="62"/>
        <v>1874</v>
      </c>
      <c r="T251" s="1232">
        <v>1613</v>
      </c>
      <c r="U251" s="1232">
        <v>261</v>
      </c>
      <c r="V251" s="1232">
        <v>28</v>
      </c>
      <c r="W251" s="1232"/>
      <c r="X251" s="1232" t="s">
        <v>9456</v>
      </c>
      <c r="Y251" s="1232" t="s">
        <v>9167</v>
      </c>
      <c r="Z251" s="1232" t="s">
        <v>9272</v>
      </c>
      <c r="AA251" s="1233" t="s">
        <v>1307</v>
      </c>
      <c r="AB251" s="867" t="s">
        <v>578</v>
      </c>
      <c r="AC251" s="1237"/>
      <c r="AD251" s="942">
        <f t="shared" si="63"/>
        <v>2058</v>
      </c>
      <c r="AE251" s="942">
        <f t="shared" si="64"/>
        <v>30</v>
      </c>
      <c r="AF251" s="942">
        <f t="shared" si="64"/>
        <v>7</v>
      </c>
      <c r="AG251" s="942">
        <f t="shared" si="65"/>
        <v>2021</v>
      </c>
      <c r="AH251" s="942">
        <f t="shared" si="66"/>
        <v>119</v>
      </c>
      <c r="AI251" s="942">
        <f t="shared" si="67"/>
        <v>1902</v>
      </c>
      <c r="AJ251" s="942">
        <f t="shared" si="68"/>
        <v>1874</v>
      </c>
      <c r="AK251" s="942">
        <f t="shared" si="69"/>
        <v>1613</v>
      </c>
      <c r="AL251" s="942">
        <f t="shared" si="69"/>
        <v>261</v>
      </c>
      <c r="AM251" s="942">
        <f t="shared" si="69"/>
        <v>28</v>
      </c>
    </row>
    <row r="252" spans="1:39" ht="16.5" customHeight="1">
      <c r="A252" s="1231"/>
      <c r="J252" s="1231" t="s">
        <v>1309</v>
      </c>
      <c r="K252" s="867" t="s">
        <v>579</v>
      </c>
      <c r="L252" s="867"/>
      <c r="M252" s="1232">
        <f t="shared" si="59"/>
        <v>262</v>
      </c>
      <c r="N252" s="1232">
        <v>0</v>
      </c>
      <c r="O252" s="1232">
        <v>0</v>
      </c>
      <c r="P252" s="1232">
        <f t="shared" si="60"/>
        <v>262</v>
      </c>
      <c r="Q252" s="1232">
        <v>17</v>
      </c>
      <c r="R252" s="1232">
        <f t="shared" si="61"/>
        <v>245</v>
      </c>
      <c r="S252" s="1232">
        <f t="shared" si="62"/>
        <v>237</v>
      </c>
      <c r="T252" s="1232">
        <v>213</v>
      </c>
      <c r="U252" s="1232">
        <v>24</v>
      </c>
      <c r="V252" s="1232">
        <v>8</v>
      </c>
      <c r="W252" s="1232"/>
      <c r="X252" s="1232" t="s">
        <v>9456</v>
      </c>
      <c r="Y252" s="1232" t="s">
        <v>9167</v>
      </c>
      <c r="Z252" s="1232" t="s">
        <v>9272</v>
      </c>
      <c r="AA252" s="1236" t="s">
        <v>1309</v>
      </c>
      <c r="AB252" s="867" t="s">
        <v>579</v>
      </c>
      <c r="AC252" s="1237"/>
      <c r="AD252" s="942">
        <f t="shared" si="63"/>
        <v>262</v>
      </c>
      <c r="AE252" s="942">
        <f t="shared" si="64"/>
        <v>0</v>
      </c>
      <c r="AF252" s="942">
        <f t="shared" si="64"/>
        <v>0</v>
      </c>
      <c r="AG252" s="942">
        <f t="shared" si="65"/>
        <v>262</v>
      </c>
      <c r="AH252" s="942">
        <f t="shared" si="66"/>
        <v>17</v>
      </c>
      <c r="AI252" s="942">
        <f t="shared" si="67"/>
        <v>245</v>
      </c>
      <c r="AJ252" s="942">
        <f t="shared" si="68"/>
        <v>237</v>
      </c>
      <c r="AK252" s="942">
        <f t="shared" si="69"/>
        <v>213</v>
      </c>
      <c r="AL252" s="942">
        <f t="shared" si="69"/>
        <v>24</v>
      </c>
      <c r="AM252" s="942">
        <f t="shared" si="69"/>
        <v>8</v>
      </c>
    </row>
    <row r="253" spans="1:39" ht="16.5" customHeight="1">
      <c r="A253" s="1231"/>
      <c r="J253" s="1231" t="s">
        <v>1311</v>
      </c>
      <c r="K253" s="867" t="s">
        <v>581</v>
      </c>
      <c r="L253" s="867"/>
      <c r="M253" s="1232">
        <f t="shared" si="59"/>
        <v>2683</v>
      </c>
      <c r="N253" s="1232">
        <v>2</v>
      </c>
      <c r="O253" s="1232">
        <v>1</v>
      </c>
      <c r="P253" s="1232">
        <f t="shared" si="60"/>
        <v>2680</v>
      </c>
      <c r="Q253" s="1232">
        <v>59</v>
      </c>
      <c r="R253" s="1232">
        <f t="shared" si="61"/>
        <v>2621</v>
      </c>
      <c r="S253" s="1232">
        <f t="shared" si="62"/>
        <v>2617</v>
      </c>
      <c r="T253" s="1232">
        <v>2278</v>
      </c>
      <c r="U253" s="1232">
        <v>339</v>
      </c>
      <c r="V253" s="1232">
        <v>4</v>
      </c>
      <c r="W253" s="1232"/>
      <c r="X253" s="1232" t="s">
        <v>9457</v>
      </c>
      <c r="Y253" s="1232" t="s">
        <v>9167</v>
      </c>
      <c r="Z253" s="1232" t="s">
        <v>9272</v>
      </c>
      <c r="AA253" s="1236" t="s">
        <v>1311</v>
      </c>
      <c r="AB253" s="867" t="s">
        <v>581</v>
      </c>
      <c r="AC253" s="1237"/>
      <c r="AD253" s="942">
        <f t="shared" si="63"/>
        <v>2683</v>
      </c>
      <c r="AE253" s="942">
        <f t="shared" si="64"/>
        <v>2</v>
      </c>
      <c r="AF253" s="942">
        <f t="shared" si="64"/>
        <v>1</v>
      </c>
      <c r="AG253" s="942">
        <f t="shared" si="65"/>
        <v>2680</v>
      </c>
      <c r="AH253" s="942">
        <f t="shared" si="66"/>
        <v>59</v>
      </c>
      <c r="AI253" s="942">
        <f t="shared" si="67"/>
        <v>2621</v>
      </c>
      <c r="AJ253" s="942">
        <f t="shared" si="68"/>
        <v>2617</v>
      </c>
      <c r="AK253" s="942">
        <f t="shared" si="69"/>
        <v>2278</v>
      </c>
      <c r="AL253" s="942">
        <f t="shared" si="69"/>
        <v>339</v>
      </c>
      <c r="AM253" s="942">
        <f t="shared" si="69"/>
        <v>4</v>
      </c>
    </row>
    <row r="254" spans="1:39" ht="16.5" customHeight="1">
      <c r="A254" s="1231"/>
      <c r="J254" s="1231" t="s">
        <v>1313</v>
      </c>
      <c r="K254" s="867" t="s">
        <v>582</v>
      </c>
      <c r="L254" s="867"/>
      <c r="M254" s="1232">
        <f t="shared" si="59"/>
        <v>63</v>
      </c>
      <c r="N254" s="1232">
        <v>0</v>
      </c>
      <c r="O254" s="1232">
        <v>0</v>
      </c>
      <c r="P254" s="1232">
        <f t="shared" si="60"/>
        <v>63</v>
      </c>
      <c r="Q254" s="1232">
        <v>0</v>
      </c>
      <c r="R254" s="1232">
        <f t="shared" si="61"/>
        <v>63</v>
      </c>
      <c r="S254" s="1232">
        <f t="shared" si="62"/>
        <v>63</v>
      </c>
      <c r="T254" s="1232">
        <v>55</v>
      </c>
      <c r="U254" s="1232">
        <v>8</v>
      </c>
      <c r="V254" s="1232">
        <v>0</v>
      </c>
      <c r="W254" s="1232"/>
      <c r="X254" s="1232" t="s">
        <v>9457</v>
      </c>
      <c r="Y254" s="1232" t="s">
        <v>9167</v>
      </c>
      <c r="Z254" s="1232" t="s">
        <v>9272</v>
      </c>
      <c r="AA254" s="1236" t="s">
        <v>1313</v>
      </c>
      <c r="AB254" s="867" t="s">
        <v>582</v>
      </c>
      <c r="AC254" s="1237"/>
      <c r="AD254" s="942">
        <f t="shared" si="63"/>
        <v>63</v>
      </c>
      <c r="AE254" s="942">
        <f t="shared" si="64"/>
        <v>0</v>
      </c>
      <c r="AF254" s="942">
        <f t="shared" si="64"/>
        <v>0</v>
      </c>
      <c r="AG254" s="942">
        <f t="shared" si="65"/>
        <v>63</v>
      </c>
      <c r="AH254" s="942">
        <f t="shared" si="66"/>
        <v>0</v>
      </c>
      <c r="AI254" s="942">
        <f t="shared" si="67"/>
        <v>63</v>
      </c>
      <c r="AJ254" s="942">
        <f t="shared" si="68"/>
        <v>63</v>
      </c>
      <c r="AK254" s="942">
        <f t="shared" si="69"/>
        <v>55</v>
      </c>
      <c r="AL254" s="942">
        <f t="shared" si="69"/>
        <v>8</v>
      </c>
      <c r="AM254" s="942">
        <f t="shared" si="69"/>
        <v>0</v>
      </c>
    </row>
    <row r="255" spans="1:39" ht="16.5" customHeight="1">
      <c r="A255" s="1231"/>
      <c r="J255" s="1231" t="s">
        <v>1315</v>
      </c>
      <c r="K255" s="867" t="s">
        <v>584</v>
      </c>
      <c r="L255" s="867"/>
      <c r="M255" s="1232">
        <f t="shared" si="59"/>
        <v>37</v>
      </c>
      <c r="N255" s="1232">
        <v>1</v>
      </c>
      <c r="O255" s="1232">
        <v>0</v>
      </c>
      <c r="P255" s="1232">
        <f t="shared" si="60"/>
        <v>36</v>
      </c>
      <c r="Q255" s="1232">
        <v>3</v>
      </c>
      <c r="R255" s="1232">
        <f t="shared" si="61"/>
        <v>33</v>
      </c>
      <c r="S255" s="1232">
        <f t="shared" si="62"/>
        <v>32</v>
      </c>
      <c r="T255" s="1232">
        <v>27</v>
      </c>
      <c r="U255" s="1232">
        <v>5</v>
      </c>
      <c r="V255" s="1232">
        <v>1</v>
      </c>
      <c r="W255" s="1232"/>
      <c r="X255" s="1232" t="s">
        <v>9458</v>
      </c>
      <c r="Y255" s="1232" t="s">
        <v>9167</v>
      </c>
      <c r="Z255" s="1232" t="s">
        <v>9272</v>
      </c>
      <c r="AA255" s="1236" t="s">
        <v>1315</v>
      </c>
      <c r="AB255" s="867" t="s">
        <v>584</v>
      </c>
      <c r="AC255" s="1237"/>
      <c r="AD255" s="942">
        <f t="shared" si="63"/>
        <v>37</v>
      </c>
      <c r="AE255" s="942">
        <f t="shared" si="64"/>
        <v>1</v>
      </c>
      <c r="AF255" s="942">
        <f t="shared" si="64"/>
        <v>0</v>
      </c>
      <c r="AG255" s="942">
        <f t="shared" si="65"/>
        <v>36</v>
      </c>
      <c r="AH255" s="942">
        <f t="shared" si="66"/>
        <v>3</v>
      </c>
      <c r="AI255" s="942">
        <f t="shared" si="67"/>
        <v>33</v>
      </c>
      <c r="AJ255" s="942">
        <f t="shared" si="68"/>
        <v>32</v>
      </c>
      <c r="AK255" s="942">
        <f t="shared" si="69"/>
        <v>27</v>
      </c>
      <c r="AL255" s="942">
        <f t="shared" si="69"/>
        <v>5</v>
      </c>
      <c r="AM255" s="942">
        <f t="shared" si="69"/>
        <v>1</v>
      </c>
    </row>
    <row r="256" spans="1:39" ht="16.5" customHeight="1">
      <c r="A256" s="1231"/>
      <c r="J256" s="1231" t="s">
        <v>1317</v>
      </c>
      <c r="K256" s="940" t="s">
        <v>7026</v>
      </c>
      <c r="L256" s="940"/>
      <c r="M256" s="1241">
        <f t="shared" si="59"/>
        <v>471</v>
      </c>
      <c r="N256" s="1241">
        <f>C251-SUM(N251:N255)</f>
        <v>11</v>
      </c>
      <c r="O256" s="1241">
        <f>D251-SUM(O251:O255)</f>
        <v>5</v>
      </c>
      <c r="P256" s="1241">
        <f t="shared" si="60"/>
        <v>455</v>
      </c>
      <c r="Q256" s="1241">
        <f>E251-SUM(Q251:Q255)</f>
        <v>31</v>
      </c>
      <c r="R256" s="1241">
        <f t="shared" si="61"/>
        <v>424</v>
      </c>
      <c r="S256" s="1241">
        <f t="shared" si="62"/>
        <v>420</v>
      </c>
      <c r="T256" s="1241">
        <f>F251-SUM(T251:T255)</f>
        <v>360</v>
      </c>
      <c r="U256" s="1241">
        <f>G251-SUM(U251:U255)</f>
        <v>60</v>
      </c>
      <c r="V256" s="1241">
        <f>H251-SUM(V251:V255)</f>
        <v>4</v>
      </c>
      <c r="W256" s="1232"/>
      <c r="X256" s="1232" t="s">
        <v>9458</v>
      </c>
      <c r="Y256" s="1232" t="s">
        <v>9167</v>
      </c>
      <c r="Z256" s="1232" t="s">
        <v>9272</v>
      </c>
      <c r="AA256" s="1236" t="s">
        <v>1317</v>
      </c>
      <c r="AB256" s="940" t="s">
        <v>7026</v>
      </c>
      <c r="AC256" s="1243"/>
      <c r="AD256" s="943">
        <f t="shared" si="63"/>
        <v>471</v>
      </c>
      <c r="AE256" s="943">
        <f t="shared" si="64"/>
        <v>11</v>
      </c>
      <c r="AF256" s="943">
        <f t="shared" si="64"/>
        <v>5</v>
      </c>
      <c r="AG256" s="943">
        <f t="shared" si="65"/>
        <v>455</v>
      </c>
      <c r="AH256" s="943">
        <f t="shared" si="66"/>
        <v>31</v>
      </c>
      <c r="AI256" s="943">
        <f t="shared" si="67"/>
        <v>424</v>
      </c>
      <c r="AJ256" s="943">
        <f t="shared" si="68"/>
        <v>420</v>
      </c>
      <c r="AK256" s="943">
        <f t="shared" si="69"/>
        <v>360</v>
      </c>
      <c r="AL256" s="943">
        <f t="shared" si="69"/>
        <v>60</v>
      </c>
      <c r="AM256" s="943">
        <f t="shared" si="69"/>
        <v>4</v>
      </c>
    </row>
    <row r="257" spans="1:39" ht="16.5" customHeight="1">
      <c r="A257" s="1239" t="s">
        <v>9168</v>
      </c>
      <c r="B257" s="1234" t="s">
        <v>600</v>
      </c>
      <c r="C257" s="1240">
        <v>1920</v>
      </c>
      <c r="D257" s="1240">
        <v>477</v>
      </c>
      <c r="E257" s="1240">
        <v>998</v>
      </c>
      <c r="F257" s="1240">
        <v>5760</v>
      </c>
      <c r="G257" s="1240">
        <v>2990</v>
      </c>
      <c r="H257" s="1240">
        <v>82</v>
      </c>
      <c r="J257" s="1239" t="s">
        <v>1319</v>
      </c>
      <c r="K257" s="867" t="s">
        <v>11680</v>
      </c>
      <c r="L257" s="867"/>
      <c r="M257" s="1232">
        <f t="shared" si="59"/>
        <v>112</v>
      </c>
      <c r="N257" s="1232">
        <v>17</v>
      </c>
      <c r="O257" s="1232">
        <v>5</v>
      </c>
      <c r="P257" s="1232">
        <f t="shared" si="60"/>
        <v>90</v>
      </c>
      <c r="Q257" s="1232">
        <v>10</v>
      </c>
      <c r="R257" s="1232">
        <f t="shared" si="61"/>
        <v>80</v>
      </c>
      <c r="S257" s="1232">
        <f t="shared" si="62"/>
        <v>79</v>
      </c>
      <c r="T257" s="1232">
        <v>49</v>
      </c>
      <c r="U257" s="1232">
        <v>30</v>
      </c>
      <c r="V257" s="1232">
        <v>1</v>
      </c>
      <c r="W257" s="1232"/>
      <c r="X257" s="1232" t="s">
        <v>587</v>
      </c>
      <c r="Y257" s="1232" t="s">
        <v>9168</v>
      </c>
      <c r="Z257" s="1232" t="s">
        <v>9276</v>
      </c>
      <c r="AA257" s="1233" t="s">
        <v>1319</v>
      </c>
      <c r="AB257" s="867" t="s">
        <v>11680</v>
      </c>
      <c r="AC257" s="1237"/>
      <c r="AD257" s="942">
        <f t="shared" si="63"/>
        <v>112</v>
      </c>
      <c r="AE257" s="942">
        <f t="shared" si="64"/>
        <v>17</v>
      </c>
      <c r="AF257" s="942">
        <f t="shared" si="64"/>
        <v>5</v>
      </c>
      <c r="AG257" s="942">
        <f t="shared" si="65"/>
        <v>90</v>
      </c>
      <c r="AH257" s="942">
        <f t="shared" si="66"/>
        <v>10</v>
      </c>
      <c r="AI257" s="942">
        <f t="shared" si="67"/>
        <v>80</v>
      </c>
      <c r="AJ257" s="942">
        <f t="shared" si="68"/>
        <v>79</v>
      </c>
      <c r="AK257" s="942">
        <f t="shared" si="69"/>
        <v>49</v>
      </c>
      <c r="AL257" s="942">
        <f t="shared" si="69"/>
        <v>30</v>
      </c>
      <c r="AM257" s="942">
        <f t="shared" si="69"/>
        <v>1</v>
      </c>
    </row>
    <row r="258" spans="1:39" ht="16.5" customHeight="1">
      <c r="A258" s="1231"/>
      <c r="J258" s="1231" t="s">
        <v>1321</v>
      </c>
      <c r="K258" s="867" t="s">
        <v>589</v>
      </c>
      <c r="L258" s="867"/>
      <c r="M258" s="1232">
        <f t="shared" si="59"/>
        <v>2497</v>
      </c>
      <c r="N258" s="1232">
        <v>132</v>
      </c>
      <c r="O258" s="1232">
        <v>35</v>
      </c>
      <c r="P258" s="1232">
        <f t="shared" si="60"/>
        <v>2330</v>
      </c>
      <c r="Q258" s="1232">
        <v>145</v>
      </c>
      <c r="R258" s="1232">
        <f t="shared" si="61"/>
        <v>2185</v>
      </c>
      <c r="S258" s="1232">
        <f t="shared" si="62"/>
        <v>2177</v>
      </c>
      <c r="T258" s="1232">
        <v>1382</v>
      </c>
      <c r="U258" s="1232">
        <v>795</v>
      </c>
      <c r="V258" s="1232">
        <v>8</v>
      </c>
      <c r="W258" s="1232"/>
      <c r="X258" s="1232" t="s">
        <v>587</v>
      </c>
      <c r="Y258" s="1232" t="s">
        <v>9168</v>
      </c>
      <c r="Z258" s="1232" t="s">
        <v>9276</v>
      </c>
      <c r="AA258" s="1249" t="s">
        <v>1321</v>
      </c>
      <c r="AB258" s="1250" t="s">
        <v>589</v>
      </c>
      <c r="AC258" s="1251"/>
      <c r="AD258" s="1220">
        <f t="shared" si="63"/>
        <v>2497</v>
      </c>
      <c r="AE258" s="1220">
        <f t="shared" si="64"/>
        <v>132</v>
      </c>
      <c r="AF258" s="1220">
        <f t="shared" si="64"/>
        <v>35</v>
      </c>
      <c r="AG258" s="1220">
        <f t="shared" si="65"/>
        <v>2330</v>
      </c>
      <c r="AH258" s="1220">
        <f t="shared" si="66"/>
        <v>145</v>
      </c>
      <c r="AI258" s="1220">
        <f t="shared" si="67"/>
        <v>2185</v>
      </c>
      <c r="AJ258" s="1220">
        <f t="shared" si="68"/>
        <v>2177</v>
      </c>
      <c r="AK258" s="1220">
        <f t="shared" si="69"/>
        <v>1382</v>
      </c>
      <c r="AL258" s="1220">
        <f t="shared" si="69"/>
        <v>795</v>
      </c>
      <c r="AM258" s="1220">
        <f t="shared" si="69"/>
        <v>8</v>
      </c>
    </row>
    <row r="259" spans="1:39" ht="16.5" customHeight="1">
      <c r="A259" s="1231"/>
      <c r="J259" s="1231" t="s">
        <v>1323</v>
      </c>
      <c r="K259" s="867" t="s">
        <v>591</v>
      </c>
      <c r="L259" s="867"/>
      <c r="M259" s="1232">
        <f t="shared" si="59"/>
        <v>953</v>
      </c>
      <c r="N259" s="1232">
        <v>189</v>
      </c>
      <c r="O259" s="1232">
        <v>23</v>
      </c>
      <c r="P259" s="1232">
        <f t="shared" si="60"/>
        <v>741</v>
      </c>
      <c r="Q259" s="1232">
        <v>77</v>
      </c>
      <c r="R259" s="1232">
        <f t="shared" si="61"/>
        <v>664</v>
      </c>
      <c r="S259" s="1232">
        <f t="shared" si="62"/>
        <v>659</v>
      </c>
      <c r="T259" s="1232">
        <v>401</v>
      </c>
      <c r="U259" s="1232">
        <v>258</v>
      </c>
      <c r="V259" s="1232">
        <v>5</v>
      </c>
      <c r="W259" s="1232"/>
      <c r="X259" s="1232" t="s">
        <v>590</v>
      </c>
      <c r="Y259" s="1232" t="s">
        <v>9168</v>
      </c>
      <c r="Z259" s="1232" t="s">
        <v>9276</v>
      </c>
      <c r="AA259" s="1236" t="s">
        <v>1323</v>
      </c>
      <c r="AB259" s="867" t="s">
        <v>591</v>
      </c>
      <c r="AC259" s="1237"/>
      <c r="AD259" s="942">
        <f t="shared" si="63"/>
        <v>953</v>
      </c>
      <c r="AE259" s="942">
        <f t="shared" si="64"/>
        <v>189</v>
      </c>
      <c r="AF259" s="942">
        <f t="shared" si="64"/>
        <v>23</v>
      </c>
      <c r="AG259" s="942">
        <f t="shared" si="65"/>
        <v>741</v>
      </c>
      <c r="AH259" s="942">
        <f t="shared" si="66"/>
        <v>77</v>
      </c>
      <c r="AI259" s="942">
        <f t="shared" si="67"/>
        <v>664</v>
      </c>
      <c r="AJ259" s="942">
        <f t="shared" si="68"/>
        <v>659</v>
      </c>
      <c r="AK259" s="942">
        <f t="shared" si="69"/>
        <v>401</v>
      </c>
      <c r="AL259" s="942">
        <f t="shared" si="69"/>
        <v>258</v>
      </c>
      <c r="AM259" s="942">
        <f t="shared" si="69"/>
        <v>5</v>
      </c>
    </row>
    <row r="260" spans="1:39" ht="16.5" customHeight="1">
      <c r="A260" s="1231"/>
      <c r="J260" s="1231" t="s">
        <v>1325</v>
      </c>
      <c r="K260" s="867" t="s">
        <v>593</v>
      </c>
      <c r="L260" s="867"/>
      <c r="M260" s="1232">
        <f t="shared" si="59"/>
        <v>0</v>
      </c>
      <c r="N260" s="1232">
        <v>0</v>
      </c>
      <c r="O260" s="1232">
        <v>0</v>
      </c>
      <c r="P260" s="1232">
        <f t="shared" si="60"/>
        <v>0</v>
      </c>
      <c r="Q260" s="1232">
        <v>0</v>
      </c>
      <c r="R260" s="1232">
        <f t="shared" si="61"/>
        <v>0</v>
      </c>
      <c r="S260" s="1232">
        <f t="shared" si="62"/>
        <v>0</v>
      </c>
      <c r="T260" s="1232">
        <v>0</v>
      </c>
      <c r="U260" s="1232">
        <v>0</v>
      </c>
      <c r="V260" s="1232">
        <v>0</v>
      </c>
      <c r="W260" s="1232"/>
      <c r="X260" s="1232" t="s">
        <v>590</v>
      </c>
      <c r="Y260" s="1232" t="s">
        <v>9168</v>
      </c>
      <c r="Z260" s="1232" t="s">
        <v>9276</v>
      </c>
      <c r="AA260" s="1236" t="s">
        <v>1325</v>
      </c>
      <c r="AB260" s="867" t="s">
        <v>593</v>
      </c>
      <c r="AC260" s="1237"/>
      <c r="AD260" s="942">
        <f t="shared" si="63"/>
        <v>0</v>
      </c>
      <c r="AE260" s="942">
        <f t="shared" si="64"/>
        <v>0</v>
      </c>
      <c r="AF260" s="942">
        <f t="shared" si="64"/>
        <v>0</v>
      </c>
      <c r="AG260" s="942">
        <f t="shared" si="65"/>
        <v>0</v>
      </c>
      <c r="AH260" s="942">
        <f t="shared" si="66"/>
        <v>0</v>
      </c>
      <c r="AI260" s="942">
        <f t="shared" si="67"/>
        <v>0</v>
      </c>
      <c r="AJ260" s="942">
        <f t="shared" si="68"/>
        <v>0</v>
      </c>
      <c r="AK260" s="942">
        <f t="shared" si="69"/>
        <v>0</v>
      </c>
      <c r="AL260" s="942">
        <f t="shared" si="69"/>
        <v>0</v>
      </c>
      <c r="AM260" s="942">
        <f t="shared" si="69"/>
        <v>0</v>
      </c>
    </row>
    <row r="261" spans="1:39" ht="16.5" customHeight="1">
      <c r="A261" s="1231"/>
      <c r="J261" s="1231" t="s">
        <v>1327</v>
      </c>
      <c r="K261" s="867" t="s">
        <v>594</v>
      </c>
      <c r="L261" s="867"/>
      <c r="M261" s="1232">
        <f t="shared" si="59"/>
        <v>0</v>
      </c>
      <c r="N261" s="1232">
        <v>0</v>
      </c>
      <c r="O261" s="1232">
        <v>0</v>
      </c>
      <c r="P261" s="1232">
        <f t="shared" si="60"/>
        <v>0</v>
      </c>
      <c r="Q261" s="1232">
        <v>0</v>
      </c>
      <c r="R261" s="1232">
        <f t="shared" si="61"/>
        <v>0</v>
      </c>
      <c r="S261" s="1232">
        <f t="shared" si="62"/>
        <v>0</v>
      </c>
      <c r="T261" s="1232">
        <v>0</v>
      </c>
      <c r="U261" s="1232">
        <v>0</v>
      </c>
      <c r="V261" s="1232">
        <v>0</v>
      </c>
      <c r="W261" s="1232"/>
      <c r="X261" s="1232" t="s">
        <v>590</v>
      </c>
      <c r="Y261" s="1232" t="s">
        <v>9168</v>
      </c>
      <c r="Z261" s="1232" t="s">
        <v>9276</v>
      </c>
      <c r="AA261" s="1236" t="s">
        <v>1327</v>
      </c>
      <c r="AB261" s="867" t="s">
        <v>594</v>
      </c>
      <c r="AC261" s="1237"/>
      <c r="AD261" s="942">
        <f t="shared" si="63"/>
        <v>0</v>
      </c>
      <c r="AE261" s="942">
        <f t="shared" si="64"/>
        <v>0</v>
      </c>
      <c r="AF261" s="942">
        <f t="shared" si="64"/>
        <v>0</v>
      </c>
      <c r="AG261" s="942">
        <f t="shared" si="65"/>
        <v>0</v>
      </c>
      <c r="AH261" s="942">
        <f t="shared" si="66"/>
        <v>0</v>
      </c>
      <c r="AI261" s="942">
        <f t="shared" si="67"/>
        <v>0</v>
      </c>
      <c r="AJ261" s="942">
        <f t="shared" si="68"/>
        <v>0</v>
      </c>
      <c r="AK261" s="942">
        <f t="shared" si="69"/>
        <v>0</v>
      </c>
      <c r="AL261" s="942">
        <f t="shared" si="69"/>
        <v>0</v>
      </c>
      <c r="AM261" s="942">
        <f t="shared" si="69"/>
        <v>0</v>
      </c>
    </row>
    <row r="262" spans="1:39" ht="16.5" customHeight="1">
      <c r="A262" s="1231"/>
      <c r="J262" s="1231" t="s">
        <v>1329</v>
      </c>
      <c r="K262" s="867" t="s">
        <v>595</v>
      </c>
      <c r="L262" s="867"/>
      <c r="M262" s="1232">
        <f t="shared" si="59"/>
        <v>76</v>
      </c>
      <c r="N262" s="1232">
        <v>6</v>
      </c>
      <c r="O262" s="1232">
        <v>1</v>
      </c>
      <c r="P262" s="1232">
        <f t="shared" si="60"/>
        <v>69</v>
      </c>
      <c r="Q262" s="1232">
        <v>3</v>
      </c>
      <c r="R262" s="1232">
        <f t="shared" si="61"/>
        <v>66</v>
      </c>
      <c r="S262" s="1232">
        <f t="shared" si="62"/>
        <v>66</v>
      </c>
      <c r="T262" s="1232">
        <v>44</v>
      </c>
      <c r="U262" s="1232">
        <v>22</v>
      </c>
      <c r="V262" s="1232">
        <v>0</v>
      </c>
      <c r="W262" s="1232"/>
      <c r="X262" s="1232" t="s">
        <v>590</v>
      </c>
      <c r="Y262" s="1232" t="s">
        <v>9168</v>
      </c>
      <c r="Z262" s="1232" t="s">
        <v>9276</v>
      </c>
      <c r="AA262" s="1236" t="s">
        <v>1329</v>
      </c>
      <c r="AB262" s="867" t="s">
        <v>595</v>
      </c>
      <c r="AC262" s="1237"/>
      <c r="AD262" s="942">
        <f t="shared" si="63"/>
        <v>76</v>
      </c>
      <c r="AE262" s="942">
        <f t="shared" si="64"/>
        <v>6</v>
      </c>
      <c r="AF262" s="942">
        <f t="shared" si="64"/>
        <v>1</v>
      </c>
      <c r="AG262" s="942">
        <f t="shared" si="65"/>
        <v>69</v>
      </c>
      <c r="AH262" s="942">
        <f t="shared" si="66"/>
        <v>3</v>
      </c>
      <c r="AI262" s="942">
        <f t="shared" si="67"/>
        <v>66</v>
      </c>
      <c r="AJ262" s="942">
        <f t="shared" si="68"/>
        <v>66</v>
      </c>
      <c r="AK262" s="942">
        <f t="shared" si="69"/>
        <v>44</v>
      </c>
      <c r="AL262" s="942">
        <f t="shared" si="69"/>
        <v>22</v>
      </c>
      <c r="AM262" s="942">
        <f t="shared" si="69"/>
        <v>0</v>
      </c>
    </row>
    <row r="263" spans="1:39" ht="16.5" customHeight="1">
      <c r="A263" s="1231"/>
      <c r="J263" s="1231" t="s">
        <v>1331</v>
      </c>
      <c r="K263" s="867" t="s">
        <v>597</v>
      </c>
      <c r="L263" s="867"/>
      <c r="M263" s="1232">
        <f t="shared" si="59"/>
        <v>864</v>
      </c>
      <c r="N263" s="1232">
        <v>400</v>
      </c>
      <c r="O263" s="1232">
        <v>110</v>
      </c>
      <c r="P263" s="1232">
        <f t="shared" si="60"/>
        <v>354</v>
      </c>
      <c r="Q263" s="1232">
        <v>96</v>
      </c>
      <c r="R263" s="1232">
        <f t="shared" si="61"/>
        <v>258</v>
      </c>
      <c r="S263" s="1232">
        <f t="shared" si="62"/>
        <v>248</v>
      </c>
      <c r="T263" s="1232">
        <v>169</v>
      </c>
      <c r="U263" s="1232">
        <v>79</v>
      </c>
      <c r="V263" s="1232">
        <v>10</v>
      </c>
      <c r="W263" s="1232"/>
      <c r="X263" s="1232" t="s">
        <v>590</v>
      </c>
      <c r="Y263" s="1232" t="s">
        <v>9168</v>
      </c>
      <c r="Z263" s="1232" t="s">
        <v>9276</v>
      </c>
      <c r="AA263" s="1236" t="s">
        <v>1331</v>
      </c>
      <c r="AB263" s="867" t="s">
        <v>597</v>
      </c>
      <c r="AC263" s="1237"/>
      <c r="AD263" s="942">
        <f t="shared" si="63"/>
        <v>864</v>
      </c>
      <c r="AE263" s="942">
        <f t="shared" si="64"/>
        <v>400</v>
      </c>
      <c r="AF263" s="942">
        <f t="shared" si="64"/>
        <v>110</v>
      </c>
      <c r="AG263" s="942">
        <f t="shared" si="65"/>
        <v>354</v>
      </c>
      <c r="AH263" s="942">
        <f t="shared" si="66"/>
        <v>96</v>
      </c>
      <c r="AI263" s="942">
        <f t="shared" si="67"/>
        <v>258</v>
      </c>
      <c r="AJ263" s="942">
        <f t="shared" si="68"/>
        <v>248</v>
      </c>
      <c r="AK263" s="942">
        <f t="shared" si="69"/>
        <v>169</v>
      </c>
      <c r="AL263" s="942">
        <f t="shared" si="69"/>
        <v>79</v>
      </c>
      <c r="AM263" s="942">
        <f t="shared" si="69"/>
        <v>10</v>
      </c>
    </row>
    <row r="264" spans="1:39" ht="16.5" customHeight="1">
      <c r="A264" s="1231"/>
      <c r="J264" s="1231" t="s">
        <v>1333</v>
      </c>
      <c r="K264" s="867" t="s">
        <v>599</v>
      </c>
      <c r="L264" s="867"/>
      <c r="M264" s="1232">
        <f t="shared" si="59"/>
        <v>1</v>
      </c>
      <c r="N264" s="1232">
        <v>0</v>
      </c>
      <c r="O264" s="1232">
        <v>0</v>
      </c>
      <c r="P264" s="1232">
        <f t="shared" si="60"/>
        <v>1</v>
      </c>
      <c r="Q264" s="1232">
        <v>0</v>
      </c>
      <c r="R264" s="1232">
        <f t="shared" si="61"/>
        <v>1</v>
      </c>
      <c r="S264" s="1232">
        <f t="shared" si="62"/>
        <v>1</v>
      </c>
      <c r="T264" s="1232">
        <v>1</v>
      </c>
      <c r="U264" s="1232">
        <v>0</v>
      </c>
      <c r="V264" s="1232">
        <v>0</v>
      </c>
      <c r="W264" s="1232"/>
      <c r="X264" s="1232" t="s">
        <v>590</v>
      </c>
      <c r="Y264" s="1232" t="s">
        <v>9168</v>
      </c>
      <c r="Z264" s="1232" t="s">
        <v>9276</v>
      </c>
      <c r="AA264" s="1236" t="s">
        <v>1333</v>
      </c>
      <c r="AB264" s="867" t="s">
        <v>599</v>
      </c>
      <c r="AC264" s="1237"/>
      <c r="AD264" s="942">
        <f t="shared" si="63"/>
        <v>1</v>
      </c>
      <c r="AE264" s="942">
        <f t="shared" si="64"/>
        <v>0</v>
      </c>
      <c r="AF264" s="942">
        <f t="shared" si="64"/>
        <v>0</v>
      </c>
      <c r="AG264" s="942">
        <f t="shared" si="65"/>
        <v>1</v>
      </c>
      <c r="AH264" s="942">
        <f t="shared" si="66"/>
        <v>0</v>
      </c>
      <c r="AI264" s="942">
        <f t="shared" si="67"/>
        <v>1</v>
      </c>
      <c r="AJ264" s="942">
        <f t="shared" si="68"/>
        <v>1</v>
      </c>
      <c r="AK264" s="942">
        <f t="shared" si="69"/>
        <v>1</v>
      </c>
      <c r="AL264" s="942">
        <f t="shared" si="69"/>
        <v>0</v>
      </c>
      <c r="AM264" s="942">
        <f t="shared" si="69"/>
        <v>0</v>
      </c>
    </row>
    <row r="265" spans="1:39" ht="16.5" customHeight="1">
      <c r="A265" s="1231"/>
      <c r="J265" s="1231" t="s">
        <v>1335</v>
      </c>
      <c r="K265" s="867" t="s">
        <v>600</v>
      </c>
      <c r="L265" s="867"/>
      <c r="M265" s="1232">
        <f t="shared" ref="M265:M328" si="72">N265+O265+P265</f>
        <v>7724</v>
      </c>
      <c r="N265" s="1241">
        <f>C257-SUM(N257:N264)</f>
        <v>1176</v>
      </c>
      <c r="O265" s="1241">
        <f>D257-SUM(O257:O264)</f>
        <v>303</v>
      </c>
      <c r="P265" s="1241">
        <f t="shared" ref="P265:P328" si="73">Q265+R265</f>
        <v>6245</v>
      </c>
      <c r="Q265" s="1241">
        <f>E257-SUM(Q257:Q264)</f>
        <v>667</v>
      </c>
      <c r="R265" s="1241">
        <f t="shared" ref="R265:R328" si="74">S265+V265</f>
        <v>5578</v>
      </c>
      <c r="S265" s="1241">
        <f t="shared" ref="S265:S328" si="75">T265+U265</f>
        <v>5520</v>
      </c>
      <c r="T265" s="1241">
        <f>F257-SUM(T257:T264)</f>
        <v>3714</v>
      </c>
      <c r="U265" s="1241">
        <f>G257-SUM(U257:U264)</f>
        <v>1806</v>
      </c>
      <c r="V265" s="1241">
        <f>H257-SUM(V257:V264)</f>
        <v>58</v>
      </c>
      <c r="W265" s="1232"/>
      <c r="X265" s="1232" t="s">
        <v>590</v>
      </c>
      <c r="Y265" s="1232" t="s">
        <v>9168</v>
      </c>
      <c r="Z265" s="1232" t="s">
        <v>9276</v>
      </c>
      <c r="AA265" s="1236" t="s">
        <v>1335</v>
      </c>
      <c r="AB265" s="867" t="s">
        <v>600</v>
      </c>
      <c r="AC265" s="1237"/>
      <c r="AD265" s="942">
        <f t="shared" ref="AD265:AD328" si="76">AE265+AF265+AG265</f>
        <v>7724</v>
      </c>
      <c r="AE265" s="943">
        <f t="shared" ref="AE265:AF328" si="77">N265</f>
        <v>1176</v>
      </c>
      <c r="AF265" s="943">
        <f t="shared" si="77"/>
        <v>303</v>
      </c>
      <c r="AG265" s="943">
        <f t="shared" ref="AG265:AG328" si="78">AH265+AI265</f>
        <v>6245</v>
      </c>
      <c r="AH265" s="943">
        <f t="shared" ref="AH265:AH328" si="79">Q265</f>
        <v>667</v>
      </c>
      <c r="AI265" s="943">
        <f t="shared" ref="AI265:AI328" si="80">AJ265+AM265</f>
        <v>5578</v>
      </c>
      <c r="AJ265" s="943">
        <f t="shared" ref="AJ265:AJ328" si="81">AK265+AL265</f>
        <v>5520</v>
      </c>
      <c r="AK265" s="943">
        <f t="shared" ref="AK265:AM328" si="82">T265</f>
        <v>3714</v>
      </c>
      <c r="AL265" s="943">
        <f t="shared" si="82"/>
        <v>1806</v>
      </c>
      <c r="AM265" s="943">
        <f t="shared" si="82"/>
        <v>58</v>
      </c>
    </row>
    <row r="266" spans="1:39" ht="16.5" customHeight="1">
      <c r="A266" s="1244" t="s">
        <v>9169</v>
      </c>
      <c r="B266" s="1245" t="s">
        <v>11681</v>
      </c>
      <c r="C266" s="1240">
        <v>297</v>
      </c>
      <c r="D266" s="1240">
        <v>105</v>
      </c>
      <c r="E266" s="1240">
        <v>319</v>
      </c>
      <c r="F266" s="1240">
        <v>1518</v>
      </c>
      <c r="G266" s="1240">
        <v>404</v>
      </c>
      <c r="H266" s="1240">
        <v>30</v>
      </c>
      <c r="J266" s="1244" t="s">
        <v>1337</v>
      </c>
      <c r="K266" s="1245" t="s">
        <v>7058</v>
      </c>
      <c r="L266" s="1245"/>
      <c r="M266" s="1246">
        <f t="shared" si="72"/>
        <v>2673</v>
      </c>
      <c r="N266" s="1246">
        <f t="shared" ref="N266:O266" si="83">C266</f>
        <v>297</v>
      </c>
      <c r="O266" s="1246">
        <f t="shared" si="83"/>
        <v>105</v>
      </c>
      <c r="P266" s="1246">
        <f t="shared" si="73"/>
        <v>2271</v>
      </c>
      <c r="Q266" s="1246">
        <f t="shared" ref="Q266" si="84">E266</f>
        <v>319</v>
      </c>
      <c r="R266" s="1246">
        <f t="shared" si="74"/>
        <v>1952</v>
      </c>
      <c r="S266" s="1246">
        <f t="shared" si="75"/>
        <v>1922</v>
      </c>
      <c r="T266" s="1246">
        <f t="shared" ref="T266:V266" si="85">F266</f>
        <v>1518</v>
      </c>
      <c r="U266" s="1246">
        <f t="shared" si="85"/>
        <v>404</v>
      </c>
      <c r="V266" s="1246">
        <f t="shared" si="85"/>
        <v>30</v>
      </c>
      <c r="W266" s="1232"/>
      <c r="X266" s="1232" t="s">
        <v>9459</v>
      </c>
      <c r="Y266" s="1232" t="s">
        <v>9169</v>
      </c>
      <c r="Z266" s="1232" t="s">
        <v>9276</v>
      </c>
      <c r="AA266" s="1247" t="s">
        <v>1337</v>
      </c>
      <c r="AB266" s="1245" t="s">
        <v>7058</v>
      </c>
      <c r="AC266" s="1248"/>
      <c r="AD266" s="1215">
        <f t="shared" si="76"/>
        <v>2673</v>
      </c>
      <c r="AE266" s="1215">
        <f t="shared" si="77"/>
        <v>297</v>
      </c>
      <c r="AF266" s="1215">
        <f t="shared" si="77"/>
        <v>105</v>
      </c>
      <c r="AG266" s="1215">
        <f t="shared" si="78"/>
        <v>2271</v>
      </c>
      <c r="AH266" s="1215">
        <f t="shared" si="79"/>
        <v>319</v>
      </c>
      <c r="AI266" s="1215">
        <f t="shared" si="80"/>
        <v>1952</v>
      </c>
      <c r="AJ266" s="1215">
        <f t="shared" si="81"/>
        <v>1922</v>
      </c>
      <c r="AK266" s="1215">
        <f t="shared" si="82"/>
        <v>1518</v>
      </c>
      <c r="AL266" s="1215">
        <f t="shared" si="82"/>
        <v>404</v>
      </c>
      <c r="AM266" s="1215">
        <f t="shared" si="82"/>
        <v>30</v>
      </c>
    </row>
    <row r="267" spans="1:39" ht="16.5" customHeight="1">
      <c r="A267" s="1231" t="s">
        <v>9170</v>
      </c>
      <c r="B267" s="867" t="s">
        <v>9095</v>
      </c>
      <c r="C267" s="1240">
        <v>11653</v>
      </c>
      <c r="D267" s="1240">
        <v>2663</v>
      </c>
      <c r="E267" s="1240">
        <v>10236</v>
      </c>
      <c r="F267" s="1240">
        <v>35129</v>
      </c>
      <c r="G267" s="1240">
        <v>5511</v>
      </c>
      <c r="H267" s="1240">
        <v>1680</v>
      </c>
      <c r="J267" s="1231" t="s">
        <v>1339</v>
      </c>
      <c r="K267" s="867" t="s">
        <v>604</v>
      </c>
      <c r="L267" s="867"/>
      <c r="M267" s="1232">
        <f t="shared" si="72"/>
        <v>19503</v>
      </c>
      <c r="N267" s="1232">
        <v>3759</v>
      </c>
      <c r="O267" s="1232">
        <v>889</v>
      </c>
      <c r="P267" s="1232">
        <f t="shared" si="73"/>
        <v>14855</v>
      </c>
      <c r="Q267" s="1232">
        <v>2933</v>
      </c>
      <c r="R267" s="1232">
        <f t="shared" si="74"/>
        <v>11922</v>
      </c>
      <c r="S267" s="1232">
        <f t="shared" si="75"/>
        <v>11438</v>
      </c>
      <c r="T267" s="1232">
        <v>9522</v>
      </c>
      <c r="U267" s="1232">
        <v>1916</v>
      </c>
      <c r="V267" s="1232">
        <v>484</v>
      </c>
      <c r="W267" s="1232"/>
      <c r="X267" s="1232" t="s">
        <v>603</v>
      </c>
      <c r="Y267" s="1232" t="s">
        <v>9170</v>
      </c>
      <c r="Z267" s="1232" t="s">
        <v>9278</v>
      </c>
      <c r="AA267" s="1236" t="s">
        <v>1339</v>
      </c>
      <c r="AB267" s="867" t="s">
        <v>604</v>
      </c>
      <c r="AC267" s="1237"/>
      <c r="AD267" s="942">
        <f t="shared" si="76"/>
        <v>19503</v>
      </c>
      <c r="AE267" s="942">
        <f t="shared" si="77"/>
        <v>3759</v>
      </c>
      <c r="AF267" s="942">
        <f t="shared" si="77"/>
        <v>889</v>
      </c>
      <c r="AG267" s="942">
        <f t="shared" si="78"/>
        <v>14855</v>
      </c>
      <c r="AH267" s="942">
        <f t="shared" si="79"/>
        <v>2933</v>
      </c>
      <c r="AI267" s="942">
        <f t="shared" si="80"/>
        <v>11922</v>
      </c>
      <c r="AJ267" s="942">
        <f t="shared" si="81"/>
        <v>11438</v>
      </c>
      <c r="AK267" s="942">
        <f t="shared" si="82"/>
        <v>9522</v>
      </c>
      <c r="AL267" s="942">
        <f t="shared" si="82"/>
        <v>1916</v>
      </c>
      <c r="AM267" s="942">
        <f t="shared" si="82"/>
        <v>484</v>
      </c>
    </row>
    <row r="268" spans="1:39" ht="16.5" customHeight="1">
      <c r="A268" s="1231"/>
      <c r="J268" s="1231" t="s">
        <v>1341</v>
      </c>
      <c r="K268" s="867" t="s">
        <v>606</v>
      </c>
      <c r="L268" s="867"/>
      <c r="M268" s="1232">
        <f t="shared" si="72"/>
        <v>15683</v>
      </c>
      <c r="N268" s="1232">
        <v>2871</v>
      </c>
      <c r="O268" s="1232">
        <v>653</v>
      </c>
      <c r="P268" s="1232">
        <f t="shared" si="73"/>
        <v>12159</v>
      </c>
      <c r="Q268" s="1232">
        <v>2229</v>
      </c>
      <c r="R268" s="1232">
        <f t="shared" si="74"/>
        <v>9930</v>
      </c>
      <c r="S268" s="1232">
        <f t="shared" si="75"/>
        <v>9563</v>
      </c>
      <c r="T268" s="1232">
        <v>8335</v>
      </c>
      <c r="U268" s="1232">
        <v>1228</v>
      </c>
      <c r="V268" s="1232">
        <v>367</v>
      </c>
      <c r="W268" s="1232"/>
      <c r="X268" s="1232" t="s">
        <v>603</v>
      </c>
      <c r="Y268" s="1232" t="s">
        <v>9170</v>
      </c>
      <c r="Z268" s="1232" t="s">
        <v>9278</v>
      </c>
      <c r="AA268" s="1236" t="s">
        <v>1341</v>
      </c>
      <c r="AB268" s="867" t="s">
        <v>606</v>
      </c>
      <c r="AC268" s="1237"/>
      <c r="AD268" s="942">
        <f t="shared" si="76"/>
        <v>15683</v>
      </c>
      <c r="AE268" s="942">
        <f t="shared" si="77"/>
        <v>2871</v>
      </c>
      <c r="AF268" s="942">
        <f t="shared" si="77"/>
        <v>653</v>
      </c>
      <c r="AG268" s="942">
        <f t="shared" si="78"/>
        <v>12159</v>
      </c>
      <c r="AH268" s="942">
        <f t="shared" si="79"/>
        <v>2229</v>
      </c>
      <c r="AI268" s="942">
        <f t="shared" si="80"/>
        <v>9930</v>
      </c>
      <c r="AJ268" s="942">
        <f t="shared" si="81"/>
        <v>9563</v>
      </c>
      <c r="AK268" s="942">
        <f t="shared" si="82"/>
        <v>8335</v>
      </c>
      <c r="AL268" s="942">
        <f t="shared" si="82"/>
        <v>1228</v>
      </c>
      <c r="AM268" s="942">
        <f t="shared" si="82"/>
        <v>367</v>
      </c>
    </row>
    <row r="269" spans="1:39" ht="16.5" customHeight="1">
      <c r="A269" s="1231"/>
      <c r="J269" s="1231" t="s">
        <v>1343</v>
      </c>
      <c r="K269" s="867" t="s">
        <v>608</v>
      </c>
      <c r="L269" s="867"/>
      <c r="M269" s="1232">
        <f t="shared" si="72"/>
        <v>1471</v>
      </c>
      <c r="N269" s="1232">
        <v>221</v>
      </c>
      <c r="O269" s="1232">
        <v>52</v>
      </c>
      <c r="P269" s="1232">
        <f t="shared" si="73"/>
        <v>1198</v>
      </c>
      <c r="Q269" s="1232">
        <v>172</v>
      </c>
      <c r="R269" s="1232">
        <f t="shared" si="74"/>
        <v>1026</v>
      </c>
      <c r="S269" s="1232">
        <f t="shared" si="75"/>
        <v>998</v>
      </c>
      <c r="T269" s="1232">
        <v>651</v>
      </c>
      <c r="U269" s="1232">
        <v>347</v>
      </c>
      <c r="V269" s="1232">
        <v>28</v>
      </c>
      <c r="W269" s="1232"/>
      <c r="X269" s="1232" t="s">
        <v>607</v>
      </c>
      <c r="Y269" s="1232" t="s">
        <v>9170</v>
      </c>
      <c r="Z269" s="1232" t="s">
        <v>9278</v>
      </c>
      <c r="AA269" s="1236" t="s">
        <v>1343</v>
      </c>
      <c r="AB269" s="867" t="s">
        <v>608</v>
      </c>
      <c r="AC269" s="1237"/>
      <c r="AD269" s="942">
        <f t="shared" si="76"/>
        <v>1471</v>
      </c>
      <c r="AE269" s="942">
        <f t="shared" si="77"/>
        <v>221</v>
      </c>
      <c r="AF269" s="942">
        <f t="shared" si="77"/>
        <v>52</v>
      </c>
      <c r="AG269" s="942">
        <f t="shared" si="78"/>
        <v>1198</v>
      </c>
      <c r="AH269" s="942">
        <f t="shared" si="79"/>
        <v>172</v>
      </c>
      <c r="AI269" s="942">
        <f t="shared" si="80"/>
        <v>1026</v>
      </c>
      <c r="AJ269" s="942">
        <f t="shared" si="81"/>
        <v>998</v>
      </c>
      <c r="AK269" s="942">
        <f t="shared" si="82"/>
        <v>651</v>
      </c>
      <c r="AL269" s="942">
        <f t="shared" si="82"/>
        <v>347</v>
      </c>
      <c r="AM269" s="942">
        <f t="shared" si="82"/>
        <v>28</v>
      </c>
    </row>
    <row r="270" spans="1:39" ht="16.5" customHeight="1">
      <c r="A270" s="1231"/>
      <c r="J270" s="1231" t="s">
        <v>1345</v>
      </c>
      <c r="K270" s="867" t="s">
        <v>609</v>
      </c>
      <c r="L270" s="867"/>
      <c r="M270" s="1232">
        <f t="shared" si="72"/>
        <v>30215</v>
      </c>
      <c r="N270" s="1241">
        <f>C267-SUM(N267:N269)</f>
        <v>4802</v>
      </c>
      <c r="O270" s="1241">
        <f>D267-SUM(O267:O269)</f>
        <v>1069</v>
      </c>
      <c r="P270" s="1241">
        <f t="shared" si="73"/>
        <v>24344</v>
      </c>
      <c r="Q270" s="1241">
        <f>E267-SUM(Q267:Q269)</f>
        <v>4902</v>
      </c>
      <c r="R270" s="1241">
        <f t="shared" si="74"/>
        <v>19442</v>
      </c>
      <c r="S270" s="1241">
        <f t="shared" si="75"/>
        <v>18641</v>
      </c>
      <c r="T270" s="1241">
        <f>F267-SUM(T267:T269)</f>
        <v>16621</v>
      </c>
      <c r="U270" s="1241">
        <f>G267-SUM(U267:U269)</f>
        <v>2020</v>
      </c>
      <c r="V270" s="1241">
        <f>H267-SUM(V267:V269)</f>
        <v>801</v>
      </c>
      <c r="W270" s="1232"/>
      <c r="X270" s="1232" t="s">
        <v>607</v>
      </c>
      <c r="Y270" s="1232" t="s">
        <v>9170</v>
      </c>
      <c r="Z270" s="1232" t="s">
        <v>9278</v>
      </c>
      <c r="AA270" s="1236" t="s">
        <v>1345</v>
      </c>
      <c r="AB270" s="867" t="s">
        <v>609</v>
      </c>
      <c r="AC270" s="1237"/>
      <c r="AD270" s="942">
        <f t="shared" si="76"/>
        <v>30215</v>
      </c>
      <c r="AE270" s="943">
        <f t="shared" si="77"/>
        <v>4802</v>
      </c>
      <c r="AF270" s="943">
        <f t="shared" si="77"/>
        <v>1069</v>
      </c>
      <c r="AG270" s="943">
        <f t="shared" si="78"/>
        <v>24344</v>
      </c>
      <c r="AH270" s="943">
        <f t="shared" si="79"/>
        <v>4902</v>
      </c>
      <c r="AI270" s="943">
        <f t="shared" si="80"/>
        <v>19442</v>
      </c>
      <c r="AJ270" s="943">
        <f t="shared" si="81"/>
        <v>18641</v>
      </c>
      <c r="AK270" s="943">
        <f t="shared" si="82"/>
        <v>16621</v>
      </c>
      <c r="AL270" s="943">
        <f t="shared" si="82"/>
        <v>2020</v>
      </c>
      <c r="AM270" s="943">
        <f t="shared" si="82"/>
        <v>801</v>
      </c>
    </row>
    <row r="271" spans="1:39" ht="16.5" customHeight="1">
      <c r="A271" s="1239" t="s">
        <v>9171</v>
      </c>
      <c r="B271" s="1234" t="s">
        <v>611</v>
      </c>
      <c r="C271" s="1240">
        <v>7524</v>
      </c>
      <c r="D271" s="1240">
        <v>1658</v>
      </c>
      <c r="E271" s="1240">
        <v>5502</v>
      </c>
      <c r="F271" s="1240">
        <v>17237</v>
      </c>
      <c r="G271" s="1240">
        <v>4242</v>
      </c>
      <c r="H271" s="1240">
        <v>895</v>
      </c>
      <c r="J271" s="1239" t="s">
        <v>1347</v>
      </c>
      <c r="K271" s="1245" t="s">
        <v>611</v>
      </c>
      <c r="L271" s="1245"/>
      <c r="M271" s="1246">
        <f t="shared" si="72"/>
        <v>37058</v>
      </c>
      <c r="N271" s="1246">
        <f t="shared" ref="N271:O271" si="86">C271</f>
        <v>7524</v>
      </c>
      <c r="O271" s="1246">
        <f t="shared" si="86"/>
        <v>1658</v>
      </c>
      <c r="P271" s="1246">
        <f t="shared" si="73"/>
        <v>27876</v>
      </c>
      <c r="Q271" s="1246">
        <f t="shared" ref="Q271" si="87">E271</f>
        <v>5502</v>
      </c>
      <c r="R271" s="1246">
        <f t="shared" si="74"/>
        <v>22374</v>
      </c>
      <c r="S271" s="1246">
        <f t="shared" si="75"/>
        <v>21479</v>
      </c>
      <c r="T271" s="1246">
        <f t="shared" ref="T271:V271" si="88">F271</f>
        <v>17237</v>
      </c>
      <c r="U271" s="1246">
        <f t="shared" si="88"/>
        <v>4242</v>
      </c>
      <c r="V271" s="1246">
        <f t="shared" si="88"/>
        <v>895</v>
      </c>
      <c r="W271" s="1232"/>
      <c r="X271" s="1232" t="s">
        <v>610</v>
      </c>
      <c r="Y271" s="1232" t="s">
        <v>9171</v>
      </c>
      <c r="Z271" s="1232" t="s">
        <v>9278</v>
      </c>
      <c r="AA271" s="1233" t="s">
        <v>1347</v>
      </c>
      <c r="AB271" s="1245" t="s">
        <v>611</v>
      </c>
      <c r="AC271" s="1248"/>
      <c r="AD271" s="1215">
        <f t="shared" si="76"/>
        <v>37058</v>
      </c>
      <c r="AE271" s="1215">
        <f t="shared" si="77"/>
        <v>7524</v>
      </c>
      <c r="AF271" s="1215">
        <f t="shared" si="77"/>
        <v>1658</v>
      </c>
      <c r="AG271" s="1215">
        <f t="shared" si="78"/>
        <v>27876</v>
      </c>
      <c r="AH271" s="1215">
        <f t="shared" si="79"/>
        <v>5502</v>
      </c>
      <c r="AI271" s="1215">
        <f t="shared" si="80"/>
        <v>22374</v>
      </c>
      <c r="AJ271" s="1215">
        <f t="shared" si="81"/>
        <v>21479</v>
      </c>
      <c r="AK271" s="1215">
        <f t="shared" si="82"/>
        <v>17237</v>
      </c>
      <c r="AL271" s="1215">
        <f t="shared" si="82"/>
        <v>4242</v>
      </c>
      <c r="AM271" s="1215">
        <f t="shared" si="82"/>
        <v>895</v>
      </c>
    </row>
    <row r="272" spans="1:39" ht="16.5" customHeight="1">
      <c r="A272" s="1239" t="s">
        <v>9172</v>
      </c>
      <c r="B272" s="1234" t="s">
        <v>11682</v>
      </c>
      <c r="C272" s="1240">
        <v>6930</v>
      </c>
      <c r="D272" s="1240">
        <v>1400</v>
      </c>
      <c r="E272" s="1240">
        <v>4603</v>
      </c>
      <c r="F272" s="1240">
        <v>15226</v>
      </c>
      <c r="G272" s="1240">
        <v>3105</v>
      </c>
      <c r="H272" s="1240">
        <v>751</v>
      </c>
      <c r="J272" s="1239" t="s">
        <v>1349</v>
      </c>
      <c r="K272" s="867" t="s">
        <v>613</v>
      </c>
      <c r="L272" s="867"/>
      <c r="M272" s="1232">
        <f t="shared" si="72"/>
        <v>12480</v>
      </c>
      <c r="N272" s="1232">
        <v>2496</v>
      </c>
      <c r="O272" s="1232">
        <v>540</v>
      </c>
      <c r="P272" s="1232">
        <f t="shared" si="73"/>
        <v>9444</v>
      </c>
      <c r="Q272" s="1232">
        <v>1808</v>
      </c>
      <c r="R272" s="1232">
        <f t="shared" si="74"/>
        <v>7636</v>
      </c>
      <c r="S272" s="1232">
        <f t="shared" si="75"/>
        <v>7340</v>
      </c>
      <c r="T272" s="1232">
        <v>6131</v>
      </c>
      <c r="U272" s="1232">
        <v>1209</v>
      </c>
      <c r="V272" s="1232">
        <v>296</v>
      </c>
      <c r="W272" s="1232"/>
      <c r="X272" s="1232" t="s">
        <v>612</v>
      </c>
      <c r="Y272" s="1232" t="s">
        <v>9172</v>
      </c>
      <c r="Z272" s="1232" t="s">
        <v>9278</v>
      </c>
      <c r="AA272" s="1233" t="s">
        <v>1349</v>
      </c>
      <c r="AB272" s="867" t="s">
        <v>613</v>
      </c>
      <c r="AC272" s="1237"/>
      <c r="AD272" s="942">
        <f t="shared" si="76"/>
        <v>12480</v>
      </c>
      <c r="AE272" s="942">
        <f t="shared" si="77"/>
        <v>2496</v>
      </c>
      <c r="AF272" s="942">
        <f t="shared" si="77"/>
        <v>540</v>
      </c>
      <c r="AG272" s="942">
        <f t="shared" si="78"/>
        <v>9444</v>
      </c>
      <c r="AH272" s="942">
        <f t="shared" si="79"/>
        <v>1808</v>
      </c>
      <c r="AI272" s="942">
        <f t="shared" si="80"/>
        <v>7636</v>
      </c>
      <c r="AJ272" s="942">
        <f t="shared" si="81"/>
        <v>7340</v>
      </c>
      <c r="AK272" s="942">
        <f t="shared" si="82"/>
        <v>6131</v>
      </c>
      <c r="AL272" s="942">
        <f t="shared" si="82"/>
        <v>1209</v>
      </c>
      <c r="AM272" s="942">
        <f t="shared" si="82"/>
        <v>296</v>
      </c>
    </row>
    <row r="273" spans="1:39" ht="16.5" customHeight="1">
      <c r="A273" s="1231"/>
      <c r="J273" s="1231" t="s">
        <v>1351</v>
      </c>
      <c r="K273" s="867" t="s">
        <v>614</v>
      </c>
      <c r="L273" s="867"/>
      <c r="M273" s="1232">
        <f t="shared" si="72"/>
        <v>17960</v>
      </c>
      <c r="N273" s="1232">
        <v>3959</v>
      </c>
      <c r="O273" s="1232">
        <v>779</v>
      </c>
      <c r="P273" s="1232">
        <f t="shared" si="73"/>
        <v>13222</v>
      </c>
      <c r="Q273" s="1232">
        <v>2604</v>
      </c>
      <c r="R273" s="1232">
        <f t="shared" si="74"/>
        <v>10618</v>
      </c>
      <c r="S273" s="1232">
        <f t="shared" si="75"/>
        <v>10195</v>
      </c>
      <c r="T273" s="1232">
        <v>8455</v>
      </c>
      <c r="U273" s="1232">
        <v>1740</v>
      </c>
      <c r="V273" s="1232">
        <v>423</v>
      </c>
      <c r="W273" s="1232"/>
      <c r="X273" s="1232" t="s">
        <v>612</v>
      </c>
      <c r="Y273" s="1232" t="s">
        <v>9172</v>
      </c>
      <c r="Z273" s="1232" t="s">
        <v>9278</v>
      </c>
      <c r="AA273" s="1236" t="s">
        <v>1351</v>
      </c>
      <c r="AB273" s="867" t="s">
        <v>614</v>
      </c>
      <c r="AC273" s="1237"/>
      <c r="AD273" s="942">
        <f t="shared" si="76"/>
        <v>17960</v>
      </c>
      <c r="AE273" s="942">
        <f t="shared" si="77"/>
        <v>3959</v>
      </c>
      <c r="AF273" s="942">
        <f t="shared" si="77"/>
        <v>779</v>
      </c>
      <c r="AG273" s="942">
        <f t="shared" si="78"/>
        <v>13222</v>
      </c>
      <c r="AH273" s="942">
        <f t="shared" si="79"/>
        <v>2604</v>
      </c>
      <c r="AI273" s="942">
        <f t="shared" si="80"/>
        <v>10618</v>
      </c>
      <c r="AJ273" s="942">
        <f t="shared" si="81"/>
        <v>10195</v>
      </c>
      <c r="AK273" s="942">
        <f t="shared" si="82"/>
        <v>8455</v>
      </c>
      <c r="AL273" s="942">
        <f t="shared" si="82"/>
        <v>1740</v>
      </c>
      <c r="AM273" s="942">
        <f t="shared" si="82"/>
        <v>423</v>
      </c>
    </row>
    <row r="274" spans="1:39" ht="16.5" customHeight="1">
      <c r="A274" s="1231"/>
      <c r="J274" s="1231" t="s">
        <v>1353</v>
      </c>
      <c r="K274" s="940" t="s">
        <v>615</v>
      </c>
      <c r="L274" s="940"/>
      <c r="M274" s="1241">
        <f t="shared" si="72"/>
        <v>1575</v>
      </c>
      <c r="N274" s="1241">
        <f>C272-SUM(N272:N273)</f>
        <v>475</v>
      </c>
      <c r="O274" s="1241">
        <f>D272-SUM(O272:O273)</f>
        <v>81</v>
      </c>
      <c r="P274" s="1241">
        <f t="shared" si="73"/>
        <v>1019</v>
      </c>
      <c r="Q274" s="1241">
        <f>E272-SUM(Q272:Q273)</f>
        <v>191</v>
      </c>
      <c r="R274" s="1241">
        <f t="shared" si="74"/>
        <v>828</v>
      </c>
      <c r="S274" s="1241">
        <f t="shared" si="75"/>
        <v>796</v>
      </c>
      <c r="T274" s="1241">
        <f>F272-SUM(T272:T273)</f>
        <v>640</v>
      </c>
      <c r="U274" s="1241">
        <f t="shared" ref="U274:V274" si="89">G272-SUM(U272:U273)</f>
        <v>156</v>
      </c>
      <c r="V274" s="1241">
        <f t="shared" si="89"/>
        <v>32</v>
      </c>
      <c r="W274" s="1232"/>
      <c r="X274" s="1232" t="s">
        <v>612</v>
      </c>
      <c r="Y274" s="1232" t="s">
        <v>9172</v>
      </c>
      <c r="Z274" s="1232" t="s">
        <v>9278</v>
      </c>
      <c r="AA274" s="1236" t="s">
        <v>1353</v>
      </c>
      <c r="AB274" s="940" t="s">
        <v>615</v>
      </c>
      <c r="AC274" s="1243"/>
      <c r="AD274" s="943">
        <f t="shared" si="76"/>
        <v>1575</v>
      </c>
      <c r="AE274" s="943">
        <f t="shared" si="77"/>
        <v>475</v>
      </c>
      <c r="AF274" s="943">
        <f t="shared" si="77"/>
        <v>81</v>
      </c>
      <c r="AG274" s="943">
        <f t="shared" si="78"/>
        <v>1019</v>
      </c>
      <c r="AH274" s="943">
        <f t="shared" si="79"/>
        <v>191</v>
      </c>
      <c r="AI274" s="943">
        <f t="shared" si="80"/>
        <v>828</v>
      </c>
      <c r="AJ274" s="943">
        <f t="shared" si="81"/>
        <v>796</v>
      </c>
      <c r="AK274" s="943">
        <f t="shared" si="82"/>
        <v>640</v>
      </c>
      <c r="AL274" s="943">
        <f t="shared" si="82"/>
        <v>156</v>
      </c>
      <c r="AM274" s="943">
        <f t="shared" si="82"/>
        <v>32</v>
      </c>
    </row>
    <row r="275" spans="1:39" ht="16.5" customHeight="1">
      <c r="A275" s="1239" t="s">
        <v>9173</v>
      </c>
      <c r="B275" s="1234" t="s">
        <v>11683</v>
      </c>
      <c r="C275" s="1240">
        <v>4230</v>
      </c>
      <c r="D275" s="1240">
        <v>941</v>
      </c>
      <c r="E275" s="1240">
        <v>4036</v>
      </c>
      <c r="F275" s="1240">
        <v>13811</v>
      </c>
      <c r="G275" s="1240">
        <v>2230</v>
      </c>
      <c r="H275" s="1240">
        <v>667</v>
      </c>
      <c r="J275" s="1239" t="s">
        <v>1355</v>
      </c>
      <c r="K275" s="867" t="s">
        <v>617</v>
      </c>
      <c r="L275" s="867"/>
      <c r="M275" s="1232">
        <f t="shared" si="72"/>
        <v>2427</v>
      </c>
      <c r="N275" s="1232">
        <v>396</v>
      </c>
      <c r="O275" s="1232">
        <v>83</v>
      </c>
      <c r="P275" s="1232">
        <f t="shared" si="73"/>
        <v>1948</v>
      </c>
      <c r="Q275" s="1232">
        <v>282</v>
      </c>
      <c r="R275" s="1232">
        <f t="shared" si="74"/>
        <v>1666</v>
      </c>
      <c r="S275" s="1232">
        <f t="shared" si="75"/>
        <v>1616</v>
      </c>
      <c r="T275" s="1232">
        <v>1397</v>
      </c>
      <c r="U275" s="1232">
        <v>219</v>
      </c>
      <c r="V275" s="1232">
        <v>50</v>
      </c>
      <c r="W275" s="1232"/>
      <c r="X275" s="1232" t="s">
        <v>618</v>
      </c>
      <c r="Y275" s="1232" t="s">
        <v>9173</v>
      </c>
      <c r="Z275" s="1232" t="s">
        <v>9278</v>
      </c>
      <c r="AA275" s="1233" t="s">
        <v>1355</v>
      </c>
      <c r="AB275" s="867" t="s">
        <v>617</v>
      </c>
      <c r="AC275" s="1237"/>
      <c r="AD275" s="942">
        <f t="shared" si="76"/>
        <v>2427</v>
      </c>
      <c r="AE275" s="942">
        <f t="shared" si="77"/>
        <v>396</v>
      </c>
      <c r="AF275" s="942">
        <f t="shared" si="77"/>
        <v>83</v>
      </c>
      <c r="AG275" s="942">
        <f t="shared" si="78"/>
        <v>1948</v>
      </c>
      <c r="AH275" s="942">
        <f t="shared" si="79"/>
        <v>282</v>
      </c>
      <c r="AI275" s="942">
        <f t="shared" si="80"/>
        <v>1666</v>
      </c>
      <c r="AJ275" s="942">
        <f t="shared" si="81"/>
        <v>1616</v>
      </c>
      <c r="AK275" s="942">
        <f t="shared" si="82"/>
        <v>1397</v>
      </c>
      <c r="AL275" s="942">
        <f t="shared" si="82"/>
        <v>219</v>
      </c>
      <c r="AM275" s="942">
        <f t="shared" si="82"/>
        <v>50</v>
      </c>
    </row>
    <row r="276" spans="1:39" ht="16.5" customHeight="1">
      <c r="A276" s="1231"/>
      <c r="J276" s="1231" t="s">
        <v>1357</v>
      </c>
      <c r="K276" s="867" t="s">
        <v>619</v>
      </c>
      <c r="L276" s="867"/>
      <c r="M276" s="1232">
        <f t="shared" si="72"/>
        <v>8422</v>
      </c>
      <c r="N276" s="1232">
        <v>1488</v>
      </c>
      <c r="O276" s="1232">
        <v>298</v>
      </c>
      <c r="P276" s="1232">
        <f t="shared" si="73"/>
        <v>6636</v>
      </c>
      <c r="Q276" s="1232">
        <v>1378</v>
      </c>
      <c r="R276" s="1232">
        <f t="shared" si="74"/>
        <v>5258</v>
      </c>
      <c r="S276" s="1232">
        <f t="shared" si="75"/>
        <v>5031</v>
      </c>
      <c r="T276" s="1232">
        <v>4377</v>
      </c>
      <c r="U276" s="1232">
        <v>654</v>
      </c>
      <c r="V276" s="1232">
        <v>227</v>
      </c>
      <c r="W276" s="1232"/>
      <c r="X276" s="1232" t="s">
        <v>618</v>
      </c>
      <c r="Y276" s="1232" t="s">
        <v>9173</v>
      </c>
      <c r="Z276" s="1232" t="s">
        <v>9278</v>
      </c>
      <c r="AA276" s="1236" t="s">
        <v>1357</v>
      </c>
      <c r="AB276" s="867" t="s">
        <v>619</v>
      </c>
      <c r="AC276" s="1237"/>
      <c r="AD276" s="942">
        <f t="shared" si="76"/>
        <v>8422</v>
      </c>
      <c r="AE276" s="942">
        <f t="shared" si="77"/>
        <v>1488</v>
      </c>
      <c r="AF276" s="942">
        <f t="shared" si="77"/>
        <v>298</v>
      </c>
      <c r="AG276" s="942">
        <f t="shared" si="78"/>
        <v>6636</v>
      </c>
      <c r="AH276" s="942">
        <f t="shared" si="79"/>
        <v>1378</v>
      </c>
      <c r="AI276" s="942">
        <f t="shared" si="80"/>
        <v>5258</v>
      </c>
      <c r="AJ276" s="942">
        <f t="shared" si="81"/>
        <v>5031</v>
      </c>
      <c r="AK276" s="942">
        <f t="shared" si="82"/>
        <v>4377</v>
      </c>
      <c r="AL276" s="942">
        <f t="shared" si="82"/>
        <v>654</v>
      </c>
      <c r="AM276" s="942">
        <f t="shared" si="82"/>
        <v>227</v>
      </c>
    </row>
    <row r="277" spans="1:39" ht="16.5" customHeight="1">
      <c r="A277" s="1231"/>
      <c r="J277" s="1231" t="s">
        <v>1359</v>
      </c>
      <c r="K277" s="867" t="s">
        <v>620</v>
      </c>
      <c r="L277" s="867"/>
      <c r="M277" s="1232">
        <f t="shared" si="72"/>
        <v>1239</v>
      </c>
      <c r="N277" s="1232">
        <v>248</v>
      </c>
      <c r="O277" s="1232">
        <v>58</v>
      </c>
      <c r="P277" s="1232">
        <f t="shared" si="73"/>
        <v>933</v>
      </c>
      <c r="Q277" s="1232">
        <v>195</v>
      </c>
      <c r="R277" s="1232">
        <f t="shared" si="74"/>
        <v>738</v>
      </c>
      <c r="S277" s="1232">
        <f t="shared" si="75"/>
        <v>705</v>
      </c>
      <c r="T277" s="1232">
        <v>604</v>
      </c>
      <c r="U277" s="1232">
        <v>101</v>
      </c>
      <c r="V277" s="1232">
        <v>33</v>
      </c>
      <c r="W277" s="1232"/>
      <c r="X277" s="1232" t="s">
        <v>618</v>
      </c>
      <c r="Y277" s="1232" t="s">
        <v>9173</v>
      </c>
      <c r="Z277" s="1232" t="s">
        <v>9278</v>
      </c>
      <c r="AA277" s="1236" t="s">
        <v>1359</v>
      </c>
      <c r="AB277" s="867" t="s">
        <v>620</v>
      </c>
      <c r="AC277" s="1237"/>
      <c r="AD277" s="942">
        <f t="shared" si="76"/>
        <v>1239</v>
      </c>
      <c r="AE277" s="942">
        <f t="shared" si="77"/>
        <v>248</v>
      </c>
      <c r="AF277" s="942">
        <f t="shared" si="77"/>
        <v>58</v>
      </c>
      <c r="AG277" s="942">
        <f t="shared" si="78"/>
        <v>933</v>
      </c>
      <c r="AH277" s="942">
        <f t="shared" si="79"/>
        <v>195</v>
      </c>
      <c r="AI277" s="942">
        <f t="shared" si="80"/>
        <v>738</v>
      </c>
      <c r="AJ277" s="942">
        <f t="shared" si="81"/>
        <v>705</v>
      </c>
      <c r="AK277" s="942">
        <f t="shared" si="82"/>
        <v>604</v>
      </c>
      <c r="AL277" s="942">
        <f t="shared" si="82"/>
        <v>101</v>
      </c>
      <c r="AM277" s="942">
        <f t="shared" si="82"/>
        <v>33</v>
      </c>
    </row>
    <row r="278" spans="1:39" ht="16.5" customHeight="1">
      <c r="A278" s="1231"/>
      <c r="J278" s="1231" t="s">
        <v>1361</v>
      </c>
      <c r="K278" s="940" t="s">
        <v>621</v>
      </c>
      <c r="L278" s="940"/>
      <c r="M278" s="1241">
        <f t="shared" si="72"/>
        <v>13827</v>
      </c>
      <c r="N278" s="1241">
        <f>C275-SUM(N275:N277)</f>
        <v>2098</v>
      </c>
      <c r="O278" s="1241">
        <f>D275-SUM(O275:O277)</f>
        <v>502</v>
      </c>
      <c r="P278" s="1241">
        <f t="shared" si="73"/>
        <v>11227</v>
      </c>
      <c r="Q278" s="1241">
        <f>E275-SUM(Q275:Q277)</f>
        <v>2181</v>
      </c>
      <c r="R278" s="1241">
        <f t="shared" si="74"/>
        <v>9046</v>
      </c>
      <c r="S278" s="1241">
        <f t="shared" si="75"/>
        <v>8689</v>
      </c>
      <c r="T278" s="1241">
        <f>F275-SUM(T275:T277)</f>
        <v>7433</v>
      </c>
      <c r="U278" s="1241">
        <f>G275-SUM(U275:U277)</f>
        <v>1256</v>
      </c>
      <c r="V278" s="1241">
        <f>H275-SUM(V275:V277)</f>
        <v>357</v>
      </c>
      <c r="W278" s="1232"/>
      <c r="X278" s="1232" t="s">
        <v>618</v>
      </c>
      <c r="Y278" s="1232" t="s">
        <v>9173</v>
      </c>
      <c r="Z278" s="1232" t="s">
        <v>9278</v>
      </c>
      <c r="AA278" s="1236" t="s">
        <v>1361</v>
      </c>
      <c r="AB278" s="940" t="s">
        <v>621</v>
      </c>
      <c r="AC278" s="1243"/>
      <c r="AD278" s="943">
        <f t="shared" si="76"/>
        <v>13827</v>
      </c>
      <c r="AE278" s="943">
        <f t="shared" si="77"/>
        <v>2098</v>
      </c>
      <c r="AF278" s="943">
        <f t="shared" si="77"/>
        <v>502</v>
      </c>
      <c r="AG278" s="943">
        <f t="shared" si="78"/>
        <v>11227</v>
      </c>
      <c r="AH278" s="943">
        <f t="shared" si="79"/>
        <v>2181</v>
      </c>
      <c r="AI278" s="943">
        <f t="shared" si="80"/>
        <v>9046</v>
      </c>
      <c r="AJ278" s="943">
        <f t="shared" si="81"/>
        <v>8689</v>
      </c>
      <c r="AK278" s="943">
        <f t="shared" si="82"/>
        <v>7433</v>
      </c>
      <c r="AL278" s="943">
        <f t="shared" si="82"/>
        <v>1256</v>
      </c>
      <c r="AM278" s="943">
        <f t="shared" si="82"/>
        <v>357</v>
      </c>
    </row>
    <row r="279" spans="1:39" ht="16.5" customHeight="1">
      <c r="A279" s="1239" t="s">
        <v>9174</v>
      </c>
      <c r="B279" s="1234" t="s">
        <v>11684</v>
      </c>
      <c r="C279" s="1240">
        <v>0</v>
      </c>
      <c r="D279" s="1240">
        <v>0</v>
      </c>
      <c r="E279" s="1240">
        <v>101</v>
      </c>
      <c r="F279" s="1240">
        <v>3061</v>
      </c>
      <c r="G279" s="1240">
        <v>201</v>
      </c>
      <c r="H279" s="1240">
        <v>10</v>
      </c>
      <c r="J279" s="1239" t="s">
        <v>8638</v>
      </c>
      <c r="K279" s="867" t="s">
        <v>11105</v>
      </c>
      <c r="L279" s="867"/>
      <c r="M279" s="1232" t="e">
        <f t="shared" si="72"/>
        <v>#DIV/0!</v>
      </c>
      <c r="N279" s="1232" t="e">
        <v>#DIV/0!</v>
      </c>
      <c r="O279" s="1232" t="e">
        <v>#DIV/0!</v>
      </c>
      <c r="P279" s="1232">
        <f t="shared" si="73"/>
        <v>3098</v>
      </c>
      <c r="Q279" s="1232">
        <v>93</v>
      </c>
      <c r="R279" s="1232">
        <f t="shared" si="74"/>
        <v>3005</v>
      </c>
      <c r="S279" s="1232">
        <f t="shared" si="75"/>
        <v>2998</v>
      </c>
      <c r="T279" s="1232">
        <v>2813</v>
      </c>
      <c r="U279" s="1232">
        <v>185</v>
      </c>
      <c r="V279" s="1232">
        <v>7</v>
      </c>
      <c r="W279" s="1232"/>
      <c r="X279" s="1232" t="s">
        <v>9460</v>
      </c>
      <c r="Y279" s="1232" t="s">
        <v>9174</v>
      </c>
      <c r="Z279" s="1232" t="s">
        <v>9283</v>
      </c>
      <c r="AA279" s="1233" t="s">
        <v>8638</v>
      </c>
      <c r="AB279" s="867" t="s">
        <v>11105</v>
      </c>
      <c r="AC279" s="1237"/>
      <c r="AD279" s="942">
        <f t="shared" si="76"/>
        <v>3098</v>
      </c>
      <c r="AE279" s="1217">
        <v>0</v>
      </c>
      <c r="AF279" s="1217">
        <v>0</v>
      </c>
      <c r="AG279" s="942">
        <f t="shared" si="78"/>
        <v>3098</v>
      </c>
      <c r="AH279" s="942">
        <f t="shared" si="79"/>
        <v>93</v>
      </c>
      <c r="AI279" s="942">
        <f t="shared" si="80"/>
        <v>3005</v>
      </c>
      <c r="AJ279" s="942">
        <f t="shared" si="81"/>
        <v>2998</v>
      </c>
      <c r="AK279" s="942">
        <f t="shared" si="82"/>
        <v>2813</v>
      </c>
      <c r="AL279" s="942">
        <f t="shared" si="82"/>
        <v>185</v>
      </c>
      <c r="AM279" s="942">
        <f t="shared" si="82"/>
        <v>7</v>
      </c>
    </row>
    <row r="280" spans="1:39" ht="16.5" customHeight="1">
      <c r="A280" s="1231"/>
      <c r="J280" s="1231" t="s">
        <v>8640</v>
      </c>
      <c r="K280" s="867" t="s">
        <v>11106</v>
      </c>
      <c r="L280" s="867"/>
      <c r="M280" s="1232" t="e">
        <f t="shared" si="72"/>
        <v>#DIV/0!</v>
      </c>
      <c r="N280" s="1232" t="e">
        <v>#DIV/0!</v>
      </c>
      <c r="O280" s="1232" t="e">
        <v>#DIV/0!</v>
      </c>
      <c r="P280" s="1232">
        <f t="shared" si="73"/>
        <v>0</v>
      </c>
      <c r="Q280" s="1232">
        <v>0</v>
      </c>
      <c r="R280" s="1232">
        <f t="shared" si="74"/>
        <v>0</v>
      </c>
      <c r="S280" s="1232">
        <f t="shared" si="75"/>
        <v>0</v>
      </c>
      <c r="T280" s="1232">
        <v>0</v>
      </c>
      <c r="U280" s="1232">
        <v>0</v>
      </c>
      <c r="V280" s="1232">
        <v>0</v>
      </c>
      <c r="W280" s="1232"/>
      <c r="X280" s="1232" t="s">
        <v>9460</v>
      </c>
      <c r="Y280" s="1232" t="s">
        <v>9174</v>
      </c>
      <c r="Z280" s="1232" t="s">
        <v>9283</v>
      </c>
      <c r="AA280" s="1236" t="s">
        <v>8640</v>
      </c>
      <c r="AB280" s="867" t="s">
        <v>11106</v>
      </c>
      <c r="AC280" s="1237"/>
      <c r="AD280" s="942">
        <f t="shared" si="76"/>
        <v>0</v>
      </c>
      <c r="AE280" s="1217">
        <v>0</v>
      </c>
      <c r="AF280" s="1217">
        <v>0</v>
      </c>
      <c r="AG280" s="942">
        <f t="shared" si="78"/>
        <v>0</v>
      </c>
      <c r="AH280" s="942">
        <f t="shared" si="79"/>
        <v>0</v>
      </c>
      <c r="AI280" s="942">
        <f t="shared" si="80"/>
        <v>0</v>
      </c>
      <c r="AJ280" s="942">
        <f t="shared" si="81"/>
        <v>0</v>
      </c>
      <c r="AK280" s="942">
        <f t="shared" si="82"/>
        <v>0</v>
      </c>
      <c r="AL280" s="942">
        <f t="shared" si="82"/>
        <v>0</v>
      </c>
      <c r="AM280" s="942">
        <f t="shared" si="82"/>
        <v>0</v>
      </c>
    </row>
    <row r="281" spans="1:39" ht="16.5" customHeight="1">
      <c r="A281" s="1238"/>
      <c r="B281" s="940"/>
      <c r="C281" s="940"/>
      <c r="D281" s="940"/>
      <c r="E281" s="940"/>
      <c r="F281" s="940"/>
      <c r="G281" s="940"/>
      <c r="H281" s="940"/>
      <c r="J281" s="1238" t="s">
        <v>8641</v>
      </c>
      <c r="K281" s="940" t="s">
        <v>11107</v>
      </c>
      <c r="L281" s="940"/>
      <c r="M281" s="1241" t="e">
        <f t="shared" si="72"/>
        <v>#DIV/0!</v>
      </c>
      <c r="N281" s="1241" t="e">
        <f>C279-SUM(N279:N280)</f>
        <v>#DIV/0!</v>
      </c>
      <c r="O281" s="1241" t="e">
        <f>D279-SUM(O279:O280)</f>
        <v>#DIV/0!</v>
      </c>
      <c r="P281" s="1241">
        <f t="shared" si="73"/>
        <v>275</v>
      </c>
      <c r="Q281" s="1241">
        <f>E279-SUM(Q279:Q280)</f>
        <v>8</v>
      </c>
      <c r="R281" s="1241">
        <f t="shared" si="74"/>
        <v>267</v>
      </c>
      <c r="S281" s="1241">
        <f t="shared" si="75"/>
        <v>264</v>
      </c>
      <c r="T281" s="1241">
        <f>F279-SUM(T279:T280)</f>
        <v>248</v>
      </c>
      <c r="U281" s="1241">
        <f t="shared" ref="U281:V281" si="90">G279-SUM(U279:U280)</f>
        <v>16</v>
      </c>
      <c r="V281" s="1241">
        <f t="shared" si="90"/>
        <v>3</v>
      </c>
      <c r="W281" s="1232"/>
      <c r="X281" s="1232" t="s">
        <v>9460</v>
      </c>
      <c r="Y281" s="1232" t="s">
        <v>9174</v>
      </c>
      <c r="Z281" s="1232" t="s">
        <v>9283</v>
      </c>
      <c r="AA281" s="1242" t="s">
        <v>8641</v>
      </c>
      <c r="AB281" s="940" t="s">
        <v>11107</v>
      </c>
      <c r="AC281" s="1243"/>
      <c r="AD281" s="943">
        <f t="shared" si="76"/>
        <v>275</v>
      </c>
      <c r="AE281" s="1217">
        <v>0</v>
      </c>
      <c r="AF281" s="1217">
        <v>0</v>
      </c>
      <c r="AG281" s="943">
        <f t="shared" si="78"/>
        <v>275</v>
      </c>
      <c r="AH281" s="943">
        <f t="shared" si="79"/>
        <v>8</v>
      </c>
      <c r="AI281" s="943">
        <f t="shared" si="80"/>
        <v>267</v>
      </c>
      <c r="AJ281" s="943">
        <f t="shared" si="81"/>
        <v>264</v>
      </c>
      <c r="AK281" s="943">
        <f t="shared" si="82"/>
        <v>248</v>
      </c>
      <c r="AL281" s="943">
        <f t="shared" si="82"/>
        <v>16</v>
      </c>
      <c r="AM281" s="943">
        <f t="shared" si="82"/>
        <v>3</v>
      </c>
    </row>
    <row r="282" spans="1:39" ht="16.5" customHeight="1">
      <c r="A282" s="1231" t="s">
        <v>9175</v>
      </c>
      <c r="B282" s="867" t="s">
        <v>9098</v>
      </c>
      <c r="C282" s="1240">
        <v>0</v>
      </c>
      <c r="D282" s="1240">
        <v>0</v>
      </c>
      <c r="E282" s="1240">
        <v>10</v>
      </c>
      <c r="F282" s="1240">
        <v>499</v>
      </c>
      <c r="G282" s="1240">
        <v>149</v>
      </c>
      <c r="H282" s="1240">
        <v>4</v>
      </c>
      <c r="J282" s="1231" t="s">
        <v>1366</v>
      </c>
      <c r="K282" s="867" t="s">
        <v>627</v>
      </c>
      <c r="L282" s="867"/>
      <c r="M282" s="1232" t="e">
        <f t="shared" si="72"/>
        <v>#DIV/0!</v>
      </c>
      <c r="N282" s="1232" t="e">
        <v>#DIV/0!</v>
      </c>
      <c r="O282" s="1232" t="e">
        <v>#DIV/0!</v>
      </c>
      <c r="P282" s="1232">
        <f t="shared" si="73"/>
        <v>647</v>
      </c>
      <c r="Q282" s="1232">
        <v>9</v>
      </c>
      <c r="R282" s="1232">
        <f t="shared" si="74"/>
        <v>638</v>
      </c>
      <c r="S282" s="1232">
        <f t="shared" si="75"/>
        <v>635</v>
      </c>
      <c r="T282" s="1232">
        <v>488</v>
      </c>
      <c r="U282" s="1232">
        <v>147</v>
      </c>
      <c r="V282" s="1232">
        <v>3</v>
      </c>
      <c r="W282" s="1232"/>
      <c r="X282" s="1232" t="s">
        <v>9461</v>
      </c>
      <c r="Y282" s="1232" t="s">
        <v>9175</v>
      </c>
      <c r="Z282" s="1232" t="s">
        <v>9283</v>
      </c>
      <c r="AA282" s="1236" t="s">
        <v>1366</v>
      </c>
      <c r="AB282" s="867" t="s">
        <v>627</v>
      </c>
      <c r="AC282" s="1237"/>
      <c r="AD282" s="942">
        <f t="shared" si="76"/>
        <v>647</v>
      </c>
      <c r="AE282" s="1219">
        <v>0</v>
      </c>
      <c r="AF282" s="1219">
        <v>0</v>
      </c>
      <c r="AG282" s="942">
        <f t="shared" si="78"/>
        <v>647</v>
      </c>
      <c r="AH282" s="942">
        <f t="shared" si="79"/>
        <v>9</v>
      </c>
      <c r="AI282" s="942">
        <f t="shared" si="80"/>
        <v>638</v>
      </c>
      <c r="AJ282" s="942">
        <f t="shared" si="81"/>
        <v>635</v>
      </c>
      <c r="AK282" s="942">
        <f t="shared" si="82"/>
        <v>488</v>
      </c>
      <c r="AL282" s="942">
        <f t="shared" si="82"/>
        <v>147</v>
      </c>
      <c r="AM282" s="942">
        <f t="shared" si="82"/>
        <v>3</v>
      </c>
    </row>
    <row r="283" spans="1:39" ht="16.5" customHeight="1">
      <c r="A283" s="1231"/>
      <c r="J283" s="1238" t="s">
        <v>1368</v>
      </c>
      <c r="K283" s="940" t="s">
        <v>629</v>
      </c>
      <c r="L283" s="940"/>
      <c r="M283" s="1241" t="e">
        <f t="shared" si="72"/>
        <v>#DIV/0!</v>
      </c>
      <c r="N283" s="1241" t="e">
        <f>C282-SUM(N282:N282)</f>
        <v>#DIV/0!</v>
      </c>
      <c r="O283" s="1241" t="e">
        <f>D282-SUM(O282:O282)</f>
        <v>#DIV/0!</v>
      </c>
      <c r="P283" s="1241">
        <f t="shared" si="73"/>
        <v>15</v>
      </c>
      <c r="Q283" s="1241">
        <f>E282-SUM(Q282:Q282)</f>
        <v>1</v>
      </c>
      <c r="R283" s="1241">
        <f t="shared" si="74"/>
        <v>14</v>
      </c>
      <c r="S283" s="1241">
        <f t="shared" si="75"/>
        <v>13</v>
      </c>
      <c r="T283" s="1241">
        <f>F282-SUM(T282:T282)</f>
        <v>11</v>
      </c>
      <c r="U283" s="1241">
        <f>G282-SUM(U282:U282)</f>
        <v>2</v>
      </c>
      <c r="V283" s="1241">
        <f>H282-SUM(V282:V282)</f>
        <v>1</v>
      </c>
      <c r="W283" s="1232"/>
      <c r="X283" s="1232" t="s">
        <v>9462</v>
      </c>
      <c r="Y283" s="1232" t="s">
        <v>9175</v>
      </c>
      <c r="Z283" s="1232" t="s">
        <v>9283</v>
      </c>
      <c r="AA283" s="1242" t="s">
        <v>1368</v>
      </c>
      <c r="AB283" s="940" t="s">
        <v>629</v>
      </c>
      <c r="AC283" s="1243"/>
      <c r="AD283" s="943">
        <f t="shared" si="76"/>
        <v>15</v>
      </c>
      <c r="AE283" s="1218">
        <v>0</v>
      </c>
      <c r="AF283" s="1218">
        <v>0</v>
      </c>
      <c r="AG283" s="943">
        <f t="shared" si="78"/>
        <v>15</v>
      </c>
      <c r="AH283" s="943">
        <f t="shared" si="79"/>
        <v>1</v>
      </c>
      <c r="AI283" s="943">
        <f t="shared" si="80"/>
        <v>14</v>
      </c>
      <c r="AJ283" s="943">
        <f t="shared" si="81"/>
        <v>13</v>
      </c>
      <c r="AK283" s="943">
        <f t="shared" si="82"/>
        <v>11</v>
      </c>
      <c r="AL283" s="943">
        <f t="shared" si="82"/>
        <v>2</v>
      </c>
      <c r="AM283" s="943">
        <f t="shared" si="82"/>
        <v>1</v>
      </c>
    </row>
    <row r="284" spans="1:39" ht="16.5" customHeight="1">
      <c r="A284" s="1239" t="s">
        <v>9176</v>
      </c>
      <c r="B284" s="1234" t="s">
        <v>9099</v>
      </c>
      <c r="C284" s="1240">
        <v>0</v>
      </c>
      <c r="D284" s="1240">
        <v>0</v>
      </c>
      <c r="E284" s="1240">
        <v>6</v>
      </c>
      <c r="F284" s="1240">
        <v>3078</v>
      </c>
      <c r="G284" s="1240">
        <v>926</v>
      </c>
      <c r="H284" s="1240">
        <v>1</v>
      </c>
      <c r="J284" s="1231" t="s">
        <v>1370</v>
      </c>
      <c r="K284" s="867" t="s">
        <v>631</v>
      </c>
      <c r="L284" s="867"/>
      <c r="M284" s="1232" t="e">
        <f t="shared" si="72"/>
        <v>#DIV/0!</v>
      </c>
      <c r="N284" s="1232" t="e">
        <v>#DIV/0!</v>
      </c>
      <c r="O284" s="1232" t="e">
        <v>#DIV/0!</v>
      </c>
      <c r="P284" s="1232">
        <f t="shared" si="73"/>
        <v>2529</v>
      </c>
      <c r="Q284" s="1232">
        <v>5</v>
      </c>
      <c r="R284" s="1232">
        <f t="shared" si="74"/>
        <v>2524</v>
      </c>
      <c r="S284" s="1232">
        <f t="shared" si="75"/>
        <v>2523</v>
      </c>
      <c r="T284" s="1232">
        <v>1939</v>
      </c>
      <c r="U284" s="1232">
        <v>584</v>
      </c>
      <c r="V284" s="1232">
        <v>1</v>
      </c>
      <c r="W284" s="1232"/>
      <c r="X284" s="1232" t="s">
        <v>9463</v>
      </c>
      <c r="Y284" s="1232" t="s">
        <v>9176</v>
      </c>
      <c r="Z284" s="1232" t="s">
        <v>9284</v>
      </c>
      <c r="AA284" s="1236" t="s">
        <v>1370</v>
      </c>
      <c r="AB284" s="867" t="s">
        <v>631</v>
      </c>
      <c r="AC284" s="1237"/>
      <c r="AD284" s="942">
        <f t="shared" si="76"/>
        <v>2529</v>
      </c>
      <c r="AE284" s="1217">
        <v>0</v>
      </c>
      <c r="AF284" s="1217">
        <v>0</v>
      </c>
      <c r="AG284" s="942">
        <f t="shared" si="78"/>
        <v>2529</v>
      </c>
      <c r="AH284" s="942">
        <f t="shared" si="79"/>
        <v>5</v>
      </c>
      <c r="AI284" s="942">
        <f t="shared" si="80"/>
        <v>2524</v>
      </c>
      <c r="AJ284" s="942">
        <f t="shared" si="81"/>
        <v>2523</v>
      </c>
      <c r="AK284" s="942">
        <f t="shared" si="82"/>
        <v>1939</v>
      </c>
      <c r="AL284" s="942">
        <f t="shared" si="82"/>
        <v>584</v>
      </c>
      <c r="AM284" s="942">
        <f t="shared" si="82"/>
        <v>1</v>
      </c>
    </row>
    <row r="285" spans="1:39" ht="16.5" customHeight="1">
      <c r="A285" s="1231"/>
      <c r="J285" s="1231" t="s">
        <v>1372</v>
      </c>
      <c r="K285" s="867" t="s">
        <v>633</v>
      </c>
      <c r="L285" s="867"/>
      <c r="M285" s="1232" t="e">
        <f t="shared" si="72"/>
        <v>#DIV/0!</v>
      </c>
      <c r="N285" s="1232" t="e">
        <v>#DIV/0!</v>
      </c>
      <c r="O285" s="1232" t="e">
        <v>#DIV/0!</v>
      </c>
      <c r="P285" s="1232">
        <f t="shared" si="73"/>
        <v>112</v>
      </c>
      <c r="Q285" s="1232">
        <v>0</v>
      </c>
      <c r="R285" s="1232">
        <f t="shared" si="74"/>
        <v>112</v>
      </c>
      <c r="S285" s="1232">
        <f t="shared" si="75"/>
        <v>112</v>
      </c>
      <c r="T285" s="1232">
        <v>86</v>
      </c>
      <c r="U285" s="1232">
        <v>26</v>
      </c>
      <c r="V285" s="1232">
        <v>0</v>
      </c>
      <c r="W285" s="1232"/>
      <c r="X285" s="1232" t="s">
        <v>9463</v>
      </c>
      <c r="Y285" s="1232" t="s">
        <v>9176</v>
      </c>
      <c r="Z285" s="1232" t="s">
        <v>9284</v>
      </c>
      <c r="AA285" s="1236" t="s">
        <v>1372</v>
      </c>
      <c r="AB285" s="867" t="s">
        <v>633</v>
      </c>
      <c r="AC285" s="1237"/>
      <c r="AD285" s="942">
        <f t="shared" si="76"/>
        <v>112</v>
      </c>
      <c r="AE285" s="1217">
        <v>0</v>
      </c>
      <c r="AF285" s="1217">
        <v>0</v>
      </c>
      <c r="AG285" s="942">
        <f t="shared" si="78"/>
        <v>112</v>
      </c>
      <c r="AH285" s="942">
        <f t="shared" si="79"/>
        <v>0</v>
      </c>
      <c r="AI285" s="942">
        <f t="shared" si="80"/>
        <v>112</v>
      </c>
      <c r="AJ285" s="942">
        <f t="shared" si="81"/>
        <v>112</v>
      </c>
      <c r="AK285" s="942">
        <f t="shared" si="82"/>
        <v>86</v>
      </c>
      <c r="AL285" s="942">
        <f t="shared" si="82"/>
        <v>26</v>
      </c>
      <c r="AM285" s="942">
        <f t="shared" si="82"/>
        <v>0</v>
      </c>
    </row>
    <row r="286" spans="1:39" ht="16.5" customHeight="1">
      <c r="A286" s="1238"/>
      <c r="B286" s="940"/>
      <c r="C286" s="940"/>
      <c r="D286" s="940"/>
      <c r="E286" s="940"/>
      <c r="F286" s="940"/>
      <c r="G286" s="940"/>
      <c r="H286" s="940"/>
      <c r="J286" s="1238" t="s">
        <v>1374</v>
      </c>
      <c r="K286" s="940" t="s">
        <v>634</v>
      </c>
      <c r="L286" s="940"/>
      <c r="M286" s="1241" t="e">
        <f t="shared" si="72"/>
        <v>#DIV/0!</v>
      </c>
      <c r="N286" s="1241" t="e">
        <f>C284-SUM(N284:N285)</f>
        <v>#DIV/0!</v>
      </c>
      <c r="O286" s="1241" t="e">
        <f>D284-SUM(O284:O285)</f>
        <v>#DIV/0!</v>
      </c>
      <c r="P286" s="1241">
        <f t="shared" si="73"/>
        <v>1370</v>
      </c>
      <c r="Q286" s="1241">
        <f>E284-SUM(Q284:Q285)</f>
        <v>1</v>
      </c>
      <c r="R286" s="1241">
        <f t="shared" si="74"/>
        <v>1369</v>
      </c>
      <c r="S286" s="1241">
        <f t="shared" si="75"/>
        <v>1369</v>
      </c>
      <c r="T286" s="1241">
        <f>F284-SUM(T284:T285)</f>
        <v>1053</v>
      </c>
      <c r="U286" s="1241">
        <f t="shared" ref="U286:V286" si="91">G284-SUM(U284:U285)</f>
        <v>316</v>
      </c>
      <c r="V286" s="1241">
        <f t="shared" si="91"/>
        <v>0</v>
      </c>
      <c r="W286" s="1232"/>
      <c r="X286" s="1232" t="s">
        <v>9463</v>
      </c>
      <c r="Y286" s="1232" t="s">
        <v>9176</v>
      </c>
      <c r="Z286" s="1232" t="s">
        <v>9284</v>
      </c>
      <c r="AA286" s="1242" t="s">
        <v>1374</v>
      </c>
      <c r="AB286" s="940" t="s">
        <v>634</v>
      </c>
      <c r="AC286" s="1243"/>
      <c r="AD286" s="943">
        <f t="shared" si="76"/>
        <v>1370</v>
      </c>
      <c r="AE286" s="1218">
        <v>0</v>
      </c>
      <c r="AF286" s="1218">
        <v>0</v>
      </c>
      <c r="AG286" s="943">
        <f t="shared" si="78"/>
        <v>1370</v>
      </c>
      <c r="AH286" s="943">
        <f t="shared" si="79"/>
        <v>1</v>
      </c>
      <c r="AI286" s="943">
        <f t="shared" si="80"/>
        <v>1369</v>
      </c>
      <c r="AJ286" s="943">
        <f t="shared" si="81"/>
        <v>1369</v>
      </c>
      <c r="AK286" s="943">
        <f t="shared" si="82"/>
        <v>1053</v>
      </c>
      <c r="AL286" s="943">
        <f t="shared" si="82"/>
        <v>316</v>
      </c>
      <c r="AM286" s="943">
        <f t="shared" si="82"/>
        <v>0</v>
      </c>
    </row>
    <row r="287" spans="1:39" ht="16.5" customHeight="1">
      <c r="A287" s="1231" t="s">
        <v>9177</v>
      </c>
      <c r="B287" s="867" t="s">
        <v>9100</v>
      </c>
      <c r="C287" s="1240">
        <v>581</v>
      </c>
      <c r="D287" s="1240">
        <v>170</v>
      </c>
      <c r="E287" s="1240">
        <v>1085</v>
      </c>
      <c r="F287" s="1240">
        <v>13409</v>
      </c>
      <c r="G287" s="1240">
        <v>4157</v>
      </c>
      <c r="H287" s="1240">
        <v>163</v>
      </c>
      <c r="J287" s="1231" t="s">
        <v>1376</v>
      </c>
      <c r="K287" s="1234" t="s">
        <v>636</v>
      </c>
      <c r="L287" s="1234"/>
      <c r="M287" s="1240">
        <f t="shared" si="72"/>
        <v>2527</v>
      </c>
      <c r="N287" s="1232">
        <v>0</v>
      </c>
      <c r="O287" s="1232">
        <v>0</v>
      </c>
      <c r="P287" s="1232">
        <f t="shared" si="73"/>
        <v>2527</v>
      </c>
      <c r="Q287" s="1232">
        <v>0</v>
      </c>
      <c r="R287" s="1232">
        <f t="shared" si="74"/>
        <v>2527</v>
      </c>
      <c r="S287" s="1232">
        <f t="shared" si="75"/>
        <v>2521</v>
      </c>
      <c r="T287" s="1232">
        <v>1924</v>
      </c>
      <c r="U287" s="1232">
        <v>597</v>
      </c>
      <c r="V287" s="1232">
        <v>6</v>
      </c>
      <c r="W287" s="1232"/>
      <c r="X287" s="1232" t="s">
        <v>9464</v>
      </c>
      <c r="Y287" s="1232" t="s">
        <v>9177</v>
      </c>
      <c r="Z287" s="1232" t="s">
        <v>9285</v>
      </c>
      <c r="AA287" s="1236" t="s">
        <v>1376</v>
      </c>
      <c r="AB287" s="1234" t="s">
        <v>636</v>
      </c>
      <c r="AC287" s="1235"/>
      <c r="AD287" s="1213">
        <f t="shared" si="76"/>
        <v>2527</v>
      </c>
      <c r="AE287" s="942">
        <f t="shared" si="77"/>
        <v>0</v>
      </c>
      <c r="AF287" s="942">
        <f t="shared" si="77"/>
        <v>0</v>
      </c>
      <c r="AG287" s="942">
        <f t="shared" si="78"/>
        <v>2527</v>
      </c>
      <c r="AH287" s="942">
        <f t="shared" si="79"/>
        <v>0</v>
      </c>
      <c r="AI287" s="942">
        <f t="shared" si="80"/>
        <v>2527</v>
      </c>
      <c r="AJ287" s="942">
        <f t="shared" si="81"/>
        <v>2521</v>
      </c>
      <c r="AK287" s="942">
        <f t="shared" si="82"/>
        <v>1924</v>
      </c>
      <c r="AL287" s="942">
        <f t="shared" si="82"/>
        <v>597</v>
      </c>
      <c r="AM287" s="942">
        <f t="shared" si="82"/>
        <v>6</v>
      </c>
    </row>
    <row r="288" spans="1:39" ht="16.5" customHeight="1">
      <c r="A288" s="1231"/>
      <c r="J288" s="1231" t="s">
        <v>1378</v>
      </c>
      <c r="K288" s="940" t="s">
        <v>9100</v>
      </c>
      <c r="L288" s="940"/>
      <c r="M288" s="1241">
        <f t="shared" si="72"/>
        <v>17038</v>
      </c>
      <c r="N288" s="1241">
        <f>C287-SUM(N287:N287)</f>
        <v>581</v>
      </c>
      <c r="O288" s="1241">
        <f>D287-SUM(O287:O287)</f>
        <v>170</v>
      </c>
      <c r="P288" s="1241">
        <f t="shared" si="73"/>
        <v>16287</v>
      </c>
      <c r="Q288" s="1241">
        <f>E287-SUM(Q287:Q287)</f>
        <v>1085</v>
      </c>
      <c r="R288" s="1241">
        <f t="shared" si="74"/>
        <v>15202</v>
      </c>
      <c r="S288" s="1241">
        <f t="shared" si="75"/>
        <v>15045</v>
      </c>
      <c r="T288" s="1241">
        <f>F287-SUM(T287:T287)</f>
        <v>11485</v>
      </c>
      <c r="U288" s="1241">
        <f>G287-SUM(U287:U287)</f>
        <v>3560</v>
      </c>
      <c r="V288" s="1241">
        <f>H287-SUM(V287:V287)</f>
        <v>157</v>
      </c>
      <c r="W288" s="1232"/>
      <c r="X288" s="1232" t="s">
        <v>9464</v>
      </c>
      <c r="Y288" s="1232" t="s">
        <v>9177</v>
      </c>
      <c r="Z288" s="1232" t="s">
        <v>9285</v>
      </c>
      <c r="AA288" s="1236" t="s">
        <v>1378</v>
      </c>
      <c r="AB288" s="940" t="s">
        <v>9100</v>
      </c>
      <c r="AC288" s="1243"/>
      <c r="AD288" s="943">
        <f t="shared" si="76"/>
        <v>17038</v>
      </c>
      <c r="AE288" s="943">
        <f t="shared" si="77"/>
        <v>581</v>
      </c>
      <c r="AF288" s="943">
        <f t="shared" si="77"/>
        <v>170</v>
      </c>
      <c r="AG288" s="943">
        <f t="shared" si="78"/>
        <v>16287</v>
      </c>
      <c r="AH288" s="943">
        <f t="shared" si="79"/>
        <v>1085</v>
      </c>
      <c r="AI288" s="943">
        <f t="shared" si="80"/>
        <v>15202</v>
      </c>
      <c r="AJ288" s="943">
        <f t="shared" si="81"/>
        <v>15045</v>
      </c>
      <c r="AK288" s="943">
        <f t="shared" si="82"/>
        <v>11485</v>
      </c>
      <c r="AL288" s="943">
        <f t="shared" si="82"/>
        <v>3560</v>
      </c>
      <c r="AM288" s="943">
        <f t="shared" si="82"/>
        <v>157</v>
      </c>
    </row>
    <row r="289" spans="1:39" ht="16.5" customHeight="1">
      <c r="A289" s="1239" t="s">
        <v>9178</v>
      </c>
      <c r="B289" s="1234" t="s">
        <v>9101</v>
      </c>
      <c r="C289" s="1240">
        <v>22473</v>
      </c>
      <c r="D289" s="1240">
        <v>8431</v>
      </c>
      <c r="E289" s="1240">
        <v>30504</v>
      </c>
      <c r="F289" s="1240">
        <v>174076</v>
      </c>
      <c r="G289" s="1240">
        <v>208461</v>
      </c>
      <c r="H289" s="1240">
        <v>6501</v>
      </c>
      <c r="J289" s="1239" t="s">
        <v>1380</v>
      </c>
      <c r="K289" s="1234" t="s">
        <v>640</v>
      </c>
      <c r="L289" s="1234"/>
      <c r="M289" s="1240">
        <f t="shared" si="72"/>
        <v>105721</v>
      </c>
      <c r="N289" s="1232">
        <v>2059</v>
      </c>
      <c r="O289" s="1232">
        <v>681</v>
      </c>
      <c r="P289" s="1232">
        <f t="shared" si="73"/>
        <v>102981</v>
      </c>
      <c r="Q289" s="1232">
        <v>11052</v>
      </c>
      <c r="R289" s="1232">
        <f t="shared" si="74"/>
        <v>91929</v>
      </c>
      <c r="S289" s="1232">
        <f t="shared" si="75"/>
        <v>91021</v>
      </c>
      <c r="T289" s="1232">
        <v>68307</v>
      </c>
      <c r="U289" s="1232">
        <v>22714</v>
      </c>
      <c r="V289" s="1232">
        <v>908</v>
      </c>
      <c r="W289" s="1232"/>
      <c r="X289" s="1232" t="s">
        <v>639</v>
      </c>
      <c r="Y289" s="1232" t="s">
        <v>9178</v>
      </c>
      <c r="Z289" s="1232" t="s">
        <v>9288</v>
      </c>
      <c r="AA289" s="1233" t="s">
        <v>1380</v>
      </c>
      <c r="AB289" s="1234" t="s">
        <v>640</v>
      </c>
      <c r="AC289" s="1235"/>
      <c r="AD289" s="1213">
        <f t="shared" si="76"/>
        <v>105721</v>
      </c>
      <c r="AE289" s="942">
        <f t="shared" si="77"/>
        <v>2059</v>
      </c>
      <c r="AF289" s="942">
        <f t="shared" si="77"/>
        <v>681</v>
      </c>
      <c r="AG289" s="942">
        <f t="shared" si="78"/>
        <v>102981</v>
      </c>
      <c r="AH289" s="942">
        <f t="shared" si="79"/>
        <v>11052</v>
      </c>
      <c r="AI289" s="942">
        <f t="shared" si="80"/>
        <v>91929</v>
      </c>
      <c r="AJ289" s="942">
        <f t="shared" si="81"/>
        <v>91021</v>
      </c>
      <c r="AK289" s="942">
        <f t="shared" si="82"/>
        <v>68307</v>
      </c>
      <c r="AL289" s="942">
        <f t="shared" si="82"/>
        <v>22714</v>
      </c>
      <c r="AM289" s="942">
        <f t="shared" si="82"/>
        <v>908</v>
      </c>
    </row>
    <row r="290" spans="1:39" ht="16.5" customHeight="1">
      <c r="A290" s="1238"/>
      <c r="B290" s="940"/>
      <c r="C290" s="940"/>
      <c r="D290" s="940"/>
      <c r="E290" s="940"/>
      <c r="F290" s="940"/>
      <c r="G290" s="940"/>
      <c r="H290" s="940"/>
      <c r="J290" s="1238" t="s">
        <v>1382</v>
      </c>
      <c r="K290" s="940" t="s">
        <v>643</v>
      </c>
      <c r="L290" s="940"/>
      <c r="M290" s="1241">
        <f t="shared" si="72"/>
        <v>344725</v>
      </c>
      <c r="N290" s="1241">
        <f>C289-SUM(N289:N289)</f>
        <v>20414</v>
      </c>
      <c r="O290" s="1241">
        <f>D289-SUM(O289:O289)</f>
        <v>7750</v>
      </c>
      <c r="P290" s="1241">
        <f t="shared" si="73"/>
        <v>316561</v>
      </c>
      <c r="Q290" s="1241">
        <f>E289-SUM(Q289:Q289)</f>
        <v>19452</v>
      </c>
      <c r="R290" s="1241">
        <f t="shared" si="74"/>
        <v>297109</v>
      </c>
      <c r="S290" s="1241">
        <f t="shared" si="75"/>
        <v>291516</v>
      </c>
      <c r="T290" s="1241">
        <f>F289-SUM(T289:T289)</f>
        <v>105769</v>
      </c>
      <c r="U290" s="1241">
        <f>G289-SUM(U289:U289)</f>
        <v>185747</v>
      </c>
      <c r="V290" s="1241">
        <f>H289-SUM(V289:V289)</f>
        <v>5593</v>
      </c>
      <c r="W290" s="1232"/>
      <c r="X290" s="1232" t="s">
        <v>642</v>
      </c>
      <c r="Y290" s="1232" t="s">
        <v>9178</v>
      </c>
      <c r="Z290" s="1232" t="s">
        <v>9288</v>
      </c>
      <c r="AA290" s="1242" t="s">
        <v>1382</v>
      </c>
      <c r="AB290" s="940" t="s">
        <v>643</v>
      </c>
      <c r="AC290" s="1243"/>
      <c r="AD290" s="943">
        <f t="shared" si="76"/>
        <v>344725</v>
      </c>
      <c r="AE290" s="943">
        <f t="shared" si="77"/>
        <v>20414</v>
      </c>
      <c r="AF290" s="943">
        <f t="shared" si="77"/>
        <v>7750</v>
      </c>
      <c r="AG290" s="943">
        <f t="shared" si="78"/>
        <v>316561</v>
      </c>
      <c r="AH290" s="943">
        <f t="shared" si="79"/>
        <v>19452</v>
      </c>
      <c r="AI290" s="943">
        <f t="shared" si="80"/>
        <v>297109</v>
      </c>
      <c r="AJ290" s="943">
        <f t="shared" si="81"/>
        <v>291516</v>
      </c>
      <c r="AK290" s="943">
        <f t="shared" si="82"/>
        <v>105769</v>
      </c>
      <c r="AL290" s="943">
        <f t="shared" si="82"/>
        <v>185747</v>
      </c>
      <c r="AM290" s="943">
        <f t="shared" si="82"/>
        <v>5593</v>
      </c>
    </row>
    <row r="291" spans="1:39" ht="16.5" customHeight="1">
      <c r="A291" s="1231" t="s">
        <v>9179</v>
      </c>
      <c r="B291" s="867" t="s">
        <v>1598</v>
      </c>
      <c r="C291" s="1240">
        <v>1298</v>
      </c>
      <c r="D291" s="1240">
        <v>139</v>
      </c>
      <c r="E291" s="1240">
        <v>1834</v>
      </c>
      <c r="F291" s="1240">
        <v>36945</v>
      </c>
      <c r="G291" s="1240">
        <v>7639</v>
      </c>
      <c r="H291" s="1240">
        <v>114</v>
      </c>
      <c r="J291" s="1231" t="s">
        <v>1384</v>
      </c>
      <c r="K291" s="1234" t="s">
        <v>7166</v>
      </c>
      <c r="L291" s="1234"/>
      <c r="M291" s="1240">
        <f t="shared" si="72"/>
        <v>26169</v>
      </c>
      <c r="N291" s="1240">
        <v>30</v>
      </c>
      <c r="O291" s="1232">
        <v>7</v>
      </c>
      <c r="P291" s="1232">
        <f t="shared" si="73"/>
        <v>26132</v>
      </c>
      <c r="Q291" s="1232">
        <v>511</v>
      </c>
      <c r="R291" s="1232">
        <f t="shared" si="74"/>
        <v>25621</v>
      </c>
      <c r="S291" s="1232">
        <f t="shared" si="75"/>
        <v>25540</v>
      </c>
      <c r="T291" s="1232">
        <v>22139</v>
      </c>
      <c r="U291" s="1232">
        <v>3401</v>
      </c>
      <c r="V291" s="1232">
        <v>81</v>
      </c>
      <c r="W291" s="1232"/>
      <c r="X291" s="1232" t="s">
        <v>9465</v>
      </c>
      <c r="Y291" s="1232" t="s">
        <v>9179</v>
      </c>
      <c r="Z291" s="1232" t="s">
        <v>9290</v>
      </c>
      <c r="AA291" s="1236" t="s">
        <v>1384</v>
      </c>
      <c r="AB291" s="1234" t="s">
        <v>7166</v>
      </c>
      <c r="AC291" s="1235"/>
      <c r="AD291" s="1213">
        <f t="shared" si="76"/>
        <v>26169</v>
      </c>
      <c r="AE291" s="1213">
        <f t="shared" si="77"/>
        <v>30</v>
      </c>
      <c r="AF291" s="942">
        <f t="shared" si="77"/>
        <v>7</v>
      </c>
      <c r="AG291" s="942">
        <f t="shared" si="78"/>
        <v>26132</v>
      </c>
      <c r="AH291" s="942">
        <f t="shared" si="79"/>
        <v>511</v>
      </c>
      <c r="AI291" s="942">
        <f t="shared" si="80"/>
        <v>25621</v>
      </c>
      <c r="AJ291" s="942">
        <f t="shared" si="81"/>
        <v>25540</v>
      </c>
      <c r="AK291" s="942">
        <f t="shared" si="82"/>
        <v>22139</v>
      </c>
      <c r="AL291" s="942">
        <f t="shared" si="82"/>
        <v>3401</v>
      </c>
      <c r="AM291" s="942">
        <f t="shared" si="82"/>
        <v>81</v>
      </c>
    </row>
    <row r="292" spans="1:39" ht="16.5" customHeight="1">
      <c r="A292" s="1231"/>
      <c r="J292" s="1231" t="s">
        <v>1386</v>
      </c>
      <c r="K292" s="867" t="s">
        <v>651</v>
      </c>
      <c r="L292" s="867"/>
      <c r="M292" s="1232">
        <f t="shared" si="72"/>
        <v>15314</v>
      </c>
      <c r="N292" s="1232">
        <v>770</v>
      </c>
      <c r="O292" s="1232">
        <v>80</v>
      </c>
      <c r="P292" s="1232">
        <f t="shared" si="73"/>
        <v>14464</v>
      </c>
      <c r="Q292" s="1232">
        <v>802</v>
      </c>
      <c r="R292" s="1232">
        <f t="shared" si="74"/>
        <v>13662</v>
      </c>
      <c r="S292" s="1232">
        <f t="shared" si="75"/>
        <v>13641</v>
      </c>
      <c r="T292" s="1232">
        <v>10599</v>
      </c>
      <c r="U292" s="1232">
        <v>3042</v>
      </c>
      <c r="V292" s="1232">
        <v>21</v>
      </c>
      <c r="W292" s="1232"/>
      <c r="X292" s="1232" t="s">
        <v>9466</v>
      </c>
      <c r="Y292" s="1232" t="s">
        <v>9179</v>
      </c>
      <c r="Z292" s="1232" t="s">
        <v>9290</v>
      </c>
      <c r="AA292" s="1236" t="s">
        <v>1386</v>
      </c>
      <c r="AB292" s="867" t="s">
        <v>651</v>
      </c>
      <c r="AC292" s="1237"/>
      <c r="AD292" s="942">
        <f t="shared" si="76"/>
        <v>15314</v>
      </c>
      <c r="AE292" s="942">
        <f t="shared" si="77"/>
        <v>770</v>
      </c>
      <c r="AF292" s="942">
        <f t="shared" si="77"/>
        <v>80</v>
      </c>
      <c r="AG292" s="942">
        <f t="shared" si="78"/>
        <v>14464</v>
      </c>
      <c r="AH292" s="942">
        <f t="shared" si="79"/>
        <v>802</v>
      </c>
      <c r="AI292" s="942">
        <f t="shared" si="80"/>
        <v>13662</v>
      </c>
      <c r="AJ292" s="942">
        <f t="shared" si="81"/>
        <v>13641</v>
      </c>
      <c r="AK292" s="942">
        <f t="shared" si="82"/>
        <v>10599</v>
      </c>
      <c r="AL292" s="942">
        <f t="shared" si="82"/>
        <v>3042</v>
      </c>
      <c r="AM292" s="942">
        <f t="shared" si="82"/>
        <v>21</v>
      </c>
    </row>
    <row r="293" spans="1:39" ht="16.5" customHeight="1">
      <c r="A293" s="1231"/>
      <c r="J293" s="1231" t="s">
        <v>1388</v>
      </c>
      <c r="K293" s="940" t="s">
        <v>652</v>
      </c>
      <c r="L293" s="940"/>
      <c r="M293" s="1241">
        <f t="shared" si="72"/>
        <v>6486</v>
      </c>
      <c r="N293" s="1241">
        <f>C291-SUM(N291:N292)</f>
        <v>498</v>
      </c>
      <c r="O293" s="1241">
        <f>D291-SUM(O291:O292)</f>
        <v>52</v>
      </c>
      <c r="P293" s="1241">
        <f t="shared" si="73"/>
        <v>5936</v>
      </c>
      <c r="Q293" s="1241">
        <f>E291-SUM(Q291:Q292)</f>
        <v>521</v>
      </c>
      <c r="R293" s="1241">
        <f t="shared" si="74"/>
        <v>5415</v>
      </c>
      <c r="S293" s="1241">
        <f t="shared" si="75"/>
        <v>5403</v>
      </c>
      <c r="T293" s="1241">
        <f>F291-SUM(T291:T292)</f>
        <v>4207</v>
      </c>
      <c r="U293" s="1241">
        <f t="shared" ref="U293:V293" si="92">G291-SUM(U291:U292)</f>
        <v>1196</v>
      </c>
      <c r="V293" s="1241">
        <f t="shared" si="92"/>
        <v>12</v>
      </c>
      <c r="W293" s="1232"/>
      <c r="X293" s="1232" t="s">
        <v>9466</v>
      </c>
      <c r="Y293" s="1232" t="s">
        <v>9179</v>
      </c>
      <c r="Z293" s="1232" t="s">
        <v>9290</v>
      </c>
      <c r="AA293" s="1236" t="s">
        <v>1388</v>
      </c>
      <c r="AB293" s="940" t="s">
        <v>652</v>
      </c>
      <c r="AC293" s="1243"/>
      <c r="AD293" s="943">
        <f t="shared" si="76"/>
        <v>6486</v>
      </c>
      <c r="AE293" s="943">
        <f t="shared" si="77"/>
        <v>498</v>
      </c>
      <c r="AF293" s="943">
        <f t="shared" si="77"/>
        <v>52</v>
      </c>
      <c r="AG293" s="943">
        <f t="shared" si="78"/>
        <v>5936</v>
      </c>
      <c r="AH293" s="943">
        <f t="shared" si="79"/>
        <v>521</v>
      </c>
      <c r="AI293" s="943">
        <f t="shared" si="80"/>
        <v>5415</v>
      </c>
      <c r="AJ293" s="943">
        <f t="shared" si="81"/>
        <v>5403</v>
      </c>
      <c r="AK293" s="943">
        <f t="shared" si="82"/>
        <v>4207</v>
      </c>
      <c r="AL293" s="943">
        <f t="shared" si="82"/>
        <v>1196</v>
      </c>
      <c r="AM293" s="943">
        <f t="shared" si="82"/>
        <v>12</v>
      </c>
    </row>
    <row r="294" spans="1:39" ht="16.5" customHeight="1">
      <c r="A294" s="1239" t="s">
        <v>9180</v>
      </c>
      <c r="B294" s="1234" t="s">
        <v>9102</v>
      </c>
      <c r="C294" s="1240">
        <v>2284</v>
      </c>
      <c r="D294" s="1240">
        <v>713</v>
      </c>
      <c r="E294" s="1240">
        <v>10167</v>
      </c>
      <c r="F294" s="1240">
        <v>13943</v>
      </c>
      <c r="G294" s="1240">
        <v>8454</v>
      </c>
      <c r="H294" s="1240">
        <v>582</v>
      </c>
      <c r="J294" s="1239" t="s">
        <v>1390</v>
      </c>
      <c r="K294" s="867" t="s">
        <v>654</v>
      </c>
      <c r="L294" s="867"/>
      <c r="M294" s="1232">
        <f t="shared" si="72"/>
        <v>23296</v>
      </c>
      <c r="N294" s="1232">
        <v>1022</v>
      </c>
      <c r="O294" s="1232">
        <v>297</v>
      </c>
      <c r="P294" s="1232">
        <f t="shared" si="73"/>
        <v>21977</v>
      </c>
      <c r="Q294" s="1232">
        <v>6114</v>
      </c>
      <c r="R294" s="1232">
        <f t="shared" si="74"/>
        <v>15863</v>
      </c>
      <c r="S294" s="1232">
        <f t="shared" si="75"/>
        <v>15464</v>
      </c>
      <c r="T294" s="1232">
        <v>10321</v>
      </c>
      <c r="U294" s="1232">
        <v>5143</v>
      </c>
      <c r="V294" s="1232">
        <v>399</v>
      </c>
      <c r="W294" s="1232"/>
      <c r="X294" s="1232" t="s">
        <v>9467</v>
      </c>
      <c r="Y294" s="1232" t="s">
        <v>9180</v>
      </c>
      <c r="Z294" s="1232" t="s">
        <v>9292</v>
      </c>
      <c r="AA294" s="1233" t="s">
        <v>1390</v>
      </c>
      <c r="AB294" s="867" t="s">
        <v>654</v>
      </c>
      <c r="AC294" s="1237"/>
      <c r="AD294" s="942">
        <f t="shared" si="76"/>
        <v>23296</v>
      </c>
      <c r="AE294" s="942">
        <f t="shared" si="77"/>
        <v>1022</v>
      </c>
      <c r="AF294" s="942">
        <f t="shared" si="77"/>
        <v>297</v>
      </c>
      <c r="AG294" s="942">
        <f t="shared" si="78"/>
        <v>21977</v>
      </c>
      <c r="AH294" s="942">
        <f t="shared" si="79"/>
        <v>6114</v>
      </c>
      <c r="AI294" s="942">
        <f t="shared" si="80"/>
        <v>15863</v>
      </c>
      <c r="AJ294" s="942">
        <f t="shared" si="81"/>
        <v>15464</v>
      </c>
      <c r="AK294" s="942">
        <f t="shared" si="82"/>
        <v>10321</v>
      </c>
      <c r="AL294" s="942">
        <f t="shared" si="82"/>
        <v>5143</v>
      </c>
      <c r="AM294" s="942">
        <f t="shared" si="82"/>
        <v>399</v>
      </c>
    </row>
    <row r="295" spans="1:39" ht="16.5" customHeight="1">
      <c r="A295" s="1238"/>
      <c r="B295" s="940"/>
      <c r="C295" s="940"/>
      <c r="D295" s="940"/>
      <c r="E295" s="940"/>
      <c r="F295" s="940"/>
      <c r="G295" s="940"/>
      <c r="H295" s="940"/>
      <c r="J295" s="1238" t="s">
        <v>1392</v>
      </c>
      <c r="K295" s="867" t="s">
        <v>656</v>
      </c>
      <c r="L295" s="867"/>
      <c r="M295" s="1232">
        <f t="shared" si="72"/>
        <v>12847</v>
      </c>
      <c r="N295" s="1241">
        <f>C294-SUM(N294:N294)</f>
        <v>1262</v>
      </c>
      <c r="O295" s="1241">
        <f>D294-SUM(O294:O294)</f>
        <v>416</v>
      </c>
      <c r="P295" s="1241">
        <f t="shared" si="73"/>
        <v>11169</v>
      </c>
      <c r="Q295" s="1241">
        <f>E294-SUM(Q294:Q294)</f>
        <v>4053</v>
      </c>
      <c r="R295" s="1241">
        <f t="shared" si="74"/>
        <v>7116</v>
      </c>
      <c r="S295" s="1241">
        <f t="shared" si="75"/>
        <v>6933</v>
      </c>
      <c r="T295" s="1241">
        <f>F294-SUM(T294:T294)</f>
        <v>3622</v>
      </c>
      <c r="U295" s="1241">
        <f>G294-SUM(U294:U294)</f>
        <v>3311</v>
      </c>
      <c r="V295" s="1241">
        <f>H294-SUM(V294:V294)</f>
        <v>183</v>
      </c>
      <c r="W295" s="1232"/>
      <c r="X295" s="1232" t="s">
        <v>9467</v>
      </c>
      <c r="Y295" s="1232" t="s">
        <v>9180</v>
      </c>
      <c r="Z295" s="1232" t="s">
        <v>9292</v>
      </c>
      <c r="AA295" s="1242" t="s">
        <v>1392</v>
      </c>
      <c r="AB295" s="867" t="s">
        <v>656</v>
      </c>
      <c r="AC295" s="1237"/>
      <c r="AD295" s="942">
        <f t="shared" si="76"/>
        <v>12847</v>
      </c>
      <c r="AE295" s="943">
        <f t="shared" si="77"/>
        <v>1262</v>
      </c>
      <c r="AF295" s="943">
        <f t="shared" si="77"/>
        <v>416</v>
      </c>
      <c r="AG295" s="943">
        <f t="shared" si="78"/>
        <v>11169</v>
      </c>
      <c r="AH295" s="943">
        <f t="shared" si="79"/>
        <v>4053</v>
      </c>
      <c r="AI295" s="943">
        <f t="shared" si="80"/>
        <v>7116</v>
      </c>
      <c r="AJ295" s="943">
        <f t="shared" si="81"/>
        <v>6933</v>
      </c>
      <c r="AK295" s="943">
        <f t="shared" si="82"/>
        <v>3622</v>
      </c>
      <c r="AL295" s="943">
        <f t="shared" si="82"/>
        <v>3311</v>
      </c>
      <c r="AM295" s="943">
        <f t="shared" si="82"/>
        <v>183</v>
      </c>
    </row>
    <row r="296" spans="1:39" ht="16.5" customHeight="1">
      <c r="A296" s="1231" t="s">
        <v>9181</v>
      </c>
      <c r="B296" s="867" t="s">
        <v>7187</v>
      </c>
      <c r="C296" s="1240">
        <v>4691</v>
      </c>
      <c r="D296" s="1240">
        <v>1248</v>
      </c>
      <c r="E296" s="1240">
        <v>5924</v>
      </c>
      <c r="F296" s="1240">
        <v>3575</v>
      </c>
      <c r="G296" s="1240">
        <v>3548</v>
      </c>
      <c r="H296" s="1240">
        <v>265</v>
      </c>
      <c r="J296" s="1231" t="s">
        <v>1394</v>
      </c>
      <c r="K296" s="1245" t="s">
        <v>7187</v>
      </c>
      <c r="L296" s="1245"/>
      <c r="M296" s="1246">
        <f t="shared" si="72"/>
        <v>19251</v>
      </c>
      <c r="N296" s="1246">
        <f t="shared" ref="N296:O297" si="93">C296</f>
        <v>4691</v>
      </c>
      <c r="O296" s="1246">
        <f t="shared" si="93"/>
        <v>1248</v>
      </c>
      <c r="P296" s="1246">
        <f t="shared" si="73"/>
        <v>13312</v>
      </c>
      <c r="Q296" s="1246">
        <f t="shared" ref="Q296:Q297" si="94">E296</f>
        <v>5924</v>
      </c>
      <c r="R296" s="1246">
        <f t="shared" si="74"/>
        <v>7388</v>
      </c>
      <c r="S296" s="1246">
        <f t="shared" si="75"/>
        <v>7123</v>
      </c>
      <c r="T296" s="1246">
        <f t="shared" ref="T296:V297" si="95">F296</f>
        <v>3575</v>
      </c>
      <c r="U296" s="1246">
        <f t="shared" si="95"/>
        <v>3548</v>
      </c>
      <c r="V296" s="1246">
        <f t="shared" si="95"/>
        <v>265</v>
      </c>
      <c r="W296" s="1232"/>
      <c r="X296" s="1232" t="s">
        <v>657</v>
      </c>
      <c r="Y296" s="1232" t="s">
        <v>9181</v>
      </c>
      <c r="Z296" s="1232" t="s">
        <v>9292</v>
      </c>
      <c r="AA296" s="1236" t="s">
        <v>1394</v>
      </c>
      <c r="AB296" s="1245" t="s">
        <v>7187</v>
      </c>
      <c r="AC296" s="1248"/>
      <c r="AD296" s="1215">
        <f t="shared" si="76"/>
        <v>19251</v>
      </c>
      <c r="AE296" s="1215">
        <f t="shared" si="77"/>
        <v>4691</v>
      </c>
      <c r="AF296" s="1215">
        <f t="shared" si="77"/>
        <v>1248</v>
      </c>
      <c r="AG296" s="1215">
        <f t="shared" si="78"/>
        <v>13312</v>
      </c>
      <c r="AH296" s="1215">
        <f t="shared" si="79"/>
        <v>5924</v>
      </c>
      <c r="AI296" s="1215">
        <f t="shared" si="80"/>
        <v>7388</v>
      </c>
      <c r="AJ296" s="1215">
        <f t="shared" si="81"/>
        <v>7123</v>
      </c>
      <c r="AK296" s="1215">
        <f t="shared" si="82"/>
        <v>3575</v>
      </c>
      <c r="AL296" s="1215">
        <f t="shared" si="82"/>
        <v>3548</v>
      </c>
      <c r="AM296" s="1215">
        <f t="shared" si="82"/>
        <v>265</v>
      </c>
    </row>
    <row r="297" spans="1:39" ht="16.5" customHeight="1">
      <c r="A297" s="1244" t="s">
        <v>9182</v>
      </c>
      <c r="B297" s="1245" t="s">
        <v>11685</v>
      </c>
      <c r="C297" s="1240">
        <v>0</v>
      </c>
      <c r="D297" s="1240">
        <v>0</v>
      </c>
      <c r="E297" s="1240">
        <v>0</v>
      </c>
      <c r="F297" s="1240">
        <v>0</v>
      </c>
      <c r="G297" s="1240">
        <v>0</v>
      </c>
      <c r="H297" s="1240">
        <v>0</v>
      </c>
      <c r="J297" s="1244" t="s">
        <v>8689</v>
      </c>
      <c r="K297" s="1245" t="s">
        <v>9103</v>
      </c>
      <c r="L297" s="1245"/>
      <c r="M297" s="1246">
        <f t="shared" si="72"/>
        <v>0</v>
      </c>
      <c r="N297" s="1246">
        <f t="shared" si="93"/>
        <v>0</v>
      </c>
      <c r="O297" s="1246">
        <f t="shared" si="93"/>
        <v>0</v>
      </c>
      <c r="P297" s="1246">
        <f t="shared" si="73"/>
        <v>0</v>
      </c>
      <c r="Q297" s="1246">
        <f t="shared" si="94"/>
        <v>0</v>
      </c>
      <c r="R297" s="1246">
        <f t="shared" si="74"/>
        <v>0</v>
      </c>
      <c r="S297" s="1246">
        <f t="shared" si="75"/>
        <v>0</v>
      </c>
      <c r="T297" s="1246">
        <f t="shared" si="95"/>
        <v>0</v>
      </c>
      <c r="U297" s="1246">
        <f t="shared" si="95"/>
        <v>0</v>
      </c>
      <c r="V297" s="1246">
        <f t="shared" si="95"/>
        <v>0</v>
      </c>
      <c r="W297" s="1232"/>
      <c r="X297" s="1232" t="s">
        <v>659</v>
      </c>
      <c r="Y297" s="1232" t="s">
        <v>9182</v>
      </c>
      <c r="Z297" s="1232" t="s">
        <v>9292</v>
      </c>
      <c r="AA297" s="1247" t="s">
        <v>8689</v>
      </c>
      <c r="AB297" s="1245" t="s">
        <v>9103</v>
      </c>
      <c r="AC297" s="1248"/>
      <c r="AD297" s="1215">
        <f t="shared" si="76"/>
        <v>0</v>
      </c>
      <c r="AE297" s="1215">
        <f t="shared" si="77"/>
        <v>0</v>
      </c>
      <c r="AF297" s="1215">
        <f t="shared" si="77"/>
        <v>0</v>
      </c>
      <c r="AG297" s="1215">
        <f t="shared" si="78"/>
        <v>0</v>
      </c>
      <c r="AH297" s="1215">
        <f t="shared" si="79"/>
        <v>0</v>
      </c>
      <c r="AI297" s="1215">
        <f t="shared" si="80"/>
        <v>0</v>
      </c>
      <c r="AJ297" s="1215">
        <f t="shared" si="81"/>
        <v>0</v>
      </c>
      <c r="AK297" s="1215">
        <f t="shared" si="82"/>
        <v>0</v>
      </c>
      <c r="AL297" s="1215">
        <f t="shared" si="82"/>
        <v>0</v>
      </c>
      <c r="AM297" s="1215">
        <f t="shared" si="82"/>
        <v>0</v>
      </c>
    </row>
    <row r="298" spans="1:39" ht="16.5" customHeight="1">
      <c r="A298" s="1231" t="s">
        <v>9183</v>
      </c>
      <c r="B298" s="867" t="s">
        <v>9104</v>
      </c>
      <c r="C298" s="1240">
        <v>0</v>
      </c>
      <c r="D298" s="1240">
        <v>0</v>
      </c>
      <c r="E298" s="1240">
        <v>34</v>
      </c>
      <c r="F298" s="1240">
        <v>5980</v>
      </c>
      <c r="G298" s="1240">
        <v>443</v>
      </c>
      <c r="H298" s="1240">
        <v>17</v>
      </c>
      <c r="J298" s="1231" t="s">
        <v>1396</v>
      </c>
      <c r="K298" s="1234" t="s">
        <v>662</v>
      </c>
      <c r="L298" s="1234"/>
      <c r="M298" s="1240" t="e">
        <f t="shared" si="72"/>
        <v>#DIV/0!</v>
      </c>
      <c r="N298" s="1240" t="e">
        <v>#DIV/0!</v>
      </c>
      <c r="O298" s="1232" t="e">
        <v>#DIV/0!</v>
      </c>
      <c r="P298" s="1232">
        <f t="shared" si="73"/>
        <v>6399</v>
      </c>
      <c r="Q298" s="1232">
        <v>34</v>
      </c>
      <c r="R298" s="1232">
        <f t="shared" si="74"/>
        <v>6365</v>
      </c>
      <c r="S298" s="1232">
        <f t="shared" si="75"/>
        <v>6348</v>
      </c>
      <c r="T298" s="1232">
        <v>5910</v>
      </c>
      <c r="U298" s="1232">
        <v>438</v>
      </c>
      <c r="V298" s="1232">
        <v>17</v>
      </c>
      <c r="W298" s="1232"/>
      <c r="X298" s="1232" t="s">
        <v>9468</v>
      </c>
      <c r="Y298" s="1232" t="s">
        <v>9183</v>
      </c>
      <c r="Z298" s="1232" t="s">
        <v>9294</v>
      </c>
      <c r="AA298" s="1236" t="s">
        <v>1396</v>
      </c>
      <c r="AB298" s="1234" t="s">
        <v>662</v>
      </c>
      <c r="AC298" s="1235"/>
      <c r="AD298" s="1213">
        <f t="shared" si="76"/>
        <v>6399</v>
      </c>
      <c r="AE298" s="1217">
        <v>0</v>
      </c>
      <c r="AF298" s="1217">
        <v>0</v>
      </c>
      <c r="AG298" s="942">
        <f t="shared" si="78"/>
        <v>6399</v>
      </c>
      <c r="AH298" s="942">
        <f t="shared" si="79"/>
        <v>34</v>
      </c>
      <c r="AI298" s="942">
        <f t="shared" si="80"/>
        <v>6365</v>
      </c>
      <c r="AJ298" s="942">
        <f t="shared" si="81"/>
        <v>6348</v>
      </c>
      <c r="AK298" s="942">
        <f t="shared" si="82"/>
        <v>5910</v>
      </c>
      <c r="AL298" s="942">
        <f t="shared" si="82"/>
        <v>438</v>
      </c>
      <c r="AM298" s="942">
        <f t="shared" si="82"/>
        <v>17</v>
      </c>
    </row>
    <row r="299" spans="1:39" ht="16.5" customHeight="1">
      <c r="A299" s="1231"/>
      <c r="J299" s="1231" t="s">
        <v>1398</v>
      </c>
      <c r="K299" s="940" t="s">
        <v>665</v>
      </c>
      <c r="L299" s="940"/>
      <c r="M299" s="1241" t="e">
        <f t="shared" si="72"/>
        <v>#DIV/0!</v>
      </c>
      <c r="N299" s="1241" t="e">
        <f>C298-SUM(N298:N298)</f>
        <v>#DIV/0!</v>
      </c>
      <c r="O299" s="1241" t="e">
        <f>D298-SUM(O298:O298)</f>
        <v>#DIV/0!</v>
      </c>
      <c r="P299" s="1241">
        <f t="shared" si="73"/>
        <v>75</v>
      </c>
      <c r="Q299" s="1241">
        <f>E298-SUM(Q298:Q298)</f>
        <v>0</v>
      </c>
      <c r="R299" s="1241">
        <f t="shared" si="74"/>
        <v>75</v>
      </c>
      <c r="S299" s="1241">
        <f t="shared" si="75"/>
        <v>75</v>
      </c>
      <c r="T299" s="1241">
        <f>F298-SUM(T298:T298)</f>
        <v>70</v>
      </c>
      <c r="U299" s="1241">
        <f>G298-SUM(U298:U298)</f>
        <v>5</v>
      </c>
      <c r="V299" s="1241">
        <f>H298-SUM(V298:V298)</f>
        <v>0</v>
      </c>
      <c r="W299" s="1232"/>
      <c r="X299" s="1232" t="s">
        <v>9469</v>
      </c>
      <c r="Y299" s="1232" t="s">
        <v>9183</v>
      </c>
      <c r="Z299" s="1232" t="s">
        <v>9294</v>
      </c>
      <c r="AA299" s="1236" t="s">
        <v>1398</v>
      </c>
      <c r="AB299" s="940" t="s">
        <v>665</v>
      </c>
      <c r="AC299" s="1243"/>
      <c r="AD299" s="943">
        <f t="shared" si="76"/>
        <v>75</v>
      </c>
      <c r="AE299" s="1218">
        <v>0</v>
      </c>
      <c r="AF299" s="1218">
        <v>0</v>
      </c>
      <c r="AG299" s="943">
        <f t="shared" si="78"/>
        <v>75</v>
      </c>
      <c r="AH299" s="943">
        <f t="shared" si="79"/>
        <v>0</v>
      </c>
      <c r="AI299" s="943">
        <f t="shared" si="80"/>
        <v>75</v>
      </c>
      <c r="AJ299" s="943">
        <f t="shared" si="81"/>
        <v>75</v>
      </c>
      <c r="AK299" s="943">
        <f t="shared" si="82"/>
        <v>70</v>
      </c>
      <c r="AL299" s="943">
        <f t="shared" si="82"/>
        <v>5</v>
      </c>
      <c r="AM299" s="943">
        <f t="shared" si="82"/>
        <v>0</v>
      </c>
    </row>
    <row r="300" spans="1:39" ht="16.5" customHeight="1">
      <c r="A300" s="1239" t="s">
        <v>9184</v>
      </c>
      <c r="B300" s="1234" t="s">
        <v>11686</v>
      </c>
      <c r="C300" s="1240">
        <v>4403</v>
      </c>
      <c r="D300" s="1240">
        <v>457</v>
      </c>
      <c r="E300" s="1240">
        <v>3139</v>
      </c>
      <c r="F300" s="1240">
        <v>53403</v>
      </c>
      <c r="G300" s="1240">
        <v>23149</v>
      </c>
      <c r="H300" s="1240">
        <v>1458</v>
      </c>
      <c r="J300" s="1239" t="s">
        <v>1400</v>
      </c>
      <c r="K300" s="1234" t="s">
        <v>667</v>
      </c>
      <c r="L300" s="1234"/>
      <c r="M300" s="1240">
        <f t="shared" si="72"/>
        <v>7330</v>
      </c>
      <c r="N300" s="1240">
        <v>8</v>
      </c>
      <c r="O300" s="1240">
        <v>1</v>
      </c>
      <c r="P300" s="1240">
        <f t="shared" si="73"/>
        <v>7321</v>
      </c>
      <c r="Q300" s="1240">
        <v>186</v>
      </c>
      <c r="R300" s="1240">
        <f t="shared" si="74"/>
        <v>7135</v>
      </c>
      <c r="S300" s="1240">
        <f t="shared" si="75"/>
        <v>7006</v>
      </c>
      <c r="T300" s="1240">
        <v>4739</v>
      </c>
      <c r="U300" s="1232">
        <v>2267</v>
      </c>
      <c r="V300" s="1232">
        <v>129</v>
      </c>
      <c r="W300" s="1232"/>
      <c r="X300" s="1232" t="s">
        <v>9470</v>
      </c>
      <c r="Y300" s="1232" t="s">
        <v>9184</v>
      </c>
      <c r="Z300" s="1232" t="s">
        <v>9294</v>
      </c>
      <c r="AA300" s="1233" t="s">
        <v>1400</v>
      </c>
      <c r="AB300" s="1234" t="s">
        <v>667</v>
      </c>
      <c r="AC300" s="1235"/>
      <c r="AD300" s="1213">
        <f t="shared" si="76"/>
        <v>7330</v>
      </c>
      <c r="AE300" s="1213">
        <f t="shared" si="77"/>
        <v>8</v>
      </c>
      <c r="AF300" s="1213">
        <f t="shared" si="77"/>
        <v>1</v>
      </c>
      <c r="AG300" s="1213">
        <f t="shared" si="78"/>
        <v>7321</v>
      </c>
      <c r="AH300" s="1213">
        <f t="shared" si="79"/>
        <v>186</v>
      </c>
      <c r="AI300" s="1213">
        <f t="shared" si="80"/>
        <v>7135</v>
      </c>
      <c r="AJ300" s="1213">
        <f t="shared" si="81"/>
        <v>7006</v>
      </c>
      <c r="AK300" s="1213">
        <f t="shared" si="82"/>
        <v>4739</v>
      </c>
      <c r="AL300" s="942">
        <f t="shared" si="82"/>
        <v>2267</v>
      </c>
      <c r="AM300" s="942">
        <f t="shared" si="82"/>
        <v>129</v>
      </c>
    </row>
    <row r="301" spans="1:39" ht="16.5" customHeight="1">
      <c r="A301" s="1231"/>
      <c r="J301" s="1231" t="s">
        <v>1402</v>
      </c>
      <c r="K301" s="867" t="s">
        <v>668</v>
      </c>
      <c r="L301" s="867"/>
      <c r="M301" s="1232">
        <f t="shared" si="72"/>
        <v>10053</v>
      </c>
      <c r="N301" s="1232">
        <v>989</v>
      </c>
      <c r="O301" s="1232">
        <v>57</v>
      </c>
      <c r="P301" s="1232">
        <f t="shared" si="73"/>
        <v>9007</v>
      </c>
      <c r="Q301" s="1232">
        <v>269</v>
      </c>
      <c r="R301" s="1232">
        <f t="shared" si="74"/>
        <v>8738</v>
      </c>
      <c r="S301" s="1232">
        <f t="shared" si="75"/>
        <v>8648</v>
      </c>
      <c r="T301" s="1232">
        <v>5849</v>
      </c>
      <c r="U301" s="1232">
        <v>2799</v>
      </c>
      <c r="V301" s="1232">
        <v>90</v>
      </c>
      <c r="W301" s="1232"/>
      <c r="X301" s="1232" t="s">
        <v>9470</v>
      </c>
      <c r="Y301" s="1232" t="s">
        <v>9184</v>
      </c>
      <c r="Z301" s="1232" t="s">
        <v>9294</v>
      </c>
      <c r="AA301" s="1236" t="s">
        <v>1402</v>
      </c>
      <c r="AB301" s="867" t="s">
        <v>668</v>
      </c>
      <c r="AC301" s="1237"/>
      <c r="AD301" s="942">
        <f t="shared" si="76"/>
        <v>10053</v>
      </c>
      <c r="AE301" s="942">
        <f t="shared" si="77"/>
        <v>989</v>
      </c>
      <c r="AF301" s="942">
        <f t="shared" si="77"/>
        <v>57</v>
      </c>
      <c r="AG301" s="942">
        <f t="shared" si="78"/>
        <v>9007</v>
      </c>
      <c r="AH301" s="942">
        <f t="shared" si="79"/>
        <v>269</v>
      </c>
      <c r="AI301" s="942">
        <f t="shared" si="80"/>
        <v>8738</v>
      </c>
      <c r="AJ301" s="942">
        <f t="shared" si="81"/>
        <v>8648</v>
      </c>
      <c r="AK301" s="942">
        <f t="shared" si="82"/>
        <v>5849</v>
      </c>
      <c r="AL301" s="942">
        <f t="shared" si="82"/>
        <v>2799</v>
      </c>
      <c r="AM301" s="942">
        <f t="shared" si="82"/>
        <v>90</v>
      </c>
    </row>
    <row r="302" spans="1:39" ht="16.5" customHeight="1">
      <c r="A302" s="1238"/>
      <c r="B302" s="940"/>
      <c r="C302" s="940"/>
      <c r="D302" s="940"/>
      <c r="E302" s="940"/>
      <c r="F302" s="940"/>
      <c r="G302" s="940"/>
      <c r="H302" s="940"/>
      <c r="J302" s="1238" t="s">
        <v>1404</v>
      </c>
      <c r="K302" s="940" t="s">
        <v>9546</v>
      </c>
      <c r="L302" s="940"/>
      <c r="M302" s="1241">
        <f t="shared" si="72"/>
        <v>68626</v>
      </c>
      <c r="N302" s="1241">
        <f>C300-SUM(N300:N301)</f>
        <v>3406</v>
      </c>
      <c r="O302" s="1241">
        <f>D300-SUM(O300:O301)</f>
        <v>399</v>
      </c>
      <c r="P302" s="1241">
        <f t="shared" si="73"/>
        <v>64821</v>
      </c>
      <c r="Q302" s="1241">
        <f>E300-SUM(Q300:Q301)</f>
        <v>2684</v>
      </c>
      <c r="R302" s="1241">
        <f t="shared" si="74"/>
        <v>62137</v>
      </c>
      <c r="S302" s="1241">
        <f t="shared" si="75"/>
        <v>60898</v>
      </c>
      <c r="T302" s="1241">
        <f>F300-SUM(T300:T301)</f>
        <v>42815</v>
      </c>
      <c r="U302" s="1241">
        <f t="shared" ref="U302:V302" si="96">G300-SUM(U300:U301)</f>
        <v>18083</v>
      </c>
      <c r="V302" s="1241">
        <f t="shared" si="96"/>
        <v>1239</v>
      </c>
      <c r="W302" s="1232"/>
      <c r="X302" s="1232" t="s">
        <v>9471</v>
      </c>
      <c r="Y302" s="1232" t="s">
        <v>9184</v>
      </c>
      <c r="Z302" s="1232" t="s">
        <v>9294</v>
      </c>
      <c r="AA302" s="1242" t="s">
        <v>1404</v>
      </c>
      <c r="AB302" s="940" t="s">
        <v>9546</v>
      </c>
      <c r="AC302" s="1243"/>
      <c r="AD302" s="943">
        <f t="shared" si="76"/>
        <v>68626</v>
      </c>
      <c r="AE302" s="943">
        <f t="shared" si="77"/>
        <v>3406</v>
      </c>
      <c r="AF302" s="943">
        <f t="shared" si="77"/>
        <v>399</v>
      </c>
      <c r="AG302" s="943">
        <f t="shared" si="78"/>
        <v>64821</v>
      </c>
      <c r="AH302" s="943">
        <f t="shared" si="79"/>
        <v>2684</v>
      </c>
      <c r="AI302" s="943">
        <f t="shared" si="80"/>
        <v>62137</v>
      </c>
      <c r="AJ302" s="943">
        <f t="shared" si="81"/>
        <v>60898</v>
      </c>
      <c r="AK302" s="943">
        <f t="shared" si="82"/>
        <v>42815</v>
      </c>
      <c r="AL302" s="943">
        <f t="shared" si="82"/>
        <v>18083</v>
      </c>
      <c r="AM302" s="943">
        <f t="shared" si="82"/>
        <v>1239</v>
      </c>
    </row>
    <row r="303" spans="1:39" ht="16.5" customHeight="1">
      <c r="A303" s="1231" t="s">
        <v>9185</v>
      </c>
      <c r="B303" s="867" t="s">
        <v>9106</v>
      </c>
      <c r="C303" s="1240">
        <v>105</v>
      </c>
      <c r="D303" s="1240">
        <v>0</v>
      </c>
      <c r="E303" s="1240">
        <v>670</v>
      </c>
      <c r="F303" s="1240">
        <v>5699</v>
      </c>
      <c r="G303" s="1240">
        <v>1319</v>
      </c>
      <c r="H303" s="1240">
        <v>40</v>
      </c>
      <c r="J303" s="1231" t="s">
        <v>1406</v>
      </c>
      <c r="K303" s="867" t="s">
        <v>672</v>
      </c>
      <c r="L303" s="867"/>
      <c r="M303" s="1232">
        <f t="shared" si="72"/>
        <v>592</v>
      </c>
      <c r="N303" s="1232">
        <v>0</v>
      </c>
      <c r="O303" s="1232">
        <v>0</v>
      </c>
      <c r="P303" s="1232">
        <f t="shared" si="73"/>
        <v>592</v>
      </c>
      <c r="Q303" s="1232">
        <v>79</v>
      </c>
      <c r="R303" s="1232">
        <f t="shared" si="74"/>
        <v>513</v>
      </c>
      <c r="S303" s="1232">
        <f t="shared" si="75"/>
        <v>512</v>
      </c>
      <c r="T303" s="1232">
        <v>473</v>
      </c>
      <c r="U303" s="1232">
        <v>39</v>
      </c>
      <c r="V303" s="1232">
        <v>1</v>
      </c>
      <c r="W303" s="1232"/>
      <c r="X303" s="1232" t="s">
        <v>9472</v>
      </c>
      <c r="Y303" s="1232" t="s">
        <v>9185</v>
      </c>
      <c r="Z303" s="1232" t="s">
        <v>9294</v>
      </c>
      <c r="AA303" s="1236" t="s">
        <v>1406</v>
      </c>
      <c r="AB303" s="867" t="s">
        <v>672</v>
      </c>
      <c r="AC303" s="1237"/>
      <c r="AD303" s="942">
        <f t="shared" si="76"/>
        <v>592</v>
      </c>
      <c r="AE303" s="942">
        <f t="shared" si="77"/>
        <v>0</v>
      </c>
      <c r="AF303" s="942">
        <f t="shared" si="77"/>
        <v>0</v>
      </c>
      <c r="AG303" s="942">
        <f t="shared" si="78"/>
        <v>592</v>
      </c>
      <c r="AH303" s="942">
        <f t="shared" si="79"/>
        <v>79</v>
      </c>
      <c r="AI303" s="942">
        <f t="shared" si="80"/>
        <v>513</v>
      </c>
      <c r="AJ303" s="942">
        <f t="shared" si="81"/>
        <v>512</v>
      </c>
      <c r="AK303" s="942">
        <f t="shared" si="82"/>
        <v>473</v>
      </c>
      <c r="AL303" s="942">
        <f t="shared" si="82"/>
        <v>39</v>
      </c>
      <c r="AM303" s="942">
        <f t="shared" si="82"/>
        <v>1</v>
      </c>
    </row>
    <row r="304" spans="1:39" ht="16.5" customHeight="1">
      <c r="A304" s="1231"/>
      <c r="J304" s="1231" t="s">
        <v>1408</v>
      </c>
      <c r="K304" s="867" t="s">
        <v>7248</v>
      </c>
      <c r="L304" s="867"/>
      <c r="M304" s="1232">
        <f t="shared" si="72"/>
        <v>2500</v>
      </c>
      <c r="N304" s="1232">
        <v>90</v>
      </c>
      <c r="O304" s="1232">
        <v>0</v>
      </c>
      <c r="P304" s="1232">
        <f t="shared" si="73"/>
        <v>2410</v>
      </c>
      <c r="Q304" s="1232">
        <v>349</v>
      </c>
      <c r="R304" s="1232">
        <f t="shared" si="74"/>
        <v>2061</v>
      </c>
      <c r="S304" s="1232">
        <f t="shared" si="75"/>
        <v>2048</v>
      </c>
      <c r="T304" s="1232">
        <v>1871</v>
      </c>
      <c r="U304" s="1232">
        <v>177</v>
      </c>
      <c r="V304" s="1232">
        <v>13</v>
      </c>
      <c r="W304" s="1232"/>
      <c r="X304" s="1232" t="s">
        <v>9473</v>
      </c>
      <c r="Y304" s="1232" t="s">
        <v>9185</v>
      </c>
      <c r="Z304" s="1232" t="s">
        <v>9294</v>
      </c>
      <c r="AA304" s="1236" t="s">
        <v>1408</v>
      </c>
      <c r="AB304" s="867" t="s">
        <v>7248</v>
      </c>
      <c r="AC304" s="1237"/>
      <c r="AD304" s="942">
        <f t="shared" si="76"/>
        <v>2500</v>
      </c>
      <c r="AE304" s="942">
        <f t="shared" si="77"/>
        <v>90</v>
      </c>
      <c r="AF304" s="942">
        <f t="shared" si="77"/>
        <v>0</v>
      </c>
      <c r="AG304" s="942">
        <f t="shared" si="78"/>
        <v>2410</v>
      </c>
      <c r="AH304" s="942">
        <f t="shared" si="79"/>
        <v>349</v>
      </c>
      <c r="AI304" s="942">
        <f t="shared" si="80"/>
        <v>2061</v>
      </c>
      <c r="AJ304" s="942">
        <f t="shared" si="81"/>
        <v>2048</v>
      </c>
      <c r="AK304" s="942">
        <f t="shared" si="82"/>
        <v>1871</v>
      </c>
      <c r="AL304" s="942">
        <f t="shared" si="82"/>
        <v>177</v>
      </c>
      <c r="AM304" s="942">
        <f t="shared" si="82"/>
        <v>13</v>
      </c>
    </row>
    <row r="305" spans="1:39" ht="16.5" customHeight="1">
      <c r="A305" s="1231"/>
      <c r="J305" s="1231" t="s">
        <v>1410</v>
      </c>
      <c r="K305" s="940" t="s">
        <v>677</v>
      </c>
      <c r="L305" s="940"/>
      <c r="M305" s="1241">
        <f t="shared" si="72"/>
        <v>4741</v>
      </c>
      <c r="N305" s="1241">
        <f>C303-SUM(N303:N304)</f>
        <v>15</v>
      </c>
      <c r="O305" s="1241">
        <f>D303-SUM(O303:O304)</f>
        <v>0</v>
      </c>
      <c r="P305" s="1241">
        <f t="shared" si="73"/>
        <v>4726</v>
      </c>
      <c r="Q305" s="1241">
        <f>E303-SUM(Q303:Q304)</f>
        <v>242</v>
      </c>
      <c r="R305" s="1241">
        <f t="shared" si="74"/>
        <v>4484</v>
      </c>
      <c r="S305" s="1241">
        <f t="shared" si="75"/>
        <v>4458</v>
      </c>
      <c r="T305" s="1241">
        <f>F303-SUM(T303:T304)</f>
        <v>3355</v>
      </c>
      <c r="U305" s="1241">
        <f t="shared" ref="U305:V305" si="97">G303-SUM(U303:U304)</f>
        <v>1103</v>
      </c>
      <c r="V305" s="1241">
        <f t="shared" si="97"/>
        <v>26</v>
      </c>
      <c r="W305" s="1232"/>
      <c r="X305" s="1232" t="s">
        <v>9474</v>
      </c>
      <c r="Y305" s="1232" t="s">
        <v>9185</v>
      </c>
      <c r="Z305" s="1232" t="s">
        <v>9294</v>
      </c>
      <c r="AA305" s="1236" t="s">
        <v>1410</v>
      </c>
      <c r="AB305" s="940" t="s">
        <v>677</v>
      </c>
      <c r="AC305" s="1243"/>
      <c r="AD305" s="943">
        <f t="shared" si="76"/>
        <v>4741</v>
      </c>
      <c r="AE305" s="943">
        <f t="shared" si="77"/>
        <v>15</v>
      </c>
      <c r="AF305" s="943">
        <f t="shared" si="77"/>
        <v>0</v>
      </c>
      <c r="AG305" s="943">
        <f t="shared" si="78"/>
        <v>4726</v>
      </c>
      <c r="AH305" s="943">
        <f t="shared" si="79"/>
        <v>242</v>
      </c>
      <c r="AI305" s="943">
        <f t="shared" si="80"/>
        <v>4484</v>
      </c>
      <c r="AJ305" s="943">
        <f t="shared" si="81"/>
        <v>4458</v>
      </c>
      <c r="AK305" s="943">
        <f t="shared" si="82"/>
        <v>3355</v>
      </c>
      <c r="AL305" s="943">
        <f t="shared" si="82"/>
        <v>1103</v>
      </c>
      <c r="AM305" s="943">
        <f t="shared" si="82"/>
        <v>26</v>
      </c>
    </row>
    <row r="306" spans="1:39" ht="16.5" customHeight="1">
      <c r="A306" s="1244" t="s">
        <v>9186</v>
      </c>
      <c r="B306" s="1245" t="s">
        <v>9107</v>
      </c>
      <c r="C306" s="1240">
        <v>0</v>
      </c>
      <c r="D306" s="1240">
        <v>0</v>
      </c>
      <c r="E306" s="1240">
        <v>2</v>
      </c>
      <c r="F306" s="1240">
        <v>357</v>
      </c>
      <c r="G306" s="1240">
        <v>15</v>
      </c>
      <c r="H306" s="1240">
        <v>7</v>
      </c>
      <c r="J306" s="1244" t="s">
        <v>1412</v>
      </c>
      <c r="K306" s="1245" t="s">
        <v>9107</v>
      </c>
      <c r="L306" s="1245"/>
      <c r="M306" s="1246">
        <f t="shared" si="72"/>
        <v>381</v>
      </c>
      <c r="N306" s="1241">
        <f t="shared" ref="N306:O308" si="98">C306</f>
        <v>0</v>
      </c>
      <c r="O306" s="1246">
        <f t="shared" si="98"/>
        <v>0</v>
      </c>
      <c r="P306" s="1246">
        <f t="shared" si="73"/>
        <v>381</v>
      </c>
      <c r="Q306" s="1246">
        <f t="shared" ref="Q306:Q308" si="99">E306</f>
        <v>2</v>
      </c>
      <c r="R306" s="1246">
        <f t="shared" si="74"/>
        <v>379</v>
      </c>
      <c r="S306" s="1246">
        <f t="shared" si="75"/>
        <v>372</v>
      </c>
      <c r="T306" s="1246">
        <f t="shared" ref="T306:V308" si="100">F306</f>
        <v>357</v>
      </c>
      <c r="U306" s="1246">
        <f t="shared" si="100"/>
        <v>15</v>
      </c>
      <c r="V306" s="1246">
        <f t="shared" si="100"/>
        <v>7</v>
      </c>
      <c r="W306" s="1232"/>
      <c r="X306" s="1232" t="s">
        <v>680</v>
      </c>
      <c r="Y306" s="1232" t="s">
        <v>9186</v>
      </c>
      <c r="Z306" s="1232" t="s">
        <v>9294</v>
      </c>
      <c r="AA306" s="1247" t="s">
        <v>1412</v>
      </c>
      <c r="AB306" s="1245" t="s">
        <v>9107</v>
      </c>
      <c r="AC306" s="1248"/>
      <c r="AD306" s="1215">
        <f t="shared" si="76"/>
        <v>381</v>
      </c>
      <c r="AE306" s="943">
        <f t="shared" si="77"/>
        <v>0</v>
      </c>
      <c r="AF306" s="1215">
        <f t="shared" si="77"/>
        <v>0</v>
      </c>
      <c r="AG306" s="1215">
        <f t="shared" si="78"/>
        <v>381</v>
      </c>
      <c r="AH306" s="1215">
        <f t="shared" si="79"/>
        <v>2</v>
      </c>
      <c r="AI306" s="1215">
        <f t="shared" si="80"/>
        <v>379</v>
      </c>
      <c r="AJ306" s="1215">
        <f t="shared" si="81"/>
        <v>372</v>
      </c>
      <c r="AK306" s="1215">
        <f t="shared" si="82"/>
        <v>357</v>
      </c>
      <c r="AL306" s="1215">
        <f t="shared" si="82"/>
        <v>15</v>
      </c>
      <c r="AM306" s="1215">
        <f t="shared" si="82"/>
        <v>7</v>
      </c>
    </row>
    <row r="307" spans="1:39" ht="16.5" customHeight="1">
      <c r="A307" s="1231" t="s">
        <v>9187</v>
      </c>
      <c r="B307" s="867" t="s">
        <v>11687</v>
      </c>
      <c r="C307" s="1240">
        <v>48</v>
      </c>
      <c r="D307" s="1240">
        <v>11</v>
      </c>
      <c r="E307" s="1240">
        <v>97</v>
      </c>
      <c r="F307" s="1240">
        <v>1952</v>
      </c>
      <c r="G307" s="1240">
        <v>1003</v>
      </c>
      <c r="H307" s="1240">
        <v>82</v>
      </c>
      <c r="J307" s="1231" t="s">
        <v>1414</v>
      </c>
      <c r="K307" s="867" t="s">
        <v>9108</v>
      </c>
      <c r="L307" s="867"/>
      <c r="M307" s="1232">
        <f t="shared" si="72"/>
        <v>3193</v>
      </c>
      <c r="N307" s="1246">
        <f t="shared" si="98"/>
        <v>48</v>
      </c>
      <c r="O307" s="1246">
        <f t="shared" si="98"/>
        <v>11</v>
      </c>
      <c r="P307" s="1246">
        <f t="shared" si="73"/>
        <v>3134</v>
      </c>
      <c r="Q307" s="1246">
        <f t="shared" si="99"/>
        <v>97</v>
      </c>
      <c r="R307" s="1246">
        <f t="shared" si="74"/>
        <v>3037</v>
      </c>
      <c r="S307" s="1246">
        <f t="shared" si="75"/>
        <v>2955</v>
      </c>
      <c r="T307" s="1246">
        <f t="shared" si="100"/>
        <v>1952</v>
      </c>
      <c r="U307" s="1246">
        <f t="shared" si="100"/>
        <v>1003</v>
      </c>
      <c r="V307" s="1246">
        <f t="shared" si="100"/>
        <v>82</v>
      </c>
      <c r="W307" s="1232"/>
      <c r="X307" s="1232" t="s">
        <v>9475</v>
      </c>
      <c r="Y307" s="1232" t="s">
        <v>9187</v>
      </c>
      <c r="Z307" s="1232" t="s">
        <v>9294</v>
      </c>
      <c r="AA307" s="1236" t="s">
        <v>1414</v>
      </c>
      <c r="AB307" s="867" t="s">
        <v>9108</v>
      </c>
      <c r="AC307" s="1237"/>
      <c r="AD307" s="942">
        <f t="shared" si="76"/>
        <v>3193</v>
      </c>
      <c r="AE307" s="1215">
        <f t="shared" si="77"/>
        <v>48</v>
      </c>
      <c r="AF307" s="1215">
        <f t="shared" si="77"/>
        <v>11</v>
      </c>
      <c r="AG307" s="1215">
        <f t="shared" si="78"/>
        <v>3134</v>
      </c>
      <c r="AH307" s="1215">
        <f t="shared" si="79"/>
        <v>97</v>
      </c>
      <c r="AI307" s="1215">
        <f t="shared" si="80"/>
        <v>3037</v>
      </c>
      <c r="AJ307" s="1215">
        <f t="shared" si="81"/>
        <v>2955</v>
      </c>
      <c r="AK307" s="1215">
        <f t="shared" si="82"/>
        <v>1952</v>
      </c>
      <c r="AL307" s="1215">
        <f t="shared" si="82"/>
        <v>1003</v>
      </c>
      <c r="AM307" s="1215">
        <f t="shared" si="82"/>
        <v>82</v>
      </c>
    </row>
    <row r="308" spans="1:39" ht="16.5" customHeight="1">
      <c r="A308" s="1244" t="s">
        <v>9188</v>
      </c>
      <c r="B308" s="1245" t="s">
        <v>687</v>
      </c>
      <c r="C308" s="1240">
        <v>31</v>
      </c>
      <c r="D308" s="1240">
        <v>0</v>
      </c>
      <c r="E308" s="1240">
        <v>235</v>
      </c>
      <c r="F308" s="1240">
        <v>5945</v>
      </c>
      <c r="G308" s="1240">
        <v>3058</v>
      </c>
      <c r="H308" s="1240">
        <v>258</v>
      </c>
      <c r="J308" s="1244" t="s">
        <v>1416</v>
      </c>
      <c r="K308" s="1245" t="s">
        <v>687</v>
      </c>
      <c r="L308" s="1245"/>
      <c r="M308" s="1246">
        <f t="shared" si="72"/>
        <v>9527</v>
      </c>
      <c r="N308" s="1246">
        <f t="shared" si="98"/>
        <v>31</v>
      </c>
      <c r="O308" s="1246">
        <f t="shared" si="98"/>
        <v>0</v>
      </c>
      <c r="P308" s="1246">
        <f t="shared" si="73"/>
        <v>9496</v>
      </c>
      <c r="Q308" s="1246">
        <f t="shared" si="99"/>
        <v>235</v>
      </c>
      <c r="R308" s="1246">
        <f t="shared" si="74"/>
        <v>9261</v>
      </c>
      <c r="S308" s="1246">
        <f t="shared" si="75"/>
        <v>9003</v>
      </c>
      <c r="T308" s="1246">
        <f t="shared" si="100"/>
        <v>5945</v>
      </c>
      <c r="U308" s="1246">
        <f t="shared" si="100"/>
        <v>3058</v>
      </c>
      <c r="V308" s="1246">
        <f t="shared" si="100"/>
        <v>258</v>
      </c>
      <c r="W308" s="1232"/>
      <c r="X308" s="1232" t="s">
        <v>9476</v>
      </c>
      <c r="Y308" s="1232" t="s">
        <v>9188</v>
      </c>
      <c r="Z308" s="1232" t="s">
        <v>9294</v>
      </c>
      <c r="AA308" s="1247" t="s">
        <v>1416</v>
      </c>
      <c r="AB308" s="1245" t="s">
        <v>687</v>
      </c>
      <c r="AC308" s="1248"/>
      <c r="AD308" s="1215">
        <f t="shared" si="76"/>
        <v>9527</v>
      </c>
      <c r="AE308" s="1215">
        <f t="shared" si="77"/>
        <v>31</v>
      </c>
      <c r="AF308" s="1215">
        <f t="shared" si="77"/>
        <v>0</v>
      </c>
      <c r="AG308" s="1215">
        <f t="shared" si="78"/>
        <v>9496</v>
      </c>
      <c r="AH308" s="1215">
        <f t="shared" si="79"/>
        <v>235</v>
      </c>
      <c r="AI308" s="1215">
        <f t="shared" si="80"/>
        <v>9261</v>
      </c>
      <c r="AJ308" s="1215">
        <f t="shared" si="81"/>
        <v>9003</v>
      </c>
      <c r="AK308" s="1215">
        <f t="shared" si="82"/>
        <v>5945</v>
      </c>
      <c r="AL308" s="1215">
        <f t="shared" si="82"/>
        <v>3058</v>
      </c>
      <c r="AM308" s="1215">
        <f t="shared" si="82"/>
        <v>258</v>
      </c>
    </row>
    <row r="309" spans="1:39" ht="16.5" customHeight="1">
      <c r="A309" s="1231" t="s">
        <v>9189</v>
      </c>
      <c r="B309" s="867" t="s">
        <v>11688</v>
      </c>
      <c r="C309" s="1240">
        <v>3972</v>
      </c>
      <c r="D309" s="1240">
        <v>968</v>
      </c>
      <c r="E309" s="1240">
        <v>1144</v>
      </c>
      <c r="F309" s="1240">
        <v>10212</v>
      </c>
      <c r="G309" s="1240">
        <v>5256</v>
      </c>
      <c r="H309" s="1240">
        <v>307</v>
      </c>
      <c r="J309" s="1231" t="s">
        <v>1418</v>
      </c>
      <c r="K309" s="867" t="s">
        <v>689</v>
      </c>
      <c r="L309" s="867"/>
      <c r="M309" s="1232">
        <f t="shared" si="72"/>
        <v>3728</v>
      </c>
      <c r="N309" s="1232">
        <v>6</v>
      </c>
      <c r="O309" s="1232">
        <v>2</v>
      </c>
      <c r="P309" s="1232">
        <f t="shared" si="73"/>
        <v>3720</v>
      </c>
      <c r="Q309" s="1232">
        <v>142</v>
      </c>
      <c r="R309" s="1232">
        <f t="shared" si="74"/>
        <v>3578</v>
      </c>
      <c r="S309" s="1232">
        <f t="shared" si="75"/>
        <v>3458</v>
      </c>
      <c r="T309" s="1232">
        <v>2348</v>
      </c>
      <c r="U309" s="1232">
        <v>1110</v>
      </c>
      <c r="V309" s="1232">
        <v>120</v>
      </c>
      <c r="W309" s="1232"/>
      <c r="X309" s="1232" t="s">
        <v>9477</v>
      </c>
      <c r="Y309" s="1232" t="s">
        <v>9189</v>
      </c>
      <c r="Z309" s="1232" t="s">
        <v>9294</v>
      </c>
      <c r="AA309" s="1236" t="s">
        <v>1418</v>
      </c>
      <c r="AB309" s="867" t="s">
        <v>689</v>
      </c>
      <c r="AC309" s="1237"/>
      <c r="AD309" s="942">
        <f t="shared" si="76"/>
        <v>3728</v>
      </c>
      <c r="AE309" s="942">
        <f t="shared" si="77"/>
        <v>6</v>
      </c>
      <c r="AF309" s="942">
        <f t="shared" si="77"/>
        <v>2</v>
      </c>
      <c r="AG309" s="942">
        <f t="shared" si="78"/>
        <v>3720</v>
      </c>
      <c r="AH309" s="942">
        <f t="shared" si="79"/>
        <v>142</v>
      </c>
      <c r="AI309" s="942">
        <f t="shared" si="80"/>
        <v>3578</v>
      </c>
      <c r="AJ309" s="942">
        <f t="shared" si="81"/>
        <v>3458</v>
      </c>
      <c r="AK309" s="942">
        <f t="shared" si="82"/>
        <v>2348</v>
      </c>
      <c r="AL309" s="942">
        <f t="shared" si="82"/>
        <v>1110</v>
      </c>
      <c r="AM309" s="942">
        <f t="shared" si="82"/>
        <v>120</v>
      </c>
    </row>
    <row r="310" spans="1:39" ht="16.5" customHeight="1">
      <c r="A310" s="1231"/>
      <c r="J310" s="1231" t="s">
        <v>1420</v>
      </c>
      <c r="K310" s="867" t="s">
        <v>691</v>
      </c>
      <c r="L310" s="867"/>
      <c r="M310" s="1232">
        <f t="shared" si="72"/>
        <v>11232</v>
      </c>
      <c r="N310" s="1232">
        <v>3816</v>
      </c>
      <c r="O310" s="1232">
        <v>940</v>
      </c>
      <c r="P310" s="1232">
        <f t="shared" si="73"/>
        <v>6476</v>
      </c>
      <c r="Q310" s="1232">
        <v>768</v>
      </c>
      <c r="R310" s="1232">
        <f t="shared" si="74"/>
        <v>5708</v>
      </c>
      <c r="S310" s="1232">
        <f t="shared" si="75"/>
        <v>5622</v>
      </c>
      <c r="T310" s="1232">
        <v>3642</v>
      </c>
      <c r="U310" s="1232">
        <v>1980</v>
      </c>
      <c r="V310" s="1232">
        <v>86</v>
      </c>
      <c r="W310" s="1232"/>
      <c r="X310" s="1232" t="s">
        <v>690</v>
      </c>
      <c r="Y310" s="1232" t="s">
        <v>9189</v>
      </c>
      <c r="Z310" s="1232" t="s">
        <v>9294</v>
      </c>
      <c r="AA310" s="1236" t="s">
        <v>1420</v>
      </c>
      <c r="AB310" s="867" t="s">
        <v>691</v>
      </c>
      <c r="AC310" s="1237"/>
      <c r="AD310" s="942">
        <f t="shared" si="76"/>
        <v>11232</v>
      </c>
      <c r="AE310" s="942">
        <f t="shared" si="77"/>
        <v>3816</v>
      </c>
      <c r="AF310" s="942">
        <f t="shared" si="77"/>
        <v>940</v>
      </c>
      <c r="AG310" s="942">
        <f t="shared" si="78"/>
        <v>6476</v>
      </c>
      <c r="AH310" s="942">
        <f t="shared" si="79"/>
        <v>768</v>
      </c>
      <c r="AI310" s="942">
        <f t="shared" si="80"/>
        <v>5708</v>
      </c>
      <c r="AJ310" s="942">
        <f t="shared" si="81"/>
        <v>5622</v>
      </c>
      <c r="AK310" s="942">
        <f t="shared" si="82"/>
        <v>3642</v>
      </c>
      <c r="AL310" s="942">
        <f t="shared" si="82"/>
        <v>1980</v>
      </c>
      <c r="AM310" s="942">
        <f t="shared" si="82"/>
        <v>86</v>
      </c>
    </row>
    <row r="311" spans="1:39" ht="16.5" customHeight="1">
      <c r="A311" s="1231"/>
      <c r="J311" s="1231" t="s">
        <v>1422</v>
      </c>
      <c r="K311" s="867" t="s">
        <v>11689</v>
      </c>
      <c r="L311" s="867"/>
      <c r="M311" s="1232">
        <f t="shared" si="72"/>
        <v>606</v>
      </c>
      <c r="N311" s="1232">
        <v>0</v>
      </c>
      <c r="O311" s="1232">
        <v>0</v>
      </c>
      <c r="P311" s="1232">
        <f t="shared" si="73"/>
        <v>606</v>
      </c>
      <c r="Q311" s="1232">
        <v>0</v>
      </c>
      <c r="R311" s="1232">
        <f t="shared" si="74"/>
        <v>606</v>
      </c>
      <c r="S311" s="1232">
        <f t="shared" si="75"/>
        <v>597</v>
      </c>
      <c r="T311" s="1232">
        <v>387</v>
      </c>
      <c r="U311" s="1232">
        <v>210</v>
      </c>
      <c r="V311" s="1232">
        <v>9</v>
      </c>
      <c r="W311" s="1232"/>
      <c r="X311" s="1232" t="s">
        <v>690</v>
      </c>
      <c r="Y311" s="1232" t="s">
        <v>9189</v>
      </c>
      <c r="Z311" s="1232" t="s">
        <v>9294</v>
      </c>
      <c r="AA311" s="1236" t="s">
        <v>1422</v>
      </c>
      <c r="AB311" s="867" t="s">
        <v>11689</v>
      </c>
      <c r="AC311" s="1237"/>
      <c r="AD311" s="942">
        <f t="shared" si="76"/>
        <v>606</v>
      </c>
      <c r="AE311" s="942">
        <f t="shared" si="77"/>
        <v>0</v>
      </c>
      <c r="AF311" s="942">
        <f t="shared" si="77"/>
        <v>0</v>
      </c>
      <c r="AG311" s="942">
        <f t="shared" si="78"/>
        <v>606</v>
      </c>
      <c r="AH311" s="942">
        <f t="shared" si="79"/>
        <v>0</v>
      </c>
      <c r="AI311" s="942">
        <f t="shared" si="80"/>
        <v>606</v>
      </c>
      <c r="AJ311" s="942">
        <f t="shared" si="81"/>
        <v>597</v>
      </c>
      <c r="AK311" s="942">
        <f t="shared" si="82"/>
        <v>387</v>
      </c>
      <c r="AL311" s="942">
        <f t="shared" si="82"/>
        <v>210</v>
      </c>
      <c r="AM311" s="942">
        <f t="shared" si="82"/>
        <v>9</v>
      </c>
    </row>
    <row r="312" spans="1:39" ht="16.5" customHeight="1">
      <c r="A312" s="1231"/>
      <c r="J312" s="1231" t="s">
        <v>1424</v>
      </c>
      <c r="K312" s="867" t="s">
        <v>11690</v>
      </c>
      <c r="L312" s="867"/>
      <c r="M312" s="1232">
        <f t="shared" si="72"/>
        <v>362</v>
      </c>
      <c r="N312" s="1232">
        <v>0</v>
      </c>
      <c r="O312" s="1232">
        <v>0</v>
      </c>
      <c r="P312" s="1232">
        <f t="shared" si="73"/>
        <v>362</v>
      </c>
      <c r="Q312" s="1232">
        <v>6</v>
      </c>
      <c r="R312" s="1232">
        <f t="shared" si="74"/>
        <v>356</v>
      </c>
      <c r="S312" s="1232">
        <f t="shared" si="75"/>
        <v>351</v>
      </c>
      <c r="T312" s="1232">
        <v>227</v>
      </c>
      <c r="U312" s="1232">
        <v>124</v>
      </c>
      <c r="V312" s="1232">
        <v>5</v>
      </c>
      <c r="W312" s="1232"/>
      <c r="X312" s="1232" t="s">
        <v>690</v>
      </c>
      <c r="Y312" s="1232" t="s">
        <v>9189</v>
      </c>
      <c r="Z312" s="1232" t="s">
        <v>9294</v>
      </c>
      <c r="AA312" s="1236" t="s">
        <v>1424</v>
      </c>
      <c r="AB312" s="867" t="s">
        <v>11690</v>
      </c>
      <c r="AC312" s="1237"/>
      <c r="AD312" s="942">
        <f t="shared" si="76"/>
        <v>362</v>
      </c>
      <c r="AE312" s="942">
        <f t="shared" si="77"/>
        <v>0</v>
      </c>
      <c r="AF312" s="942">
        <f t="shared" si="77"/>
        <v>0</v>
      </c>
      <c r="AG312" s="942">
        <f t="shared" si="78"/>
        <v>362</v>
      </c>
      <c r="AH312" s="942">
        <f t="shared" si="79"/>
        <v>6</v>
      </c>
      <c r="AI312" s="942">
        <f t="shared" si="80"/>
        <v>356</v>
      </c>
      <c r="AJ312" s="942">
        <f t="shared" si="81"/>
        <v>351</v>
      </c>
      <c r="AK312" s="942">
        <f t="shared" si="82"/>
        <v>227</v>
      </c>
      <c r="AL312" s="942">
        <f t="shared" si="82"/>
        <v>124</v>
      </c>
      <c r="AM312" s="942">
        <f t="shared" si="82"/>
        <v>5</v>
      </c>
    </row>
    <row r="313" spans="1:39" ht="16.5" customHeight="1">
      <c r="A313" s="1231"/>
      <c r="J313" s="1231" t="s">
        <v>1426</v>
      </c>
      <c r="K313" s="867" t="s">
        <v>11691</v>
      </c>
      <c r="L313" s="867"/>
      <c r="M313" s="1232">
        <f t="shared" si="72"/>
        <v>522</v>
      </c>
      <c r="N313" s="1232">
        <v>3</v>
      </c>
      <c r="O313" s="1232">
        <v>1</v>
      </c>
      <c r="P313" s="1232">
        <f t="shared" si="73"/>
        <v>518</v>
      </c>
      <c r="Q313" s="1232">
        <v>13</v>
      </c>
      <c r="R313" s="1232">
        <f t="shared" si="74"/>
        <v>505</v>
      </c>
      <c r="S313" s="1232">
        <f t="shared" si="75"/>
        <v>485</v>
      </c>
      <c r="T313" s="1232">
        <v>347</v>
      </c>
      <c r="U313" s="1232">
        <v>138</v>
      </c>
      <c r="V313" s="1232">
        <v>20</v>
      </c>
      <c r="W313" s="1232"/>
      <c r="X313" s="1232" t="s">
        <v>690</v>
      </c>
      <c r="Y313" s="1232" t="s">
        <v>9189</v>
      </c>
      <c r="Z313" s="1232" t="s">
        <v>9294</v>
      </c>
      <c r="AA313" s="1236" t="s">
        <v>1426</v>
      </c>
      <c r="AB313" s="867" t="s">
        <v>11691</v>
      </c>
      <c r="AC313" s="1237"/>
      <c r="AD313" s="942">
        <f t="shared" si="76"/>
        <v>522</v>
      </c>
      <c r="AE313" s="942">
        <f t="shared" si="77"/>
        <v>3</v>
      </c>
      <c r="AF313" s="942">
        <f t="shared" si="77"/>
        <v>1</v>
      </c>
      <c r="AG313" s="942">
        <f t="shared" si="78"/>
        <v>518</v>
      </c>
      <c r="AH313" s="942">
        <f t="shared" si="79"/>
        <v>13</v>
      </c>
      <c r="AI313" s="942">
        <f t="shared" si="80"/>
        <v>505</v>
      </c>
      <c r="AJ313" s="942">
        <f t="shared" si="81"/>
        <v>485</v>
      </c>
      <c r="AK313" s="942">
        <f t="shared" si="82"/>
        <v>347</v>
      </c>
      <c r="AL313" s="942">
        <f t="shared" si="82"/>
        <v>138</v>
      </c>
      <c r="AM313" s="942">
        <f t="shared" si="82"/>
        <v>20</v>
      </c>
    </row>
    <row r="314" spans="1:39" ht="16.5" customHeight="1">
      <c r="A314" s="1231"/>
      <c r="J314" s="1231" t="s">
        <v>1428</v>
      </c>
      <c r="K314" s="867" t="s">
        <v>11692</v>
      </c>
      <c r="L314" s="867"/>
      <c r="M314" s="1232">
        <f t="shared" si="72"/>
        <v>124</v>
      </c>
      <c r="N314" s="1232">
        <v>0</v>
      </c>
      <c r="O314" s="1232">
        <v>0</v>
      </c>
      <c r="P314" s="1232">
        <f t="shared" si="73"/>
        <v>124</v>
      </c>
      <c r="Q314" s="1232">
        <v>0</v>
      </c>
      <c r="R314" s="1232">
        <f t="shared" si="74"/>
        <v>124</v>
      </c>
      <c r="S314" s="1232">
        <f t="shared" si="75"/>
        <v>121</v>
      </c>
      <c r="T314" s="1232">
        <v>97</v>
      </c>
      <c r="U314" s="1232">
        <v>24</v>
      </c>
      <c r="V314" s="1232">
        <v>3</v>
      </c>
      <c r="W314" s="1232"/>
      <c r="X314" s="1232" t="s">
        <v>690</v>
      </c>
      <c r="Y314" s="1232" t="s">
        <v>9189</v>
      </c>
      <c r="Z314" s="1232" t="s">
        <v>9294</v>
      </c>
      <c r="AA314" s="1236" t="s">
        <v>1428</v>
      </c>
      <c r="AB314" s="867" t="s">
        <v>11692</v>
      </c>
      <c r="AC314" s="1237"/>
      <c r="AD314" s="942">
        <f t="shared" si="76"/>
        <v>124</v>
      </c>
      <c r="AE314" s="942">
        <f t="shared" si="77"/>
        <v>0</v>
      </c>
      <c r="AF314" s="942">
        <f t="shared" si="77"/>
        <v>0</v>
      </c>
      <c r="AG314" s="942">
        <f t="shared" si="78"/>
        <v>124</v>
      </c>
      <c r="AH314" s="942">
        <f t="shared" si="79"/>
        <v>0</v>
      </c>
      <c r="AI314" s="942">
        <f t="shared" si="80"/>
        <v>124</v>
      </c>
      <c r="AJ314" s="942">
        <f t="shared" si="81"/>
        <v>121</v>
      </c>
      <c r="AK314" s="942">
        <f t="shared" si="82"/>
        <v>97</v>
      </c>
      <c r="AL314" s="942">
        <f t="shared" si="82"/>
        <v>24</v>
      </c>
      <c r="AM314" s="942">
        <f t="shared" si="82"/>
        <v>3</v>
      </c>
    </row>
    <row r="315" spans="1:39" ht="16.5" customHeight="1">
      <c r="A315" s="1231"/>
      <c r="J315" s="1231" t="s">
        <v>1430</v>
      </c>
      <c r="K315" s="867" t="s">
        <v>11693</v>
      </c>
      <c r="L315" s="867"/>
      <c r="M315" s="1232">
        <f t="shared" si="72"/>
        <v>894</v>
      </c>
      <c r="N315" s="1232">
        <v>0</v>
      </c>
      <c r="O315" s="1232">
        <v>0</v>
      </c>
      <c r="P315" s="1232">
        <f t="shared" si="73"/>
        <v>894</v>
      </c>
      <c r="Q315" s="1232">
        <v>18</v>
      </c>
      <c r="R315" s="1232">
        <f t="shared" si="74"/>
        <v>876</v>
      </c>
      <c r="S315" s="1232">
        <f t="shared" si="75"/>
        <v>861</v>
      </c>
      <c r="T315" s="1232">
        <v>699</v>
      </c>
      <c r="U315" s="1232">
        <v>162</v>
      </c>
      <c r="V315" s="1232">
        <v>15</v>
      </c>
      <c r="W315" s="1232"/>
      <c r="X315" s="1232" t="s">
        <v>690</v>
      </c>
      <c r="Y315" s="1232" t="s">
        <v>9189</v>
      </c>
      <c r="Z315" s="1232" t="s">
        <v>9294</v>
      </c>
      <c r="AA315" s="1236" t="s">
        <v>1430</v>
      </c>
      <c r="AB315" s="867" t="s">
        <v>11693</v>
      </c>
      <c r="AC315" s="1237"/>
      <c r="AD315" s="942">
        <f t="shared" si="76"/>
        <v>894</v>
      </c>
      <c r="AE315" s="942">
        <f t="shared" si="77"/>
        <v>0</v>
      </c>
      <c r="AF315" s="942">
        <f t="shared" si="77"/>
        <v>0</v>
      </c>
      <c r="AG315" s="942">
        <f t="shared" si="78"/>
        <v>894</v>
      </c>
      <c r="AH315" s="942">
        <f t="shared" si="79"/>
        <v>18</v>
      </c>
      <c r="AI315" s="942">
        <f t="shared" si="80"/>
        <v>876</v>
      </c>
      <c r="AJ315" s="942">
        <f t="shared" si="81"/>
        <v>861</v>
      </c>
      <c r="AK315" s="942">
        <f t="shared" si="82"/>
        <v>699</v>
      </c>
      <c r="AL315" s="942">
        <f t="shared" si="82"/>
        <v>162</v>
      </c>
      <c r="AM315" s="942">
        <f t="shared" si="82"/>
        <v>15</v>
      </c>
    </row>
    <row r="316" spans="1:39" ht="16.5" customHeight="1">
      <c r="A316" s="1231"/>
      <c r="J316" s="1231" t="s">
        <v>1432</v>
      </c>
      <c r="K316" s="867" t="s">
        <v>11694</v>
      </c>
      <c r="L316" s="867"/>
      <c r="M316" s="1232">
        <f t="shared" si="72"/>
        <v>445</v>
      </c>
      <c r="N316" s="1232">
        <v>3</v>
      </c>
      <c r="O316" s="1232">
        <v>1</v>
      </c>
      <c r="P316" s="1232">
        <f t="shared" si="73"/>
        <v>441</v>
      </c>
      <c r="Q316" s="1232">
        <v>14</v>
      </c>
      <c r="R316" s="1232">
        <f t="shared" si="74"/>
        <v>427</v>
      </c>
      <c r="S316" s="1232">
        <f t="shared" si="75"/>
        <v>421</v>
      </c>
      <c r="T316" s="1232">
        <v>273</v>
      </c>
      <c r="U316" s="1232">
        <v>148</v>
      </c>
      <c r="V316" s="1232">
        <v>6</v>
      </c>
      <c r="W316" s="1232"/>
      <c r="X316" s="1232" t="s">
        <v>690</v>
      </c>
      <c r="Y316" s="1232" t="s">
        <v>9189</v>
      </c>
      <c r="Z316" s="1232" t="s">
        <v>9294</v>
      </c>
      <c r="AA316" s="1236" t="s">
        <v>1432</v>
      </c>
      <c r="AB316" s="867" t="s">
        <v>11694</v>
      </c>
      <c r="AC316" s="1237"/>
      <c r="AD316" s="942">
        <f t="shared" si="76"/>
        <v>445</v>
      </c>
      <c r="AE316" s="942">
        <f t="shared" si="77"/>
        <v>3</v>
      </c>
      <c r="AF316" s="942">
        <f t="shared" si="77"/>
        <v>1</v>
      </c>
      <c r="AG316" s="942">
        <f t="shared" si="78"/>
        <v>441</v>
      </c>
      <c r="AH316" s="942">
        <f t="shared" si="79"/>
        <v>14</v>
      </c>
      <c r="AI316" s="942">
        <f t="shared" si="80"/>
        <v>427</v>
      </c>
      <c r="AJ316" s="942">
        <f t="shared" si="81"/>
        <v>421</v>
      </c>
      <c r="AK316" s="942">
        <f t="shared" si="82"/>
        <v>273</v>
      </c>
      <c r="AL316" s="942">
        <f t="shared" si="82"/>
        <v>148</v>
      </c>
      <c r="AM316" s="942">
        <f t="shared" si="82"/>
        <v>6</v>
      </c>
    </row>
    <row r="317" spans="1:39" ht="16.5" customHeight="1">
      <c r="A317" s="1231"/>
      <c r="J317" s="1231" t="s">
        <v>1434</v>
      </c>
      <c r="K317" s="940" t="s">
        <v>11695</v>
      </c>
      <c r="L317" s="940"/>
      <c r="M317" s="1241">
        <f t="shared" si="72"/>
        <v>3946</v>
      </c>
      <c r="N317" s="1241">
        <f>C309-SUM(N309:N316)</f>
        <v>144</v>
      </c>
      <c r="O317" s="1241">
        <f>D309-SUM(O309:O316)</f>
        <v>24</v>
      </c>
      <c r="P317" s="1241">
        <f t="shared" si="73"/>
        <v>3778</v>
      </c>
      <c r="Q317" s="1241">
        <f>E309-SUM(Q309:Q316)</f>
        <v>183</v>
      </c>
      <c r="R317" s="1241">
        <f t="shared" si="74"/>
        <v>3595</v>
      </c>
      <c r="S317" s="1241">
        <f t="shared" si="75"/>
        <v>3552</v>
      </c>
      <c r="T317" s="1241">
        <f>F309-SUM(T309:T316)</f>
        <v>2192</v>
      </c>
      <c r="U317" s="1241">
        <f>G309-SUM(U309:U316)</f>
        <v>1360</v>
      </c>
      <c r="V317" s="1241">
        <f>H309-SUM(V309:V316)</f>
        <v>43</v>
      </c>
      <c r="W317" s="1232"/>
      <c r="X317" s="1232" t="s">
        <v>690</v>
      </c>
      <c r="Y317" s="1232" t="s">
        <v>9189</v>
      </c>
      <c r="Z317" s="1232" t="s">
        <v>9294</v>
      </c>
      <c r="AA317" s="1236" t="s">
        <v>1434</v>
      </c>
      <c r="AB317" s="940" t="s">
        <v>11695</v>
      </c>
      <c r="AC317" s="1243"/>
      <c r="AD317" s="943">
        <f t="shared" si="76"/>
        <v>3946</v>
      </c>
      <c r="AE317" s="943">
        <f t="shared" si="77"/>
        <v>144</v>
      </c>
      <c r="AF317" s="943">
        <f t="shared" si="77"/>
        <v>24</v>
      </c>
      <c r="AG317" s="943">
        <f t="shared" si="78"/>
        <v>3778</v>
      </c>
      <c r="AH317" s="943">
        <f t="shared" si="79"/>
        <v>183</v>
      </c>
      <c r="AI317" s="943">
        <f t="shared" si="80"/>
        <v>3595</v>
      </c>
      <c r="AJ317" s="943">
        <f t="shared" si="81"/>
        <v>3552</v>
      </c>
      <c r="AK317" s="943">
        <f t="shared" si="82"/>
        <v>2192</v>
      </c>
      <c r="AL317" s="943">
        <f t="shared" si="82"/>
        <v>1360</v>
      </c>
      <c r="AM317" s="943">
        <f t="shared" si="82"/>
        <v>43</v>
      </c>
    </row>
    <row r="318" spans="1:39" ht="16.5" customHeight="1">
      <c r="A318" s="1244" t="s">
        <v>9190</v>
      </c>
      <c r="B318" s="1245" t="s">
        <v>11696</v>
      </c>
      <c r="C318" s="1240">
        <v>69</v>
      </c>
      <c r="D318" s="1240">
        <v>11</v>
      </c>
      <c r="E318" s="1240">
        <v>3</v>
      </c>
      <c r="F318" s="1240">
        <v>3962</v>
      </c>
      <c r="G318" s="1240">
        <v>2992</v>
      </c>
      <c r="H318" s="1240">
        <v>181</v>
      </c>
      <c r="J318" s="1244" t="s">
        <v>1436</v>
      </c>
      <c r="K318" s="1245" t="s">
        <v>9110</v>
      </c>
      <c r="L318" s="1245"/>
      <c r="M318" s="1246">
        <f t="shared" si="72"/>
        <v>7218</v>
      </c>
      <c r="N318" s="1241">
        <f t="shared" ref="N318:O318" si="101">C318</f>
        <v>69</v>
      </c>
      <c r="O318" s="1246">
        <f t="shared" si="101"/>
        <v>11</v>
      </c>
      <c r="P318" s="1246">
        <f t="shared" si="73"/>
        <v>7138</v>
      </c>
      <c r="Q318" s="1246">
        <f t="shared" ref="Q318" si="102">E318</f>
        <v>3</v>
      </c>
      <c r="R318" s="1246">
        <f t="shared" si="74"/>
        <v>7135</v>
      </c>
      <c r="S318" s="1246">
        <f t="shared" si="75"/>
        <v>6954</v>
      </c>
      <c r="T318" s="1246">
        <f t="shared" ref="T318:V318" si="103">F318</f>
        <v>3962</v>
      </c>
      <c r="U318" s="1246">
        <f t="shared" si="103"/>
        <v>2992</v>
      </c>
      <c r="V318" s="1246">
        <f t="shared" si="103"/>
        <v>181</v>
      </c>
      <c r="W318" s="1232"/>
      <c r="X318" s="1232" t="s">
        <v>9478</v>
      </c>
      <c r="Y318" s="1232" t="s">
        <v>9190</v>
      </c>
      <c r="Z318" s="1232" t="s">
        <v>9294</v>
      </c>
      <c r="AA318" s="1247" t="s">
        <v>1436</v>
      </c>
      <c r="AB318" s="1245" t="s">
        <v>9110</v>
      </c>
      <c r="AC318" s="1248"/>
      <c r="AD318" s="1215">
        <f t="shared" si="76"/>
        <v>7218</v>
      </c>
      <c r="AE318" s="943">
        <f t="shared" si="77"/>
        <v>69</v>
      </c>
      <c r="AF318" s="1215">
        <f t="shared" si="77"/>
        <v>11</v>
      </c>
      <c r="AG318" s="1215">
        <f t="shared" si="78"/>
        <v>7138</v>
      </c>
      <c r="AH318" s="1215">
        <f t="shared" si="79"/>
        <v>3</v>
      </c>
      <c r="AI318" s="1215">
        <f t="shared" si="80"/>
        <v>7135</v>
      </c>
      <c r="AJ318" s="1215">
        <f t="shared" si="81"/>
        <v>6954</v>
      </c>
      <c r="AK318" s="1215">
        <f t="shared" si="82"/>
        <v>3962</v>
      </c>
      <c r="AL318" s="1215">
        <f t="shared" si="82"/>
        <v>2992</v>
      </c>
      <c r="AM318" s="1215">
        <f t="shared" si="82"/>
        <v>181</v>
      </c>
    </row>
    <row r="319" spans="1:39" ht="16.5" customHeight="1">
      <c r="A319" s="1231" t="s">
        <v>9191</v>
      </c>
      <c r="B319" s="867" t="s">
        <v>11697</v>
      </c>
      <c r="C319" s="1240">
        <v>154</v>
      </c>
      <c r="D319" s="1240">
        <v>0</v>
      </c>
      <c r="E319" s="1240">
        <v>78</v>
      </c>
      <c r="F319" s="1240">
        <v>1908</v>
      </c>
      <c r="G319" s="1240">
        <v>351</v>
      </c>
      <c r="H319" s="1240">
        <v>0</v>
      </c>
      <c r="J319" s="1231" t="s">
        <v>1438</v>
      </c>
      <c r="K319" s="1234" t="s">
        <v>7344</v>
      </c>
      <c r="L319" s="1234"/>
      <c r="M319" s="1240">
        <f t="shared" si="72"/>
        <v>1027</v>
      </c>
      <c r="N319" s="1240">
        <v>0</v>
      </c>
      <c r="O319" s="1232">
        <v>0</v>
      </c>
      <c r="P319" s="1232">
        <f t="shared" si="73"/>
        <v>1027</v>
      </c>
      <c r="Q319" s="1232">
        <v>50</v>
      </c>
      <c r="R319" s="1232">
        <f t="shared" si="74"/>
        <v>977</v>
      </c>
      <c r="S319" s="1232">
        <f t="shared" si="75"/>
        <v>977</v>
      </c>
      <c r="T319" s="1232">
        <v>834</v>
      </c>
      <c r="U319" s="1232">
        <v>143</v>
      </c>
      <c r="V319" s="1232">
        <v>0</v>
      </c>
      <c r="W319" s="1232"/>
      <c r="X319" s="1232" t="s">
        <v>9479</v>
      </c>
      <c r="Y319" s="1232" t="s">
        <v>9191</v>
      </c>
      <c r="Z319" s="1232" t="s">
        <v>9296</v>
      </c>
      <c r="AA319" s="1236" t="s">
        <v>1438</v>
      </c>
      <c r="AB319" s="1234" t="s">
        <v>7344</v>
      </c>
      <c r="AC319" s="1235"/>
      <c r="AD319" s="1213">
        <f t="shared" si="76"/>
        <v>1027</v>
      </c>
      <c r="AE319" s="1213">
        <f t="shared" si="77"/>
        <v>0</v>
      </c>
      <c r="AF319" s="942">
        <f t="shared" si="77"/>
        <v>0</v>
      </c>
      <c r="AG319" s="942">
        <f t="shared" si="78"/>
        <v>1027</v>
      </c>
      <c r="AH319" s="942">
        <f t="shared" si="79"/>
        <v>50</v>
      </c>
      <c r="AI319" s="942">
        <f t="shared" si="80"/>
        <v>977</v>
      </c>
      <c r="AJ319" s="942">
        <f t="shared" si="81"/>
        <v>977</v>
      </c>
      <c r="AK319" s="942">
        <f t="shared" si="82"/>
        <v>834</v>
      </c>
      <c r="AL319" s="942">
        <f t="shared" si="82"/>
        <v>143</v>
      </c>
      <c r="AM319" s="942">
        <f t="shared" si="82"/>
        <v>0</v>
      </c>
    </row>
    <row r="320" spans="1:39" ht="16.5" customHeight="1">
      <c r="A320" s="1231"/>
      <c r="J320" s="1231" t="s">
        <v>1440</v>
      </c>
      <c r="K320" s="867" t="s">
        <v>7347</v>
      </c>
      <c r="L320" s="867"/>
      <c r="M320" s="1232">
        <f t="shared" si="72"/>
        <v>648</v>
      </c>
      <c r="N320" s="1232">
        <v>0</v>
      </c>
      <c r="O320" s="1232">
        <v>0</v>
      </c>
      <c r="P320" s="1232">
        <f t="shared" si="73"/>
        <v>648</v>
      </c>
      <c r="Q320" s="1232">
        <v>11</v>
      </c>
      <c r="R320" s="1232">
        <f t="shared" si="74"/>
        <v>637</v>
      </c>
      <c r="S320" s="1232">
        <f t="shared" si="75"/>
        <v>637</v>
      </c>
      <c r="T320" s="1232">
        <v>544</v>
      </c>
      <c r="U320" s="1232">
        <v>93</v>
      </c>
      <c r="V320" s="1232">
        <v>0</v>
      </c>
      <c r="W320" s="1232"/>
      <c r="X320" s="1232" t="s">
        <v>9479</v>
      </c>
      <c r="Y320" s="1232" t="s">
        <v>9191</v>
      </c>
      <c r="Z320" s="1232" t="s">
        <v>9296</v>
      </c>
      <c r="AA320" s="1236" t="s">
        <v>1440</v>
      </c>
      <c r="AB320" s="867" t="s">
        <v>7347</v>
      </c>
      <c r="AC320" s="1237"/>
      <c r="AD320" s="942">
        <f t="shared" si="76"/>
        <v>648</v>
      </c>
      <c r="AE320" s="942">
        <f t="shared" si="77"/>
        <v>0</v>
      </c>
      <c r="AF320" s="942">
        <f t="shared" si="77"/>
        <v>0</v>
      </c>
      <c r="AG320" s="942">
        <f t="shared" si="78"/>
        <v>648</v>
      </c>
      <c r="AH320" s="942">
        <f t="shared" si="79"/>
        <v>11</v>
      </c>
      <c r="AI320" s="942">
        <f t="shared" si="80"/>
        <v>637</v>
      </c>
      <c r="AJ320" s="942">
        <f t="shared" si="81"/>
        <v>637</v>
      </c>
      <c r="AK320" s="942">
        <f t="shared" si="82"/>
        <v>544</v>
      </c>
      <c r="AL320" s="942">
        <f t="shared" si="82"/>
        <v>93</v>
      </c>
      <c r="AM320" s="942">
        <f t="shared" si="82"/>
        <v>0</v>
      </c>
    </row>
    <row r="321" spans="1:39" ht="16.5" customHeight="1">
      <c r="A321" s="1231"/>
      <c r="J321" s="1231" t="s">
        <v>1442</v>
      </c>
      <c r="K321" s="940" t="s">
        <v>11698</v>
      </c>
      <c r="L321" s="940"/>
      <c r="M321" s="1241">
        <f t="shared" si="72"/>
        <v>816</v>
      </c>
      <c r="N321" s="1241">
        <f>C319-SUM(N319:N320)</f>
        <v>154</v>
      </c>
      <c r="O321" s="1241">
        <f>D319-SUM(O319:O320)</f>
        <v>0</v>
      </c>
      <c r="P321" s="1241">
        <f t="shared" si="73"/>
        <v>662</v>
      </c>
      <c r="Q321" s="1241">
        <f>E319-SUM(Q319:Q320)</f>
        <v>17</v>
      </c>
      <c r="R321" s="1241">
        <f t="shared" si="74"/>
        <v>645</v>
      </c>
      <c r="S321" s="1241">
        <f t="shared" si="75"/>
        <v>645</v>
      </c>
      <c r="T321" s="1241">
        <f>F319-SUM(T319:T320)</f>
        <v>530</v>
      </c>
      <c r="U321" s="1241">
        <f t="shared" ref="U321:V321" si="104">G319-SUM(U319:U320)</f>
        <v>115</v>
      </c>
      <c r="V321" s="1241">
        <f t="shared" si="104"/>
        <v>0</v>
      </c>
      <c r="W321" s="1232"/>
      <c r="X321" s="1232" t="s">
        <v>9479</v>
      </c>
      <c r="Y321" s="1232" t="s">
        <v>9191</v>
      </c>
      <c r="Z321" s="1232" t="s">
        <v>9296</v>
      </c>
      <c r="AA321" s="1236" t="s">
        <v>1442</v>
      </c>
      <c r="AB321" s="940" t="s">
        <v>11698</v>
      </c>
      <c r="AC321" s="1243"/>
      <c r="AD321" s="943">
        <f t="shared" si="76"/>
        <v>816</v>
      </c>
      <c r="AE321" s="943">
        <f t="shared" si="77"/>
        <v>154</v>
      </c>
      <c r="AF321" s="943">
        <f t="shared" si="77"/>
        <v>0</v>
      </c>
      <c r="AG321" s="943">
        <f t="shared" si="78"/>
        <v>662</v>
      </c>
      <c r="AH321" s="943">
        <f t="shared" si="79"/>
        <v>17</v>
      </c>
      <c r="AI321" s="943">
        <f t="shared" si="80"/>
        <v>645</v>
      </c>
      <c r="AJ321" s="943">
        <f t="shared" si="81"/>
        <v>645</v>
      </c>
      <c r="AK321" s="943">
        <f t="shared" si="82"/>
        <v>530</v>
      </c>
      <c r="AL321" s="943">
        <f t="shared" si="82"/>
        <v>115</v>
      </c>
      <c r="AM321" s="943">
        <f t="shared" si="82"/>
        <v>0</v>
      </c>
    </row>
    <row r="322" spans="1:39" ht="16.5" customHeight="1">
      <c r="A322" s="1239" t="s">
        <v>9192</v>
      </c>
      <c r="B322" s="1234" t="s">
        <v>9112</v>
      </c>
      <c r="C322" s="1240">
        <v>0</v>
      </c>
      <c r="D322" s="1240">
        <v>0</v>
      </c>
      <c r="E322" s="1240">
        <v>54</v>
      </c>
      <c r="F322" s="1240">
        <v>1056</v>
      </c>
      <c r="G322" s="1240">
        <v>371</v>
      </c>
      <c r="H322" s="1240">
        <v>0</v>
      </c>
      <c r="J322" s="1239" t="s">
        <v>1444</v>
      </c>
      <c r="K322" s="1234" t="s">
        <v>709</v>
      </c>
      <c r="L322" s="1234"/>
      <c r="M322" s="1240" t="e">
        <f t="shared" si="72"/>
        <v>#DIV/0!</v>
      </c>
      <c r="N322" s="1240" t="e">
        <v>#DIV/0!</v>
      </c>
      <c r="O322" s="1240" t="e">
        <v>#DIV/0!</v>
      </c>
      <c r="P322" s="1240">
        <f t="shared" si="73"/>
        <v>599</v>
      </c>
      <c r="Q322" s="1240">
        <v>0</v>
      </c>
      <c r="R322" s="1232">
        <f t="shared" si="74"/>
        <v>599</v>
      </c>
      <c r="S322" s="1232">
        <f t="shared" si="75"/>
        <v>599</v>
      </c>
      <c r="T322" s="1232">
        <v>443</v>
      </c>
      <c r="U322" s="1232">
        <v>156</v>
      </c>
      <c r="V322" s="1232">
        <v>0</v>
      </c>
      <c r="W322" s="1232"/>
      <c r="X322" s="1232" t="s">
        <v>9480</v>
      </c>
      <c r="Y322" s="1232" t="s">
        <v>9192</v>
      </c>
      <c r="Z322" s="1232" t="s">
        <v>9296</v>
      </c>
      <c r="AA322" s="1233" t="s">
        <v>1444</v>
      </c>
      <c r="AB322" s="1234" t="s">
        <v>709</v>
      </c>
      <c r="AC322" s="1235"/>
      <c r="AD322" s="1213">
        <f t="shared" si="76"/>
        <v>599</v>
      </c>
      <c r="AE322" s="1217">
        <v>0</v>
      </c>
      <c r="AF322" s="1217">
        <v>0</v>
      </c>
      <c r="AG322" s="1213">
        <f t="shared" si="78"/>
        <v>599</v>
      </c>
      <c r="AH322" s="1213">
        <f t="shared" si="79"/>
        <v>0</v>
      </c>
      <c r="AI322" s="942">
        <f t="shared" si="80"/>
        <v>599</v>
      </c>
      <c r="AJ322" s="942">
        <f t="shared" si="81"/>
        <v>599</v>
      </c>
      <c r="AK322" s="942">
        <f t="shared" si="82"/>
        <v>443</v>
      </c>
      <c r="AL322" s="942">
        <f t="shared" si="82"/>
        <v>156</v>
      </c>
      <c r="AM322" s="942">
        <f t="shared" si="82"/>
        <v>0</v>
      </c>
    </row>
    <row r="323" spans="1:39" ht="16.5" customHeight="1">
      <c r="A323" s="1231"/>
      <c r="J323" s="1231" t="s">
        <v>1446</v>
      </c>
      <c r="K323" s="867" t="s">
        <v>710</v>
      </c>
      <c r="L323" s="867"/>
      <c r="M323" s="1232" t="e">
        <f t="shared" si="72"/>
        <v>#DIV/0!</v>
      </c>
      <c r="N323" s="1232" t="e">
        <v>#DIV/0!</v>
      </c>
      <c r="O323" s="1232" t="e">
        <v>#DIV/0!</v>
      </c>
      <c r="P323" s="1232">
        <f t="shared" si="73"/>
        <v>131</v>
      </c>
      <c r="Q323" s="1232">
        <v>8</v>
      </c>
      <c r="R323" s="1232">
        <f t="shared" si="74"/>
        <v>123</v>
      </c>
      <c r="S323" s="1232">
        <f t="shared" si="75"/>
        <v>123</v>
      </c>
      <c r="T323" s="1232">
        <v>91</v>
      </c>
      <c r="U323" s="1232">
        <v>32</v>
      </c>
      <c r="V323" s="1232">
        <v>0</v>
      </c>
      <c r="W323" s="1232"/>
      <c r="X323" s="1232" t="s">
        <v>9480</v>
      </c>
      <c r="Y323" s="1232" t="s">
        <v>9192</v>
      </c>
      <c r="Z323" s="1232" t="s">
        <v>9296</v>
      </c>
      <c r="AA323" s="1236" t="s">
        <v>1446</v>
      </c>
      <c r="AB323" s="867" t="s">
        <v>710</v>
      </c>
      <c r="AC323" s="1237"/>
      <c r="AD323" s="942">
        <f t="shared" si="76"/>
        <v>131</v>
      </c>
      <c r="AE323" s="1217">
        <v>0</v>
      </c>
      <c r="AF323" s="1217">
        <v>0</v>
      </c>
      <c r="AG323" s="942">
        <f t="shared" si="78"/>
        <v>131</v>
      </c>
      <c r="AH323" s="942">
        <f t="shared" si="79"/>
        <v>8</v>
      </c>
      <c r="AI323" s="942">
        <f t="shared" si="80"/>
        <v>123</v>
      </c>
      <c r="AJ323" s="942">
        <f t="shared" si="81"/>
        <v>123</v>
      </c>
      <c r="AK323" s="942">
        <f t="shared" si="82"/>
        <v>91</v>
      </c>
      <c r="AL323" s="942">
        <f t="shared" si="82"/>
        <v>32</v>
      </c>
      <c r="AM323" s="942">
        <f t="shared" si="82"/>
        <v>0</v>
      </c>
    </row>
    <row r="324" spans="1:39" ht="16.5" customHeight="1">
      <c r="A324" s="1238"/>
      <c r="B324" s="940"/>
      <c r="C324" s="940"/>
      <c r="D324" s="940"/>
      <c r="E324" s="940"/>
      <c r="F324" s="940"/>
      <c r="G324" s="940"/>
      <c r="H324" s="940"/>
      <c r="J324" s="1238" t="s">
        <v>1448</v>
      </c>
      <c r="K324" s="940" t="s">
        <v>711</v>
      </c>
      <c r="L324" s="940"/>
      <c r="M324" s="1241" t="e">
        <f t="shared" si="72"/>
        <v>#DIV/0!</v>
      </c>
      <c r="N324" s="1241" t="e">
        <f>C322-SUM(N322:N323)</f>
        <v>#DIV/0!</v>
      </c>
      <c r="O324" s="1241" t="e">
        <f>D322-SUM(O322:O323)</f>
        <v>#DIV/0!</v>
      </c>
      <c r="P324" s="1241">
        <f t="shared" si="73"/>
        <v>751</v>
      </c>
      <c r="Q324" s="1241">
        <f>E322-SUM(Q322:Q323)</f>
        <v>46</v>
      </c>
      <c r="R324" s="1241">
        <f t="shared" si="74"/>
        <v>705</v>
      </c>
      <c r="S324" s="1241">
        <f t="shared" si="75"/>
        <v>705</v>
      </c>
      <c r="T324" s="1241">
        <f>F322-SUM(T322:T323)</f>
        <v>522</v>
      </c>
      <c r="U324" s="1241">
        <f t="shared" ref="U324:V324" si="105">G322-SUM(U322:U323)</f>
        <v>183</v>
      </c>
      <c r="V324" s="1241">
        <f t="shared" si="105"/>
        <v>0</v>
      </c>
      <c r="W324" s="1232"/>
      <c r="X324" s="1232" t="s">
        <v>9480</v>
      </c>
      <c r="Y324" s="1232" t="s">
        <v>9192</v>
      </c>
      <c r="Z324" s="1232" t="s">
        <v>9296</v>
      </c>
      <c r="AA324" s="1242" t="s">
        <v>1448</v>
      </c>
      <c r="AB324" s="940" t="s">
        <v>711</v>
      </c>
      <c r="AC324" s="1243"/>
      <c r="AD324" s="943">
        <f t="shared" si="76"/>
        <v>751</v>
      </c>
      <c r="AE324" s="1218">
        <v>0</v>
      </c>
      <c r="AF324" s="1218">
        <v>0</v>
      </c>
      <c r="AG324" s="943">
        <f t="shared" si="78"/>
        <v>751</v>
      </c>
      <c r="AH324" s="943">
        <f t="shared" si="79"/>
        <v>46</v>
      </c>
      <c r="AI324" s="943">
        <f t="shared" si="80"/>
        <v>705</v>
      </c>
      <c r="AJ324" s="943">
        <f t="shared" si="81"/>
        <v>705</v>
      </c>
      <c r="AK324" s="943">
        <f t="shared" si="82"/>
        <v>522</v>
      </c>
      <c r="AL324" s="943">
        <f t="shared" si="82"/>
        <v>183</v>
      </c>
      <c r="AM324" s="943">
        <f t="shared" si="82"/>
        <v>0</v>
      </c>
    </row>
    <row r="325" spans="1:39" ht="16.5" customHeight="1">
      <c r="A325" s="1231" t="s">
        <v>9193</v>
      </c>
      <c r="B325" s="867" t="s">
        <v>11699</v>
      </c>
      <c r="C325" s="1240">
        <v>2286</v>
      </c>
      <c r="D325" s="1240">
        <v>55</v>
      </c>
      <c r="E325" s="1240">
        <v>2251</v>
      </c>
      <c r="F325" s="1240">
        <v>18008</v>
      </c>
      <c r="G325" s="1240">
        <v>3590</v>
      </c>
      <c r="H325" s="1240">
        <v>117</v>
      </c>
      <c r="J325" s="1231" t="s">
        <v>1450</v>
      </c>
      <c r="K325" s="867" t="s">
        <v>7357</v>
      </c>
      <c r="L325" s="867"/>
      <c r="M325" s="1232">
        <f t="shared" si="72"/>
        <v>26307</v>
      </c>
      <c r="N325" s="1232">
        <f t="shared" ref="N325:O326" si="106">C325</f>
        <v>2286</v>
      </c>
      <c r="O325" s="1241">
        <f t="shared" si="106"/>
        <v>55</v>
      </c>
      <c r="P325" s="1241">
        <f t="shared" si="73"/>
        <v>23966</v>
      </c>
      <c r="Q325" s="1241">
        <f t="shared" ref="Q325:Q326" si="107">E325</f>
        <v>2251</v>
      </c>
      <c r="R325" s="1246">
        <f t="shared" si="74"/>
        <v>21715</v>
      </c>
      <c r="S325" s="1246">
        <f t="shared" si="75"/>
        <v>21598</v>
      </c>
      <c r="T325" s="1246">
        <f t="shared" ref="T325:V326" si="108">F325</f>
        <v>18008</v>
      </c>
      <c r="U325" s="1246">
        <f t="shared" si="108"/>
        <v>3590</v>
      </c>
      <c r="V325" s="1246">
        <f t="shared" si="108"/>
        <v>117</v>
      </c>
      <c r="W325" s="1232"/>
      <c r="X325" s="1232" t="s">
        <v>9481</v>
      </c>
      <c r="Y325" s="1232" t="s">
        <v>9193</v>
      </c>
      <c r="Z325" s="1232" t="s">
        <v>9296</v>
      </c>
      <c r="AA325" s="1236" t="s">
        <v>1450</v>
      </c>
      <c r="AB325" s="867" t="s">
        <v>7357</v>
      </c>
      <c r="AC325" s="1237"/>
      <c r="AD325" s="942">
        <f t="shared" si="76"/>
        <v>26307</v>
      </c>
      <c r="AE325" s="942">
        <f t="shared" si="77"/>
        <v>2286</v>
      </c>
      <c r="AF325" s="943">
        <f t="shared" si="77"/>
        <v>55</v>
      </c>
      <c r="AG325" s="943">
        <f t="shared" si="78"/>
        <v>23966</v>
      </c>
      <c r="AH325" s="943">
        <f t="shared" si="79"/>
        <v>2251</v>
      </c>
      <c r="AI325" s="1215">
        <f t="shared" si="80"/>
        <v>21715</v>
      </c>
      <c r="AJ325" s="1215">
        <f t="shared" si="81"/>
        <v>21598</v>
      </c>
      <c r="AK325" s="1215">
        <f t="shared" si="82"/>
        <v>18008</v>
      </c>
      <c r="AL325" s="1215">
        <f t="shared" si="82"/>
        <v>3590</v>
      </c>
      <c r="AM325" s="1215">
        <f t="shared" si="82"/>
        <v>117</v>
      </c>
    </row>
    <row r="326" spans="1:39" ht="16.5" customHeight="1">
      <c r="A326" s="1244" t="s">
        <v>9194</v>
      </c>
      <c r="B326" s="1245" t="s">
        <v>11700</v>
      </c>
      <c r="C326" s="1240">
        <v>1401</v>
      </c>
      <c r="D326" s="1240">
        <v>53</v>
      </c>
      <c r="E326" s="1240">
        <v>485</v>
      </c>
      <c r="F326" s="1240">
        <v>1047</v>
      </c>
      <c r="G326" s="1240">
        <v>632</v>
      </c>
      <c r="H326" s="1240">
        <v>40</v>
      </c>
      <c r="J326" s="1244" t="s">
        <v>1452</v>
      </c>
      <c r="K326" s="1245" t="s">
        <v>9113</v>
      </c>
      <c r="L326" s="1245"/>
      <c r="M326" s="1246">
        <f t="shared" si="72"/>
        <v>3658</v>
      </c>
      <c r="N326" s="1246">
        <f t="shared" si="106"/>
        <v>1401</v>
      </c>
      <c r="O326" s="1246">
        <f t="shared" si="106"/>
        <v>53</v>
      </c>
      <c r="P326" s="1246">
        <f t="shared" si="73"/>
        <v>2204</v>
      </c>
      <c r="Q326" s="1246">
        <f t="shared" si="107"/>
        <v>485</v>
      </c>
      <c r="R326" s="1246">
        <f t="shared" si="74"/>
        <v>1719</v>
      </c>
      <c r="S326" s="1246">
        <f t="shared" si="75"/>
        <v>1679</v>
      </c>
      <c r="T326" s="1246">
        <f t="shared" si="108"/>
        <v>1047</v>
      </c>
      <c r="U326" s="1246">
        <f t="shared" si="108"/>
        <v>632</v>
      </c>
      <c r="V326" s="1246">
        <f t="shared" si="108"/>
        <v>40</v>
      </c>
      <c r="W326" s="1232"/>
      <c r="X326" s="1232" t="s">
        <v>9482</v>
      </c>
      <c r="Y326" s="1232" t="s">
        <v>9194</v>
      </c>
      <c r="Z326" s="1232" t="s">
        <v>9296</v>
      </c>
      <c r="AA326" s="1247" t="s">
        <v>1452</v>
      </c>
      <c r="AB326" s="1245" t="s">
        <v>9113</v>
      </c>
      <c r="AC326" s="1248"/>
      <c r="AD326" s="1215">
        <f t="shared" si="76"/>
        <v>3658</v>
      </c>
      <c r="AE326" s="1215">
        <f t="shared" si="77"/>
        <v>1401</v>
      </c>
      <c r="AF326" s="1215">
        <f t="shared" si="77"/>
        <v>53</v>
      </c>
      <c r="AG326" s="1215">
        <f t="shared" si="78"/>
        <v>2204</v>
      </c>
      <c r="AH326" s="1215">
        <f t="shared" si="79"/>
        <v>485</v>
      </c>
      <c r="AI326" s="1215">
        <f t="shared" si="80"/>
        <v>1719</v>
      </c>
      <c r="AJ326" s="1215">
        <f t="shared" si="81"/>
        <v>1679</v>
      </c>
      <c r="AK326" s="1215">
        <f t="shared" si="82"/>
        <v>1047</v>
      </c>
      <c r="AL326" s="1215">
        <f t="shared" si="82"/>
        <v>632</v>
      </c>
      <c r="AM326" s="1215">
        <f t="shared" si="82"/>
        <v>40</v>
      </c>
    </row>
    <row r="327" spans="1:39" ht="16.5" customHeight="1">
      <c r="A327" s="1231" t="s">
        <v>9195</v>
      </c>
      <c r="B327" s="867" t="s">
        <v>11701</v>
      </c>
      <c r="C327" s="1240">
        <v>855</v>
      </c>
      <c r="D327" s="1240">
        <v>26</v>
      </c>
      <c r="E327" s="1240">
        <v>403</v>
      </c>
      <c r="F327" s="1240">
        <v>1868</v>
      </c>
      <c r="G327" s="1240">
        <v>811</v>
      </c>
      <c r="H327" s="1240">
        <v>40</v>
      </c>
      <c r="J327" s="1231" t="s">
        <v>1454</v>
      </c>
      <c r="K327" s="867" t="s">
        <v>11702</v>
      </c>
      <c r="L327" s="867"/>
      <c r="M327" s="1232">
        <f t="shared" si="72"/>
        <v>1665</v>
      </c>
      <c r="N327" s="1232">
        <v>649</v>
      </c>
      <c r="O327" s="1232">
        <v>15</v>
      </c>
      <c r="P327" s="1232">
        <f t="shared" si="73"/>
        <v>1001</v>
      </c>
      <c r="Q327" s="1232">
        <v>189</v>
      </c>
      <c r="R327" s="1232">
        <f t="shared" si="74"/>
        <v>812</v>
      </c>
      <c r="S327" s="1232">
        <f t="shared" si="75"/>
        <v>795</v>
      </c>
      <c r="T327" s="1232">
        <v>611</v>
      </c>
      <c r="U327" s="1232">
        <v>184</v>
      </c>
      <c r="V327" s="1232">
        <v>17</v>
      </c>
      <c r="W327" s="1232"/>
      <c r="X327" s="1232" t="s">
        <v>9483</v>
      </c>
      <c r="Y327" s="1232" t="s">
        <v>9195</v>
      </c>
      <c r="Z327" s="1232" t="s">
        <v>9296</v>
      </c>
      <c r="AA327" s="1236" t="s">
        <v>1454</v>
      </c>
      <c r="AB327" s="867" t="s">
        <v>11702</v>
      </c>
      <c r="AC327" s="1237"/>
      <c r="AD327" s="942">
        <f t="shared" si="76"/>
        <v>1665</v>
      </c>
      <c r="AE327" s="942">
        <f t="shared" si="77"/>
        <v>649</v>
      </c>
      <c r="AF327" s="942">
        <f t="shared" si="77"/>
        <v>15</v>
      </c>
      <c r="AG327" s="942">
        <f t="shared" si="78"/>
        <v>1001</v>
      </c>
      <c r="AH327" s="942">
        <f t="shared" si="79"/>
        <v>189</v>
      </c>
      <c r="AI327" s="942">
        <f t="shared" si="80"/>
        <v>812</v>
      </c>
      <c r="AJ327" s="942">
        <f t="shared" si="81"/>
        <v>795</v>
      </c>
      <c r="AK327" s="942">
        <f t="shared" si="82"/>
        <v>611</v>
      </c>
      <c r="AL327" s="942">
        <f t="shared" si="82"/>
        <v>184</v>
      </c>
      <c r="AM327" s="942">
        <f t="shared" si="82"/>
        <v>17</v>
      </c>
    </row>
    <row r="328" spans="1:39" ht="16.5" customHeight="1">
      <c r="A328" s="1231"/>
      <c r="J328" s="1231" t="s">
        <v>1456</v>
      </c>
      <c r="K328" s="867" t="s">
        <v>11703</v>
      </c>
      <c r="L328" s="867"/>
      <c r="M328" s="1232">
        <f t="shared" si="72"/>
        <v>1531</v>
      </c>
      <c r="N328" s="1232">
        <v>49</v>
      </c>
      <c r="O328" s="1232">
        <v>6</v>
      </c>
      <c r="P328" s="1232">
        <f t="shared" si="73"/>
        <v>1476</v>
      </c>
      <c r="Q328" s="1232">
        <v>96</v>
      </c>
      <c r="R328" s="1232">
        <f t="shared" si="74"/>
        <v>1380</v>
      </c>
      <c r="S328" s="1232">
        <f t="shared" si="75"/>
        <v>1366</v>
      </c>
      <c r="T328" s="1232">
        <v>902</v>
      </c>
      <c r="U328" s="1232">
        <v>464</v>
      </c>
      <c r="V328" s="1232">
        <v>14</v>
      </c>
      <c r="W328" s="1232"/>
      <c r="X328" s="1232" t="s">
        <v>9483</v>
      </c>
      <c r="Y328" s="1232" t="s">
        <v>9195</v>
      </c>
      <c r="Z328" s="1232" t="s">
        <v>9296</v>
      </c>
      <c r="AA328" s="1236" t="s">
        <v>1456</v>
      </c>
      <c r="AB328" s="867" t="s">
        <v>11703</v>
      </c>
      <c r="AC328" s="1237"/>
      <c r="AD328" s="942">
        <f t="shared" si="76"/>
        <v>1531</v>
      </c>
      <c r="AE328" s="942">
        <f t="shared" si="77"/>
        <v>49</v>
      </c>
      <c r="AF328" s="942">
        <f t="shared" si="77"/>
        <v>6</v>
      </c>
      <c r="AG328" s="942">
        <f t="shared" si="78"/>
        <v>1476</v>
      </c>
      <c r="AH328" s="942">
        <f t="shared" si="79"/>
        <v>96</v>
      </c>
      <c r="AI328" s="942">
        <f t="shared" si="80"/>
        <v>1380</v>
      </c>
      <c r="AJ328" s="942">
        <f t="shared" si="81"/>
        <v>1366</v>
      </c>
      <c r="AK328" s="942">
        <f t="shared" si="82"/>
        <v>902</v>
      </c>
      <c r="AL328" s="942">
        <f t="shared" si="82"/>
        <v>464</v>
      </c>
      <c r="AM328" s="942">
        <f t="shared" si="82"/>
        <v>14</v>
      </c>
    </row>
    <row r="329" spans="1:39" ht="16.5" customHeight="1">
      <c r="A329" s="1231"/>
      <c r="J329" s="1231" t="s">
        <v>1458</v>
      </c>
      <c r="K329" s="940" t="s">
        <v>11704</v>
      </c>
      <c r="L329" s="940"/>
      <c r="M329" s="1241">
        <f t="shared" ref="M329:M392" si="109">N329+O329+P329</f>
        <v>807</v>
      </c>
      <c r="N329" s="1241">
        <f>C327-SUM(N327:N328)</f>
        <v>157</v>
      </c>
      <c r="O329" s="1241">
        <f>D327-SUM(O327:O328)</f>
        <v>5</v>
      </c>
      <c r="P329" s="1241">
        <f t="shared" ref="P329:P392" si="110">Q329+R329</f>
        <v>645</v>
      </c>
      <c r="Q329" s="1241">
        <f>E327-SUM(Q327:Q328)</f>
        <v>118</v>
      </c>
      <c r="R329" s="1241">
        <f t="shared" ref="R329:R392" si="111">S329+V329</f>
        <v>527</v>
      </c>
      <c r="S329" s="1241">
        <f t="shared" ref="S329:S392" si="112">T329+U329</f>
        <v>518</v>
      </c>
      <c r="T329" s="1241">
        <f>F327-SUM(T327:T328)</f>
        <v>355</v>
      </c>
      <c r="U329" s="1241">
        <f t="shared" ref="U329:V329" si="113">G327-SUM(U327:U328)</f>
        <v>163</v>
      </c>
      <c r="V329" s="1241">
        <f t="shared" si="113"/>
        <v>9</v>
      </c>
      <c r="W329" s="1232"/>
      <c r="X329" s="1232" t="s">
        <v>9483</v>
      </c>
      <c r="Y329" s="1232" t="s">
        <v>9195</v>
      </c>
      <c r="Z329" s="1232" t="s">
        <v>9296</v>
      </c>
      <c r="AA329" s="1236" t="s">
        <v>1458</v>
      </c>
      <c r="AB329" s="940" t="s">
        <v>11704</v>
      </c>
      <c r="AC329" s="1243"/>
      <c r="AD329" s="943">
        <f t="shared" ref="AD329:AD392" si="114">AE329+AF329+AG329</f>
        <v>807</v>
      </c>
      <c r="AE329" s="943">
        <f t="shared" ref="AE329:AF392" si="115">N329</f>
        <v>157</v>
      </c>
      <c r="AF329" s="943">
        <f t="shared" si="115"/>
        <v>5</v>
      </c>
      <c r="AG329" s="943">
        <f t="shared" ref="AG329:AG392" si="116">AH329+AI329</f>
        <v>645</v>
      </c>
      <c r="AH329" s="943">
        <f t="shared" ref="AH329:AH392" si="117">Q329</f>
        <v>118</v>
      </c>
      <c r="AI329" s="943">
        <f t="shared" ref="AI329:AI392" si="118">AJ329+AM329</f>
        <v>527</v>
      </c>
      <c r="AJ329" s="943">
        <f t="shared" ref="AJ329:AJ392" si="119">AK329+AL329</f>
        <v>518</v>
      </c>
      <c r="AK329" s="943">
        <f t="shared" ref="AK329:AM392" si="120">T329</f>
        <v>355</v>
      </c>
      <c r="AL329" s="943">
        <f t="shared" si="120"/>
        <v>163</v>
      </c>
      <c r="AM329" s="943">
        <f t="shared" si="120"/>
        <v>9</v>
      </c>
    </row>
    <row r="330" spans="1:39" ht="16.5" customHeight="1">
      <c r="A330" s="1239" t="s">
        <v>9196</v>
      </c>
      <c r="B330" s="1234" t="s">
        <v>9115</v>
      </c>
      <c r="C330" s="1240">
        <v>0</v>
      </c>
      <c r="D330" s="1240">
        <v>0</v>
      </c>
      <c r="E330" s="1240">
        <v>0</v>
      </c>
      <c r="F330" s="1240">
        <v>56997</v>
      </c>
      <c r="G330" s="1240">
        <v>11765</v>
      </c>
      <c r="H330" s="1240">
        <v>333</v>
      </c>
      <c r="J330" s="1239" t="s">
        <v>1460</v>
      </c>
      <c r="K330" s="867" t="s">
        <v>722</v>
      </c>
      <c r="L330" s="867"/>
      <c r="M330" s="1232" t="e">
        <f t="shared" si="109"/>
        <v>#DIV/0!</v>
      </c>
      <c r="N330" s="1232" t="e">
        <v>#DIV/0!</v>
      </c>
      <c r="O330" s="1232" t="e">
        <v>#DIV/0!</v>
      </c>
      <c r="P330" s="1232">
        <f t="shared" si="110"/>
        <v>15176</v>
      </c>
      <c r="Q330" s="1232">
        <v>0</v>
      </c>
      <c r="R330" s="1232">
        <f t="shared" si="111"/>
        <v>15176</v>
      </c>
      <c r="S330" s="1232">
        <f t="shared" si="112"/>
        <v>15155</v>
      </c>
      <c r="T330" s="1232">
        <v>13151</v>
      </c>
      <c r="U330" s="1232">
        <v>2004</v>
      </c>
      <c r="V330" s="1232">
        <v>21</v>
      </c>
      <c r="W330" s="1232"/>
      <c r="X330" s="1232" t="s">
        <v>721</v>
      </c>
      <c r="Y330" s="1232" t="s">
        <v>9196</v>
      </c>
      <c r="Z330" s="1232" t="s">
        <v>9298</v>
      </c>
      <c r="AA330" s="1233" t="s">
        <v>1460</v>
      </c>
      <c r="AB330" s="867" t="s">
        <v>722</v>
      </c>
      <c r="AC330" s="1237"/>
      <c r="AD330" s="942">
        <f t="shared" si="114"/>
        <v>15176</v>
      </c>
      <c r="AE330" s="1219">
        <v>0</v>
      </c>
      <c r="AF330" s="1219">
        <v>0</v>
      </c>
      <c r="AG330" s="942">
        <f t="shared" si="116"/>
        <v>15176</v>
      </c>
      <c r="AH330" s="942">
        <f t="shared" si="117"/>
        <v>0</v>
      </c>
      <c r="AI330" s="942">
        <f t="shared" si="118"/>
        <v>15176</v>
      </c>
      <c r="AJ330" s="942">
        <f t="shared" si="119"/>
        <v>15155</v>
      </c>
      <c r="AK330" s="942">
        <f t="shared" si="120"/>
        <v>13151</v>
      </c>
      <c r="AL330" s="942">
        <f t="shared" si="120"/>
        <v>2004</v>
      </c>
      <c r="AM330" s="942">
        <f t="shared" si="120"/>
        <v>21</v>
      </c>
    </row>
    <row r="331" spans="1:39" ht="16.5" customHeight="1">
      <c r="A331" s="1238"/>
      <c r="B331" s="940"/>
      <c r="C331" s="940"/>
      <c r="D331" s="940"/>
      <c r="E331" s="940"/>
      <c r="F331" s="940"/>
      <c r="G331" s="940"/>
      <c r="H331" s="940"/>
      <c r="J331" s="1238" t="s">
        <v>1462</v>
      </c>
      <c r="K331" s="940" t="s">
        <v>725</v>
      </c>
      <c r="L331" s="940"/>
      <c r="M331" s="1241" t="e">
        <f t="shared" si="109"/>
        <v>#DIV/0!</v>
      </c>
      <c r="N331" s="1241" t="e">
        <f>C330-SUM(N330:N330)</f>
        <v>#DIV/0!</v>
      </c>
      <c r="O331" s="1241" t="e">
        <f>D330-SUM(O330:O330)</f>
        <v>#DIV/0!</v>
      </c>
      <c r="P331" s="1241">
        <f t="shared" si="110"/>
        <v>53919</v>
      </c>
      <c r="Q331" s="1241">
        <f>E330-SUM(Q330:Q330)</f>
        <v>0</v>
      </c>
      <c r="R331" s="1241">
        <f t="shared" si="111"/>
        <v>53919</v>
      </c>
      <c r="S331" s="1241">
        <f t="shared" si="112"/>
        <v>53607</v>
      </c>
      <c r="T331" s="1241">
        <f>F330-SUM(T330:T330)</f>
        <v>43846</v>
      </c>
      <c r="U331" s="1241">
        <f>G330-SUM(U330:U330)</f>
        <v>9761</v>
      </c>
      <c r="V331" s="1241">
        <f>H330-SUM(V330:V330)</f>
        <v>312</v>
      </c>
      <c r="W331" s="1232"/>
      <c r="X331" s="1232" t="s">
        <v>724</v>
      </c>
      <c r="Y331" s="1232" t="s">
        <v>9196</v>
      </c>
      <c r="Z331" s="1232" t="s">
        <v>9298</v>
      </c>
      <c r="AA331" s="1242" t="s">
        <v>1462</v>
      </c>
      <c r="AB331" s="940" t="s">
        <v>725</v>
      </c>
      <c r="AC331" s="1243"/>
      <c r="AD331" s="943">
        <f t="shared" si="114"/>
        <v>53919</v>
      </c>
      <c r="AE331" s="1218">
        <v>0</v>
      </c>
      <c r="AF331" s="1218">
        <v>0</v>
      </c>
      <c r="AG331" s="943">
        <f t="shared" si="116"/>
        <v>53919</v>
      </c>
      <c r="AH331" s="943">
        <f t="shared" si="117"/>
        <v>0</v>
      </c>
      <c r="AI331" s="943">
        <f t="shared" si="118"/>
        <v>53919</v>
      </c>
      <c r="AJ331" s="943">
        <f t="shared" si="119"/>
        <v>53607</v>
      </c>
      <c r="AK331" s="943">
        <f t="shared" si="120"/>
        <v>43846</v>
      </c>
      <c r="AL331" s="943">
        <f t="shared" si="120"/>
        <v>9761</v>
      </c>
      <c r="AM331" s="943">
        <f t="shared" si="120"/>
        <v>312</v>
      </c>
    </row>
    <row r="332" spans="1:39" ht="16.5" customHeight="1">
      <c r="A332" s="1231" t="s">
        <v>9197</v>
      </c>
      <c r="B332" s="867" t="s">
        <v>9116</v>
      </c>
      <c r="C332" s="1240">
        <v>190</v>
      </c>
      <c r="D332" s="1240">
        <v>38</v>
      </c>
      <c r="E332" s="1240">
        <v>932</v>
      </c>
      <c r="F332" s="1240">
        <v>75042</v>
      </c>
      <c r="G332" s="1240">
        <v>35714</v>
      </c>
      <c r="H332" s="1240">
        <v>3237</v>
      </c>
      <c r="J332" s="1231" t="s">
        <v>1464</v>
      </c>
      <c r="K332" s="867" t="s">
        <v>727</v>
      </c>
      <c r="L332" s="867"/>
      <c r="M332" s="1232">
        <f t="shared" si="109"/>
        <v>66546</v>
      </c>
      <c r="N332" s="1232">
        <v>0</v>
      </c>
      <c r="O332" s="1232">
        <v>0</v>
      </c>
      <c r="P332" s="1232">
        <f t="shared" si="110"/>
        <v>66546</v>
      </c>
      <c r="Q332" s="1232">
        <v>59</v>
      </c>
      <c r="R332" s="1232">
        <f t="shared" si="111"/>
        <v>66487</v>
      </c>
      <c r="S332" s="1232">
        <f t="shared" si="112"/>
        <v>65301</v>
      </c>
      <c r="T332" s="1232">
        <v>45051</v>
      </c>
      <c r="U332" s="1232">
        <v>20250</v>
      </c>
      <c r="V332" s="1232">
        <v>1186</v>
      </c>
      <c r="W332" s="1232"/>
      <c r="X332" s="1232" t="s">
        <v>730</v>
      </c>
      <c r="Y332" s="1232" t="s">
        <v>9197</v>
      </c>
      <c r="Z332" s="1232" t="s">
        <v>9300</v>
      </c>
      <c r="AA332" s="1236" t="s">
        <v>1464</v>
      </c>
      <c r="AB332" s="867" t="s">
        <v>727</v>
      </c>
      <c r="AC332" s="1237"/>
      <c r="AD332" s="942">
        <f t="shared" si="114"/>
        <v>66546</v>
      </c>
      <c r="AE332" s="942">
        <f t="shared" si="115"/>
        <v>0</v>
      </c>
      <c r="AF332" s="942">
        <f t="shared" si="115"/>
        <v>0</v>
      </c>
      <c r="AG332" s="942">
        <f t="shared" si="116"/>
        <v>66546</v>
      </c>
      <c r="AH332" s="942">
        <f t="shared" si="117"/>
        <v>59</v>
      </c>
      <c r="AI332" s="942">
        <f t="shared" si="118"/>
        <v>66487</v>
      </c>
      <c r="AJ332" s="942">
        <f t="shared" si="119"/>
        <v>65301</v>
      </c>
      <c r="AK332" s="942">
        <f t="shared" si="120"/>
        <v>45051</v>
      </c>
      <c r="AL332" s="942">
        <f t="shared" si="120"/>
        <v>20250</v>
      </c>
      <c r="AM332" s="942">
        <f t="shared" si="120"/>
        <v>1186</v>
      </c>
    </row>
    <row r="333" spans="1:39" ht="16.5" customHeight="1">
      <c r="A333" s="1231"/>
      <c r="J333" s="1231" t="s">
        <v>1466</v>
      </c>
      <c r="K333" s="867" t="s">
        <v>729</v>
      </c>
      <c r="L333" s="867"/>
      <c r="M333" s="1232">
        <f t="shared" si="109"/>
        <v>35804</v>
      </c>
      <c r="N333" s="1232">
        <v>32</v>
      </c>
      <c r="O333" s="1232">
        <v>12</v>
      </c>
      <c r="P333" s="1232">
        <f t="shared" si="110"/>
        <v>35760</v>
      </c>
      <c r="Q333" s="1232">
        <v>509</v>
      </c>
      <c r="R333" s="1232">
        <f t="shared" si="111"/>
        <v>35251</v>
      </c>
      <c r="S333" s="1232">
        <f t="shared" si="112"/>
        <v>33709</v>
      </c>
      <c r="T333" s="1232">
        <v>23202</v>
      </c>
      <c r="U333" s="1232">
        <v>10507</v>
      </c>
      <c r="V333" s="1232">
        <v>1542</v>
      </c>
      <c r="W333" s="1232"/>
      <c r="X333" s="1232" t="s">
        <v>730</v>
      </c>
      <c r="Y333" s="1232" t="s">
        <v>9197</v>
      </c>
      <c r="Z333" s="1232" t="s">
        <v>9300</v>
      </c>
      <c r="AA333" s="1236" t="s">
        <v>1466</v>
      </c>
      <c r="AB333" s="867" t="s">
        <v>729</v>
      </c>
      <c r="AC333" s="1237"/>
      <c r="AD333" s="942">
        <f t="shared" si="114"/>
        <v>35804</v>
      </c>
      <c r="AE333" s="942">
        <f t="shared" si="115"/>
        <v>32</v>
      </c>
      <c r="AF333" s="942">
        <f>O333</f>
        <v>12</v>
      </c>
      <c r="AG333" s="942">
        <f t="shared" si="116"/>
        <v>35760</v>
      </c>
      <c r="AH333" s="942">
        <f t="shared" si="117"/>
        <v>509</v>
      </c>
      <c r="AI333" s="942">
        <f t="shared" si="118"/>
        <v>35251</v>
      </c>
      <c r="AJ333" s="942">
        <f t="shared" si="119"/>
        <v>33709</v>
      </c>
      <c r="AK333" s="942">
        <f t="shared" si="120"/>
        <v>23202</v>
      </c>
      <c r="AL333" s="942">
        <f t="shared" si="120"/>
        <v>10507</v>
      </c>
      <c r="AM333" s="942">
        <f t="shared" si="120"/>
        <v>1542</v>
      </c>
    </row>
    <row r="334" spans="1:39" ht="16.5" customHeight="1">
      <c r="A334" s="1231"/>
      <c r="J334" s="1231" t="s">
        <v>1468</v>
      </c>
      <c r="K334" s="867" t="s">
        <v>731</v>
      </c>
      <c r="L334" s="867"/>
      <c r="M334" s="1232">
        <f t="shared" si="109"/>
        <v>2192</v>
      </c>
      <c r="N334" s="1232">
        <v>0</v>
      </c>
      <c r="O334" s="1232">
        <v>0</v>
      </c>
      <c r="P334" s="1232">
        <f t="shared" si="110"/>
        <v>2192</v>
      </c>
      <c r="Q334" s="1232">
        <v>0</v>
      </c>
      <c r="R334" s="1232">
        <f t="shared" si="111"/>
        <v>2192</v>
      </c>
      <c r="S334" s="1232">
        <f t="shared" si="112"/>
        <v>2153</v>
      </c>
      <c r="T334" s="1232">
        <v>1240</v>
      </c>
      <c r="U334" s="1232">
        <v>913</v>
      </c>
      <c r="V334" s="1232">
        <v>39</v>
      </c>
      <c r="W334" s="1232"/>
      <c r="X334" s="1232" t="s">
        <v>730</v>
      </c>
      <c r="Y334" s="1232" t="s">
        <v>9197</v>
      </c>
      <c r="Z334" s="1232" t="s">
        <v>9300</v>
      </c>
      <c r="AA334" s="1236" t="s">
        <v>1468</v>
      </c>
      <c r="AB334" s="867" t="s">
        <v>731</v>
      </c>
      <c r="AC334" s="1237"/>
      <c r="AD334" s="942">
        <f t="shared" si="114"/>
        <v>2192</v>
      </c>
      <c r="AE334" s="942">
        <f t="shared" si="115"/>
        <v>0</v>
      </c>
      <c r="AF334" s="942">
        <f t="shared" si="115"/>
        <v>0</v>
      </c>
      <c r="AG334" s="942">
        <f t="shared" si="116"/>
        <v>2192</v>
      </c>
      <c r="AH334" s="942">
        <f t="shared" si="117"/>
        <v>0</v>
      </c>
      <c r="AI334" s="942">
        <f t="shared" si="118"/>
        <v>2192</v>
      </c>
      <c r="AJ334" s="942">
        <f t="shared" si="119"/>
        <v>2153</v>
      </c>
      <c r="AK334" s="942">
        <f t="shared" si="120"/>
        <v>1240</v>
      </c>
      <c r="AL334" s="942">
        <f t="shared" si="120"/>
        <v>913</v>
      </c>
      <c r="AM334" s="942">
        <f t="shared" si="120"/>
        <v>39</v>
      </c>
    </row>
    <row r="335" spans="1:39" ht="16.5" customHeight="1">
      <c r="A335" s="1231"/>
      <c r="J335" s="1231" t="s">
        <v>1470</v>
      </c>
      <c r="K335" s="867" t="s">
        <v>732</v>
      </c>
      <c r="L335" s="867"/>
      <c r="M335" s="1232">
        <f t="shared" si="109"/>
        <v>21</v>
      </c>
      <c r="N335" s="1232">
        <v>0</v>
      </c>
      <c r="O335" s="1232">
        <v>0</v>
      </c>
      <c r="P335" s="1232">
        <f t="shared" si="110"/>
        <v>21</v>
      </c>
      <c r="Q335" s="1232">
        <v>0</v>
      </c>
      <c r="R335" s="1232">
        <f t="shared" si="111"/>
        <v>21</v>
      </c>
      <c r="S335" s="1232">
        <f t="shared" si="112"/>
        <v>21</v>
      </c>
      <c r="T335" s="1232">
        <v>12</v>
      </c>
      <c r="U335" s="1232">
        <v>9</v>
      </c>
      <c r="V335" s="1232">
        <v>0</v>
      </c>
      <c r="W335" s="1232"/>
      <c r="X335" s="1232" t="s">
        <v>730</v>
      </c>
      <c r="Y335" s="1232" t="s">
        <v>9197</v>
      </c>
      <c r="Z335" s="1232" t="s">
        <v>9300</v>
      </c>
      <c r="AA335" s="1236" t="s">
        <v>1470</v>
      </c>
      <c r="AB335" s="867" t="s">
        <v>732</v>
      </c>
      <c r="AC335" s="1237"/>
      <c r="AD335" s="942">
        <f t="shared" si="114"/>
        <v>21</v>
      </c>
      <c r="AE335" s="942">
        <f t="shared" si="115"/>
        <v>0</v>
      </c>
      <c r="AF335" s="942">
        <f t="shared" si="115"/>
        <v>0</v>
      </c>
      <c r="AG335" s="942">
        <f t="shared" si="116"/>
        <v>21</v>
      </c>
      <c r="AH335" s="942">
        <f t="shared" si="117"/>
        <v>0</v>
      </c>
      <c r="AI335" s="942">
        <f t="shared" si="118"/>
        <v>21</v>
      </c>
      <c r="AJ335" s="942">
        <f t="shared" si="119"/>
        <v>21</v>
      </c>
      <c r="AK335" s="942">
        <f t="shared" si="120"/>
        <v>12</v>
      </c>
      <c r="AL335" s="942">
        <f t="shared" si="120"/>
        <v>9</v>
      </c>
      <c r="AM335" s="942">
        <f t="shared" si="120"/>
        <v>0</v>
      </c>
    </row>
    <row r="336" spans="1:39" ht="16.5" customHeight="1">
      <c r="A336" s="1231"/>
      <c r="J336" s="1231" t="s">
        <v>1472</v>
      </c>
      <c r="K336" s="867" t="s">
        <v>734</v>
      </c>
      <c r="L336" s="867"/>
      <c r="M336" s="1232">
        <f t="shared" si="109"/>
        <v>3081</v>
      </c>
      <c r="N336" s="1232">
        <v>0</v>
      </c>
      <c r="O336" s="1232">
        <v>0</v>
      </c>
      <c r="P336" s="1232">
        <f t="shared" si="110"/>
        <v>3081</v>
      </c>
      <c r="Q336" s="1232">
        <v>1</v>
      </c>
      <c r="R336" s="1232">
        <f t="shared" si="111"/>
        <v>3080</v>
      </c>
      <c r="S336" s="1232">
        <f t="shared" si="112"/>
        <v>2989</v>
      </c>
      <c r="T336" s="1232">
        <v>1181</v>
      </c>
      <c r="U336" s="1232">
        <v>1808</v>
      </c>
      <c r="V336" s="1232">
        <v>91</v>
      </c>
      <c r="W336" s="1232"/>
      <c r="X336" s="1232" t="s">
        <v>733</v>
      </c>
      <c r="Y336" s="1232" t="s">
        <v>9197</v>
      </c>
      <c r="Z336" s="1232" t="s">
        <v>9300</v>
      </c>
      <c r="AA336" s="1236" t="s">
        <v>1472</v>
      </c>
      <c r="AB336" s="867" t="s">
        <v>734</v>
      </c>
      <c r="AC336" s="1237"/>
      <c r="AD336" s="942">
        <f t="shared" si="114"/>
        <v>3081</v>
      </c>
      <c r="AE336" s="942">
        <f t="shared" si="115"/>
        <v>0</v>
      </c>
      <c r="AF336" s="942">
        <f t="shared" si="115"/>
        <v>0</v>
      </c>
      <c r="AG336" s="942">
        <f t="shared" si="116"/>
        <v>3081</v>
      </c>
      <c r="AH336" s="942">
        <f t="shared" si="117"/>
        <v>1</v>
      </c>
      <c r="AI336" s="942">
        <f t="shared" si="118"/>
        <v>3080</v>
      </c>
      <c r="AJ336" s="942">
        <f t="shared" si="119"/>
        <v>2989</v>
      </c>
      <c r="AK336" s="942">
        <f t="shared" si="120"/>
        <v>1181</v>
      </c>
      <c r="AL336" s="942">
        <f t="shared" si="120"/>
        <v>1808</v>
      </c>
      <c r="AM336" s="942">
        <f t="shared" si="120"/>
        <v>91</v>
      </c>
    </row>
    <row r="337" spans="1:39" ht="16.5" customHeight="1">
      <c r="A337" s="1231"/>
      <c r="J337" s="1231" t="s">
        <v>1474</v>
      </c>
      <c r="K337" s="867" t="s">
        <v>735</v>
      </c>
      <c r="L337" s="867"/>
      <c r="M337" s="1232">
        <f t="shared" si="109"/>
        <v>1186</v>
      </c>
      <c r="N337" s="1232">
        <v>24</v>
      </c>
      <c r="O337" s="1232">
        <v>5</v>
      </c>
      <c r="P337" s="1232">
        <f t="shared" si="110"/>
        <v>1157</v>
      </c>
      <c r="Q337" s="1232">
        <v>38</v>
      </c>
      <c r="R337" s="1232">
        <f t="shared" si="111"/>
        <v>1119</v>
      </c>
      <c r="S337" s="1232">
        <f t="shared" si="112"/>
        <v>1050</v>
      </c>
      <c r="T337" s="1232">
        <v>415</v>
      </c>
      <c r="U337" s="1232">
        <v>635</v>
      </c>
      <c r="V337" s="1232">
        <v>69</v>
      </c>
      <c r="W337" s="1232"/>
      <c r="X337" s="1232" t="s">
        <v>733</v>
      </c>
      <c r="Y337" s="1232" t="s">
        <v>9197</v>
      </c>
      <c r="Z337" s="1232" t="s">
        <v>9300</v>
      </c>
      <c r="AA337" s="1236" t="s">
        <v>1474</v>
      </c>
      <c r="AB337" s="867" t="s">
        <v>735</v>
      </c>
      <c r="AC337" s="1237"/>
      <c r="AD337" s="942">
        <f t="shared" si="114"/>
        <v>1186</v>
      </c>
      <c r="AE337" s="942">
        <f t="shared" si="115"/>
        <v>24</v>
      </c>
      <c r="AF337" s="942">
        <f t="shared" si="115"/>
        <v>5</v>
      </c>
      <c r="AG337" s="942">
        <f t="shared" si="116"/>
        <v>1157</v>
      </c>
      <c r="AH337" s="942">
        <f t="shared" si="117"/>
        <v>38</v>
      </c>
      <c r="AI337" s="942">
        <f t="shared" si="118"/>
        <v>1119</v>
      </c>
      <c r="AJ337" s="942">
        <f t="shared" si="119"/>
        <v>1050</v>
      </c>
      <c r="AK337" s="942">
        <f t="shared" si="120"/>
        <v>415</v>
      </c>
      <c r="AL337" s="942">
        <f t="shared" si="120"/>
        <v>635</v>
      </c>
      <c r="AM337" s="942">
        <f t="shared" si="120"/>
        <v>69</v>
      </c>
    </row>
    <row r="338" spans="1:39" ht="16.5" customHeight="1">
      <c r="A338" s="1231"/>
      <c r="J338" s="1231" t="s">
        <v>1476</v>
      </c>
      <c r="K338" s="867" t="s">
        <v>7435</v>
      </c>
      <c r="L338" s="867"/>
      <c r="M338" s="1232">
        <f t="shared" si="109"/>
        <v>1129</v>
      </c>
      <c r="N338" s="1232">
        <v>0</v>
      </c>
      <c r="O338" s="1232">
        <v>0</v>
      </c>
      <c r="P338" s="1232">
        <f t="shared" si="110"/>
        <v>1129</v>
      </c>
      <c r="Q338" s="1232">
        <v>0</v>
      </c>
      <c r="R338" s="1232">
        <f t="shared" si="111"/>
        <v>1129</v>
      </c>
      <c r="S338" s="1232">
        <f t="shared" si="112"/>
        <v>1115</v>
      </c>
      <c r="T338" s="1232">
        <v>1113</v>
      </c>
      <c r="U338" s="1232">
        <v>2</v>
      </c>
      <c r="V338" s="1232">
        <v>14</v>
      </c>
      <c r="W338" s="1232"/>
      <c r="X338" s="1232" t="s">
        <v>733</v>
      </c>
      <c r="Y338" s="1232" t="s">
        <v>9197</v>
      </c>
      <c r="Z338" s="1232" t="s">
        <v>9300</v>
      </c>
      <c r="AA338" s="1236" t="s">
        <v>1476</v>
      </c>
      <c r="AB338" s="867" t="s">
        <v>7435</v>
      </c>
      <c r="AC338" s="1237"/>
      <c r="AD338" s="942">
        <f t="shared" si="114"/>
        <v>1129</v>
      </c>
      <c r="AE338" s="942">
        <f t="shared" si="115"/>
        <v>0</v>
      </c>
      <c r="AF338" s="942">
        <f t="shared" si="115"/>
        <v>0</v>
      </c>
      <c r="AG338" s="942">
        <f t="shared" si="116"/>
        <v>1129</v>
      </c>
      <c r="AH338" s="942">
        <f t="shared" si="117"/>
        <v>0</v>
      </c>
      <c r="AI338" s="942">
        <f t="shared" si="118"/>
        <v>1129</v>
      </c>
      <c r="AJ338" s="942">
        <f t="shared" si="119"/>
        <v>1115</v>
      </c>
      <c r="AK338" s="942">
        <f t="shared" si="120"/>
        <v>1113</v>
      </c>
      <c r="AL338" s="942">
        <f t="shared" si="120"/>
        <v>2</v>
      </c>
      <c r="AM338" s="942">
        <f t="shared" si="120"/>
        <v>14</v>
      </c>
    </row>
    <row r="339" spans="1:39" ht="16.5" customHeight="1">
      <c r="A339" s="1238"/>
      <c r="B339" s="940"/>
      <c r="C339" s="940"/>
      <c r="D339" s="940"/>
      <c r="E339" s="940"/>
      <c r="F339" s="940"/>
      <c r="G339" s="940"/>
      <c r="H339" s="940"/>
      <c r="J339" s="1238" t="s">
        <v>1478</v>
      </c>
      <c r="K339" s="940" t="s">
        <v>11705</v>
      </c>
      <c r="L339" s="940"/>
      <c r="M339" s="1241">
        <f t="shared" si="109"/>
        <v>5194</v>
      </c>
      <c r="N339" s="1241">
        <f>C332-SUM(N332:N338)</f>
        <v>134</v>
      </c>
      <c r="O339" s="1241">
        <f>D332-SUM(O332:O338)</f>
        <v>21</v>
      </c>
      <c r="P339" s="1241">
        <f t="shared" si="110"/>
        <v>5039</v>
      </c>
      <c r="Q339" s="1241">
        <f>E332-SUM(Q332:Q338)</f>
        <v>325</v>
      </c>
      <c r="R339" s="1241">
        <f t="shared" si="111"/>
        <v>4714</v>
      </c>
      <c r="S339" s="1241">
        <f t="shared" si="112"/>
        <v>4418</v>
      </c>
      <c r="T339" s="1241">
        <f>F332-SUM(T332:T338)</f>
        <v>2828</v>
      </c>
      <c r="U339" s="1241">
        <f>G332-SUM(U332:U338)</f>
        <v>1590</v>
      </c>
      <c r="V339" s="1241">
        <f>H332-SUM(V332:V338)</f>
        <v>296</v>
      </c>
      <c r="W339" s="1232"/>
      <c r="X339" s="1232" t="s">
        <v>733</v>
      </c>
      <c r="Y339" s="1232" t="s">
        <v>9197</v>
      </c>
      <c r="Z339" s="1232" t="s">
        <v>9300</v>
      </c>
      <c r="AA339" s="1242" t="s">
        <v>1478</v>
      </c>
      <c r="AB339" s="940" t="s">
        <v>11705</v>
      </c>
      <c r="AC339" s="1243"/>
      <c r="AD339" s="943">
        <f t="shared" si="114"/>
        <v>5194</v>
      </c>
      <c r="AE339" s="943">
        <f t="shared" si="115"/>
        <v>134</v>
      </c>
      <c r="AF339" s="943">
        <f>O339</f>
        <v>21</v>
      </c>
      <c r="AG339" s="943">
        <f t="shared" si="116"/>
        <v>5039</v>
      </c>
      <c r="AH339" s="943">
        <f t="shared" si="117"/>
        <v>325</v>
      </c>
      <c r="AI339" s="943">
        <f t="shared" si="118"/>
        <v>4714</v>
      </c>
      <c r="AJ339" s="943">
        <f t="shared" si="119"/>
        <v>4418</v>
      </c>
      <c r="AK339" s="943">
        <f t="shared" si="120"/>
        <v>2828</v>
      </c>
      <c r="AL339" s="943">
        <f t="shared" si="120"/>
        <v>1590</v>
      </c>
      <c r="AM339" s="943">
        <f t="shared" si="120"/>
        <v>296</v>
      </c>
    </row>
    <row r="340" spans="1:39" ht="16.5" customHeight="1">
      <c r="A340" s="1231" t="s">
        <v>9198</v>
      </c>
      <c r="B340" s="867" t="s">
        <v>9117</v>
      </c>
      <c r="C340" s="1240">
        <v>4</v>
      </c>
      <c r="D340" s="1240">
        <v>0</v>
      </c>
      <c r="E340" s="1240">
        <v>406</v>
      </c>
      <c r="F340" s="1240">
        <v>31474</v>
      </c>
      <c r="G340" s="1240">
        <v>8982</v>
      </c>
      <c r="H340" s="1240">
        <v>115</v>
      </c>
      <c r="J340" s="1231" t="s">
        <v>1480</v>
      </c>
      <c r="K340" s="867" t="s">
        <v>739</v>
      </c>
      <c r="L340" s="867"/>
      <c r="M340" s="1232" t="e">
        <f t="shared" si="109"/>
        <v>#DIV/0!</v>
      </c>
      <c r="N340" s="1232">
        <v>0</v>
      </c>
      <c r="O340" s="1232" t="e">
        <v>#DIV/0!</v>
      </c>
      <c r="P340" s="1232">
        <f t="shared" si="110"/>
        <v>4335</v>
      </c>
      <c r="Q340" s="1232">
        <v>5</v>
      </c>
      <c r="R340" s="1232">
        <f t="shared" si="111"/>
        <v>4330</v>
      </c>
      <c r="S340" s="1232">
        <f t="shared" si="112"/>
        <v>4323</v>
      </c>
      <c r="T340" s="1232">
        <v>3511</v>
      </c>
      <c r="U340" s="1232">
        <v>812</v>
      </c>
      <c r="V340" s="1232">
        <v>7</v>
      </c>
      <c r="W340" s="1232"/>
      <c r="X340" s="1232" t="s">
        <v>738</v>
      </c>
      <c r="Y340" s="1232" t="s">
        <v>9198</v>
      </c>
      <c r="Z340" s="1232" t="s">
        <v>9300</v>
      </c>
      <c r="AA340" s="1236" t="s">
        <v>1480</v>
      </c>
      <c r="AB340" s="867" t="s">
        <v>739</v>
      </c>
      <c r="AC340" s="1237"/>
      <c r="AD340" s="942">
        <f t="shared" si="114"/>
        <v>4335</v>
      </c>
      <c r="AE340" s="942">
        <f t="shared" si="115"/>
        <v>0</v>
      </c>
      <c r="AF340" s="1219">
        <v>0</v>
      </c>
      <c r="AG340" s="942">
        <f t="shared" si="116"/>
        <v>4335</v>
      </c>
      <c r="AH340" s="942">
        <f t="shared" si="117"/>
        <v>5</v>
      </c>
      <c r="AI340" s="942">
        <f t="shared" si="118"/>
        <v>4330</v>
      </c>
      <c r="AJ340" s="942">
        <f t="shared" si="119"/>
        <v>4323</v>
      </c>
      <c r="AK340" s="942">
        <f t="shared" si="120"/>
        <v>3511</v>
      </c>
      <c r="AL340" s="942">
        <f t="shared" si="120"/>
        <v>812</v>
      </c>
      <c r="AM340" s="942">
        <f t="shared" si="120"/>
        <v>7</v>
      </c>
    </row>
    <row r="341" spans="1:39" ht="16.5" customHeight="1">
      <c r="A341" s="1231"/>
      <c r="J341" s="1231" t="s">
        <v>1482</v>
      </c>
      <c r="K341" s="867" t="s">
        <v>11416</v>
      </c>
      <c r="L341" s="867"/>
      <c r="M341" s="1232" t="e">
        <f t="shared" si="109"/>
        <v>#DIV/0!</v>
      </c>
      <c r="N341" s="1232">
        <v>0</v>
      </c>
      <c r="O341" s="1232" t="e">
        <v>#DIV/0!</v>
      </c>
      <c r="P341" s="1232">
        <f t="shared" si="110"/>
        <v>917</v>
      </c>
      <c r="Q341" s="1232">
        <v>1</v>
      </c>
      <c r="R341" s="1232">
        <f t="shared" si="111"/>
        <v>916</v>
      </c>
      <c r="S341" s="1232">
        <f t="shared" si="112"/>
        <v>904</v>
      </c>
      <c r="T341" s="1232">
        <v>676</v>
      </c>
      <c r="U341" s="1232">
        <v>228</v>
      </c>
      <c r="V341" s="1232">
        <v>12</v>
      </c>
      <c r="W341" s="1232"/>
      <c r="X341" s="1232" t="s">
        <v>738</v>
      </c>
      <c r="Y341" s="1232" t="s">
        <v>9198</v>
      </c>
      <c r="Z341" s="1232" t="s">
        <v>9300</v>
      </c>
      <c r="AA341" s="1236" t="s">
        <v>1482</v>
      </c>
      <c r="AB341" s="867" t="s">
        <v>11416</v>
      </c>
      <c r="AC341" s="1237"/>
      <c r="AD341" s="942">
        <f t="shared" si="114"/>
        <v>917</v>
      </c>
      <c r="AE341" s="942">
        <f t="shared" si="115"/>
        <v>0</v>
      </c>
      <c r="AF341" s="1217">
        <v>0</v>
      </c>
      <c r="AG341" s="942">
        <f t="shared" si="116"/>
        <v>917</v>
      </c>
      <c r="AH341" s="942">
        <f t="shared" si="117"/>
        <v>1</v>
      </c>
      <c r="AI341" s="942">
        <f t="shared" si="118"/>
        <v>916</v>
      </c>
      <c r="AJ341" s="942">
        <f t="shared" si="119"/>
        <v>904</v>
      </c>
      <c r="AK341" s="942">
        <f t="shared" si="120"/>
        <v>676</v>
      </c>
      <c r="AL341" s="942">
        <f t="shared" si="120"/>
        <v>228</v>
      </c>
      <c r="AM341" s="942">
        <f t="shared" si="120"/>
        <v>12</v>
      </c>
    </row>
    <row r="342" spans="1:39" ht="16.5" customHeight="1">
      <c r="A342" s="1231"/>
      <c r="J342" s="1231" t="s">
        <v>1484</v>
      </c>
      <c r="K342" s="867" t="s">
        <v>741</v>
      </c>
      <c r="L342" s="867"/>
      <c r="M342" s="1232" t="e">
        <f t="shared" si="109"/>
        <v>#DIV/0!</v>
      </c>
      <c r="N342" s="1232">
        <v>0</v>
      </c>
      <c r="O342" s="1232" t="e">
        <v>#DIV/0!</v>
      </c>
      <c r="P342" s="1232">
        <f t="shared" si="110"/>
        <v>2859</v>
      </c>
      <c r="Q342" s="1232">
        <v>17</v>
      </c>
      <c r="R342" s="1232">
        <f t="shared" si="111"/>
        <v>2842</v>
      </c>
      <c r="S342" s="1232">
        <f t="shared" si="112"/>
        <v>2831</v>
      </c>
      <c r="T342" s="1232">
        <v>2152</v>
      </c>
      <c r="U342" s="1232">
        <v>679</v>
      </c>
      <c r="V342" s="1232">
        <v>11</v>
      </c>
      <c r="W342" s="1232"/>
      <c r="X342" s="1232" t="s">
        <v>738</v>
      </c>
      <c r="Y342" s="1232" t="s">
        <v>9198</v>
      </c>
      <c r="Z342" s="1232" t="s">
        <v>9300</v>
      </c>
      <c r="AA342" s="1236" t="s">
        <v>1484</v>
      </c>
      <c r="AB342" s="867" t="s">
        <v>741</v>
      </c>
      <c r="AC342" s="1237"/>
      <c r="AD342" s="942">
        <f t="shared" si="114"/>
        <v>2859</v>
      </c>
      <c r="AE342" s="942">
        <f t="shared" si="115"/>
        <v>0</v>
      </c>
      <c r="AF342" s="1217">
        <v>0</v>
      </c>
      <c r="AG342" s="942">
        <f t="shared" si="116"/>
        <v>2859</v>
      </c>
      <c r="AH342" s="942">
        <f t="shared" si="117"/>
        <v>17</v>
      </c>
      <c r="AI342" s="942">
        <f t="shared" si="118"/>
        <v>2842</v>
      </c>
      <c r="AJ342" s="942">
        <f t="shared" si="119"/>
        <v>2831</v>
      </c>
      <c r="AK342" s="942">
        <f t="shared" si="120"/>
        <v>2152</v>
      </c>
      <c r="AL342" s="942">
        <f t="shared" si="120"/>
        <v>679</v>
      </c>
      <c r="AM342" s="942">
        <f t="shared" si="120"/>
        <v>11</v>
      </c>
    </row>
    <row r="343" spans="1:39" ht="16.5" customHeight="1">
      <c r="A343" s="1231"/>
      <c r="J343" s="1231" t="s">
        <v>1486</v>
      </c>
      <c r="K343" s="867" t="s">
        <v>11426</v>
      </c>
      <c r="L343" s="867"/>
      <c r="M343" s="1232" t="e">
        <f t="shared" si="109"/>
        <v>#DIV/0!</v>
      </c>
      <c r="N343" s="1232">
        <v>0</v>
      </c>
      <c r="O343" s="1232" t="e">
        <v>#DIV/0!</v>
      </c>
      <c r="P343" s="1232">
        <f t="shared" si="110"/>
        <v>1205</v>
      </c>
      <c r="Q343" s="1232">
        <v>2</v>
      </c>
      <c r="R343" s="1232">
        <f t="shared" si="111"/>
        <v>1203</v>
      </c>
      <c r="S343" s="1232">
        <f t="shared" si="112"/>
        <v>1189</v>
      </c>
      <c r="T343" s="1232">
        <v>899</v>
      </c>
      <c r="U343" s="1232">
        <v>290</v>
      </c>
      <c r="V343" s="1232">
        <v>14</v>
      </c>
      <c r="W343" s="1232"/>
      <c r="X343" s="1232" t="s">
        <v>738</v>
      </c>
      <c r="Y343" s="1232" t="s">
        <v>9198</v>
      </c>
      <c r="Z343" s="1232" t="s">
        <v>9300</v>
      </c>
      <c r="AA343" s="1236" t="s">
        <v>1486</v>
      </c>
      <c r="AB343" s="867" t="s">
        <v>11426</v>
      </c>
      <c r="AC343" s="1237"/>
      <c r="AD343" s="942">
        <f t="shared" si="114"/>
        <v>1205</v>
      </c>
      <c r="AE343" s="942">
        <f t="shared" si="115"/>
        <v>0</v>
      </c>
      <c r="AF343" s="1217">
        <v>0</v>
      </c>
      <c r="AG343" s="942">
        <f t="shared" si="116"/>
        <v>1205</v>
      </c>
      <c r="AH343" s="942">
        <f t="shared" si="117"/>
        <v>2</v>
      </c>
      <c r="AI343" s="942">
        <f t="shared" si="118"/>
        <v>1203</v>
      </c>
      <c r="AJ343" s="942">
        <f t="shared" si="119"/>
        <v>1189</v>
      </c>
      <c r="AK343" s="942">
        <f t="shared" si="120"/>
        <v>899</v>
      </c>
      <c r="AL343" s="942">
        <f t="shared" si="120"/>
        <v>290</v>
      </c>
      <c r="AM343" s="942">
        <f t="shared" si="120"/>
        <v>14</v>
      </c>
    </row>
    <row r="344" spans="1:39" ht="16.5" customHeight="1">
      <c r="A344" s="1231"/>
      <c r="J344" s="1231" t="s">
        <v>1488</v>
      </c>
      <c r="K344" s="867" t="s">
        <v>11430</v>
      </c>
      <c r="L344" s="867"/>
      <c r="M344" s="1232" t="e">
        <f t="shared" si="109"/>
        <v>#DIV/0!</v>
      </c>
      <c r="N344" s="1232">
        <v>4</v>
      </c>
      <c r="O344" s="1232" t="e">
        <v>#DIV/0!</v>
      </c>
      <c r="P344" s="1232">
        <f t="shared" si="110"/>
        <v>3676</v>
      </c>
      <c r="Q344" s="1232">
        <v>43</v>
      </c>
      <c r="R344" s="1232">
        <f t="shared" si="111"/>
        <v>3633</v>
      </c>
      <c r="S344" s="1232">
        <f t="shared" si="112"/>
        <v>3614</v>
      </c>
      <c r="T344" s="1232">
        <v>3213</v>
      </c>
      <c r="U344" s="1232">
        <v>401</v>
      </c>
      <c r="V344" s="1232">
        <v>19</v>
      </c>
      <c r="W344" s="1232"/>
      <c r="X344" s="1232" t="s">
        <v>738</v>
      </c>
      <c r="Y344" s="1232" t="s">
        <v>9198</v>
      </c>
      <c r="Z344" s="1232" t="s">
        <v>9300</v>
      </c>
      <c r="AA344" s="1236" t="s">
        <v>1488</v>
      </c>
      <c r="AB344" s="867" t="s">
        <v>11430</v>
      </c>
      <c r="AC344" s="1237"/>
      <c r="AD344" s="942">
        <f t="shared" si="114"/>
        <v>3680</v>
      </c>
      <c r="AE344" s="942">
        <f t="shared" si="115"/>
        <v>4</v>
      </c>
      <c r="AF344" s="1217">
        <v>0</v>
      </c>
      <c r="AG344" s="942">
        <f t="shared" si="116"/>
        <v>3676</v>
      </c>
      <c r="AH344" s="942">
        <f t="shared" si="117"/>
        <v>43</v>
      </c>
      <c r="AI344" s="942">
        <f t="shared" si="118"/>
        <v>3633</v>
      </c>
      <c r="AJ344" s="942">
        <f t="shared" si="119"/>
        <v>3614</v>
      </c>
      <c r="AK344" s="942">
        <f t="shared" si="120"/>
        <v>3213</v>
      </c>
      <c r="AL344" s="942">
        <f t="shared" si="120"/>
        <v>401</v>
      </c>
      <c r="AM344" s="942">
        <f t="shared" si="120"/>
        <v>19</v>
      </c>
    </row>
    <row r="345" spans="1:39" ht="16.5" customHeight="1">
      <c r="A345" s="1231"/>
      <c r="J345" s="1231" t="s">
        <v>1490</v>
      </c>
      <c r="K345" s="867" t="s">
        <v>11434</v>
      </c>
      <c r="L345" s="867"/>
      <c r="M345" s="1232" t="e">
        <f t="shared" si="109"/>
        <v>#DIV/0!</v>
      </c>
      <c r="N345" s="1232">
        <v>0</v>
      </c>
      <c r="O345" s="1232" t="e">
        <v>#DIV/0!</v>
      </c>
      <c r="P345" s="1232">
        <f t="shared" si="110"/>
        <v>12</v>
      </c>
      <c r="Q345" s="1232">
        <v>0</v>
      </c>
      <c r="R345" s="1232">
        <f t="shared" si="111"/>
        <v>12</v>
      </c>
      <c r="S345" s="1232">
        <f t="shared" si="112"/>
        <v>12</v>
      </c>
      <c r="T345" s="1232">
        <v>10</v>
      </c>
      <c r="U345" s="1232">
        <v>2</v>
      </c>
      <c r="V345" s="1232">
        <v>0</v>
      </c>
      <c r="W345" s="1232"/>
      <c r="X345" s="1232" t="s">
        <v>738</v>
      </c>
      <c r="Y345" s="1232" t="s">
        <v>9198</v>
      </c>
      <c r="Z345" s="1232" t="s">
        <v>9300</v>
      </c>
      <c r="AA345" s="1236" t="s">
        <v>1490</v>
      </c>
      <c r="AB345" s="867" t="s">
        <v>11434</v>
      </c>
      <c r="AC345" s="1237"/>
      <c r="AD345" s="942">
        <f t="shared" si="114"/>
        <v>12</v>
      </c>
      <c r="AE345" s="942">
        <f t="shared" si="115"/>
        <v>0</v>
      </c>
      <c r="AF345" s="1217">
        <v>0</v>
      </c>
      <c r="AG345" s="942">
        <f t="shared" si="116"/>
        <v>12</v>
      </c>
      <c r="AH345" s="942">
        <f t="shared" si="117"/>
        <v>0</v>
      </c>
      <c r="AI345" s="942">
        <f t="shared" si="118"/>
        <v>12</v>
      </c>
      <c r="AJ345" s="942">
        <f t="shared" si="119"/>
        <v>12</v>
      </c>
      <c r="AK345" s="942">
        <f t="shared" si="120"/>
        <v>10</v>
      </c>
      <c r="AL345" s="942">
        <f t="shared" si="120"/>
        <v>2</v>
      </c>
      <c r="AM345" s="942">
        <f t="shared" si="120"/>
        <v>0</v>
      </c>
    </row>
    <row r="346" spans="1:39" ht="16.5" customHeight="1">
      <c r="A346" s="1238"/>
      <c r="B346" s="940"/>
      <c r="C346" s="940"/>
      <c r="D346" s="940"/>
      <c r="E346" s="940"/>
      <c r="F346" s="940"/>
      <c r="G346" s="940"/>
      <c r="H346" s="940"/>
      <c r="J346" s="1238" t="s">
        <v>1492</v>
      </c>
      <c r="K346" s="940" t="s">
        <v>746</v>
      </c>
      <c r="L346" s="940"/>
      <c r="M346" s="1241" t="e">
        <f t="shared" si="109"/>
        <v>#DIV/0!</v>
      </c>
      <c r="N346" s="1241">
        <f>C340-SUM(N340:N345)</f>
        <v>0</v>
      </c>
      <c r="O346" s="1241" t="e">
        <f>D340-SUM(O340:O345)</f>
        <v>#DIV/0!</v>
      </c>
      <c r="P346" s="1241">
        <f t="shared" si="110"/>
        <v>27973</v>
      </c>
      <c r="Q346" s="1241">
        <f>E340-SUM(Q340:Q345)</f>
        <v>338</v>
      </c>
      <c r="R346" s="1241">
        <f t="shared" si="111"/>
        <v>27635</v>
      </c>
      <c r="S346" s="1241">
        <f t="shared" si="112"/>
        <v>27583</v>
      </c>
      <c r="T346" s="1241">
        <f>F340-SUM(T340:T345)</f>
        <v>21013</v>
      </c>
      <c r="U346" s="1241">
        <f>G340-SUM(U340:U345)</f>
        <v>6570</v>
      </c>
      <c r="V346" s="1241">
        <f>H340-SUM(V340:V345)</f>
        <v>52</v>
      </c>
      <c r="W346" s="1232"/>
      <c r="X346" s="1232" t="s">
        <v>9484</v>
      </c>
      <c r="Y346" s="1232" t="s">
        <v>9198</v>
      </c>
      <c r="Z346" s="1232" t="s">
        <v>9300</v>
      </c>
      <c r="AA346" s="1242" t="s">
        <v>1492</v>
      </c>
      <c r="AB346" s="940" t="s">
        <v>746</v>
      </c>
      <c r="AC346" s="1243"/>
      <c r="AD346" s="943">
        <f t="shared" si="114"/>
        <v>27973</v>
      </c>
      <c r="AE346" s="943">
        <f t="shared" si="115"/>
        <v>0</v>
      </c>
      <c r="AF346" s="1218">
        <v>0</v>
      </c>
      <c r="AG346" s="943">
        <f t="shared" si="116"/>
        <v>27973</v>
      </c>
      <c r="AH346" s="943">
        <f t="shared" si="117"/>
        <v>338</v>
      </c>
      <c r="AI346" s="943">
        <f t="shared" si="118"/>
        <v>27635</v>
      </c>
      <c r="AJ346" s="943">
        <f t="shared" si="119"/>
        <v>27583</v>
      </c>
      <c r="AK346" s="943">
        <f t="shared" si="120"/>
        <v>21013</v>
      </c>
      <c r="AL346" s="943">
        <f t="shared" si="120"/>
        <v>6570</v>
      </c>
      <c r="AM346" s="943">
        <f t="shared" si="120"/>
        <v>52</v>
      </c>
    </row>
    <row r="347" spans="1:39" ht="16.5" customHeight="1">
      <c r="A347" s="1231" t="s">
        <v>9199</v>
      </c>
      <c r="B347" s="867" t="s">
        <v>11706</v>
      </c>
      <c r="C347" s="1240">
        <v>8497</v>
      </c>
      <c r="D347" s="1240">
        <v>3187</v>
      </c>
      <c r="E347" s="1240">
        <v>8495</v>
      </c>
      <c r="F347" s="1240">
        <v>124371</v>
      </c>
      <c r="G347" s="1240">
        <v>58975</v>
      </c>
      <c r="H347" s="1240">
        <v>4186</v>
      </c>
      <c r="J347" s="1231" t="s">
        <v>1494</v>
      </c>
      <c r="K347" s="867" t="s">
        <v>11440</v>
      </c>
      <c r="L347" s="867"/>
      <c r="M347" s="1232">
        <f t="shared" si="109"/>
        <v>100590</v>
      </c>
      <c r="N347" s="1232">
        <v>99</v>
      </c>
      <c r="O347" s="1232">
        <v>29</v>
      </c>
      <c r="P347" s="1232">
        <f t="shared" si="110"/>
        <v>100462</v>
      </c>
      <c r="Q347" s="1232">
        <v>640</v>
      </c>
      <c r="R347" s="1232">
        <f t="shared" si="111"/>
        <v>99822</v>
      </c>
      <c r="S347" s="1232">
        <f t="shared" si="112"/>
        <v>98036</v>
      </c>
      <c r="T347" s="1232">
        <v>69079</v>
      </c>
      <c r="U347" s="1232">
        <v>28957</v>
      </c>
      <c r="V347" s="1232">
        <v>1786</v>
      </c>
      <c r="W347" s="1232"/>
      <c r="X347" s="1232" t="s">
        <v>747</v>
      </c>
      <c r="Y347" s="1232" t="s">
        <v>9199</v>
      </c>
      <c r="Z347" s="1232" t="s">
        <v>9301</v>
      </c>
      <c r="AA347" s="1236" t="s">
        <v>1494</v>
      </c>
      <c r="AB347" s="867" t="s">
        <v>11440</v>
      </c>
      <c r="AC347" s="1237"/>
      <c r="AD347" s="942">
        <f t="shared" si="114"/>
        <v>100590</v>
      </c>
      <c r="AE347" s="942">
        <f t="shared" si="115"/>
        <v>99</v>
      </c>
      <c r="AF347" s="942">
        <f t="shared" si="115"/>
        <v>29</v>
      </c>
      <c r="AG347" s="942">
        <f t="shared" si="116"/>
        <v>100462</v>
      </c>
      <c r="AH347" s="942">
        <f t="shared" si="117"/>
        <v>640</v>
      </c>
      <c r="AI347" s="942">
        <f t="shared" si="118"/>
        <v>99822</v>
      </c>
      <c r="AJ347" s="942">
        <f t="shared" si="119"/>
        <v>98036</v>
      </c>
      <c r="AK347" s="942">
        <f t="shared" si="120"/>
        <v>69079</v>
      </c>
      <c r="AL347" s="942">
        <f t="shared" si="120"/>
        <v>28957</v>
      </c>
      <c r="AM347" s="942">
        <f t="shared" si="120"/>
        <v>1786</v>
      </c>
    </row>
    <row r="348" spans="1:39" ht="16.5" customHeight="1">
      <c r="A348" s="1231"/>
      <c r="J348" s="1231" t="s">
        <v>1496</v>
      </c>
      <c r="K348" s="867" t="s">
        <v>11443</v>
      </c>
      <c r="L348" s="867"/>
      <c r="M348" s="1232">
        <f t="shared" si="109"/>
        <v>51153</v>
      </c>
      <c r="N348" s="1232">
        <v>2608</v>
      </c>
      <c r="O348" s="1232">
        <v>1151</v>
      </c>
      <c r="P348" s="1232">
        <f t="shared" si="110"/>
        <v>47394</v>
      </c>
      <c r="Q348" s="1232">
        <v>4943</v>
      </c>
      <c r="R348" s="1232">
        <f t="shared" si="111"/>
        <v>42451</v>
      </c>
      <c r="S348" s="1232">
        <f t="shared" si="112"/>
        <v>41005</v>
      </c>
      <c r="T348" s="1232">
        <v>28045</v>
      </c>
      <c r="U348" s="1232">
        <v>12960</v>
      </c>
      <c r="V348" s="1232">
        <v>1446</v>
      </c>
      <c r="W348" s="1232"/>
      <c r="X348" s="1232" t="s">
        <v>747</v>
      </c>
      <c r="Y348" s="1232" t="s">
        <v>9199</v>
      </c>
      <c r="Z348" s="1232" t="s">
        <v>9301</v>
      </c>
      <c r="AA348" s="1236" t="s">
        <v>1496</v>
      </c>
      <c r="AB348" s="867" t="s">
        <v>11443</v>
      </c>
      <c r="AC348" s="1237"/>
      <c r="AD348" s="942">
        <f t="shared" si="114"/>
        <v>51153</v>
      </c>
      <c r="AE348" s="942">
        <f t="shared" si="115"/>
        <v>2608</v>
      </c>
      <c r="AF348" s="942">
        <f t="shared" si="115"/>
        <v>1151</v>
      </c>
      <c r="AG348" s="942">
        <f t="shared" si="116"/>
        <v>47394</v>
      </c>
      <c r="AH348" s="942">
        <f t="shared" si="117"/>
        <v>4943</v>
      </c>
      <c r="AI348" s="942">
        <f t="shared" si="118"/>
        <v>42451</v>
      </c>
      <c r="AJ348" s="942">
        <f t="shared" si="119"/>
        <v>41005</v>
      </c>
      <c r="AK348" s="942">
        <f t="shared" si="120"/>
        <v>28045</v>
      </c>
      <c r="AL348" s="942">
        <f t="shared" si="120"/>
        <v>12960</v>
      </c>
      <c r="AM348" s="942">
        <f t="shared" si="120"/>
        <v>1446</v>
      </c>
    </row>
    <row r="349" spans="1:39" ht="16.5" customHeight="1">
      <c r="A349" s="1231"/>
      <c r="J349" s="1231" t="s">
        <v>1498</v>
      </c>
      <c r="K349" s="867" t="s">
        <v>11707</v>
      </c>
      <c r="L349" s="867"/>
      <c r="M349" s="1232">
        <f t="shared" si="109"/>
        <v>28528</v>
      </c>
      <c r="N349" s="1232">
        <v>2870</v>
      </c>
      <c r="O349" s="1232">
        <v>1556</v>
      </c>
      <c r="P349" s="1232">
        <f t="shared" si="110"/>
        <v>24102</v>
      </c>
      <c r="Q349" s="1232">
        <v>1522</v>
      </c>
      <c r="R349" s="1232">
        <f t="shared" si="111"/>
        <v>22580</v>
      </c>
      <c r="S349" s="1232">
        <f t="shared" si="112"/>
        <v>21943</v>
      </c>
      <c r="T349" s="1232">
        <v>15158</v>
      </c>
      <c r="U349" s="1232">
        <v>6785</v>
      </c>
      <c r="V349" s="1232">
        <v>637</v>
      </c>
      <c r="W349" s="1232"/>
      <c r="X349" s="1232" t="s">
        <v>747</v>
      </c>
      <c r="Y349" s="1232" t="s">
        <v>9199</v>
      </c>
      <c r="Z349" s="1232" t="s">
        <v>9301</v>
      </c>
      <c r="AA349" s="1236" t="s">
        <v>1498</v>
      </c>
      <c r="AB349" s="867" t="s">
        <v>11707</v>
      </c>
      <c r="AC349" s="1237"/>
      <c r="AD349" s="942">
        <f t="shared" si="114"/>
        <v>28528</v>
      </c>
      <c r="AE349" s="942">
        <f t="shared" si="115"/>
        <v>2870</v>
      </c>
      <c r="AF349" s="942">
        <f t="shared" si="115"/>
        <v>1556</v>
      </c>
      <c r="AG349" s="942">
        <f t="shared" si="116"/>
        <v>24102</v>
      </c>
      <c r="AH349" s="942">
        <f t="shared" si="117"/>
        <v>1522</v>
      </c>
      <c r="AI349" s="942">
        <f t="shared" si="118"/>
        <v>22580</v>
      </c>
      <c r="AJ349" s="942">
        <f t="shared" si="119"/>
        <v>21943</v>
      </c>
      <c r="AK349" s="942">
        <f t="shared" si="120"/>
        <v>15158</v>
      </c>
      <c r="AL349" s="942">
        <f t="shared" si="120"/>
        <v>6785</v>
      </c>
      <c r="AM349" s="942">
        <f t="shared" si="120"/>
        <v>637</v>
      </c>
    </row>
    <row r="350" spans="1:39" ht="16.5" customHeight="1">
      <c r="A350" s="1231"/>
      <c r="J350" s="1231" t="s">
        <v>1500</v>
      </c>
      <c r="K350" s="867" t="s">
        <v>11708</v>
      </c>
      <c r="L350" s="867"/>
      <c r="M350" s="1232">
        <f t="shared" si="109"/>
        <v>14445</v>
      </c>
      <c r="N350" s="1232">
        <v>694</v>
      </c>
      <c r="O350" s="1232">
        <v>125</v>
      </c>
      <c r="P350" s="1232">
        <f t="shared" si="110"/>
        <v>13626</v>
      </c>
      <c r="Q350" s="1232">
        <v>746</v>
      </c>
      <c r="R350" s="1232">
        <f t="shared" si="111"/>
        <v>12880</v>
      </c>
      <c r="S350" s="1232">
        <f t="shared" si="112"/>
        <v>12766</v>
      </c>
      <c r="T350" s="1232">
        <v>5555</v>
      </c>
      <c r="U350" s="1232">
        <v>7211</v>
      </c>
      <c r="V350" s="1232">
        <v>114</v>
      </c>
      <c r="W350" s="1232"/>
      <c r="X350" s="1232" t="s">
        <v>747</v>
      </c>
      <c r="Y350" s="1232" t="s">
        <v>9199</v>
      </c>
      <c r="Z350" s="1232" t="s">
        <v>9301</v>
      </c>
      <c r="AA350" s="1236" t="s">
        <v>1500</v>
      </c>
      <c r="AB350" s="867" t="s">
        <v>11708</v>
      </c>
      <c r="AC350" s="1237"/>
      <c r="AD350" s="942">
        <f t="shared" si="114"/>
        <v>14445</v>
      </c>
      <c r="AE350" s="942">
        <f>N350</f>
        <v>694</v>
      </c>
      <c r="AF350" s="942">
        <f t="shared" si="115"/>
        <v>125</v>
      </c>
      <c r="AG350" s="942">
        <f t="shared" si="116"/>
        <v>13626</v>
      </c>
      <c r="AH350" s="942">
        <f t="shared" si="117"/>
        <v>746</v>
      </c>
      <c r="AI350" s="942">
        <f t="shared" si="118"/>
        <v>12880</v>
      </c>
      <c r="AJ350" s="942">
        <f t="shared" si="119"/>
        <v>12766</v>
      </c>
      <c r="AK350" s="942">
        <f t="shared" si="120"/>
        <v>5555</v>
      </c>
      <c r="AL350" s="942">
        <f t="shared" si="120"/>
        <v>7211</v>
      </c>
      <c r="AM350" s="942">
        <f t="shared" si="120"/>
        <v>114</v>
      </c>
    </row>
    <row r="351" spans="1:39" ht="16.5" customHeight="1">
      <c r="A351" s="1231"/>
      <c r="J351" s="1231" t="s">
        <v>1502</v>
      </c>
      <c r="K351" s="940" t="s">
        <v>11709</v>
      </c>
      <c r="L351" s="940"/>
      <c r="M351" s="1241">
        <f t="shared" si="109"/>
        <v>12995</v>
      </c>
      <c r="N351" s="1241">
        <f>C347-SUM(N347:N350)</f>
        <v>2226</v>
      </c>
      <c r="O351" s="1241">
        <f>D347-SUM(O347:O350)</f>
        <v>326</v>
      </c>
      <c r="P351" s="1241">
        <f t="shared" si="110"/>
        <v>10443</v>
      </c>
      <c r="Q351" s="1241">
        <f>E347-SUM(Q347:Q350)</f>
        <v>644</v>
      </c>
      <c r="R351" s="1241">
        <f t="shared" si="111"/>
        <v>9799</v>
      </c>
      <c r="S351" s="1241">
        <f t="shared" si="112"/>
        <v>9596</v>
      </c>
      <c r="T351" s="1241">
        <f>F347-SUM(T347:T350)</f>
        <v>6534</v>
      </c>
      <c r="U351" s="1241">
        <f>G347-SUM(U347:U350)</f>
        <v>3062</v>
      </c>
      <c r="V351" s="1241">
        <f>H347-SUM(V347:V350)</f>
        <v>203</v>
      </c>
      <c r="W351" s="1232"/>
      <c r="X351" s="1232" t="s">
        <v>747</v>
      </c>
      <c r="Y351" s="1232" t="s">
        <v>9199</v>
      </c>
      <c r="Z351" s="1232" t="s">
        <v>9301</v>
      </c>
      <c r="AA351" s="1236" t="s">
        <v>1502</v>
      </c>
      <c r="AB351" s="940" t="s">
        <v>11709</v>
      </c>
      <c r="AC351" s="1243"/>
      <c r="AD351" s="943">
        <f t="shared" si="114"/>
        <v>12995</v>
      </c>
      <c r="AE351" s="943">
        <f>N351</f>
        <v>2226</v>
      </c>
      <c r="AF351" s="943">
        <f t="shared" si="115"/>
        <v>326</v>
      </c>
      <c r="AG351" s="943">
        <f t="shared" si="116"/>
        <v>10443</v>
      </c>
      <c r="AH351" s="943">
        <f t="shared" si="117"/>
        <v>644</v>
      </c>
      <c r="AI351" s="943">
        <f t="shared" si="118"/>
        <v>9799</v>
      </c>
      <c r="AJ351" s="943">
        <f t="shared" si="119"/>
        <v>9596</v>
      </c>
      <c r="AK351" s="943">
        <f t="shared" si="120"/>
        <v>6534</v>
      </c>
      <c r="AL351" s="943">
        <f t="shared" si="120"/>
        <v>3062</v>
      </c>
      <c r="AM351" s="943">
        <f t="shared" si="120"/>
        <v>203</v>
      </c>
    </row>
    <row r="352" spans="1:39" ht="16.5" customHeight="1">
      <c r="A352" s="1239" t="s">
        <v>9200</v>
      </c>
      <c r="B352" s="1234" t="s">
        <v>11710</v>
      </c>
      <c r="C352" s="1240">
        <v>224</v>
      </c>
      <c r="D352" s="1240">
        <v>11</v>
      </c>
      <c r="E352" s="1240">
        <v>88</v>
      </c>
      <c r="F352" s="1240">
        <v>3146</v>
      </c>
      <c r="G352" s="1240">
        <v>1972</v>
      </c>
      <c r="H352" s="1240">
        <v>463</v>
      </c>
      <c r="J352" s="1239" t="s">
        <v>1504</v>
      </c>
      <c r="K352" s="867" t="s">
        <v>756</v>
      </c>
      <c r="L352" s="867"/>
      <c r="M352" s="1232">
        <f t="shared" si="109"/>
        <v>3773</v>
      </c>
      <c r="N352" s="1232">
        <v>0</v>
      </c>
      <c r="O352" s="1232">
        <v>0</v>
      </c>
      <c r="P352" s="1232">
        <f t="shared" si="110"/>
        <v>3773</v>
      </c>
      <c r="Q352" s="1232">
        <v>0</v>
      </c>
      <c r="R352" s="1232">
        <f t="shared" si="111"/>
        <v>3773</v>
      </c>
      <c r="S352" s="1232">
        <f t="shared" si="112"/>
        <v>3555</v>
      </c>
      <c r="T352" s="1232">
        <v>2187</v>
      </c>
      <c r="U352" s="1232">
        <v>1368</v>
      </c>
      <c r="V352" s="1232">
        <v>218</v>
      </c>
      <c r="W352" s="1232"/>
      <c r="X352" s="1232" t="s">
        <v>755</v>
      </c>
      <c r="Y352" s="1232" t="s">
        <v>9200</v>
      </c>
      <c r="Z352" s="1232" t="s">
        <v>9301</v>
      </c>
      <c r="AA352" s="1233" t="s">
        <v>1504</v>
      </c>
      <c r="AB352" s="867" t="s">
        <v>756</v>
      </c>
      <c r="AC352" s="1237"/>
      <c r="AD352" s="942">
        <f t="shared" si="114"/>
        <v>3773</v>
      </c>
      <c r="AE352" s="942">
        <f t="shared" si="115"/>
        <v>0</v>
      </c>
      <c r="AF352" s="942">
        <f t="shared" si="115"/>
        <v>0</v>
      </c>
      <c r="AG352" s="942">
        <f t="shared" si="116"/>
        <v>3773</v>
      </c>
      <c r="AH352" s="942">
        <f t="shared" si="117"/>
        <v>0</v>
      </c>
      <c r="AI352" s="942">
        <f t="shared" si="118"/>
        <v>3773</v>
      </c>
      <c r="AJ352" s="942">
        <f t="shared" si="119"/>
        <v>3555</v>
      </c>
      <c r="AK352" s="942">
        <f t="shared" si="120"/>
        <v>2187</v>
      </c>
      <c r="AL352" s="942">
        <f t="shared" si="120"/>
        <v>1368</v>
      </c>
      <c r="AM352" s="942">
        <f t="shared" si="120"/>
        <v>218</v>
      </c>
    </row>
    <row r="353" spans="1:39" ht="16.5" customHeight="1">
      <c r="A353" s="1238"/>
      <c r="B353" s="940"/>
      <c r="C353" s="940"/>
      <c r="D353" s="940"/>
      <c r="E353" s="940"/>
      <c r="F353" s="940"/>
      <c r="G353" s="940"/>
      <c r="H353" s="940"/>
      <c r="J353" s="1238" t="s">
        <v>1506</v>
      </c>
      <c r="K353" s="940" t="s">
        <v>1599</v>
      </c>
      <c r="L353" s="940"/>
      <c r="M353" s="1241">
        <f t="shared" si="109"/>
        <v>2131</v>
      </c>
      <c r="N353" s="1241">
        <f>C352-SUM(N352:N352)</f>
        <v>224</v>
      </c>
      <c r="O353" s="1241">
        <f>D352-SUM(O352:O352)</f>
        <v>11</v>
      </c>
      <c r="P353" s="1241">
        <f t="shared" si="110"/>
        <v>1896</v>
      </c>
      <c r="Q353" s="1241">
        <f>E352-SUM(Q352:Q352)</f>
        <v>88</v>
      </c>
      <c r="R353" s="1241">
        <f t="shared" si="111"/>
        <v>1808</v>
      </c>
      <c r="S353" s="1241">
        <f t="shared" si="112"/>
        <v>1563</v>
      </c>
      <c r="T353" s="1241">
        <f>F352-SUM(T352:T352)</f>
        <v>959</v>
      </c>
      <c r="U353" s="1241">
        <f>G352-SUM(U352:U352)</f>
        <v>604</v>
      </c>
      <c r="V353" s="1241">
        <f>H352-SUM(V352:V352)</f>
        <v>245</v>
      </c>
      <c r="W353" s="1232"/>
      <c r="X353" s="1232" t="s">
        <v>755</v>
      </c>
      <c r="Y353" s="1232" t="s">
        <v>9200</v>
      </c>
      <c r="Z353" s="1232" t="s">
        <v>9301</v>
      </c>
      <c r="AA353" s="1242" t="s">
        <v>1506</v>
      </c>
      <c r="AB353" s="940" t="s">
        <v>1599</v>
      </c>
      <c r="AC353" s="1243"/>
      <c r="AD353" s="943">
        <f t="shared" si="114"/>
        <v>2131</v>
      </c>
      <c r="AE353" s="943">
        <f t="shared" si="115"/>
        <v>224</v>
      </c>
      <c r="AF353" s="943">
        <f t="shared" si="115"/>
        <v>11</v>
      </c>
      <c r="AG353" s="943">
        <f t="shared" si="116"/>
        <v>1896</v>
      </c>
      <c r="AH353" s="943">
        <f t="shared" si="117"/>
        <v>88</v>
      </c>
      <c r="AI353" s="943">
        <f t="shared" si="118"/>
        <v>1808</v>
      </c>
      <c r="AJ353" s="943">
        <f t="shared" si="119"/>
        <v>1563</v>
      </c>
      <c r="AK353" s="943">
        <f t="shared" si="120"/>
        <v>959</v>
      </c>
      <c r="AL353" s="943">
        <f t="shared" si="120"/>
        <v>604</v>
      </c>
      <c r="AM353" s="943">
        <f t="shared" si="120"/>
        <v>245</v>
      </c>
    </row>
    <row r="354" spans="1:39" ht="16.5" customHeight="1">
      <c r="A354" s="1231" t="s">
        <v>9201</v>
      </c>
      <c r="B354" s="867" t="s">
        <v>11711</v>
      </c>
      <c r="C354" s="1240">
        <v>156</v>
      </c>
      <c r="D354" s="1240">
        <v>45</v>
      </c>
      <c r="E354" s="1240">
        <v>1902</v>
      </c>
      <c r="F354" s="1240">
        <v>39046</v>
      </c>
      <c r="G354" s="1240">
        <v>38179</v>
      </c>
      <c r="H354" s="1240">
        <v>2242</v>
      </c>
      <c r="J354" s="1231" t="s">
        <v>1508</v>
      </c>
      <c r="K354" s="867" t="s">
        <v>11712</v>
      </c>
      <c r="L354" s="867"/>
      <c r="M354" s="1232">
        <f t="shared" si="109"/>
        <v>4270</v>
      </c>
      <c r="N354" s="1232">
        <v>0</v>
      </c>
      <c r="O354" s="1232">
        <v>0</v>
      </c>
      <c r="P354" s="1232">
        <f t="shared" si="110"/>
        <v>4270</v>
      </c>
      <c r="Q354" s="1232">
        <v>105</v>
      </c>
      <c r="R354" s="1232">
        <f t="shared" si="111"/>
        <v>4165</v>
      </c>
      <c r="S354" s="1232">
        <f t="shared" si="112"/>
        <v>4140</v>
      </c>
      <c r="T354" s="1232">
        <v>2850</v>
      </c>
      <c r="U354" s="1232">
        <v>1290</v>
      </c>
      <c r="V354" s="1232">
        <v>25</v>
      </c>
      <c r="W354" s="1232"/>
      <c r="X354" s="1232" t="s">
        <v>758</v>
      </c>
      <c r="Y354" s="1232" t="s">
        <v>9201</v>
      </c>
      <c r="Z354" s="1232" t="s">
        <v>9301</v>
      </c>
      <c r="AA354" s="1236" t="s">
        <v>1508</v>
      </c>
      <c r="AB354" s="867" t="s">
        <v>11712</v>
      </c>
      <c r="AC354" s="1237"/>
      <c r="AD354" s="942">
        <f t="shared" si="114"/>
        <v>4270</v>
      </c>
      <c r="AE354" s="942">
        <f t="shared" si="115"/>
        <v>0</v>
      </c>
      <c r="AF354" s="942">
        <f t="shared" si="115"/>
        <v>0</v>
      </c>
      <c r="AG354" s="942">
        <f t="shared" si="116"/>
        <v>4270</v>
      </c>
      <c r="AH354" s="942">
        <f t="shared" si="117"/>
        <v>105</v>
      </c>
      <c r="AI354" s="942">
        <f t="shared" si="118"/>
        <v>4165</v>
      </c>
      <c r="AJ354" s="942">
        <f t="shared" si="119"/>
        <v>4140</v>
      </c>
      <c r="AK354" s="942">
        <f t="shared" si="120"/>
        <v>2850</v>
      </c>
      <c r="AL354" s="942">
        <f t="shared" si="120"/>
        <v>1290</v>
      </c>
      <c r="AM354" s="942">
        <f t="shared" si="120"/>
        <v>25</v>
      </c>
    </row>
    <row r="355" spans="1:39" ht="16.5" customHeight="1">
      <c r="A355" s="1231"/>
      <c r="J355" s="1231" t="s">
        <v>1510</v>
      </c>
      <c r="K355" s="867" t="s">
        <v>760</v>
      </c>
      <c r="L355" s="867"/>
      <c r="M355" s="1232">
        <f t="shared" si="109"/>
        <v>11351</v>
      </c>
      <c r="N355" s="1232">
        <v>0</v>
      </c>
      <c r="O355" s="1232">
        <v>0</v>
      </c>
      <c r="P355" s="1232">
        <f t="shared" si="110"/>
        <v>11351</v>
      </c>
      <c r="Q355" s="1232">
        <v>0</v>
      </c>
      <c r="R355" s="1232">
        <f t="shared" si="111"/>
        <v>11351</v>
      </c>
      <c r="S355" s="1232">
        <f t="shared" si="112"/>
        <v>11050</v>
      </c>
      <c r="T355" s="1232">
        <v>5682</v>
      </c>
      <c r="U355" s="1232">
        <v>5368</v>
      </c>
      <c r="V355" s="1232">
        <v>301</v>
      </c>
      <c r="W355" s="1232"/>
      <c r="X355" s="1232" t="s">
        <v>758</v>
      </c>
      <c r="Y355" s="1232" t="s">
        <v>9201</v>
      </c>
      <c r="Z355" s="1232" t="s">
        <v>9301</v>
      </c>
      <c r="AA355" s="1236" t="s">
        <v>1510</v>
      </c>
      <c r="AB355" s="867" t="s">
        <v>760</v>
      </c>
      <c r="AC355" s="1237"/>
      <c r="AD355" s="942">
        <f t="shared" si="114"/>
        <v>11351</v>
      </c>
      <c r="AE355" s="942">
        <f t="shared" si="115"/>
        <v>0</v>
      </c>
      <c r="AF355" s="942">
        <f t="shared" si="115"/>
        <v>0</v>
      </c>
      <c r="AG355" s="942">
        <f t="shared" si="116"/>
        <v>11351</v>
      </c>
      <c r="AH355" s="942">
        <f t="shared" si="117"/>
        <v>0</v>
      </c>
      <c r="AI355" s="942">
        <f t="shared" si="118"/>
        <v>11351</v>
      </c>
      <c r="AJ355" s="942">
        <f t="shared" si="119"/>
        <v>11050</v>
      </c>
      <c r="AK355" s="942">
        <f t="shared" si="120"/>
        <v>5682</v>
      </c>
      <c r="AL355" s="942">
        <f t="shared" si="120"/>
        <v>5368</v>
      </c>
      <c r="AM355" s="942">
        <f t="shared" si="120"/>
        <v>301</v>
      </c>
    </row>
    <row r="356" spans="1:39" ht="16.5" customHeight="1">
      <c r="A356" s="1231"/>
      <c r="J356" s="1231" t="s">
        <v>1512</v>
      </c>
      <c r="K356" s="867" t="s">
        <v>761</v>
      </c>
      <c r="L356" s="867"/>
      <c r="M356" s="1232">
        <f t="shared" si="109"/>
        <v>20336</v>
      </c>
      <c r="N356" s="1232">
        <v>0</v>
      </c>
      <c r="O356" s="1232">
        <v>0</v>
      </c>
      <c r="P356" s="1232">
        <f t="shared" si="110"/>
        <v>20336</v>
      </c>
      <c r="Q356" s="1232">
        <v>678</v>
      </c>
      <c r="R356" s="1232">
        <f t="shared" si="111"/>
        <v>19658</v>
      </c>
      <c r="S356" s="1232">
        <f t="shared" si="112"/>
        <v>19099</v>
      </c>
      <c r="T356" s="1232">
        <v>9736</v>
      </c>
      <c r="U356" s="1232">
        <v>9363</v>
      </c>
      <c r="V356" s="1232">
        <v>559</v>
      </c>
      <c r="W356" s="1232"/>
      <c r="X356" s="1232" t="s">
        <v>758</v>
      </c>
      <c r="Y356" s="1232" t="s">
        <v>9201</v>
      </c>
      <c r="Z356" s="1232" t="s">
        <v>9301</v>
      </c>
      <c r="AA356" s="1236" t="s">
        <v>1512</v>
      </c>
      <c r="AB356" s="867" t="s">
        <v>761</v>
      </c>
      <c r="AC356" s="1237"/>
      <c r="AD356" s="942">
        <f t="shared" si="114"/>
        <v>20336</v>
      </c>
      <c r="AE356" s="942">
        <f t="shared" si="115"/>
        <v>0</v>
      </c>
      <c r="AF356" s="942">
        <f t="shared" si="115"/>
        <v>0</v>
      </c>
      <c r="AG356" s="942">
        <f t="shared" si="116"/>
        <v>20336</v>
      </c>
      <c r="AH356" s="942">
        <f t="shared" si="117"/>
        <v>678</v>
      </c>
      <c r="AI356" s="942">
        <f t="shared" si="118"/>
        <v>19658</v>
      </c>
      <c r="AJ356" s="942">
        <f t="shared" si="119"/>
        <v>19099</v>
      </c>
      <c r="AK356" s="942">
        <f t="shared" si="120"/>
        <v>9736</v>
      </c>
      <c r="AL356" s="942">
        <f t="shared" si="120"/>
        <v>9363</v>
      </c>
      <c r="AM356" s="942">
        <f t="shared" si="120"/>
        <v>559</v>
      </c>
    </row>
    <row r="357" spans="1:39" ht="16.5" customHeight="1">
      <c r="A357" s="1231"/>
      <c r="J357" s="1231" t="s">
        <v>1514</v>
      </c>
      <c r="K357" s="867" t="s">
        <v>11713</v>
      </c>
      <c r="L357" s="867"/>
      <c r="M357" s="1232">
        <f t="shared" si="109"/>
        <v>20694</v>
      </c>
      <c r="N357" s="1232">
        <v>0</v>
      </c>
      <c r="O357" s="1232">
        <v>0</v>
      </c>
      <c r="P357" s="1232">
        <f t="shared" si="110"/>
        <v>20694</v>
      </c>
      <c r="Q357" s="1232">
        <v>691</v>
      </c>
      <c r="R357" s="1232">
        <f t="shared" si="111"/>
        <v>20003</v>
      </c>
      <c r="S357" s="1232">
        <f t="shared" si="112"/>
        <v>19434</v>
      </c>
      <c r="T357" s="1232">
        <v>9903</v>
      </c>
      <c r="U357" s="1232">
        <v>9531</v>
      </c>
      <c r="V357" s="1232">
        <v>569</v>
      </c>
      <c r="W357" s="1232"/>
      <c r="X357" s="1232" t="s">
        <v>758</v>
      </c>
      <c r="Y357" s="1232" t="s">
        <v>9201</v>
      </c>
      <c r="Z357" s="1232" t="s">
        <v>9301</v>
      </c>
      <c r="AA357" s="1236" t="s">
        <v>1514</v>
      </c>
      <c r="AB357" s="867" t="s">
        <v>11713</v>
      </c>
      <c r="AC357" s="1237"/>
      <c r="AD357" s="942">
        <f t="shared" si="114"/>
        <v>20694</v>
      </c>
      <c r="AE357" s="942">
        <f t="shared" si="115"/>
        <v>0</v>
      </c>
      <c r="AF357" s="942">
        <f t="shared" si="115"/>
        <v>0</v>
      </c>
      <c r="AG357" s="942">
        <f t="shared" si="116"/>
        <v>20694</v>
      </c>
      <c r="AH357" s="942">
        <f t="shared" si="117"/>
        <v>691</v>
      </c>
      <c r="AI357" s="942">
        <f t="shared" si="118"/>
        <v>20003</v>
      </c>
      <c r="AJ357" s="942">
        <f t="shared" si="119"/>
        <v>19434</v>
      </c>
      <c r="AK357" s="942">
        <f t="shared" si="120"/>
        <v>9903</v>
      </c>
      <c r="AL357" s="942">
        <f t="shared" si="120"/>
        <v>9531</v>
      </c>
      <c r="AM357" s="942">
        <f t="shared" si="120"/>
        <v>569</v>
      </c>
    </row>
    <row r="358" spans="1:39" ht="16.5" customHeight="1">
      <c r="A358" s="1231"/>
      <c r="J358" s="1231" t="s">
        <v>1516</v>
      </c>
      <c r="K358" s="940" t="s">
        <v>11714</v>
      </c>
      <c r="L358" s="940"/>
      <c r="M358" s="1241">
        <f t="shared" si="109"/>
        <v>24919</v>
      </c>
      <c r="N358" s="1241">
        <f>C354-SUM(N354:N357)</f>
        <v>156</v>
      </c>
      <c r="O358" s="1241">
        <f>D354-SUM(O354:O357)</f>
        <v>45</v>
      </c>
      <c r="P358" s="1241">
        <f t="shared" si="110"/>
        <v>24718</v>
      </c>
      <c r="Q358" s="1241">
        <f>E354-SUM(Q354:Q357)</f>
        <v>428</v>
      </c>
      <c r="R358" s="1241">
        <f t="shared" si="111"/>
        <v>24290</v>
      </c>
      <c r="S358" s="1241">
        <f t="shared" si="112"/>
        <v>23502</v>
      </c>
      <c r="T358" s="1241">
        <f>F354-SUM(T354:T357)</f>
        <v>10875</v>
      </c>
      <c r="U358" s="1241">
        <f>G354-SUM(U354:U357)</f>
        <v>12627</v>
      </c>
      <c r="V358" s="1241">
        <f>H354-SUM(V354:V357)</f>
        <v>788</v>
      </c>
      <c r="W358" s="1232"/>
      <c r="X358" s="1232" t="s">
        <v>758</v>
      </c>
      <c r="Y358" s="1232" t="s">
        <v>9201</v>
      </c>
      <c r="Z358" s="1232" t="s">
        <v>9301</v>
      </c>
      <c r="AA358" s="1236" t="s">
        <v>1516</v>
      </c>
      <c r="AB358" s="940" t="s">
        <v>11714</v>
      </c>
      <c r="AC358" s="1243"/>
      <c r="AD358" s="943">
        <f t="shared" si="114"/>
        <v>24919</v>
      </c>
      <c r="AE358" s="943">
        <f t="shared" si="115"/>
        <v>156</v>
      </c>
      <c r="AF358" s="943">
        <f t="shared" si="115"/>
        <v>45</v>
      </c>
      <c r="AG358" s="943">
        <f t="shared" si="116"/>
        <v>24718</v>
      </c>
      <c r="AH358" s="943">
        <f t="shared" si="117"/>
        <v>428</v>
      </c>
      <c r="AI358" s="943">
        <f t="shared" si="118"/>
        <v>24290</v>
      </c>
      <c r="AJ358" s="943">
        <f t="shared" si="119"/>
        <v>23502</v>
      </c>
      <c r="AK358" s="943">
        <f t="shared" si="120"/>
        <v>10875</v>
      </c>
      <c r="AL358" s="943">
        <f t="shared" si="120"/>
        <v>12627</v>
      </c>
      <c r="AM358" s="943">
        <f t="shared" si="120"/>
        <v>788</v>
      </c>
    </row>
    <row r="359" spans="1:39" ht="16.5" customHeight="1">
      <c r="A359" s="1239" t="s">
        <v>9202</v>
      </c>
      <c r="B359" s="1234" t="s">
        <v>11715</v>
      </c>
      <c r="C359" s="1240">
        <v>0</v>
      </c>
      <c r="D359" s="1240">
        <v>0</v>
      </c>
      <c r="E359" s="1240">
        <v>2273</v>
      </c>
      <c r="F359" s="1240">
        <v>41247</v>
      </c>
      <c r="G359" s="1240">
        <v>33833</v>
      </c>
      <c r="H359" s="1240">
        <v>1787</v>
      </c>
      <c r="J359" s="1239" t="s">
        <v>1518</v>
      </c>
      <c r="K359" s="867" t="s">
        <v>11716</v>
      </c>
      <c r="L359" s="867"/>
      <c r="M359" s="1232" t="e">
        <f t="shared" si="109"/>
        <v>#DIV/0!</v>
      </c>
      <c r="N359" s="1232" t="e">
        <v>#DIV/0!</v>
      </c>
      <c r="O359" s="1232" t="e">
        <v>#DIV/0!</v>
      </c>
      <c r="P359" s="1232">
        <f t="shared" si="110"/>
        <v>28474</v>
      </c>
      <c r="Q359" s="1232">
        <v>361</v>
      </c>
      <c r="R359" s="1232">
        <f t="shared" si="111"/>
        <v>28113</v>
      </c>
      <c r="S359" s="1232">
        <f t="shared" si="112"/>
        <v>27699</v>
      </c>
      <c r="T359" s="1232">
        <v>17808</v>
      </c>
      <c r="U359" s="1232">
        <v>9891</v>
      </c>
      <c r="V359" s="1232">
        <v>414</v>
      </c>
      <c r="W359" s="1232"/>
      <c r="X359" s="1232" t="s">
        <v>766</v>
      </c>
      <c r="Y359" s="1232" t="s">
        <v>9202</v>
      </c>
      <c r="Z359" s="1232" t="s">
        <v>9301</v>
      </c>
      <c r="AA359" s="1233" t="s">
        <v>1518</v>
      </c>
      <c r="AB359" s="867" t="s">
        <v>11716</v>
      </c>
      <c r="AC359" s="1237"/>
      <c r="AD359" s="942">
        <f t="shared" si="114"/>
        <v>28474</v>
      </c>
      <c r="AE359" s="1219">
        <v>0</v>
      </c>
      <c r="AF359" s="1219">
        <v>0</v>
      </c>
      <c r="AG359" s="942">
        <f t="shared" si="116"/>
        <v>28474</v>
      </c>
      <c r="AH359" s="942">
        <f t="shared" si="117"/>
        <v>361</v>
      </c>
      <c r="AI359" s="942">
        <f t="shared" si="118"/>
        <v>28113</v>
      </c>
      <c r="AJ359" s="942">
        <f t="shared" si="119"/>
        <v>27699</v>
      </c>
      <c r="AK359" s="942">
        <f t="shared" si="120"/>
        <v>17808</v>
      </c>
      <c r="AL359" s="942">
        <f t="shared" si="120"/>
        <v>9891</v>
      </c>
      <c r="AM359" s="942">
        <f t="shared" si="120"/>
        <v>414</v>
      </c>
    </row>
    <row r="360" spans="1:39" ht="16.5" customHeight="1">
      <c r="A360" s="1238"/>
      <c r="B360" s="940"/>
      <c r="C360" s="940"/>
      <c r="D360" s="940"/>
      <c r="E360" s="940"/>
      <c r="F360" s="940"/>
      <c r="G360" s="940"/>
      <c r="H360" s="940"/>
      <c r="J360" s="1238" t="s">
        <v>1520</v>
      </c>
      <c r="K360" s="940" t="s">
        <v>11717</v>
      </c>
      <c r="L360" s="940"/>
      <c r="M360" s="1241" t="e">
        <f t="shared" si="109"/>
        <v>#DIV/0!</v>
      </c>
      <c r="N360" s="1241" t="e">
        <f>C359-SUM(N359:N359)</f>
        <v>#DIV/0!</v>
      </c>
      <c r="O360" s="1241" t="e">
        <f>D359-SUM(O359:O359)</f>
        <v>#DIV/0!</v>
      </c>
      <c r="P360" s="1241">
        <f t="shared" si="110"/>
        <v>50666</v>
      </c>
      <c r="Q360" s="1241">
        <f>E359-SUM(Q359:Q359)</f>
        <v>1912</v>
      </c>
      <c r="R360" s="1241">
        <f t="shared" si="111"/>
        <v>48754</v>
      </c>
      <c r="S360" s="1241">
        <f t="shared" si="112"/>
        <v>47381</v>
      </c>
      <c r="T360" s="1241">
        <f>F359-SUM(T359:T359)</f>
        <v>23439</v>
      </c>
      <c r="U360" s="1241">
        <f>G359-SUM(U359:U359)</f>
        <v>23942</v>
      </c>
      <c r="V360" s="1241">
        <f>H359-SUM(V359:V359)</f>
        <v>1373</v>
      </c>
      <c r="W360" s="1232"/>
      <c r="X360" s="1232" t="s">
        <v>766</v>
      </c>
      <c r="Y360" s="1232" t="s">
        <v>9202</v>
      </c>
      <c r="Z360" s="1232" t="s">
        <v>9301</v>
      </c>
      <c r="AA360" s="1242" t="s">
        <v>1520</v>
      </c>
      <c r="AB360" s="940" t="s">
        <v>11717</v>
      </c>
      <c r="AC360" s="1243"/>
      <c r="AD360" s="943">
        <f t="shared" si="114"/>
        <v>50666</v>
      </c>
      <c r="AE360" s="1218">
        <v>0</v>
      </c>
      <c r="AF360" s="1218">
        <v>0</v>
      </c>
      <c r="AG360" s="943">
        <f t="shared" si="116"/>
        <v>50666</v>
      </c>
      <c r="AH360" s="943">
        <f t="shared" si="117"/>
        <v>1912</v>
      </c>
      <c r="AI360" s="943">
        <f t="shared" si="118"/>
        <v>48754</v>
      </c>
      <c r="AJ360" s="943">
        <f t="shared" si="119"/>
        <v>47381</v>
      </c>
      <c r="AK360" s="943">
        <f t="shared" si="120"/>
        <v>23439</v>
      </c>
      <c r="AL360" s="943">
        <f t="shared" si="120"/>
        <v>23942</v>
      </c>
      <c r="AM360" s="943">
        <f t="shared" si="120"/>
        <v>1373</v>
      </c>
    </row>
    <row r="361" spans="1:39" ht="16.5" customHeight="1">
      <c r="A361" s="1231" t="s">
        <v>9203</v>
      </c>
      <c r="B361" s="867" t="s">
        <v>11718</v>
      </c>
      <c r="C361" s="1240">
        <v>793</v>
      </c>
      <c r="D361" s="1240">
        <v>665</v>
      </c>
      <c r="E361" s="1240">
        <v>6574</v>
      </c>
      <c r="F361" s="1240">
        <v>9798</v>
      </c>
      <c r="G361" s="1240">
        <v>5419</v>
      </c>
      <c r="H361" s="1240">
        <v>589</v>
      </c>
      <c r="J361" s="1231" t="s">
        <v>1522</v>
      </c>
      <c r="K361" s="867" t="s">
        <v>11719</v>
      </c>
      <c r="L361" s="867"/>
      <c r="M361" s="1232">
        <f t="shared" si="109"/>
        <v>3337</v>
      </c>
      <c r="N361" s="1232">
        <v>0</v>
      </c>
      <c r="O361" s="1232">
        <v>0</v>
      </c>
      <c r="P361" s="1232">
        <f t="shared" si="110"/>
        <v>3337</v>
      </c>
      <c r="Q361" s="1232">
        <v>747</v>
      </c>
      <c r="R361" s="1232">
        <f t="shared" si="111"/>
        <v>2590</v>
      </c>
      <c r="S361" s="1232">
        <f t="shared" si="112"/>
        <v>2542</v>
      </c>
      <c r="T361" s="1232">
        <v>1900</v>
      </c>
      <c r="U361" s="1232">
        <v>642</v>
      </c>
      <c r="V361" s="1232">
        <v>48</v>
      </c>
      <c r="W361" s="1232"/>
      <c r="X361" s="1232" t="s">
        <v>9485</v>
      </c>
      <c r="Y361" s="1232" t="s">
        <v>9203</v>
      </c>
      <c r="Z361" s="1232" t="s">
        <v>9302</v>
      </c>
      <c r="AA361" s="1236" t="s">
        <v>1522</v>
      </c>
      <c r="AB361" s="867" t="s">
        <v>11719</v>
      </c>
      <c r="AC361" s="1237"/>
      <c r="AD361" s="942">
        <f t="shared" si="114"/>
        <v>3337</v>
      </c>
      <c r="AE361" s="942">
        <f t="shared" si="115"/>
        <v>0</v>
      </c>
      <c r="AF361" s="942">
        <f t="shared" si="115"/>
        <v>0</v>
      </c>
      <c r="AG361" s="942">
        <f t="shared" si="116"/>
        <v>3337</v>
      </c>
      <c r="AH361" s="942">
        <f t="shared" si="117"/>
        <v>747</v>
      </c>
      <c r="AI361" s="942">
        <f t="shared" si="118"/>
        <v>2590</v>
      </c>
      <c r="AJ361" s="942">
        <f t="shared" si="119"/>
        <v>2542</v>
      </c>
      <c r="AK361" s="942">
        <f t="shared" si="120"/>
        <v>1900</v>
      </c>
      <c r="AL361" s="942">
        <f t="shared" si="120"/>
        <v>642</v>
      </c>
      <c r="AM361" s="942">
        <f t="shared" si="120"/>
        <v>48</v>
      </c>
    </row>
    <row r="362" spans="1:39" ht="16.5" customHeight="1">
      <c r="A362" s="1231"/>
      <c r="J362" s="1231" t="s">
        <v>1524</v>
      </c>
      <c r="K362" s="940" t="s">
        <v>11720</v>
      </c>
      <c r="L362" s="940"/>
      <c r="M362" s="1241">
        <f t="shared" si="109"/>
        <v>20501</v>
      </c>
      <c r="N362" s="1241">
        <f>C361-SUM(N361:N361)</f>
        <v>793</v>
      </c>
      <c r="O362" s="1241">
        <f>D361-SUM(O361:O361)</f>
        <v>665</v>
      </c>
      <c r="P362" s="1241">
        <f t="shared" si="110"/>
        <v>19043</v>
      </c>
      <c r="Q362" s="1241">
        <f>E361-SUM(Q361:Q361)</f>
        <v>5827</v>
      </c>
      <c r="R362" s="1241">
        <f t="shared" si="111"/>
        <v>13216</v>
      </c>
      <c r="S362" s="1241">
        <f t="shared" si="112"/>
        <v>12675</v>
      </c>
      <c r="T362" s="1241">
        <f>F361-SUM(T361:T361)</f>
        <v>7898</v>
      </c>
      <c r="U362" s="1241">
        <f>G361-SUM(U361:U361)</f>
        <v>4777</v>
      </c>
      <c r="V362" s="1241">
        <f>H361-SUM(V361:V361)</f>
        <v>541</v>
      </c>
      <c r="W362" s="1232"/>
      <c r="X362" s="1232" t="s">
        <v>9485</v>
      </c>
      <c r="Y362" s="1232" t="s">
        <v>9203</v>
      </c>
      <c r="Z362" s="1232" t="s">
        <v>9302</v>
      </c>
      <c r="AA362" s="1236" t="s">
        <v>1524</v>
      </c>
      <c r="AB362" s="940" t="s">
        <v>11720</v>
      </c>
      <c r="AC362" s="1243"/>
      <c r="AD362" s="943">
        <f t="shared" si="114"/>
        <v>20501</v>
      </c>
      <c r="AE362" s="943">
        <f t="shared" si="115"/>
        <v>793</v>
      </c>
      <c r="AF362" s="943">
        <f t="shared" si="115"/>
        <v>665</v>
      </c>
      <c r="AG362" s="943">
        <f t="shared" si="116"/>
        <v>19043</v>
      </c>
      <c r="AH362" s="943">
        <f t="shared" si="117"/>
        <v>5827</v>
      </c>
      <c r="AI362" s="943">
        <f t="shared" si="118"/>
        <v>13216</v>
      </c>
      <c r="AJ362" s="943">
        <f t="shared" si="119"/>
        <v>12675</v>
      </c>
      <c r="AK362" s="943">
        <f t="shared" si="120"/>
        <v>7898</v>
      </c>
      <c r="AL362" s="943">
        <f t="shared" si="120"/>
        <v>4777</v>
      </c>
      <c r="AM362" s="943">
        <f t="shared" si="120"/>
        <v>541</v>
      </c>
    </row>
    <row r="363" spans="1:39" ht="16.5" customHeight="1">
      <c r="A363" s="1239" t="s">
        <v>9204</v>
      </c>
      <c r="B363" s="1234" t="s">
        <v>9122</v>
      </c>
      <c r="C363" s="1240">
        <v>166</v>
      </c>
      <c r="D363" s="1240">
        <v>53</v>
      </c>
      <c r="E363" s="1240">
        <v>811</v>
      </c>
      <c r="F363" s="1240">
        <v>5509</v>
      </c>
      <c r="G363" s="1240">
        <v>3247</v>
      </c>
      <c r="H363" s="1240">
        <v>185</v>
      </c>
      <c r="J363" s="1239" t="s">
        <v>1526</v>
      </c>
      <c r="K363" s="1234" t="s">
        <v>11721</v>
      </c>
      <c r="L363" s="1234"/>
      <c r="M363" s="1240">
        <f t="shared" si="109"/>
        <v>8692</v>
      </c>
      <c r="N363" s="1240">
        <v>153</v>
      </c>
      <c r="O363" s="1232">
        <v>49</v>
      </c>
      <c r="P363" s="1232">
        <f t="shared" si="110"/>
        <v>8490</v>
      </c>
      <c r="Q363" s="1232">
        <v>736</v>
      </c>
      <c r="R363" s="1232">
        <f t="shared" si="111"/>
        <v>7754</v>
      </c>
      <c r="S363" s="1232">
        <f t="shared" si="112"/>
        <v>7602</v>
      </c>
      <c r="T363" s="1232">
        <v>4783</v>
      </c>
      <c r="U363" s="1232">
        <v>2819</v>
      </c>
      <c r="V363" s="1232">
        <v>152</v>
      </c>
      <c r="W363" s="1232"/>
      <c r="X363" s="1232" t="s">
        <v>773</v>
      </c>
      <c r="Y363" s="1232" t="s">
        <v>9204</v>
      </c>
      <c r="Z363" s="1232" t="s">
        <v>9303</v>
      </c>
      <c r="AA363" s="1233" t="s">
        <v>1526</v>
      </c>
      <c r="AB363" s="1234" t="s">
        <v>11721</v>
      </c>
      <c r="AC363" s="1235"/>
      <c r="AD363" s="1213">
        <f t="shared" si="114"/>
        <v>8692</v>
      </c>
      <c r="AE363" s="1213">
        <f t="shared" si="115"/>
        <v>153</v>
      </c>
      <c r="AF363" s="942">
        <f t="shared" si="115"/>
        <v>49</v>
      </c>
      <c r="AG363" s="942">
        <f t="shared" si="116"/>
        <v>8490</v>
      </c>
      <c r="AH363" s="942">
        <f t="shared" si="117"/>
        <v>736</v>
      </c>
      <c r="AI363" s="942">
        <f t="shared" si="118"/>
        <v>7754</v>
      </c>
      <c r="AJ363" s="942">
        <f t="shared" si="119"/>
        <v>7602</v>
      </c>
      <c r="AK363" s="942">
        <f t="shared" si="120"/>
        <v>4783</v>
      </c>
      <c r="AL363" s="942">
        <f t="shared" si="120"/>
        <v>2819</v>
      </c>
      <c r="AM363" s="942">
        <f t="shared" si="120"/>
        <v>152</v>
      </c>
    </row>
    <row r="364" spans="1:39" ht="16.5" customHeight="1">
      <c r="A364" s="1238"/>
      <c r="B364" s="940"/>
      <c r="C364" s="940"/>
      <c r="D364" s="940"/>
      <c r="E364" s="940"/>
      <c r="F364" s="940"/>
      <c r="G364" s="940"/>
      <c r="H364" s="940"/>
      <c r="J364" s="1238" t="s">
        <v>1528</v>
      </c>
      <c r="K364" s="940" t="s">
        <v>781</v>
      </c>
      <c r="L364" s="940"/>
      <c r="M364" s="1241">
        <f t="shared" si="109"/>
        <v>1279</v>
      </c>
      <c r="N364" s="1241">
        <f>C363-SUM(N363:N363)</f>
        <v>13</v>
      </c>
      <c r="O364" s="1241">
        <f>D363-SUM(O363:O363)</f>
        <v>4</v>
      </c>
      <c r="P364" s="1241">
        <f t="shared" si="110"/>
        <v>1262</v>
      </c>
      <c r="Q364" s="1241">
        <f>E363-SUM(Q363:Q363)</f>
        <v>75</v>
      </c>
      <c r="R364" s="1241">
        <f t="shared" si="111"/>
        <v>1187</v>
      </c>
      <c r="S364" s="1241">
        <f t="shared" si="112"/>
        <v>1154</v>
      </c>
      <c r="T364" s="1241">
        <f>F363-SUM(T363:T363)</f>
        <v>726</v>
      </c>
      <c r="U364" s="1241">
        <f>G363-SUM(U363:U363)</f>
        <v>428</v>
      </c>
      <c r="V364" s="1241">
        <f>H363-SUM(V363:V363)</f>
        <v>33</v>
      </c>
      <c r="W364" s="1232"/>
      <c r="X364" s="1232" t="s">
        <v>780</v>
      </c>
      <c r="Y364" s="1232" t="s">
        <v>9204</v>
      </c>
      <c r="Z364" s="1232" t="s">
        <v>9303</v>
      </c>
      <c r="AA364" s="1242" t="s">
        <v>1528</v>
      </c>
      <c r="AB364" s="940" t="s">
        <v>781</v>
      </c>
      <c r="AC364" s="1243"/>
      <c r="AD364" s="943">
        <f t="shared" si="114"/>
        <v>1279</v>
      </c>
      <c r="AE364" s="943">
        <f t="shared" si="115"/>
        <v>13</v>
      </c>
      <c r="AF364" s="943">
        <f t="shared" si="115"/>
        <v>4</v>
      </c>
      <c r="AG364" s="943">
        <f t="shared" si="116"/>
        <v>1262</v>
      </c>
      <c r="AH364" s="943">
        <f t="shared" si="117"/>
        <v>75</v>
      </c>
      <c r="AI364" s="943">
        <f t="shared" si="118"/>
        <v>1187</v>
      </c>
      <c r="AJ364" s="943">
        <f t="shared" si="119"/>
        <v>1154</v>
      </c>
      <c r="AK364" s="943">
        <f t="shared" si="120"/>
        <v>726</v>
      </c>
      <c r="AL364" s="943">
        <f t="shared" si="120"/>
        <v>428</v>
      </c>
      <c r="AM364" s="943">
        <f t="shared" si="120"/>
        <v>33</v>
      </c>
    </row>
    <row r="365" spans="1:39" ht="16.5" customHeight="1">
      <c r="A365" s="1231" t="s">
        <v>9205</v>
      </c>
      <c r="B365" s="867" t="s">
        <v>7520</v>
      </c>
      <c r="C365" s="1240">
        <v>442</v>
      </c>
      <c r="D365" s="1240">
        <v>0</v>
      </c>
      <c r="E365" s="1240">
        <v>521</v>
      </c>
      <c r="F365" s="1240">
        <v>1152</v>
      </c>
      <c r="G365" s="1240">
        <v>477</v>
      </c>
      <c r="H365" s="1240">
        <v>63</v>
      </c>
      <c r="J365" s="1231" t="s">
        <v>1530</v>
      </c>
      <c r="K365" s="1245" t="s">
        <v>7520</v>
      </c>
      <c r="L365" s="1245"/>
      <c r="M365" s="1246">
        <f t="shared" si="109"/>
        <v>2655</v>
      </c>
      <c r="N365" s="1241">
        <f t="shared" ref="N365:O365" si="121">C365</f>
        <v>442</v>
      </c>
      <c r="O365" s="1246">
        <f t="shared" si="121"/>
        <v>0</v>
      </c>
      <c r="P365" s="1246">
        <f t="shared" si="110"/>
        <v>2213</v>
      </c>
      <c r="Q365" s="1246">
        <f t="shared" ref="Q365" si="122">E365</f>
        <v>521</v>
      </c>
      <c r="R365" s="1246">
        <f t="shared" si="111"/>
        <v>1692</v>
      </c>
      <c r="S365" s="1246">
        <f t="shared" si="112"/>
        <v>1629</v>
      </c>
      <c r="T365" s="1246">
        <f t="shared" ref="T365:V365" si="123">F365</f>
        <v>1152</v>
      </c>
      <c r="U365" s="1246">
        <f t="shared" si="123"/>
        <v>477</v>
      </c>
      <c r="V365" s="1246">
        <f t="shared" si="123"/>
        <v>63</v>
      </c>
      <c r="W365" s="1232"/>
      <c r="X365" s="1232" t="s">
        <v>782</v>
      </c>
      <c r="Y365" s="1232" t="s">
        <v>9205</v>
      </c>
      <c r="Z365" s="1232" t="s">
        <v>9303</v>
      </c>
      <c r="AA365" s="1236" t="s">
        <v>1530</v>
      </c>
      <c r="AB365" s="1245" t="s">
        <v>7520</v>
      </c>
      <c r="AC365" s="1248"/>
      <c r="AD365" s="1215">
        <f t="shared" si="114"/>
        <v>2655</v>
      </c>
      <c r="AE365" s="943">
        <f t="shared" si="115"/>
        <v>442</v>
      </c>
      <c r="AF365" s="1215">
        <f t="shared" si="115"/>
        <v>0</v>
      </c>
      <c r="AG365" s="1215">
        <f t="shared" si="116"/>
        <v>2213</v>
      </c>
      <c r="AH365" s="1215">
        <f t="shared" si="117"/>
        <v>521</v>
      </c>
      <c r="AI365" s="1215">
        <f t="shared" si="118"/>
        <v>1692</v>
      </c>
      <c r="AJ365" s="1215">
        <f t="shared" si="119"/>
        <v>1629</v>
      </c>
      <c r="AK365" s="1215">
        <f t="shared" si="120"/>
        <v>1152</v>
      </c>
      <c r="AL365" s="1215">
        <f t="shared" si="120"/>
        <v>477</v>
      </c>
      <c r="AM365" s="1215">
        <f t="shared" si="120"/>
        <v>63</v>
      </c>
    </row>
    <row r="366" spans="1:39" ht="16.5" customHeight="1">
      <c r="A366" s="1239" t="s">
        <v>9206</v>
      </c>
      <c r="B366" s="1234" t="s">
        <v>9123</v>
      </c>
      <c r="C366" s="1240">
        <v>3153</v>
      </c>
      <c r="D366" s="1240">
        <v>1055</v>
      </c>
      <c r="E366" s="1240">
        <v>3442</v>
      </c>
      <c r="F366" s="1240">
        <v>16276</v>
      </c>
      <c r="G366" s="1240">
        <v>3173</v>
      </c>
      <c r="H366" s="1240">
        <v>247</v>
      </c>
      <c r="J366" s="1239" t="s">
        <v>1532</v>
      </c>
      <c r="K366" s="867" t="s">
        <v>9554</v>
      </c>
      <c r="L366" s="867"/>
      <c r="M366" s="1232">
        <f t="shared" si="109"/>
        <v>18775</v>
      </c>
      <c r="N366" s="1232">
        <v>1975</v>
      </c>
      <c r="O366" s="1232">
        <v>848</v>
      </c>
      <c r="P366" s="1232">
        <f t="shared" si="110"/>
        <v>15952</v>
      </c>
      <c r="Q366" s="1232">
        <v>2703</v>
      </c>
      <c r="R366" s="1232">
        <f t="shared" si="111"/>
        <v>13249</v>
      </c>
      <c r="S366" s="1232">
        <f t="shared" si="112"/>
        <v>13106</v>
      </c>
      <c r="T366" s="1232">
        <v>11190</v>
      </c>
      <c r="U366" s="1232">
        <v>1916</v>
      </c>
      <c r="V366" s="1232">
        <v>143</v>
      </c>
      <c r="W366" s="1232"/>
      <c r="X366" s="1232" t="s">
        <v>785</v>
      </c>
      <c r="Y366" s="1232" t="s">
        <v>9206</v>
      </c>
      <c r="Z366" s="1232" t="s">
        <v>9303</v>
      </c>
      <c r="AA366" s="1233" t="s">
        <v>1532</v>
      </c>
      <c r="AB366" s="867" t="s">
        <v>9554</v>
      </c>
      <c r="AC366" s="1237"/>
      <c r="AD366" s="942">
        <f t="shared" si="114"/>
        <v>18775</v>
      </c>
      <c r="AE366" s="942">
        <f t="shared" si="115"/>
        <v>1975</v>
      </c>
      <c r="AF366" s="942">
        <f t="shared" si="115"/>
        <v>848</v>
      </c>
      <c r="AG366" s="942">
        <f t="shared" si="116"/>
        <v>15952</v>
      </c>
      <c r="AH366" s="942">
        <f t="shared" si="117"/>
        <v>2703</v>
      </c>
      <c r="AI366" s="942">
        <f t="shared" si="118"/>
        <v>13249</v>
      </c>
      <c r="AJ366" s="942">
        <f t="shared" si="119"/>
        <v>13106</v>
      </c>
      <c r="AK366" s="942">
        <f t="shared" si="120"/>
        <v>11190</v>
      </c>
      <c r="AL366" s="942">
        <f t="shared" si="120"/>
        <v>1916</v>
      </c>
      <c r="AM366" s="942">
        <f t="shared" si="120"/>
        <v>143</v>
      </c>
    </row>
    <row r="367" spans="1:39" ht="16.5" customHeight="1">
      <c r="A367" s="1238"/>
      <c r="B367" s="940"/>
      <c r="C367" s="940"/>
      <c r="D367" s="940"/>
      <c r="E367" s="940"/>
      <c r="F367" s="940"/>
      <c r="G367" s="940"/>
      <c r="H367" s="940"/>
      <c r="J367" s="1238" t="s">
        <v>1534</v>
      </c>
      <c r="K367" s="940" t="s">
        <v>788</v>
      </c>
      <c r="L367" s="940"/>
      <c r="M367" s="1241">
        <f t="shared" si="109"/>
        <v>8571</v>
      </c>
      <c r="N367" s="1241">
        <f>C366-SUM(N366:N366)</f>
        <v>1178</v>
      </c>
      <c r="O367" s="1241">
        <f>D366-SUM(O366:O366)</f>
        <v>207</v>
      </c>
      <c r="P367" s="1241">
        <f t="shared" si="110"/>
        <v>7186</v>
      </c>
      <c r="Q367" s="1241">
        <f>E366-SUM(Q366:Q366)</f>
        <v>739</v>
      </c>
      <c r="R367" s="1241">
        <f t="shared" si="111"/>
        <v>6447</v>
      </c>
      <c r="S367" s="1241">
        <f t="shared" si="112"/>
        <v>6343</v>
      </c>
      <c r="T367" s="1241">
        <f>F366-SUM(T366:T366)</f>
        <v>5086</v>
      </c>
      <c r="U367" s="1241">
        <f>G366-SUM(U366:U366)</f>
        <v>1257</v>
      </c>
      <c r="V367" s="1241">
        <f>H366-SUM(V366:V366)</f>
        <v>104</v>
      </c>
      <c r="W367" s="1232"/>
      <c r="X367" s="1232" t="s">
        <v>787</v>
      </c>
      <c r="Y367" s="1232" t="s">
        <v>9206</v>
      </c>
      <c r="Z367" s="1232" t="s">
        <v>9303</v>
      </c>
      <c r="AA367" s="1242" t="s">
        <v>1534</v>
      </c>
      <c r="AB367" s="940" t="s">
        <v>788</v>
      </c>
      <c r="AC367" s="1243"/>
      <c r="AD367" s="943">
        <f t="shared" si="114"/>
        <v>8571</v>
      </c>
      <c r="AE367" s="943">
        <f t="shared" si="115"/>
        <v>1178</v>
      </c>
      <c r="AF367" s="943">
        <f t="shared" si="115"/>
        <v>207</v>
      </c>
      <c r="AG367" s="943">
        <f t="shared" si="116"/>
        <v>7186</v>
      </c>
      <c r="AH367" s="943">
        <f t="shared" si="117"/>
        <v>739</v>
      </c>
      <c r="AI367" s="943">
        <f t="shared" si="118"/>
        <v>6447</v>
      </c>
      <c r="AJ367" s="943">
        <f t="shared" si="119"/>
        <v>6343</v>
      </c>
      <c r="AK367" s="943">
        <f t="shared" si="120"/>
        <v>5086</v>
      </c>
      <c r="AL367" s="943">
        <f t="shared" si="120"/>
        <v>1257</v>
      </c>
      <c r="AM367" s="943">
        <f t="shared" si="120"/>
        <v>104</v>
      </c>
    </row>
    <row r="368" spans="1:39" ht="16.5" customHeight="1">
      <c r="A368" s="1231" t="s">
        <v>9207</v>
      </c>
      <c r="B368" s="867" t="s">
        <v>11722</v>
      </c>
      <c r="C368" s="1240">
        <v>31147</v>
      </c>
      <c r="D368" s="1240">
        <v>2669</v>
      </c>
      <c r="E368" s="1240">
        <v>9329</v>
      </c>
      <c r="F368" s="1240">
        <v>84146</v>
      </c>
      <c r="G368" s="1240">
        <v>109750</v>
      </c>
      <c r="H368" s="1240">
        <v>10268</v>
      </c>
      <c r="J368" s="1231" t="s">
        <v>1536</v>
      </c>
      <c r="K368" s="867" t="s">
        <v>790</v>
      </c>
      <c r="L368" s="867"/>
      <c r="M368" s="1232">
        <f t="shared" si="109"/>
        <v>13005</v>
      </c>
      <c r="N368" s="1232">
        <v>4455</v>
      </c>
      <c r="O368" s="1232">
        <v>1119</v>
      </c>
      <c r="P368" s="1232">
        <f t="shared" si="110"/>
        <v>7431</v>
      </c>
      <c r="Q368" s="1232">
        <v>530</v>
      </c>
      <c r="R368" s="1232">
        <f t="shared" si="111"/>
        <v>6901</v>
      </c>
      <c r="S368" s="1232">
        <f t="shared" si="112"/>
        <v>6778</v>
      </c>
      <c r="T368" s="1232">
        <v>4730</v>
      </c>
      <c r="U368" s="1232">
        <v>2048</v>
      </c>
      <c r="V368" s="1232">
        <v>123</v>
      </c>
      <c r="W368" s="1232"/>
      <c r="X368" s="1232" t="s">
        <v>789</v>
      </c>
      <c r="Y368" s="1232" t="s">
        <v>9207</v>
      </c>
      <c r="Z368" s="1232" t="s">
        <v>9303</v>
      </c>
      <c r="AA368" s="1236" t="s">
        <v>1536</v>
      </c>
      <c r="AB368" s="867" t="s">
        <v>790</v>
      </c>
      <c r="AC368" s="1237"/>
      <c r="AD368" s="942">
        <f t="shared" si="114"/>
        <v>13005</v>
      </c>
      <c r="AE368" s="942">
        <f t="shared" si="115"/>
        <v>4455</v>
      </c>
      <c r="AF368" s="942">
        <f t="shared" si="115"/>
        <v>1119</v>
      </c>
      <c r="AG368" s="942">
        <f t="shared" si="116"/>
        <v>7431</v>
      </c>
      <c r="AH368" s="942">
        <f t="shared" si="117"/>
        <v>530</v>
      </c>
      <c r="AI368" s="942">
        <f t="shared" si="118"/>
        <v>6901</v>
      </c>
      <c r="AJ368" s="942">
        <f t="shared" si="119"/>
        <v>6778</v>
      </c>
      <c r="AK368" s="942">
        <f t="shared" si="120"/>
        <v>4730</v>
      </c>
      <c r="AL368" s="942">
        <f t="shared" si="120"/>
        <v>2048</v>
      </c>
      <c r="AM368" s="942">
        <f t="shared" si="120"/>
        <v>123</v>
      </c>
    </row>
    <row r="369" spans="1:39" ht="16.5" customHeight="1">
      <c r="A369" s="1231"/>
      <c r="J369" s="1231" t="s">
        <v>1538</v>
      </c>
      <c r="K369" s="867" t="s">
        <v>791</v>
      </c>
      <c r="L369" s="867"/>
      <c r="M369" s="1232">
        <f t="shared" si="109"/>
        <v>11935</v>
      </c>
      <c r="N369" s="1232">
        <v>1959</v>
      </c>
      <c r="O369" s="1232">
        <v>342</v>
      </c>
      <c r="P369" s="1232">
        <f t="shared" si="110"/>
        <v>9634</v>
      </c>
      <c r="Q369" s="1232">
        <v>1335</v>
      </c>
      <c r="R369" s="1232">
        <f t="shared" si="111"/>
        <v>8299</v>
      </c>
      <c r="S369" s="1232">
        <f t="shared" si="112"/>
        <v>8143</v>
      </c>
      <c r="T369" s="1232">
        <v>5683</v>
      </c>
      <c r="U369" s="1232">
        <v>2460</v>
      </c>
      <c r="V369" s="1232">
        <v>156</v>
      </c>
      <c r="W369" s="1232"/>
      <c r="X369" s="1232" t="s">
        <v>789</v>
      </c>
      <c r="Y369" s="1232" t="s">
        <v>9207</v>
      </c>
      <c r="Z369" s="1232" t="s">
        <v>9303</v>
      </c>
      <c r="AA369" s="1236" t="s">
        <v>1538</v>
      </c>
      <c r="AB369" s="867" t="s">
        <v>791</v>
      </c>
      <c r="AC369" s="1237"/>
      <c r="AD369" s="942">
        <f t="shared" si="114"/>
        <v>11935</v>
      </c>
      <c r="AE369" s="942">
        <f t="shared" si="115"/>
        <v>1959</v>
      </c>
      <c r="AF369" s="942">
        <f t="shared" si="115"/>
        <v>342</v>
      </c>
      <c r="AG369" s="942">
        <f t="shared" si="116"/>
        <v>9634</v>
      </c>
      <c r="AH369" s="942">
        <f t="shared" si="117"/>
        <v>1335</v>
      </c>
      <c r="AI369" s="942">
        <f t="shared" si="118"/>
        <v>8299</v>
      </c>
      <c r="AJ369" s="942">
        <f t="shared" si="119"/>
        <v>8143</v>
      </c>
      <c r="AK369" s="942">
        <f t="shared" si="120"/>
        <v>5683</v>
      </c>
      <c r="AL369" s="942">
        <f t="shared" si="120"/>
        <v>2460</v>
      </c>
      <c r="AM369" s="942">
        <f t="shared" si="120"/>
        <v>156</v>
      </c>
    </row>
    <row r="370" spans="1:39" ht="16.5" customHeight="1">
      <c r="A370" s="1231"/>
      <c r="J370" s="1231" t="s">
        <v>1540</v>
      </c>
      <c r="K370" s="867" t="s">
        <v>792</v>
      </c>
      <c r="L370" s="867"/>
      <c r="M370" s="1232">
        <f t="shared" si="109"/>
        <v>68580</v>
      </c>
      <c r="N370" s="1232">
        <v>16</v>
      </c>
      <c r="O370" s="1232">
        <v>1</v>
      </c>
      <c r="P370" s="1232">
        <f t="shared" si="110"/>
        <v>68563</v>
      </c>
      <c r="Q370" s="1232">
        <v>476</v>
      </c>
      <c r="R370" s="1232">
        <f t="shared" si="111"/>
        <v>68087</v>
      </c>
      <c r="S370" s="1232">
        <f t="shared" si="112"/>
        <v>62800</v>
      </c>
      <c r="T370" s="1232">
        <v>23217</v>
      </c>
      <c r="U370" s="1232">
        <v>39583</v>
      </c>
      <c r="V370" s="1232">
        <v>5287</v>
      </c>
      <c r="W370" s="1232"/>
      <c r="X370" s="1232" t="s">
        <v>789</v>
      </c>
      <c r="Y370" s="1232" t="s">
        <v>9207</v>
      </c>
      <c r="Z370" s="1232" t="s">
        <v>9303</v>
      </c>
      <c r="AA370" s="1236" t="s">
        <v>1540</v>
      </c>
      <c r="AB370" s="867" t="s">
        <v>792</v>
      </c>
      <c r="AC370" s="1237"/>
      <c r="AD370" s="942">
        <f t="shared" si="114"/>
        <v>68580</v>
      </c>
      <c r="AE370" s="942">
        <f t="shared" si="115"/>
        <v>16</v>
      </c>
      <c r="AF370" s="942">
        <f t="shared" si="115"/>
        <v>1</v>
      </c>
      <c r="AG370" s="942">
        <f t="shared" si="116"/>
        <v>68563</v>
      </c>
      <c r="AH370" s="942">
        <f t="shared" si="117"/>
        <v>476</v>
      </c>
      <c r="AI370" s="942">
        <f t="shared" si="118"/>
        <v>68087</v>
      </c>
      <c r="AJ370" s="942">
        <f t="shared" si="119"/>
        <v>62800</v>
      </c>
      <c r="AK370" s="942">
        <f t="shared" si="120"/>
        <v>23217</v>
      </c>
      <c r="AL370" s="942">
        <f t="shared" si="120"/>
        <v>39583</v>
      </c>
      <c r="AM370" s="942">
        <f t="shared" si="120"/>
        <v>5287</v>
      </c>
    </row>
    <row r="371" spans="1:39" ht="16.5" customHeight="1">
      <c r="A371" s="1231"/>
      <c r="J371" s="1231" t="s">
        <v>1542</v>
      </c>
      <c r="K371" s="867" t="s">
        <v>793</v>
      </c>
      <c r="L371" s="867"/>
      <c r="M371" s="1232">
        <f t="shared" si="109"/>
        <v>40272</v>
      </c>
      <c r="N371" s="1232">
        <v>2997</v>
      </c>
      <c r="O371" s="1232">
        <v>271</v>
      </c>
      <c r="P371" s="1232">
        <f t="shared" si="110"/>
        <v>37004</v>
      </c>
      <c r="Q371" s="1232">
        <v>1277</v>
      </c>
      <c r="R371" s="1232">
        <f t="shared" si="111"/>
        <v>35727</v>
      </c>
      <c r="S371" s="1232">
        <f t="shared" si="112"/>
        <v>34399</v>
      </c>
      <c r="T371" s="1232">
        <v>11374</v>
      </c>
      <c r="U371" s="1232">
        <v>23025</v>
      </c>
      <c r="V371" s="1232">
        <v>1328</v>
      </c>
      <c r="W371" s="1232"/>
      <c r="X371" s="1232" t="s">
        <v>789</v>
      </c>
      <c r="Y371" s="1232" t="s">
        <v>9207</v>
      </c>
      <c r="Z371" s="1232" t="s">
        <v>9303</v>
      </c>
      <c r="AA371" s="1236" t="s">
        <v>1542</v>
      </c>
      <c r="AB371" s="867" t="s">
        <v>793</v>
      </c>
      <c r="AC371" s="1237"/>
      <c r="AD371" s="942">
        <f t="shared" si="114"/>
        <v>40272</v>
      </c>
      <c r="AE371" s="942">
        <f t="shared" si="115"/>
        <v>2997</v>
      </c>
      <c r="AF371" s="942">
        <f t="shared" si="115"/>
        <v>271</v>
      </c>
      <c r="AG371" s="942">
        <f t="shared" si="116"/>
        <v>37004</v>
      </c>
      <c r="AH371" s="942">
        <f t="shared" si="117"/>
        <v>1277</v>
      </c>
      <c r="AI371" s="942">
        <f t="shared" si="118"/>
        <v>35727</v>
      </c>
      <c r="AJ371" s="942">
        <f t="shared" si="119"/>
        <v>34399</v>
      </c>
      <c r="AK371" s="942">
        <f t="shared" si="120"/>
        <v>11374</v>
      </c>
      <c r="AL371" s="942">
        <f t="shared" si="120"/>
        <v>23025</v>
      </c>
      <c r="AM371" s="942">
        <f t="shared" si="120"/>
        <v>1328</v>
      </c>
    </row>
    <row r="372" spans="1:39" ht="16.5" customHeight="1">
      <c r="A372" s="1231"/>
      <c r="J372" s="1231" t="s">
        <v>1544</v>
      </c>
      <c r="K372" s="867" t="s">
        <v>11723</v>
      </c>
      <c r="L372" s="867"/>
      <c r="M372" s="1232">
        <f t="shared" si="109"/>
        <v>20100</v>
      </c>
      <c r="N372" s="1232">
        <v>347</v>
      </c>
      <c r="O372" s="1232">
        <v>3</v>
      </c>
      <c r="P372" s="1232">
        <f t="shared" si="110"/>
        <v>19750</v>
      </c>
      <c r="Q372" s="1232">
        <v>356</v>
      </c>
      <c r="R372" s="1232">
        <f t="shared" si="111"/>
        <v>19394</v>
      </c>
      <c r="S372" s="1232">
        <f t="shared" si="112"/>
        <v>18819</v>
      </c>
      <c r="T372" s="1232">
        <v>8457</v>
      </c>
      <c r="U372" s="1232">
        <v>10362</v>
      </c>
      <c r="V372" s="1232">
        <v>575</v>
      </c>
      <c r="W372" s="1232"/>
      <c r="X372" s="1232" t="s">
        <v>789</v>
      </c>
      <c r="Y372" s="1232" t="s">
        <v>9207</v>
      </c>
      <c r="Z372" s="1232" t="s">
        <v>9303</v>
      </c>
      <c r="AA372" s="1236" t="s">
        <v>1544</v>
      </c>
      <c r="AB372" s="867" t="s">
        <v>11723</v>
      </c>
      <c r="AC372" s="1237"/>
      <c r="AD372" s="942">
        <f t="shared" si="114"/>
        <v>20100</v>
      </c>
      <c r="AE372" s="942">
        <f t="shared" si="115"/>
        <v>347</v>
      </c>
      <c r="AF372" s="942">
        <f t="shared" si="115"/>
        <v>3</v>
      </c>
      <c r="AG372" s="942">
        <f t="shared" si="116"/>
        <v>19750</v>
      </c>
      <c r="AH372" s="942">
        <f t="shared" si="117"/>
        <v>356</v>
      </c>
      <c r="AI372" s="942">
        <f t="shared" si="118"/>
        <v>19394</v>
      </c>
      <c r="AJ372" s="942">
        <f t="shared" si="119"/>
        <v>18819</v>
      </c>
      <c r="AK372" s="942">
        <f t="shared" si="120"/>
        <v>8457</v>
      </c>
      <c r="AL372" s="942">
        <f t="shared" si="120"/>
        <v>10362</v>
      </c>
      <c r="AM372" s="942">
        <f t="shared" si="120"/>
        <v>575</v>
      </c>
    </row>
    <row r="373" spans="1:39" ht="16.5" customHeight="1">
      <c r="A373" s="1231"/>
      <c r="J373" s="1231" t="s">
        <v>11724</v>
      </c>
      <c r="K373" s="867" t="s">
        <v>11725</v>
      </c>
      <c r="L373" s="867"/>
      <c r="M373" s="1232">
        <f t="shared" si="109"/>
        <v>3</v>
      </c>
      <c r="N373" s="1232">
        <v>0</v>
      </c>
      <c r="O373" s="1232">
        <v>0</v>
      </c>
      <c r="P373" s="1232">
        <f t="shared" si="110"/>
        <v>3</v>
      </c>
      <c r="Q373" s="1232">
        <v>0</v>
      </c>
      <c r="R373" s="1232">
        <f t="shared" si="111"/>
        <v>3</v>
      </c>
      <c r="S373" s="1232">
        <f t="shared" si="112"/>
        <v>3</v>
      </c>
      <c r="T373" s="1232">
        <v>3</v>
      </c>
      <c r="U373" s="1232">
        <v>0</v>
      </c>
      <c r="V373" s="1232">
        <v>0</v>
      </c>
      <c r="W373" s="1232"/>
      <c r="X373" s="1232" t="s">
        <v>789</v>
      </c>
      <c r="Y373" s="1232" t="s">
        <v>9207</v>
      </c>
      <c r="Z373" s="1232" t="s">
        <v>9303</v>
      </c>
      <c r="AA373" s="1236" t="s">
        <v>11724</v>
      </c>
      <c r="AB373" s="867" t="s">
        <v>11725</v>
      </c>
      <c r="AC373" s="1237"/>
      <c r="AD373" s="942">
        <f t="shared" si="114"/>
        <v>3</v>
      </c>
      <c r="AE373" s="942">
        <f t="shared" si="115"/>
        <v>0</v>
      </c>
      <c r="AF373" s="942">
        <f t="shared" si="115"/>
        <v>0</v>
      </c>
      <c r="AG373" s="942">
        <f t="shared" si="116"/>
        <v>3</v>
      </c>
      <c r="AH373" s="942">
        <f t="shared" si="117"/>
        <v>0</v>
      </c>
      <c r="AI373" s="942">
        <f t="shared" si="118"/>
        <v>3</v>
      </c>
      <c r="AJ373" s="942">
        <f t="shared" si="119"/>
        <v>3</v>
      </c>
      <c r="AK373" s="942">
        <f t="shared" si="120"/>
        <v>3</v>
      </c>
      <c r="AL373" s="942">
        <f t="shared" si="120"/>
        <v>0</v>
      </c>
      <c r="AM373" s="942">
        <f t="shared" si="120"/>
        <v>0</v>
      </c>
    </row>
    <row r="374" spans="1:39" ht="16.5" customHeight="1">
      <c r="A374" s="1231"/>
      <c r="J374" s="1231" t="s">
        <v>11726</v>
      </c>
      <c r="K374" s="867" t="s">
        <v>11727</v>
      </c>
      <c r="L374" s="867"/>
      <c r="M374" s="1232">
        <f t="shared" si="109"/>
        <v>45</v>
      </c>
      <c r="N374" s="1232">
        <v>0</v>
      </c>
      <c r="O374" s="1232">
        <v>0</v>
      </c>
      <c r="P374" s="1232">
        <f t="shared" si="110"/>
        <v>45</v>
      </c>
      <c r="Q374" s="1232">
        <v>3</v>
      </c>
      <c r="R374" s="1232">
        <f t="shared" si="111"/>
        <v>42</v>
      </c>
      <c r="S374" s="1232">
        <f t="shared" si="112"/>
        <v>42</v>
      </c>
      <c r="T374" s="1232">
        <v>13</v>
      </c>
      <c r="U374" s="1232">
        <v>29</v>
      </c>
      <c r="V374" s="1232">
        <v>0</v>
      </c>
      <c r="W374" s="1232"/>
      <c r="X374" s="1232" t="s">
        <v>789</v>
      </c>
      <c r="Y374" s="1232" t="s">
        <v>9207</v>
      </c>
      <c r="Z374" s="1232" t="s">
        <v>9303</v>
      </c>
      <c r="AA374" s="1236" t="s">
        <v>11726</v>
      </c>
      <c r="AB374" s="867" t="s">
        <v>11727</v>
      </c>
      <c r="AC374" s="1237"/>
      <c r="AD374" s="942">
        <f t="shared" si="114"/>
        <v>45</v>
      </c>
      <c r="AE374" s="942">
        <f t="shared" si="115"/>
        <v>0</v>
      </c>
      <c r="AF374" s="942">
        <f t="shared" si="115"/>
        <v>0</v>
      </c>
      <c r="AG374" s="942">
        <f t="shared" si="116"/>
        <v>45</v>
      </c>
      <c r="AH374" s="942">
        <f t="shared" si="117"/>
        <v>3</v>
      </c>
      <c r="AI374" s="942">
        <f t="shared" si="118"/>
        <v>42</v>
      </c>
      <c r="AJ374" s="942">
        <f t="shared" si="119"/>
        <v>42</v>
      </c>
      <c r="AK374" s="942">
        <f t="shared" si="120"/>
        <v>13</v>
      </c>
      <c r="AL374" s="942">
        <f t="shared" si="120"/>
        <v>29</v>
      </c>
      <c r="AM374" s="942">
        <f t="shared" si="120"/>
        <v>0</v>
      </c>
    </row>
    <row r="375" spans="1:39" ht="16.5" customHeight="1">
      <c r="A375" s="1231"/>
      <c r="J375" s="1231" t="s">
        <v>1546</v>
      </c>
      <c r="K375" s="867" t="s">
        <v>795</v>
      </c>
      <c r="L375" s="867"/>
      <c r="M375" s="1232">
        <f t="shared" si="109"/>
        <v>93369</v>
      </c>
      <c r="N375" s="1232">
        <f>C368-SUM(N368:N374)</f>
        <v>21373</v>
      </c>
      <c r="O375" s="1241">
        <f>D368-SUM(O368:O374)</f>
        <v>933</v>
      </c>
      <c r="P375" s="1241">
        <f t="shared" si="110"/>
        <v>71063</v>
      </c>
      <c r="Q375" s="1241">
        <f>E368-SUM(Q368:Q374)</f>
        <v>5352</v>
      </c>
      <c r="R375" s="1241">
        <f t="shared" si="111"/>
        <v>65711</v>
      </c>
      <c r="S375" s="1241">
        <f t="shared" si="112"/>
        <v>62912</v>
      </c>
      <c r="T375" s="1241">
        <f>F368-SUM(T368:T374)</f>
        <v>30669</v>
      </c>
      <c r="U375" s="1241">
        <f>G368-SUM(U368:U374)</f>
        <v>32243</v>
      </c>
      <c r="V375" s="1241">
        <f>H368-SUM(V368:V374)</f>
        <v>2799</v>
      </c>
      <c r="W375" s="1232"/>
      <c r="X375" s="1232" t="s">
        <v>789</v>
      </c>
      <c r="Y375" s="1232" t="s">
        <v>9207</v>
      </c>
      <c r="Z375" s="1232" t="s">
        <v>9303</v>
      </c>
      <c r="AA375" s="1236" t="s">
        <v>1546</v>
      </c>
      <c r="AB375" s="867" t="s">
        <v>795</v>
      </c>
      <c r="AC375" s="1237"/>
      <c r="AD375" s="942">
        <f t="shared" si="114"/>
        <v>93369</v>
      </c>
      <c r="AE375" s="942">
        <f t="shared" si="115"/>
        <v>21373</v>
      </c>
      <c r="AF375" s="943">
        <f t="shared" si="115"/>
        <v>933</v>
      </c>
      <c r="AG375" s="943">
        <f t="shared" si="116"/>
        <v>71063</v>
      </c>
      <c r="AH375" s="943">
        <f t="shared" si="117"/>
        <v>5352</v>
      </c>
      <c r="AI375" s="943">
        <f t="shared" si="118"/>
        <v>65711</v>
      </c>
      <c r="AJ375" s="943">
        <f t="shared" si="119"/>
        <v>62912</v>
      </c>
      <c r="AK375" s="943">
        <f t="shared" si="120"/>
        <v>30669</v>
      </c>
      <c r="AL375" s="943">
        <f t="shared" si="120"/>
        <v>32243</v>
      </c>
      <c r="AM375" s="943">
        <f t="shared" si="120"/>
        <v>2799</v>
      </c>
    </row>
    <row r="376" spans="1:39" ht="16.5" customHeight="1">
      <c r="A376" s="1244" t="s">
        <v>9208</v>
      </c>
      <c r="B376" s="1245" t="s">
        <v>11728</v>
      </c>
      <c r="C376" s="1240">
        <v>455</v>
      </c>
      <c r="D376" s="1240">
        <v>322</v>
      </c>
      <c r="E376" s="1240">
        <v>626</v>
      </c>
      <c r="F376" s="1240">
        <v>6693</v>
      </c>
      <c r="G376" s="1240">
        <v>7550</v>
      </c>
      <c r="H376" s="1240">
        <v>1071</v>
      </c>
      <c r="J376" s="1244" t="s">
        <v>1548</v>
      </c>
      <c r="K376" s="1245" t="s">
        <v>1600</v>
      </c>
      <c r="L376" s="1245"/>
      <c r="M376" s="1246">
        <f t="shared" si="109"/>
        <v>16717</v>
      </c>
      <c r="N376" s="1246">
        <f t="shared" ref="N376:O376" si="124">C376</f>
        <v>455</v>
      </c>
      <c r="O376" s="1246">
        <f t="shared" si="124"/>
        <v>322</v>
      </c>
      <c r="P376" s="1246">
        <f t="shared" si="110"/>
        <v>15940</v>
      </c>
      <c r="Q376" s="1246">
        <f t="shared" ref="Q376" si="125">E376</f>
        <v>626</v>
      </c>
      <c r="R376" s="1246">
        <f t="shared" si="111"/>
        <v>15314</v>
      </c>
      <c r="S376" s="1246">
        <f t="shared" si="112"/>
        <v>14243</v>
      </c>
      <c r="T376" s="1246">
        <f t="shared" ref="T376:V376" si="126">F376</f>
        <v>6693</v>
      </c>
      <c r="U376" s="1246">
        <f t="shared" si="126"/>
        <v>7550</v>
      </c>
      <c r="V376" s="1246">
        <f t="shared" si="126"/>
        <v>1071</v>
      </c>
      <c r="W376" s="1232"/>
      <c r="X376" s="1232" t="s">
        <v>796</v>
      </c>
      <c r="Y376" s="1232" t="s">
        <v>9208</v>
      </c>
      <c r="Z376" s="1232" t="s">
        <v>9304</v>
      </c>
      <c r="AA376" s="1247" t="s">
        <v>1548</v>
      </c>
      <c r="AB376" s="1245" t="s">
        <v>1600</v>
      </c>
      <c r="AC376" s="1248"/>
      <c r="AD376" s="1215">
        <f t="shared" si="114"/>
        <v>16717</v>
      </c>
      <c r="AE376" s="1215">
        <f t="shared" si="115"/>
        <v>455</v>
      </c>
      <c r="AF376" s="1215">
        <f t="shared" si="115"/>
        <v>322</v>
      </c>
      <c r="AG376" s="1215">
        <f t="shared" si="116"/>
        <v>15940</v>
      </c>
      <c r="AH376" s="1215">
        <f t="shared" si="117"/>
        <v>626</v>
      </c>
      <c r="AI376" s="1215">
        <f t="shared" si="118"/>
        <v>15314</v>
      </c>
      <c r="AJ376" s="1215">
        <f t="shared" si="119"/>
        <v>14243</v>
      </c>
      <c r="AK376" s="1215">
        <f t="shared" si="120"/>
        <v>6693</v>
      </c>
      <c r="AL376" s="1215">
        <f t="shared" si="120"/>
        <v>7550</v>
      </c>
      <c r="AM376" s="1215">
        <f t="shared" si="120"/>
        <v>1071</v>
      </c>
    </row>
    <row r="377" spans="1:39" ht="16.5" customHeight="1">
      <c r="A377" s="1231" t="s">
        <v>9209</v>
      </c>
      <c r="B377" s="867" t="s">
        <v>11729</v>
      </c>
      <c r="C377" s="1240">
        <v>12696</v>
      </c>
      <c r="D377" s="1240">
        <v>5440</v>
      </c>
      <c r="E377" s="1240">
        <v>3518</v>
      </c>
      <c r="F377" s="1240">
        <v>23250</v>
      </c>
      <c r="G377" s="1240">
        <v>104921</v>
      </c>
      <c r="H377" s="1240">
        <v>6209</v>
      </c>
      <c r="J377" s="1231" t="s">
        <v>1550</v>
      </c>
      <c r="K377" s="867" t="s">
        <v>11730</v>
      </c>
      <c r="L377" s="867"/>
      <c r="M377" s="1232">
        <f t="shared" si="109"/>
        <v>124482</v>
      </c>
      <c r="N377" s="1232">
        <v>11880</v>
      </c>
      <c r="O377" s="1232">
        <v>5077</v>
      </c>
      <c r="P377" s="1232">
        <f t="shared" si="110"/>
        <v>107525</v>
      </c>
      <c r="Q377" s="1232">
        <v>3102</v>
      </c>
      <c r="R377" s="1232">
        <f t="shared" si="111"/>
        <v>104423</v>
      </c>
      <c r="S377" s="1232">
        <f t="shared" si="112"/>
        <v>98798</v>
      </c>
      <c r="T377" s="1232">
        <v>16887</v>
      </c>
      <c r="U377" s="1232">
        <v>81911</v>
      </c>
      <c r="V377" s="1232">
        <v>5625</v>
      </c>
      <c r="W377" s="1232"/>
      <c r="X377" s="1232" t="s">
        <v>799</v>
      </c>
      <c r="Y377" s="1232" t="s">
        <v>9209</v>
      </c>
      <c r="Z377" s="1232" t="s">
        <v>9304</v>
      </c>
      <c r="AA377" s="1236" t="s">
        <v>1550</v>
      </c>
      <c r="AB377" s="867" t="s">
        <v>11730</v>
      </c>
      <c r="AC377" s="1237"/>
      <c r="AD377" s="942">
        <f t="shared" si="114"/>
        <v>124482</v>
      </c>
      <c r="AE377" s="942">
        <f t="shared" si="115"/>
        <v>11880</v>
      </c>
      <c r="AF377" s="942">
        <f t="shared" si="115"/>
        <v>5077</v>
      </c>
      <c r="AG377" s="942">
        <f t="shared" si="116"/>
        <v>107525</v>
      </c>
      <c r="AH377" s="942">
        <f t="shared" si="117"/>
        <v>3102</v>
      </c>
      <c r="AI377" s="942">
        <f t="shared" si="118"/>
        <v>104423</v>
      </c>
      <c r="AJ377" s="942">
        <f t="shared" si="119"/>
        <v>98798</v>
      </c>
      <c r="AK377" s="942">
        <f t="shared" si="120"/>
        <v>16887</v>
      </c>
      <c r="AL377" s="942">
        <f t="shared" si="120"/>
        <v>81911</v>
      </c>
      <c r="AM377" s="942">
        <f t="shared" si="120"/>
        <v>5625</v>
      </c>
    </row>
    <row r="378" spans="1:39" ht="16.5" customHeight="1">
      <c r="A378" s="1231"/>
      <c r="J378" s="1231" t="s">
        <v>1552</v>
      </c>
      <c r="K378" s="940" t="s">
        <v>11731</v>
      </c>
      <c r="L378" s="940"/>
      <c r="M378" s="1241">
        <f t="shared" si="109"/>
        <v>31552</v>
      </c>
      <c r="N378" s="1241">
        <f>C377-SUM(N377:N377)</f>
        <v>816</v>
      </c>
      <c r="O378" s="1241">
        <f>D377-SUM(O377:O377)</f>
        <v>363</v>
      </c>
      <c r="P378" s="1241">
        <f t="shared" si="110"/>
        <v>30373</v>
      </c>
      <c r="Q378" s="1241">
        <f>E377-SUM(Q377:Q377)</f>
        <v>416</v>
      </c>
      <c r="R378" s="1241">
        <f t="shared" si="111"/>
        <v>29957</v>
      </c>
      <c r="S378" s="1241">
        <f t="shared" si="112"/>
        <v>29373</v>
      </c>
      <c r="T378" s="1241">
        <f>F377-SUM(T377:T377)</f>
        <v>6363</v>
      </c>
      <c r="U378" s="1241">
        <f>G377-SUM(U377:U377)</f>
        <v>23010</v>
      </c>
      <c r="V378" s="1241">
        <f>H377-SUM(V377:V377)</f>
        <v>584</v>
      </c>
      <c r="W378" s="1232"/>
      <c r="X378" s="1232" t="s">
        <v>799</v>
      </c>
      <c r="Y378" s="1232" t="s">
        <v>9209</v>
      </c>
      <c r="Z378" s="1232" t="s">
        <v>9304</v>
      </c>
      <c r="AA378" s="1236" t="s">
        <v>1552</v>
      </c>
      <c r="AB378" s="940" t="s">
        <v>11731</v>
      </c>
      <c r="AC378" s="1243"/>
      <c r="AD378" s="943">
        <f t="shared" si="114"/>
        <v>31552</v>
      </c>
      <c r="AE378" s="943">
        <f t="shared" si="115"/>
        <v>816</v>
      </c>
      <c r="AF378" s="943">
        <f t="shared" si="115"/>
        <v>363</v>
      </c>
      <c r="AG378" s="943">
        <f t="shared" si="116"/>
        <v>30373</v>
      </c>
      <c r="AH378" s="943">
        <f t="shared" si="117"/>
        <v>416</v>
      </c>
      <c r="AI378" s="943">
        <f t="shared" si="118"/>
        <v>29957</v>
      </c>
      <c r="AJ378" s="943">
        <f t="shared" si="119"/>
        <v>29373</v>
      </c>
      <c r="AK378" s="943">
        <f t="shared" si="120"/>
        <v>6363</v>
      </c>
      <c r="AL378" s="943">
        <f t="shared" si="120"/>
        <v>23010</v>
      </c>
      <c r="AM378" s="943">
        <f t="shared" si="120"/>
        <v>584</v>
      </c>
    </row>
    <row r="379" spans="1:39" ht="16.5" customHeight="1">
      <c r="A379" s="1239" t="s">
        <v>9210</v>
      </c>
      <c r="B379" s="1234" t="s">
        <v>11732</v>
      </c>
      <c r="C379" s="1240">
        <v>12330</v>
      </c>
      <c r="D379" s="1240">
        <v>3439</v>
      </c>
      <c r="E379" s="1240">
        <v>1601</v>
      </c>
      <c r="F379" s="1240">
        <v>14533</v>
      </c>
      <c r="G379" s="1240">
        <v>7767</v>
      </c>
      <c r="H379" s="1240">
        <v>911</v>
      </c>
      <c r="J379" s="1239" t="s">
        <v>1554</v>
      </c>
      <c r="K379" s="867" t="s">
        <v>11733</v>
      </c>
      <c r="L379" s="867"/>
      <c r="M379" s="1232">
        <f t="shared" si="109"/>
        <v>9568</v>
      </c>
      <c r="N379" s="1232">
        <v>805</v>
      </c>
      <c r="O379" s="1232">
        <v>360</v>
      </c>
      <c r="P379" s="1232">
        <f t="shared" si="110"/>
        <v>8403</v>
      </c>
      <c r="Q379" s="1232">
        <v>376</v>
      </c>
      <c r="R379" s="1232">
        <f t="shared" si="111"/>
        <v>8027</v>
      </c>
      <c r="S379" s="1232">
        <f t="shared" si="112"/>
        <v>7674</v>
      </c>
      <c r="T379" s="1232">
        <v>3148</v>
      </c>
      <c r="U379" s="1232">
        <v>4526</v>
      </c>
      <c r="V379" s="1232">
        <v>353</v>
      </c>
      <c r="W379" s="1232"/>
      <c r="X379" s="1232" t="s">
        <v>802</v>
      </c>
      <c r="Y379" s="1232" t="s">
        <v>9210</v>
      </c>
      <c r="Z379" s="1232" t="s">
        <v>9304</v>
      </c>
      <c r="AA379" s="1233" t="s">
        <v>1554</v>
      </c>
      <c r="AB379" s="867" t="s">
        <v>11733</v>
      </c>
      <c r="AC379" s="1237"/>
      <c r="AD379" s="942">
        <f t="shared" si="114"/>
        <v>9568</v>
      </c>
      <c r="AE379" s="942">
        <f t="shared" si="115"/>
        <v>805</v>
      </c>
      <c r="AF379" s="942">
        <f t="shared" si="115"/>
        <v>360</v>
      </c>
      <c r="AG379" s="942">
        <f t="shared" si="116"/>
        <v>8403</v>
      </c>
      <c r="AH379" s="942">
        <f t="shared" si="117"/>
        <v>376</v>
      </c>
      <c r="AI379" s="942">
        <f t="shared" si="118"/>
        <v>8027</v>
      </c>
      <c r="AJ379" s="942">
        <f t="shared" si="119"/>
        <v>7674</v>
      </c>
      <c r="AK379" s="942">
        <f t="shared" si="120"/>
        <v>3148</v>
      </c>
      <c r="AL379" s="942">
        <f t="shared" si="120"/>
        <v>4526</v>
      </c>
      <c r="AM379" s="942">
        <f t="shared" si="120"/>
        <v>353</v>
      </c>
    </row>
    <row r="380" spans="1:39" ht="16.5" customHeight="1">
      <c r="A380" s="1231"/>
      <c r="J380" s="1231" t="s">
        <v>1556</v>
      </c>
      <c r="K380" s="867" t="s">
        <v>804</v>
      </c>
      <c r="L380" s="867"/>
      <c r="M380" s="1232">
        <f t="shared" si="109"/>
        <v>8016</v>
      </c>
      <c r="N380" s="1232">
        <v>3621</v>
      </c>
      <c r="O380" s="1232">
        <v>1826</v>
      </c>
      <c r="P380" s="1232">
        <f t="shared" si="110"/>
        <v>2569</v>
      </c>
      <c r="Q380" s="1232">
        <v>179</v>
      </c>
      <c r="R380" s="1232">
        <f t="shared" si="111"/>
        <v>2390</v>
      </c>
      <c r="S380" s="1232">
        <f t="shared" si="112"/>
        <v>2325</v>
      </c>
      <c r="T380" s="1232">
        <v>2000</v>
      </c>
      <c r="U380" s="1232">
        <v>325</v>
      </c>
      <c r="V380" s="1232">
        <v>65</v>
      </c>
      <c r="W380" s="1232"/>
      <c r="X380" s="1232" t="s">
        <v>802</v>
      </c>
      <c r="Y380" s="1232" t="s">
        <v>9210</v>
      </c>
      <c r="Z380" s="1232" t="s">
        <v>9304</v>
      </c>
      <c r="AA380" s="1236" t="s">
        <v>1556</v>
      </c>
      <c r="AB380" s="867" t="s">
        <v>804</v>
      </c>
      <c r="AC380" s="1237"/>
      <c r="AD380" s="942">
        <f t="shared" si="114"/>
        <v>8016</v>
      </c>
      <c r="AE380" s="942">
        <f t="shared" si="115"/>
        <v>3621</v>
      </c>
      <c r="AF380" s="942">
        <f t="shared" si="115"/>
        <v>1826</v>
      </c>
      <c r="AG380" s="942">
        <f t="shared" si="116"/>
        <v>2569</v>
      </c>
      <c r="AH380" s="942">
        <f t="shared" si="117"/>
        <v>179</v>
      </c>
      <c r="AI380" s="942">
        <f t="shared" si="118"/>
        <v>2390</v>
      </c>
      <c r="AJ380" s="942">
        <f t="shared" si="119"/>
        <v>2325</v>
      </c>
      <c r="AK380" s="942">
        <f t="shared" si="120"/>
        <v>2000</v>
      </c>
      <c r="AL380" s="942">
        <f t="shared" si="120"/>
        <v>325</v>
      </c>
      <c r="AM380" s="942">
        <f t="shared" si="120"/>
        <v>65</v>
      </c>
    </row>
    <row r="381" spans="1:39" ht="16.5" customHeight="1">
      <c r="A381" s="1231"/>
      <c r="J381" s="1231" t="s">
        <v>1558</v>
      </c>
      <c r="K381" s="867" t="s">
        <v>805</v>
      </c>
      <c r="L381" s="867"/>
      <c r="M381" s="1232">
        <f t="shared" si="109"/>
        <v>16077</v>
      </c>
      <c r="N381" s="1232">
        <v>5840</v>
      </c>
      <c r="O381" s="1232">
        <v>1107</v>
      </c>
      <c r="P381" s="1232">
        <f t="shared" si="110"/>
        <v>9130</v>
      </c>
      <c r="Q381" s="1232">
        <v>741</v>
      </c>
      <c r="R381" s="1232">
        <f t="shared" si="111"/>
        <v>8389</v>
      </c>
      <c r="S381" s="1232">
        <f t="shared" si="112"/>
        <v>8078</v>
      </c>
      <c r="T381" s="1232">
        <v>6669</v>
      </c>
      <c r="U381" s="1232">
        <v>1409</v>
      </c>
      <c r="V381" s="1232">
        <v>311</v>
      </c>
      <c r="W381" s="1232"/>
      <c r="X381" s="1232" t="s">
        <v>802</v>
      </c>
      <c r="Y381" s="1232" t="s">
        <v>9210</v>
      </c>
      <c r="Z381" s="1232" t="s">
        <v>9304</v>
      </c>
      <c r="AA381" s="1236" t="s">
        <v>1558</v>
      </c>
      <c r="AB381" s="867" t="s">
        <v>805</v>
      </c>
      <c r="AC381" s="1237"/>
      <c r="AD381" s="942">
        <f t="shared" si="114"/>
        <v>16077</v>
      </c>
      <c r="AE381" s="942">
        <f t="shared" si="115"/>
        <v>5840</v>
      </c>
      <c r="AF381" s="942">
        <f t="shared" si="115"/>
        <v>1107</v>
      </c>
      <c r="AG381" s="942">
        <f t="shared" si="116"/>
        <v>9130</v>
      </c>
      <c r="AH381" s="942">
        <f t="shared" si="117"/>
        <v>741</v>
      </c>
      <c r="AI381" s="942">
        <f t="shared" si="118"/>
        <v>8389</v>
      </c>
      <c r="AJ381" s="942">
        <f t="shared" si="119"/>
        <v>8078</v>
      </c>
      <c r="AK381" s="942">
        <f t="shared" si="120"/>
        <v>6669</v>
      </c>
      <c r="AL381" s="942">
        <f t="shared" si="120"/>
        <v>1409</v>
      </c>
      <c r="AM381" s="942">
        <f t="shared" si="120"/>
        <v>311</v>
      </c>
    </row>
    <row r="382" spans="1:39" ht="16.5" customHeight="1">
      <c r="A382" s="1231"/>
      <c r="J382" s="1231" t="s">
        <v>1560</v>
      </c>
      <c r="K382" s="867" t="s">
        <v>806</v>
      </c>
      <c r="L382" s="867"/>
      <c r="M382" s="1232">
        <f t="shared" si="109"/>
        <v>1809</v>
      </c>
      <c r="N382" s="1232">
        <v>97</v>
      </c>
      <c r="O382" s="1232">
        <v>59</v>
      </c>
      <c r="P382" s="1232">
        <f t="shared" si="110"/>
        <v>1653</v>
      </c>
      <c r="Q382" s="1232">
        <v>92</v>
      </c>
      <c r="R382" s="1232">
        <f t="shared" si="111"/>
        <v>1561</v>
      </c>
      <c r="S382" s="1232">
        <f t="shared" si="112"/>
        <v>1487</v>
      </c>
      <c r="T382" s="1232">
        <v>683</v>
      </c>
      <c r="U382" s="1232">
        <v>804</v>
      </c>
      <c r="V382" s="1232">
        <v>74</v>
      </c>
      <c r="W382" s="1232"/>
      <c r="X382" s="1232" t="s">
        <v>802</v>
      </c>
      <c r="Y382" s="1232" t="s">
        <v>9210</v>
      </c>
      <c r="Z382" s="1232" t="s">
        <v>9304</v>
      </c>
      <c r="AA382" s="1236" t="s">
        <v>1560</v>
      </c>
      <c r="AB382" s="867" t="s">
        <v>806</v>
      </c>
      <c r="AC382" s="1237"/>
      <c r="AD382" s="942">
        <f t="shared" si="114"/>
        <v>1809</v>
      </c>
      <c r="AE382" s="942">
        <f t="shared" si="115"/>
        <v>97</v>
      </c>
      <c r="AF382" s="942">
        <f t="shared" si="115"/>
        <v>59</v>
      </c>
      <c r="AG382" s="942">
        <f t="shared" si="116"/>
        <v>1653</v>
      </c>
      <c r="AH382" s="942">
        <f t="shared" si="117"/>
        <v>92</v>
      </c>
      <c r="AI382" s="942">
        <f t="shared" si="118"/>
        <v>1561</v>
      </c>
      <c r="AJ382" s="942">
        <f t="shared" si="119"/>
        <v>1487</v>
      </c>
      <c r="AK382" s="942">
        <f t="shared" si="120"/>
        <v>683</v>
      </c>
      <c r="AL382" s="942">
        <f t="shared" si="120"/>
        <v>804</v>
      </c>
      <c r="AM382" s="942">
        <f t="shared" si="120"/>
        <v>74</v>
      </c>
    </row>
    <row r="383" spans="1:39" ht="16.5" customHeight="1">
      <c r="A383" s="1238"/>
      <c r="B383" s="940"/>
      <c r="C383" s="940"/>
      <c r="D383" s="940"/>
      <c r="E383" s="940"/>
      <c r="F383" s="940"/>
      <c r="G383" s="940"/>
      <c r="H383" s="940"/>
      <c r="J383" s="1238" t="s">
        <v>1562</v>
      </c>
      <c r="K383" s="940" t="s">
        <v>11734</v>
      </c>
      <c r="L383" s="940"/>
      <c r="M383" s="1241">
        <f t="shared" si="109"/>
        <v>5111</v>
      </c>
      <c r="N383" s="1241">
        <f>C379-SUM(N379:N382)</f>
        <v>1967</v>
      </c>
      <c r="O383" s="1241">
        <f>D379-SUM(O379:O382)</f>
        <v>87</v>
      </c>
      <c r="P383" s="1241">
        <f t="shared" si="110"/>
        <v>3057</v>
      </c>
      <c r="Q383" s="1241">
        <f>E379-SUM(Q379:Q382)</f>
        <v>213</v>
      </c>
      <c r="R383" s="1241">
        <f t="shared" si="111"/>
        <v>2844</v>
      </c>
      <c r="S383" s="1241">
        <f t="shared" si="112"/>
        <v>2736</v>
      </c>
      <c r="T383" s="1241">
        <f>F379-SUM(T379:T382)</f>
        <v>2033</v>
      </c>
      <c r="U383" s="1241">
        <f>G379-SUM(U379:U382)</f>
        <v>703</v>
      </c>
      <c r="V383" s="1241">
        <f>H379-SUM(V379:V382)</f>
        <v>108</v>
      </c>
      <c r="W383" s="1232"/>
      <c r="X383" s="1232" t="s">
        <v>802</v>
      </c>
      <c r="Y383" s="1232" t="s">
        <v>9210</v>
      </c>
      <c r="Z383" s="1232" t="s">
        <v>9304</v>
      </c>
      <c r="AA383" s="1242" t="s">
        <v>1562</v>
      </c>
      <c r="AB383" s="940" t="s">
        <v>11734</v>
      </c>
      <c r="AC383" s="1243"/>
      <c r="AD383" s="943">
        <f t="shared" si="114"/>
        <v>5111</v>
      </c>
      <c r="AE383" s="943">
        <f t="shared" si="115"/>
        <v>1967</v>
      </c>
      <c r="AF383" s="943">
        <f t="shared" si="115"/>
        <v>87</v>
      </c>
      <c r="AG383" s="943">
        <f t="shared" si="116"/>
        <v>3057</v>
      </c>
      <c r="AH383" s="943">
        <f t="shared" si="117"/>
        <v>213</v>
      </c>
      <c r="AI383" s="943">
        <f t="shared" si="118"/>
        <v>2844</v>
      </c>
      <c r="AJ383" s="943">
        <f t="shared" si="119"/>
        <v>2736</v>
      </c>
      <c r="AK383" s="943">
        <f t="shared" si="120"/>
        <v>2033</v>
      </c>
      <c r="AL383" s="943">
        <f t="shared" si="120"/>
        <v>703</v>
      </c>
      <c r="AM383" s="943">
        <f t="shared" si="120"/>
        <v>108</v>
      </c>
    </row>
    <row r="384" spans="1:39" ht="16.5" customHeight="1">
      <c r="A384" s="1231" t="s">
        <v>9211</v>
      </c>
      <c r="B384" s="867" t="s">
        <v>11735</v>
      </c>
      <c r="C384" s="1240">
        <v>3746</v>
      </c>
      <c r="D384" s="1240">
        <v>304</v>
      </c>
      <c r="E384" s="1240">
        <v>1120</v>
      </c>
      <c r="F384" s="1240">
        <v>9860</v>
      </c>
      <c r="G384" s="1240">
        <v>17281</v>
      </c>
      <c r="H384" s="1240">
        <v>1543</v>
      </c>
      <c r="J384" s="1231" t="s">
        <v>1564</v>
      </c>
      <c r="K384" s="867" t="s">
        <v>809</v>
      </c>
      <c r="L384" s="867"/>
      <c r="M384" s="1232">
        <f t="shared" si="109"/>
        <v>651</v>
      </c>
      <c r="N384" s="1232">
        <v>20</v>
      </c>
      <c r="O384" s="1232">
        <v>0</v>
      </c>
      <c r="P384" s="1232">
        <f t="shared" si="110"/>
        <v>631</v>
      </c>
      <c r="Q384" s="1232">
        <v>12</v>
      </c>
      <c r="R384" s="1232">
        <f t="shared" si="111"/>
        <v>619</v>
      </c>
      <c r="S384" s="1232">
        <f t="shared" si="112"/>
        <v>565</v>
      </c>
      <c r="T384" s="1232">
        <v>108</v>
      </c>
      <c r="U384" s="1232">
        <v>457</v>
      </c>
      <c r="V384" s="1232">
        <v>54</v>
      </c>
      <c r="W384" s="1232"/>
      <c r="X384" s="1232" t="s">
        <v>808</v>
      </c>
      <c r="Y384" s="1232" t="s">
        <v>9211</v>
      </c>
      <c r="Z384" s="1232" t="s">
        <v>9304</v>
      </c>
      <c r="AA384" s="1236" t="s">
        <v>1564</v>
      </c>
      <c r="AB384" s="867" t="s">
        <v>809</v>
      </c>
      <c r="AC384" s="1237"/>
      <c r="AD384" s="942">
        <f t="shared" si="114"/>
        <v>651</v>
      </c>
      <c r="AE384" s="942">
        <f t="shared" si="115"/>
        <v>20</v>
      </c>
      <c r="AF384" s="942">
        <f t="shared" si="115"/>
        <v>0</v>
      </c>
      <c r="AG384" s="942">
        <f t="shared" si="116"/>
        <v>631</v>
      </c>
      <c r="AH384" s="942">
        <f t="shared" si="117"/>
        <v>12</v>
      </c>
      <c r="AI384" s="942">
        <f t="shared" si="118"/>
        <v>619</v>
      </c>
      <c r="AJ384" s="942">
        <f t="shared" si="119"/>
        <v>565</v>
      </c>
      <c r="AK384" s="942">
        <f t="shared" si="120"/>
        <v>108</v>
      </c>
      <c r="AL384" s="942">
        <f t="shared" si="120"/>
        <v>457</v>
      </c>
      <c r="AM384" s="942">
        <f t="shared" si="120"/>
        <v>54</v>
      </c>
    </row>
    <row r="385" spans="1:39" ht="16.5" customHeight="1">
      <c r="A385" s="1231"/>
      <c r="J385" s="1231" t="s">
        <v>1566</v>
      </c>
      <c r="K385" s="867" t="s">
        <v>11736</v>
      </c>
      <c r="L385" s="867"/>
      <c r="M385" s="1232">
        <f t="shared" si="109"/>
        <v>2082</v>
      </c>
      <c r="N385" s="1232">
        <v>570</v>
      </c>
      <c r="O385" s="1232">
        <v>18</v>
      </c>
      <c r="P385" s="1232">
        <f t="shared" si="110"/>
        <v>1494</v>
      </c>
      <c r="Q385" s="1232">
        <v>251</v>
      </c>
      <c r="R385" s="1232">
        <f t="shared" si="111"/>
        <v>1243</v>
      </c>
      <c r="S385" s="1232">
        <f t="shared" si="112"/>
        <v>1144</v>
      </c>
      <c r="T385" s="1232">
        <v>772</v>
      </c>
      <c r="U385" s="1232">
        <v>372</v>
      </c>
      <c r="V385" s="1232">
        <v>99</v>
      </c>
      <c r="W385" s="1232"/>
      <c r="X385" s="1232" t="s">
        <v>808</v>
      </c>
      <c r="Y385" s="1232" t="s">
        <v>9211</v>
      </c>
      <c r="Z385" s="1232" t="s">
        <v>9304</v>
      </c>
      <c r="AA385" s="1236" t="s">
        <v>1566</v>
      </c>
      <c r="AB385" s="867" t="s">
        <v>11736</v>
      </c>
      <c r="AC385" s="1237"/>
      <c r="AD385" s="942">
        <f t="shared" si="114"/>
        <v>2082</v>
      </c>
      <c r="AE385" s="942">
        <f t="shared" si="115"/>
        <v>570</v>
      </c>
      <c r="AF385" s="942">
        <f t="shared" si="115"/>
        <v>18</v>
      </c>
      <c r="AG385" s="942">
        <f t="shared" si="116"/>
        <v>1494</v>
      </c>
      <c r="AH385" s="942">
        <f t="shared" si="117"/>
        <v>251</v>
      </c>
      <c r="AI385" s="942">
        <f t="shared" si="118"/>
        <v>1243</v>
      </c>
      <c r="AJ385" s="942">
        <f t="shared" si="119"/>
        <v>1144</v>
      </c>
      <c r="AK385" s="942">
        <f t="shared" si="120"/>
        <v>772</v>
      </c>
      <c r="AL385" s="942">
        <f t="shared" si="120"/>
        <v>372</v>
      </c>
      <c r="AM385" s="942">
        <f t="shared" si="120"/>
        <v>99</v>
      </c>
    </row>
    <row r="386" spans="1:39" ht="16.5" customHeight="1">
      <c r="A386" s="1231"/>
      <c r="J386" s="1231" t="s">
        <v>1568</v>
      </c>
      <c r="K386" s="867" t="s">
        <v>811</v>
      </c>
      <c r="L386" s="867"/>
      <c r="M386" s="1232">
        <f t="shared" si="109"/>
        <v>328</v>
      </c>
      <c r="N386" s="1232">
        <v>58</v>
      </c>
      <c r="O386" s="1232">
        <v>6</v>
      </c>
      <c r="P386" s="1232">
        <f t="shared" si="110"/>
        <v>264</v>
      </c>
      <c r="Q386" s="1232">
        <v>7</v>
      </c>
      <c r="R386" s="1232">
        <f t="shared" si="111"/>
        <v>257</v>
      </c>
      <c r="S386" s="1232">
        <f t="shared" si="112"/>
        <v>241</v>
      </c>
      <c r="T386" s="1232">
        <v>145</v>
      </c>
      <c r="U386" s="1232">
        <v>96</v>
      </c>
      <c r="V386" s="1232">
        <v>16</v>
      </c>
      <c r="W386" s="1232"/>
      <c r="X386" s="1232" t="s">
        <v>808</v>
      </c>
      <c r="Y386" s="1232" t="s">
        <v>9211</v>
      </c>
      <c r="Z386" s="1232" t="s">
        <v>9304</v>
      </c>
      <c r="AA386" s="1236" t="s">
        <v>1568</v>
      </c>
      <c r="AB386" s="867" t="s">
        <v>811</v>
      </c>
      <c r="AC386" s="1237"/>
      <c r="AD386" s="942">
        <f t="shared" si="114"/>
        <v>328</v>
      </c>
      <c r="AE386" s="942">
        <f t="shared" si="115"/>
        <v>58</v>
      </c>
      <c r="AF386" s="942">
        <f t="shared" si="115"/>
        <v>6</v>
      </c>
      <c r="AG386" s="942">
        <f t="shared" si="116"/>
        <v>264</v>
      </c>
      <c r="AH386" s="942">
        <f t="shared" si="117"/>
        <v>7</v>
      </c>
      <c r="AI386" s="942">
        <f t="shared" si="118"/>
        <v>257</v>
      </c>
      <c r="AJ386" s="942">
        <f t="shared" si="119"/>
        <v>241</v>
      </c>
      <c r="AK386" s="942">
        <f t="shared" si="120"/>
        <v>145</v>
      </c>
      <c r="AL386" s="942">
        <f t="shared" si="120"/>
        <v>96</v>
      </c>
      <c r="AM386" s="942">
        <f t="shared" si="120"/>
        <v>16</v>
      </c>
    </row>
    <row r="387" spans="1:39" ht="16.5" customHeight="1">
      <c r="A387" s="1231"/>
      <c r="J387" s="1231" t="s">
        <v>1570</v>
      </c>
      <c r="K387" s="867" t="s">
        <v>812</v>
      </c>
      <c r="L387" s="867"/>
      <c r="M387" s="1232">
        <f t="shared" si="109"/>
        <v>15586</v>
      </c>
      <c r="N387" s="1232">
        <v>581</v>
      </c>
      <c r="O387" s="1232">
        <v>64</v>
      </c>
      <c r="P387" s="1232">
        <f t="shared" si="110"/>
        <v>14941</v>
      </c>
      <c r="Q387" s="1232">
        <v>420</v>
      </c>
      <c r="R387" s="1232">
        <f t="shared" si="111"/>
        <v>14521</v>
      </c>
      <c r="S387" s="1232">
        <f t="shared" si="112"/>
        <v>13699</v>
      </c>
      <c r="T387" s="1232">
        <v>4808</v>
      </c>
      <c r="U387" s="1232">
        <v>8891</v>
      </c>
      <c r="V387" s="1232">
        <v>822</v>
      </c>
      <c r="W387" s="1232"/>
      <c r="X387" s="1232" t="s">
        <v>808</v>
      </c>
      <c r="Y387" s="1232" t="s">
        <v>9211</v>
      </c>
      <c r="Z387" s="1232" t="s">
        <v>9304</v>
      </c>
      <c r="AA387" s="1249" t="s">
        <v>1570</v>
      </c>
      <c r="AB387" s="1250" t="s">
        <v>812</v>
      </c>
      <c r="AC387" s="1251"/>
      <c r="AD387" s="1220">
        <f t="shared" si="114"/>
        <v>15586</v>
      </c>
      <c r="AE387" s="1220">
        <f t="shared" si="115"/>
        <v>581</v>
      </c>
      <c r="AF387" s="1220">
        <f t="shared" si="115"/>
        <v>64</v>
      </c>
      <c r="AG387" s="1220">
        <f t="shared" si="116"/>
        <v>14941</v>
      </c>
      <c r="AH387" s="1220">
        <f t="shared" si="117"/>
        <v>420</v>
      </c>
      <c r="AI387" s="1220">
        <f t="shared" si="118"/>
        <v>14521</v>
      </c>
      <c r="AJ387" s="1220">
        <f t="shared" si="119"/>
        <v>13699</v>
      </c>
      <c r="AK387" s="1220">
        <f t="shared" si="120"/>
        <v>4808</v>
      </c>
      <c r="AL387" s="1220">
        <f t="shared" si="120"/>
        <v>8891</v>
      </c>
      <c r="AM387" s="1220">
        <f t="shared" si="120"/>
        <v>822</v>
      </c>
    </row>
    <row r="388" spans="1:39" ht="16.5" customHeight="1">
      <c r="A388" s="1231"/>
      <c r="J388" s="1231" t="s">
        <v>1572</v>
      </c>
      <c r="K388" s="867" t="s">
        <v>11548</v>
      </c>
      <c r="L388" s="867"/>
      <c r="M388" s="1232">
        <f t="shared" si="109"/>
        <v>15207</v>
      </c>
      <c r="N388" s="1241">
        <f>C384-SUM(N384:N387)</f>
        <v>2517</v>
      </c>
      <c r="O388" s="1241">
        <f>D384-SUM(O384:O387)</f>
        <v>216</v>
      </c>
      <c r="P388" s="1241">
        <f t="shared" si="110"/>
        <v>12474</v>
      </c>
      <c r="Q388" s="1241">
        <f>E384-SUM(Q384:Q387)</f>
        <v>430</v>
      </c>
      <c r="R388" s="1241">
        <f t="shared" si="111"/>
        <v>12044</v>
      </c>
      <c r="S388" s="1241">
        <f t="shared" si="112"/>
        <v>11492</v>
      </c>
      <c r="T388" s="1241">
        <f>F384-SUM(T384:T387)</f>
        <v>4027</v>
      </c>
      <c r="U388" s="1241">
        <f>G384-SUM(U384:U387)</f>
        <v>7465</v>
      </c>
      <c r="V388" s="1241">
        <f>H384-SUM(V384:V387)</f>
        <v>552</v>
      </c>
      <c r="W388" s="1232"/>
      <c r="X388" s="1232" t="s">
        <v>808</v>
      </c>
      <c r="Y388" s="1232" t="s">
        <v>9211</v>
      </c>
      <c r="Z388" s="1232" t="s">
        <v>9304</v>
      </c>
      <c r="AA388" s="1236" t="s">
        <v>1572</v>
      </c>
      <c r="AB388" s="867" t="s">
        <v>11548</v>
      </c>
      <c r="AC388" s="1237"/>
      <c r="AD388" s="942">
        <f t="shared" si="114"/>
        <v>15207</v>
      </c>
      <c r="AE388" s="943">
        <f t="shared" si="115"/>
        <v>2517</v>
      </c>
      <c r="AF388" s="943">
        <f t="shared" si="115"/>
        <v>216</v>
      </c>
      <c r="AG388" s="943">
        <f t="shared" si="116"/>
        <v>12474</v>
      </c>
      <c r="AH388" s="943">
        <f t="shared" si="117"/>
        <v>430</v>
      </c>
      <c r="AI388" s="943">
        <f t="shared" si="118"/>
        <v>12044</v>
      </c>
      <c r="AJ388" s="943">
        <f t="shared" si="119"/>
        <v>11492</v>
      </c>
      <c r="AK388" s="943">
        <f t="shared" si="120"/>
        <v>4027</v>
      </c>
      <c r="AL388" s="943">
        <f t="shared" si="120"/>
        <v>7465</v>
      </c>
      <c r="AM388" s="943">
        <f t="shared" si="120"/>
        <v>552</v>
      </c>
    </row>
    <row r="389" spans="1:39" ht="16.5" customHeight="1">
      <c r="A389" s="1244" t="s">
        <v>11737</v>
      </c>
      <c r="B389" s="1245" t="s">
        <v>11738</v>
      </c>
      <c r="C389" s="1240">
        <v>401</v>
      </c>
      <c r="D389" s="1240">
        <v>177</v>
      </c>
      <c r="E389" s="1240">
        <v>267</v>
      </c>
      <c r="F389" s="1240">
        <v>1090</v>
      </c>
      <c r="G389" s="1240">
        <v>442</v>
      </c>
      <c r="H389" s="1240">
        <v>33</v>
      </c>
      <c r="J389" s="1244" t="s">
        <v>11739</v>
      </c>
      <c r="K389" s="1245" t="s">
        <v>75</v>
      </c>
      <c r="L389" s="1245"/>
      <c r="M389" s="1246">
        <f t="shared" si="109"/>
        <v>2410</v>
      </c>
      <c r="N389" s="1246">
        <f t="shared" ref="N389:O389" si="127">C389</f>
        <v>401</v>
      </c>
      <c r="O389" s="1246">
        <f t="shared" si="127"/>
        <v>177</v>
      </c>
      <c r="P389" s="1246">
        <f t="shared" si="110"/>
        <v>1832</v>
      </c>
      <c r="Q389" s="1246">
        <f t="shared" ref="Q389" si="128">E389</f>
        <v>267</v>
      </c>
      <c r="R389" s="1246">
        <f t="shared" si="111"/>
        <v>1565</v>
      </c>
      <c r="S389" s="1246">
        <f t="shared" si="112"/>
        <v>1532</v>
      </c>
      <c r="T389" s="1246">
        <f t="shared" ref="T389:V389" si="129">F389</f>
        <v>1090</v>
      </c>
      <c r="U389" s="1246">
        <f t="shared" si="129"/>
        <v>442</v>
      </c>
      <c r="V389" s="1246">
        <f t="shared" si="129"/>
        <v>33</v>
      </c>
      <c r="W389" s="1232"/>
      <c r="X389" s="1232" t="s">
        <v>11594</v>
      </c>
      <c r="Y389" s="1232" t="s">
        <v>11737</v>
      </c>
      <c r="Z389" s="1232" t="s">
        <v>9304</v>
      </c>
      <c r="AA389" s="1247" t="s">
        <v>11739</v>
      </c>
      <c r="AB389" s="1245" t="s">
        <v>75</v>
      </c>
      <c r="AC389" s="1248"/>
      <c r="AD389" s="1215">
        <f t="shared" si="114"/>
        <v>2410</v>
      </c>
      <c r="AE389" s="1215">
        <f t="shared" si="115"/>
        <v>401</v>
      </c>
      <c r="AF389" s="1215">
        <f t="shared" si="115"/>
        <v>177</v>
      </c>
      <c r="AG389" s="1215">
        <f t="shared" si="116"/>
        <v>1832</v>
      </c>
      <c r="AH389" s="1215">
        <f t="shared" si="117"/>
        <v>267</v>
      </c>
      <c r="AI389" s="1215">
        <f t="shared" si="118"/>
        <v>1565</v>
      </c>
      <c r="AJ389" s="1215">
        <f t="shared" si="119"/>
        <v>1532</v>
      </c>
      <c r="AK389" s="1215">
        <f t="shared" si="120"/>
        <v>1090</v>
      </c>
      <c r="AL389" s="1215">
        <f t="shared" si="120"/>
        <v>442</v>
      </c>
      <c r="AM389" s="1215">
        <f t="shared" si="120"/>
        <v>33</v>
      </c>
    </row>
    <row r="390" spans="1:39" ht="16.5" customHeight="1">
      <c r="A390" s="1231" t="s">
        <v>9212</v>
      </c>
      <c r="B390" s="867" t="s">
        <v>820</v>
      </c>
      <c r="C390" s="1240">
        <v>13764</v>
      </c>
      <c r="D390" s="1240">
        <v>1031</v>
      </c>
      <c r="E390" s="1240">
        <v>2001</v>
      </c>
      <c r="F390" s="1240">
        <v>10127</v>
      </c>
      <c r="G390" s="1240">
        <v>18303</v>
      </c>
      <c r="H390" s="1240">
        <v>2804</v>
      </c>
      <c r="J390" s="1231" t="s">
        <v>1576</v>
      </c>
      <c r="K390" s="867" t="s">
        <v>816</v>
      </c>
      <c r="L390" s="867"/>
      <c r="M390" s="1232">
        <f t="shared" si="109"/>
        <v>1726</v>
      </c>
      <c r="N390" s="1232">
        <v>731</v>
      </c>
      <c r="O390" s="1232">
        <v>123</v>
      </c>
      <c r="P390" s="1232">
        <f t="shared" si="110"/>
        <v>872</v>
      </c>
      <c r="Q390" s="1232">
        <v>123</v>
      </c>
      <c r="R390" s="1232">
        <f t="shared" si="111"/>
        <v>749</v>
      </c>
      <c r="S390" s="1232">
        <f t="shared" si="112"/>
        <v>684</v>
      </c>
      <c r="T390" s="1232">
        <v>408</v>
      </c>
      <c r="U390" s="1232">
        <v>276</v>
      </c>
      <c r="V390" s="1232">
        <v>65</v>
      </c>
      <c r="W390" s="1232"/>
      <c r="X390" s="1232" t="s">
        <v>815</v>
      </c>
      <c r="Y390" s="1232" t="s">
        <v>9212</v>
      </c>
      <c r="Z390" s="1232" t="s">
        <v>9304</v>
      </c>
      <c r="AA390" s="1236" t="s">
        <v>1576</v>
      </c>
      <c r="AB390" s="867" t="s">
        <v>816</v>
      </c>
      <c r="AC390" s="1237"/>
      <c r="AD390" s="942">
        <f t="shared" si="114"/>
        <v>1726</v>
      </c>
      <c r="AE390" s="942">
        <f t="shared" si="115"/>
        <v>731</v>
      </c>
      <c r="AF390" s="942">
        <f t="shared" si="115"/>
        <v>123</v>
      </c>
      <c r="AG390" s="942">
        <f t="shared" si="116"/>
        <v>872</v>
      </c>
      <c r="AH390" s="942">
        <f t="shared" si="117"/>
        <v>123</v>
      </c>
      <c r="AI390" s="942">
        <f t="shared" si="118"/>
        <v>749</v>
      </c>
      <c r="AJ390" s="942">
        <f t="shared" si="119"/>
        <v>684</v>
      </c>
      <c r="AK390" s="942">
        <f t="shared" si="120"/>
        <v>408</v>
      </c>
      <c r="AL390" s="942">
        <f t="shared" si="120"/>
        <v>276</v>
      </c>
      <c r="AM390" s="942">
        <f t="shared" si="120"/>
        <v>65</v>
      </c>
    </row>
    <row r="391" spans="1:39" ht="16.5" customHeight="1">
      <c r="A391" s="1231"/>
      <c r="J391" s="1231" t="s">
        <v>1578</v>
      </c>
      <c r="K391" s="867" t="s">
        <v>817</v>
      </c>
      <c r="L391" s="867"/>
      <c r="M391" s="1232">
        <f t="shared" si="109"/>
        <v>4983</v>
      </c>
      <c r="N391" s="1232">
        <v>80</v>
      </c>
      <c r="O391" s="1232">
        <v>16</v>
      </c>
      <c r="P391" s="1232">
        <f t="shared" si="110"/>
        <v>4887</v>
      </c>
      <c r="Q391" s="1232">
        <v>341</v>
      </c>
      <c r="R391" s="1232">
        <f t="shared" si="111"/>
        <v>4546</v>
      </c>
      <c r="S391" s="1232">
        <f t="shared" si="112"/>
        <v>4127</v>
      </c>
      <c r="T391" s="1232">
        <v>1677</v>
      </c>
      <c r="U391" s="1232">
        <v>2450</v>
      </c>
      <c r="V391" s="1232">
        <v>419</v>
      </c>
      <c r="W391" s="1232"/>
      <c r="X391" s="1232" t="s">
        <v>815</v>
      </c>
      <c r="Y391" s="1232" t="s">
        <v>9212</v>
      </c>
      <c r="Z391" s="1232" t="s">
        <v>9304</v>
      </c>
      <c r="AA391" s="1236" t="s">
        <v>1578</v>
      </c>
      <c r="AB391" s="867" t="s">
        <v>817</v>
      </c>
      <c r="AC391" s="1237"/>
      <c r="AD391" s="942">
        <f t="shared" si="114"/>
        <v>4983</v>
      </c>
      <c r="AE391" s="942">
        <f t="shared" si="115"/>
        <v>80</v>
      </c>
      <c r="AF391" s="942">
        <f t="shared" si="115"/>
        <v>16</v>
      </c>
      <c r="AG391" s="942">
        <f t="shared" si="116"/>
        <v>4887</v>
      </c>
      <c r="AH391" s="942">
        <f t="shared" si="117"/>
        <v>341</v>
      </c>
      <c r="AI391" s="942">
        <f t="shared" si="118"/>
        <v>4546</v>
      </c>
      <c r="AJ391" s="942">
        <f t="shared" si="119"/>
        <v>4127</v>
      </c>
      <c r="AK391" s="942">
        <f t="shared" si="120"/>
        <v>1677</v>
      </c>
      <c r="AL391" s="942">
        <f t="shared" si="120"/>
        <v>2450</v>
      </c>
      <c r="AM391" s="942">
        <f t="shared" si="120"/>
        <v>419</v>
      </c>
    </row>
    <row r="392" spans="1:39" ht="16.5" customHeight="1">
      <c r="A392" s="1231"/>
      <c r="J392" s="1231" t="s">
        <v>1580</v>
      </c>
      <c r="K392" s="867" t="s">
        <v>11740</v>
      </c>
      <c r="L392" s="867"/>
      <c r="M392" s="1232">
        <f t="shared" si="109"/>
        <v>33045</v>
      </c>
      <c r="N392" s="1232">
        <v>10597</v>
      </c>
      <c r="O392" s="1232">
        <v>601</v>
      </c>
      <c r="P392" s="1232">
        <f t="shared" si="110"/>
        <v>21847</v>
      </c>
      <c r="Q392" s="1232">
        <v>1045</v>
      </c>
      <c r="R392" s="1232">
        <f t="shared" si="111"/>
        <v>20802</v>
      </c>
      <c r="S392" s="1232">
        <f t="shared" si="112"/>
        <v>18847</v>
      </c>
      <c r="T392" s="1232">
        <v>5901</v>
      </c>
      <c r="U392" s="1232">
        <v>12946</v>
      </c>
      <c r="V392" s="1232">
        <v>1955</v>
      </c>
      <c r="W392" s="1232"/>
      <c r="X392" s="1232" t="s">
        <v>815</v>
      </c>
      <c r="Y392" s="1232" t="s">
        <v>9212</v>
      </c>
      <c r="Z392" s="1232" t="s">
        <v>9304</v>
      </c>
      <c r="AA392" s="1236" t="s">
        <v>1580</v>
      </c>
      <c r="AB392" s="867" t="s">
        <v>11740</v>
      </c>
      <c r="AC392" s="1237"/>
      <c r="AD392" s="942">
        <f t="shared" si="114"/>
        <v>33045</v>
      </c>
      <c r="AE392" s="942">
        <f t="shared" si="115"/>
        <v>10597</v>
      </c>
      <c r="AF392" s="942">
        <f t="shared" si="115"/>
        <v>601</v>
      </c>
      <c r="AG392" s="942">
        <f t="shared" si="116"/>
        <v>21847</v>
      </c>
      <c r="AH392" s="942">
        <f t="shared" si="117"/>
        <v>1045</v>
      </c>
      <c r="AI392" s="942">
        <f t="shared" si="118"/>
        <v>20802</v>
      </c>
      <c r="AJ392" s="942">
        <f t="shared" si="119"/>
        <v>18847</v>
      </c>
      <c r="AK392" s="942">
        <f t="shared" si="120"/>
        <v>5901</v>
      </c>
      <c r="AL392" s="942">
        <f t="shared" si="120"/>
        <v>12946</v>
      </c>
      <c r="AM392" s="942">
        <f t="shared" si="120"/>
        <v>1955</v>
      </c>
    </row>
    <row r="393" spans="1:39" ht="16.5" customHeight="1">
      <c r="A393" s="1231"/>
      <c r="J393" s="1231" t="s">
        <v>1582</v>
      </c>
      <c r="K393" s="867" t="s">
        <v>11741</v>
      </c>
      <c r="L393" s="867"/>
      <c r="M393" s="1232">
        <f t="shared" ref="M393:M397" si="130">N393+O393+P393</f>
        <v>2418</v>
      </c>
      <c r="N393" s="1232">
        <v>800</v>
      </c>
      <c r="O393" s="1232">
        <v>138</v>
      </c>
      <c r="P393" s="1232">
        <f t="shared" ref="P393:P397" si="131">Q393+R393</f>
        <v>1480</v>
      </c>
      <c r="Q393" s="1232">
        <v>156</v>
      </c>
      <c r="R393" s="1232">
        <f t="shared" ref="R393:R397" si="132">S393+V393</f>
        <v>1324</v>
      </c>
      <c r="S393" s="1232">
        <f t="shared" ref="S393:S397" si="133">T393+U393</f>
        <v>1253</v>
      </c>
      <c r="T393" s="1232">
        <v>716</v>
      </c>
      <c r="U393" s="1232">
        <v>537</v>
      </c>
      <c r="V393" s="1232">
        <v>71</v>
      </c>
      <c r="W393" s="1232"/>
      <c r="X393" s="1232" t="s">
        <v>815</v>
      </c>
      <c r="Y393" s="1232" t="s">
        <v>9212</v>
      </c>
      <c r="Z393" s="1232" t="s">
        <v>9304</v>
      </c>
      <c r="AA393" s="1236" t="s">
        <v>1582</v>
      </c>
      <c r="AB393" s="867" t="s">
        <v>11741</v>
      </c>
      <c r="AC393" s="1237"/>
      <c r="AD393" s="942">
        <f t="shared" ref="AD393:AD397" si="134">AE393+AF393+AG393</f>
        <v>2418</v>
      </c>
      <c r="AE393" s="942">
        <f t="shared" ref="AE393:AF396" si="135">N393</f>
        <v>800</v>
      </c>
      <c r="AF393" s="942">
        <f t="shared" si="135"/>
        <v>138</v>
      </c>
      <c r="AG393" s="942">
        <f t="shared" ref="AG393:AG397" si="136">AH393+AI393</f>
        <v>1480</v>
      </c>
      <c r="AH393" s="942">
        <f t="shared" ref="AH393:AH396" si="137">Q393</f>
        <v>156</v>
      </c>
      <c r="AI393" s="942">
        <f t="shared" ref="AI393:AI397" si="138">AJ393+AM393</f>
        <v>1324</v>
      </c>
      <c r="AJ393" s="942">
        <f t="shared" ref="AJ393:AJ397" si="139">AK393+AL393</f>
        <v>1253</v>
      </c>
      <c r="AK393" s="942">
        <f t="shared" ref="AK393:AM396" si="140">T393</f>
        <v>716</v>
      </c>
      <c r="AL393" s="942">
        <f t="shared" si="140"/>
        <v>537</v>
      </c>
      <c r="AM393" s="942">
        <f t="shared" si="140"/>
        <v>71</v>
      </c>
    </row>
    <row r="394" spans="1:39" ht="16.5" customHeight="1">
      <c r="A394" s="1231"/>
      <c r="J394" s="1231" t="s">
        <v>1584</v>
      </c>
      <c r="K394" s="867" t="s">
        <v>820</v>
      </c>
      <c r="L394" s="867"/>
      <c r="M394" s="1232">
        <f t="shared" si="130"/>
        <v>5858</v>
      </c>
      <c r="N394" s="1241">
        <f>C390-SUM(N390:N393)</f>
        <v>1556</v>
      </c>
      <c r="O394" s="1241">
        <f>D390-SUM(O390:O393)</f>
        <v>153</v>
      </c>
      <c r="P394" s="1241">
        <f t="shared" si="131"/>
        <v>4149</v>
      </c>
      <c r="Q394" s="1241">
        <f>E390-SUM(Q390:Q393)</f>
        <v>336</v>
      </c>
      <c r="R394" s="1241">
        <f t="shared" si="132"/>
        <v>3813</v>
      </c>
      <c r="S394" s="1241">
        <f t="shared" si="133"/>
        <v>3519</v>
      </c>
      <c r="T394" s="1241">
        <f>F390-SUM(T390:T393)</f>
        <v>1425</v>
      </c>
      <c r="U394" s="1241">
        <f>G390-SUM(U390:U393)</f>
        <v>2094</v>
      </c>
      <c r="V394" s="1241">
        <f>H390-SUM(V390:V393)</f>
        <v>294</v>
      </c>
      <c r="W394" s="1232"/>
      <c r="X394" s="1232" t="s">
        <v>815</v>
      </c>
      <c r="Y394" s="1232" t="s">
        <v>9212</v>
      </c>
      <c r="Z394" s="1232" t="s">
        <v>9304</v>
      </c>
      <c r="AA394" s="1236" t="s">
        <v>1584</v>
      </c>
      <c r="AB394" s="867" t="s">
        <v>820</v>
      </c>
      <c r="AC394" s="1237"/>
      <c r="AD394" s="942">
        <f t="shared" si="134"/>
        <v>5858</v>
      </c>
      <c r="AE394" s="943">
        <f t="shared" si="135"/>
        <v>1556</v>
      </c>
      <c r="AF394" s="943">
        <f t="shared" si="135"/>
        <v>153</v>
      </c>
      <c r="AG394" s="943">
        <f t="shared" si="136"/>
        <v>4149</v>
      </c>
      <c r="AH394" s="943">
        <f t="shared" si="137"/>
        <v>336</v>
      </c>
      <c r="AI394" s="943">
        <f t="shared" si="138"/>
        <v>3813</v>
      </c>
      <c r="AJ394" s="943">
        <f t="shared" si="139"/>
        <v>3519</v>
      </c>
      <c r="AK394" s="943">
        <f t="shared" si="140"/>
        <v>1425</v>
      </c>
      <c r="AL394" s="943">
        <f t="shared" si="140"/>
        <v>2094</v>
      </c>
      <c r="AM394" s="943">
        <f t="shared" si="140"/>
        <v>294</v>
      </c>
    </row>
    <row r="395" spans="1:39" ht="16.5" customHeight="1">
      <c r="A395" s="1244" t="s">
        <v>9213</v>
      </c>
      <c r="B395" s="1245" t="s">
        <v>11742</v>
      </c>
      <c r="C395" s="1240">
        <v>0</v>
      </c>
      <c r="D395" s="1240">
        <v>0</v>
      </c>
      <c r="E395" s="1240">
        <v>0</v>
      </c>
      <c r="F395" s="1240">
        <v>0</v>
      </c>
      <c r="G395" s="1240">
        <v>0</v>
      </c>
      <c r="H395" s="1240">
        <v>0</v>
      </c>
      <c r="J395" s="1244" t="s">
        <v>11743</v>
      </c>
      <c r="K395" s="1245" t="s">
        <v>823</v>
      </c>
      <c r="L395" s="1245"/>
      <c r="M395" s="1246">
        <f t="shared" si="130"/>
        <v>0</v>
      </c>
      <c r="N395" s="1246">
        <f t="shared" ref="N395:O396" si="141">C395</f>
        <v>0</v>
      </c>
      <c r="O395" s="1246">
        <f t="shared" si="141"/>
        <v>0</v>
      </c>
      <c r="P395" s="1246">
        <f t="shared" si="131"/>
        <v>0</v>
      </c>
      <c r="Q395" s="1246">
        <f t="shared" ref="Q395:Q396" si="142">E395</f>
        <v>0</v>
      </c>
      <c r="R395" s="1246">
        <f t="shared" si="132"/>
        <v>0</v>
      </c>
      <c r="S395" s="1246">
        <f t="shared" si="133"/>
        <v>0</v>
      </c>
      <c r="T395" s="1246">
        <f t="shared" ref="T395:V396" si="143">F395</f>
        <v>0</v>
      </c>
      <c r="U395" s="1246">
        <f t="shared" si="143"/>
        <v>0</v>
      </c>
      <c r="V395" s="1246">
        <f t="shared" si="143"/>
        <v>0</v>
      </c>
      <c r="W395" s="1232"/>
      <c r="X395" s="1232" t="s">
        <v>9486</v>
      </c>
      <c r="Y395" s="1232" t="s">
        <v>9213</v>
      </c>
      <c r="Z395" s="1232" t="s">
        <v>9305</v>
      </c>
      <c r="AA395" s="1247" t="s">
        <v>11743</v>
      </c>
      <c r="AB395" s="1245" t="s">
        <v>823</v>
      </c>
      <c r="AC395" s="1248"/>
      <c r="AD395" s="1215">
        <f t="shared" si="134"/>
        <v>0</v>
      </c>
      <c r="AE395" s="1215">
        <f t="shared" si="135"/>
        <v>0</v>
      </c>
      <c r="AF395" s="1215">
        <f t="shared" si="135"/>
        <v>0</v>
      </c>
      <c r="AG395" s="1215">
        <f t="shared" si="136"/>
        <v>0</v>
      </c>
      <c r="AH395" s="1215">
        <f t="shared" si="137"/>
        <v>0</v>
      </c>
      <c r="AI395" s="1215">
        <f t="shared" si="138"/>
        <v>0</v>
      </c>
      <c r="AJ395" s="1215">
        <f t="shared" si="139"/>
        <v>0</v>
      </c>
      <c r="AK395" s="1215">
        <f t="shared" si="140"/>
        <v>0</v>
      </c>
      <c r="AL395" s="1215">
        <f t="shared" si="140"/>
        <v>0</v>
      </c>
      <c r="AM395" s="1215">
        <f t="shared" si="140"/>
        <v>0</v>
      </c>
    </row>
    <row r="396" spans="1:39" ht="16.5" customHeight="1">
      <c r="A396" s="1244" t="s">
        <v>9214</v>
      </c>
      <c r="B396" s="1245" t="s">
        <v>11744</v>
      </c>
      <c r="C396" s="1246">
        <v>14</v>
      </c>
      <c r="D396" s="1246">
        <v>2</v>
      </c>
      <c r="E396" s="1246">
        <v>15</v>
      </c>
      <c r="F396" s="1246">
        <v>224</v>
      </c>
      <c r="G396" s="1246">
        <v>431</v>
      </c>
      <c r="H396" s="1246">
        <v>14</v>
      </c>
      <c r="J396" s="1244" t="s">
        <v>1586</v>
      </c>
      <c r="K396" s="1245" t="s">
        <v>7669</v>
      </c>
      <c r="L396" s="1245"/>
      <c r="M396" s="1246">
        <f t="shared" si="130"/>
        <v>700</v>
      </c>
      <c r="N396" s="1246">
        <f t="shared" si="141"/>
        <v>14</v>
      </c>
      <c r="O396" s="1246">
        <f t="shared" si="141"/>
        <v>2</v>
      </c>
      <c r="P396" s="1246">
        <f t="shared" si="131"/>
        <v>684</v>
      </c>
      <c r="Q396" s="1246">
        <f t="shared" si="142"/>
        <v>15</v>
      </c>
      <c r="R396" s="1246">
        <f t="shared" si="132"/>
        <v>669</v>
      </c>
      <c r="S396" s="1246">
        <f t="shared" si="133"/>
        <v>655</v>
      </c>
      <c r="T396" s="1246">
        <f t="shared" si="143"/>
        <v>224</v>
      </c>
      <c r="U396" s="1246">
        <f t="shared" si="143"/>
        <v>431</v>
      </c>
      <c r="V396" s="1246">
        <f t="shared" si="143"/>
        <v>14</v>
      </c>
      <c r="W396" s="1232"/>
      <c r="X396" s="1232" t="s">
        <v>9487</v>
      </c>
      <c r="Y396" s="1232" t="s">
        <v>9214</v>
      </c>
      <c r="Z396" s="1232" t="s">
        <v>9306</v>
      </c>
      <c r="AA396" s="1247" t="s">
        <v>1586</v>
      </c>
      <c r="AB396" s="1245" t="s">
        <v>7669</v>
      </c>
      <c r="AC396" s="1248"/>
      <c r="AD396" s="1215">
        <f t="shared" si="134"/>
        <v>700</v>
      </c>
      <c r="AE396" s="1215">
        <f t="shared" si="135"/>
        <v>14</v>
      </c>
      <c r="AF396" s="1215">
        <f t="shared" si="135"/>
        <v>2</v>
      </c>
      <c r="AG396" s="1215">
        <f t="shared" si="136"/>
        <v>684</v>
      </c>
      <c r="AH396" s="1215">
        <f t="shared" si="137"/>
        <v>15</v>
      </c>
      <c r="AI396" s="1215">
        <f t="shared" si="138"/>
        <v>669</v>
      </c>
      <c r="AJ396" s="1215">
        <f t="shared" si="139"/>
        <v>655</v>
      </c>
      <c r="AK396" s="1215">
        <f t="shared" si="140"/>
        <v>224</v>
      </c>
      <c r="AL396" s="1215">
        <f t="shared" si="140"/>
        <v>431</v>
      </c>
      <c r="AM396" s="1215">
        <f t="shared" si="140"/>
        <v>14</v>
      </c>
    </row>
    <row r="397" spans="1:39" ht="16.5" customHeight="1">
      <c r="A397" s="1231" t="s">
        <v>9215</v>
      </c>
      <c r="B397" s="867" t="s">
        <v>9216</v>
      </c>
      <c r="C397" s="1232">
        <f t="shared" ref="C397:H397" si="144">SUM(C8:C396)</f>
        <v>205766</v>
      </c>
      <c r="D397" s="1232">
        <f t="shared" si="144"/>
        <v>51655</v>
      </c>
      <c r="E397" s="1232">
        <f t="shared" si="144"/>
        <v>150764</v>
      </c>
      <c r="F397" s="1232">
        <f t="shared" si="144"/>
        <v>1296784</v>
      </c>
      <c r="G397" s="1232">
        <f t="shared" si="144"/>
        <v>864368</v>
      </c>
      <c r="H397" s="1232">
        <f t="shared" si="144"/>
        <v>64249</v>
      </c>
      <c r="J397" s="1231" t="s">
        <v>11745</v>
      </c>
      <c r="K397" s="867" t="s">
        <v>9216</v>
      </c>
      <c r="L397" s="867"/>
      <c r="M397" s="1232" t="e">
        <f t="shared" si="130"/>
        <v>#DIV/0!</v>
      </c>
      <c r="N397" s="1232" t="e">
        <f>SUM(N8:N396)</f>
        <v>#DIV/0!</v>
      </c>
      <c r="O397" s="1232" t="e">
        <f>SUM(O8:O396)</f>
        <v>#DIV/0!</v>
      </c>
      <c r="P397" s="1232" t="e">
        <f t="shared" si="131"/>
        <v>#DIV/0!</v>
      </c>
      <c r="Q397" s="1232" t="e">
        <f>SUM(Q8:Q396)</f>
        <v>#DIV/0!</v>
      </c>
      <c r="R397" s="1232" t="e">
        <f t="shared" si="132"/>
        <v>#DIV/0!</v>
      </c>
      <c r="S397" s="1232" t="e">
        <f t="shared" si="133"/>
        <v>#DIV/0!</v>
      </c>
      <c r="T397" s="1232" t="e">
        <f>SUM(T8:T396)</f>
        <v>#DIV/0!</v>
      </c>
      <c r="U397" s="1232" t="e">
        <f>SUM(U8:U396)</f>
        <v>#DIV/0!</v>
      </c>
      <c r="V397" s="1232" t="e">
        <f>SUM(V8:V396)</f>
        <v>#DIV/0!</v>
      </c>
      <c r="W397" s="1232"/>
      <c r="X397" s="1232" t="s">
        <v>9488</v>
      </c>
      <c r="Y397" s="1232" t="s">
        <v>9215</v>
      </c>
      <c r="Z397" s="1232" t="s">
        <v>9307</v>
      </c>
      <c r="AA397" s="1242" t="s">
        <v>11745</v>
      </c>
      <c r="AB397" s="940" t="s">
        <v>9216</v>
      </c>
      <c r="AC397" s="1243"/>
      <c r="AD397" s="943">
        <f t="shared" si="134"/>
        <v>2633586</v>
      </c>
      <c r="AE397" s="943">
        <f>SUM(AE8:AE396)</f>
        <v>205766</v>
      </c>
      <c r="AF397" s="943">
        <f>SUM(AF8:AF396)</f>
        <v>51655</v>
      </c>
      <c r="AG397" s="943">
        <f t="shared" si="136"/>
        <v>2376165</v>
      </c>
      <c r="AH397" s="943">
        <f>SUM(AH8:AH396)</f>
        <v>150764</v>
      </c>
      <c r="AI397" s="943">
        <f t="shared" si="138"/>
        <v>2225401</v>
      </c>
      <c r="AJ397" s="943">
        <f t="shared" si="139"/>
        <v>2161152</v>
      </c>
      <c r="AK397" s="943">
        <f>SUM(AK8:AK396)</f>
        <v>1296784</v>
      </c>
      <c r="AL397" s="943">
        <f>SUM(AL8:AL396)</f>
        <v>864368</v>
      </c>
      <c r="AM397" s="943">
        <f>SUM(AM8:AM396)</f>
        <v>64249</v>
      </c>
    </row>
  </sheetData>
  <mergeCells count="30">
    <mergeCell ref="AM5:AM7"/>
    <mergeCell ref="F6:F7"/>
    <mergeCell ref="G6:G7"/>
    <mergeCell ref="T6:T7"/>
    <mergeCell ref="U6:U7"/>
    <mergeCell ref="AK6:AK7"/>
    <mergeCell ref="AL6:AL7"/>
    <mergeCell ref="AH4:AH7"/>
    <mergeCell ref="AI4:AI7"/>
    <mergeCell ref="H5:H7"/>
    <mergeCell ref="S5:S7"/>
    <mergeCell ref="V5:V7"/>
    <mergeCell ref="AJ5:AJ7"/>
    <mergeCell ref="AD3:AD7"/>
    <mergeCell ref="AE3:AE7"/>
    <mergeCell ref="AF3:AF7"/>
    <mergeCell ref="AG3:AG7"/>
    <mergeCell ref="E4:E7"/>
    <mergeCell ref="Q4:Q7"/>
    <mergeCell ref="R4:R7"/>
    <mergeCell ref="J2:K2"/>
    <mergeCell ref="AA2:AB2"/>
    <mergeCell ref="O3:O7"/>
    <mergeCell ref="P3:P7"/>
    <mergeCell ref="AA3:AC7"/>
    <mergeCell ref="C3:C7"/>
    <mergeCell ref="D3:D7"/>
    <mergeCell ref="J3:L7"/>
    <mergeCell ref="M3:M7"/>
    <mergeCell ref="N3:N7"/>
  </mergeCells>
  <phoneticPr fontId="1"/>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54431-9260-45FA-B722-9A176F418522}">
  <dimension ref="A1:GI218"/>
  <sheetViews>
    <sheetView workbookViewId="0">
      <pane xSplit="3" ySplit="6" topLeftCell="FW7" activePane="bottomRight" state="frozen"/>
      <selection pane="topRight" activeCell="D1" sqref="D1"/>
      <selection pane="bottomLeft" activeCell="A7" sqref="A7"/>
      <selection pane="bottomRight" activeCell="GD21" sqref="GD21"/>
    </sheetView>
  </sheetViews>
  <sheetFormatPr defaultColWidth="9" defaultRowHeight="12"/>
  <cols>
    <col min="1" max="1" width="3.58203125" style="566" customWidth="1"/>
    <col min="2" max="2" width="5.75" style="567" customWidth="1"/>
    <col min="3" max="3" width="23.75" style="566" bestFit="1" customWidth="1"/>
    <col min="4" max="189" width="10.58203125" style="566" customWidth="1"/>
    <col min="190" max="191" width="5.75" style="566" customWidth="1"/>
    <col min="192" max="16384" width="9" style="566"/>
  </cols>
  <sheetData>
    <row r="1" spans="1:191">
      <c r="A1" s="566" t="s">
        <v>9242</v>
      </c>
    </row>
    <row r="2" spans="1:191">
      <c r="A2" s="566" t="s">
        <v>9243</v>
      </c>
    </row>
    <row r="3" spans="1:191">
      <c r="A3" s="568"/>
      <c r="B3" s="569"/>
      <c r="C3" s="570" t="s">
        <v>9244</v>
      </c>
      <c r="D3" s="571" t="s">
        <v>3161</v>
      </c>
      <c r="E3" s="571" t="s">
        <v>3168</v>
      </c>
      <c r="F3" s="571" t="s">
        <v>3459</v>
      </c>
      <c r="G3" s="571" t="s">
        <v>3170</v>
      </c>
      <c r="H3" s="571" t="s">
        <v>3172</v>
      </c>
      <c r="I3" s="571" t="s">
        <v>3432</v>
      </c>
      <c r="J3" s="571" t="s">
        <v>4455</v>
      </c>
      <c r="K3" s="571" t="s">
        <v>9245</v>
      </c>
      <c r="L3" s="571" t="s">
        <v>9246</v>
      </c>
      <c r="M3" s="571" t="s">
        <v>9247</v>
      </c>
      <c r="N3" s="571" t="s">
        <v>9248</v>
      </c>
      <c r="O3" s="571" t="s">
        <v>9249</v>
      </c>
      <c r="P3" s="571" t="s">
        <v>9250</v>
      </c>
      <c r="Q3" s="571" t="s">
        <v>9251</v>
      </c>
      <c r="R3" s="571" t="s">
        <v>9252</v>
      </c>
      <c r="S3" s="571" t="s">
        <v>9253</v>
      </c>
      <c r="T3" s="571" t="s">
        <v>9254</v>
      </c>
      <c r="U3" s="571" t="s">
        <v>9255</v>
      </c>
      <c r="V3" s="571" t="s">
        <v>9256</v>
      </c>
      <c r="W3" s="571" t="s">
        <v>9257</v>
      </c>
      <c r="X3" s="571" t="s">
        <v>9258</v>
      </c>
      <c r="Y3" s="571" t="s">
        <v>9259</v>
      </c>
      <c r="Z3" s="571" t="s">
        <v>9260</v>
      </c>
      <c r="AA3" s="571" t="s">
        <v>9261</v>
      </c>
      <c r="AB3" s="571" t="s">
        <v>9262</v>
      </c>
      <c r="AC3" s="571" t="s">
        <v>9263</v>
      </c>
      <c r="AD3" s="571" t="s">
        <v>9264</v>
      </c>
      <c r="AE3" s="571" t="s">
        <v>9265</v>
      </c>
      <c r="AF3" s="571" t="s">
        <v>9266</v>
      </c>
      <c r="AG3" s="571" t="s">
        <v>9267</v>
      </c>
      <c r="AH3" s="571" t="s">
        <v>9268</v>
      </c>
      <c r="AI3" s="571" t="s">
        <v>9269</v>
      </c>
      <c r="AJ3" s="571" t="s">
        <v>9270</v>
      </c>
      <c r="AK3" s="571" t="s">
        <v>9271</v>
      </c>
      <c r="AL3" s="571" t="s">
        <v>9272</v>
      </c>
      <c r="AM3" s="571" t="s">
        <v>9273</v>
      </c>
      <c r="AN3" s="571" t="s">
        <v>9274</v>
      </c>
      <c r="AO3" s="571" t="s">
        <v>9275</v>
      </c>
      <c r="AP3" s="571" t="s">
        <v>9276</v>
      </c>
      <c r="AQ3" s="571" t="s">
        <v>9277</v>
      </c>
      <c r="AR3" s="571" t="s">
        <v>9278</v>
      </c>
      <c r="AS3" s="571" t="s">
        <v>9279</v>
      </c>
      <c r="AT3" s="571" t="s">
        <v>9280</v>
      </c>
      <c r="AU3" s="571" t="s">
        <v>9281</v>
      </c>
      <c r="AV3" s="571" t="s">
        <v>9282</v>
      </c>
      <c r="AW3" s="571" t="s">
        <v>9283</v>
      </c>
      <c r="AX3" s="571" t="s">
        <v>9284</v>
      </c>
      <c r="AY3" s="571" t="s">
        <v>9285</v>
      </c>
      <c r="AZ3" s="571" t="s">
        <v>9286</v>
      </c>
      <c r="BA3" s="571" t="s">
        <v>9287</v>
      </c>
      <c r="BB3" s="571" t="s">
        <v>9288</v>
      </c>
      <c r="BC3" s="571" t="s">
        <v>9289</v>
      </c>
      <c r="BD3" s="571" t="s">
        <v>9290</v>
      </c>
      <c r="BE3" s="571" t="s">
        <v>9291</v>
      </c>
      <c r="BF3" s="571" t="s">
        <v>9292</v>
      </c>
      <c r="BG3" s="571" t="s">
        <v>9293</v>
      </c>
      <c r="BH3" s="571" t="s">
        <v>9294</v>
      </c>
      <c r="BI3" s="571" t="s">
        <v>9295</v>
      </c>
      <c r="BJ3" s="571" t="s">
        <v>9296</v>
      </c>
      <c r="BK3" s="571" t="s">
        <v>9297</v>
      </c>
      <c r="BL3" s="571" t="s">
        <v>9298</v>
      </c>
      <c r="BM3" s="571" t="s">
        <v>9299</v>
      </c>
      <c r="BN3" s="571" t="s">
        <v>9300</v>
      </c>
      <c r="BO3" s="571" t="s">
        <v>9301</v>
      </c>
      <c r="BP3" s="571" t="s">
        <v>9302</v>
      </c>
      <c r="BQ3" s="571" t="s">
        <v>9303</v>
      </c>
      <c r="BR3" s="571" t="s">
        <v>9304</v>
      </c>
      <c r="BS3" s="571" t="s">
        <v>9305</v>
      </c>
      <c r="BT3" s="571" t="s">
        <v>9306</v>
      </c>
      <c r="BU3" s="571" t="s">
        <v>9307</v>
      </c>
      <c r="BV3" s="571" t="s">
        <v>9308</v>
      </c>
      <c r="BW3" s="571" t="s">
        <v>9309</v>
      </c>
      <c r="BX3" s="571" t="s">
        <v>9310</v>
      </c>
      <c r="BY3" s="571" t="s">
        <v>9311</v>
      </c>
      <c r="BZ3" s="571" t="s">
        <v>9312</v>
      </c>
      <c r="CA3" s="571" t="s">
        <v>9313</v>
      </c>
      <c r="CB3" s="571" t="s">
        <v>9314</v>
      </c>
      <c r="CC3" s="571" t="s">
        <v>9315</v>
      </c>
      <c r="CD3" s="571" t="s">
        <v>9316</v>
      </c>
      <c r="CE3" s="571" t="s">
        <v>9317</v>
      </c>
      <c r="CF3" s="571" t="s">
        <v>9318</v>
      </c>
      <c r="CG3" s="571" t="s">
        <v>9319</v>
      </c>
      <c r="CH3" s="571" t="s">
        <v>9320</v>
      </c>
      <c r="CI3" s="571" t="s">
        <v>9321</v>
      </c>
      <c r="CJ3" s="571" t="s">
        <v>9322</v>
      </c>
      <c r="CK3" s="571" t="s">
        <v>9323</v>
      </c>
      <c r="CL3" s="571" t="s">
        <v>9324</v>
      </c>
      <c r="CM3" s="571" t="s">
        <v>9325</v>
      </c>
      <c r="CN3" s="571" t="s">
        <v>9326</v>
      </c>
      <c r="CO3" s="571" t="s">
        <v>9327</v>
      </c>
      <c r="CP3" s="571" t="s">
        <v>9328</v>
      </c>
      <c r="CQ3" s="571" t="s">
        <v>9329</v>
      </c>
      <c r="CR3" s="571" t="s">
        <v>9330</v>
      </c>
      <c r="CS3" s="571" t="s">
        <v>9331</v>
      </c>
      <c r="CT3" s="571" t="s">
        <v>9332</v>
      </c>
      <c r="CU3" s="571" t="s">
        <v>9333</v>
      </c>
      <c r="CV3" s="571" t="s">
        <v>9334</v>
      </c>
      <c r="CW3" s="571" t="s">
        <v>9335</v>
      </c>
      <c r="CX3" s="571" t="s">
        <v>9336</v>
      </c>
      <c r="CY3" s="571" t="s">
        <v>9337</v>
      </c>
      <c r="CZ3" s="571" t="s">
        <v>575</v>
      </c>
      <c r="DA3" s="571" t="s">
        <v>5359</v>
      </c>
      <c r="DB3" s="571" t="s">
        <v>5361</v>
      </c>
      <c r="DC3" s="571" t="s">
        <v>5363</v>
      </c>
      <c r="DD3" s="571" t="s">
        <v>5365</v>
      </c>
      <c r="DE3" s="571" t="s">
        <v>5367</v>
      </c>
      <c r="DF3" s="571" t="s">
        <v>5369</v>
      </c>
      <c r="DG3" s="571" t="s">
        <v>5371</v>
      </c>
      <c r="DH3" s="571" t="s">
        <v>5373</v>
      </c>
      <c r="DI3" s="571" t="s">
        <v>5375</v>
      </c>
      <c r="DJ3" s="571" t="s">
        <v>5377</v>
      </c>
      <c r="DK3" s="571" t="s">
        <v>5379</v>
      </c>
      <c r="DL3" s="571" t="s">
        <v>5693</v>
      </c>
      <c r="DM3" s="571" t="s">
        <v>5695</v>
      </c>
      <c r="DN3" s="571" t="s">
        <v>5697</v>
      </c>
      <c r="DO3" s="571" t="s">
        <v>5699</v>
      </c>
      <c r="DP3" s="571" t="s">
        <v>5701</v>
      </c>
      <c r="DQ3" s="571" t="s">
        <v>5703</v>
      </c>
      <c r="DR3" s="571" t="s">
        <v>5705</v>
      </c>
      <c r="DS3" s="571" t="s">
        <v>5707</v>
      </c>
      <c r="DT3" s="571" t="s">
        <v>5709</v>
      </c>
      <c r="DU3" s="571" t="s">
        <v>5711</v>
      </c>
      <c r="DV3" s="571" t="s">
        <v>5713</v>
      </c>
      <c r="DW3" s="571" t="s">
        <v>5715</v>
      </c>
      <c r="DX3" s="571" t="s">
        <v>5717</v>
      </c>
      <c r="DY3" s="571" t="s">
        <v>5719</v>
      </c>
      <c r="DZ3" s="571" t="s">
        <v>5721</v>
      </c>
      <c r="EA3" s="571" t="s">
        <v>9338</v>
      </c>
      <c r="EB3" s="571" t="s">
        <v>9339</v>
      </c>
      <c r="EC3" s="571" t="s">
        <v>9340</v>
      </c>
      <c r="ED3" s="571" t="s">
        <v>9341</v>
      </c>
      <c r="EE3" s="571" t="s">
        <v>9342</v>
      </c>
      <c r="EF3" s="571" t="s">
        <v>9343</v>
      </c>
      <c r="EG3" s="571" t="s">
        <v>9344</v>
      </c>
      <c r="EH3" s="571" t="s">
        <v>9345</v>
      </c>
      <c r="EI3" s="571" t="s">
        <v>9346</v>
      </c>
      <c r="EJ3" s="571" t="s">
        <v>9347</v>
      </c>
      <c r="EK3" s="571" t="s">
        <v>9348</v>
      </c>
      <c r="EL3" s="571" t="s">
        <v>9349</v>
      </c>
      <c r="EM3" s="571" t="s">
        <v>9350</v>
      </c>
      <c r="EN3" s="571" t="s">
        <v>9351</v>
      </c>
      <c r="EO3" s="571" t="s">
        <v>9352</v>
      </c>
      <c r="EP3" s="571" t="s">
        <v>9353</v>
      </c>
      <c r="EQ3" s="571" t="s">
        <v>9354</v>
      </c>
      <c r="ER3" s="571" t="s">
        <v>9355</v>
      </c>
      <c r="ES3" s="571" t="s">
        <v>9356</v>
      </c>
      <c r="ET3" s="571" t="s">
        <v>9357</v>
      </c>
      <c r="EU3" s="571" t="s">
        <v>9358</v>
      </c>
      <c r="EV3" s="571" t="s">
        <v>9359</v>
      </c>
      <c r="EW3" s="571" t="s">
        <v>9360</v>
      </c>
      <c r="EX3" s="571" t="s">
        <v>9128</v>
      </c>
      <c r="EY3" s="571" t="s">
        <v>9129</v>
      </c>
      <c r="EZ3" s="571" t="s">
        <v>9361</v>
      </c>
      <c r="FA3" s="571" t="s">
        <v>9362</v>
      </c>
      <c r="FB3" s="571" t="s">
        <v>9363</v>
      </c>
      <c r="FC3" s="571" t="s">
        <v>9364</v>
      </c>
      <c r="FD3" s="571" t="s">
        <v>9365</v>
      </c>
      <c r="FE3" s="571" t="s">
        <v>9366</v>
      </c>
      <c r="FF3" s="571" t="s">
        <v>9367</v>
      </c>
      <c r="FG3" s="571" t="s">
        <v>9368</v>
      </c>
      <c r="FH3" s="571" t="s">
        <v>9130</v>
      </c>
      <c r="FI3" s="571" t="s">
        <v>9131</v>
      </c>
      <c r="FJ3" s="571" t="s">
        <v>9132</v>
      </c>
      <c r="FK3" s="571" t="s">
        <v>9133</v>
      </c>
      <c r="FL3" s="571" t="s">
        <v>9369</v>
      </c>
      <c r="FM3" s="571" t="s">
        <v>9370</v>
      </c>
      <c r="FN3" s="571" t="s">
        <v>9371</v>
      </c>
      <c r="FO3" s="571" t="s">
        <v>9372</v>
      </c>
      <c r="FP3" s="571" t="s">
        <v>9373</v>
      </c>
      <c r="FQ3" s="571" t="s">
        <v>9374</v>
      </c>
      <c r="FR3" s="571" t="s">
        <v>9375</v>
      </c>
      <c r="FS3" s="571" t="s">
        <v>9376</v>
      </c>
      <c r="FT3" s="571" t="s">
        <v>9377</v>
      </c>
      <c r="FU3" s="571" t="s">
        <v>9378</v>
      </c>
      <c r="FV3" s="571" t="s">
        <v>9379</v>
      </c>
      <c r="FW3" s="571" t="s">
        <v>9380</v>
      </c>
      <c r="FX3" s="571" t="s">
        <v>9381</v>
      </c>
      <c r="FY3" s="571" t="s">
        <v>9382</v>
      </c>
      <c r="FZ3" s="571" t="s">
        <v>9383</v>
      </c>
      <c r="GA3" s="571" t="s">
        <v>9384</v>
      </c>
      <c r="GB3" s="571" t="s">
        <v>9385</v>
      </c>
      <c r="GC3" s="571" t="s">
        <v>9386</v>
      </c>
      <c r="GD3" s="571" t="s">
        <v>9387</v>
      </c>
      <c r="GE3" s="571" t="s">
        <v>9388</v>
      </c>
      <c r="GF3" s="571" t="s">
        <v>9389</v>
      </c>
      <c r="GG3" s="571" t="s">
        <v>9390</v>
      </c>
      <c r="GH3" s="572"/>
    </row>
    <row r="4" spans="1:191">
      <c r="A4" s="572"/>
      <c r="C4" s="573"/>
      <c r="D4" s="566" t="s">
        <v>21</v>
      </c>
      <c r="E4" s="566" t="s">
        <v>28</v>
      </c>
      <c r="F4" s="566" t="s">
        <v>35</v>
      </c>
      <c r="G4" s="566" t="s">
        <v>9401</v>
      </c>
      <c r="H4" s="566" t="s">
        <v>40</v>
      </c>
      <c r="I4" s="566" t="s">
        <v>49</v>
      </c>
      <c r="J4" s="566" t="s">
        <v>61</v>
      </c>
      <c r="K4" s="566" t="s">
        <v>74</v>
      </c>
      <c r="L4" s="566" t="s">
        <v>9402</v>
      </c>
      <c r="M4" s="566" t="s">
        <v>80</v>
      </c>
      <c r="N4" s="566" t="s">
        <v>9403</v>
      </c>
      <c r="O4" s="566" t="s">
        <v>84</v>
      </c>
      <c r="P4" s="566" t="s">
        <v>9404</v>
      </c>
      <c r="Q4" s="566" t="s">
        <v>91</v>
      </c>
      <c r="R4" s="566" t="s">
        <v>9405</v>
      </c>
      <c r="S4" s="566" t="s">
        <v>101</v>
      </c>
      <c r="T4" s="566" t="s">
        <v>111</v>
      </c>
      <c r="U4" s="566" t="s">
        <v>125</v>
      </c>
      <c r="V4" s="566" t="s">
        <v>134</v>
      </c>
      <c r="W4" s="566" t="s">
        <v>138</v>
      </c>
      <c r="X4" s="566" t="s">
        <v>9406</v>
      </c>
      <c r="Y4" s="566" t="s">
        <v>144</v>
      </c>
      <c r="Z4" s="566" t="s">
        <v>157</v>
      </c>
      <c r="AA4" s="566" t="s">
        <v>162</v>
      </c>
      <c r="AB4" s="566" t="s">
        <v>167</v>
      </c>
      <c r="AC4" s="566" t="s">
        <v>171</v>
      </c>
      <c r="AD4" s="566" t="s">
        <v>174</v>
      </c>
      <c r="AE4" s="566" t="s">
        <v>176</v>
      </c>
      <c r="AF4" s="566" t="s">
        <v>179</v>
      </c>
      <c r="AG4" s="566" t="s">
        <v>183</v>
      </c>
      <c r="AH4" s="566" t="s">
        <v>185</v>
      </c>
      <c r="AI4" s="566" t="s">
        <v>187</v>
      </c>
      <c r="AJ4" s="566" t="s">
        <v>190</v>
      </c>
      <c r="AK4" s="566" t="s">
        <v>193</v>
      </c>
      <c r="AL4" s="566" t="s">
        <v>195</v>
      </c>
      <c r="AM4" s="566" t="s">
        <v>201</v>
      </c>
      <c r="AN4" s="566" t="s">
        <v>206</v>
      </c>
      <c r="AO4" s="566" t="s">
        <v>9407</v>
      </c>
      <c r="AP4" s="566" t="s">
        <v>9408</v>
      </c>
      <c r="AQ4" s="566" t="s">
        <v>9409</v>
      </c>
      <c r="AR4" s="566" t="s">
        <v>9410</v>
      </c>
      <c r="AS4" s="566" t="s">
        <v>9411</v>
      </c>
      <c r="AT4" s="566" t="s">
        <v>9412</v>
      </c>
      <c r="AU4" s="566" t="s">
        <v>230</v>
      </c>
      <c r="AV4" s="566" t="s">
        <v>233</v>
      </c>
      <c r="AW4" s="566" t="s">
        <v>236</v>
      </c>
      <c r="AX4" s="566" t="s">
        <v>241</v>
      </c>
      <c r="AY4" s="566" t="s">
        <v>250</v>
      </c>
      <c r="AZ4" s="566" t="s">
        <v>262</v>
      </c>
      <c r="BA4" s="566" t="s">
        <v>9413</v>
      </c>
      <c r="BB4" s="566" t="s">
        <v>9414</v>
      </c>
      <c r="BC4" s="566" t="s">
        <v>288</v>
      </c>
      <c r="BD4" s="566" t="s">
        <v>9415</v>
      </c>
      <c r="BE4" s="566" t="s">
        <v>9416</v>
      </c>
      <c r="BF4" s="566" t="s">
        <v>304</v>
      </c>
      <c r="BG4" s="566" t="s">
        <v>9417</v>
      </c>
      <c r="BH4" s="566" t="s">
        <v>9418</v>
      </c>
      <c r="BI4" s="566" t="s">
        <v>9419</v>
      </c>
      <c r="BJ4" s="566" t="s">
        <v>9420</v>
      </c>
      <c r="BK4" s="566" t="s">
        <v>319</v>
      </c>
      <c r="BL4" s="566" t="s">
        <v>332</v>
      </c>
      <c r="BM4" s="566" t="s">
        <v>336</v>
      </c>
      <c r="BN4" s="566" t="s">
        <v>9421</v>
      </c>
      <c r="BO4" s="566" t="s">
        <v>9422</v>
      </c>
      <c r="BP4" s="566" t="s">
        <v>9423</v>
      </c>
      <c r="BQ4" s="566" t="s">
        <v>9424</v>
      </c>
      <c r="BR4" s="566" t="s">
        <v>356</v>
      </c>
      <c r="BS4" s="566" t="s">
        <v>364</v>
      </c>
      <c r="BT4" s="566" t="s">
        <v>369</v>
      </c>
      <c r="BU4" s="566" t="s">
        <v>9425</v>
      </c>
      <c r="BV4" s="566" t="s">
        <v>376</v>
      </c>
      <c r="BW4" s="566" t="s">
        <v>380</v>
      </c>
      <c r="BX4" s="566" t="s">
        <v>386</v>
      </c>
      <c r="BY4" s="566" t="s">
        <v>389</v>
      </c>
      <c r="BZ4" s="566" t="s">
        <v>396</v>
      </c>
      <c r="CA4" s="566" t="s">
        <v>399</v>
      </c>
      <c r="CB4" s="566" t="s">
        <v>404</v>
      </c>
      <c r="CC4" s="566" t="s">
        <v>9426</v>
      </c>
      <c r="CD4" s="566" t="s">
        <v>413</v>
      </c>
      <c r="CE4" s="566" t="s">
        <v>419</v>
      </c>
      <c r="CF4" s="566" t="s">
        <v>422</v>
      </c>
      <c r="CG4" s="566" t="s">
        <v>9427</v>
      </c>
      <c r="CH4" s="566" t="s">
        <v>431</v>
      </c>
      <c r="CI4" s="566" t="s">
        <v>434</v>
      </c>
      <c r="CJ4" s="566" t="s">
        <v>436</v>
      </c>
      <c r="CK4" s="566" t="s">
        <v>438</v>
      </c>
      <c r="CL4" s="566" t="s">
        <v>9428</v>
      </c>
      <c r="CM4" s="566" t="s">
        <v>9429</v>
      </c>
      <c r="CN4" s="566" t="s">
        <v>9430</v>
      </c>
      <c r="CO4" s="566" t="s">
        <v>9431</v>
      </c>
      <c r="CP4" s="566" t="s">
        <v>9432</v>
      </c>
      <c r="CQ4" s="566" t="s">
        <v>9433</v>
      </c>
      <c r="CR4" s="566" t="s">
        <v>9434</v>
      </c>
      <c r="CS4" s="566" t="s">
        <v>9435</v>
      </c>
      <c r="CT4" s="566" t="s">
        <v>9436</v>
      </c>
      <c r="CU4" s="566" t="s">
        <v>9437</v>
      </c>
      <c r="CV4" s="566" t="s">
        <v>9438</v>
      </c>
      <c r="CW4" s="566" t="s">
        <v>9439</v>
      </c>
      <c r="CX4" s="566" t="s">
        <v>9440</v>
      </c>
      <c r="CY4" s="566" t="s">
        <v>493</v>
      </c>
      <c r="CZ4" s="566" t="s">
        <v>498</v>
      </c>
      <c r="DA4" s="566" t="s">
        <v>9441</v>
      </c>
      <c r="DB4" s="566" t="s">
        <v>9442</v>
      </c>
      <c r="DC4" s="566" t="s">
        <v>9443</v>
      </c>
      <c r="DD4" s="566" t="s">
        <v>9444</v>
      </c>
      <c r="DE4" s="566" t="s">
        <v>516</v>
      </c>
      <c r="DF4" s="566" t="s">
        <v>9445</v>
      </c>
      <c r="DG4" s="566" t="s">
        <v>529</v>
      </c>
      <c r="DH4" s="566" t="s">
        <v>9446</v>
      </c>
      <c r="DI4" s="566" t="s">
        <v>9447</v>
      </c>
      <c r="DJ4" s="566" t="s">
        <v>9448</v>
      </c>
      <c r="DK4" s="566" t="s">
        <v>9449</v>
      </c>
      <c r="DL4" s="566" t="s">
        <v>547</v>
      </c>
      <c r="DM4" s="566" t="s">
        <v>554</v>
      </c>
      <c r="DN4" s="566" t="s">
        <v>9450</v>
      </c>
      <c r="DO4" s="566" t="s">
        <v>9451</v>
      </c>
      <c r="DP4" s="566" t="s">
        <v>9452</v>
      </c>
      <c r="DQ4" s="566" t="s">
        <v>9453</v>
      </c>
      <c r="DR4" s="566" t="s">
        <v>9454</v>
      </c>
      <c r="DS4" s="566" t="s">
        <v>9455</v>
      </c>
      <c r="DT4" s="566" t="s">
        <v>9456</v>
      </c>
      <c r="DU4" s="566" t="s">
        <v>9457</v>
      </c>
      <c r="DV4" s="566" t="s">
        <v>9458</v>
      </c>
      <c r="DW4" s="566" t="s">
        <v>587</v>
      </c>
      <c r="DX4" s="566" t="s">
        <v>590</v>
      </c>
      <c r="DY4" s="566" t="s">
        <v>9459</v>
      </c>
      <c r="DZ4" s="566" t="s">
        <v>603</v>
      </c>
      <c r="EA4" s="566" t="s">
        <v>607</v>
      </c>
      <c r="EB4" s="566" t="s">
        <v>610</v>
      </c>
      <c r="EC4" s="566" t="s">
        <v>612</v>
      </c>
      <c r="ED4" s="566" t="s">
        <v>618</v>
      </c>
      <c r="EE4" s="566" t="s">
        <v>9460</v>
      </c>
      <c r="EF4" s="566" t="s">
        <v>9461</v>
      </c>
      <c r="EG4" s="566" t="s">
        <v>9462</v>
      </c>
      <c r="EH4" s="566" t="s">
        <v>9463</v>
      </c>
      <c r="EI4" s="566" t="s">
        <v>9464</v>
      </c>
      <c r="EJ4" s="566" t="s">
        <v>639</v>
      </c>
      <c r="EK4" s="566" t="s">
        <v>642</v>
      </c>
      <c r="EL4" s="566" t="s">
        <v>9465</v>
      </c>
      <c r="EM4" s="566" t="s">
        <v>9466</v>
      </c>
      <c r="EN4" s="566" t="s">
        <v>9467</v>
      </c>
      <c r="EO4" s="566" t="s">
        <v>657</v>
      </c>
      <c r="EP4" s="566" t="s">
        <v>659</v>
      </c>
      <c r="EQ4" s="566" t="s">
        <v>9468</v>
      </c>
      <c r="ER4" s="566" t="s">
        <v>9469</v>
      </c>
      <c r="ES4" s="566" t="s">
        <v>9470</v>
      </c>
      <c r="ET4" s="566" t="s">
        <v>9471</v>
      </c>
      <c r="EU4" s="566" t="s">
        <v>9472</v>
      </c>
      <c r="EV4" s="566" t="s">
        <v>9473</v>
      </c>
      <c r="EW4" s="566" t="s">
        <v>9474</v>
      </c>
      <c r="EX4" s="566" t="s">
        <v>680</v>
      </c>
      <c r="EY4" s="566" t="s">
        <v>9475</v>
      </c>
      <c r="EZ4" s="566" t="s">
        <v>9476</v>
      </c>
      <c r="FA4" s="566" t="s">
        <v>9477</v>
      </c>
      <c r="FB4" s="566" t="s">
        <v>690</v>
      </c>
      <c r="FC4" s="566" t="s">
        <v>9478</v>
      </c>
      <c r="FD4" s="566" t="s">
        <v>9479</v>
      </c>
      <c r="FE4" s="566" t="s">
        <v>9480</v>
      </c>
      <c r="FF4" s="566" t="s">
        <v>9481</v>
      </c>
      <c r="FG4" s="566" t="s">
        <v>9482</v>
      </c>
      <c r="FH4" s="566" t="s">
        <v>9483</v>
      </c>
      <c r="FI4" s="566" t="s">
        <v>721</v>
      </c>
      <c r="FJ4" s="566" t="s">
        <v>724</v>
      </c>
      <c r="FK4" s="566" t="s">
        <v>730</v>
      </c>
      <c r="FL4" s="566" t="s">
        <v>733</v>
      </c>
      <c r="FM4" s="566" t="s">
        <v>738</v>
      </c>
      <c r="FN4" s="566" t="s">
        <v>9484</v>
      </c>
      <c r="FO4" s="566" t="s">
        <v>747</v>
      </c>
      <c r="FP4" s="566" t="s">
        <v>755</v>
      </c>
      <c r="FQ4" s="566" t="s">
        <v>758</v>
      </c>
      <c r="FR4" s="566" t="s">
        <v>766</v>
      </c>
      <c r="FS4" s="566" t="s">
        <v>9485</v>
      </c>
      <c r="FT4" s="566" t="s">
        <v>773</v>
      </c>
      <c r="FU4" s="566" t="s">
        <v>780</v>
      </c>
      <c r="FV4" s="566" t="s">
        <v>782</v>
      </c>
      <c r="FW4" s="566" t="s">
        <v>785</v>
      </c>
      <c r="FX4" s="566" t="s">
        <v>787</v>
      </c>
      <c r="FY4" s="566" t="s">
        <v>789</v>
      </c>
      <c r="FZ4" s="566" t="s">
        <v>796</v>
      </c>
      <c r="GA4" s="566" t="s">
        <v>799</v>
      </c>
      <c r="GB4" s="566" t="s">
        <v>802</v>
      </c>
      <c r="GC4" s="566" t="s">
        <v>808</v>
      </c>
      <c r="GD4" s="566" t="s">
        <v>815</v>
      </c>
      <c r="GE4" s="566" t="s">
        <v>9486</v>
      </c>
      <c r="GF4" s="566" t="s">
        <v>9487</v>
      </c>
      <c r="GG4" s="574" t="s">
        <v>9488</v>
      </c>
      <c r="GH4" s="572"/>
    </row>
    <row r="5" spans="1:191" ht="48">
      <c r="A5" s="572" t="s">
        <v>9244</v>
      </c>
      <c r="B5" s="600" t="s">
        <v>9244</v>
      </c>
      <c r="C5" s="601" t="s">
        <v>9491</v>
      </c>
      <c r="D5" s="575" t="s">
        <v>9492</v>
      </c>
      <c r="E5" s="575" t="s">
        <v>9493</v>
      </c>
      <c r="F5" s="575" t="s">
        <v>37</v>
      </c>
      <c r="G5" s="575" t="s">
        <v>39</v>
      </c>
      <c r="H5" s="575" t="s">
        <v>9494</v>
      </c>
      <c r="I5" s="575" t="s">
        <v>9495</v>
      </c>
      <c r="J5" s="575" t="s">
        <v>9053</v>
      </c>
      <c r="K5" s="575" t="s">
        <v>9054</v>
      </c>
      <c r="L5" s="575" t="s">
        <v>78</v>
      </c>
      <c r="M5" s="575" t="s">
        <v>81</v>
      </c>
      <c r="N5" s="575" t="s">
        <v>9496</v>
      </c>
      <c r="O5" s="575" t="s">
        <v>9497</v>
      </c>
      <c r="P5" s="575" t="s">
        <v>9498</v>
      </c>
      <c r="Q5" s="575" t="s">
        <v>9055</v>
      </c>
      <c r="R5" s="575" t="s">
        <v>9499</v>
      </c>
      <c r="S5" s="575" t="s">
        <v>9500</v>
      </c>
      <c r="T5" s="575" t="s">
        <v>9501</v>
      </c>
      <c r="U5" s="575" t="s">
        <v>9502</v>
      </c>
      <c r="V5" s="575" t="s">
        <v>9503</v>
      </c>
      <c r="W5" s="575" t="s">
        <v>9504</v>
      </c>
      <c r="X5" s="575" t="s">
        <v>9505</v>
      </c>
      <c r="Y5" s="575" t="s">
        <v>9506</v>
      </c>
      <c r="Z5" s="575" t="s">
        <v>161</v>
      </c>
      <c r="AA5" s="575" t="s">
        <v>9507</v>
      </c>
      <c r="AB5" s="575" t="s">
        <v>9508</v>
      </c>
      <c r="AC5" s="575" t="s">
        <v>9058</v>
      </c>
      <c r="AD5" s="575" t="s">
        <v>175</v>
      </c>
      <c r="AE5" s="575" t="s">
        <v>6076</v>
      </c>
      <c r="AF5" s="575" t="s">
        <v>9509</v>
      </c>
      <c r="AG5" s="575" t="s">
        <v>184</v>
      </c>
      <c r="AH5" s="575" t="s">
        <v>186</v>
      </c>
      <c r="AI5" s="575" t="s">
        <v>9510</v>
      </c>
      <c r="AJ5" s="575" t="s">
        <v>9511</v>
      </c>
      <c r="AK5" s="575" t="s">
        <v>194</v>
      </c>
      <c r="AL5" s="575" t="s">
        <v>6119</v>
      </c>
      <c r="AM5" s="575" t="s">
        <v>9512</v>
      </c>
      <c r="AN5" s="575" t="s">
        <v>6132</v>
      </c>
      <c r="AO5" s="575" t="s">
        <v>9062</v>
      </c>
      <c r="AP5" s="575" t="s">
        <v>215</v>
      </c>
      <c r="AQ5" s="575" t="s">
        <v>9513</v>
      </c>
      <c r="AR5" s="575" t="s">
        <v>9514</v>
      </c>
      <c r="AS5" s="575" t="s">
        <v>9515</v>
      </c>
      <c r="AT5" s="575" t="s">
        <v>9516</v>
      </c>
      <c r="AU5" s="575" t="s">
        <v>231</v>
      </c>
      <c r="AV5" s="575" t="s">
        <v>234</v>
      </c>
      <c r="AW5" s="575" t="s">
        <v>6226</v>
      </c>
      <c r="AX5" s="575" t="s">
        <v>249</v>
      </c>
      <c r="AY5" s="575" t="s">
        <v>9066</v>
      </c>
      <c r="AZ5" s="575" t="s">
        <v>9517</v>
      </c>
      <c r="BA5" s="575" t="s">
        <v>280</v>
      </c>
      <c r="BB5" s="575" t="s">
        <v>284</v>
      </c>
      <c r="BC5" s="575" t="s">
        <v>9068</v>
      </c>
      <c r="BD5" s="575" t="s">
        <v>9069</v>
      </c>
      <c r="BE5" s="575" t="s">
        <v>301</v>
      </c>
      <c r="BF5" s="575" t="s">
        <v>9518</v>
      </c>
      <c r="BG5" s="575" t="s">
        <v>308</v>
      </c>
      <c r="BH5" s="575" t="s">
        <v>9519</v>
      </c>
      <c r="BI5" s="575" t="s">
        <v>313</v>
      </c>
      <c r="BJ5" s="575" t="s">
        <v>6428</v>
      </c>
      <c r="BK5" s="575" t="s">
        <v>6441</v>
      </c>
      <c r="BL5" s="575" t="s">
        <v>6454</v>
      </c>
      <c r="BM5" s="575" t="s">
        <v>6460</v>
      </c>
      <c r="BN5" s="575" t="s">
        <v>347</v>
      </c>
      <c r="BO5" s="575" t="s">
        <v>9520</v>
      </c>
      <c r="BP5" s="575" t="s">
        <v>352</v>
      </c>
      <c r="BQ5" s="575" t="s">
        <v>9521</v>
      </c>
      <c r="BR5" s="575" t="s">
        <v>9073</v>
      </c>
      <c r="BS5" s="575" t="s">
        <v>9074</v>
      </c>
      <c r="BT5" s="575" t="s">
        <v>6506</v>
      </c>
      <c r="BU5" s="575" t="s">
        <v>9522</v>
      </c>
      <c r="BV5" s="575" t="s">
        <v>379</v>
      </c>
      <c r="BW5" s="575" t="s">
        <v>9075</v>
      </c>
      <c r="BX5" s="575" t="s">
        <v>388</v>
      </c>
      <c r="BY5" s="575" t="s">
        <v>6543</v>
      </c>
      <c r="BZ5" s="575" t="s">
        <v>6597</v>
      </c>
      <c r="CA5" s="575" t="s">
        <v>9523</v>
      </c>
      <c r="CB5" s="575" t="s">
        <v>9077</v>
      </c>
      <c r="CC5" s="575" t="s">
        <v>412</v>
      </c>
      <c r="CD5" s="575" t="s">
        <v>9078</v>
      </c>
      <c r="CE5" s="575" t="s">
        <v>421</v>
      </c>
      <c r="CF5" s="575" t="s">
        <v>423</v>
      </c>
      <c r="CG5" s="575" t="s">
        <v>430</v>
      </c>
      <c r="CH5" s="575" t="s">
        <v>432</v>
      </c>
      <c r="CI5" s="575" t="s">
        <v>435</v>
      </c>
      <c r="CJ5" s="575" t="s">
        <v>9524</v>
      </c>
      <c r="CK5" s="575" t="s">
        <v>6740</v>
      </c>
      <c r="CL5" s="575" t="s">
        <v>9525</v>
      </c>
      <c r="CM5" s="575" t="s">
        <v>9526</v>
      </c>
      <c r="CN5" s="575" t="s">
        <v>456</v>
      </c>
      <c r="CO5" s="575" t="s">
        <v>458</v>
      </c>
      <c r="CP5" s="575" t="s">
        <v>9527</v>
      </c>
      <c r="CQ5" s="575" t="s">
        <v>9528</v>
      </c>
      <c r="CR5" s="575" t="s">
        <v>9529</v>
      </c>
      <c r="CS5" s="575" t="s">
        <v>469</v>
      </c>
      <c r="CT5" s="575" t="s">
        <v>9530</v>
      </c>
      <c r="CU5" s="575" t="s">
        <v>9531</v>
      </c>
      <c r="CV5" s="575" t="s">
        <v>484</v>
      </c>
      <c r="CW5" s="575" t="s">
        <v>487</v>
      </c>
      <c r="CX5" s="575" t="s">
        <v>9532</v>
      </c>
      <c r="CY5" s="575" t="s">
        <v>9533</v>
      </c>
      <c r="CZ5" s="575" t="s">
        <v>9534</v>
      </c>
      <c r="DA5" s="575" t="s">
        <v>9535</v>
      </c>
      <c r="DB5" s="575" t="s">
        <v>505</v>
      </c>
      <c r="DC5" s="575" t="s">
        <v>9536</v>
      </c>
      <c r="DD5" s="575" t="s">
        <v>509</v>
      </c>
      <c r="DE5" s="575" t="s">
        <v>9084</v>
      </c>
      <c r="DF5" s="575" t="s">
        <v>6900</v>
      </c>
      <c r="DG5" s="575" t="s">
        <v>9085</v>
      </c>
      <c r="DH5" s="575" t="s">
        <v>9086</v>
      </c>
      <c r="DI5" s="575" t="s">
        <v>539</v>
      </c>
      <c r="DJ5" s="575" t="s">
        <v>541</v>
      </c>
      <c r="DK5" s="575" t="s">
        <v>9088</v>
      </c>
      <c r="DL5" s="575" t="s">
        <v>9537</v>
      </c>
      <c r="DM5" s="575" t="s">
        <v>9538</v>
      </c>
      <c r="DN5" s="575" t="s">
        <v>9090</v>
      </c>
      <c r="DO5" s="575" t="s">
        <v>562</v>
      </c>
      <c r="DP5" s="575" t="s">
        <v>565</v>
      </c>
      <c r="DQ5" s="575" t="s">
        <v>567</v>
      </c>
      <c r="DR5" s="575" t="s">
        <v>9092</v>
      </c>
      <c r="DS5" s="575" t="s">
        <v>9093</v>
      </c>
      <c r="DT5" s="575" t="s">
        <v>9539</v>
      </c>
      <c r="DU5" s="575" t="s">
        <v>9540</v>
      </c>
      <c r="DV5" s="575" t="s">
        <v>7026</v>
      </c>
      <c r="DW5" s="575" t="s">
        <v>9541</v>
      </c>
      <c r="DX5" s="575" t="s">
        <v>600</v>
      </c>
      <c r="DY5" s="575" t="s">
        <v>7058</v>
      </c>
      <c r="DZ5" s="575" t="s">
        <v>9542</v>
      </c>
      <c r="EA5" s="575" t="s">
        <v>9543</v>
      </c>
      <c r="EB5" s="575" t="s">
        <v>611</v>
      </c>
      <c r="EC5" s="575" t="s">
        <v>9096</v>
      </c>
      <c r="ED5" s="575" t="s">
        <v>621</v>
      </c>
      <c r="EE5" s="575" t="s">
        <v>9097</v>
      </c>
      <c r="EF5" s="575" t="s">
        <v>627</v>
      </c>
      <c r="EG5" s="575" t="s">
        <v>629</v>
      </c>
      <c r="EH5" s="575" t="s">
        <v>9099</v>
      </c>
      <c r="EI5" s="575" t="s">
        <v>9100</v>
      </c>
      <c r="EJ5" s="575" t="s">
        <v>640</v>
      </c>
      <c r="EK5" s="575" t="s">
        <v>643</v>
      </c>
      <c r="EL5" s="575" t="s">
        <v>7166</v>
      </c>
      <c r="EM5" s="575" t="s">
        <v>9544</v>
      </c>
      <c r="EN5" s="575" t="s">
        <v>9102</v>
      </c>
      <c r="EO5" s="575" t="s">
        <v>7187</v>
      </c>
      <c r="EP5" s="575" t="s">
        <v>9103</v>
      </c>
      <c r="EQ5" s="575" t="s">
        <v>662</v>
      </c>
      <c r="ER5" s="575" t="s">
        <v>665</v>
      </c>
      <c r="ES5" s="575" t="s">
        <v>9545</v>
      </c>
      <c r="ET5" s="575" t="s">
        <v>9546</v>
      </c>
      <c r="EU5" s="575" t="s">
        <v>672</v>
      </c>
      <c r="EV5" s="575" t="s">
        <v>7248</v>
      </c>
      <c r="EW5" s="575" t="s">
        <v>677</v>
      </c>
      <c r="EX5" s="575" t="s">
        <v>9107</v>
      </c>
      <c r="EY5" s="575" t="s">
        <v>9108</v>
      </c>
      <c r="EZ5" s="575" t="s">
        <v>687</v>
      </c>
      <c r="FA5" s="575" t="s">
        <v>689</v>
      </c>
      <c r="FB5" s="575" t="s">
        <v>9547</v>
      </c>
      <c r="FC5" s="575" t="s">
        <v>9110</v>
      </c>
      <c r="FD5" s="575" t="s">
        <v>9111</v>
      </c>
      <c r="FE5" s="575" t="s">
        <v>9112</v>
      </c>
      <c r="FF5" s="575" t="s">
        <v>7357</v>
      </c>
      <c r="FG5" s="575" t="s">
        <v>9113</v>
      </c>
      <c r="FH5" s="575" t="s">
        <v>9114</v>
      </c>
      <c r="FI5" s="575" t="s">
        <v>9548</v>
      </c>
      <c r="FJ5" s="575" t="s">
        <v>9549</v>
      </c>
      <c r="FK5" s="575" t="s">
        <v>9550</v>
      </c>
      <c r="FL5" s="575" t="s">
        <v>9551</v>
      </c>
      <c r="FM5" s="575" t="s">
        <v>9552</v>
      </c>
      <c r="FN5" s="575" t="s">
        <v>746</v>
      </c>
      <c r="FO5" s="575" t="s">
        <v>9118</v>
      </c>
      <c r="FP5" s="575" t="s">
        <v>1599</v>
      </c>
      <c r="FQ5" s="575" t="s">
        <v>9119</v>
      </c>
      <c r="FR5" s="575" t="s">
        <v>9120</v>
      </c>
      <c r="FS5" s="575" t="s">
        <v>9121</v>
      </c>
      <c r="FT5" s="575" t="s">
        <v>9553</v>
      </c>
      <c r="FU5" s="575" t="s">
        <v>781</v>
      </c>
      <c r="FV5" s="575" t="s">
        <v>7520</v>
      </c>
      <c r="FW5" s="575" t="s">
        <v>9554</v>
      </c>
      <c r="FX5" s="575" t="s">
        <v>788</v>
      </c>
      <c r="FY5" s="575" t="s">
        <v>795</v>
      </c>
      <c r="FZ5" s="575" t="s">
        <v>1600</v>
      </c>
      <c r="GA5" s="575" t="s">
        <v>9124</v>
      </c>
      <c r="GB5" s="575" t="s">
        <v>1601</v>
      </c>
      <c r="GC5" s="575" t="s">
        <v>9125</v>
      </c>
      <c r="GD5" s="575" t="s">
        <v>820</v>
      </c>
      <c r="GE5" s="575" t="s">
        <v>823</v>
      </c>
      <c r="GF5" s="575" t="s">
        <v>7669</v>
      </c>
      <c r="GG5" s="576" t="s">
        <v>9216</v>
      </c>
      <c r="GH5" s="572"/>
      <c r="GI5" s="575"/>
    </row>
    <row r="6" spans="1:191">
      <c r="A6" s="603"/>
      <c r="B6" s="604"/>
      <c r="C6" s="605" t="s">
        <v>9576</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6"/>
      <c r="AT6" s="606"/>
      <c r="AU6" s="606"/>
      <c r="AV6" s="606"/>
      <c r="AW6" s="606"/>
      <c r="AX6" s="606"/>
      <c r="AY6" s="606"/>
      <c r="AZ6" s="606"/>
      <c r="BA6" s="606"/>
      <c r="BB6" s="606"/>
      <c r="BC6" s="606"/>
      <c r="BD6" s="606"/>
      <c r="BE6" s="606"/>
      <c r="BF6" s="606"/>
      <c r="BG6" s="606"/>
      <c r="BH6" s="606"/>
      <c r="BI6" s="606"/>
      <c r="BJ6" s="606"/>
      <c r="BK6" s="606"/>
      <c r="BL6" s="606"/>
      <c r="BM6" s="606"/>
      <c r="BN6" s="606"/>
      <c r="BO6" s="606"/>
      <c r="BP6" s="606"/>
      <c r="BQ6" s="606"/>
      <c r="BR6" s="606"/>
      <c r="BS6" s="606"/>
      <c r="BT6" s="606"/>
      <c r="BU6" s="606"/>
      <c r="BV6" s="606"/>
      <c r="BW6" s="606"/>
      <c r="BX6" s="606"/>
      <c r="BY6" s="606"/>
      <c r="BZ6" s="606"/>
      <c r="CA6" s="606"/>
      <c r="CB6" s="606"/>
      <c r="CC6" s="606"/>
      <c r="CD6" s="606"/>
      <c r="CE6" s="606"/>
      <c r="CF6" s="606"/>
      <c r="CG6" s="606"/>
      <c r="CH6" s="606"/>
      <c r="CI6" s="606"/>
      <c r="CJ6" s="606"/>
      <c r="CK6" s="606"/>
      <c r="CL6" s="606"/>
      <c r="CM6" s="606"/>
      <c r="CN6" s="606"/>
      <c r="CO6" s="606"/>
      <c r="CP6" s="606"/>
      <c r="CQ6" s="606"/>
      <c r="CR6" s="606"/>
      <c r="CS6" s="606"/>
      <c r="CT6" s="606"/>
      <c r="CU6" s="606"/>
      <c r="CV6" s="606"/>
      <c r="CW6" s="606"/>
      <c r="CX6" s="606"/>
      <c r="CY6" s="606"/>
      <c r="CZ6" s="606"/>
      <c r="DA6" s="606"/>
      <c r="DB6" s="606"/>
      <c r="DC6" s="606"/>
      <c r="DD6" s="606"/>
      <c r="DE6" s="606"/>
      <c r="DF6" s="606"/>
      <c r="DG6" s="606"/>
      <c r="DH6" s="606"/>
      <c r="DI6" s="606"/>
      <c r="DJ6" s="606"/>
      <c r="DK6" s="606"/>
      <c r="DL6" s="606"/>
      <c r="DM6" s="606"/>
      <c r="DN6" s="606"/>
      <c r="DO6" s="606"/>
      <c r="DP6" s="606"/>
      <c r="DQ6" s="606"/>
      <c r="DR6" s="606"/>
      <c r="DS6" s="606"/>
      <c r="DT6" s="606"/>
      <c r="DU6" s="606"/>
      <c r="DV6" s="606"/>
      <c r="DW6" s="606"/>
      <c r="DX6" s="606"/>
      <c r="DY6" s="606"/>
      <c r="DZ6" s="606"/>
      <c r="EA6" s="606"/>
      <c r="EB6" s="606"/>
      <c r="EC6" s="606"/>
      <c r="ED6" s="606"/>
      <c r="EE6" s="606"/>
      <c r="EF6" s="606"/>
      <c r="EG6" s="606"/>
      <c r="EH6" s="606"/>
      <c r="EI6" s="606"/>
      <c r="EJ6" s="606"/>
      <c r="EK6" s="606"/>
      <c r="EL6" s="606"/>
      <c r="EM6" s="606"/>
      <c r="EN6" s="606"/>
      <c r="EO6" s="606"/>
      <c r="EP6" s="606"/>
      <c r="EQ6" s="606"/>
      <c r="ER6" s="606"/>
      <c r="ES6" s="606"/>
      <c r="ET6" s="606"/>
      <c r="EU6" s="606"/>
      <c r="EV6" s="606"/>
      <c r="EW6" s="606"/>
      <c r="EX6" s="606"/>
      <c r="EY6" s="606"/>
      <c r="EZ6" s="606"/>
      <c r="FA6" s="606"/>
      <c r="FB6" s="606"/>
      <c r="FC6" s="606"/>
      <c r="FD6" s="606"/>
      <c r="FE6" s="606"/>
      <c r="FF6" s="606"/>
      <c r="FG6" s="606"/>
      <c r="FH6" s="606"/>
      <c r="FI6" s="606"/>
      <c r="FJ6" s="606"/>
      <c r="FK6" s="606"/>
      <c r="FL6" s="606"/>
      <c r="FM6" s="606"/>
      <c r="FN6" s="606"/>
      <c r="FO6" s="606"/>
      <c r="FP6" s="606"/>
      <c r="FQ6" s="606"/>
      <c r="FR6" s="606"/>
      <c r="FS6" s="606"/>
      <c r="FT6" s="606"/>
      <c r="FU6" s="606"/>
      <c r="FV6" s="606"/>
      <c r="FW6" s="606"/>
      <c r="FX6" s="606"/>
      <c r="FY6" s="606"/>
      <c r="FZ6" s="606"/>
      <c r="GA6" s="606"/>
      <c r="GB6" s="606"/>
      <c r="GC6" s="606"/>
      <c r="GD6" s="606"/>
      <c r="GE6" s="606"/>
      <c r="GF6" s="606"/>
      <c r="GG6" s="607"/>
      <c r="GH6" s="572"/>
      <c r="GI6" s="575"/>
    </row>
    <row r="7" spans="1:191">
      <c r="A7" s="572" t="s">
        <v>3161</v>
      </c>
      <c r="B7" s="577" t="s">
        <v>21</v>
      </c>
      <c r="C7" s="573" t="s">
        <v>9492</v>
      </c>
      <c r="D7" s="602">
        <v>1.276443809693832E-2</v>
      </c>
      <c r="E7" s="578">
        <v>3.4217279726261761E-3</v>
      </c>
      <c r="F7" s="578">
        <v>2.639703976054114E-3</v>
      </c>
      <c r="G7" s="578">
        <v>4.1946308724832215E-3</v>
      </c>
      <c r="H7" s="578">
        <v>8.9285714285714281E-3</v>
      </c>
      <c r="I7" s="578">
        <v>1.2868545365694739E-2</v>
      </c>
      <c r="J7" s="578">
        <v>7.7147320781458875E-3</v>
      </c>
      <c r="K7" s="578">
        <v>3.3391353770736384E-3</v>
      </c>
      <c r="L7" s="578">
        <v>0</v>
      </c>
      <c r="M7" s="578">
        <v>0</v>
      </c>
      <c r="N7" s="578">
        <v>7.8291814946619218E-3</v>
      </c>
      <c r="O7" s="578">
        <v>0</v>
      </c>
      <c r="P7" s="578">
        <v>0</v>
      </c>
      <c r="Q7" s="578">
        <v>0</v>
      </c>
      <c r="R7" s="578">
        <v>0</v>
      </c>
      <c r="S7" s="578">
        <v>0</v>
      </c>
      <c r="T7" s="578">
        <v>0</v>
      </c>
      <c r="U7" s="578">
        <v>0</v>
      </c>
      <c r="V7" s="578">
        <v>0.53389387925631915</v>
      </c>
      <c r="W7" s="578">
        <v>0</v>
      </c>
      <c r="X7" s="578">
        <v>0</v>
      </c>
      <c r="Y7" s="578">
        <v>1.2654487038622707E-3</v>
      </c>
      <c r="Z7" s="578">
        <v>5.7709290122048439E-4</v>
      </c>
      <c r="AA7" s="578">
        <v>9.3304009216151117E-4</v>
      </c>
      <c r="AB7" s="578">
        <v>2.3124824499099784E-4</v>
      </c>
      <c r="AC7" s="578">
        <v>3.0664248078085859E-2</v>
      </c>
      <c r="AD7" s="578">
        <v>0</v>
      </c>
      <c r="AE7" s="578">
        <v>0</v>
      </c>
      <c r="AF7" s="578">
        <v>0</v>
      </c>
      <c r="AG7" s="578">
        <v>0</v>
      </c>
      <c r="AH7" s="578">
        <v>0</v>
      </c>
      <c r="AI7" s="578">
        <v>0</v>
      </c>
      <c r="AJ7" s="578">
        <v>0</v>
      </c>
      <c r="AK7" s="578">
        <v>0</v>
      </c>
      <c r="AL7" s="578">
        <v>0</v>
      </c>
      <c r="AM7" s="578">
        <v>0</v>
      </c>
      <c r="AN7" s="578">
        <v>0</v>
      </c>
      <c r="AO7" s="578">
        <v>0</v>
      </c>
      <c r="AP7" s="578">
        <v>0</v>
      </c>
      <c r="AQ7" s="578">
        <v>0</v>
      </c>
      <c r="AR7" s="578">
        <v>0</v>
      </c>
      <c r="AS7" s="578">
        <v>0</v>
      </c>
      <c r="AT7" s="578">
        <v>0</v>
      </c>
      <c r="AU7" s="578">
        <v>0</v>
      </c>
      <c r="AV7" s="578">
        <v>0</v>
      </c>
      <c r="AW7" s="578">
        <v>0</v>
      </c>
      <c r="AX7" s="578">
        <v>0</v>
      </c>
      <c r="AY7" s="578">
        <v>0</v>
      </c>
      <c r="AZ7" s="578">
        <v>0</v>
      </c>
      <c r="BA7" s="578">
        <v>0</v>
      </c>
      <c r="BB7" s="578">
        <v>0</v>
      </c>
      <c r="BC7" s="578">
        <v>0</v>
      </c>
      <c r="BD7" s="578">
        <v>0</v>
      </c>
      <c r="BE7" s="578">
        <v>0</v>
      </c>
      <c r="BF7" s="578">
        <v>0</v>
      </c>
      <c r="BG7" s="578">
        <v>0</v>
      </c>
      <c r="BH7" s="578">
        <v>0</v>
      </c>
      <c r="BI7" s="578">
        <v>0</v>
      </c>
      <c r="BJ7" s="578">
        <v>0</v>
      </c>
      <c r="BK7" s="578">
        <v>0</v>
      </c>
      <c r="BL7" s="578">
        <v>0</v>
      </c>
      <c r="BM7" s="578">
        <v>0</v>
      </c>
      <c r="BN7" s="578">
        <v>0</v>
      </c>
      <c r="BO7" s="578">
        <v>0</v>
      </c>
      <c r="BP7" s="578">
        <v>0</v>
      </c>
      <c r="BQ7" s="578">
        <v>0</v>
      </c>
      <c r="BR7" s="578">
        <v>0</v>
      </c>
      <c r="BS7" s="578">
        <v>0</v>
      </c>
      <c r="BT7" s="578">
        <v>0</v>
      </c>
      <c r="BU7" s="578">
        <v>0</v>
      </c>
      <c r="BV7" s="578">
        <v>0</v>
      </c>
      <c r="BW7" s="578">
        <v>0</v>
      </c>
      <c r="BX7" s="578">
        <v>0</v>
      </c>
      <c r="BY7" s="578">
        <v>0</v>
      </c>
      <c r="BZ7" s="578">
        <v>0</v>
      </c>
      <c r="CA7" s="578">
        <v>0</v>
      </c>
      <c r="CB7" s="578">
        <v>0</v>
      </c>
      <c r="CC7" s="578">
        <v>0</v>
      </c>
      <c r="CD7" s="578">
        <v>0</v>
      </c>
      <c r="CE7" s="578">
        <v>0</v>
      </c>
      <c r="CF7" s="578">
        <v>0</v>
      </c>
      <c r="CG7" s="578">
        <v>0</v>
      </c>
      <c r="CH7" s="578">
        <v>0</v>
      </c>
      <c r="CI7" s="578">
        <v>0</v>
      </c>
      <c r="CJ7" s="578">
        <v>0</v>
      </c>
      <c r="CK7" s="578">
        <v>0</v>
      </c>
      <c r="CL7" s="578">
        <v>0</v>
      </c>
      <c r="CM7" s="578">
        <v>0</v>
      </c>
      <c r="CN7" s="578">
        <v>0</v>
      </c>
      <c r="CO7" s="578">
        <v>0</v>
      </c>
      <c r="CP7" s="578">
        <v>0</v>
      </c>
      <c r="CQ7" s="578">
        <v>0</v>
      </c>
      <c r="CR7" s="578">
        <v>0</v>
      </c>
      <c r="CS7" s="578">
        <v>0</v>
      </c>
      <c r="CT7" s="578">
        <v>0</v>
      </c>
      <c r="CU7" s="578">
        <v>0</v>
      </c>
      <c r="CV7" s="578">
        <v>0</v>
      </c>
      <c r="CW7" s="578">
        <v>0</v>
      </c>
      <c r="CX7" s="578">
        <v>0</v>
      </c>
      <c r="CY7" s="578">
        <v>0</v>
      </c>
      <c r="CZ7" s="578">
        <v>0</v>
      </c>
      <c r="DA7" s="578">
        <v>0</v>
      </c>
      <c r="DB7" s="578">
        <v>0</v>
      </c>
      <c r="DC7" s="578">
        <v>0</v>
      </c>
      <c r="DD7" s="578">
        <v>0</v>
      </c>
      <c r="DE7" s="578">
        <v>0</v>
      </c>
      <c r="DF7" s="578">
        <v>0</v>
      </c>
      <c r="DG7" s="578">
        <v>0</v>
      </c>
      <c r="DH7" s="578">
        <v>0</v>
      </c>
      <c r="DI7" s="578">
        <v>0</v>
      </c>
      <c r="DJ7" s="578">
        <v>0</v>
      </c>
      <c r="DK7" s="578">
        <v>0</v>
      </c>
      <c r="DL7" s="578">
        <v>0</v>
      </c>
      <c r="DM7" s="578">
        <v>0</v>
      </c>
      <c r="DN7" s="578">
        <v>0</v>
      </c>
      <c r="DO7" s="578">
        <v>0</v>
      </c>
      <c r="DP7" s="578">
        <v>0</v>
      </c>
      <c r="DQ7" s="578">
        <v>0</v>
      </c>
      <c r="DR7" s="578">
        <v>0</v>
      </c>
      <c r="DS7" s="578">
        <v>0</v>
      </c>
      <c r="DT7" s="578">
        <v>0</v>
      </c>
      <c r="DU7" s="578">
        <v>0</v>
      </c>
      <c r="DV7" s="578">
        <v>0</v>
      </c>
      <c r="DW7" s="578">
        <v>0</v>
      </c>
      <c r="DX7" s="578">
        <v>3.9471184196816561E-3</v>
      </c>
      <c r="DY7" s="578">
        <v>0</v>
      </c>
      <c r="DZ7" s="578">
        <v>0</v>
      </c>
      <c r="EA7" s="578">
        <v>0</v>
      </c>
      <c r="EB7" s="578">
        <v>7.6596657321874479E-6</v>
      </c>
      <c r="EC7" s="578">
        <v>0</v>
      </c>
      <c r="ED7" s="578">
        <v>0</v>
      </c>
      <c r="EE7" s="578">
        <v>0</v>
      </c>
      <c r="EF7" s="578">
        <v>0</v>
      </c>
      <c r="EG7" s="578">
        <v>0</v>
      </c>
      <c r="EH7" s="578">
        <v>0</v>
      </c>
      <c r="EI7" s="578">
        <v>0</v>
      </c>
      <c r="EJ7" s="578">
        <v>0</v>
      </c>
      <c r="EK7" s="578">
        <v>0</v>
      </c>
      <c r="EL7" s="578">
        <v>0</v>
      </c>
      <c r="EM7" s="578">
        <v>0</v>
      </c>
      <c r="EN7" s="578">
        <v>0</v>
      </c>
      <c r="EO7" s="578">
        <v>0</v>
      </c>
      <c r="EP7" s="578">
        <v>0</v>
      </c>
      <c r="EQ7" s="578">
        <v>0</v>
      </c>
      <c r="ER7" s="578">
        <v>0</v>
      </c>
      <c r="ES7" s="578">
        <v>0</v>
      </c>
      <c r="ET7" s="578">
        <v>0</v>
      </c>
      <c r="EU7" s="578">
        <v>0</v>
      </c>
      <c r="EV7" s="578">
        <v>0</v>
      </c>
      <c r="EW7" s="578">
        <v>0</v>
      </c>
      <c r="EX7" s="578">
        <v>0</v>
      </c>
      <c r="EY7" s="578">
        <v>0</v>
      </c>
      <c r="EZ7" s="578">
        <v>0</v>
      </c>
      <c r="FA7" s="578">
        <v>0</v>
      </c>
      <c r="FB7" s="578">
        <v>0</v>
      </c>
      <c r="FC7" s="578">
        <v>0</v>
      </c>
      <c r="FD7" s="578">
        <v>0</v>
      </c>
      <c r="FE7" s="578">
        <v>0</v>
      </c>
      <c r="FF7" s="578">
        <v>0</v>
      </c>
      <c r="FG7" s="578">
        <v>0</v>
      </c>
      <c r="FH7" s="578">
        <v>0</v>
      </c>
      <c r="FI7" s="578">
        <v>0</v>
      </c>
      <c r="FJ7" s="578">
        <v>0</v>
      </c>
      <c r="FK7" s="578">
        <v>0</v>
      </c>
      <c r="FL7" s="578">
        <v>1.1761630946157867E-4</v>
      </c>
      <c r="FM7" s="578">
        <v>0</v>
      </c>
      <c r="FN7" s="578">
        <v>0</v>
      </c>
      <c r="FO7" s="578">
        <v>0</v>
      </c>
      <c r="FP7" s="578">
        <v>0</v>
      </c>
      <c r="FQ7" s="578">
        <v>0</v>
      </c>
      <c r="FR7" s="578">
        <v>0</v>
      </c>
      <c r="FS7" s="578">
        <v>0</v>
      </c>
      <c r="FT7" s="578">
        <v>0</v>
      </c>
      <c r="FU7" s="578">
        <v>0</v>
      </c>
      <c r="FV7" s="578">
        <v>0</v>
      </c>
      <c r="FW7" s="578">
        <v>0</v>
      </c>
      <c r="FX7" s="578">
        <v>0</v>
      </c>
      <c r="FY7" s="578">
        <v>0</v>
      </c>
      <c r="FZ7" s="578">
        <v>0</v>
      </c>
      <c r="GA7" s="578">
        <v>0</v>
      </c>
      <c r="GB7" s="578">
        <v>0</v>
      </c>
      <c r="GC7" s="578">
        <v>4.4619396547450253E-5</v>
      </c>
      <c r="GD7" s="578">
        <v>0</v>
      </c>
      <c r="GE7" s="578">
        <v>0</v>
      </c>
      <c r="GF7" s="578">
        <v>0</v>
      </c>
      <c r="GG7" s="579">
        <v>1.9548201099362679E-3</v>
      </c>
      <c r="GH7" s="572"/>
    </row>
    <row r="8" spans="1:191">
      <c r="A8" s="572" t="s">
        <v>3168</v>
      </c>
      <c r="B8" s="577" t="s">
        <v>28</v>
      </c>
      <c r="C8" s="573" t="s">
        <v>9493</v>
      </c>
      <c r="D8" s="578">
        <v>0</v>
      </c>
      <c r="E8" s="578">
        <v>7.7559167379526658E-2</v>
      </c>
      <c r="F8" s="578">
        <v>4.1481062480850364E-3</v>
      </c>
      <c r="G8" s="578">
        <v>0</v>
      </c>
      <c r="H8" s="578">
        <v>0</v>
      </c>
      <c r="I8" s="578">
        <v>0</v>
      </c>
      <c r="J8" s="578">
        <v>3.0601233712896004E-4</v>
      </c>
      <c r="K8" s="578">
        <v>0</v>
      </c>
      <c r="L8" s="578">
        <v>0</v>
      </c>
      <c r="M8" s="578">
        <v>0</v>
      </c>
      <c r="N8" s="578">
        <v>0</v>
      </c>
      <c r="O8" s="578">
        <v>0</v>
      </c>
      <c r="P8" s="578">
        <v>0</v>
      </c>
      <c r="Q8" s="578">
        <v>0</v>
      </c>
      <c r="R8" s="578">
        <v>0</v>
      </c>
      <c r="S8" s="578">
        <v>0</v>
      </c>
      <c r="T8" s="578">
        <v>0</v>
      </c>
      <c r="U8" s="578">
        <v>0</v>
      </c>
      <c r="V8" s="578">
        <v>1.2235518815840521E-3</v>
      </c>
      <c r="W8" s="578">
        <v>5.9254629459416404E-3</v>
      </c>
      <c r="X8" s="578">
        <v>3.5571706418261848E-3</v>
      </c>
      <c r="Y8" s="578">
        <v>9.0987277315127041E-2</v>
      </c>
      <c r="Z8" s="578">
        <v>1.779861873485131E-2</v>
      </c>
      <c r="AA8" s="578">
        <v>1.6804242476174155E-3</v>
      </c>
      <c r="AB8" s="578">
        <v>1.0075816388893477E-3</v>
      </c>
      <c r="AC8" s="578">
        <v>4.007946791051222E-3</v>
      </c>
      <c r="AD8" s="578">
        <v>0</v>
      </c>
      <c r="AE8" s="578">
        <v>0</v>
      </c>
      <c r="AF8" s="578">
        <v>0</v>
      </c>
      <c r="AG8" s="578">
        <v>0</v>
      </c>
      <c r="AH8" s="578">
        <v>0</v>
      </c>
      <c r="AI8" s="578">
        <v>0</v>
      </c>
      <c r="AJ8" s="578">
        <v>0</v>
      </c>
      <c r="AK8" s="578">
        <v>0</v>
      </c>
      <c r="AL8" s="578">
        <v>0</v>
      </c>
      <c r="AM8" s="578">
        <v>0</v>
      </c>
      <c r="AN8" s="578">
        <v>0</v>
      </c>
      <c r="AO8" s="578">
        <v>0</v>
      </c>
      <c r="AP8" s="578">
        <v>0</v>
      </c>
      <c r="AQ8" s="578">
        <v>0</v>
      </c>
      <c r="AR8" s="578">
        <v>0</v>
      </c>
      <c r="AS8" s="578">
        <v>0</v>
      </c>
      <c r="AT8" s="578">
        <v>0</v>
      </c>
      <c r="AU8" s="578">
        <v>0</v>
      </c>
      <c r="AV8" s="578">
        <v>0</v>
      </c>
      <c r="AW8" s="578">
        <v>0</v>
      </c>
      <c r="AX8" s="578">
        <v>0</v>
      </c>
      <c r="AY8" s="578">
        <v>0</v>
      </c>
      <c r="AZ8" s="578">
        <v>0</v>
      </c>
      <c r="BA8" s="578">
        <v>0</v>
      </c>
      <c r="BB8" s="578">
        <v>0</v>
      </c>
      <c r="BC8" s="578">
        <v>0</v>
      </c>
      <c r="BD8" s="578">
        <v>0</v>
      </c>
      <c r="BE8" s="578">
        <v>0</v>
      </c>
      <c r="BF8" s="578">
        <v>0</v>
      </c>
      <c r="BG8" s="578">
        <v>0</v>
      </c>
      <c r="BH8" s="578">
        <v>0</v>
      </c>
      <c r="BI8" s="578">
        <v>0</v>
      </c>
      <c r="BJ8" s="578">
        <v>2.474216601168655E-5</v>
      </c>
      <c r="BK8" s="578">
        <v>0</v>
      </c>
      <c r="BL8" s="578">
        <v>0</v>
      </c>
      <c r="BM8" s="578">
        <v>0</v>
      </c>
      <c r="BN8" s="578">
        <v>0</v>
      </c>
      <c r="BO8" s="578">
        <v>0</v>
      </c>
      <c r="BP8" s="578">
        <v>0</v>
      </c>
      <c r="BQ8" s="578">
        <v>0</v>
      </c>
      <c r="BR8" s="578">
        <v>0</v>
      </c>
      <c r="BS8" s="578">
        <v>0</v>
      </c>
      <c r="BT8" s="578">
        <v>0</v>
      </c>
      <c r="BU8" s="578">
        <v>0</v>
      </c>
      <c r="BV8" s="578">
        <v>0</v>
      </c>
      <c r="BW8" s="578">
        <v>0</v>
      </c>
      <c r="BX8" s="578">
        <v>0</v>
      </c>
      <c r="BY8" s="578">
        <v>0</v>
      </c>
      <c r="BZ8" s="578">
        <v>0</v>
      </c>
      <c r="CA8" s="578">
        <v>0</v>
      </c>
      <c r="CB8" s="578">
        <v>0</v>
      </c>
      <c r="CC8" s="578">
        <v>0</v>
      </c>
      <c r="CD8" s="578">
        <v>0</v>
      </c>
      <c r="CE8" s="578">
        <v>0</v>
      </c>
      <c r="CF8" s="578">
        <v>0</v>
      </c>
      <c r="CG8" s="578">
        <v>0</v>
      </c>
      <c r="CH8" s="578">
        <v>0</v>
      </c>
      <c r="CI8" s="578">
        <v>0</v>
      </c>
      <c r="CJ8" s="578">
        <v>0</v>
      </c>
      <c r="CK8" s="578">
        <v>0</v>
      </c>
      <c r="CL8" s="578">
        <v>0</v>
      </c>
      <c r="CM8" s="578">
        <v>0</v>
      </c>
      <c r="CN8" s="578">
        <v>0</v>
      </c>
      <c r="CO8" s="578">
        <v>0</v>
      </c>
      <c r="CP8" s="578">
        <v>0</v>
      </c>
      <c r="CQ8" s="578">
        <v>0</v>
      </c>
      <c r="CR8" s="578">
        <v>0</v>
      </c>
      <c r="CS8" s="578">
        <v>0</v>
      </c>
      <c r="CT8" s="578">
        <v>0</v>
      </c>
      <c r="CU8" s="578">
        <v>0</v>
      </c>
      <c r="CV8" s="578">
        <v>0</v>
      </c>
      <c r="CW8" s="578">
        <v>0</v>
      </c>
      <c r="CX8" s="578">
        <v>0</v>
      </c>
      <c r="CY8" s="578">
        <v>0</v>
      </c>
      <c r="CZ8" s="578">
        <v>0</v>
      </c>
      <c r="DA8" s="578">
        <v>0</v>
      </c>
      <c r="DB8" s="578">
        <v>0</v>
      </c>
      <c r="DC8" s="578">
        <v>0</v>
      </c>
      <c r="DD8" s="578">
        <v>0</v>
      </c>
      <c r="DE8" s="578">
        <v>0</v>
      </c>
      <c r="DF8" s="578">
        <v>0</v>
      </c>
      <c r="DG8" s="578">
        <v>0</v>
      </c>
      <c r="DH8" s="578">
        <v>0</v>
      </c>
      <c r="DI8" s="578">
        <v>0</v>
      </c>
      <c r="DJ8" s="578">
        <v>0</v>
      </c>
      <c r="DK8" s="578">
        <v>0</v>
      </c>
      <c r="DL8" s="578">
        <v>0</v>
      </c>
      <c r="DM8" s="578">
        <v>0</v>
      </c>
      <c r="DN8" s="578">
        <v>0</v>
      </c>
      <c r="DO8" s="578">
        <v>0</v>
      </c>
      <c r="DP8" s="578">
        <v>0</v>
      </c>
      <c r="DQ8" s="578">
        <v>0</v>
      </c>
      <c r="DR8" s="578">
        <v>0</v>
      </c>
      <c r="DS8" s="578">
        <v>0</v>
      </c>
      <c r="DT8" s="578">
        <v>0</v>
      </c>
      <c r="DU8" s="578">
        <v>0</v>
      </c>
      <c r="DV8" s="578">
        <v>0</v>
      </c>
      <c r="DW8" s="578">
        <v>0</v>
      </c>
      <c r="DX8" s="578">
        <v>0</v>
      </c>
      <c r="DY8" s="578">
        <v>0</v>
      </c>
      <c r="DZ8" s="578">
        <v>0</v>
      </c>
      <c r="EA8" s="578">
        <v>0</v>
      </c>
      <c r="EB8" s="578">
        <v>0</v>
      </c>
      <c r="EC8" s="578">
        <v>0</v>
      </c>
      <c r="ED8" s="578">
        <v>0</v>
      </c>
      <c r="EE8" s="578">
        <v>0</v>
      </c>
      <c r="EF8" s="578">
        <v>0</v>
      </c>
      <c r="EG8" s="578">
        <v>0</v>
      </c>
      <c r="EH8" s="578">
        <v>0</v>
      </c>
      <c r="EI8" s="578">
        <v>0</v>
      </c>
      <c r="EJ8" s="578">
        <v>0</v>
      </c>
      <c r="EK8" s="578">
        <v>0</v>
      </c>
      <c r="EL8" s="578">
        <v>0</v>
      </c>
      <c r="EM8" s="578">
        <v>0</v>
      </c>
      <c r="EN8" s="578">
        <v>0</v>
      </c>
      <c r="EO8" s="578">
        <v>0</v>
      </c>
      <c r="EP8" s="578">
        <v>0</v>
      </c>
      <c r="EQ8" s="578">
        <v>0</v>
      </c>
      <c r="ER8" s="578">
        <v>0</v>
      </c>
      <c r="ES8" s="578">
        <v>0</v>
      </c>
      <c r="ET8" s="578">
        <v>0</v>
      </c>
      <c r="EU8" s="578">
        <v>0</v>
      </c>
      <c r="EV8" s="578">
        <v>0</v>
      </c>
      <c r="EW8" s="578">
        <v>0</v>
      </c>
      <c r="EX8" s="578">
        <v>0</v>
      </c>
      <c r="EY8" s="578">
        <v>0</v>
      </c>
      <c r="EZ8" s="578">
        <v>0</v>
      </c>
      <c r="FA8" s="578">
        <v>0</v>
      </c>
      <c r="FB8" s="578">
        <v>0</v>
      </c>
      <c r="FC8" s="578">
        <v>0</v>
      </c>
      <c r="FD8" s="578">
        <v>0</v>
      </c>
      <c r="FE8" s="578">
        <v>0</v>
      </c>
      <c r="FF8" s="578">
        <v>0</v>
      </c>
      <c r="FG8" s="578">
        <v>0</v>
      </c>
      <c r="FH8" s="578">
        <v>0</v>
      </c>
      <c r="FI8" s="578">
        <v>0</v>
      </c>
      <c r="FJ8" s="578">
        <v>0</v>
      </c>
      <c r="FK8" s="578">
        <v>8.8465249934667906E-5</v>
      </c>
      <c r="FL8" s="578">
        <v>0</v>
      </c>
      <c r="FM8" s="578">
        <v>0</v>
      </c>
      <c r="FN8" s="578">
        <v>0</v>
      </c>
      <c r="FO8" s="578">
        <v>2.7232400813407054E-5</v>
      </c>
      <c r="FP8" s="578">
        <v>0</v>
      </c>
      <c r="FQ8" s="578">
        <v>1.8367312862128271E-4</v>
      </c>
      <c r="FR8" s="578">
        <v>3.3151157605739351E-4</v>
      </c>
      <c r="FS8" s="578">
        <v>0</v>
      </c>
      <c r="FT8" s="578">
        <v>0</v>
      </c>
      <c r="FU8" s="578">
        <v>0</v>
      </c>
      <c r="FV8" s="578">
        <v>0</v>
      </c>
      <c r="FW8" s="578">
        <v>0</v>
      </c>
      <c r="FX8" s="578">
        <v>0</v>
      </c>
      <c r="FY8" s="578">
        <v>0</v>
      </c>
      <c r="FZ8" s="578">
        <v>9.6585716575061829E-4</v>
      </c>
      <c r="GA8" s="578">
        <v>1.6540685184610383E-3</v>
      </c>
      <c r="GB8" s="578">
        <v>0</v>
      </c>
      <c r="GC8" s="578">
        <v>0</v>
      </c>
      <c r="GD8" s="578">
        <v>5.373798032518195E-5</v>
      </c>
      <c r="GE8" s="578">
        <v>0</v>
      </c>
      <c r="GF8" s="578">
        <v>0</v>
      </c>
      <c r="GG8" s="579">
        <v>9.4143594380204695E-4</v>
      </c>
      <c r="GH8" s="572"/>
    </row>
    <row r="9" spans="1:191">
      <c r="A9" s="572" t="s">
        <v>3459</v>
      </c>
      <c r="B9" s="577" t="s">
        <v>35</v>
      </c>
      <c r="C9" s="573" t="s">
        <v>37</v>
      </c>
      <c r="D9" s="578">
        <v>0</v>
      </c>
      <c r="E9" s="578">
        <v>0</v>
      </c>
      <c r="F9" s="578">
        <v>4.9494449551014635E-4</v>
      </c>
      <c r="G9" s="578">
        <v>0</v>
      </c>
      <c r="H9" s="578">
        <v>0</v>
      </c>
      <c r="I9" s="578">
        <v>0</v>
      </c>
      <c r="J9" s="578">
        <v>0</v>
      </c>
      <c r="K9" s="578">
        <v>0</v>
      </c>
      <c r="L9" s="578">
        <v>0</v>
      </c>
      <c r="M9" s="578">
        <v>0</v>
      </c>
      <c r="N9" s="578">
        <v>0</v>
      </c>
      <c r="O9" s="578">
        <v>0</v>
      </c>
      <c r="P9" s="578">
        <v>0</v>
      </c>
      <c r="Q9" s="578">
        <v>0</v>
      </c>
      <c r="R9" s="578">
        <v>0</v>
      </c>
      <c r="S9" s="578">
        <v>0</v>
      </c>
      <c r="T9" s="578">
        <v>8.4305691782327291E-4</v>
      </c>
      <c r="U9" s="578">
        <v>3.4524310470142689E-3</v>
      </c>
      <c r="V9" s="578">
        <v>0</v>
      </c>
      <c r="W9" s="578">
        <v>3.0852849982229737E-3</v>
      </c>
      <c r="X9" s="578">
        <v>0.1422356433616542</v>
      </c>
      <c r="Y9" s="578">
        <v>6.3272435193113532E-3</v>
      </c>
      <c r="Z9" s="578">
        <v>2.5212249400762835E-2</v>
      </c>
      <c r="AA9" s="578">
        <v>0</v>
      </c>
      <c r="AB9" s="578">
        <v>9.9932277299681215E-4</v>
      </c>
      <c r="AC9" s="578">
        <v>0</v>
      </c>
      <c r="AD9" s="578">
        <v>0</v>
      </c>
      <c r="AE9" s="578">
        <v>0</v>
      </c>
      <c r="AF9" s="578">
        <v>0</v>
      </c>
      <c r="AG9" s="578">
        <v>0</v>
      </c>
      <c r="AH9" s="578">
        <v>0</v>
      </c>
      <c r="AI9" s="578">
        <v>0</v>
      </c>
      <c r="AJ9" s="578">
        <v>0</v>
      </c>
      <c r="AK9" s="578">
        <v>0</v>
      </c>
      <c r="AL9" s="578">
        <v>0</v>
      </c>
      <c r="AM9" s="578">
        <v>0</v>
      </c>
      <c r="AN9" s="578">
        <v>0</v>
      </c>
      <c r="AO9" s="578">
        <v>0</v>
      </c>
      <c r="AP9" s="578">
        <v>0</v>
      </c>
      <c r="AQ9" s="578">
        <v>0</v>
      </c>
      <c r="AR9" s="578">
        <v>0</v>
      </c>
      <c r="AS9" s="578">
        <v>0</v>
      </c>
      <c r="AT9" s="578">
        <v>0</v>
      </c>
      <c r="AU9" s="578">
        <v>0</v>
      </c>
      <c r="AV9" s="578">
        <v>0</v>
      </c>
      <c r="AW9" s="578">
        <v>0</v>
      </c>
      <c r="AX9" s="578">
        <v>0</v>
      </c>
      <c r="AY9" s="578">
        <v>0</v>
      </c>
      <c r="AZ9" s="578">
        <v>0</v>
      </c>
      <c r="BA9" s="578">
        <v>0</v>
      </c>
      <c r="BB9" s="578">
        <v>0</v>
      </c>
      <c r="BC9" s="578">
        <v>0</v>
      </c>
      <c r="BD9" s="578">
        <v>0</v>
      </c>
      <c r="BE9" s="578">
        <v>0</v>
      </c>
      <c r="BF9" s="578">
        <v>0</v>
      </c>
      <c r="BG9" s="578">
        <v>0</v>
      </c>
      <c r="BH9" s="578">
        <v>0</v>
      </c>
      <c r="BI9" s="578">
        <v>0</v>
      </c>
      <c r="BJ9" s="578">
        <v>0</v>
      </c>
      <c r="BK9" s="578">
        <v>0</v>
      </c>
      <c r="BL9" s="578">
        <v>0</v>
      </c>
      <c r="BM9" s="578">
        <v>0</v>
      </c>
      <c r="BN9" s="578">
        <v>0</v>
      </c>
      <c r="BO9" s="578">
        <v>0</v>
      </c>
      <c r="BP9" s="578">
        <v>0</v>
      </c>
      <c r="BQ9" s="578">
        <v>0</v>
      </c>
      <c r="BR9" s="578">
        <v>0</v>
      </c>
      <c r="BS9" s="578">
        <v>0</v>
      </c>
      <c r="BT9" s="578">
        <v>0</v>
      </c>
      <c r="BU9" s="578">
        <v>0</v>
      </c>
      <c r="BV9" s="578">
        <v>0</v>
      </c>
      <c r="BW9" s="578">
        <v>0</v>
      </c>
      <c r="BX9" s="578">
        <v>0</v>
      </c>
      <c r="BY9" s="578">
        <v>0</v>
      </c>
      <c r="BZ9" s="578">
        <v>0</v>
      </c>
      <c r="CA9" s="578">
        <v>0</v>
      </c>
      <c r="CB9" s="578">
        <v>0</v>
      </c>
      <c r="CC9" s="578">
        <v>0</v>
      </c>
      <c r="CD9" s="578">
        <v>0</v>
      </c>
      <c r="CE9" s="578">
        <v>0</v>
      </c>
      <c r="CF9" s="578">
        <v>0</v>
      </c>
      <c r="CG9" s="578">
        <v>0</v>
      </c>
      <c r="CH9" s="578">
        <v>0</v>
      </c>
      <c r="CI9" s="578">
        <v>0</v>
      </c>
      <c r="CJ9" s="578">
        <v>0</v>
      </c>
      <c r="CK9" s="578">
        <v>0</v>
      </c>
      <c r="CL9" s="578">
        <v>0</v>
      </c>
      <c r="CM9" s="578">
        <v>0</v>
      </c>
      <c r="CN9" s="578">
        <v>0</v>
      </c>
      <c r="CO9" s="578">
        <v>0</v>
      </c>
      <c r="CP9" s="578">
        <v>0</v>
      </c>
      <c r="CQ9" s="578">
        <v>0</v>
      </c>
      <c r="CR9" s="578">
        <v>0</v>
      </c>
      <c r="CS9" s="578">
        <v>0</v>
      </c>
      <c r="CT9" s="578">
        <v>0</v>
      </c>
      <c r="CU9" s="578">
        <v>0</v>
      </c>
      <c r="CV9" s="578">
        <v>0</v>
      </c>
      <c r="CW9" s="578">
        <v>0</v>
      </c>
      <c r="CX9" s="578">
        <v>0</v>
      </c>
      <c r="CY9" s="578">
        <v>0</v>
      </c>
      <c r="CZ9" s="578">
        <v>0</v>
      </c>
      <c r="DA9" s="578">
        <v>0</v>
      </c>
      <c r="DB9" s="578">
        <v>0</v>
      </c>
      <c r="DC9" s="578">
        <v>0</v>
      </c>
      <c r="DD9" s="578">
        <v>0</v>
      </c>
      <c r="DE9" s="578">
        <v>0</v>
      </c>
      <c r="DF9" s="578">
        <v>0</v>
      </c>
      <c r="DG9" s="578">
        <v>0</v>
      </c>
      <c r="DH9" s="578">
        <v>0</v>
      </c>
      <c r="DI9" s="578">
        <v>0</v>
      </c>
      <c r="DJ9" s="578">
        <v>0</v>
      </c>
      <c r="DK9" s="578">
        <v>0</v>
      </c>
      <c r="DL9" s="578">
        <v>0</v>
      </c>
      <c r="DM9" s="578">
        <v>0</v>
      </c>
      <c r="DN9" s="578">
        <v>0</v>
      </c>
      <c r="DO9" s="578">
        <v>0</v>
      </c>
      <c r="DP9" s="578">
        <v>0</v>
      </c>
      <c r="DQ9" s="578">
        <v>0</v>
      </c>
      <c r="DR9" s="578">
        <v>0</v>
      </c>
      <c r="DS9" s="578">
        <v>0</v>
      </c>
      <c r="DT9" s="578">
        <v>0</v>
      </c>
      <c r="DU9" s="578">
        <v>0</v>
      </c>
      <c r="DV9" s="578">
        <v>0</v>
      </c>
      <c r="DW9" s="578">
        <v>0</v>
      </c>
      <c r="DX9" s="578">
        <v>0</v>
      </c>
      <c r="DY9" s="578">
        <v>0</v>
      </c>
      <c r="DZ9" s="578">
        <v>0</v>
      </c>
      <c r="EA9" s="578">
        <v>0</v>
      </c>
      <c r="EB9" s="578">
        <v>0</v>
      </c>
      <c r="EC9" s="578">
        <v>0</v>
      </c>
      <c r="ED9" s="578">
        <v>0</v>
      </c>
      <c r="EE9" s="578">
        <v>0</v>
      </c>
      <c r="EF9" s="578">
        <v>0</v>
      </c>
      <c r="EG9" s="578">
        <v>0</v>
      </c>
      <c r="EH9" s="578">
        <v>0</v>
      </c>
      <c r="EI9" s="578">
        <v>0</v>
      </c>
      <c r="EJ9" s="578">
        <v>0</v>
      </c>
      <c r="EK9" s="578">
        <v>0</v>
      </c>
      <c r="EL9" s="578">
        <v>0</v>
      </c>
      <c r="EM9" s="578">
        <v>0</v>
      </c>
      <c r="EN9" s="578">
        <v>0</v>
      </c>
      <c r="EO9" s="578">
        <v>0</v>
      </c>
      <c r="EP9" s="578">
        <v>0</v>
      </c>
      <c r="EQ9" s="578">
        <v>0</v>
      </c>
      <c r="ER9" s="578">
        <v>0</v>
      </c>
      <c r="ES9" s="578">
        <v>0</v>
      </c>
      <c r="ET9" s="578">
        <v>0</v>
      </c>
      <c r="EU9" s="578">
        <v>0</v>
      </c>
      <c r="EV9" s="578">
        <v>0</v>
      </c>
      <c r="EW9" s="578">
        <v>0</v>
      </c>
      <c r="EX9" s="578">
        <v>0</v>
      </c>
      <c r="EY9" s="578">
        <v>0</v>
      </c>
      <c r="EZ9" s="578">
        <v>0</v>
      </c>
      <c r="FA9" s="578">
        <v>0</v>
      </c>
      <c r="FB9" s="578">
        <v>6.7458858528654842E-5</v>
      </c>
      <c r="FC9" s="578">
        <v>0</v>
      </c>
      <c r="FD9" s="578">
        <v>0</v>
      </c>
      <c r="FE9" s="578">
        <v>0</v>
      </c>
      <c r="FF9" s="578">
        <v>0</v>
      </c>
      <c r="FG9" s="578">
        <v>0</v>
      </c>
      <c r="FH9" s="578">
        <v>0</v>
      </c>
      <c r="FI9" s="578">
        <v>6.7531460852305754E-5</v>
      </c>
      <c r="FJ9" s="578">
        <v>0</v>
      </c>
      <c r="FK9" s="578">
        <v>1.1693682462628515E-3</v>
      </c>
      <c r="FL9" s="578">
        <v>0</v>
      </c>
      <c r="FM9" s="578">
        <v>0</v>
      </c>
      <c r="FN9" s="578">
        <v>0</v>
      </c>
      <c r="FO9" s="578">
        <v>7.3180888004028416E-4</v>
      </c>
      <c r="FP9" s="578">
        <v>0</v>
      </c>
      <c r="FQ9" s="578">
        <v>1.9063044409936159E-3</v>
      </c>
      <c r="FR9" s="578">
        <v>3.168036681055514E-3</v>
      </c>
      <c r="FS9" s="578">
        <v>3.8683635140438416E-4</v>
      </c>
      <c r="FT9" s="578">
        <v>0</v>
      </c>
      <c r="FU9" s="578">
        <v>0</v>
      </c>
      <c r="FV9" s="578">
        <v>0</v>
      </c>
      <c r="FW9" s="578">
        <v>0</v>
      </c>
      <c r="FX9" s="578">
        <v>0</v>
      </c>
      <c r="FY9" s="578">
        <v>0</v>
      </c>
      <c r="FZ9" s="578">
        <v>6.6830385953058477E-3</v>
      </c>
      <c r="GA9" s="578">
        <v>1.4198034068093713E-2</v>
      </c>
      <c r="GB9" s="578">
        <v>0</v>
      </c>
      <c r="GC9" s="578">
        <v>1.1154849136862562E-4</v>
      </c>
      <c r="GD9" s="578">
        <v>7.62407595863519E-4</v>
      </c>
      <c r="GE9" s="578">
        <v>0</v>
      </c>
      <c r="GF9" s="578">
        <v>0</v>
      </c>
      <c r="GG9" s="579">
        <v>1.0874885249900843E-3</v>
      </c>
      <c r="GH9" s="572"/>
    </row>
    <row r="10" spans="1:191">
      <c r="A10" s="572" t="s">
        <v>3170</v>
      </c>
      <c r="B10" s="577" t="s">
        <v>9401</v>
      </c>
      <c r="C10" s="573" t="s">
        <v>39</v>
      </c>
      <c r="D10" s="578">
        <v>0</v>
      </c>
      <c r="E10" s="578">
        <v>0</v>
      </c>
      <c r="F10" s="578">
        <v>0</v>
      </c>
      <c r="G10" s="578">
        <v>0</v>
      </c>
      <c r="H10" s="578">
        <v>0</v>
      </c>
      <c r="I10" s="578">
        <v>0</v>
      </c>
      <c r="J10" s="578">
        <v>0</v>
      </c>
      <c r="K10" s="578">
        <v>0</v>
      </c>
      <c r="L10" s="578">
        <v>0</v>
      </c>
      <c r="M10" s="578">
        <v>0</v>
      </c>
      <c r="N10" s="578">
        <v>0</v>
      </c>
      <c r="O10" s="578">
        <v>0</v>
      </c>
      <c r="P10" s="578">
        <v>0</v>
      </c>
      <c r="Q10" s="578">
        <v>0</v>
      </c>
      <c r="R10" s="578">
        <v>0</v>
      </c>
      <c r="S10" s="578">
        <v>0</v>
      </c>
      <c r="T10" s="578">
        <v>3.2803771121528132E-6</v>
      </c>
      <c r="U10" s="578">
        <v>4.8773956619869172E-4</v>
      </c>
      <c r="V10" s="578">
        <v>0</v>
      </c>
      <c r="W10" s="578">
        <v>2.4510705050430777E-3</v>
      </c>
      <c r="X10" s="578">
        <v>3.053024874603337E-2</v>
      </c>
      <c r="Y10" s="578">
        <v>2.5384749448734172E-4</v>
      </c>
      <c r="Z10" s="578">
        <v>1.1668013216769515E-2</v>
      </c>
      <c r="AA10" s="578">
        <v>7.378633381889501E-4</v>
      </c>
      <c r="AB10" s="578">
        <v>4.7818833517781342E-3</v>
      </c>
      <c r="AC10" s="578">
        <v>0</v>
      </c>
      <c r="AD10" s="578">
        <v>0</v>
      </c>
      <c r="AE10" s="578">
        <v>0</v>
      </c>
      <c r="AF10" s="578">
        <v>0</v>
      </c>
      <c r="AG10" s="578">
        <v>0</v>
      </c>
      <c r="AH10" s="578">
        <v>0</v>
      </c>
      <c r="AI10" s="578">
        <v>0</v>
      </c>
      <c r="AJ10" s="578">
        <v>0</v>
      </c>
      <c r="AK10" s="578">
        <v>0</v>
      </c>
      <c r="AL10" s="578">
        <v>0</v>
      </c>
      <c r="AM10" s="578">
        <v>0</v>
      </c>
      <c r="AN10" s="578">
        <v>0</v>
      </c>
      <c r="AO10" s="578">
        <v>0</v>
      </c>
      <c r="AP10" s="578">
        <v>0</v>
      </c>
      <c r="AQ10" s="578">
        <v>0</v>
      </c>
      <c r="AR10" s="578">
        <v>0</v>
      </c>
      <c r="AS10" s="578">
        <v>0</v>
      </c>
      <c r="AT10" s="578">
        <v>0</v>
      </c>
      <c r="AU10" s="578">
        <v>0</v>
      </c>
      <c r="AV10" s="578">
        <v>0</v>
      </c>
      <c r="AW10" s="578">
        <v>0</v>
      </c>
      <c r="AX10" s="578">
        <v>0</v>
      </c>
      <c r="AY10" s="578">
        <v>0</v>
      </c>
      <c r="AZ10" s="578">
        <v>0</v>
      </c>
      <c r="BA10" s="578">
        <v>0</v>
      </c>
      <c r="BB10" s="578">
        <v>0</v>
      </c>
      <c r="BC10" s="578">
        <v>0</v>
      </c>
      <c r="BD10" s="578">
        <v>0</v>
      </c>
      <c r="BE10" s="578">
        <v>0</v>
      </c>
      <c r="BF10" s="578">
        <v>0</v>
      </c>
      <c r="BG10" s="578">
        <v>0</v>
      </c>
      <c r="BH10" s="578">
        <v>0</v>
      </c>
      <c r="BI10" s="578">
        <v>0</v>
      </c>
      <c r="BJ10" s="578">
        <v>0</v>
      </c>
      <c r="BK10" s="578">
        <v>0</v>
      </c>
      <c r="BL10" s="578">
        <v>0</v>
      </c>
      <c r="BM10" s="578">
        <v>0</v>
      </c>
      <c r="BN10" s="578">
        <v>0</v>
      </c>
      <c r="BO10" s="578">
        <v>0</v>
      </c>
      <c r="BP10" s="578">
        <v>0</v>
      </c>
      <c r="BQ10" s="578">
        <v>0</v>
      </c>
      <c r="BR10" s="578">
        <v>0</v>
      </c>
      <c r="BS10" s="578">
        <v>0</v>
      </c>
      <c r="BT10" s="578">
        <v>0</v>
      </c>
      <c r="BU10" s="578">
        <v>0</v>
      </c>
      <c r="BV10" s="578">
        <v>0</v>
      </c>
      <c r="BW10" s="578">
        <v>0</v>
      </c>
      <c r="BX10" s="578">
        <v>0</v>
      </c>
      <c r="BY10" s="578">
        <v>0</v>
      </c>
      <c r="BZ10" s="578">
        <v>0</v>
      </c>
      <c r="CA10" s="578">
        <v>0</v>
      </c>
      <c r="CB10" s="578">
        <v>0</v>
      </c>
      <c r="CC10" s="578">
        <v>0</v>
      </c>
      <c r="CD10" s="578">
        <v>0</v>
      </c>
      <c r="CE10" s="578">
        <v>0</v>
      </c>
      <c r="CF10" s="578">
        <v>0</v>
      </c>
      <c r="CG10" s="578">
        <v>0</v>
      </c>
      <c r="CH10" s="578">
        <v>0</v>
      </c>
      <c r="CI10" s="578">
        <v>0</v>
      </c>
      <c r="CJ10" s="578">
        <v>0</v>
      </c>
      <c r="CK10" s="578">
        <v>0</v>
      </c>
      <c r="CL10" s="578">
        <v>0</v>
      </c>
      <c r="CM10" s="578">
        <v>0</v>
      </c>
      <c r="CN10" s="578">
        <v>0</v>
      </c>
      <c r="CO10" s="578">
        <v>0</v>
      </c>
      <c r="CP10" s="578">
        <v>0</v>
      </c>
      <c r="CQ10" s="578">
        <v>0</v>
      </c>
      <c r="CR10" s="578">
        <v>0</v>
      </c>
      <c r="CS10" s="578">
        <v>0</v>
      </c>
      <c r="CT10" s="578">
        <v>0</v>
      </c>
      <c r="CU10" s="578">
        <v>0</v>
      </c>
      <c r="CV10" s="578">
        <v>0</v>
      </c>
      <c r="CW10" s="578">
        <v>0</v>
      </c>
      <c r="CX10" s="578">
        <v>0</v>
      </c>
      <c r="CY10" s="578">
        <v>0</v>
      </c>
      <c r="CZ10" s="578">
        <v>0</v>
      </c>
      <c r="DA10" s="578">
        <v>0</v>
      </c>
      <c r="DB10" s="578">
        <v>0</v>
      </c>
      <c r="DC10" s="578">
        <v>0</v>
      </c>
      <c r="DD10" s="578">
        <v>0</v>
      </c>
      <c r="DE10" s="578">
        <v>0</v>
      </c>
      <c r="DF10" s="578">
        <v>0</v>
      </c>
      <c r="DG10" s="578">
        <v>0</v>
      </c>
      <c r="DH10" s="578">
        <v>0</v>
      </c>
      <c r="DI10" s="578">
        <v>0</v>
      </c>
      <c r="DJ10" s="578">
        <v>0</v>
      </c>
      <c r="DK10" s="578">
        <v>0</v>
      </c>
      <c r="DL10" s="578">
        <v>0</v>
      </c>
      <c r="DM10" s="578">
        <v>0</v>
      </c>
      <c r="DN10" s="578">
        <v>0</v>
      </c>
      <c r="DO10" s="578">
        <v>0</v>
      </c>
      <c r="DP10" s="578">
        <v>0</v>
      </c>
      <c r="DQ10" s="578">
        <v>0</v>
      </c>
      <c r="DR10" s="578">
        <v>0</v>
      </c>
      <c r="DS10" s="578">
        <v>0</v>
      </c>
      <c r="DT10" s="578">
        <v>0</v>
      </c>
      <c r="DU10" s="578">
        <v>0</v>
      </c>
      <c r="DV10" s="578">
        <v>0</v>
      </c>
      <c r="DW10" s="578">
        <v>0</v>
      </c>
      <c r="DX10" s="578">
        <v>0</v>
      </c>
      <c r="DY10" s="578">
        <v>0</v>
      </c>
      <c r="DZ10" s="578">
        <v>0</v>
      </c>
      <c r="EA10" s="578">
        <v>0</v>
      </c>
      <c r="EB10" s="578">
        <v>0</v>
      </c>
      <c r="EC10" s="578">
        <v>0</v>
      </c>
      <c r="ED10" s="578">
        <v>0</v>
      </c>
      <c r="EE10" s="578">
        <v>0</v>
      </c>
      <c r="EF10" s="578">
        <v>0</v>
      </c>
      <c r="EG10" s="578">
        <v>0</v>
      </c>
      <c r="EH10" s="578">
        <v>0</v>
      </c>
      <c r="EI10" s="578">
        <v>0</v>
      </c>
      <c r="EJ10" s="578">
        <v>0</v>
      </c>
      <c r="EK10" s="578">
        <v>0</v>
      </c>
      <c r="EL10" s="578">
        <v>0</v>
      </c>
      <c r="EM10" s="578">
        <v>0</v>
      </c>
      <c r="EN10" s="578">
        <v>0</v>
      </c>
      <c r="EO10" s="578">
        <v>0</v>
      </c>
      <c r="EP10" s="578">
        <v>0</v>
      </c>
      <c r="EQ10" s="578">
        <v>0</v>
      </c>
      <c r="ER10" s="578">
        <v>0</v>
      </c>
      <c r="ES10" s="578">
        <v>0</v>
      </c>
      <c r="ET10" s="578">
        <v>0</v>
      </c>
      <c r="EU10" s="578">
        <v>0</v>
      </c>
      <c r="EV10" s="578">
        <v>0</v>
      </c>
      <c r="EW10" s="578">
        <v>0</v>
      </c>
      <c r="EX10" s="578">
        <v>0</v>
      </c>
      <c r="EY10" s="578">
        <v>0</v>
      </c>
      <c r="EZ10" s="578">
        <v>0</v>
      </c>
      <c r="FA10" s="578">
        <v>0</v>
      </c>
      <c r="FB10" s="578">
        <v>4.04753151171929E-5</v>
      </c>
      <c r="FC10" s="578">
        <v>0</v>
      </c>
      <c r="FD10" s="578">
        <v>0</v>
      </c>
      <c r="FE10" s="578">
        <v>0</v>
      </c>
      <c r="FF10" s="578">
        <v>0</v>
      </c>
      <c r="FG10" s="578">
        <v>0</v>
      </c>
      <c r="FH10" s="578">
        <v>0</v>
      </c>
      <c r="FI10" s="578">
        <v>1.7616902831036286E-5</v>
      </c>
      <c r="FJ10" s="578">
        <v>0</v>
      </c>
      <c r="FK10" s="578">
        <v>4.7181466631822882E-4</v>
      </c>
      <c r="FL10" s="578">
        <v>0</v>
      </c>
      <c r="FM10" s="578">
        <v>0</v>
      </c>
      <c r="FN10" s="578">
        <v>0</v>
      </c>
      <c r="FO10" s="578">
        <v>2.7678021917626445E-4</v>
      </c>
      <c r="FP10" s="578">
        <v>0</v>
      </c>
      <c r="FQ10" s="578">
        <v>9.5732660978365531E-4</v>
      </c>
      <c r="FR10" s="578">
        <v>1.603862343319925E-3</v>
      </c>
      <c r="FS10" s="578">
        <v>7.8488535067556208E-4</v>
      </c>
      <c r="FT10" s="578">
        <v>0</v>
      </c>
      <c r="FU10" s="578">
        <v>0</v>
      </c>
      <c r="FV10" s="578">
        <v>0</v>
      </c>
      <c r="FW10" s="578">
        <v>0</v>
      </c>
      <c r="FX10" s="578">
        <v>0</v>
      </c>
      <c r="FY10" s="578">
        <v>0</v>
      </c>
      <c r="FZ10" s="578">
        <v>3.1531121823607628E-3</v>
      </c>
      <c r="GA10" s="578">
        <v>6.9381027139792887E-3</v>
      </c>
      <c r="GB10" s="578">
        <v>0</v>
      </c>
      <c r="GC10" s="578">
        <v>0</v>
      </c>
      <c r="GD10" s="578">
        <v>3.392210008027111E-4</v>
      </c>
      <c r="GE10" s="578">
        <v>0</v>
      </c>
      <c r="GF10" s="578">
        <v>0</v>
      </c>
      <c r="GG10" s="579">
        <v>4.8071577161503765E-4</v>
      </c>
      <c r="GH10" s="572"/>
    </row>
    <row r="11" spans="1:191">
      <c r="A11" s="572" t="s">
        <v>3172</v>
      </c>
      <c r="B11" s="577" t="s">
        <v>40</v>
      </c>
      <c r="C11" s="573" t="s">
        <v>9494</v>
      </c>
      <c r="D11" s="578">
        <v>0</v>
      </c>
      <c r="E11" s="578">
        <v>0</v>
      </c>
      <c r="F11" s="578">
        <v>0</v>
      </c>
      <c r="G11" s="578">
        <v>0</v>
      </c>
      <c r="H11" s="578">
        <v>0</v>
      </c>
      <c r="I11" s="578">
        <v>6.5157191725036647E-4</v>
      </c>
      <c r="J11" s="578">
        <v>2.0615567975003622E-3</v>
      </c>
      <c r="K11" s="578">
        <v>0</v>
      </c>
      <c r="L11" s="578">
        <v>0</v>
      </c>
      <c r="M11" s="578">
        <v>0</v>
      </c>
      <c r="N11" s="578">
        <v>0</v>
      </c>
      <c r="O11" s="578">
        <v>0</v>
      </c>
      <c r="P11" s="578">
        <v>0</v>
      </c>
      <c r="Q11" s="578">
        <v>0</v>
      </c>
      <c r="R11" s="578">
        <v>0</v>
      </c>
      <c r="S11" s="578">
        <v>0</v>
      </c>
      <c r="T11" s="578">
        <v>0</v>
      </c>
      <c r="U11" s="578">
        <v>1.9127041811713402E-5</v>
      </c>
      <c r="V11" s="578">
        <v>2.7940254856904115E-2</v>
      </c>
      <c r="W11" s="578">
        <v>3.7746485777663394E-3</v>
      </c>
      <c r="X11" s="578">
        <v>1.5354693417954756E-4</v>
      </c>
      <c r="Y11" s="578">
        <v>0.14496586319514432</v>
      </c>
      <c r="Z11" s="578">
        <v>4.4127475795650061E-3</v>
      </c>
      <c r="AA11" s="578">
        <v>1.0330086734645302E-3</v>
      </c>
      <c r="AB11" s="578">
        <v>0.12447762673229712</v>
      </c>
      <c r="AC11" s="578">
        <v>0.23277187526993176</v>
      </c>
      <c r="AD11" s="578">
        <v>0</v>
      </c>
      <c r="AE11" s="578">
        <v>0</v>
      </c>
      <c r="AF11" s="578">
        <v>0</v>
      </c>
      <c r="AG11" s="578">
        <v>0</v>
      </c>
      <c r="AH11" s="578">
        <v>0</v>
      </c>
      <c r="AI11" s="578">
        <v>0</v>
      </c>
      <c r="AJ11" s="578">
        <v>0</v>
      </c>
      <c r="AK11" s="578">
        <v>0</v>
      </c>
      <c r="AL11" s="578">
        <v>0</v>
      </c>
      <c r="AM11" s="578">
        <v>0</v>
      </c>
      <c r="AN11" s="578">
        <v>0</v>
      </c>
      <c r="AO11" s="578">
        <v>0</v>
      </c>
      <c r="AP11" s="578">
        <v>0</v>
      </c>
      <c r="AQ11" s="578">
        <v>0</v>
      </c>
      <c r="AR11" s="578">
        <v>0</v>
      </c>
      <c r="AS11" s="578">
        <v>0</v>
      </c>
      <c r="AT11" s="578">
        <v>0</v>
      </c>
      <c r="AU11" s="578">
        <v>0</v>
      </c>
      <c r="AV11" s="578">
        <v>0</v>
      </c>
      <c r="AW11" s="578">
        <v>0</v>
      </c>
      <c r="AX11" s="578">
        <v>0</v>
      </c>
      <c r="AY11" s="578">
        <v>0</v>
      </c>
      <c r="AZ11" s="578">
        <v>0</v>
      </c>
      <c r="BA11" s="578">
        <v>0</v>
      </c>
      <c r="BB11" s="578">
        <v>1.0624358111697418E-4</v>
      </c>
      <c r="BC11" s="578">
        <v>0</v>
      </c>
      <c r="BD11" s="578">
        <v>0</v>
      </c>
      <c r="BE11" s="578">
        <v>0</v>
      </c>
      <c r="BF11" s="578">
        <v>0</v>
      </c>
      <c r="BG11" s="578">
        <v>0</v>
      </c>
      <c r="BH11" s="578">
        <v>0</v>
      </c>
      <c r="BI11" s="578">
        <v>0</v>
      </c>
      <c r="BJ11" s="578">
        <v>0</v>
      </c>
      <c r="BK11" s="578">
        <v>0</v>
      </c>
      <c r="BL11" s="578">
        <v>0</v>
      </c>
      <c r="BM11" s="578">
        <v>0</v>
      </c>
      <c r="BN11" s="578">
        <v>0</v>
      </c>
      <c r="BO11" s="578">
        <v>0</v>
      </c>
      <c r="BP11" s="578">
        <v>0</v>
      </c>
      <c r="BQ11" s="578">
        <v>0</v>
      </c>
      <c r="BR11" s="578">
        <v>0</v>
      </c>
      <c r="BS11" s="578">
        <v>0</v>
      </c>
      <c r="BT11" s="578">
        <v>0</v>
      </c>
      <c r="BU11" s="578">
        <v>0</v>
      </c>
      <c r="BV11" s="578">
        <v>0</v>
      </c>
      <c r="BW11" s="578">
        <v>0</v>
      </c>
      <c r="BX11" s="578">
        <v>0</v>
      </c>
      <c r="BY11" s="578">
        <v>0</v>
      </c>
      <c r="BZ11" s="578">
        <v>0</v>
      </c>
      <c r="CA11" s="578">
        <v>0</v>
      </c>
      <c r="CB11" s="578">
        <v>0</v>
      </c>
      <c r="CC11" s="578">
        <v>0</v>
      </c>
      <c r="CD11" s="578">
        <v>0</v>
      </c>
      <c r="CE11" s="578">
        <v>0</v>
      </c>
      <c r="CF11" s="578">
        <v>0</v>
      </c>
      <c r="CG11" s="578">
        <v>0</v>
      </c>
      <c r="CH11" s="578">
        <v>0</v>
      </c>
      <c r="CI11" s="578">
        <v>0</v>
      </c>
      <c r="CJ11" s="578">
        <v>0</v>
      </c>
      <c r="CK11" s="578">
        <v>0</v>
      </c>
      <c r="CL11" s="578">
        <v>0</v>
      </c>
      <c r="CM11" s="578">
        <v>0</v>
      </c>
      <c r="CN11" s="578">
        <v>0</v>
      </c>
      <c r="CO11" s="578">
        <v>0</v>
      </c>
      <c r="CP11" s="578">
        <v>0</v>
      </c>
      <c r="CQ11" s="578">
        <v>0</v>
      </c>
      <c r="CR11" s="578">
        <v>0</v>
      </c>
      <c r="CS11" s="578">
        <v>0</v>
      </c>
      <c r="CT11" s="578">
        <v>0</v>
      </c>
      <c r="CU11" s="578">
        <v>0</v>
      </c>
      <c r="CV11" s="578">
        <v>0</v>
      </c>
      <c r="CW11" s="578">
        <v>0</v>
      </c>
      <c r="CX11" s="578">
        <v>0</v>
      </c>
      <c r="CY11" s="578">
        <v>0</v>
      </c>
      <c r="CZ11" s="578">
        <v>0</v>
      </c>
      <c r="DA11" s="578">
        <v>0</v>
      </c>
      <c r="DB11" s="578">
        <v>0</v>
      </c>
      <c r="DC11" s="578">
        <v>0</v>
      </c>
      <c r="DD11" s="578">
        <v>0</v>
      </c>
      <c r="DE11" s="578">
        <v>0</v>
      </c>
      <c r="DF11" s="578">
        <v>0</v>
      </c>
      <c r="DG11" s="578">
        <v>0</v>
      </c>
      <c r="DH11" s="578">
        <v>0</v>
      </c>
      <c r="DI11" s="578">
        <v>0</v>
      </c>
      <c r="DJ11" s="578">
        <v>0</v>
      </c>
      <c r="DK11" s="578">
        <v>0</v>
      </c>
      <c r="DL11" s="578">
        <v>0</v>
      </c>
      <c r="DM11" s="578">
        <v>0</v>
      </c>
      <c r="DN11" s="578">
        <v>0</v>
      </c>
      <c r="DO11" s="578">
        <v>0</v>
      </c>
      <c r="DP11" s="578">
        <v>0</v>
      </c>
      <c r="DQ11" s="578">
        <v>0</v>
      </c>
      <c r="DR11" s="578">
        <v>0</v>
      </c>
      <c r="DS11" s="578">
        <v>0</v>
      </c>
      <c r="DT11" s="578">
        <v>0</v>
      </c>
      <c r="DU11" s="578">
        <v>0</v>
      </c>
      <c r="DV11" s="578">
        <v>0</v>
      </c>
      <c r="DW11" s="578">
        <v>0</v>
      </c>
      <c r="DX11" s="578">
        <v>0</v>
      </c>
      <c r="DY11" s="578">
        <v>0</v>
      </c>
      <c r="DZ11" s="578">
        <v>0</v>
      </c>
      <c r="EA11" s="578">
        <v>0</v>
      </c>
      <c r="EB11" s="578">
        <v>0</v>
      </c>
      <c r="EC11" s="578">
        <v>0</v>
      </c>
      <c r="ED11" s="578">
        <v>0</v>
      </c>
      <c r="EE11" s="578">
        <v>0</v>
      </c>
      <c r="EF11" s="578">
        <v>0</v>
      </c>
      <c r="EG11" s="578">
        <v>0</v>
      </c>
      <c r="EH11" s="578">
        <v>0</v>
      </c>
      <c r="EI11" s="578">
        <v>0</v>
      </c>
      <c r="EJ11" s="578">
        <v>0</v>
      </c>
      <c r="EK11" s="578">
        <v>0</v>
      </c>
      <c r="EL11" s="578">
        <v>0</v>
      </c>
      <c r="EM11" s="578">
        <v>0</v>
      </c>
      <c r="EN11" s="578">
        <v>0</v>
      </c>
      <c r="EO11" s="578">
        <v>0</v>
      </c>
      <c r="EP11" s="578">
        <v>0</v>
      </c>
      <c r="EQ11" s="578">
        <v>0</v>
      </c>
      <c r="ER11" s="578">
        <v>0</v>
      </c>
      <c r="ES11" s="578">
        <v>0</v>
      </c>
      <c r="ET11" s="578">
        <v>0</v>
      </c>
      <c r="EU11" s="578">
        <v>0</v>
      </c>
      <c r="EV11" s="578">
        <v>0</v>
      </c>
      <c r="EW11" s="578">
        <v>0</v>
      </c>
      <c r="EX11" s="578">
        <v>0</v>
      </c>
      <c r="EY11" s="578">
        <v>0</v>
      </c>
      <c r="EZ11" s="578">
        <v>0</v>
      </c>
      <c r="FA11" s="578">
        <v>0</v>
      </c>
      <c r="FB11" s="578">
        <v>0</v>
      </c>
      <c r="FC11" s="578">
        <v>0</v>
      </c>
      <c r="FD11" s="578">
        <v>0</v>
      </c>
      <c r="FE11" s="578">
        <v>0</v>
      </c>
      <c r="FF11" s="578">
        <v>0</v>
      </c>
      <c r="FG11" s="578">
        <v>0</v>
      </c>
      <c r="FH11" s="578">
        <v>0</v>
      </c>
      <c r="FI11" s="578">
        <v>0</v>
      </c>
      <c r="FJ11" s="578">
        <v>0</v>
      </c>
      <c r="FK11" s="578">
        <v>1.0168419532720449E-6</v>
      </c>
      <c r="FL11" s="578">
        <v>0</v>
      </c>
      <c r="FM11" s="578">
        <v>0</v>
      </c>
      <c r="FN11" s="578">
        <v>0</v>
      </c>
      <c r="FO11" s="578">
        <v>4.9513456024376469E-7</v>
      </c>
      <c r="FP11" s="578">
        <v>0</v>
      </c>
      <c r="FQ11" s="578">
        <v>0</v>
      </c>
      <c r="FR11" s="578">
        <v>0</v>
      </c>
      <c r="FS11" s="578">
        <v>0</v>
      </c>
      <c r="FT11" s="578">
        <v>0</v>
      </c>
      <c r="FU11" s="578">
        <v>0</v>
      </c>
      <c r="FV11" s="578">
        <v>0</v>
      </c>
      <c r="FW11" s="578">
        <v>0</v>
      </c>
      <c r="FX11" s="578">
        <v>0</v>
      </c>
      <c r="FY11" s="578">
        <v>0</v>
      </c>
      <c r="FZ11" s="578">
        <v>4.3311980526933552E-6</v>
      </c>
      <c r="GA11" s="578">
        <v>4.4108493825627687E-5</v>
      </c>
      <c r="GB11" s="578">
        <v>0</v>
      </c>
      <c r="GC11" s="578">
        <v>0</v>
      </c>
      <c r="GD11" s="578">
        <v>0</v>
      </c>
      <c r="GE11" s="578">
        <v>0</v>
      </c>
      <c r="GF11" s="578">
        <v>0</v>
      </c>
      <c r="GG11" s="579">
        <v>1.8956546969945407E-3</v>
      </c>
      <c r="GH11" s="572"/>
    </row>
    <row r="12" spans="1:191">
      <c r="A12" s="572" t="s">
        <v>3432</v>
      </c>
      <c r="B12" s="577" t="s">
        <v>49</v>
      </c>
      <c r="C12" s="573" t="s">
        <v>9495</v>
      </c>
      <c r="D12" s="578">
        <v>0</v>
      </c>
      <c r="E12" s="578">
        <v>9.6948959224408323E-3</v>
      </c>
      <c r="F12" s="578">
        <v>2.5619269839025197E-2</v>
      </c>
      <c r="G12" s="578">
        <v>3.0760626398210291E-3</v>
      </c>
      <c r="H12" s="578">
        <v>8.9285714285714281E-3</v>
      </c>
      <c r="I12" s="578">
        <v>8.2912526470109132E-2</v>
      </c>
      <c r="J12" s="578">
        <v>5.7707484417529674E-2</v>
      </c>
      <c r="K12" s="578">
        <v>2.699726475080814E-3</v>
      </c>
      <c r="L12" s="578">
        <v>0</v>
      </c>
      <c r="M12" s="578">
        <v>0</v>
      </c>
      <c r="N12" s="578">
        <v>0</v>
      </c>
      <c r="O12" s="578">
        <v>0</v>
      </c>
      <c r="P12" s="578">
        <v>0</v>
      </c>
      <c r="Q12" s="578">
        <v>0</v>
      </c>
      <c r="R12" s="578">
        <v>0</v>
      </c>
      <c r="S12" s="578">
        <v>0</v>
      </c>
      <c r="T12" s="578">
        <v>0</v>
      </c>
      <c r="U12" s="578">
        <v>0</v>
      </c>
      <c r="V12" s="578">
        <v>0</v>
      </c>
      <c r="W12" s="578">
        <v>1.3480887777736928E-4</v>
      </c>
      <c r="X12" s="578">
        <v>0</v>
      </c>
      <c r="Y12" s="578">
        <v>0</v>
      </c>
      <c r="Z12" s="578">
        <v>0</v>
      </c>
      <c r="AA12" s="578">
        <v>0</v>
      </c>
      <c r="AB12" s="578">
        <v>0</v>
      </c>
      <c r="AC12" s="578">
        <v>1.4286948259480004E-2</v>
      </c>
      <c r="AD12" s="578">
        <v>0</v>
      </c>
      <c r="AE12" s="578">
        <v>0.11852185669220369</v>
      </c>
      <c r="AF12" s="578">
        <v>4.1720397481605099E-3</v>
      </c>
      <c r="AG12" s="578">
        <v>0</v>
      </c>
      <c r="AH12" s="578">
        <v>2.3139220979560356E-3</v>
      </c>
      <c r="AI12" s="578">
        <v>1.1760775141997996E-2</v>
      </c>
      <c r="AJ12" s="578">
        <v>0</v>
      </c>
      <c r="AK12" s="578">
        <v>1.2471938139186831E-4</v>
      </c>
      <c r="AL12" s="578">
        <v>3.2097004279600569E-3</v>
      </c>
      <c r="AM12" s="578">
        <v>0</v>
      </c>
      <c r="AN12" s="578">
        <v>8.6266390614216703E-5</v>
      </c>
      <c r="AO12" s="578">
        <v>0</v>
      </c>
      <c r="AP12" s="578">
        <v>5.4796696315120713E-3</v>
      </c>
      <c r="AQ12" s="578">
        <v>0</v>
      </c>
      <c r="AR12" s="578">
        <v>0</v>
      </c>
      <c r="AS12" s="578">
        <v>0</v>
      </c>
      <c r="AT12" s="578">
        <v>2.0723241114910371E-5</v>
      </c>
      <c r="AU12" s="578">
        <v>0</v>
      </c>
      <c r="AV12" s="578">
        <v>0</v>
      </c>
      <c r="AW12" s="578">
        <v>0</v>
      </c>
      <c r="AX12" s="578">
        <v>0</v>
      </c>
      <c r="AY12" s="578">
        <v>0</v>
      </c>
      <c r="AZ12" s="578">
        <v>2.8256889029545404E-5</v>
      </c>
      <c r="BA12" s="578">
        <v>0</v>
      </c>
      <c r="BB12" s="578">
        <v>2.4790168927293975E-4</v>
      </c>
      <c r="BC12" s="578">
        <v>0</v>
      </c>
      <c r="BD12" s="578">
        <v>1.6393646220146797E-3</v>
      </c>
      <c r="BE12" s="578">
        <v>4.166637414789281E-3</v>
      </c>
      <c r="BF12" s="578">
        <v>0</v>
      </c>
      <c r="BG12" s="578">
        <v>0</v>
      </c>
      <c r="BH12" s="578">
        <v>0</v>
      </c>
      <c r="BI12" s="578">
        <v>0</v>
      </c>
      <c r="BJ12" s="578">
        <v>1.62473556810075E-3</v>
      </c>
      <c r="BK12" s="578">
        <v>0</v>
      </c>
      <c r="BL12" s="578">
        <v>0</v>
      </c>
      <c r="BM12" s="578">
        <v>0</v>
      </c>
      <c r="BN12" s="578">
        <v>0.10928395061728395</v>
      </c>
      <c r="BO12" s="578">
        <v>7.2338493929940796E-3</v>
      </c>
      <c r="BP12" s="578">
        <v>0</v>
      </c>
      <c r="BQ12" s="578">
        <v>0</v>
      </c>
      <c r="BR12" s="578">
        <v>0</v>
      </c>
      <c r="BS12" s="578">
        <v>0</v>
      </c>
      <c r="BT12" s="578">
        <v>0</v>
      </c>
      <c r="BU12" s="578">
        <v>0</v>
      </c>
      <c r="BV12" s="578">
        <v>3.7057000404258189E-4</v>
      </c>
      <c r="BW12" s="578">
        <v>0</v>
      </c>
      <c r="BX12" s="578">
        <v>0</v>
      </c>
      <c r="BY12" s="578">
        <v>0</v>
      </c>
      <c r="BZ12" s="578">
        <v>0</v>
      </c>
      <c r="CA12" s="578">
        <v>0</v>
      </c>
      <c r="CB12" s="578">
        <v>0</v>
      </c>
      <c r="CC12" s="578">
        <v>0</v>
      </c>
      <c r="CD12" s="578">
        <v>0</v>
      </c>
      <c r="CE12" s="578">
        <v>0</v>
      </c>
      <c r="CF12" s="578">
        <v>7.8951523764408658E-5</v>
      </c>
      <c r="CG12" s="578">
        <v>0</v>
      </c>
      <c r="CH12" s="578">
        <v>0</v>
      </c>
      <c r="CI12" s="578">
        <v>0</v>
      </c>
      <c r="CJ12" s="578">
        <v>0</v>
      </c>
      <c r="CK12" s="578">
        <v>0</v>
      </c>
      <c r="CL12" s="578">
        <v>0</v>
      </c>
      <c r="CM12" s="578">
        <v>0</v>
      </c>
      <c r="CN12" s="578">
        <v>0</v>
      </c>
      <c r="CO12" s="578">
        <v>0</v>
      </c>
      <c r="CP12" s="578">
        <v>0</v>
      </c>
      <c r="CQ12" s="578">
        <v>0</v>
      </c>
      <c r="CR12" s="578">
        <v>0</v>
      </c>
      <c r="CS12" s="578">
        <v>0</v>
      </c>
      <c r="CT12" s="578">
        <v>0</v>
      </c>
      <c r="CU12" s="578">
        <v>0</v>
      </c>
      <c r="CV12" s="578">
        <v>0</v>
      </c>
      <c r="CW12" s="578">
        <v>0</v>
      </c>
      <c r="CX12" s="578">
        <v>0</v>
      </c>
      <c r="CY12" s="578">
        <v>0</v>
      </c>
      <c r="CZ12" s="578">
        <v>0</v>
      </c>
      <c r="DA12" s="578">
        <v>0</v>
      </c>
      <c r="DB12" s="578">
        <v>0</v>
      </c>
      <c r="DC12" s="578">
        <v>0</v>
      </c>
      <c r="DD12" s="578">
        <v>0</v>
      </c>
      <c r="DE12" s="578">
        <v>0</v>
      </c>
      <c r="DF12" s="578">
        <v>0</v>
      </c>
      <c r="DG12" s="578">
        <v>0</v>
      </c>
      <c r="DH12" s="578">
        <v>0</v>
      </c>
      <c r="DI12" s="578">
        <v>0</v>
      </c>
      <c r="DJ12" s="578">
        <v>0</v>
      </c>
      <c r="DK12" s="578">
        <v>0</v>
      </c>
      <c r="DL12" s="578">
        <v>0</v>
      </c>
      <c r="DM12" s="578">
        <v>0</v>
      </c>
      <c r="DN12" s="578">
        <v>0</v>
      </c>
      <c r="DO12" s="578">
        <v>0</v>
      </c>
      <c r="DP12" s="578">
        <v>0</v>
      </c>
      <c r="DQ12" s="578">
        <v>0</v>
      </c>
      <c r="DR12" s="578">
        <v>0</v>
      </c>
      <c r="DS12" s="578">
        <v>0</v>
      </c>
      <c r="DT12" s="578">
        <v>0</v>
      </c>
      <c r="DU12" s="578">
        <v>0</v>
      </c>
      <c r="DV12" s="578">
        <v>0</v>
      </c>
      <c r="DW12" s="578">
        <v>4.3830813061582295E-4</v>
      </c>
      <c r="DX12" s="578">
        <v>2.2432381080799476E-3</v>
      </c>
      <c r="DY12" s="578">
        <v>0</v>
      </c>
      <c r="DZ12" s="578">
        <v>5.8270445600497149E-4</v>
      </c>
      <c r="EA12" s="578">
        <v>8.9481873242916574E-4</v>
      </c>
      <c r="EB12" s="578">
        <v>0</v>
      </c>
      <c r="EC12" s="578">
        <v>2.3303678739521757E-3</v>
      </c>
      <c r="ED12" s="578">
        <v>1.5784570017458007E-3</v>
      </c>
      <c r="EE12" s="578">
        <v>0</v>
      </c>
      <c r="EF12" s="578">
        <v>0</v>
      </c>
      <c r="EG12" s="578">
        <v>0</v>
      </c>
      <c r="EH12" s="578">
        <v>0</v>
      </c>
      <c r="EI12" s="578">
        <v>0</v>
      </c>
      <c r="EJ12" s="578">
        <v>0</v>
      </c>
      <c r="EK12" s="578">
        <v>2.5269293615593988E-4</v>
      </c>
      <c r="EL12" s="578">
        <v>0</v>
      </c>
      <c r="EM12" s="578">
        <v>0</v>
      </c>
      <c r="EN12" s="578">
        <v>0</v>
      </c>
      <c r="EO12" s="578">
        <v>0</v>
      </c>
      <c r="EP12" s="578">
        <v>3.2645964772205787E-6</v>
      </c>
      <c r="EQ12" s="578">
        <v>0</v>
      </c>
      <c r="ER12" s="578">
        <v>0</v>
      </c>
      <c r="ES12" s="578">
        <v>0</v>
      </c>
      <c r="ET12" s="578">
        <v>0</v>
      </c>
      <c r="EU12" s="578">
        <v>0</v>
      </c>
      <c r="EV12" s="578">
        <v>0</v>
      </c>
      <c r="EW12" s="578">
        <v>0</v>
      </c>
      <c r="EX12" s="578">
        <v>0</v>
      </c>
      <c r="EY12" s="578">
        <v>0</v>
      </c>
      <c r="EZ12" s="578">
        <v>0</v>
      </c>
      <c r="FA12" s="578">
        <v>0</v>
      </c>
      <c r="FB12" s="578">
        <v>0</v>
      </c>
      <c r="FC12" s="578">
        <v>0</v>
      </c>
      <c r="FD12" s="578">
        <v>0</v>
      </c>
      <c r="FE12" s="578">
        <v>0</v>
      </c>
      <c r="FF12" s="578">
        <v>0</v>
      </c>
      <c r="FG12" s="578">
        <v>0</v>
      </c>
      <c r="FH12" s="578">
        <v>0</v>
      </c>
      <c r="FI12" s="578">
        <v>2.9361504718393808E-6</v>
      </c>
      <c r="FJ12" s="578">
        <v>0</v>
      </c>
      <c r="FK12" s="578">
        <v>0</v>
      </c>
      <c r="FL12" s="578">
        <v>7.971772085729221E-4</v>
      </c>
      <c r="FM12" s="578">
        <v>0</v>
      </c>
      <c r="FN12" s="578">
        <v>0</v>
      </c>
      <c r="FO12" s="578">
        <v>4.3571841301451288E-5</v>
      </c>
      <c r="FP12" s="578">
        <v>0</v>
      </c>
      <c r="FQ12" s="578">
        <v>1.391463095615778E-4</v>
      </c>
      <c r="FR12" s="578">
        <v>3.268423989298246E-5</v>
      </c>
      <c r="FS12" s="578">
        <v>1.0539888994786119E-3</v>
      </c>
      <c r="FT12" s="578">
        <v>9.3383760564037907E-5</v>
      </c>
      <c r="FU12" s="578">
        <v>0</v>
      </c>
      <c r="FV12" s="578">
        <v>0</v>
      </c>
      <c r="FW12" s="578">
        <v>0</v>
      </c>
      <c r="FX12" s="578">
        <v>0</v>
      </c>
      <c r="FY12" s="578">
        <v>8.925519219766812E-7</v>
      </c>
      <c r="FZ12" s="578">
        <v>2.4687828900352127E-4</v>
      </c>
      <c r="GA12" s="578">
        <v>3.594025422828923E-4</v>
      </c>
      <c r="GB12" s="578">
        <v>8.4898051589716019E-5</v>
      </c>
      <c r="GC12" s="578">
        <v>3.7926487065332712E-3</v>
      </c>
      <c r="GD12" s="578">
        <v>4.2688108120816411E-3</v>
      </c>
      <c r="GE12" s="578">
        <v>0</v>
      </c>
      <c r="GF12" s="578">
        <v>0</v>
      </c>
      <c r="GG12" s="579">
        <v>4.6128487460988046E-4</v>
      </c>
      <c r="GH12" s="572"/>
    </row>
    <row r="13" spans="1:191">
      <c r="A13" s="572" t="s">
        <v>4455</v>
      </c>
      <c r="B13" s="577" t="s">
        <v>61</v>
      </c>
      <c r="C13" s="573" t="s">
        <v>9053</v>
      </c>
      <c r="D13" s="578">
        <v>6.1144336338480763E-3</v>
      </c>
      <c r="E13" s="578">
        <v>9.9800399201596807E-3</v>
      </c>
      <c r="F13" s="578">
        <v>4.5723443870937328E-3</v>
      </c>
      <c r="G13" s="578">
        <v>2.2371364653243847E-3</v>
      </c>
      <c r="H13" s="578">
        <v>1.7857142857142856E-2</v>
      </c>
      <c r="I13" s="578">
        <v>7.1672910897540316E-3</v>
      </c>
      <c r="J13" s="578">
        <v>9.8761455330251741E-2</v>
      </c>
      <c r="K13" s="578">
        <v>1.2397428155305317E-2</v>
      </c>
      <c r="L13" s="578">
        <v>0</v>
      </c>
      <c r="M13" s="578">
        <v>0</v>
      </c>
      <c r="N13" s="578">
        <v>0</v>
      </c>
      <c r="O13" s="578">
        <v>0</v>
      </c>
      <c r="P13" s="578">
        <v>0</v>
      </c>
      <c r="Q13" s="578">
        <v>0</v>
      </c>
      <c r="R13" s="578">
        <v>0</v>
      </c>
      <c r="S13" s="578">
        <v>0</v>
      </c>
      <c r="T13" s="578">
        <v>0.35556663594046772</v>
      </c>
      <c r="U13" s="578">
        <v>2.0561569947591903E-3</v>
      </c>
      <c r="V13" s="578">
        <v>0</v>
      </c>
      <c r="W13" s="578">
        <v>3.4100518401411818E-3</v>
      </c>
      <c r="X13" s="578">
        <v>0</v>
      </c>
      <c r="Y13" s="578">
        <v>3.569019997120536E-3</v>
      </c>
      <c r="Z13" s="578">
        <v>1.0588983699138655E-2</v>
      </c>
      <c r="AA13" s="578">
        <v>0</v>
      </c>
      <c r="AB13" s="578">
        <v>0</v>
      </c>
      <c r="AC13" s="578">
        <v>8.4650600328237027E-4</v>
      </c>
      <c r="AD13" s="578">
        <v>0</v>
      </c>
      <c r="AE13" s="578">
        <v>8.1117620549797202E-3</v>
      </c>
      <c r="AF13" s="578">
        <v>2.1239475081544414E-3</v>
      </c>
      <c r="AG13" s="578">
        <v>0</v>
      </c>
      <c r="AH13" s="578">
        <v>0</v>
      </c>
      <c r="AI13" s="578">
        <v>1.2028065486134314E-3</v>
      </c>
      <c r="AJ13" s="578">
        <v>0</v>
      </c>
      <c r="AK13" s="578">
        <v>0</v>
      </c>
      <c r="AL13" s="578">
        <v>2.1398002853067048E-3</v>
      </c>
      <c r="AM13" s="578">
        <v>0</v>
      </c>
      <c r="AN13" s="578">
        <v>0</v>
      </c>
      <c r="AO13" s="578">
        <v>0</v>
      </c>
      <c r="AP13" s="578">
        <v>0</v>
      </c>
      <c r="AQ13" s="578">
        <v>0</v>
      </c>
      <c r="AR13" s="578">
        <v>0</v>
      </c>
      <c r="AS13" s="578">
        <v>0</v>
      </c>
      <c r="AT13" s="578">
        <v>0</v>
      </c>
      <c r="AU13" s="578">
        <v>0</v>
      </c>
      <c r="AV13" s="578">
        <v>6.5903780480498471E-4</v>
      </c>
      <c r="AW13" s="578">
        <v>0</v>
      </c>
      <c r="AX13" s="578">
        <v>0</v>
      </c>
      <c r="AY13" s="578">
        <v>0</v>
      </c>
      <c r="AZ13" s="578">
        <v>0</v>
      </c>
      <c r="BA13" s="578">
        <v>0</v>
      </c>
      <c r="BB13" s="578">
        <v>0</v>
      </c>
      <c r="BC13" s="578">
        <v>0</v>
      </c>
      <c r="BD13" s="578">
        <v>0</v>
      </c>
      <c r="BE13" s="578">
        <v>1.755112643129436E-5</v>
      </c>
      <c r="BF13" s="578">
        <v>0</v>
      </c>
      <c r="BG13" s="578">
        <v>0</v>
      </c>
      <c r="BH13" s="578">
        <v>0</v>
      </c>
      <c r="BI13" s="578">
        <v>0</v>
      </c>
      <c r="BJ13" s="578">
        <v>0</v>
      </c>
      <c r="BK13" s="578">
        <v>0</v>
      </c>
      <c r="BL13" s="578">
        <v>0</v>
      </c>
      <c r="BM13" s="578">
        <v>0</v>
      </c>
      <c r="BN13" s="578">
        <v>0</v>
      </c>
      <c r="BO13" s="578">
        <v>0</v>
      </c>
      <c r="BP13" s="578">
        <v>0</v>
      </c>
      <c r="BQ13" s="578">
        <v>2.7569131474990263E-2</v>
      </c>
      <c r="BR13" s="578">
        <v>0</v>
      </c>
      <c r="BS13" s="578">
        <v>0</v>
      </c>
      <c r="BT13" s="578">
        <v>0</v>
      </c>
      <c r="BU13" s="578">
        <v>0</v>
      </c>
      <c r="BV13" s="578">
        <v>0</v>
      </c>
      <c r="BW13" s="578">
        <v>0</v>
      </c>
      <c r="BX13" s="578">
        <v>0</v>
      </c>
      <c r="BY13" s="578">
        <v>0</v>
      </c>
      <c r="BZ13" s="578">
        <v>0</v>
      </c>
      <c r="CA13" s="578">
        <v>0</v>
      </c>
      <c r="CB13" s="578">
        <v>0</v>
      </c>
      <c r="CC13" s="578">
        <v>0</v>
      </c>
      <c r="CD13" s="578">
        <v>0</v>
      </c>
      <c r="CE13" s="578">
        <v>0</v>
      </c>
      <c r="CF13" s="578">
        <v>0</v>
      </c>
      <c r="CG13" s="578">
        <v>0</v>
      </c>
      <c r="CH13" s="578">
        <v>0</v>
      </c>
      <c r="CI13" s="578">
        <v>0</v>
      </c>
      <c r="CJ13" s="578">
        <v>0</v>
      </c>
      <c r="CK13" s="578">
        <v>0</v>
      </c>
      <c r="CL13" s="578">
        <v>0</v>
      </c>
      <c r="CM13" s="578">
        <v>0</v>
      </c>
      <c r="CN13" s="578">
        <v>0</v>
      </c>
      <c r="CO13" s="578">
        <v>0</v>
      </c>
      <c r="CP13" s="578">
        <v>0</v>
      </c>
      <c r="CQ13" s="578">
        <v>0</v>
      </c>
      <c r="CR13" s="578">
        <v>0</v>
      </c>
      <c r="CS13" s="578">
        <v>0</v>
      </c>
      <c r="CT13" s="578">
        <v>0</v>
      </c>
      <c r="CU13" s="578">
        <v>0</v>
      </c>
      <c r="CV13" s="578">
        <v>0</v>
      </c>
      <c r="CW13" s="578">
        <v>0</v>
      </c>
      <c r="CX13" s="578">
        <v>0</v>
      </c>
      <c r="CY13" s="578">
        <v>0</v>
      </c>
      <c r="CZ13" s="578">
        <v>0</v>
      </c>
      <c r="DA13" s="578">
        <v>0</v>
      </c>
      <c r="DB13" s="578">
        <v>0</v>
      </c>
      <c r="DC13" s="578">
        <v>0</v>
      </c>
      <c r="DD13" s="578">
        <v>0</v>
      </c>
      <c r="DE13" s="578">
        <v>0</v>
      </c>
      <c r="DF13" s="578">
        <v>0</v>
      </c>
      <c r="DG13" s="578">
        <v>0</v>
      </c>
      <c r="DH13" s="578">
        <v>0</v>
      </c>
      <c r="DI13" s="578">
        <v>0</v>
      </c>
      <c r="DJ13" s="578">
        <v>0</v>
      </c>
      <c r="DK13" s="578">
        <v>0</v>
      </c>
      <c r="DL13" s="578">
        <v>0</v>
      </c>
      <c r="DM13" s="578">
        <v>0</v>
      </c>
      <c r="DN13" s="578">
        <v>0</v>
      </c>
      <c r="DO13" s="578">
        <v>0</v>
      </c>
      <c r="DP13" s="578">
        <v>0</v>
      </c>
      <c r="DQ13" s="578">
        <v>0</v>
      </c>
      <c r="DR13" s="578">
        <v>0</v>
      </c>
      <c r="DS13" s="578">
        <v>0</v>
      </c>
      <c r="DT13" s="578">
        <v>0</v>
      </c>
      <c r="DU13" s="578">
        <v>0</v>
      </c>
      <c r="DV13" s="578">
        <v>0</v>
      </c>
      <c r="DW13" s="578">
        <v>0</v>
      </c>
      <c r="DX13" s="578">
        <v>2.9419516171540298E-4</v>
      </c>
      <c r="DY13" s="578">
        <v>0</v>
      </c>
      <c r="DZ13" s="578">
        <v>0</v>
      </c>
      <c r="EA13" s="578">
        <v>0</v>
      </c>
      <c r="EB13" s="578">
        <v>0</v>
      </c>
      <c r="EC13" s="578">
        <v>0</v>
      </c>
      <c r="ED13" s="578">
        <v>0</v>
      </c>
      <c r="EE13" s="578">
        <v>0</v>
      </c>
      <c r="EF13" s="578">
        <v>0</v>
      </c>
      <c r="EG13" s="578">
        <v>0</v>
      </c>
      <c r="EH13" s="578">
        <v>0</v>
      </c>
      <c r="EI13" s="578">
        <v>0</v>
      </c>
      <c r="EJ13" s="578">
        <v>0</v>
      </c>
      <c r="EK13" s="578">
        <v>0</v>
      </c>
      <c r="EL13" s="578">
        <v>0</v>
      </c>
      <c r="EM13" s="578">
        <v>0</v>
      </c>
      <c r="EN13" s="578">
        <v>0</v>
      </c>
      <c r="EO13" s="578">
        <v>0</v>
      </c>
      <c r="EP13" s="578">
        <v>0</v>
      </c>
      <c r="EQ13" s="578">
        <v>0</v>
      </c>
      <c r="ER13" s="578">
        <v>0</v>
      </c>
      <c r="ES13" s="578">
        <v>0</v>
      </c>
      <c r="ET13" s="578">
        <v>0</v>
      </c>
      <c r="EU13" s="578">
        <v>0</v>
      </c>
      <c r="EV13" s="578">
        <v>0</v>
      </c>
      <c r="EW13" s="578">
        <v>0</v>
      </c>
      <c r="EX13" s="578">
        <v>0</v>
      </c>
      <c r="EY13" s="578">
        <v>0</v>
      </c>
      <c r="EZ13" s="578">
        <v>0</v>
      </c>
      <c r="FA13" s="578">
        <v>0</v>
      </c>
      <c r="FB13" s="578">
        <v>1.3491771705730968E-5</v>
      </c>
      <c r="FC13" s="578">
        <v>0</v>
      </c>
      <c r="FD13" s="578">
        <v>0</v>
      </c>
      <c r="FE13" s="578">
        <v>0</v>
      </c>
      <c r="FF13" s="578">
        <v>0</v>
      </c>
      <c r="FG13" s="578">
        <v>0</v>
      </c>
      <c r="FH13" s="578">
        <v>0</v>
      </c>
      <c r="FI13" s="578">
        <v>8.8084514155181428E-6</v>
      </c>
      <c r="FJ13" s="578">
        <v>0</v>
      </c>
      <c r="FK13" s="578">
        <v>2.1963786190676169E-4</v>
      </c>
      <c r="FL13" s="578">
        <v>2.6136957658128594E-5</v>
      </c>
      <c r="FM13" s="578">
        <v>1.1127099438984463E-3</v>
      </c>
      <c r="FN13" s="578">
        <v>1.7555819100357653E-3</v>
      </c>
      <c r="FO13" s="578">
        <v>1.4457929159117927E-4</v>
      </c>
      <c r="FP13" s="578">
        <v>0</v>
      </c>
      <c r="FQ13" s="578">
        <v>4.7866330489182765E-4</v>
      </c>
      <c r="FR13" s="578">
        <v>9.244970712586467E-4</v>
      </c>
      <c r="FS13" s="578">
        <v>0</v>
      </c>
      <c r="FT13" s="578">
        <v>0</v>
      </c>
      <c r="FU13" s="578">
        <v>0</v>
      </c>
      <c r="FV13" s="578">
        <v>0</v>
      </c>
      <c r="FW13" s="578">
        <v>0</v>
      </c>
      <c r="FX13" s="578">
        <v>0</v>
      </c>
      <c r="FY13" s="578">
        <v>0</v>
      </c>
      <c r="FZ13" s="578">
        <v>1.8234343801839027E-3</v>
      </c>
      <c r="GA13" s="578">
        <v>5.9554634904194718E-3</v>
      </c>
      <c r="GB13" s="578">
        <v>0</v>
      </c>
      <c r="GC13" s="578">
        <v>2.478855363747236E-6</v>
      </c>
      <c r="GD13" s="578">
        <v>1.9815880244910845E-4</v>
      </c>
      <c r="GE13" s="578">
        <v>0</v>
      </c>
      <c r="GF13" s="578">
        <v>0</v>
      </c>
      <c r="GG13" s="579">
        <v>3.4100069170913145E-3</v>
      </c>
      <c r="GH13" s="572"/>
    </row>
    <row r="14" spans="1:191">
      <c r="A14" s="572" t="s">
        <v>9245</v>
      </c>
      <c r="B14" s="577" t="s">
        <v>74</v>
      </c>
      <c r="C14" s="573" t="s">
        <v>9054</v>
      </c>
      <c r="D14" s="578">
        <v>0.1047933589217174</v>
      </c>
      <c r="E14" s="578">
        <v>0.13686911890504705</v>
      </c>
      <c r="F14" s="578">
        <v>3.0686558721629075E-2</v>
      </c>
      <c r="G14" s="578">
        <v>4.8937360178970921E-2</v>
      </c>
      <c r="H14" s="578">
        <v>2.6785714285714284E-2</v>
      </c>
      <c r="I14" s="578">
        <v>1.0913829613943639E-2</v>
      </c>
      <c r="J14" s="578">
        <v>4.9928328689461898E-2</v>
      </c>
      <c r="K14" s="578">
        <v>0</v>
      </c>
      <c r="L14" s="578">
        <v>0</v>
      </c>
      <c r="M14" s="578">
        <v>0</v>
      </c>
      <c r="N14" s="578">
        <v>0</v>
      </c>
      <c r="O14" s="578">
        <v>0</v>
      </c>
      <c r="P14" s="578">
        <v>0</v>
      </c>
      <c r="Q14" s="578">
        <v>0</v>
      </c>
      <c r="R14" s="578">
        <v>0</v>
      </c>
      <c r="S14" s="578">
        <v>0</v>
      </c>
      <c r="T14" s="578">
        <v>0</v>
      </c>
      <c r="U14" s="578">
        <v>0</v>
      </c>
      <c r="V14" s="578">
        <v>0</v>
      </c>
      <c r="W14" s="578">
        <v>0</v>
      </c>
      <c r="X14" s="578">
        <v>0</v>
      </c>
      <c r="Y14" s="578">
        <v>0</v>
      </c>
      <c r="Z14" s="578">
        <v>0</v>
      </c>
      <c r="AA14" s="578">
        <v>0</v>
      </c>
      <c r="AB14" s="578">
        <v>0</v>
      </c>
      <c r="AC14" s="578">
        <v>0</v>
      </c>
      <c r="AD14" s="578">
        <v>0</v>
      </c>
      <c r="AE14" s="578">
        <v>0</v>
      </c>
      <c r="AF14" s="578">
        <v>0</v>
      </c>
      <c r="AG14" s="578">
        <v>0</v>
      </c>
      <c r="AH14" s="578">
        <v>0</v>
      </c>
      <c r="AI14" s="578">
        <v>0</v>
      </c>
      <c r="AJ14" s="578">
        <v>0</v>
      </c>
      <c r="AK14" s="578">
        <v>0</v>
      </c>
      <c r="AL14" s="578">
        <v>0</v>
      </c>
      <c r="AM14" s="578">
        <v>0</v>
      </c>
      <c r="AN14" s="578">
        <v>0</v>
      </c>
      <c r="AO14" s="578">
        <v>0</v>
      </c>
      <c r="AP14" s="578">
        <v>0</v>
      </c>
      <c r="AQ14" s="578">
        <v>0</v>
      </c>
      <c r="AR14" s="578">
        <v>0</v>
      </c>
      <c r="AS14" s="578">
        <v>0</v>
      </c>
      <c r="AT14" s="578">
        <v>0</v>
      </c>
      <c r="AU14" s="578">
        <v>0</v>
      </c>
      <c r="AV14" s="578">
        <v>0</v>
      </c>
      <c r="AW14" s="578">
        <v>0</v>
      </c>
      <c r="AX14" s="578">
        <v>0</v>
      </c>
      <c r="AY14" s="578">
        <v>0</v>
      </c>
      <c r="AZ14" s="578">
        <v>0</v>
      </c>
      <c r="BA14" s="578">
        <v>0</v>
      </c>
      <c r="BB14" s="578">
        <v>0</v>
      </c>
      <c r="BC14" s="578">
        <v>0</v>
      </c>
      <c r="BD14" s="578">
        <v>0</v>
      </c>
      <c r="BE14" s="578">
        <v>0</v>
      </c>
      <c r="BF14" s="578">
        <v>0</v>
      </c>
      <c r="BG14" s="578">
        <v>0</v>
      </c>
      <c r="BH14" s="578">
        <v>0</v>
      </c>
      <c r="BI14" s="578">
        <v>0</v>
      </c>
      <c r="BJ14" s="578">
        <v>0</v>
      </c>
      <c r="BK14" s="578">
        <v>0</v>
      </c>
      <c r="BL14" s="578">
        <v>0</v>
      </c>
      <c r="BM14" s="578">
        <v>0</v>
      </c>
      <c r="BN14" s="578">
        <v>0</v>
      </c>
      <c r="BO14" s="578">
        <v>0</v>
      </c>
      <c r="BP14" s="578">
        <v>0</v>
      </c>
      <c r="BQ14" s="578">
        <v>0</v>
      </c>
      <c r="BR14" s="578">
        <v>0</v>
      </c>
      <c r="BS14" s="578">
        <v>0</v>
      </c>
      <c r="BT14" s="578">
        <v>0</v>
      </c>
      <c r="BU14" s="578">
        <v>0</v>
      </c>
      <c r="BV14" s="578">
        <v>0</v>
      </c>
      <c r="BW14" s="578">
        <v>0</v>
      </c>
      <c r="BX14" s="578">
        <v>0</v>
      </c>
      <c r="BY14" s="578">
        <v>0</v>
      </c>
      <c r="BZ14" s="578">
        <v>0</v>
      </c>
      <c r="CA14" s="578">
        <v>0</v>
      </c>
      <c r="CB14" s="578">
        <v>0</v>
      </c>
      <c r="CC14" s="578">
        <v>0</v>
      </c>
      <c r="CD14" s="578">
        <v>0</v>
      </c>
      <c r="CE14" s="578">
        <v>0</v>
      </c>
      <c r="CF14" s="578">
        <v>0</v>
      </c>
      <c r="CG14" s="578">
        <v>0</v>
      </c>
      <c r="CH14" s="578">
        <v>0</v>
      </c>
      <c r="CI14" s="578">
        <v>0</v>
      </c>
      <c r="CJ14" s="578">
        <v>0</v>
      </c>
      <c r="CK14" s="578">
        <v>0</v>
      </c>
      <c r="CL14" s="578">
        <v>0</v>
      </c>
      <c r="CM14" s="578">
        <v>0</v>
      </c>
      <c r="CN14" s="578">
        <v>0</v>
      </c>
      <c r="CO14" s="578">
        <v>0</v>
      </c>
      <c r="CP14" s="578">
        <v>0</v>
      </c>
      <c r="CQ14" s="578">
        <v>0</v>
      </c>
      <c r="CR14" s="578">
        <v>0</v>
      </c>
      <c r="CS14" s="578">
        <v>0</v>
      </c>
      <c r="CT14" s="578">
        <v>0</v>
      </c>
      <c r="CU14" s="578">
        <v>0</v>
      </c>
      <c r="CV14" s="578">
        <v>0</v>
      </c>
      <c r="CW14" s="578">
        <v>0</v>
      </c>
      <c r="CX14" s="578">
        <v>0</v>
      </c>
      <c r="CY14" s="578">
        <v>0</v>
      </c>
      <c r="CZ14" s="578">
        <v>0</v>
      </c>
      <c r="DA14" s="578">
        <v>0</v>
      </c>
      <c r="DB14" s="578">
        <v>0</v>
      </c>
      <c r="DC14" s="578">
        <v>0</v>
      </c>
      <c r="DD14" s="578">
        <v>0</v>
      </c>
      <c r="DE14" s="578">
        <v>0</v>
      </c>
      <c r="DF14" s="578">
        <v>0</v>
      </c>
      <c r="DG14" s="578">
        <v>0</v>
      </c>
      <c r="DH14" s="578">
        <v>0</v>
      </c>
      <c r="DI14" s="578">
        <v>0</v>
      </c>
      <c r="DJ14" s="578">
        <v>0</v>
      </c>
      <c r="DK14" s="578">
        <v>0</v>
      </c>
      <c r="DL14" s="578">
        <v>0</v>
      </c>
      <c r="DM14" s="578">
        <v>0</v>
      </c>
      <c r="DN14" s="578">
        <v>0</v>
      </c>
      <c r="DO14" s="578">
        <v>0</v>
      </c>
      <c r="DP14" s="578">
        <v>0</v>
      </c>
      <c r="DQ14" s="578">
        <v>0</v>
      </c>
      <c r="DR14" s="578">
        <v>0</v>
      </c>
      <c r="DS14" s="578">
        <v>0</v>
      </c>
      <c r="DT14" s="578">
        <v>0</v>
      </c>
      <c r="DU14" s="578">
        <v>0</v>
      </c>
      <c r="DV14" s="578">
        <v>0</v>
      </c>
      <c r="DW14" s="578">
        <v>0</v>
      </c>
      <c r="DX14" s="578">
        <v>0</v>
      </c>
      <c r="DY14" s="578">
        <v>0</v>
      </c>
      <c r="DZ14" s="578">
        <v>0</v>
      </c>
      <c r="EA14" s="578">
        <v>0</v>
      </c>
      <c r="EB14" s="578">
        <v>0</v>
      </c>
      <c r="EC14" s="578">
        <v>0</v>
      </c>
      <c r="ED14" s="578">
        <v>0</v>
      </c>
      <c r="EE14" s="578">
        <v>0</v>
      </c>
      <c r="EF14" s="578">
        <v>0</v>
      </c>
      <c r="EG14" s="578">
        <v>0</v>
      </c>
      <c r="EH14" s="578">
        <v>0</v>
      </c>
      <c r="EI14" s="578">
        <v>0</v>
      </c>
      <c r="EJ14" s="578">
        <v>0</v>
      </c>
      <c r="EK14" s="578">
        <v>0</v>
      </c>
      <c r="EL14" s="578">
        <v>0</v>
      </c>
      <c r="EM14" s="578">
        <v>0</v>
      </c>
      <c r="EN14" s="578">
        <v>0</v>
      </c>
      <c r="EO14" s="578">
        <v>0</v>
      </c>
      <c r="EP14" s="578">
        <v>0</v>
      </c>
      <c r="EQ14" s="578">
        <v>0</v>
      </c>
      <c r="ER14" s="578">
        <v>0</v>
      </c>
      <c r="ES14" s="578">
        <v>0</v>
      </c>
      <c r="ET14" s="578">
        <v>0</v>
      </c>
      <c r="EU14" s="578">
        <v>0</v>
      </c>
      <c r="EV14" s="578">
        <v>0</v>
      </c>
      <c r="EW14" s="578">
        <v>0</v>
      </c>
      <c r="EX14" s="578">
        <v>0</v>
      </c>
      <c r="EY14" s="578">
        <v>0</v>
      </c>
      <c r="EZ14" s="578">
        <v>0</v>
      </c>
      <c r="FA14" s="578">
        <v>0</v>
      </c>
      <c r="FB14" s="578">
        <v>0</v>
      </c>
      <c r="FC14" s="578">
        <v>0</v>
      </c>
      <c r="FD14" s="578">
        <v>0</v>
      </c>
      <c r="FE14" s="578">
        <v>0</v>
      </c>
      <c r="FF14" s="578">
        <v>0</v>
      </c>
      <c r="FG14" s="578">
        <v>0</v>
      </c>
      <c r="FH14" s="578">
        <v>0</v>
      </c>
      <c r="FI14" s="578">
        <v>0</v>
      </c>
      <c r="FJ14" s="578">
        <v>0</v>
      </c>
      <c r="FK14" s="578">
        <v>0</v>
      </c>
      <c r="FL14" s="578">
        <v>3.0841610036591743E-3</v>
      </c>
      <c r="FM14" s="578">
        <v>0</v>
      </c>
      <c r="FN14" s="578">
        <v>0</v>
      </c>
      <c r="FO14" s="578">
        <v>0</v>
      </c>
      <c r="FP14" s="578">
        <v>0</v>
      </c>
      <c r="FQ14" s="578">
        <v>0</v>
      </c>
      <c r="FR14" s="578">
        <v>0</v>
      </c>
      <c r="FS14" s="578">
        <v>0</v>
      </c>
      <c r="FT14" s="578">
        <v>0</v>
      </c>
      <c r="FU14" s="578">
        <v>0</v>
      </c>
      <c r="FV14" s="578">
        <v>0</v>
      </c>
      <c r="FW14" s="578">
        <v>0</v>
      </c>
      <c r="FX14" s="578">
        <v>0</v>
      </c>
      <c r="FY14" s="578">
        <v>0</v>
      </c>
      <c r="FZ14" s="578">
        <v>0</v>
      </c>
      <c r="GA14" s="578">
        <v>0</v>
      </c>
      <c r="GB14" s="578">
        <v>0</v>
      </c>
      <c r="GC14" s="578">
        <v>1.4352572556096497E-3</v>
      </c>
      <c r="GD14" s="578">
        <v>0</v>
      </c>
      <c r="GE14" s="578">
        <v>0</v>
      </c>
      <c r="GF14" s="578">
        <v>0</v>
      </c>
      <c r="GG14" s="579">
        <v>2.7305928975014795E-4</v>
      </c>
      <c r="GH14" s="572"/>
    </row>
    <row r="15" spans="1:191">
      <c r="A15" s="572" t="s">
        <v>9246</v>
      </c>
      <c r="B15" s="577" t="s">
        <v>9402</v>
      </c>
      <c r="C15" s="573" t="s">
        <v>78</v>
      </c>
      <c r="D15" s="578">
        <v>0</v>
      </c>
      <c r="E15" s="578">
        <v>0</v>
      </c>
      <c r="F15" s="578">
        <v>0</v>
      </c>
      <c r="G15" s="578">
        <v>0</v>
      </c>
      <c r="H15" s="578">
        <v>0</v>
      </c>
      <c r="I15" s="578">
        <v>0</v>
      </c>
      <c r="J15" s="578">
        <v>0</v>
      </c>
      <c r="K15" s="578">
        <v>0</v>
      </c>
      <c r="L15" s="578">
        <v>2.1234939759036144E-2</v>
      </c>
      <c r="M15" s="578">
        <v>0.30425299890948748</v>
      </c>
      <c r="N15" s="578">
        <v>0</v>
      </c>
      <c r="O15" s="578">
        <v>0</v>
      </c>
      <c r="P15" s="578">
        <v>0</v>
      </c>
      <c r="Q15" s="578">
        <v>0</v>
      </c>
      <c r="R15" s="578">
        <v>0</v>
      </c>
      <c r="S15" s="578">
        <v>0</v>
      </c>
      <c r="T15" s="578">
        <v>0</v>
      </c>
      <c r="U15" s="578">
        <v>0</v>
      </c>
      <c r="V15" s="578">
        <v>0</v>
      </c>
      <c r="W15" s="578">
        <v>0</v>
      </c>
      <c r="X15" s="578">
        <v>0</v>
      </c>
      <c r="Y15" s="578">
        <v>0</v>
      </c>
      <c r="Z15" s="578">
        <v>0</v>
      </c>
      <c r="AA15" s="578">
        <v>0</v>
      </c>
      <c r="AB15" s="578">
        <v>0</v>
      </c>
      <c r="AC15" s="578">
        <v>0</v>
      </c>
      <c r="AD15" s="578">
        <v>0</v>
      </c>
      <c r="AE15" s="578">
        <v>0</v>
      </c>
      <c r="AF15" s="578">
        <v>0</v>
      </c>
      <c r="AG15" s="578">
        <v>0</v>
      </c>
      <c r="AH15" s="578">
        <v>0</v>
      </c>
      <c r="AI15" s="578">
        <v>0</v>
      </c>
      <c r="AJ15" s="578">
        <v>0</v>
      </c>
      <c r="AK15" s="578">
        <v>0</v>
      </c>
      <c r="AL15" s="578">
        <v>0</v>
      </c>
      <c r="AM15" s="578">
        <v>0</v>
      </c>
      <c r="AN15" s="578">
        <v>0</v>
      </c>
      <c r="AO15" s="578">
        <v>0</v>
      </c>
      <c r="AP15" s="578">
        <v>0</v>
      </c>
      <c r="AQ15" s="578">
        <v>0</v>
      </c>
      <c r="AR15" s="578">
        <v>0</v>
      </c>
      <c r="AS15" s="578">
        <v>0</v>
      </c>
      <c r="AT15" s="578">
        <v>0</v>
      </c>
      <c r="AU15" s="578">
        <v>0</v>
      </c>
      <c r="AV15" s="578">
        <v>0</v>
      </c>
      <c r="AW15" s="578">
        <v>0</v>
      </c>
      <c r="AX15" s="578">
        <v>0</v>
      </c>
      <c r="AY15" s="578">
        <v>0</v>
      </c>
      <c r="AZ15" s="578">
        <v>0</v>
      </c>
      <c r="BA15" s="578">
        <v>0</v>
      </c>
      <c r="BB15" s="578">
        <v>0</v>
      </c>
      <c r="BC15" s="578">
        <v>0</v>
      </c>
      <c r="BD15" s="578">
        <v>0</v>
      </c>
      <c r="BE15" s="578">
        <v>0</v>
      </c>
      <c r="BF15" s="578">
        <v>0</v>
      </c>
      <c r="BG15" s="578">
        <v>0</v>
      </c>
      <c r="BH15" s="578">
        <v>0</v>
      </c>
      <c r="BI15" s="578">
        <v>0</v>
      </c>
      <c r="BJ15" s="578">
        <v>0</v>
      </c>
      <c r="BK15" s="578">
        <v>0</v>
      </c>
      <c r="BL15" s="578">
        <v>0</v>
      </c>
      <c r="BM15" s="578">
        <v>0</v>
      </c>
      <c r="BN15" s="578">
        <v>0</v>
      </c>
      <c r="BO15" s="578">
        <v>0</v>
      </c>
      <c r="BP15" s="578">
        <v>0</v>
      </c>
      <c r="BQ15" s="578">
        <v>0</v>
      </c>
      <c r="BR15" s="578">
        <v>0</v>
      </c>
      <c r="BS15" s="578">
        <v>0</v>
      </c>
      <c r="BT15" s="578">
        <v>0</v>
      </c>
      <c r="BU15" s="578">
        <v>0</v>
      </c>
      <c r="BV15" s="578">
        <v>0</v>
      </c>
      <c r="BW15" s="578">
        <v>0</v>
      </c>
      <c r="BX15" s="578">
        <v>0</v>
      </c>
      <c r="BY15" s="578">
        <v>0</v>
      </c>
      <c r="BZ15" s="578">
        <v>0</v>
      </c>
      <c r="CA15" s="578">
        <v>0</v>
      </c>
      <c r="CB15" s="578">
        <v>0</v>
      </c>
      <c r="CC15" s="578">
        <v>0</v>
      </c>
      <c r="CD15" s="578">
        <v>0</v>
      </c>
      <c r="CE15" s="578">
        <v>0</v>
      </c>
      <c r="CF15" s="578">
        <v>0</v>
      </c>
      <c r="CG15" s="578">
        <v>0</v>
      </c>
      <c r="CH15" s="578">
        <v>0</v>
      </c>
      <c r="CI15" s="578">
        <v>0</v>
      </c>
      <c r="CJ15" s="578">
        <v>0</v>
      </c>
      <c r="CK15" s="578">
        <v>0</v>
      </c>
      <c r="CL15" s="578">
        <v>0</v>
      </c>
      <c r="CM15" s="578">
        <v>0</v>
      </c>
      <c r="CN15" s="578">
        <v>0</v>
      </c>
      <c r="CO15" s="578">
        <v>0</v>
      </c>
      <c r="CP15" s="578">
        <v>0</v>
      </c>
      <c r="CQ15" s="578">
        <v>0</v>
      </c>
      <c r="CR15" s="578">
        <v>0</v>
      </c>
      <c r="CS15" s="578">
        <v>0</v>
      </c>
      <c r="CT15" s="578">
        <v>0</v>
      </c>
      <c r="CU15" s="578">
        <v>0</v>
      </c>
      <c r="CV15" s="578">
        <v>0</v>
      </c>
      <c r="CW15" s="578">
        <v>0</v>
      </c>
      <c r="CX15" s="578">
        <v>0</v>
      </c>
      <c r="CY15" s="578">
        <v>0</v>
      </c>
      <c r="CZ15" s="578">
        <v>0</v>
      </c>
      <c r="DA15" s="578">
        <v>0</v>
      </c>
      <c r="DB15" s="578">
        <v>0</v>
      </c>
      <c r="DC15" s="578">
        <v>0</v>
      </c>
      <c r="DD15" s="578">
        <v>0</v>
      </c>
      <c r="DE15" s="578">
        <v>0</v>
      </c>
      <c r="DF15" s="578">
        <v>0</v>
      </c>
      <c r="DG15" s="578">
        <v>0</v>
      </c>
      <c r="DH15" s="578">
        <v>0</v>
      </c>
      <c r="DI15" s="578">
        <v>0</v>
      </c>
      <c r="DJ15" s="578">
        <v>0</v>
      </c>
      <c r="DK15" s="578">
        <v>0</v>
      </c>
      <c r="DL15" s="578">
        <v>0</v>
      </c>
      <c r="DM15" s="578">
        <v>0</v>
      </c>
      <c r="DN15" s="578">
        <v>0</v>
      </c>
      <c r="DO15" s="578">
        <v>0</v>
      </c>
      <c r="DP15" s="578">
        <v>0</v>
      </c>
      <c r="DQ15" s="578">
        <v>0</v>
      </c>
      <c r="DR15" s="578">
        <v>0</v>
      </c>
      <c r="DS15" s="578">
        <v>0</v>
      </c>
      <c r="DT15" s="578">
        <v>0</v>
      </c>
      <c r="DU15" s="578">
        <v>0</v>
      </c>
      <c r="DV15" s="578">
        <v>0</v>
      </c>
      <c r="DW15" s="578">
        <v>0</v>
      </c>
      <c r="DX15" s="578">
        <v>0</v>
      </c>
      <c r="DY15" s="578">
        <v>0</v>
      </c>
      <c r="DZ15" s="578">
        <v>0</v>
      </c>
      <c r="EA15" s="578">
        <v>0</v>
      </c>
      <c r="EB15" s="578">
        <v>0</v>
      </c>
      <c r="EC15" s="578">
        <v>3.0582255563676845E-6</v>
      </c>
      <c r="ED15" s="578">
        <v>0</v>
      </c>
      <c r="EE15" s="578">
        <v>0</v>
      </c>
      <c r="EF15" s="578">
        <v>0</v>
      </c>
      <c r="EG15" s="578">
        <v>0</v>
      </c>
      <c r="EH15" s="578">
        <v>0</v>
      </c>
      <c r="EI15" s="578">
        <v>0</v>
      </c>
      <c r="EJ15" s="578">
        <v>0</v>
      </c>
      <c r="EK15" s="578">
        <v>0</v>
      </c>
      <c r="EL15" s="578">
        <v>0</v>
      </c>
      <c r="EM15" s="578">
        <v>0</v>
      </c>
      <c r="EN15" s="578">
        <v>0</v>
      </c>
      <c r="EO15" s="578">
        <v>0</v>
      </c>
      <c r="EP15" s="578">
        <v>0</v>
      </c>
      <c r="EQ15" s="578">
        <v>0</v>
      </c>
      <c r="ER15" s="578">
        <v>0</v>
      </c>
      <c r="ES15" s="578">
        <v>0</v>
      </c>
      <c r="ET15" s="578">
        <v>0</v>
      </c>
      <c r="EU15" s="578">
        <v>0</v>
      </c>
      <c r="EV15" s="578">
        <v>0</v>
      </c>
      <c r="EW15" s="578">
        <v>0</v>
      </c>
      <c r="EX15" s="578">
        <v>0</v>
      </c>
      <c r="EY15" s="578">
        <v>0</v>
      </c>
      <c r="EZ15" s="578">
        <v>0</v>
      </c>
      <c r="FA15" s="578">
        <v>0</v>
      </c>
      <c r="FB15" s="578">
        <v>0</v>
      </c>
      <c r="FC15" s="578">
        <v>0</v>
      </c>
      <c r="FD15" s="578">
        <v>0</v>
      </c>
      <c r="FE15" s="578">
        <v>0</v>
      </c>
      <c r="FF15" s="578">
        <v>0</v>
      </c>
      <c r="FG15" s="578">
        <v>0</v>
      </c>
      <c r="FH15" s="578">
        <v>0</v>
      </c>
      <c r="FI15" s="578">
        <v>0</v>
      </c>
      <c r="FJ15" s="578">
        <v>0</v>
      </c>
      <c r="FK15" s="578">
        <v>0</v>
      </c>
      <c r="FL15" s="578">
        <v>0</v>
      </c>
      <c r="FM15" s="578">
        <v>0</v>
      </c>
      <c r="FN15" s="578">
        <v>0</v>
      </c>
      <c r="FO15" s="578">
        <v>0</v>
      </c>
      <c r="FP15" s="578">
        <v>0</v>
      </c>
      <c r="FQ15" s="578">
        <v>0</v>
      </c>
      <c r="FR15" s="578">
        <v>0</v>
      </c>
      <c r="FS15" s="578">
        <v>0</v>
      </c>
      <c r="FT15" s="578">
        <v>0</v>
      </c>
      <c r="FU15" s="578">
        <v>0</v>
      </c>
      <c r="FV15" s="578">
        <v>0</v>
      </c>
      <c r="FW15" s="578">
        <v>0</v>
      </c>
      <c r="FX15" s="578">
        <v>0</v>
      </c>
      <c r="FY15" s="578">
        <v>0</v>
      </c>
      <c r="FZ15" s="578">
        <v>0</v>
      </c>
      <c r="GA15" s="578">
        <v>0</v>
      </c>
      <c r="GB15" s="578">
        <v>0</v>
      </c>
      <c r="GC15" s="578">
        <v>0</v>
      </c>
      <c r="GD15" s="578">
        <v>0</v>
      </c>
      <c r="GE15" s="578">
        <v>0</v>
      </c>
      <c r="GF15" s="578">
        <v>0</v>
      </c>
      <c r="GG15" s="579">
        <v>2.512925781776601E-5</v>
      </c>
      <c r="GH15" s="572"/>
    </row>
    <row r="16" spans="1:191">
      <c r="A16" s="572" t="s">
        <v>9247</v>
      </c>
      <c r="B16" s="577" t="s">
        <v>80</v>
      </c>
      <c r="C16" s="573" t="s">
        <v>81</v>
      </c>
      <c r="D16" s="578">
        <v>0</v>
      </c>
      <c r="E16" s="578">
        <v>0</v>
      </c>
      <c r="F16" s="578">
        <v>0</v>
      </c>
      <c r="G16" s="578">
        <v>2.7964205816554809E-4</v>
      </c>
      <c r="H16" s="578">
        <v>0</v>
      </c>
      <c r="I16" s="578">
        <v>0</v>
      </c>
      <c r="J16" s="578">
        <v>0</v>
      </c>
      <c r="K16" s="578">
        <v>0</v>
      </c>
      <c r="L16" s="578">
        <v>0</v>
      </c>
      <c r="M16" s="578">
        <v>0</v>
      </c>
      <c r="N16" s="578">
        <v>8.5409252669039148E-2</v>
      </c>
      <c r="O16" s="578">
        <v>0</v>
      </c>
      <c r="P16" s="578">
        <v>0</v>
      </c>
      <c r="Q16" s="578">
        <v>0</v>
      </c>
      <c r="R16" s="578">
        <v>0</v>
      </c>
      <c r="S16" s="578">
        <v>0</v>
      </c>
      <c r="T16" s="578">
        <v>0</v>
      </c>
      <c r="U16" s="578">
        <v>0</v>
      </c>
      <c r="V16" s="578">
        <v>0</v>
      </c>
      <c r="W16" s="578">
        <v>0</v>
      </c>
      <c r="X16" s="578">
        <v>0</v>
      </c>
      <c r="Y16" s="578">
        <v>0</v>
      </c>
      <c r="Z16" s="578">
        <v>0</v>
      </c>
      <c r="AA16" s="578">
        <v>0</v>
      </c>
      <c r="AB16" s="578">
        <v>0</v>
      </c>
      <c r="AC16" s="578">
        <v>1.209294290403386E-4</v>
      </c>
      <c r="AD16" s="578">
        <v>0</v>
      </c>
      <c r="AE16" s="578">
        <v>0</v>
      </c>
      <c r="AF16" s="578">
        <v>0</v>
      </c>
      <c r="AG16" s="578">
        <v>0</v>
      </c>
      <c r="AH16" s="578">
        <v>0</v>
      </c>
      <c r="AI16" s="578">
        <v>0</v>
      </c>
      <c r="AJ16" s="578">
        <v>0</v>
      </c>
      <c r="AK16" s="578">
        <v>0</v>
      </c>
      <c r="AL16" s="578">
        <v>0</v>
      </c>
      <c r="AM16" s="578">
        <v>0.33038686717942833</v>
      </c>
      <c r="AN16" s="578">
        <v>8.62663906142167E-4</v>
      </c>
      <c r="AO16" s="578">
        <v>0</v>
      </c>
      <c r="AP16" s="578">
        <v>2.6207115628970774E-3</v>
      </c>
      <c r="AQ16" s="578">
        <v>0</v>
      </c>
      <c r="AR16" s="578">
        <v>0</v>
      </c>
      <c r="AS16" s="578">
        <v>0</v>
      </c>
      <c r="AT16" s="578">
        <v>0</v>
      </c>
      <c r="AU16" s="578">
        <v>0</v>
      </c>
      <c r="AV16" s="578">
        <v>0</v>
      </c>
      <c r="AW16" s="578">
        <v>0</v>
      </c>
      <c r="AX16" s="578">
        <v>0</v>
      </c>
      <c r="AY16" s="578">
        <v>0</v>
      </c>
      <c r="AZ16" s="578">
        <v>0</v>
      </c>
      <c r="BA16" s="578">
        <v>0</v>
      </c>
      <c r="BB16" s="578">
        <v>0</v>
      </c>
      <c r="BC16" s="578">
        <v>0</v>
      </c>
      <c r="BD16" s="578">
        <v>0</v>
      </c>
      <c r="BE16" s="578">
        <v>0</v>
      </c>
      <c r="BF16" s="578">
        <v>0</v>
      </c>
      <c r="BG16" s="578">
        <v>0</v>
      </c>
      <c r="BH16" s="578">
        <v>0</v>
      </c>
      <c r="BI16" s="578">
        <v>0</v>
      </c>
      <c r="BJ16" s="578">
        <v>0</v>
      </c>
      <c r="BK16" s="578">
        <v>0</v>
      </c>
      <c r="BL16" s="578">
        <v>0</v>
      </c>
      <c r="BM16" s="578">
        <v>0</v>
      </c>
      <c r="BN16" s="578">
        <v>0</v>
      </c>
      <c r="BO16" s="578">
        <v>0</v>
      </c>
      <c r="BP16" s="578">
        <v>0</v>
      </c>
      <c r="BQ16" s="578">
        <v>0</v>
      </c>
      <c r="BR16" s="578">
        <v>0</v>
      </c>
      <c r="BS16" s="578">
        <v>0</v>
      </c>
      <c r="BT16" s="578">
        <v>0</v>
      </c>
      <c r="BU16" s="578">
        <v>0</v>
      </c>
      <c r="BV16" s="578">
        <v>0</v>
      </c>
      <c r="BW16" s="578">
        <v>0</v>
      </c>
      <c r="BX16" s="578">
        <v>0</v>
      </c>
      <c r="BY16" s="578">
        <v>0</v>
      </c>
      <c r="BZ16" s="578">
        <v>0</v>
      </c>
      <c r="CA16" s="578">
        <v>0</v>
      </c>
      <c r="CB16" s="578">
        <v>0</v>
      </c>
      <c r="CC16" s="578">
        <v>0</v>
      </c>
      <c r="CD16" s="578">
        <v>0</v>
      </c>
      <c r="CE16" s="578">
        <v>0</v>
      </c>
      <c r="CF16" s="578">
        <v>0</v>
      </c>
      <c r="CG16" s="578">
        <v>0</v>
      </c>
      <c r="CH16" s="578">
        <v>0</v>
      </c>
      <c r="CI16" s="578">
        <v>0</v>
      </c>
      <c r="CJ16" s="578">
        <v>0</v>
      </c>
      <c r="CK16" s="578">
        <v>0</v>
      </c>
      <c r="CL16" s="578">
        <v>0</v>
      </c>
      <c r="CM16" s="578">
        <v>0</v>
      </c>
      <c r="CN16" s="578">
        <v>0</v>
      </c>
      <c r="CO16" s="578">
        <v>0</v>
      </c>
      <c r="CP16" s="578">
        <v>0</v>
      </c>
      <c r="CQ16" s="578">
        <v>0</v>
      </c>
      <c r="CR16" s="578">
        <v>0</v>
      </c>
      <c r="CS16" s="578">
        <v>0</v>
      </c>
      <c r="CT16" s="578">
        <v>0</v>
      </c>
      <c r="CU16" s="578">
        <v>0</v>
      </c>
      <c r="CV16" s="578">
        <v>0</v>
      </c>
      <c r="CW16" s="578">
        <v>0</v>
      </c>
      <c r="CX16" s="578">
        <v>0</v>
      </c>
      <c r="CY16" s="578">
        <v>0</v>
      </c>
      <c r="CZ16" s="578">
        <v>0</v>
      </c>
      <c r="DA16" s="578">
        <v>0</v>
      </c>
      <c r="DB16" s="578">
        <v>0</v>
      </c>
      <c r="DC16" s="578">
        <v>0</v>
      </c>
      <c r="DD16" s="578">
        <v>0</v>
      </c>
      <c r="DE16" s="578">
        <v>0</v>
      </c>
      <c r="DF16" s="578">
        <v>0</v>
      </c>
      <c r="DG16" s="578">
        <v>0</v>
      </c>
      <c r="DH16" s="578">
        <v>0</v>
      </c>
      <c r="DI16" s="578">
        <v>0</v>
      </c>
      <c r="DJ16" s="578">
        <v>0</v>
      </c>
      <c r="DK16" s="578">
        <v>0</v>
      </c>
      <c r="DL16" s="578">
        <v>0</v>
      </c>
      <c r="DM16" s="578">
        <v>0</v>
      </c>
      <c r="DN16" s="578">
        <v>0</v>
      </c>
      <c r="DO16" s="578">
        <v>0</v>
      </c>
      <c r="DP16" s="578">
        <v>0</v>
      </c>
      <c r="DQ16" s="578">
        <v>0</v>
      </c>
      <c r="DR16" s="578">
        <v>0</v>
      </c>
      <c r="DS16" s="578">
        <v>9.6145217736869769E-6</v>
      </c>
      <c r="DT16" s="578">
        <v>0</v>
      </c>
      <c r="DU16" s="578">
        <v>0</v>
      </c>
      <c r="DV16" s="578">
        <v>0</v>
      </c>
      <c r="DW16" s="578">
        <v>2.6972808037896797E-4</v>
      </c>
      <c r="DX16" s="578">
        <v>1.4096851498863059E-4</v>
      </c>
      <c r="DY16" s="578">
        <v>0</v>
      </c>
      <c r="DZ16" s="578">
        <v>6.7364676994794397E-6</v>
      </c>
      <c r="EA16" s="578">
        <v>0</v>
      </c>
      <c r="EB16" s="578">
        <v>0</v>
      </c>
      <c r="EC16" s="578">
        <v>4.5873383345515263E-5</v>
      </c>
      <c r="ED16" s="578">
        <v>2.2613997159681956E-5</v>
      </c>
      <c r="EE16" s="578">
        <v>0</v>
      </c>
      <c r="EF16" s="578">
        <v>0</v>
      </c>
      <c r="EG16" s="578">
        <v>0</v>
      </c>
      <c r="EH16" s="578">
        <v>0</v>
      </c>
      <c r="EI16" s="578">
        <v>0</v>
      </c>
      <c r="EJ16" s="578">
        <v>0</v>
      </c>
      <c r="EK16" s="578">
        <v>0</v>
      </c>
      <c r="EL16" s="578">
        <v>0</v>
      </c>
      <c r="EM16" s="578">
        <v>0</v>
      </c>
      <c r="EN16" s="578">
        <v>0</v>
      </c>
      <c r="EO16" s="578">
        <v>0</v>
      </c>
      <c r="EP16" s="578">
        <v>0</v>
      </c>
      <c r="EQ16" s="578">
        <v>0</v>
      </c>
      <c r="ER16" s="578">
        <v>0</v>
      </c>
      <c r="ES16" s="578">
        <v>0</v>
      </c>
      <c r="ET16" s="578">
        <v>0</v>
      </c>
      <c r="EU16" s="578">
        <v>0</v>
      </c>
      <c r="EV16" s="578">
        <v>0</v>
      </c>
      <c r="EW16" s="578">
        <v>0</v>
      </c>
      <c r="EX16" s="578">
        <v>0</v>
      </c>
      <c r="EY16" s="578">
        <v>0</v>
      </c>
      <c r="EZ16" s="578">
        <v>0</v>
      </c>
      <c r="FA16" s="578">
        <v>0</v>
      </c>
      <c r="FB16" s="578">
        <v>0</v>
      </c>
      <c r="FC16" s="578">
        <v>0</v>
      </c>
      <c r="FD16" s="578">
        <v>0</v>
      </c>
      <c r="FE16" s="578">
        <v>0</v>
      </c>
      <c r="FF16" s="578">
        <v>0</v>
      </c>
      <c r="FG16" s="578">
        <v>0</v>
      </c>
      <c r="FH16" s="578">
        <v>0</v>
      </c>
      <c r="FI16" s="578">
        <v>0</v>
      </c>
      <c r="FJ16" s="578">
        <v>0</v>
      </c>
      <c r="FK16" s="578">
        <v>0</v>
      </c>
      <c r="FL16" s="578">
        <v>0</v>
      </c>
      <c r="FM16" s="578">
        <v>0</v>
      </c>
      <c r="FN16" s="578">
        <v>0</v>
      </c>
      <c r="FO16" s="578">
        <v>0</v>
      </c>
      <c r="FP16" s="578">
        <v>0</v>
      </c>
      <c r="FQ16" s="578">
        <v>0</v>
      </c>
      <c r="FR16" s="578">
        <v>0</v>
      </c>
      <c r="FS16" s="578">
        <v>0</v>
      </c>
      <c r="FT16" s="578">
        <v>0</v>
      </c>
      <c r="FU16" s="578">
        <v>0</v>
      </c>
      <c r="FV16" s="578">
        <v>0</v>
      </c>
      <c r="FW16" s="578">
        <v>0</v>
      </c>
      <c r="FX16" s="578">
        <v>0</v>
      </c>
      <c r="FY16" s="578">
        <v>0</v>
      </c>
      <c r="FZ16" s="578">
        <v>0</v>
      </c>
      <c r="GA16" s="578">
        <v>0</v>
      </c>
      <c r="GB16" s="578">
        <v>0</v>
      </c>
      <c r="GC16" s="578">
        <v>0</v>
      </c>
      <c r="GD16" s="578">
        <v>0</v>
      </c>
      <c r="GE16" s="578">
        <v>0</v>
      </c>
      <c r="GF16" s="578">
        <v>0</v>
      </c>
      <c r="GG16" s="579">
        <v>1.5408675656797689E-4</v>
      </c>
      <c r="GH16" s="572"/>
    </row>
    <row r="17" spans="1:190">
      <c r="A17" s="572" t="s">
        <v>9248</v>
      </c>
      <c r="B17" s="577" t="s">
        <v>9403</v>
      </c>
      <c r="C17" s="573" t="s">
        <v>9496</v>
      </c>
      <c r="D17" s="578">
        <v>0</v>
      </c>
      <c r="E17" s="578">
        <v>0</v>
      </c>
      <c r="F17" s="578">
        <v>6.3635720851304531E-4</v>
      </c>
      <c r="G17" s="578">
        <v>0</v>
      </c>
      <c r="H17" s="578">
        <v>0</v>
      </c>
      <c r="I17" s="578">
        <v>1.6289297931259162E-4</v>
      </c>
      <c r="J17" s="578">
        <v>0</v>
      </c>
      <c r="K17" s="578">
        <v>0</v>
      </c>
      <c r="L17" s="578">
        <v>0</v>
      </c>
      <c r="M17" s="578">
        <v>0</v>
      </c>
      <c r="N17" s="578">
        <v>0</v>
      </c>
      <c r="O17" s="578">
        <v>1.9707453796969431E-4</v>
      </c>
      <c r="P17" s="578">
        <v>0</v>
      </c>
      <c r="Q17" s="578">
        <v>0</v>
      </c>
      <c r="R17" s="578">
        <v>0</v>
      </c>
      <c r="S17" s="578">
        <v>0</v>
      </c>
      <c r="T17" s="578">
        <v>0</v>
      </c>
      <c r="U17" s="578">
        <v>1.7214337630542062E-4</v>
      </c>
      <c r="V17" s="578">
        <v>0</v>
      </c>
      <c r="W17" s="578">
        <v>1.9302180227214236E-4</v>
      </c>
      <c r="X17" s="578">
        <v>7.4214351520114651E-4</v>
      </c>
      <c r="Y17" s="578">
        <v>0</v>
      </c>
      <c r="Z17" s="578">
        <v>1.9996940065547019E-3</v>
      </c>
      <c r="AA17" s="578">
        <v>0</v>
      </c>
      <c r="AB17" s="578">
        <v>0</v>
      </c>
      <c r="AC17" s="578">
        <v>0</v>
      </c>
      <c r="AD17" s="578">
        <v>0</v>
      </c>
      <c r="AE17" s="578">
        <v>0</v>
      </c>
      <c r="AF17" s="578">
        <v>0</v>
      </c>
      <c r="AG17" s="578">
        <v>0</v>
      </c>
      <c r="AH17" s="578">
        <v>0</v>
      </c>
      <c r="AI17" s="578">
        <v>0</v>
      </c>
      <c r="AJ17" s="578">
        <v>0</v>
      </c>
      <c r="AK17" s="578">
        <v>0</v>
      </c>
      <c r="AL17" s="578">
        <v>0</v>
      </c>
      <c r="AM17" s="578">
        <v>0</v>
      </c>
      <c r="AN17" s="578">
        <v>1.9409937888198758E-3</v>
      </c>
      <c r="AO17" s="578">
        <v>0</v>
      </c>
      <c r="AP17" s="578">
        <v>0</v>
      </c>
      <c r="AQ17" s="578">
        <v>0</v>
      </c>
      <c r="AR17" s="578">
        <v>0</v>
      </c>
      <c r="AS17" s="578">
        <v>0</v>
      </c>
      <c r="AT17" s="578">
        <v>0</v>
      </c>
      <c r="AU17" s="578">
        <v>0</v>
      </c>
      <c r="AV17" s="578">
        <v>0</v>
      </c>
      <c r="AW17" s="578">
        <v>0</v>
      </c>
      <c r="AX17" s="578">
        <v>3.6208428883353997E-4</v>
      </c>
      <c r="AY17" s="578">
        <v>0</v>
      </c>
      <c r="AZ17" s="578">
        <v>0</v>
      </c>
      <c r="BA17" s="578">
        <v>0</v>
      </c>
      <c r="BB17" s="578">
        <v>0</v>
      </c>
      <c r="BC17" s="578">
        <v>0</v>
      </c>
      <c r="BD17" s="578">
        <v>0</v>
      </c>
      <c r="BE17" s="578">
        <v>0</v>
      </c>
      <c r="BF17" s="578">
        <v>0</v>
      </c>
      <c r="BG17" s="578">
        <v>0</v>
      </c>
      <c r="BH17" s="578">
        <v>1.648985873687682E-4</v>
      </c>
      <c r="BI17" s="578">
        <v>0</v>
      </c>
      <c r="BJ17" s="578">
        <v>1.1381396365375814E-3</v>
      </c>
      <c r="BK17" s="578">
        <v>0</v>
      </c>
      <c r="BL17" s="578">
        <v>0</v>
      </c>
      <c r="BM17" s="578">
        <v>0</v>
      </c>
      <c r="BN17" s="578">
        <v>0</v>
      </c>
      <c r="BO17" s="578">
        <v>0</v>
      </c>
      <c r="BP17" s="578">
        <v>0</v>
      </c>
      <c r="BQ17" s="578">
        <v>6.4541256328937849E-3</v>
      </c>
      <c r="BR17" s="578">
        <v>0</v>
      </c>
      <c r="BS17" s="578">
        <v>0</v>
      </c>
      <c r="BT17" s="578">
        <v>0</v>
      </c>
      <c r="BU17" s="578">
        <v>0</v>
      </c>
      <c r="BV17" s="578">
        <v>0</v>
      </c>
      <c r="BW17" s="578">
        <v>0</v>
      </c>
      <c r="BX17" s="578">
        <v>0</v>
      </c>
      <c r="BY17" s="578">
        <v>0</v>
      </c>
      <c r="BZ17" s="578">
        <v>0</v>
      </c>
      <c r="CA17" s="578">
        <v>0</v>
      </c>
      <c r="CB17" s="578">
        <v>0</v>
      </c>
      <c r="CC17" s="578">
        <v>0</v>
      </c>
      <c r="CD17" s="578">
        <v>0</v>
      </c>
      <c r="CE17" s="578">
        <v>0</v>
      </c>
      <c r="CF17" s="578">
        <v>0</v>
      </c>
      <c r="CG17" s="578">
        <v>0</v>
      </c>
      <c r="CH17" s="578">
        <v>0</v>
      </c>
      <c r="CI17" s="578">
        <v>0</v>
      </c>
      <c r="CJ17" s="578">
        <v>0</v>
      </c>
      <c r="CK17" s="578">
        <v>0</v>
      </c>
      <c r="CL17" s="578">
        <v>0</v>
      </c>
      <c r="CM17" s="578">
        <v>0</v>
      </c>
      <c r="CN17" s="578">
        <v>0</v>
      </c>
      <c r="CO17" s="578">
        <v>0</v>
      </c>
      <c r="CP17" s="578">
        <v>0</v>
      </c>
      <c r="CQ17" s="578">
        <v>0</v>
      </c>
      <c r="CR17" s="578">
        <v>0</v>
      </c>
      <c r="CS17" s="578">
        <v>0</v>
      </c>
      <c r="CT17" s="578">
        <v>0</v>
      </c>
      <c r="CU17" s="578">
        <v>0</v>
      </c>
      <c r="CV17" s="578">
        <v>0</v>
      </c>
      <c r="CW17" s="578">
        <v>0</v>
      </c>
      <c r="CX17" s="578">
        <v>0</v>
      </c>
      <c r="CY17" s="578">
        <v>0</v>
      </c>
      <c r="CZ17" s="578">
        <v>0</v>
      </c>
      <c r="DA17" s="578">
        <v>0</v>
      </c>
      <c r="DB17" s="578">
        <v>0</v>
      </c>
      <c r="DC17" s="578">
        <v>0</v>
      </c>
      <c r="DD17" s="578">
        <v>0</v>
      </c>
      <c r="DE17" s="578">
        <v>0</v>
      </c>
      <c r="DF17" s="578">
        <v>0</v>
      </c>
      <c r="DG17" s="578">
        <v>0</v>
      </c>
      <c r="DH17" s="578">
        <v>0</v>
      </c>
      <c r="DI17" s="578">
        <v>0</v>
      </c>
      <c r="DJ17" s="578">
        <v>0</v>
      </c>
      <c r="DK17" s="578">
        <v>0</v>
      </c>
      <c r="DL17" s="578">
        <v>0</v>
      </c>
      <c r="DM17" s="578">
        <v>0</v>
      </c>
      <c r="DN17" s="578">
        <v>0</v>
      </c>
      <c r="DO17" s="578">
        <v>0</v>
      </c>
      <c r="DP17" s="578">
        <v>0</v>
      </c>
      <c r="DQ17" s="578">
        <v>0</v>
      </c>
      <c r="DR17" s="578">
        <v>0</v>
      </c>
      <c r="DS17" s="578">
        <v>0</v>
      </c>
      <c r="DT17" s="578">
        <v>0</v>
      </c>
      <c r="DU17" s="578">
        <v>0</v>
      </c>
      <c r="DV17" s="578">
        <v>0</v>
      </c>
      <c r="DW17" s="578">
        <v>8.7661626123164589E-4</v>
      </c>
      <c r="DX17" s="578">
        <v>2.696788982391194E-4</v>
      </c>
      <c r="DY17" s="578">
        <v>0</v>
      </c>
      <c r="DZ17" s="578">
        <v>3.3682338497397199E-6</v>
      </c>
      <c r="EA17" s="578">
        <v>1.1129586224243354E-5</v>
      </c>
      <c r="EB17" s="578">
        <v>4.2128161527030962E-5</v>
      </c>
      <c r="EC17" s="578">
        <v>3.0582255563676842E-5</v>
      </c>
      <c r="ED17" s="578">
        <v>9.045598863872782E-6</v>
      </c>
      <c r="EE17" s="578">
        <v>0</v>
      </c>
      <c r="EF17" s="578">
        <v>0</v>
      </c>
      <c r="EG17" s="578">
        <v>0</v>
      </c>
      <c r="EH17" s="578">
        <v>0</v>
      </c>
      <c r="EI17" s="578">
        <v>0</v>
      </c>
      <c r="EJ17" s="578">
        <v>0</v>
      </c>
      <c r="EK17" s="578">
        <v>0</v>
      </c>
      <c r="EL17" s="578">
        <v>0</v>
      </c>
      <c r="EM17" s="578">
        <v>0</v>
      </c>
      <c r="EN17" s="578">
        <v>0</v>
      </c>
      <c r="EO17" s="578">
        <v>0</v>
      </c>
      <c r="EP17" s="578">
        <v>0</v>
      </c>
      <c r="EQ17" s="578">
        <v>0</v>
      </c>
      <c r="ER17" s="578">
        <v>0</v>
      </c>
      <c r="ES17" s="578">
        <v>0</v>
      </c>
      <c r="ET17" s="578">
        <v>0</v>
      </c>
      <c r="EU17" s="578">
        <v>0</v>
      </c>
      <c r="EV17" s="578">
        <v>0</v>
      </c>
      <c r="EW17" s="578">
        <v>0</v>
      </c>
      <c r="EX17" s="578">
        <v>0</v>
      </c>
      <c r="EY17" s="578">
        <v>0</v>
      </c>
      <c r="EZ17" s="578">
        <v>0</v>
      </c>
      <c r="FA17" s="578">
        <v>0</v>
      </c>
      <c r="FB17" s="578">
        <v>0</v>
      </c>
      <c r="FC17" s="578">
        <v>0</v>
      </c>
      <c r="FD17" s="578">
        <v>0</v>
      </c>
      <c r="FE17" s="578">
        <v>0</v>
      </c>
      <c r="FF17" s="578">
        <v>0</v>
      </c>
      <c r="FG17" s="578">
        <v>0</v>
      </c>
      <c r="FH17" s="578">
        <v>0</v>
      </c>
      <c r="FI17" s="578">
        <v>1.1744601887357523E-5</v>
      </c>
      <c r="FJ17" s="578">
        <v>0</v>
      </c>
      <c r="FK17" s="578">
        <v>7.9313672355219505E-5</v>
      </c>
      <c r="FL17" s="578">
        <v>0</v>
      </c>
      <c r="FM17" s="578">
        <v>0</v>
      </c>
      <c r="FN17" s="578">
        <v>0</v>
      </c>
      <c r="FO17" s="578">
        <v>1.0892960325362822E-5</v>
      </c>
      <c r="FP17" s="578">
        <v>0</v>
      </c>
      <c r="FQ17" s="578">
        <v>1.2523167860542002E-4</v>
      </c>
      <c r="FR17" s="578">
        <v>2.3579344494223061E-4</v>
      </c>
      <c r="FS17" s="578">
        <v>0</v>
      </c>
      <c r="FT17" s="578">
        <v>0</v>
      </c>
      <c r="FU17" s="578">
        <v>0</v>
      </c>
      <c r="FV17" s="578">
        <v>0</v>
      </c>
      <c r="FW17" s="578">
        <v>0</v>
      </c>
      <c r="FX17" s="578">
        <v>0</v>
      </c>
      <c r="FY17" s="578">
        <v>0</v>
      </c>
      <c r="FZ17" s="578">
        <v>1.0351563345937119E-3</v>
      </c>
      <c r="GA17" s="578">
        <v>1.8844128751059829E-3</v>
      </c>
      <c r="GB17" s="578">
        <v>0</v>
      </c>
      <c r="GC17" s="578">
        <v>0</v>
      </c>
      <c r="GD17" s="578">
        <v>1.1419320819101165E-4</v>
      </c>
      <c r="GE17" s="578">
        <v>0</v>
      </c>
      <c r="GF17" s="578">
        <v>0</v>
      </c>
      <c r="GG17" s="579">
        <v>1.144292455072532E-4</v>
      </c>
      <c r="GH17" s="572"/>
    </row>
    <row r="18" spans="1:190">
      <c r="A18" s="572" t="s">
        <v>9249</v>
      </c>
      <c r="B18" s="577" t="s">
        <v>84</v>
      </c>
      <c r="C18" s="573" t="s">
        <v>9497</v>
      </c>
      <c r="D18" s="578">
        <v>0</v>
      </c>
      <c r="E18" s="578">
        <v>0</v>
      </c>
      <c r="F18" s="578">
        <v>0</v>
      </c>
      <c r="G18" s="578">
        <v>0</v>
      </c>
      <c r="H18" s="578">
        <v>0</v>
      </c>
      <c r="I18" s="578">
        <v>0</v>
      </c>
      <c r="J18" s="578">
        <v>0</v>
      </c>
      <c r="K18" s="578">
        <v>0</v>
      </c>
      <c r="L18" s="578">
        <v>0</v>
      </c>
      <c r="M18" s="578">
        <v>0</v>
      </c>
      <c r="N18" s="578">
        <v>0</v>
      </c>
      <c r="O18" s="578">
        <v>3.707191030918805E-2</v>
      </c>
      <c r="P18" s="578">
        <v>0</v>
      </c>
      <c r="Q18" s="578">
        <v>0</v>
      </c>
      <c r="R18" s="578">
        <v>0</v>
      </c>
      <c r="S18" s="578">
        <v>0</v>
      </c>
      <c r="T18" s="578">
        <v>1.7714036405625192E-4</v>
      </c>
      <c r="U18" s="578">
        <v>0.18150606327225433</v>
      </c>
      <c r="V18" s="578">
        <v>0</v>
      </c>
      <c r="W18" s="578">
        <v>1.4093655403997696E-4</v>
      </c>
      <c r="X18" s="578">
        <v>0</v>
      </c>
      <c r="Y18" s="578">
        <v>2.8036887450840728E-4</v>
      </c>
      <c r="Z18" s="578">
        <v>7.3438426871592806E-3</v>
      </c>
      <c r="AA18" s="578">
        <v>0</v>
      </c>
      <c r="AB18" s="578">
        <v>0</v>
      </c>
      <c r="AC18" s="578">
        <v>1.8312170683251275E-3</v>
      </c>
      <c r="AD18" s="578">
        <v>0</v>
      </c>
      <c r="AE18" s="578">
        <v>0</v>
      </c>
      <c r="AF18" s="578">
        <v>0</v>
      </c>
      <c r="AG18" s="578">
        <v>0</v>
      </c>
      <c r="AH18" s="578">
        <v>0</v>
      </c>
      <c r="AI18" s="578">
        <v>0</v>
      </c>
      <c r="AJ18" s="578">
        <v>0</v>
      </c>
      <c r="AK18" s="578">
        <v>0</v>
      </c>
      <c r="AL18" s="578">
        <v>0</v>
      </c>
      <c r="AM18" s="578">
        <v>0</v>
      </c>
      <c r="AN18" s="578">
        <v>0</v>
      </c>
      <c r="AO18" s="578">
        <v>0</v>
      </c>
      <c r="AP18" s="578">
        <v>0</v>
      </c>
      <c r="AQ18" s="578">
        <v>0</v>
      </c>
      <c r="AR18" s="578">
        <v>0</v>
      </c>
      <c r="AS18" s="578">
        <v>0</v>
      </c>
      <c r="AT18" s="578">
        <v>0</v>
      </c>
      <c r="AU18" s="578">
        <v>0</v>
      </c>
      <c r="AV18" s="578">
        <v>0</v>
      </c>
      <c r="AW18" s="578">
        <v>0</v>
      </c>
      <c r="AX18" s="578">
        <v>0</v>
      </c>
      <c r="AY18" s="578">
        <v>0</v>
      </c>
      <c r="AZ18" s="578">
        <v>0</v>
      </c>
      <c r="BA18" s="578">
        <v>0</v>
      </c>
      <c r="BB18" s="578">
        <v>0</v>
      </c>
      <c r="BC18" s="578">
        <v>0</v>
      </c>
      <c r="BD18" s="578">
        <v>0</v>
      </c>
      <c r="BE18" s="578">
        <v>1.4391923673661377E-4</v>
      </c>
      <c r="BF18" s="578">
        <v>0</v>
      </c>
      <c r="BG18" s="578">
        <v>0</v>
      </c>
      <c r="BH18" s="578">
        <v>0</v>
      </c>
      <c r="BI18" s="578">
        <v>0</v>
      </c>
      <c r="BJ18" s="578">
        <v>0</v>
      </c>
      <c r="BK18" s="578">
        <v>0</v>
      </c>
      <c r="BL18" s="578">
        <v>0</v>
      </c>
      <c r="BM18" s="578">
        <v>0</v>
      </c>
      <c r="BN18" s="578">
        <v>0</v>
      </c>
      <c r="BO18" s="578">
        <v>0</v>
      </c>
      <c r="BP18" s="578">
        <v>0</v>
      </c>
      <c r="BQ18" s="578">
        <v>0</v>
      </c>
      <c r="BR18" s="578">
        <v>0</v>
      </c>
      <c r="BS18" s="578">
        <v>0</v>
      </c>
      <c r="BT18" s="578">
        <v>0</v>
      </c>
      <c r="BU18" s="578">
        <v>0</v>
      </c>
      <c r="BV18" s="578">
        <v>0</v>
      </c>
      <c r="BW18" s="578">
        <v>0</v>
      </c>
      <c r="BX18" s="578">
        <v>0</v>
      </c>
      <c r="BY18" s="578">
        <v>0</v>
      </c>
      <c r="BZ18" s="578">
        <v>0</v>
      </c>
      <c r="CA18" s="578">
        <v>0</v>
      </c>
      <c r="CB18" s="578">
        <v>0</v>
      </c>
      <c r="CC18" s="578">
        <v>0</v>
      </c>
      <c r="CD18" s="578">
        <v>0</v>
      </c>
      <c r="CE18" s="578">
        <v>0</v>
      </c>
      <c r="CF18" s="578">
        <v>0</v>
      </c>
      <c r="CG18" s="578">
        <v>0</v>
      </c>
      <c r="CH18" s="578">
        <v>0</v>
      </c>
      <c r="CI18" s="578">
        <v>0</v>
      </c>
      <c r="CJ18" s="578">
        <v>0</v>
      </c>
      <c r="CK18" s="578">
        <v>0</v>
      </c>
      <c r="CL18" s="578">
        <v>0</v>
      </c>
      <c r="CM18" s="578">
        <v>0</v>
      </c>
      <c r="CN18" s="578">
        <v>0</v>
      </c>
      <c r="CO18" s="578">
        <v>0</v>
      </c>
      <c r="CP18" s="578">
        <v>0</v>
      </c>
      <c r="CQ18" s="578">
        <v>0</v>
      </c>
      <c r="CR18" s="578">
        <v>0</v>
      </c>
      <c r="CS18" s="578">
        <v>0</v>
      </c>
      <c r="CT18" s="578">
        <v>0</v>
      </c>
      <c r="CU18" s="578">
        <v>0</v>
      </c>
      <c r="CV18" s="578">
        <v>0</v>
      </c>
      <c r="CW18" s="578">
        <v>0</v>
      </c>
      <c r="CX18" s="578">
        <v>0</v>
      </c>
      <c r="CY18" s="578">
        <v>0</v>
      </c>
      <c r="CZ18" s="578">
        <v>0</v>
      </c>
      <c r="DA18" s="578">
        <v>0</v>
      </c>
      <c r="DB18" s="578">
        <v>0</v>
      </c>
      <c r="DC18" s="578">
        <v>0</v>
      </c>
      <c r="DD18" s="578">
        <v>0</v>
      </c>
      <c r="DE18" s="578">
        <v>0</v>
      </c>
      <c r="DF18" s="578">
        <v>0</v>
      </c>
      <c r="DG18" s="578">
        <v>0</v>
      </c>
      <c r="DH18" s="578">
        <v>0</v>
      </c>
      <c r="DI18" s="578">
        <v>0</v>
      </c>
      <c r="DJ18" s="578">
        <v>0</v>
      </c>
      <c r="DK18" s="578">
        <v>0</v>
      </c>
      <c r="DL18" s="578">
        <v>0</v>
      </c>
      <c r="DM18" s="578">
        <v>0</v>
      </c>
      <c r="DN18" s="578">
        <v>0</v>
      </c>
      <c r="DO18" s="578">
        <v>0</v>
      </c>
      <c r="DP18" s="578">
        <v>0</v>
      </c>
      <c r="DQ18" s="578">
        <v>0</v>
      </c>
      <c r="DR18" s="578">
        <v>0</v>
      </c>
      <c r="DS18" s="578">
        <v>0</v>
      </c>
      <c r="DT18" s="578">
        <v>0</v>
      </c>
      <c r="DU18" s="578">
        <v>0</v>
      </c>
      <c r="DV18" s="578">
        <v>0</v>
      </c>
      <c r="DW18" s="578">
        <v>0</v>
      </c>
      <c r="DX18" s="578">
        <v>2.3878840625900205E-2</v>
      </c>
      <c r="DY18" s="578">
        <v>0</v>
      </c>
      <c r="DZ18" s="578">
        <v>0</v>
      </c>
      <c r="EA18" s="578">
        <v>0</v>
      </c>
      <c r="EB18" s="578">
        <v>0</v>
      </c>
      <c r="EC18" s="578">
        <v>0</v>
      </c>
      <c r="ED18" s="578">
        <v>0</v>
      </c>
      <c r="EE18" s="578">
        <v>0</v>
      </c>
      <c r="EF18" s="578">
        <v>0</v>
      </c>
      <c r="EG18" s="578">
        <v>0</v>
      </c>
      <c r="EH18" s="578">
        <v>0</v>
      </c>
      <c r="EI18" s="578">
        <v>0</v>
      </c>
      <c r="EJ18" s="578">
        <v>0</v>
      </c>
      <c r="EK18" s="578">
        <v>0</v>
      </c>
      <c r="EL18" s="578">
        <v>0</v>
      </c>
      <c r="EM18" s="578">
        <v>0</v>
      </c>
      <c r="EN18" s="578">
        <v>0</v>
      </c>
      <c r="EO18" s="578">
        <v>0</v>
      </c>
      <c r="EP18" s="578">
        <v>0</v>
      </c>
      <c r="EQ18" s="578">
        <v>0</v>
      </c>
      <c r="ER18" s="578">
        <v>0</v>
      </c>
      <c r="ES18" s="578">
        <v>0</v>
      </c>
      <c r="ET18" s="578">
        <v>0</v>
      </c>
      <c r="EU18" s="578">
        <v>0</v>
      </c>
      <c r="EV18" s="578">
        <v>0</v>
      </c>
      <c r="EW18" s="578">
        <v>0</v>
      </c>
      <c r="EX18" s="578">
        <v>0</v>
      </c>
      <c r="EY18" s="578">
        <v>0</v>
      </c>
      <c r="EZ18" s="578">
        <v>0</v>
      </c>
      <c r="FA18" s="578">
        <v>0</v>
      </c>
      <c r="FB18" s="578">
        <v>1.0118828779298225E-5</v>
      </c>
      <c r="FC18" s="578">
        <v>0</v>
      </c>
      <c r="FD18" s="578">
        <v>0</v>
      </c>
      <c r="FE18" s="578">
        <v>0</v>
      </c>
      <c r="FF18" s="578">
        <v>0</v>
      </c>
      <c r="FG18" s="578">
        <v>0</v>
      </c>
      <c r="FH18" s="578">
        <v>0</v>
      </c>
      <c r="FI18" s="578">
        <v>1.4680752359196904E-5</v>
      </c>
      <c r="FJ18" s="578">
        <v>0</v>
      </c>
      <c r="FK18" s="578">
        <v>8.5414724074851773E-5</v>
      </c>
      <c r="FL18" s="578">
        <v>0</v>
      </c>
      <c r="FM18" s="578">
        <v>0</v>
      </c>
      <c r="FN18" s="578">
        <v>0</v>
      </c>
      <c r="FO18" s="578">
        <v>2.1686893738676893E-4</v>
      </c>
      <c r="FP18" s="578">
        <v>0</v>
      </c>
      <c r="FQ18" s="578">
        <v>6.6790228589557344E-4</v>
      </c>
      <c r="FR18" s="578">
        <v>1.4894675036944865E-3</v>
      </c>
      <c r="FS18" s="578">
        <v>0</v>
      </c>
      <c r="FT18" s="578">
        <v>0</v>
      </c>
      <c r="FU18" s="578">
        <v>0</v>
      </c>
      <c r="FV18" s="578">
        <v>0</v>
      </c>
      <c r="FW18" s="578">
        <v>0</v>
      </c>
      <c r="FX18" s="578">
        <v>0</v>
      </c>
      <c r="FY18" s="578">
        <v>0</v>
      </c>
      <c r="FZ18" s="578">
        <v>3.0664882213068956E-3</v>
      </c>
      <c r="GA18" s="578">
        <v>4.280157549005353E-3</v>
      </c>
      <c r="GB18" s="578">
        <v>0</v>
      </c>
      <c r="GC18" s="578">
        <v>4.957710727494472E-6</v>
      </c>
      <c r="GD18" s="578">
        <v>3.1571063441044396E-4</v>
      </c>
      <c r="GE18" s="578">
        <v>0</v>
      </c>
      <c r="GF18" s="578">
        <v>0</v>
      </c>
      <c r="GG18" s="579">
        <v>9.0036667668414545E-4</v>
      </c>
      <c r="GH18" s="572"/>
    </row>
    <row r="19" spans="1:190">
      <c r="A19" s="572" t="s">
        <v>9250</v>
      </c>
      <c r="B19" s="577" t="s">
        <v>9404</v>
      </c>
      <c r="C19" s="573" t="s">
        <v>9498</v>
      </c>
      <c r="D19" s="578">
        <v>0</v>
      </c>
      <c r="E19" s="578">
        <v>0</v>
      </c>
      <c r="F19" s="578">
        <v>0</v>
      </c>
      <c r="G19" s="578">
        <v>0</v>
      </c>
      <c r="H19" s="578">
        <v>0</v>
      </c>
      <c r="I19" s="578">
        <v>0</v>
      </c>
      <c r="J19" s="578">
        <v>0</v>
      </c>
      <c r="K19" s="578">
        <v>0</v>
      </c>
      <c r="L19" s="578">
        <v>0</v>
      </c>
      <c r="M19" s="578">
        <v>0</v>
      </c>
      <c r="N19" s="578">
        <v>0</v>
      </c>
      <c r="O19" s="578">
        <v>0</v>
      </c>
      <c r="P19" s="578">
        <v>0.14917127071823205</v>
      </c>
      <c r="Q19" s="578">
        <v>0</v>
      </c>
      <c r="R19" s="578">
        <v>0</v>
      </c>
      <c r="S19" s="578">
        <v>0</v>
      </c>
      <c r="T19" s="578">
        <v>0</v>
      </c>
      <c r="U19" s="578">
        <v>5.489460999961746E-3</v>
      </c>
      <c r="V19" s="578">
        <v>0</v>
      </c>
      <c r="W19" s="578">
        <v>0</v>
      </c>
      <c r="X19" s="578">
        <v>0</v>
      </c>
      <c r="Y19" s="578">
        <v>0</v>
      </c>
      <c r="Z19" s="578">
        <v>1.4950732371153944E-3</v>
      </c>
      <c r="AA19" s="578">
        <v>0</v>
      </c>
      <c r="AB19" s="578">
        <v>0</v>
      </c>
      <c r="AC19" s="578">
        <v>0</v>
      </c>
      <c r="AD19" s="578">
        <v>0</v>
      </c>
      <c r="AE19" s="578">
        <v>0</v>
      </c>
      <c r="AF19" s="578">
        <v>0</v>
      </c>
      <c r="AG19" s="578">
        <v>0</v>
      </c>
      <c r="AH19" s="578">
        <v>0</v>
      </c>
      <c r="AI19" s="578">
        <v>0</v>
      </c>
      <c r="AJ19" s="578">
        <v>0</v>
      </c>
      <c r="AK19" s="578">
        <v>0</v>
      </c>
      <c r="AL19" s="578">
        <v>0</v>
      </c>
      <c r="AM19" s="578">
        <v>0</v>
      </c>
      <c r="AN19" s="578">
        <v>0</v>
      </c>
      <c r="AO19" s="578">
        <v>0</v>
      </c>
      <c r="AP19" s="578">
        <v>0</v>
      </c>
      <c r="AQ19" s="578">
        <v>0</v>
      </c>
      <c r="AR19" s="578">
        <v>0</v>
      </c>
      <c r="AS19" s="578">
        <v>0</v>
      </c>
      <c r="AT19" s="578">
        <v>0</v>
      </c>
      <c r="AU19" s="578">
        <v>0</v>
      </c>
      <c r="AV19" s="578">
        <v>5.9912527709544064E-5</v>
      </c>
      <c r="AW19" s="578">
        <v>0</v>
      </c>
      <c r="AX19" s="578">
        <v>0</v>
      </c>
      <c r="AY19" s="578">
        <v>0</v>
      </c>
      <c r="AZ19" s="578">
        <v>0</v>
      </c>
      <c r="BA19" s="578">
        <v>0</v>
      </c>
      <c r="BB19" s="578">
        <v>0</v>
      </c>
      <c r="BC19" s="578">
        <v>0</v>
      </c>
      <c r="BD19" s="578">
        <v>0</v>
      </c>
      <c r="BE19" s="578">
        <v>0</v>
      </c>
      <c r="BF19" s="578">
        <v>0</v>
      </c>
      <c r="BG19" s="578">
        <v>0</v>
      </c>
      <c r="BH19" s="578">
        <v>0</v>
      </c>
      <c r="BI19" s="578">
        <v>0</v>
      </c>
      <c r="BJ19" s="578">
        <v>0</v>
      </c>
      <c r="BK19" s="578">
        <v>0</v>
      </c>
      <c r="BL19" s="578">
        <v>0</v>
      </c>
      <c r="BM19" s="578">
        <v>0</v>
      </c>
      <c r="BN19" s="578">
        <v>0</v>
      </c>
      <c r="BO19" s="578">
        <v>0</v>
      </c>
      <c r="BP19" s="578">
        <v>0</v>
      </c>
      <c r="BQ19" s="578">
        <v>0</v>
      </c>
      <c r="BR19" s="578">
        <v>0</v>
      </c>
      <c r="BS19" s="578">
        <v>0</v>
      </c>
      <c r="BT19" s="578">
        <v>0</v>
      </c>
      <c r="BU19" s="578">
        <v>0</v>
      </c>
      <c r="BV19" s="578">
        <v>0</v>
      </c>
      <c r="BW19" s="578">
        <v>0</v>
      </c>
      <c r="BX19" s="578">
        <v>0</v>
      </c>
      <c r="BY19" s="578">
        <v>0</v>
      </c>
      <c r="BZ19" s="578">
        <v>0</v>
      </c>
      <c r="CA19" s="578">
        <v>0</v>
      </c>
      <c r="CB19" s="578">
        <v>0</v>
      </c>
      <c r="CC19" s="578">
        <v>0</v>
      </c>
      <c r="CD19" s="578">
        <v>0</v>
      </c>
      <c r="CE19" s="578">
        <v>0</v>
      </c>
      <c r="CF19" s="578">
        <v>0</v>
      </c>
      <c r="CG19" s="578">
        <v>0</v>
      </c>
      <c r="CH19" s="578">
        <v>0</v>
      </c>
      <c r="CI19" s="578">
        <v>0</v>
      </c>
      <c r="CJ19" s="578">
        <v>0</v>
      </c>
      <c r="CK19" s="578">
        <v>0</v>
      </c>
      <c r="CL19" s="578">
        <v>0</v>
      </c>
      <c r="CM19" s="578">
        <v>0</v>
      </c>
      <c r="CN19" s="578">
        <v>0</v>
      </c>
      <c r="CO19" s="578">
        <v>0</v>
      </c>
      <c r="CP19" s="578">
        <v>0</v>
      </c>
      <c r="CQ19" s="578">
        <v>0</v>
      </c>
      <c r="CR19" s="578">
        <v>0</v>
      </c>
      <c r="CS19" s="578">
        <v>0</v>
      </c>
      <c r="CT19" s="578">
        <v>0</v>
      </c>
      <c r="CU19" s="578">
        <v>0</v>
      </c>
      <c r="CV19" s="578">
        <v>0</v>
      </c>
      <c r="CW19" s="578">
        <v>0</v>
      </c>
      <c r="CX19" s="578">
        <v>0</v>
      </c>
      <c r="CY19" s="578">
        <v>0</v>
      </c>
      <c r="CZ19" s="578">
        <v>0</v>
      </c>
      <c r="DA19" s="578">
        <v>0</v>
      </c>
      <c r="DB19" s="578">
        <v>0</v>
      </c>
      <c r="DC19" s="578">
        <v>0</v>
      </c>
      <c r="DD19" s="578">
        <v>0</v>
      </c>
      <c r="DE19" s="578">
        <v>0</v>
      </c>
      <c r="DF19" s="578">
        <v>0</v>
      </c>
      <c r="DG19" s="578">
        <v>0</v>
      </c>
      <c r="DH19" s="578">
        <v>0</v>
      </c>
      <c r="DI19" s="578">
        <v>0</v>
      </c>
      <c r="DJ19" s="578">
        <v>0</v>
      </c>
      <c r="DK19" s="578">
        <v>0</v>
      </c>
      <c r="DL19" s="578">
        <v>0</v>
      </c>
      <c r="DM19" s="578">
        <v>0</v>
      </c>
      <c r="DN19" s="578">
        <v>0</v>
      </c>
      <c r="DO19" s="578">
        <v>0</v>
      </c>
      <c r="DP19" s="578">
        <v>0</v>
      </c>
      <c r="DQ19" s="578">
        <v>0</v>
      </c>
      <c r="DR19" s="578">
        <v>0</v>
      </c>
      <c r="DS19" s="578">
        <v>0</v>
      </c>
      <c r="DT19" s="578">
        <v>0</v>
      </c>
      <c r="DU19" s="578">
        <v>0</v>
      </c>
      <c r="DV19" s="578">
        <v>0</v>
      </c>
      <c r="DW19" s="578">
        <v>0</v>
      </c>
      <c r="DX19" s="578">
        <v>1.2871038325048881E-4</v>
      </c>
      <c r="DY19" s="578">
        <v>0</v>
      </c>
      <c r="DZ19" s="578">
        <v>0</v>
      </c>
      <c r="EA19" s="578">
        <v>0</v>
      </c>
      <c r="EB19" s="578">
        <v>0</v>
      </c>
      <c r="EC19" s="578">
        <v>0</v>
      </c>
      <c r="ED19" s="578">
        <v>0</v>
      </c>
      <c r="EE19" s="578">
        <v>0</v>
      </c>
      <c r="EF19" s="578">
        <v>0</v>
      </c>
      <c r="EG19" s="578">
        <v>0</v>
      </c>
      <c r="EH19" s="578">
        <v>0</v>
      </c>
      <c r="EI19" s="578">
        <v>0</v>
      </c>
      <c r="EJ19" s="578">
        <v>0</v>
      </c>
      <c r="EK19" s="578">
        <v>0</v>
      </c>
      <c r="EL19" s="578">
        <v>0</v>
      </c>
      <c r="EM19" s="578">
        <v>0</v>
      </c>
      <c r="EN19" s="578">
        <v>0</v>
      </c>
      <c r="EO19" s="578">
        <v>0</v>
      </c>
      <c r="EP19" s="578">
        <v>0</v>
      </c>
      <c r="EQ19" s="578">
        <v>0</v>
      </c>
      <c r="ER19" s="578">
        <v>0</v>
      </c>
      <c r="ES19" s="578">
        <v>0</v>
      </c>
      <c r="ET19" s="578">
        <v>0</v>
      </c>
      <c r="EU19" s="578">
        <v>0</v>
      </c>
      <c r="EV19" s="578">
        <v>0</v>
      </c>
      <c r="EW19" s="578">
        <v>0</v>
      </c>
      <c r="EX19" s="578">
        <v>0</v>
      </c>
      <c r="EY19" s="578">
        <v>0</v>
      </c>
      <c r="EZ19" s="578">
        <v>0</v>
      </c>
      <c r="FA19" s="578">
        <v>0</v>
      </c>
      <c r="FB19" s="578">
        <v>0</v>
      </c>
      <c r="FC19" s="578">
        <v>0</v>
      </c>
      <c r="FD19" s="578">
        <v>0</v>
      </c>
      <c r="FE19" s="578">
        <v>0</v>
      </c>
      <c r="FF19" s="578">
        <v>0</v>
      </c>
      <c r="FG19" s="578">
        <v>0</v>
      </c>
      <c r="FH19" s="578">
        <v>0</v>
      </c>
      <c r="FI19" s="578">
        <v>2.9361504718393808E-6</v>
      </c>
      <c r="FJ19" s="578">
        <v>0</v>
      </c>
      <c r="FK19" s="578">
        <v>0</v>
      </c>
      <c r="FL19" s="578">
        <v>0</v>
      </c>
      <c r="FM19" s="578">
        <v>0</v>
      </c>
      <c r="FN19" s="578">
        <v>0</v>
      </c>
      <c r="FO19" s="578">
        <v>4.1591303060476232E-5</v>
      </c>
      <c r="FP19" s="578">
        <v>0</v>
      </c>
      <c r="FQ19" s="578">
        <v>1.0296826907556758E-4</v>
      </c>
      <c r="FR19" s="578">
        <v>1.937708507941103E-4</v>
      </c>
      <c r="FS19" s="578">
        <v>0</v>
      </c>
      <c r="FT19" s="578">
        <v>0</v>
      </c>
      <c r="FU19" s="578">
        <v>0</v>
      </c>
      <c r="FV19" s="578">
        <v>0</v>
      </c>
      <c r="FW19" s="578">
        <v>0</v>
      </c>
      <c r="FX19" s="578">
        <v>0</v>
      </c>
      <c r="FY19" s="578">
        <v>0</v>
      </c>
      <c r="FZ19" s="578">
        <v>8.099340358536575E-4</v>
      </c>
      <c r="GA19" s="578">
        <v>2.3810418426241614E-3</v>
      </c>
      <c r="GB19" s="578">
        <v>0</v>
      </c>
      <c r="GC19" s="578">
        <v>1.9830842909977888E-5</v>
      </c>
      <c r="GD19" s="578">
        <v>9.4041465569068421E-5</v>
      </c>
      <c r="GE19" s="578">
        <v>0</v>
      </c>
      <c r="GF19" s="578">
        <v>0</v>
      </c>
      <c r="GG19" s="579">
        <v>1.1609768448391795E-4</v>
      </c>
      <c r="GH19" s="572"/>
    </row>
    <row r="20" spans="1:190">
      <c r="A20" s="572" t="s">
        <v>9251</v>
      </c>
      <c r="B20" s="577" t="s">
        <v>91</v>
      </c>
      <c r="C20" s="573" t="s">
        <v>9055</v>
      </c>
      <c r="D20" s="578">
        <v>0</v>
      </c>
      <c r="E20" s="578">
        <v>0</v>
      </c>
      <c r="F20" s="578">
        <v>0</v>
      </c>
      <c r="G20" s="578">
        <v>0</v>
      </c>
      <c r="H20" s="578">
        <v>0</v>
      </c>
      <c r="I20" s="578">
        <v>0</v>
      </c>
      <c r="J20" s="578">
        <v>1.6105912480471579E-5</v>
      </c>
      <c r="K20" s="578">
        <v>0</v>
      </c>
      <c r="L20" s="578">
        <v>0</v>
      </c>
      <c r="M20" s="578">
        <v>0</v>
      </c>
      <c r="N20" s="578">
        <v>0</v>
      </c>
      <c r="O20" s="578">
        <v>0</v>
      </c>
      <c r="P20" s="578">
        <v>0</v>
      </c>
      <c r="Q20" s="578">
        <v>0</v>
      </c>
      <c r="R20" s="578">
        <v>0</v>
      </c>
      <c r="S20" s="578">
        <v>0</v>
      </c>
      <c r="T20" s="578">
        <v>2.4930866052361378E-4</v>
      </c>
      <c r="U20" s="578">
        <v>4.7817604529283498E-5</v>
      </c>
      <c r="V20" s="578">
        <v>2.2382046614342415E-5</v>
      </c>
      <c r="W20" s="578">
        <v>5.9132075934164251E-4</v>
      </c>
      <c r="X20" s="578">
        <v>2.559115569659126E-5</v>
      </c>
      <c r="Y20" s="578">
        <v>5.9104789761231806E-4</v>
      </c>
      <c r="Z20" s="578">
        <v>1.852065589963415E-4</v>
      </c>
      <c r="AA20" s="578">
        <v>1.713747108051755E-4</v>
      </c>
      <c r="AB20" s="578">
        <v>1.8995391552831966E-4</v>
      </c>
      <c r="AC20" s="578">
        <v>5.0099334888140275E-4</v>
      </c>
      <c r="AD20" s="578">
        <v>0</v>
      </c>
      <c r="AE20" s="578">
        <v>0</v>
      </c>
      <c r="AF20" s="578">
        <v>0</v>
      </c>
      <c r="AG20" s="578">
        <v>0</v>
      </c>
      <c r="AH20" s="578">
        <v>2.6995757809487081E-3</v>
      </c>
      <c r="AI20" s="578">
        <v>4.6775810223855663E-4</v>
      </c>
      <c r="AJ20" s="578">
        <v>0</v>
      </c>
      <c r="AK20" s="578">
        <v>6.2359690695934153E-4</v>
      </c>
      <c r="AL20" s="578">
        <v>8.9158345221112699E-5</v>
      </c>
      <c r="AM20" s="578">
        <v>0</v>
      </c>
      <c r="AN20" s="578">
        <v>0</v>
      </c>
      <c r="AO20" s="578">
        <v>0</v>
      </c>
      <c r="AP20" s="578">
        <v>2.1918678526048285E-2</v>
      </c>
      <c r="AQ20" s="578">
        <v>9.7037159645783338E-3</v>
      </c>
      <c r="AR20" s="578">
        <v>1.5348469285351657E-4</v>
      </c>
      <c r="AS20" s="578">
        <v>3.5341933203746245E-5</v>
      </c>
      <c r="AT20" s="578">
        <v>4.9735778675784889E-4</v>
      </c>
      <c r="AU20" s="578">
        <v>0</v>
      </c>
      <c r="AV20" s="578">
        <v>8.6214127374033916E-2</v>
      </c>
      <c r="AW20" s="578">
        <v>1.609183071394089E-4</v>
      </c>
      <c r="AX20" s="578">
        <v>6.4297391895895284E-3</v>
      </c>
      <c r="AY20" s="578">
        <v>4.7573739295908661E-4</v>
      </c>
      <c r="AZ20" s="578">
        <v>7.2111580803399869E-3</v>
      </c>
      <c r="BA20" s="578">
        <v>9.1628488129945861E-3</v>
      </c>
      <c r="BB20" s="578">
        <v>4.7927659926101686E-3</v>
      </c>
      <c r="BC20" s="578">
        <v>1.0337028053261281E-3</v>
      </c>
      <c r="BD20" s="578">
        <v>1.4418957016356388E-2</v>
      </c>
      <c r="BE20" s="578">
        <v>1.8604194017172022E-4</v>
      </c>
      <c r="BF20" s="578">
        <v>1.5175916749256689E-3</v>
      </c>
      <c r="BG20" s="578">
        <v>1.4842300556586271E-5</v>
      </c>
      <c r="BH20" s="578">
        <v>1.0306161710548013E-4</v>
      </c>
      <c r="BI20" s="578">
        <v>0</v>
      </c>
      <c r="BJ20" s="578">
        <v>3.2577185248720624E-4</v>
      </c>
      <c r="BK20" s="578">
        <v>0.58970896262815564</v>
      </c>
      <c r="BL20" s="578">
        <v>0.64295681737453692</v>
      </c>
      <c r="BM20" s="578">
        <v>2.9770287878683786E-5</v>
      </c>
      <c r="BN20" s="578">
        <v>3.9506172839506171E-4</v>
      </c>
      <c r="BO20" s="578">
        <v>1.3521213818680524E-4</v>
      </c>
      <c r="BP20" s="578">
        <v>2.9052876234747239E-4</v>
      </c>
      <c r="BQ20" s="578">
        <v>0</v>
      </c>
      <c r="BR20" s="578">
        <v>4.3741265082735004E-3</v>
      </c>
      <c r="BS20" s="578">
        <v>2.3276045196597105E-2</v>
      </c>
      <c r="BT20" s="578">
        <v>1.311236568930978E-2</v>
      </c>
      <c r="BU20" s="578">
        <v>6.468267780484975E-3</v>
      </c>
      <c r="BV20" s="578">
        <v>6.4007546152809597E-3</v>
      </c>
      <c r="BW20" s="578">
        <v>5.0863863107022574E-3</v>
      </c>
      <c r="BX20" s="578">
        <v>0</v>
      </c>
      <c r="BY20" s="578">
        <v>5.8619067400041041E-3</v>
      </c>
      <c r="BZ20" s="578">
        <v>2.7593666701618644E-5</v>
      </c>
      <c r="CA20" s="578">
        <v>1.0348817882757301E-4</v>
      </c>
      <c r="CB20" s="578">
        <v>2.153139736907421E-3</v>
      </c>
      <c r="CC20" s="578">
        <v>3.2736796158882582E-5</v>
      </c>
      <c r="CD20" s="578">
        <v>1.3175123415122114E-3</v>
      </c>
      <c r="CE20" s="578">
        <v>0</v>
      </c>
      <c r="CF20" s="578">
        <v>1.5790304752881732E-4</v>
      </c>
      <c r="CG20" s="578">
        <v>2.1989246549106953E-4</v>
      </c>
      <c r="CH20" s="578">
        <v>1.5044032726557348E-4</v>
      </c>
      <c r="CI20" s="578">
        <v>0</v>
      </c>
      <c r="CJ20" s="578">
        <v>1.9093078758949882E-4</v>
      </c>
      <c r="CK20" s="578">
        <v>2.975379991326011E-4</v>
      </c>
      <c r="CL20" s="578">
        <v>8.9919971225609205E-6</v>
      </c>
      <c r="CM20" s="578">
        <v>2.0419308117862147E-4</v>
      </c>
      <c r="CN20" s="578">
        <v>0</v>
      </c>
      <c r="CO20" s="578">
        <v>0</v>
      </c>
      <c r="CP20" s="578">
        <v>4.470792313813854E-5</v>
      </c>
      <c r="CQ20" s="578">
        <v>4.4594508504809834E-4</v>
      </c>
      <c r="CR20" s="578">
        <v>0</v>
      </c>
      <c r="CS20" s="578">
        <v>0</v>
      </c>
      <c r="CT20" s="578">
        <v>2.9162170831996735E-5</v>
      </c>
      <c r="CU20" s="578">
        <v>0</v>
      </c>
      <c r="CV20" s="578">
        <v>0</v>
      </c>
      <c r="CW20" s="578">
        <v>0</v>
      </c>
      <c r="CX20" s="578">
        <v>7.1386759183906567E-6</v>
      </c>
      <c r="CY20" s="578">
        <v>0</v>
      </c>
      <c r="CZ20" s="578">
        <v>0</v>
      </c>
      <c r="DA20" s="578">
        <v>0</v>
      </c>
      <c r="DB20" s="578">
        <v>0</v>
      </c>
      <c r="DC20" s="578">
        <v>0</v>
      </c>
      <c r="DD20" s="578">
        <v>0</v>
      </c>
      <c r="DE20" s="578">
        <v>7.7234812001381146E-5</v>
      </c>
      <c r="DF20" s="578">
        <v>2.5960539979231567E-4</v>
      </c>
      <c r="DG20" s="578">
        <v>4.0460948623343562E-5</v>
      </c>
      <c r="DH20" s="578">
        <v>0</v>
      </c>
      <c r="DI20" s="578">
        <v>0</v>
      </c>
      <c r="DJ20" s="578">
        <v>0</v>
      </c>
      <c r="DK20" s="578">
        <v>2.1743489636811244E-5</v>
      </c>
      <c r="DL20" s="578">
        <v>0</v>
      </c>
      <c r="DM20" s="578">
        <v>0</v>
      </c>
      <c r="DN20" s="578">
        <v>4.1264339357926881E-5</v>
      </c>
      <c r="DO20" s="578">
        <v>0</v>
      </c>
      <c r="DP20" s="578">
        <v>0</v>
      </c>
      <c r="DQ20" s="578">
        <v>0</v>
      </c>
      <c r="DR20" s="578">
        <v>1.733974904047831E-4</v>
      </c>
      <c r="DS20" s="578">
        <v>0</v>
      </c>
      <c r="DT20" s="578">
        <v>0</v>
      </c>
      <c r="DU20" s="578">
        <v>9.5553573703656519E-5</v>
      </c>
      <c r="DV20" s="578">
        <v>0</v>
      </c>
      <c r="DW20" s="578">
        <v>6.7432020094741993E-5</v>
      </c>
      <c r="DX20" s="578">
        <v>1.8387197607212686E-5</v>
      </c>
      <c r="DY20" s="578">
        <v>2.3715040078417732E-4</v>
      </c>
      <c r="DZ20" s="578">
        <v>0</v>
      </c>
      <c r="EA20" s="578">
        <v>0</v>
      </c>
      <c r="EB20" s="578">
        <v>0</v>
      </c>
      <c r="EC20" s="578">
        <v>1.2232902225470738E-5</v>
      </c>
      <c r="ED20" s="578">
        <v>9.045598863872782E-6</v>
      </c>
      <c r="EE20" s="578">
        <v>0.30370228797112364</v>
      </c>
      <c r="EF20" s="578">
        <v>0.4388120971104198</v>
      </c>
      <c r="EG20" s="578">
        <v>3.8856508465167916E-3</v>
      </c>
      <c r="EH20" s="578">
        <v>0</v>
      </c>
      <c r="EI20" s="578">
        <v>0</v>
      </c>
      <c r="EJ20" s="578">
        <v>1.797466829996486E-6</v>
      </c>
      <c r="EK20" s="578">
        <v>3.9660326302501778E-6</v>
      </c>
      <c r="EL20" s="578">
        <v>1.4920473874250245E-6</v>
      </c>
      <c r="EM20" s="578">
        <v>0</v>
      </c>
      <c r="EN20" s="578">
        <v>5.0823165876648791E-6</v>
      </c>
      <c r="EO20" s="578">
        <v>0</v>
      </c>
      <c r="EP20" s="578">
        <v>0</v>
      </c>
      <c r="EQ20" s="578">
        <v>2.3725676944403962E-5</v>
      </c>
      <c r="ER20" s="578">
        <v>0</v>
      </c>
      <c r="ES20" s="578">
        <v>0</v>
      </c>
      <c r="ET20" s="578">
        <v>0</v>
      </c>
      <c r="EU20" s="578">
        <v>0</v>
      </c>
      <c r="EV20" s="578">
        <v>0</v>
      </c>
      <c r="EW20" s="578">
        <v>0</v>
      </c>
      <c r="EX20" s="578">
        <v>0</v>
      </c>
      <c r="EY20" s="578">
        <v>1.4847075126200139E-4</v>
      </c>
      <c r="EZ20" s="578">
        <v>8.6908155461308481E-6</v>
      </c>
      <c r="FA20" s="578">
        <v>4.367956669869835E-5</v>
      </c>
      <c r="FB20" s="578">
        <v>1.3491771705730968E-5</v>
      </c>
      <c r="FC20" s="578">
        <v>0</v>
      </c>
      <c r="FD20" s="578">
        <v>0</v>
      </c>
      <c r="FE20" s="578">
        <v>0</v>
      </c>
      <c r="FF20" s="578">
        <v>0</v>
      </c>
      <c r="FG20" s="578">
        <v>0</v>
      </c>
      <c r="FH20" s="578">
        <v>0</v>
      </c>
      <c r="FI20" s="578">
        <v>0</v>
      </c>
      <c r="FJ20" s="578">
        <v>0</v>
      </c>
      <c r="FK20" s="578">
        <v>5.0842097663602241E-6</v>
      </c>
      <c r="FL20" s="578">
        <v>0</v>
      </c>
      <c r="FM20" s="578">
        <v>5.8257065125573103E-6</v>
      </c>
      <c r="FN20" s="578">
        <v>1.2886718275794448E-4</v>
      </c>
      <c r="FO20" s="578">
        <v>8.9124220843877629E-6</v>
      </c>
      <c r="FP20" s="578">
        <v>0</v>
      </c>
      <c r="FQ20" s="578">
        <v>5.5658523824631125E-6</v>
      </c>
      <c r="FR20" s="578">
        <v>1.4007531382706769E-5</v>
      </c>
      <c r="FS20" s="578">
        <v>5.0456915400571844E-5</v>
      </c>
      <c r="FT20" s="578">
        <v>7.2631813772029488E-5</v>
      </c>
      <c r="FU20" s="578">
        <v>0</v>
      </c>
      <c r="FV20" s="578">
        <v>0</v>
      </c>
      <c r="FW20" s="578">
        <v>0</v>
      </c>
      <c r="FX20" s="578">
        <v>0</v>
      </c>
      <c r="FY20" s="578">
        <v>8.925519219766812E-7</v>
      </c>
      <c r="FZ20" s="578">
        <v>8.6623961053867104E-5</v>
      </c>
      <c r="GA20" s="578">
        <v>8.168239597338461E-7</v>
      </c>
      <c r="GB20" s="578">
        <v>9.9047726854668687E-5</v>
      </c>
      <c r="GC20" s="578">
        <v>1.4873132182483417E-5</v>
      </c>
      <c r="GD20" s="578">
        <v>0</v>
      </c>
      <c r="GE20" s="578">
        <v>0</v>
      </c>
      <c r="GF20" s="578">
        <v>0</v>
      </c>
      <c r="GG20" s="579">
        <v>1.1962271101723133E-2</v>
      </c>
      <c r="GH20" s="572"/>
    </row>
    <row r="21" spans="1:190">
      <c r="A21" s="572" t="s">
        <v>9252</v>
      </c>
      <c r="B21" s="577" t="s">
        <v>9405</v>
      </c>
      <c r="C21" s="573" t="s">
        <v>9499</v>
      </c>
      <c r="D21" s="578">
        <v>0</v>
      </c>
      <c r="E21" s="578">
        <v>0</v>
      </c>
      <c r="F21" s="578">
        <v>0</v>
      </c>
      <c r="G21" s="578">
        <v>0</v>
      </c>
      <c r="H21" s="578">
        <v>0</v>
      </c>
      <c r="I21" s="578">
        <v>0</v>
      </c>
      <c r="J21" s="578">
        <v>0</v>
      </c>
      <c r="K21" s="578">
        <v>0</v>
      </c>
      <c r="L21" s="578">
        <v>7.5301204819277112E-4</v>
      </c>
      <c r="M21" s="578">
        <v>0</v>
      </c>
      <c r="N21" s="578">
        <v>0</v>
      </c>
      <c r="O21" s="578">
        <v>0</v>
      </c>
      <c r="P21" s="578">
        <v>0</v>
      </c>
      <c r="Q21" s="578">
        <v>0</v>
      </c>
      <c r="R21" s="578">
        <v>0</v>
      </c>
      <c r="S21" s="578">
        <v>0</v>
      </c>
      <c r="T21" s="578">
        <v>0</v>
      </c>
      <c r="U21" s="578">
        <v>0</v>
      </c>
      <c r="V21" s="578">
        <v>0</v>
      </c>
      <c r="W21" s="578">
        <v>0</v>
      </c>
      <c r="X21" s="578">
        <v>0</v>
      </c>
      <c r="Y21" s="578">
        <v>0</v>
      </c>
      <c r="Z21" s="578">
        <v>0</v>
      </c>
      <c r="AA21" s="578">
        <v>0</v>
      </c>
      <c r="AB21" s="578">
        <v>0</v>
      </c>
      <c r="AC21" s="578">
        <v>0</v>
      </c>
      <c r="AD21" s="578">
        <v>0</v>
      </c>
      <c r="AE21" s="578">
        <v>0</v>
      </c>
      <c r="AF21" s="578">
        <v>0</v>
      </c>
      <c r="AG21" s="578">
        <v>0</v>
      </c>
      <c r="AH21" s="578">
        <v>0</v>
      </c>
      <c r="AI21" s="578">
        <v>0</v>
      </c>
      <c r="AJ21" s="578">
        <v>0</v>
      </c>
      <c r="AK21" s="578">
        <v>0</v>
      </c>
      <c r="AL21" s="578">
        <v>0</v>
      </c>
      <c r="AM21" s="578">
        <v>0</v>
      </c>
      <c r="AN21" s="578">
        <v>0</v>
      </c>
      <c r="AO21" s="578">
        <v>0</v>
      </c>
      <c r="AP21" s="578">
        <v>0</v>
      </c>
      <c r="AQ21" s="578">
        <v>0</v>
      </c>
      <c r="AR21" s="578">
        <v>0</v>
      </c>
      <c r="AS21" s="578">
        <v>0</v>
      </c>
      <c r="AT21" s="578">
        <v>0</v>
      </c>
      <c r="AU21" s="578">
        <v>0</v>
      </c>
      <c r="AV21" s="578">
        <v>0</v>
      </c>
      <c r="AW21" s="578">
        <v>0</v>
      </c>
      <c r="AX21" s="578">
        <v>0</v>
      </c>
      <c r="AY21" s="578">
        <v>0</v>
      </c>
      <c r="AZ21" s="578">
        <v>0</v>
      </c>
      <c r="BA21" s="578">
        <v>0</v>
      </c>
      <c r="BB21" s="578">
        <v>0</v>
      </c>
      <c r="BC21" s="578">
        <v>0</v>
      </c>
      <c r="BD21" s="578">
        <v>0</v>
      </c>
      <c r="BE21" s="578">
        <v>0</v>
      </c>
      <c r="BF21" s="578">
        <v>0</v>
      </c>
      <c r="BG21" s="578">
        <v>0</v>
      </c>
      <c r="BH21" s="578">
        <v>0</v>
      </c>
      <c r="BI21" s="578">
        <v>0</v>
      </c>
      <c r="BJ21" s="578">
        <v>0</v>
      </c>
      <c r="BK21" s="578">
        <v>0</v>
      </c>
      <c r="BL21" s="578">
        <v>1.0224793220683006E-2</v>
      </c>
      <c r="BM21" s="578">
        <v>0</v>
      </c>
      <c r="BN21" s="578">
        <v>0</v>
      </c>
      <c r="BO21" s="578">
        <v>0</v>
      </c>
      <c r="BP21" s="578">
        <v>0</v>
      </c>
      <c r="BQ21" s="578">
        <v>0</v>
      </c>
      <c r="BR21" s="578">
        <v>0</v>
      </c>
      <c r="BS21" s="578">
        <v>4.8241399192773399E-2</v>
      </c>
      <c r="BT21" s="578">
        <v>0</v>
      </c>
      <c r="BU21" s="578">
        <v>0</v>
      </c>
      <c r="BV21" s="578">
        <v>1.8562188384314782E-2</v>
      </c>
      <c r="BW21" s="578">
        <v>-4.4193192535609774E-3</v>
      </c>
      <c r="BX21" s="578">
        <v>0</v>
      </c>
      <c r="BY21" s="578">
        <v>0</v>
      </c>
      <c r="BZ21" s="578">
        <v>0</v>
      </c>
      <c r="CA21" s="578">
        <v>0</v>
      </c>
      <c r="CB21" s="578">
        <v>1.6133035492678084E-4</v>
      </c>
      <c r="CC21" s="578">
        <v>0</v>
      </c>
      <c r="CD21" s="578">
        <v>0</v>
      </c>
      <c r="CE21" s="578">
        <v>0</v>
      </c>
      <c r="CF21" s="578">
        <v>0</v>
      </c>
      <c r="CG21" s="578">
        <v>0</v>
      </c>
      <c r="CH21" s="578">
        <v>0</v>
      </c>
      <c r="CI21" s="578">
        <v>0</v>
      </c>
      <c r="CJ21" s="578">
        <v>0</v>
      </c>
      <c r="CK21" s="578">
        <v>0</v>
      </c>
      <c r="CL21" s="578">
        <v>0</v>
      </c>
      <c r="CM21" s="578">
        <v>0</v>
      </c>
      <c r="CN21" s="578">
        <v>0</v>
      </c>
      <c r="CO21" s="578">
        <v>0</v>
      </c>
      <c r="CP21" s="578">
        <v>0</v>
      </c>
      <c r="CQ21" s="578">
        <v>0</v>
      </c>
      <c r="CR21" s="578">
        <v>0</v>
      </c>
      <c r="CS21" s="578">
        <v>0</v>
      </c>
      <c r="CT21" s="578">
        <v>0</v>
      </c>
      <c r="CU21" s="578">
        <v>0</v>
      </c>
      <c r="CV21" s="578">
        <v>0</v>
      </c>
      <c r="CW21" s="578">
        <v>0</v>
      </c>
      <c r="CX21" s="578">
        <v>0</v>
      </c>
      <c r="CY21" s="578">
        <v>0</v>
      </c>
      <c r="CZ21" s="578">
        <v>0</v>
      </c>
      <c r="DA21" s="578">
        <v>0</v>
      </c>
      <c r="DB21" s="578">
        <v>0</v>
      </c>
      <c r="DC21" s="578">
        <v>0</v>
      </c>
      <c r="DD21" s="578">
        <v>0</v>
      </c>
      <c r="DE21" s="578">
        <v>0</v>
      </c>
      <c r="DF21" s="578">
        <v>0</v>
      </c>
      <c r="DG21" s="578">
        <v>0</v>
      </c>
      <c r="DH21" s="578">
        <v>0</v>
      </c>
      <c r="DI21" s="578">
        <v>0</v>
      </c>
      <c r="DJ21" s="578">
        <v>0</v>
      </c>
      <c r="DK21" s="578">
        <v>0</v>
      </c>
      <c r="DL21" s="578">
        <v>0</v>
      </c>
      <c r="DM21" s="578">
        <v>0</v>
      </c>
      <c r="DN21" s="578">
        <v>0</v>
      </c>
      <c r="DO21" s="578">
        <v>0</v>
      </c>
      <c r="DP21" s="578">
        <v>0</v>
      </c>
      <c r="DQ21" s="578">
        <v>0</v>
      </c>
      <c r="DR21" s="578">
        <v>0</v>
      </c>
      <c r="DS21" s="578">
        <v>0</v>
      </c>
      <c r="DT21" s="578">
        <v>0</v>
      </c>
      <c r="DU21" s="578">
        <v>0</v>
      </c>
      <c r="DV21" s="578">
        <v>0</v>
      </c>
      <c r="DW21" s="578">
        <v>0</v>
      </c>
      <c r="DX21" s="578">
        <v>0</v>
      </c>
      <c r="DY21" s="578">
        <v>0</v>
      </c>
      <c r="DZ21" s="578">
        <v>2.0714638175899276E-3</v>
      </c>
      <c r="EA21" s="578">
        <v>2.8313667354475094E-3</v>
      </c>
      <c r="EB21" s="578">
        <v>2.8340763209093553E-4</v>
      </c>
      <c r="EC21" s="578">
        <v>1.7184169401230017E-2</v>
      </c>
      <c r="ED21" s="578">
        <v>1.75982125896645E-2</v>
      </c>
      <c r="EE21" s="578">
        <v>0</v>
      </c>
      <c r="EF21" s="578">
        <v>0</v>
      </c>
      <c r="EG21" s="578">
        <v>0</v>
      </c>
      <c r="EH21" s="578">
        <v>0</v>
      </c>
      <c r="EI21" s="578">
        <v>0</v>
      </c>
      <c r="EJ21" s="578">
        <v>0</v>
      </c>
      <c r="EK21" s="578">
        <v>0</v>
      </c>
      <c r="EL21" s="578">
        <v>0</v>
      </c>
      <c r="EM21" s="578">
        <v>0</v>
      </c>
      <c r="EN21" s="578">
        <v>0</v>
      </c>
      <c r="EO21" s="578">
        <v>0</v>
      </c>
      <c r="EP21" s="578">
        <v>0</v>
      </c>
      <c r="EQ21" s="578">
        <v>0</v>
      </c>
      <c r="ER21" s="578">
        <v>0</v>
      </c>
      <c r="ES21" s="578">
        <v>0</v>
      </c>
      <c r="ET21" s="578">
        <v>0</v>
      </c>
      <c r="EU21" s="578">
        <v>0</v>
      </c>
      <c r="EV21" s="578">
        <v>0</v>
      </c>
      <c r="EW21" s="578">
        <v>0</v>
      </c>
      <c r="EX21" s="578">
        <v>0</v>
      </c>
      <c r="EY21" s="578">
        <v>0</v>
      </c>
      <c r="EZ21" s="578">
        <v>0</v>
      </c>
      <c r="FA21" s="578">
        <v>0</v>
      </c>
      <c r="FB21" s="578">
        <v>0</v>
      </c>
      <c r="FC21" s="578">
        <v>0</v>
      </c>
      <c r="FD21" s="578">
        <v>0</v>
      </c>
      <c r="FE21" s="578">
        <v>0</v>
      </c>
      <c r="FF21" s="578">
        <v>0</v>
      </c>
      <c r="FG21" s="578">
        <v>0</v>
      </c>
      <c r="FH21" s="578">
        <v>0</v>
      </c>
      <c r="FI21" s="578">
        <v>3.2297655190233189E-5</v>
      </c>
      <c r="FJ21" s="578">
        <v>0</v>
      </c>
      <c r="FK21" s="578">
        <v>0</v>
      </c>
      <c r="FL21" s="578">
        <v>0</v>
      </c>
      <c r="FM21" s="578">
        <v>0</v>
      </c>
      <c r="FN21" s="578">
        <v>0</v>
      </c>
      <c r="FO21" s="578">
        <v>0</v>
      </c>
      <c r="FP21" s="578">
        <v>0</v>
      </c>
      <c r="FQ21" s="578">
        <v>0</v>
      </c>
      <c r="FR21" s="578">
        <v>0</v>
      </c>
      <c r="FS21" s="578">
        <v>0</v>
      </c>
      <c r="FT21" s="578">
        <v>0</v>
      </c>
      <c r="FU21" s="578">
        <v>0</v>
      </c>
      <c r="FV21" s="578">
        <v>0</v>
      </c>
      <c r="FW21" s="578">
        <v>0</v>
      </c>
      <c r="FX21" s="578">
        <v>0</v>
      </c>
      <c r="FY21" s="578">
        <v>0</v>
      </c>
      <c r="FZ21" s="578">
        <v>0</v>
      </c>
      <c r="GA21" s="578">
        <v>0</v>
      </c>
      <c r="GB21" s="578">
        <v>0</v>
      </c>
      <c r="GC21" s="578">
        <v>0</v>
      </c>
      <c r="GD21" s="578">
        <v>0</v>
      </c>
      <c r="GE21" s="578">
        <v>0</v>
      </c>
      <c r="GF21" s="578">
        <v>5.3070105609510159E-6</v>
      </c>
      <c r="GG21" s="579">
        <v>3.6790362850055183E-4</v>
      </c>
      <c r="GH21" s="572"/>
    </row>
    <row r="22" spans="1:190">
      <c r="A22" s="572" t="s">
        <v>9253</v>
      </c>
      <c r="B22" s="577" t="s">
        <v>101</v>
      </c>
      <c r="C22" s="573" t="s">
        <v>9500</v>
      </c>
      <c r="D22" s="578">
        <v>0</v>
      </c>
      <c r="E22" s="578">
        <v>0</v>
      </c>
      <c r="F22" s="578">
        <v>0</v>
      </c>
      <c r="G22" s="578">
        <v>0</v>
      </c>
      <c r="H22" s="578">
        <v>0</v>
      </c>
      <c r="I22" s="578">
        <v>0</v>
      </c>
      <c r="J22" s="578">
        <v>0</v>
      </c>
      <c r="K22" s="578">
        <v>0</v>
      </c>
      <c r="L22" s="578">
        <v>0</v>
      </c>
      <c r="M22" s="578">
        <v>0</v>
      </c>
      <c r="N22" s="578">
        <v>0</v>
      </c>
      <c r="O22" s="578">
        <v>0</v>
      </c>
      <c r="P22" s="578">
        <v>0</v>
      </c>
      <c r="Q22" s="578">
        <v>0</v>
      </c>
      <c r="R22" s="578">
        <v>0</v>
      </c>
      <c r="S22" s="578">
        <v>7.4696545284780582E-3</v>
      </c>
      <c r="T22" s="578">
        <v>0</v>
      </c>
      <c r="U22" s="578">
        <v>0</v>
      </c>
      <c r="V22" s="578">
        <v>0</v>
      </c>
      <c r="W22" s="578">
        <v>0</v>
      </c>
      <c r="X22" s="578">
        <v>0</v>
      </c>
      <c r="Y22" s="578">
        <v>3.0310148595503489E-5</v>
      </c>
      <c r="Z22" s="578">
        <v>0</v>
      </c>
      <c r="AA22" s="578">
        <v>0</v>
      </c>
      <c r="AB22" s="578">
        <v>0</v>
      </c>
      <c r="AC22" s="578">
        <v>1.0365379632029023E-4</v>
      </c>
      <c r="AD22" s="578">
        <v>0</v>
      </c>
      <c r="AE22" s="578">
        <v>0</v>
      </c>
      <c r="AF22" s="578">
        <v>0</v>
      </c>
      <c r="AG22" s="578">
        <v>0</v>
      </c>
      <c r="AH22" s="578">
        <v>0</v>
      </c>
      <c r="AI22" s="578">
        <v>0</v>
      </c>
      <c r="AJ22" s="578">
        <v>0</v>
      </c>
      <c r="AK22" s="578">
        <v>0</v>
      </c>
      <c r="AL22" s="578">
        <v>0</v>
      </c>
      <c r="AM22" s="578">
        <v>0</v>
      </c>
      <c r="AN22" s="578">
        <v>0</v>
      </c>
      <c r="AO22" s="578">
        <v>0</v>
      </c>
      <c r="AP22" s="578">
        <v>3.9707750952986022E-4</v>
      </c>
      <c r="AQ22" s="578">
        <v>1.8621203343540511E-3</v>
      </c>
      <c r="AR22" s="578">
        <v>8.8548861261644176E-4</v>
      </c>
      <c r="AS22" s="578">
        <v>0</v>
      </c>
      <c r="AT22" s="578">
        <v>2.0723241114910371E-5</v>
      </c>
      <c r="AU22" s="578">
        <v>0</v>
      </c>
      <c r="AV22" s="578">
        <v>2.0370259421244982E-3</v>
      </c>
      <c r="AW22" s="578">
        <v>4.5593520356165852E-3</v>
      </c>
      <c r="AX22" s="578">
        <v>2.6827154127212281E-2</v>
      </c>
      <c r="AY22" s="578">
        <v>0</v>
      </c>
      <c r="AZ22" s="578">
        <v>0</v>
      </c>
      <c r="BA22" s="578">
        <v>0</v>
      </c>
      <c r="BB22" s="578">
        <v>3.4234042804358349E-4</v>
      </c>
      <c r="BC22" s="578">
        <v>1.7398958109449681E-4</v>
      </c>
      <c r="BD22" s="578">
        <v>0</v>
      </c>
      <c r="BE22" s="578">
        <v>5.9673829866400827E-5</v>
      </c>
      <c r="BF22" s="578">
        <v>1.5485629335976214E-5</v>
      </c>
      <c r="BG22" s="578">
        <v>7.4211502782931357E-6</v>
      </c>
      <c r="BH22" s="578">
        <v>1.0306161710548013E-4</v>
      </c>
      <c r="BI22" s="578">
        <v>1.24695039306045E-3</v>
      </c>
      <c r="BJ22" s="578">
        <v>4.5360637688092007E-5</v>
      </c>
      <c r="BK22" s="578">
        <v>-7.9925035828464332E-4</v>
      </c>
      <c r="BL22" s="578">
        <v>8.8800933678388392E-5</v>
      </c>
      <c r="BM22" s="578">
        <v>0</v>
      </c>
      <c r="BN22" s="578">
        <v>1.9753086419753085E-4</v>
      </c>
      <c r="BO22" s="578">
        <v>1.545281579277774E-4</v>
      </c>
      <c r="BP22" s="578">
        <v>0</v>
      </c>
      <c r="BQ22" s="578">
        <v>8.3458521115005842E-5</v>
      </c>
      <c r="BR22" s="578">
        <v>4.9769024783160677E-2</v>
      </c>
      <c r="BS22" s="578">
        <v>1.9260143439513641E-2</v>
      </c>
      <c r="BT22" s="578">
        <v>4.1158258969222365E-2</v>
      </c>
      <c r="BU22" s="578">
        <v>5.1079011486251304E-2</v>
      </c>
      <c r="BV22" s="578">
        <v>3.3182859452903925E-2</v>
      </c>
      <c r="BW22" s="578">
        <v>9.662556466888346E-2</v>
      </c>
      <c r="BX22" s="578">
        <v>0</v>
      </c>
      <c r="BY22" s="578">
        <v>0</v>
      </c>
      <c r="BZ22" s="578">
        <v>0</v>
      </c>
      <c r="CA22" s="578">
        <v>0</v>
      </c>
      <c r="CB22" s="578">
        <v>1.4892032762472079E-4</v>
      </c>
      <c r="CC22" s="578">
        <v>0</v>
      </c>
      <c r="CD22" s="578">
        <v>0.24826161566050473</v>
      </c>
      <c r="CE22" s="578">
        <v>0</v>
      </c>
      <c r="CF22" s="578">
        <v>0</v>
      </c>
      <c r="CG22" s="578">
        <v>7.0933053384215973E-5</v>
      </c>
      <c r="CH22" s="578">
        <v>2.3144665733165149E-5</v>
      </c>
      <c r="CI22" s="578">
        <v>1.4922774641231627E-4</v>
      </c>
      <c r="CJ22" s="578">
        <v>0</v>
      </c>
      <c r="CK22" s="578">
        <v>7.5645254016762985E-6</v>
      </c>
      <c r="CL22" s="578">
        <v>0</v>
      </c>
      <c r="CM22" s="578">
        <v>0</v>
      </c>
      <c r="CN22" s="578">
        <v>0</v>
      </c>
      <c r="CO22" s="578">
        <v>0</v>
      </c>
      <c r="CP22" s="578">
        <v>2.6824753882883125E-5</v>
      </c>
      <c r="CQ22" s="578">
        <v>0</v>
      </c>
      <c r="CR22" s="578">
        <v>0</v>
      </c>
      <c r="CS22" s="578">
        <v>0</v>
      </c>
      <c r="CT22" s="578">
        <v>0</v>
      </c>
      <c r="CU22" s="578">
        <v>0</v>
      </c>
      <c r="CV22" s="578">
        <v>0</v>
      </c>
      <c r="CW22" s="578">
        <v>0</v>
      </c>
      <c r="CX22" s="578">
        <v>6.4248083265515914E-5</v>
      </c>
      <c r="CY22" s="578">
        <v>0</v>
      </c>
      <c r="CZ22" s="578">
        <v>0</v>
      </c>
      <c r="DA22" s="578">
        <v>0</v>
      </c>
      <c r="DB22" s="578">
        <v>3.2490388260139711E-4</v>
      </c>
      <c r="DC22" s="578">
        <v>0</v>
      </c>
      <c r="DD22" s="578">
        <v>0</v>
      </c>
      <c r="DE22" s="578">
        <v>0</v>
      </c>
      <c r="DF22" s="578">
        <v>0</v>
      </c>
      <c r="DG22" s="578">
        <v>0</v>
      </c>
      <c r="DH22" s="578">
        <v>0</v>
      </c>
      <c r="DI22" s="578">
        <v>0</v>
      </c>
      <c r="DJ22" s="578">
        <v>0</v>
      </c>
      <c r="DK22" s="578">
        <v>0</v>
      </c>
      <c r="DL22" s="578">
        <v>0</v>
      </c>
      <c r="DM22" s="578">
        <v>0</v>
      </c>
      <c r="DN22" s="578">
        <v>0</v>
      </c>
      <c r="DO22" s="578">
        <v>0</v>
      </c>
      <c r="DP22" s="578">
        <v>0</v>
      </c>
      <c r="DQ22" s="578">
        <v>0</v>
      </c>
      <c r="DR22" s="578">
        <v>0</v>
      </c>
      <c r="DS22" s="578">
        <v>0</v>
      </c>
      <c r="DT22" s="578">
        <v>0</v>
      </c>
      <c r="DU22" s="578">
        <v>0</v>
      </c>
      <c r="DV22" s="578">
        <v>0</v>
      </c>
      <c r="DW22" s="578">
        <v>0</v>
      </c>
      <c r="DX22" s="578">
        <v>1.1032318564327612E-3</v>
      </c>
      <c r="DY22" s="578">
        <v>0</v>
      </c>
      <c r="DZ22" s="578">
        <v>0</v>
      </c>
      <c r="EA22" s="578">
        <v>0</v>
      </c>
      <c r="EB22" s="578">
        <v>0</v>
      </c>
      <c r="EC22" s="578">
        <v>1.3456192448017812E-4</v>
      </c>
      <c r="ED22" s="578">
        <v>0</v>
      </c>
      <c r="EE22" s="578">
        <v>-1.1544396542324964E-5</v>
      </c>
      <c r="EF22" s="578">
        <v>0</v>
      </c>
      <c r="EG22" s="578">
        <v>0</v>
      </c>
      <c r="EH22" s="578">
        <v>0</v>
      </c>
      <c r="EI22" s="578">
        <v>0</v>
      </c>
      <c r="EJ22" s="578">
        <v>0</v>
      </c>
      <c r="EK22" s="578">
        <v>0</v>
      </c>
      <c r="EL22" s="578">
        <v>0</v>
      </c>
      <c r="EM22" s="578">
        <v>0</v>
      </c>
      <c r="EN22" s="578">
        <v>0</v>
      </c>
      <c r="EO22" s="578">
        <v>0</v>
      </c>
      <c r="EP22" s="578">
        <v>0</v>
      </c>
      <c r="EQ22" s="578">
        <v>0</v>
      </c>
      <c r="ER22" s="578">
        <v>0</v>
      </c>
      <c r="ES22" s="578">
        <v>0</v>
      </c>
      <c r="ET22" s="578">
        <v>0</v>
      </c>
      <c r="EU22" s="578">
        <v>0</v>
      </c>
      <c r="EV22" s="578">
        <v>0</v>
      </c>
      <c r="EW22" s="578">
        <v>0</v>
      </c>
      <c r="EX22" s="578">
        <v>0</v>
      </c>
      <c r="EY22" s="578">
        <v>0</v>
      </c>
      <c r="EZ22" s="578">
        <v>0</v>
      </c>
      <c r="FA22" s="578">
        <v>0</v>
      </c>
      <c r="FB22" s="578">
        <v>0</v>
      </c>
      <c r="FC22" s="578">
        <v>0</v>
      </c>
      <c r="FD22" s="578">
        <v>0</v>
      </c>
      <c r="FE22" s="578">
        <v>0</v>
      </c>
      <c r="FF22" s="578">
        <v>0</v>
      </c>
      <c r="FG22" s="578">
        <v>0</v>
      </c>
      <c r="FH22" s="578">
        <v>0</v>
      </c>
      <c r="FI22" s="578">
        <v>2.9361504718393808E-6</v>
      </c>
      <c r="FJ22" s="578">
        <v>0</v>
      </c>
      <c r="FK22" s="578">
        <v>0</v>
      </c>
      <c r="FL22" s="578">
        <v>0</v>
      </c>
      <c r="FM22" s="578">
        <v>0</v>
      </c>
      <c r="FN22" s="578">
        <v>0</v>
      </c>
      <c r="FO22" s="578">
        <v>0</v>
      </c>
      <c r="FP22" s="578">
        <v>0</v>
      </c>
      <c r="FQ22" s="578">
        <v>0</v>
      </c>
      <c r="FR22" s="578">
        <v>0</v>
      </c>
      <c r="FS22" s="578">
        <v>0</v>
      </c>
      <c r="FT22" s="578">
        <v>0</v>
      </c>
      <c r="FU22" s="578">
        <v>0</v>
      </c>
      <c r="FV22" s="578">
        <v>0</v>
      </c>
      <c r="FW22" s="578">
        <v>0</v>
      </c>
      <c r="FX22" s="578">
        <v>0</v>
      </c>
      <c r="FY22" s="578">
        <v>0</v>
      </c>
      <c r="FZ22" s="578">
        <v>-4.7643178579626914E-5</v>
      </c>
      <c r="GA22" s="578">
        <v>-2.940566255041846E-5</v>
      </c>
      <c r="GB22" s="578">
        <v>0</v>
      </c>
      <c r="GC22" s="578">
        <v>2.7267409001219596E-5</v>
      </c>
      <c r="GD22" s="578">
        <v>7.7248346717449052E-5</v>
      </c>
      <c r="GE22" s="578">
        <v>0</v>
      </c>
      <c r="GF22" s="578">
        <v>2.1758743299899166E-4</v>
      </c>
      <c r="GG22" s="579">
        <v>3.3111583247969149E-3</v>
      </c>
      <c r="GH22" s="572"/>
    </row>
    <row r="23" spans="1:190">
      <c r="A23" s="572" t="s">
        <v>9254</v>
      </c>
      <c r="B23" s="577" t="s">
        <v>111</v>
      </c>
      <c r="C23" s="573" t="s">
        <v>9501</v>
      </c>
      <c r="D23" s="578">
        <v>0</v>
      </c>
      <c r="E23" s="578">
        <v>0</v>
      </c>
      <c r="F23" s="578">
        <v>0</v>
      </c>
      <c r="G23" s="578">
        <v>0</v>
      </c>
      <c r="H23" s="578">
        <v>0</v>
      </c>
      <c r="I23" s="578">
        <v>0</v>
      </c>
      <c r="J23" s="578">
        <v>2.5769459968754527E-4</v>
      </c>
      <c r="K23" s="578">
        <v>0</v>
      </c>
      <c r="L23" s="578">
        <v>0</v>
      </c>
      <c r="M23" s="578">
        <v>0</v>
      </c>
      <c r="N23" s="578">
        <v>0</v>
      </c>
      <c r="O23" s="578">
        <v>0</v>
      </c>
      <c r="P23" s="578">
        <v>0</v>
      </c>
      <c r="Q23" s="578">
        <v>0</v>
      </c>
      <c r="R23" s="578">
        <v>0</v>
      </c>
      <c r="S23" s="578">
        <v>0</v>
      </c>
      <c r="T23" s="578">
        <v>0.1798794789448995</v>
      </c>
      <c r="U23" s="578">
        <v>4.6861252438697831E-3</v>
      </c>
      <c r="V23" s="578">
        <v>0</v>
      </c>
      <c r="W23" s="578">
        <v>4.2360626003406988E-2</v>
      </c>
      <c r="X23" s="578">
        <v>0</v>
      </c>
      <c r="Y23" s="578">
        <v>2.1247414165447946E-2</v>
      </c>
      <c r="Z23" s="578">
        <v>7.895972965210693E-2</v>
      </c>
      <c r="AA23" s="578">
        <v>1.7613511943865261E-4</v>
      </c>
      <c r="AB23" s="578">
        <v>3.5975619827885233E-2</v>
      </c>
      <c r="AC23" s="578">
        <v>2.1128098816619159E-2</v>
      </c>
      <c r="AD23" s="578">
        <v>0</v>
      </c>
      <c r="AE23" s="578">
        <v>0</v>
      </c>
      <c r="AF23" s="578">
        <v>0</v>
      </c>
      <c r="AG23" s="578">
        <v>0</v>
      </c>
      <c r="AH23" s="578">
        <v>0</v>
      </c>
      <c r="AI23" s="578">
        <v>0</v>
      </c>
      <c r="AJ23" s="578">
        <v>0</v>
      </c>
      <c r="AK23" s="578">
        <v>8.7303566974307803E-4</v>
      </c>
      <c r="AL23" s="578">
        <v>1.7029243937232524E-2</v>
      </c>
      <c r="AM23" s="578">
        <v>0</v>
      </c>
      <c r="AN23" s="578">
        <v>0</v>
      </c>
      <c r="AO23" s="578">
        <v>0</v>
      </c>
      <c r="AP23" s="578">
        <v>0</v>
      </c>
      <c r="AQ23" s="578">
        <v>8.0691881155342212E-4</v>
      </c>
      <c r="AR23" s="578">
        <v>0</v>
      </c>
      <c r="AS23" s="578">
        <v>0</v>
      </c>
      <c r="AT23" s="578">
        <v>0</v>
      </c>
      <c r="AU23" s="578">
        <v>0</v>
      </c>
      <c r="AV23" s="578">
        <v>0</v>
      </c>
      <c r="AW23" s="578">
        <v>0</v>
      </c>
      <c r="AX23" s="578">
        <v>0</v>
      </c>
      <c r="AY23" s="578">
        <v>0</v>
      </c>
      <c r="AZ23" s="578">
        <v>0</v>
      </c>
      <c r="BA23" s="578">
        <v>0</v>
      </c>
      <c r="BB23" s="578">
        <v>0</v>
      </c>
      <c r="BC23" s="578">
        <v>0</v>
      </c>
      <c r="BD23" s="578">
        <v>0</v>
      </c>
      <c r="BE23" s="578">
        <v>3.1872845599230557E-3</v>
      </c>
      <c r="BF23" s="578">
        <v>0</v>
      </c>
      <c r="BG23" s="578">
        <v>0</v>
      </c>
      <c r="BH23" s="578">
        <v>1.0100038476337052E-3</v>
      </c>
      <c r="BI23" s="578">
        <v>0</v>
      </c>
      <c r="BJ23" s="578">
        <v>5.4102869678887919E-3</v>
      </c>
      <c r="BK23" s="578">
        <v>0</v>
      </c>
      <c r="BL23" s="578">
        <v>0</v>
      </c>
      <c r="BM23" s="578">
        <v>0</v>
      </c>
      <c r="BN23" s="578">
        <v>0</v>
      </c>
      <c r="BO23" s="578">
        <v>0</v>
      </c>
      <c r="BP23" s="578">
        <v>0</v>
      </c>
      <c r="BQ23" s="578">
        <v>9.1526178156123073E-2</v>
      </c>
      <c r="BR23" s="578">
        <v>0</v>
      </c>
      <c r="BS23" s="578">
        <v>0</v>
      </c>
      <c r="BT23" s="578">
        <v>0</v>
      </c>
      <c r="BU23" s="578">
        <v>0</v>
      </c>
      <c r="BV23" s="578">
        <v>0</v>
      </c>
      <c r="BW23" s="578">
        <v>0</v>
      </c>
      <c r="BX23" s="578">
        <v>0</v>
      </c>
      <c r="BY23" s="578">
        <v>0</v>
      </c>
      <c r="BZ23" s="578">
        <v>0</v>
      </c>
      <c r="CA23" s="578">
        <v>0</v>
      </c>
      <c r="CB23" s="578">
        <v>0</v>
      </c>
      <c r="CC23" s="578">
        <v>0</v>
      </c>
      <c r="CD23" s="578">
        <v>0</v>
      </c>
      <c r="CE23" s="578">
        <v>0</v>
      </c>
      <c r="CF23" s="578">
        <v>0</v>
      </c>
      <c r="CG23" s="578">
        <v>0</v>
      </c>
      <c r="CH23" s="578">
        <v>0</v>
      </c>
      <c r="CI23" s="578">
        <v>0</v>
      </c>
      <c r="CJ23" s="578">
        <v>0</v>
      </c>
      <c r="CK23" s="578">
        <v>0</v>
      </c>
      <c r="CL23" s="578">
        <v>0</v>
      </c>
      <c r="CM23" s="578">
        <v>0</v>
      </c>
      <c r="CN23" s="578">
        <v>0</v>
      </c>
      <c r="CO23" s="578">
        <v>0</v>
      </c>
      <c r="CP23" s="578">
        <v>0</v>
      </c>
      <c r="CQ23" s="578">
        <v>0</v>
      </c>
      <c r="CR23" s="578">
        <v>0</v>
      </c>
      <c r="CS23" s="578">
        <v>0</v>
      </c>
      <c r="CT23" s="578">
        <v>0</v>
      </c>
      <c r="CU23" s="578">
        <v>0</v>
      </c>
      <c r="CV23" s="578">
        <v>0</v>
      </c>
      <c r="CW23" s="578">
        <v>0</v>
      </c>
      <c r="CX23" s="578">
        <v>0</v>
      </c>
      <c r="CY23" s="578">
        <v>0</v>
      </c>
      <c r="CZ23" s="578">
        <v>0</v>
      </c>
      <c r="DA23" s="578">
        <v>0</v>
      </c>
      <c r="DB23" s="578">
        <v>0</v>
      </c>
      <c r="DC23" s="578">
        <v>0</v>
      </c>
      <c r="DD23" s="578">
        <v>0</v>
      </c>
      <c r="DE23" s="578">
        <v>0</v>
      </c>
      <c r="DF23" s="578">
        <v>0</v>
      </c>
      <c r="DG23" s="578">
        <v>0</v>
      </c>
      <c r="DH23" s="578">
        <v>0</v>
      </c>
      <c r="DI23" s="578">
        <v>0</v>
      </c>
      <c r="DJ23" s="578">
        <v>0</v>
      </c>
      <c r="DK23" s="578">
        <v>0</v>
      </c>
      <c r="DL23" s="578">
        <v>0</v>
      </c>
      <c r="DM23" s="578">
        <v>0</v>
      </c>
      <c r="DN23" s="578">
        <v>0</v>
      </c>
      <c r="DO23" s="578">
        <v>0</v>
      </c>
      <c r="DP23" s="578">
        <v>0</v>
      </c>
      <c r="DQ23" s="578">
        <v>0</v>
      </c>
      <c r="DR23" s="578">
        <v>0</v>
      </c>
      <c r="DS23" s="578">
        <v>0</v>
      </c>
      <c r="DT23" s="578">
        <v>0</v>
      </c>
      <c r="DU23" s="578">
        <v>0</v>
      </c>
      <c r="DV23" s="578">
        <v>0</v>
      </c>
      <c r="DW23" s="578">
        <v>0</v>
      </c>
      <c r="DX23" s="578">
        <v>3.6651813897043951E-3</v>
      </c>
      <c r="DY23" s="578">
        <v>0</v>
      </c>
      <c r="DZ23" s="578">
        <v>0</v>
      </c>
      <c r="EA23" s="578">
        <v>0</v>
      </c>
      <c r="EB23" s="578">
        <v>0</v>
      </c>
      <c r="EC23" s="578">
        <v>0</v>
      </c>
      <c r="ED23" s="578">
        <v>0</v>
      </c>
      <c r="EE23" s="578">
        <v>0</v>
      </c>
      <c r="EF23" s="578">
        <v>0</v>
      </c>
      <c r="EG23" s="578">
        <v>0</v>
      </c>
      <c r="EH23" s="578">
        <v>0</v>
      </c>
      <c r="EI23" s="578">
        <v>0</v>
      </c>
      <c r="EJ23" s="578">
        <v>0</v>
      </c>
      <c r="EK23" s="578">
        <v>0</v>
      </c>
      <c r="EL23" s="578">
        <v>0</v>
      </c>
      <c r="EM23" s="578">
        <v>0</v>
      </c>
      <c r="EN23" s="578">
        <v>0</v>
      </c>
      <c r="EO23" s="578">
        <v>0</v>
      </c>
      <c r="EP23" s="578">
        <v>0</v>
      </c>
      <c r="EQ23" s="578">
        <v>0</v>
      </c>
      <c r="ER23" s="578">
        <v>0</v>
      </c>
      <c r="ES23" s="578">
        <v>0</v>
      </c>
      <c r="ET23" s="578">
        <v>0</v>
      </c>
      <c r="EU23" s="578">
        <v>0</v>
      </c>
      <c r="EV23" s="578">
        <v>0</v>
      </c>
      <c r="EW23" s="578">
        <v>0</v>
      </c>
      <c r="EX23" s="578">
        <v>0</v>
      </c>
      <c r="EY23" s="578">
        <v>0</v>
      </c>
      <c r="EZ23" s="578">
        <v>0</v>
      </c>
      <c r="FA23" s="578">
        <v>0</v>
      </c>
      <c r="FB23" s="578">
        <v>8.09506302343858E-5</v>
      </c>
      <c r="FC23" s="578">
        <v>0</v>
      </c>
      <c r="FD23" s="578">
        <v>0</v>
      </c>
      <c r="FE23" s="578">
        <v>0</v>
      </c>
      <c r="FF23" s="578">
        <v>0</v>
      </c>
      <c r="FG23" s="578">
        <v>0</v>
      </c>
      <c r="FH23" s="578">
        <v>0</v>
      </c>
      <c r="FI23" s="578">
        <v>1.5267982453564781E-4</v>
      </c>
      <c r="FJ23" s="578">
        <v>1.480747435744104E-5</v>
      </c>
      <c r="FK23" s="578">
        <v>3.4857342158165698E-3</v>
      </c>
      <c r="FL23" s="578">
        <v>1.6989022477783587E-4</v>
      </c>
      <c r="FM23" s="578">
        <v>0</v>
      </c>
      <c r="FN23" s="578">
        <v>0</v>
      </c>
      <c r="FO23" s="578">
        <v>9.7888102560192273E-4</v>
      </c>
      <c r="FP23" s="578">
        <v>0</v>
      </c>
      <c r="FQ23" s="578">
        <v>2.846933493629882E-3</v>
      </c>
      <c r="FR23" s="578">
        <v>5.0006887036263166E-3</v>
      </c>
      <c r="FS23" s="578">
        <v>0</v>
      </c>
      <c r="FT23" s="578">
        <v>0</v>
      </c>
      <c r="FU23" s="578">
        <v>0</v>
      </c>
      <c r="FV23" s="578">
        <v>0</v>
      </c>
      <c r="FW23" s="578">
        <v>0</v>
      </c>
      <c r="FX23" s="578">
        <v>0</v>
      </c>
      <c r="FY23" s="578">
        <v>0</v>
      </c>
      <c r="FZ23" s="578">
        <v>1.5860847268963068E-2</v>
      </c>
      <c r="GA23" s="578">
        <v>5.8152148165331707E-2</v>
      </c>
      <c r="GB23" s="578">
        <v>0</v>
      </c>
      <c r="GC23" s="578">
        <v>2.9746264364966834E-5</v>
      </c>
      <c r="GD23" s="578">
        <v>1.9110569253142833E-3</v>
      </c>
      <c r="GE23" s="578">
        <v>0</v>
      </c>
      <c r="GF23" s="578">
        <v>0</v>
      </c>
      <c r="GG23" s="579">
        <v>5.1490336966149583E-3</v>
      </c>
      <c r="GH23" s="572"/>
    </row>
    <row r="24" spans="1:190">
      <c r="A24" s="572" t="s">
        <v>9255</v>
      </c>
      <c r="B24" s="577" t="s">
        <v>125</v>
      </c>
      <c r="C24" s="573" t="s">
        <v>9502</v>
      </c>
      <c r="D24" s="578">
        <v>0</v>
      </c>
      <c r="E24" s="578">
        <v>0</v>
      </c>
      <c r="F24" s="578">
        <v>0</v>
      </c>
      <c r="G24" s="578">
        <v>0</v>
      </c>
      <c r="H24" s="578">
        <v>0</v>
      </c>
      <c r="I24" s="578">
        <v>0</v>
      </c>
      <c r="J24" s="578">
        <v>0</v>
      </c>
      <c r="K24" s="578">
        <v>0</v>
      </c>
      <c r="L24" s="578">
        <v>0</v>
      </c>
      <c r="M24" s="578">
        <v>0</v>
      </c>
      <c r="N24" s="578">
        <v>0</v>
      </c>
      <c r="O24" s="578">
        <v>3.8451432074975915E-2</v>
      </c>
      <c r="P24" s="578">
        <v>5.5248618784530384E-3</v>
      </c>
      <c r="Q24" s="578">
        <v>0</v>
      </c>
      <c r="R24" s="578">
        <v>0</v>
      </c>
      <c r="S24" s="578">
        <v>0</v>
      </c>
      <c r="T24" s="578">
        <v>4.3300977880417131E-4</v>
      </c>
      <c r="U24" s="578">
        <v>0.12412493783711412</v>
      </c>
      <c r="V24" s="578">
        <v>0</v>
      </c>
      <c r="W24" s="578">
        <v>3.8543083691802396E-3</v>
      </c>
      <c r="X24" s="578">
        <v>3.096529839287542E-3</v>
      </c>
      <c r="Y24" s="578">
        <v>5.0466397411513307E-3</v>
      </c>
      <c r="Z24" s="578">
        <v>2.2420730250673052E-2</v>
      </c>
      <c r="AA24" s="578">
        <v>0</v>
      </c>
      <c r="AB24" s="578">
        <v>0</v>
      </c>
      <c r="AC24" s="578">
        <v>5.0444847542541246E-3</v>
      </c>
      <c r="AD24" s="578">
        <v>0</v>
      </c>
      <c r="AE24" s="578">
        <v>0</v>
      </c>
      <c r="AF24" s="578">
        <v>0</v>
      </c>
      <c r="AG24" s="578">
        <v>0</v>
      </c>
      <c r="AH24" s="578">
        <v>0</v>
      </c>
      <c r="AI24" s="578">
        <v>0</v>
      </c>
      <c r="AJ24" s="578">
        <v>0</v>
      </c>
      <c r="AK24" s="578">
        <v>0</v>
      </c>
      <c r="AL24" s="578">
        <v>0</v>
      </c>
      <c r="AM24" s="578">
        <v>0</v>
      </c>
      <c r="AN24" s="578">
        <v>0</v>
      </c>
      <c r="AO24" s="578">
        <v>0</v>
      </c>
      <c r="AP24" s="578">
        <v>0</v>
      </c>
      <c r="AQ24" s="578">
        <v>0</v>
      </c>
      <c r="AR24" s="578">
        <v>0</v>
      </c>
      <c r="AS24" s="578">
        <v>0</v>
      </c>
      <c r="AT24" s="578">
        <v>0</v>
      </c>
      <c r="AU24" s="578">
        <v>0</v>
      </c>
      <c r="AV24" s="578">
        <v>0</v>
      </c>
      <c r="AW24" s="578">
        <v>0</v>
      </c>
      <c r="AX24" s="578">
        <v>0</v>
      </c>
      <c r="AY24" s="578">
        <v>0</v>
      </c>
      <c r="AZ24" s="578">
        <v>0</v>
      </c>
      <c r="BA24" s="578">
        <v>0</v>
      </c>
      <c r="BB24" s="578">
        <v>0</v>
      </c>
      <c r="BC24" s="578">
        <v>0</v>
      </c>
      <c r="BD24" s="578">
        <v>0</v>
      </c>
      <c r="BE24" s="578">
        <v>2.4571577003812103E-5</v>
      </c>
      <c r="BF24" s="578">
        <v>0</v>
      </c>
      <c r="BG24" s="578">
        <v>0</v>
      </c>
      <c r="BH24" s="578">
        <v>0</v>
      </c>
      <c r="BI24" s="578">
        <v>0</v>
      </c>
      <c r="BJ24" s="578">
        <v>0</v>
      </c>
      <c r="BK24" s="578">
        <v>0</v>
      </c>
      <c r="BL24" s="578">
        <v>0</v>
      </c>
      <c r="BM24" s="578">
        <v>0</v>
      </c>
      <c r="BN24" s="578">
        <v>0</v>
      </c>
      <c r="BO24" s="578">
        <v>0</v>
      </c>
      <c r="BP24" s="578">
        <v>0</v>
      </c>
      <c r="BQ24" s="578">
        <v>0</v>
      </c>
      <c r="BR24" s="578">
        <v>0</v>
      </c>
      <c r="BS24" s="578">
        <v>0</v>
      </c>
      <c r="BT24" s="578">
        <v>0</v>
      </c>
      <c r="BU24" s="578">
        <v>0</v>
      </c>
      <c r="BV24" s="578">
        <v>0</v>
      </c>
      <c r="BW24" s="578">
        <v>0</v>
      </c>
      <c r="BX24" s="578">
        <v>0</v>
      </c>
      <c r="BY24" s="578">
        <v>0</v>
      </c>
      <c r="BZ24" s="578">
        <v>0</v>
      </c>
      <c r="CA24" s="578">
        <v>0</v>
      </c>
      <c r="CB24" s="578">
        <v>0</v>
      </c>
      <c r="CC24" s="578">
        <v>0</v>
      </c>
      <c r="CD24" s="578">
        <v>0</v>
      </c>
      <c r="CE24" s="578">
        <v>0</v>
      </c>
      <c r="CF24" s="578">
        <v>0</v>
      </c>
      <c r="CG24" s="578">
        <v>0</v>
      </c>
      <c r="CH24" s="578">
        <v>0</v>
      </c>
      <c r="CI24" s="578">
        <v>0</v>
      </c>
      <c r="CJ24" s="578">
        <v>0</v>
      </c>
      <c r="CK24" s="578">
        <v>0</v>
      </c>
      <c r="CL24" s="578">
        <v>0</v>
      </c>
      <c r="CM24" s="578">
        <v>0</v>
      </c>
      <c r="CN24" s="578">
        <v>0</v>
      </c>
      <c r="CO24" s="578">
        <v>0</v>
      </c>
      <c r="CP24" s="578">
        <v>0</v>
      </c>
      <c r="CQ24" s="578">
        <v>0</v>
      </c>
      <c r="CR24" s="578">
        <v>0</v>
      </c>
      <c r="CS24" s="578">
        <v>0</v>
      </c>
      <c r="CT24" s="578">
        <v>0</v>
      </c>
      <c r="CU24" s="578">
        <v>0</v>
      </c>
      <c r="CV24" s="578">
        <v>0</v>
      </c>
      <c r="CW24" s="578">
        <v>0</v>
      </c>
      <c r="CX24" s="578">
        <v>0</v>
      </c>
      <c r="CY24" s="578">
        <v>0</v>
      </c>
      <c r="CZ24" s="578">
        <v>0</v>
      </c>
      <c r="DA24" s="578">
        <v>0</v>
      </c>
      <c r="DB24" s="578">
        <v>0</v>
      </c>
      <c r="DC24" s="578">
        <v>0</v>
      </c>
      <c r="DD24" s="578">
        <v>0</v>
      </c>
      <c r="DE24" s="578">
        <v>0</v>
      </c>
      <c r="DF24" s="578">
        <v>0</v>
      </c>
      <c r="DG24" s="578">
        <v>0</v>
      </c>
      <c r="DH24" s="578">
        <v>0</v>
      </c>
      <c r="DI24" s="578">
        <v>0</v>
      </c>
      <c r="DJ24" s="578">
        <v>0</v>
      </c>
      <c r="DK24" s="578">
        <v>0</v>
      </c>
      <c r="DL24" s="578">
        <v>0</v>
      </c>
      <c r="DM24" s="578">
        <v>0</v>
      </c>
      <c r="DN24" s="578">
        <v>0</v>
      </c>
      <c r="DO24" s="578">
        <v>0</v>
      </c>
      <c r="DP24" s="578">
        <v>0</v>
      </c>
      <c r="DQ24" s="578">
        <v>0</v>
      </c>
      <c r="DR24" s="578">
        <v>0</v>
      </c>
      <c r="DS24" s="578">
        <v>0</v>
      </c>
      <c r="DT24" s="578">
        <v>0</v>
      </c>
      <c r="DU24" s="578">
        <v>0</v>
      </c>
      <c r="DV24" s="578">
        <v>0</v>
      </c>
      <c r="DW24" s="578">
        <v>0</v>
      </c>
      <c r="DX24" s="578">
        <v>0</v>
      </c>
      <c r="DY24" s="578">
        <v>0</v>
      </c>
      <c r="DZ24" s="578">
        <v>0</v>
      </c>
      <c r="EA24" s="578">
        <v>0</v>
      </c>
      <c r="EB24" s="578">
        <v>0</v>
      </c>
      <c r="EC24" s="578">
        <v>0</v>
      </c>
      <c r="ED24" s="578">
        <v>0</v>
      </c>
      <c r="EE24" s="578">
        <v>0</v>
      </c>
      <c r="EF24" s="578">
        <v>0</v>
      </c>
      <c r="EG24" s="578">
        <v>0</v>
      </c>
      <c r="EH24" s="578">
        <v>0</v>
      </c>
      <c r="EI24" s="578">
        <v>0</v>
      </c>
      <c r="EJ24" s="578">
        <v>0</v>
      </c>
      <c r="EK24" s="578">
        <v>0</v>
      </c>
      <c r="EL24" s="578">
        <v>0</v>
      </c>
      <c r="EM24" s="578">
        <v>0</v>
      </c>
      <c r="EN24" s="578">
        <v>0</v>
      </c>
      <c r="EO24" s="578">
        <v>0</v>
      </c>
      <c r="EP24" s="578">
        <v>0</v>
      </c>
      <c r="EQ24" s="578">
        <v>0</v>
      </c>
      <c r="ER24" s="578">
        <v>0</v>
      </c>
      <c r="ES24" s="578">
        <v>0</v>
      </c>
      <c r="ET24" s="578">
        <v>0</v>
      </c>
      <c r="EU24" s="578">
        <v>0</v>
      </c>
      <c r="EV24" s="578">
        <v>0</v>
      </c>
      <c r="EW24" s="578">
        <v>0</v>
      </c>
      <c r="EX24" s="578">
        <v>0</v>
      </c>
      <c r="EY24" s="578">
        <v>0</v>
      </c>
      <c r="EZ24" s="578">
        <v>0</v>
      </c>
      <c r="FA24" s="578">
        <v>0</v>
      </c>
      <c r="FB24" s="578">
        <v>2.023765755859645E-5</v>
      </c>
      <c r="FC24" s="578">
        <v>0</v>
      </c>
      <c r="FD24" s="578">
        <v>0</v>
      </c>
      <c r="FE24" s="578">
        <v>0</v>
      </c>
      <c r="FF24" s="578">
        <v>0</v>
      </c>
      <c r="FG24" s="578">
        <v>0</v>
      </c>
      <c r="FH24" s="578">
        <v>0</v>
      </c>
      <c r="FI24" s="578">
        <v>1.2625447028909338E-4</v>
      </c>
      <c r="FJ24" s="578">
        <v>3.4171094671017786E-6</v>
      </c>
      <c r="FK24" s="578">
        <v>6.0908833000995484E-4</v>
      </c>
      <c r="FL24" s="578">
        <v>3.9205436487192888E-5</v>
      </c>
      <c r="FM24" s="578">
        <v>0</v>
      </c>
      <c r="FN24" s="578">
        <v>0</v>
      </c>
      <c r="FO24" s="578">
        <v>6.0158849069617403E-4</v>
      </c>
      <c r="FP24" s="578">
        <v>0</v>
      </c>
      <c r="FQ24" s="578">
        <v>2.5268969816382532E-3</v>
      </c>
      <c r="FR24" s="578">
        <v>4.5127596937953639E-3</v>
      </c>
      <c r="FS24" s="578">
        <v>0</v>
      </c>
      <c r="FT24" s="578">
        <v>0</v>
      </c>
      <c r="FU24" s="578">
        <v>0</v>
      </c>
      <c r="FV24" s="578">
        <v>0</v>
      </c>
      <c r="FW24" s="578">
        <v>0</v>
      </c>
      <c r="FX24" s="578">
        <v>0</v>
      </c>
      <c r="FY24" s="578">
        <v>0</v>
      </c>
      <c r="FZ24" s="578">
        <v>8.4718233910682037E-3</v>
      </c>
      <c r="GA24" s="578">
        <v>2.6026461828999536E-2</v>
      </c>
      <c r="GB24" s="578">
        <v>0</v>
      </c>
      <c r="GC24" s="578">
        <v>1.2394276818736181E-5</v>
      </c>
      <c r="GD24" s="578">
        <v>8.3965594258096805E-4</v>
      </c>
      <c r="GE24" s="578">
        <v>0</v>
      </c>
      <c r="GF24" s="578">
        <v>0</v>
      </c>
      <c r="GG24" s="579">
        <v>1.6688240010439808E-3</v>
      </c>
      <c r="GH24" s="572"/>
    </row>
    <row r="25" spans="1:190">
      <c r="A25" s="572" t="s">
        <v>9256</v>
      </c>
      <c r="B25" s="577" t="s">
        <v>134</v>
      </c>
      <c r="C25" s="573" t="s">
        <v>9503</v>
      </c>
      <c r="D25" s="578">
        <v>0</v>
      </c>
      <c r="E25" s="578">
        <v>0</v>
      </c>
      <c r="F25" s="578">
        <v>0</v>
      </c>
      <c r="G25" s="578">
        <v>0</v>
      </c>
      <c r="H25" s="578">
        <v>0</v>
      </c>
      <c r="I25" s="578">
        <v>0</v>
      </c>
      <c r="J25" s="578">
        <v>1.4012143858010276E-3</v>
      </c>
      <c r="K25" s="578">
        <v>0</v>
      </c>
      <c r="L25" s="578">
        <v>0</v>
      </c>
      <c r="M25" s="578">
        <v>0</v>
      </c>
      <c r="N25" s="578">
        <v>1.9217081850533807E-2</v>
      </c>
      <c r="O25" s="578">
        <v>0</v>
      </c>
      <c r="P25" s="578">
        <v>0</v>
      </c>
      <c r="Q25" s="578">
        <v>0</v>
      </c>
      <c r="R25" s="578">
        <v>0</v>
      </c>
      <c r="S25" s="578">
        <v>0</v>
      </c>
      <c r="T25" s="578">
        <v>0</v>
      </c>
      <c r="U25" s="578">
        <v>3.5385027351669791E-4</v>
      </c>
      <c r="V25" s="578">
        <v>2.7597063475484199E-2</v>
      </c>
      <c r="W25" s="578">
        <v>9.0628331923967798E-2</v>
      </c>
      <c r="X25" s="578">
        <v>2.3032040126932132E-4</v>
      </c>
      <c r="Y25" s="578">
        <v>6.512893179458812E-3</v>
      </c>
      <c r="Z25" s="578">
        <v>5.5317709773269594E-2</v>
      </c>
      <c r="AA25" s="578">
        <v>4.5123913436729411E-2</v>
      </c>
      <c r="AB25" s="578">
        <v>0</v>
      </c>
      <c r="AC25" s="578">
        <v>4.0217672972272613E-2</v>
      </c>
      <c r="AD25" s="578">
        <v>0</v>
      </c>
      <c r="AE25" s="578">
        <v>0</v>
      </c>
      <c r="AF25" s="578">
        <v>0</v>
      </c>
      <c r="AG25" s="578">
        <v>0</v>
      </c>
      <c r="AH25" s="578">
        <v>0</v>
      </c>
      <c r="AI25" s="578">
        <v>0</v>
      </c>
      <c r="AJ25" s="578">
        <v>0</v>
      </c>
      <c r="AK25" s="578">
        <v>0</v>
      </c>
      <c r="AL25" s="578">
        <v>0</v>
      </c>
      <c r="AM25" s="578">
        <v>1.8367581219148204E-3</v>
      </c>
      <c r="AN25" s="578">
        <v>8.6266390614216703E-5</v>
      </c>
      <c r="AO25" s="578">
        <v>0</v>
      </c>
      <c r="AP25" s="578">
        <v>0</v>
      </c>
      <c r="AQ25" s="578">
        <v>0</v>
      </c>
      <c r="AR25" s="578">
        <v>0</v>
      </c>
      <c r="AS25" s="578">
        <v>0</v>
      </c>
      <c r="AT25" s="578">
        <v>0</v>
      </c>
      <c r="AU25" s="578">
        <v>0</v>
      </c>
      <c r="AV25" s="578">
        <v>0</v>
      </c>
      <c r="AW25" s="578">
        <v>0</v>
      </c>
      <c r="AX25" s="578">
        <v>0</v>
      </c>
      <c r="AY25" s="578">
        <v>0</v>
      </c>
      <c r="AZ25" s="578">
        <v>0</v>
      </c>
      <c r="BA25" s="578">
        <v>0</v>
      </c>
      <c r="BB25" s="578">
        <v>7.0829054077982783E-5</v>
      </c>
      <c r="BC25" s="578">
        <v>0</v>
      </c>
      <c r="BD25" s="578">
        <v>0</v>
      </c>
      <c r="BE25" s="578">
        <v>0</v>
      </c>
      <c r="BF25" s="578">
        <v>0</v>
      </c>
      <c r="BG25" s="578">
        <v>0</v>
      </c>
      <c r="BH25" s="578">
        <v>0</v>
      </c>
      <c r="BI25" s="578">
        <v>0</v>
      </c>
      <c r="BJ25" s="578">
        <v>7.0102803699778564E-5</v>
      </c>
      <c r="BK25" s="578">
        <v>0</v>
      </c>
      <c r="BL25" s="578">
        <v>0</v>
      </c>
      <c r="BM25" s="578">
        <v>0</v>
      </c>
      <c r="BN25" s="578">
        <v>0</v>
      </c>
      <c r="BO25" s="578">
        <v>0</v>
      </c>
      <c r="BP25" s="578">
        <v>0</v>
      </c>
      <c r="BQ25" s="578">
        <v>0</v>
      </c>
      <c r="BR25" s="578">
        <v>0</v>
      </c>
      <c r="BS25" s="578">
        <v>0</v>
      </c>
      <c r="BT25" s="578">
        <v>0</v>
      </c>
      <c r="BU25" s="578">
        <v>0</v>
      </c>
      <c r="BV25" s="578">
        <v>0</v>
      </c>
      <c r="BW25" s="578">
        <v>0</v>
      </c>
      <c r="BX25" s="578">
        <v>0</v>
      </c>
      <c r="BY25" s="578">
        <v>0</v>
      </c>
      <c r="BZ25" s="578">
        <v>0</v>
      </c>
      <c r="CA25" s="578">
        <v>0</v>
      </c>
      <c r="CB25" s="578">
        <v>0</v>
      </c>
      <c r="CC25" s="578">
        <v>0</v>
      </c>
      <c r="CD25" s="578">
        <v>0</v>
      </c>
      <c r="CE25" s="578">
        <v>0</v>
      </c>
      <c r="CF25" s="578">
        <v>0</v>
      </c>
      <c r="CG25" s="578">
        <v>0</v>
      </c>
      <c r="CH25" s="578">
        <v>0</v>
      </c>
      <c r="CI25" s="578">
        <v>0</v>
      </c>
      <c r="CJ25" s="578">
        <v>0</v>
      </c>
      <c r="CK25" s="578">
        <v>0</v>
      </c>
      <c r="CL25" s="578">
        <v>0</v>
      </c>
      <c r="CM25" s="578">
        <v>0</v>
      </c>
      <c r="CN25" s="578">
        <v>0</v>
      </c>
      <c r="CO25" s="578">
        <v>0</v>
      </c>
      <c r="CP25" s="578">
        <v>0</v>
      </c>
      <c r="CQ25" s="578">
        <v>0</v>
      </c>
      <c r="CR25" s="578">
        <v>0</v>
      </c>
      <c r="CS25" s="578">
        <v>0</v>
      </c>
      <c r="CT25" s="578">
        <v>0</v>
      </c>
      <c r="CU25" s="578">
        <v>0</v>
      </c>
      <c r="CV25" s="578">
        <v>0</v>
      </c>
      <c r="CW25" s="578">
        <v>0</v>
      </c>
      <c r="CX25" s="578">
        <v>0</v>
      </c>
      <c r="CY25" s="578">
        <v>0</v>
      </c>
      <c r="CZ25" s="578">
        <v>0</v>
      </c>
      <c r="DA25" s="578">
        <v>0</v>
      </c>
      <c r="DB25" s="578">
        <v>0</v>
      </c>
      <c r="DC25" s="578">
        <v>0</v>
      </c>
      <c r="DD25" s="578">
        <v>0</v>
      </c>
      <c r="DE25" s="578">
        <v>0</v>
      </c>
      <c r="DF25" s="578">
        <v>0</v>
      </c>
      <c r="DG25" s="578">
        <v>0</v>
      </c>
      <c r="DH25" s="578">
        <v>0</v>
      </c>
      <c r="DI25" s="578">
        <v>0</v>
      </c>
      <c r="DJ25" s="578">
        <v>0</v>
      </c>
      <c r="DK25" s="578">
        <v>0</v>
      </c>
      <c r="DL25" s="578">
        <v>0</v>
      </c>
      <c r="DM25" s="578">
        <v>0</v>
      </c>
      <c r="DN25" s="578">
        <v>0</v>
      </c>
      <c r="DO25" s="578">
        <v>0</v>
      </c>
      <c r="DP25" s="578">
        <v>0</v>
      </c>
      <c r="DQ25" s="578">
        <v>0</v>
      </c>
      <c r="DR25" s="578">
        <v>0</v>
      </c>
      <c r="DS25" s="578">
        <v>0</v>
      </c>
      <c r="DT25" s="578">
        <v>0</v>
      </c>
      <c r="DU25" s="578">
        <v>0</v>
      </c>
      <c r="DV25" s="578">
        <v>0</v>
      </c>
      <c r="DW25" s="578">
        <v>0</v>
      </c>
      <c r="DX25" s="578">
        <v>6.129065869070895E-6</v>
      </c>
      <c r="DY25" s="578">
        <v>0</v>
      </c>
      <c r="DZ25" s="578">
        <v>0</v>
      </c>
      <c r="EA25" s="578">
        <v>0</v>
      </c>
      <c r="EB25" s="578">
        <v>0</v>
      </c>
      <c r="EC25" s="578">
        <v>0</v>
      </c>
      <c r="ED25" s="578">
        <v>0</v>
      </c>
      <c r="EE25" s="578">
        <v>0</v>
      </c>
      <c r="EF25" s="578">
        <v>0</v>
      </c>
      <c r="EG25" s="578">
        <v>0</v>
      </c>
      <c r="EH25" s="578">
        <v>0</v>
      </c>
      <c r="EI25" s="578">
        <v>0</v>
      </c>
      <c r="EJ25" s="578">
        <v>0</v>
      </c>
      <c r="EK25" s="578">
        <v>0</v>
      </c>
      <c r="EL25" s="578">
        <v>0</v>
      </c>
      <c r="EM25" s="578">
        <v>0</v>
      </c>
      <c r="EN25" s="578">
        <v>0</v>
      </c>
      <c r="EO25" s="578">
        <v>0</v>
      </c>
      <c r="EP25" s="578">
        <v>0</v>
      </c>
      <c r="EQ25" s="578">
        <v>0</v>
      </c>
      <c r="ER25" s="578">
        <v>0</v>
      </c>
      <c r="ES25" s="578">
        <v>0</v>
      </c>
      <c r="ET25" s="578">
        <v>0</v>
      </c>
      <c r="EU25" s="578">
        <v>0</v>
      </c>
      <c r="EV25" s="578">
        <v>0</v>
      </c>
      <c r="EW25" s="578">
        <v>0</v>
      </c>
      <c r="EX25" s="578">
        <v>0</v>
      </c>
      <c r="EY25" s="578">
        <v>0</v>
      </c>
      <c r="EZ25" s="578">
        <v>0</v>
      </c>
      <c r="FA25" s="578">
        <v>0</v>
      </c>
      <c r="FB25" s="578">
        <v>3.7102372190760157E-5</v>
      </c>
      <c r="FC25" s="578">
        <v>0</v>
      </c>
      <c r="FD25" s="578">
        <v>0</v>
      </c>
      <c r="FE25" s="578">
        <v>0</v>
      </c>
      <c r="FF25" s="578">
        <v>0</v>
      </c>
      <c r="FG25" s="578">
        <v>0</v>
      </c>
      <c r="FH25" s="578">
        <v>0</v>
      </c>
      <c r="FI25" s="578">
        <v>1.0863756745805709E-4</v>
      </c>
      <c r="FJ25" s="578">
        <v>0</v>
      </c>
      <c r="FK25" s="578">
        <v>5.3282518351455155E-4</v>
      </c>
      <c r="FL25" s="578">
        <v>0</v>
      </c>
      <c r="FM25" s="578">
        <v>0</v>
      </c>
      <c r="FN25" s="578">
        <v>0</v>
      </c>
      <c r="FO25" s="578">
        <v>3.837292841889176E-4</v>
      </c>
      <c r="FP25" s="578">
        <v>0</v>
      </c>
      <c r="FQ25" s="578">
        <v>1.0519461002855281E-3</v>
      </c>
      <c r="FR25" s="578">
        <v>2.864540167763534E-3</v>
      </c>
      <c r="FS25" s="578">
        <v>7.2321578740819641E-4</v>
      </c>
      <c r="FT25" s="578">
        <v>0</v>
      </c>
      <c r="FU25" s="578">
        <v>0</v>
      </c>
      <c r="FV25" s="578">
        <v>0</v>
      </c>
      <c r="FW25" s="578">
        <v>0</v>
      </c>
      <c r="FX25" s="578">
        <v>0</v>
      </c>
      <c r="FY25" s="578">
        <v>0</v>
      </c>
      <c r="FZ25" s="578">
        <v>5.8427861730833367E-3</v>
      </c>
      <c r="GA25" s="578">
        <v>1.1371006343454872E-2</v>
      </c>
      <c r="GB25" s="578">
        <v>0</v>
      </c>
      <c r="GC25" s="578">
        <v>0</v>
      </c>
      <c r="GD25" s="578">
        <v>6.079109024286209E-4</v>
      </c>
      <c r="GE25" s="578">
        <v>0</v>
      </c>
      <c r="GF25" s="578">
        <v>0</v>
      </c>
      <c r="GG25" s="579">
        <v>2.211682707466793E-3</v>
      </c>
      <c r="GH25" s="572"/>
    </row>
    <row r="26" spans="1:190">
      <c r="A26" s="572" t="s">
        <v>9257</v>
      </c>
      <c r="B26" s="577" t="s">
        <v>138</v>
      </c>
      <c r="C26" s="573" t="s">
        <v>9504</v>
      </c>
      <c r="D26" s="578">
        <v>0</v>
      </c>
      <c r="E26" s="578">
        <v>0</v>
      </c>
      <c r="F26" s="578">
        <v>0</v>
      </c>
      <c r="G26" s="578">
        <v>0</v>
      </c>
      <c r="H26" s="578">
        <v>0</v>
      </c>
      <c r="I26" s="578">
        <v>0</v>
      </c>
      <c r="J26" s="578">
        <v>0</v>
      </c>
      <c r="K26" s="578">
        <v>0</v>
      </c>
      <c r="L26" s="578">
        <v>0</v>
      </c>
      <c r="M26" s="578">
        <v>0</v>
      </c>
      <c r="N26" s="578">
        <v>0</v>
      </c>
      <c r="O26" s="578">
        <v>0</v>
      </c>
      <c r="P26" s="578">
        <v>0</v>
      </c>
      <c r="Q26" s="578">
        <v>0</v>
      </c>
      <c r="R26" s="578">
        <v>0</v>
      </c>
      <c r="S26" s="578">
        <v>0</v>
      </c>
      <c r="T26" s="578">
        <v>0</v>
      </c>
      <c r="U26" s="578">
        <v>0</v>
      </c>
      <c r="V26" s="578">
        <v>0</v>
      </c>
      <c r="W26" s="578">
        <v>1.4197825900462027E-2</v>
      </c>
      <c r="X26" s="578">
        <v>0</v>
      </c>
      <c r="Y26" s="578">
        <v>0</v>
      </c>
      <c r="Z26" s="578">
        <v>6.5761749208845895E-4</v>
      </c>
      <c r="AA26" s="578">
        <v>0</v>
      </c>
      <c r="AB26" s="578">
        <v>0</v>
      </c>
      <c r="AC26" s="578">
        <v>2.2458322536062883E-4</v>
      </c>
      <c r="AD26" s="578">
        <v>0</v>
      </c>
      <c r="AE26" s="578">
        <v>0</v>
      </c>
      <c r="AF26" s="578">
        <v>0</v>
      </c>
      <c r="AG26" s="578">
        <v>0</v>
      </c>
      <c r="AH26" s="578">
        <v>0</v>
      </c>
      <c r="AI26" s="578">
        <v>0</v>
      </c>
      <c r="AJ26" s="578">
        <v>0</v>
      </c>
      <c r="AK26" s="578">
        <v>0</v>
      </c>
      <c r="AL26" s="578">
        <v>0</v>
      </c>
      <c r="AM26" s="578">
        <v>0</v>
      </c>
      <c r="AN26" s="578">
        <v>0</v>
      </c>
      <c r="AO26" s="578">
        <v>0</v>
      </c>
      <c r="AP26" s="578">
        <v>0</v>
      </c>
      <c r="AQ26" s="578">
        <v>0</v>
      </c>
      <c r="AR26" s="578">
        <v>0</v>
      </c>
      <c r="AS26" s="578">
        <v>0</v>
      </c>
      <c r="AT26" s="578">
        <v>0</v>
      </c>
      <c r="AU26" s="578">
        <v>0</v>
      </c>
      <c r="AV26" s="578">
        <v>0</v>
      </c>
      <c r="AW26" s="578">
        <v>0</v>
      </c>
      <c r="AX26" s="578">
        <v>0</v>
      </c>
      <c r="AY26" s="578">
        <v>0</v>
      </c>
      <c r="AZ26" s="578">
        <v>0</v>
      </c>
      <c r="BA26" s="578">
        <v>0</v>
      </c>
      <c r="BB26" s="578">
        <v>0</v>
      </c>
      <c r="BC26" s="578">
        <v>0</v>
      </c>
      <c r="BD26" s="578">
        <v>0</v>
      </c>
      <c r="BE26" s="578">
        <v>0</v>
      </c>
      <c r="BF26" s="578">
        <v>0</v>
      </c>
      <c r="BG26" s="578">
        <v>0</v>
      </c>
      <c r="BH26" s="578">
        <v>0</v>
      </c>
      <c r="BI26" s="578">
        <v>0</v>
      </c>
      <c r="BJ26" s="578">
        <v>0</v>
      </c>
      <c r="BK26" s="578">
        <v>0</v>
      </c>
      <c r="BL26" s="578">
        <v>0</v>
      </c>
      <c r="BM26" s="578">
        <v>0</v>
      </c>
      <c r="BN26" s="578">
        <v>0</v>
      </c>
      <c r="BO26" s="578">
        <v>0</v>
      </c>
      <c r="BP26" s="578">
        <v>0</v>
      </c>
      <c r="BQ26" s="578">
        <v>0</v>
      </c>
      <c r="BR26" s="578">
        <v>0</v>
      </c>
      <c r="BS26" s="578">
        <v>0</v>
      </c>
      <c r="BT26" s="578">
        <v>0</v>
      </c>
      <c r="BU26" s="578">
        <v>0</v>
      </c>
      <c r="BV26" s="578">
        <v>0</v>
      </c>
      <c r="BW26" s="578">
        <v>0</v>
      </c>
      <c r="BX26" s="578">
        <v>0</v>
      </c>
      <c r="BY26" s="578">
        <v>0</v>
      </c>
      <c r="BZ26" s="578">
        <v>0</v>
      </c>
      <c r="CA26" s="578">
        <v>0</v>
      </c>
      <c r="CB26" s="578">
        <v>0</v>
      </c>
      <c r="CC26" s="578">
        <v>0</v>
      </c>
      <c r="CD26" s="578">
        <v>0</v>
      </c>
      <c r="CE26" s="578">
        <v>0</v>
      </c>
      <c r="CF26" s="578">
        <v>0</v>
      </c>
      <c r="CG26" s="578">
        <v>0</v>
      </c>
      <c r="CH26" s="578">
        <v>0</v>
      </c>
      <c r="CI26" s="578">
        <v>0</v>
      </c>
      <c r="CJ26" s="578">
        <v>0</v>
      </c>
      <c r="CK26" s="578">
        <v>0</v>
      </c>
      <c r="CL26" s="578">
        <v>0</v>
      </c>
      <c r="CM26" s="578">
        <v>0</v>
      </c>
      <c r="CN26" s="578">
        <v>0</v>
      </c>
      <c r="CO26" s="578">
        <v>0</v>
      </c>
      <c r="CP26" s="578">
        <v>0</v>
      </c>
      <c r="CQ26" s="578">
        <v>0</v>
      </c>
      <c r="CR26" s="578">
        <v>0</v>
      </c>
      <c r="CS26" s="578">
        <v>0</v>
      </c>
      <c r="CT26" s="578">
        <v>0</v>
      </c>
      <c r="CU26" s="578">
        <v>0</v>
      </c>
      <c r="CV26" s="578">
        <v>0</v>
      </c>
      <c r="CW26" s="578">
        <v>0</v>
      </c>
      <c r="CX26" s="578">
        <v>0</v>
      </c>
      <c r="CY26" s="578">
        <v>0</v>
      </c>
      <c r="CZ26" s="578">
        <v>0</v>
      </c>
      <c r="DA26" s="578">
        <v>0</v>
      </c>
      <c r="DB26" s="578">
        <v>0</v>
      </c>
      <c r="DC26" s="578">
        <v>0</v>
      </c>
      <c r="DD26" s="578">
        <v>0</v>
      </c>
      <c r="DE26" s="578">
        <v>0</v>
      </c>
      <c r="DF26" s="578">
        <v>0</v>
      </c>
      <c r="DG26" s="578">
        <v>0</v>
      </c>
      <c r="DH26" s="578">
        <v>0</v>
      </c>
      <c r="DI26" s="578">
        <v>0</v>
      </c>
      <c r="DJ26" s="578">
        <v>0</v>
      </c>
      <c r="DK26" s="578">
        <v>0</v>
      </c>
      <c r="DL26" s="578">
        <v>0</v>
      </c>
      <c r="DM26" s="578">
        <v>0</v>
      </c>
      <c r="DN26" s="578">
        <v>0</v>
      </c>
      <c r="DO26" s="578">
        <v>0</v>
      </c>
      <c r="DP26" s="578">
        <v>0</v>
      </c>
      <c r="DQ26" s="578">
        <v>0</v>
      </c>
      <c r="DR26" s="578">
        <v>0</v>
      </c>
      <c r="DS26" s="578">
        <v>0</v>
      </c>
      <c r="DT26" s="578">
        <v>0</v>
      </c>
      <c r="DU26" s="578">
        <v>0</v>
      </c>
      <c r="DV26" s="578">
        <v>0</v>
      </c>
      <c r="DW26" s="578">
        <v>0</v>
      </c>
      <c r="DX26" s="578">
        <v>0</v>
      </c>
      <c r="DY26" s="578">
        <v>0</v>
      </c>
      <c r="DZ26" s="578">
        <v>0</v>
      </c>
      <c r="EA26" s="578">
        <v>0</v>
      </c>
      <c r="EB26" s="578">
        <v>0</v>
      </c>
      <c r="EC26" s="578">
        <v>0</v>
      </c>
      <c r="ED26" s="578">
        <v>0</v>
      </c>
      <c r="EE26" s="578">
        <v>0</v>
      </c>
      <c r="EF26" s="578">
        <v>0</v>
      </c>
      <c r="EG26" s="578">
        <v>0</v>
      </c>
      <c r="EH26" s="578">
        <v>0</v>
      </c>
      <c r="EI26" s="578">
        <v>0</v>
      </c>
      <c r="EJ26" s="578">
        <v>0</v>
      </c>
      <c r="EK26" s="578">
        <v>0</v>
      </c>
      <c r="EL26" s="578">
        <v>0</v>
      </c>
      <c r="EM26" s="578">
        <v>0</v>
      </c>
      <c r="EN26" s="578">
        <v>0</v>
      </c>
      <c r="EO26" s="578">
        <v>0</v>
      </c>
      <c r="EP26" s="578">
        <v>0</v>
      </c>
      <c r="EQ26" s="578">
        <v>0</v>
      </c>
      <c r="ER26" s="578">
        <v>0</v>
      </c>
      <c r="ES26" s="578">
        <v>0</v>
      </c>
      <c r="ET26" s="578">
        <v>0</v>
      </c>
      <c r="EU26" s="578">
        <v>0</v>
      </c>
      <c r="EV26" s="578">
        <v>0</v>
      </c>
      <c r="EW26" s="578">
        <v>0</v>
      </c>
      <c r="EX26" s="578">
        <v>0</v>
      </c>
      <c r="EY26" s="578">
        <v>0</v>
      </c>
      <c r="EZ26" s="578">
        <v>0</v>
      </c>
      <c r="FA26" s="578">
        <v>0</v>
      </c>
      <c r="FB26" s="578">
        <v>5.0594143896491128E-5</v>
      </c>
      <c r="FC26" s="578">
        <v>0</v>
      </c>
      <c r="FD26" s="578">
        <v>0</v>
      </c>
      <c r="FE26" s="578">
        <v>0</v>
      </c>
      <c r="FF26" s="578">
        <v>0</v>
      </c>
      <c r="FG26" s="578">
        <v>0</v>
      </c>
      <c r="FH26" s="578">
        <v>0</v>
      </c>
      <c r="FI26" s="578">
        <v>6.4595310380466379E-5</v>
      </c>
      <c r="FJ26" s="578">
        <v>2.6197839247780304E-5</v>
      </c>
      <c r="FK26" s="578">
        <v>5.5722939039308062E-4</v>
      </c>
      <c r="FL26" s="578">
        <v>0</v>
      </c>
      <c r="FM26" s="578">
        <v>0</v>
      </c>
      <c r="FN26" s="578">
        <v>0</v>
      </c>
      <c r="FO26" s="578">
        <v>2.3320837787481314E-4</v>
      </c>
      <c r="FP26" s="578">
        <v>0</v>
      </c>
      <c r="FQ26" s="578">
        <v>9.1836564310641348E-4</v>
      </c>
      <c r="FR26" s="578">
        <v>1.760279777093484E-3</v>
      </c>
      <c r="FS26" s="578">
        <v>7.8488535067556208E-4</v>
      </c>
      <c r="FT26" s="578">
        <v>0</v>
      </c>
      <c r="FU26" s="578">
        <v>0</v>
      </c>
      <c r="FV26" s="578">
        <v>0</v>
      </c>
      <c r="FW26" s="578">
        <v>0</v>
      </c>
      <c r="FX26" s="578">
        <v>0</v>
      </c>
      <c r="FY26" s="578">
        <v>0</v>
      </c>
      <c r="FZ26" s="578">
        <v>3.8634286630024731E-3</v>
      </c>
      <c r="GA26" s="578">
        <v>2.2027291722142628E-2</v>
      </c>
      <c r="GB26" s="578">
        <v>0</v>
      </c>
      <c r="GC26" s="578">
        <v>0</v>
      </c>
      <c r="GD26" s="578">
        <v>4.1646934752016015E-4</v>
      </c>
      <c r="GE26" s="578">
        <v>0</v>
      </c>
      <c r="GF26" s="578">
        <v>0</v>
      </c>
      <c r="GG26" s="579">
        <v>9.0295917417096297E-4</v>
      </c>
      <c r="GH26" s="572"/>
    </row>
    <row r="27" spans="1:190">
      <c r="A27" s="572" t="s">
        <v>9258</v>
      </c>
      <c r="B27" s="577" t="s">
        <v>9406</v>
      </c>
      <c r="C27" s="573" t="s">
        <v>9505</v>
      </c>
      <c r="D27" s="578">
        <v>0</v>
      </c>
      <c r="E27" s="578">
        <v>0</v>
      </c>
      <c r="F27" s="578">
        <v>0</v>
      </c>
      <c r="G27" s="578">
        <v>0</v>
      </c>
      <c r="H27" s="578">
        <v>0</v>
      </c>
      <c r="I27" s="578">
        <v>0</v>
      </c>
      <c r="J27" s="578">
        <v>0</v>
      </c>
      <c r="K27" s="578">
        <v>0</v>
      </c>
      <c r="L27" s="578">
        <v>0</v>
      </c>
      <c r="M27" s="578">
        <v>0</v>
      </c>
      <c r="N27" s="578">
        <v>0</v>
      </c>
      <c r="O27" s="578">
        <v>0</v>
      </c>
      <c r="P27" s="578">
        <v>0</v>
      </c>
      <c r="Q27" s="578">
        <v>0</v>
      </c>
      <c r="R27" s="578">
        <v>0</v>
      </c>
      <c r="S27" s="578">
        <v>0</v>
      </c>
      <c r="T27" s="578">
        <v>7.9713163825313358E-4</v>
      </c>
      <c r="U27" s="578">
        <v>2.1996098083470409E-4</v>
      </c>
      <c r="V27" s="578">
        <v>0</v>
      </c>
      <c r="W27" s="578">
        <v>1.4017059450715099E-2</v>
      </c>
      <c r="X27" s="578">
        <v>5.4739482035008703E-2</v>
      </c>
      <c r="Y27" s="578">
        <v>4.1524903575839781E-3</v>
      </c>
      <c r="Z27" s="578">
        <v>1.2414207758812745E-2</v>
      </c>
      <c r="AA27" s="578">
        <v>1.9993716260603811E-4</v>
      </c>
      <c r="AB27" s="578">
        <v>1.1901025751143853E-2</v>
      </c>
      <c r="AC27" s="578">
        <v>0</v>
      </c>
      <c r="AD27" s="578">
        <v>0</v>
      </c>
      <c r="AE27" s="578">
        <v>0</v>
      </c>
      <c r="AF27" s="578">
        <v>0</v>
      </c>
      <c r="AG27" s="578">
        <v>0</v>
      </c>
      <c r="AH27" s="578">
        <v>0</v>
      </c>
      <c r="AI27" s="578">
        <v>0</v>
      </c>
      <c r="AJ27" s="578">
        <v>0</v>
      </c>
      <c r="AK27" s="578">
        <v>0</v>
      </c>
      <c r="AL27" s="578">
        <v>0</v>
      </c>
      <c r="AM27" s="578">
        <v>0</v>
      </c>
      <c r="AN27" s="578">
        <v>0</v>
      </c>
      <c r="AO27" s="578">
        <v>0</v>
      </c>
      <c r="AP27" s="578">
        <v>0</v>
      </c>
      <c r="AQ27" s="578">
        <v>0</v>
      </c>
      <c r="AR27" s="578">
        <v>0</v>
      </c>
      <c r="AS27" s="578">
        <v>0</v>
      </c>
      <c r="AT27" s="578">
        <v>0</v>
      </c>
      <c r="AU27" s="578">
        <v>0</v>
      </c>
      <c r="AV27" s="578">
        <v>0</v>
      </c>
      <c r="AW27" s="578">
        <v>0</v>
      </c>
      <c r="AX27" s="578">
        <v>0</v>
      </c>
      <c r="AY27" s="578">
        <v>0</v>
      </c>
      <c r="AZ27" s="578">
        <v>0</v>
      </c>
      <c r="BA27" s="578">
        <v>0</v>
      </c>
      <c r="BB27" s="578">
        <v>0</v>
      </c>
      <c r="BC27" s="578">
        <v>0</v>
      </c>
      <c r="BD27" s="578">
        <v>0</v>
      </c>
      <c r="BE27" s="578">
        <v>0</v>
      </c>
      <c r="BF27" s="578">
        <v>0</v>
      </c>
      <c r="BG27" s="578">
        <v>0</v>
      </c>
      <c r="BH27" s="578">
        <v>0</v>
      </c>
      <c r="BI27" s="578">
        <v>0</v>
      </c>
      <c r="BJ27" s="578">
        <v>0</v>
      </c>
      <c r="BK27" s="578">
        <v>0</v>
      </c>
      <c r="BL27" s="578">
        <v>0</v>
      </c>
      <c r="BM27" s="578">
        <v>0</v>
      </c>
      <c r="BN27" s="578">
        <v>0</v>
      </c>
      <c r="BO27" s="578">
        <v>0</v>
      </c>
      <c r="BP27" s="578">
        <v>0</v>
      </c>
      <c r="BQ27" s="578">
        <v>0</v>
      </c>
      <c r="BR27" s="578">
        <v>0</v>
      </c>
      <c r="BS27" s="578">
        <v>0</v>
      </c>
      <c r="BT27" s="578">
        <v>0</v>
      </c>
      <c r="BU27" s="578">
        <v>0</v>
      </c>
      <c r="BV27" s="578">
        <v>0</v>
      </c>
      <c r="BW27" s="578">
        <v>0</v>
      </c>
      <c r="BX27" s="578">
        <v>0</v>
      </c>
      <c r="BY27" s="578">
        <v>0</v>
      </c>
      <c r="BZ27" s="578">
        <v>0</v>
      </c>
      <c r="CA27" s="578">
        <v>0</v>
      </c>
      <c r="CB27" s="578">
        <v>0</v>
      </c>
      <c r="CC27" s="578">
        <v>0</v>
      </c>
      <c r="CD27" s="578">
        <v>0</v>
      </c>
      <c r="CE27" s="578">
        <v>0</v>
      </c>
      <c r="CF27" s="578">
        <v>0</v>
      </c>
      <c r="CG27" s="578">
        <v>0</v>
      </c>
      <c r="CH27" s="578">
        <v>0</v>
      </c>
      <c r="CI27" s="578">
        <v>0</v>
      </c>
      <c r="CJ27" s="578">
        <v>0</v>
      </c>
      <c r="CK27" s="578">
        <v>0</v>
      </c>
      <c r="CL27" s="578">
        <v>0</v>
      </c>
      <c r="CM27" s="578">
        <v>0</v>
      </c>
      <c r="CN27" s="578">
        <v>0</v>
      </c>
      <c r="CO27" s="578">
        <v>0</v>
      </c>
      <c r="CP27" s="578">
        <v>0</v>
      </c>
      <c r="CQ27" s="578">
        <v>0</v>
      </c>
      <c r="CR27" s="578">
        <v>0</v>
      </c>
      <c r="CS27" s="578">
        <v>0</v>
      </c>
      <c r="CT27" s="578">
        <v>0</v>
      </c>
      <c r="CU27" s="578">
        <v>0</v>
      </c>
      <c r="CV27" s="578">
        <v>0</v>
      </c>
      <c r="CW27" s="578">
        <v>0</v>
      </c>
      <c r="CX27" s="578">
        <v>0</v>
      </c>
      <c r="CY27" s="578">
        <v>0</v>
      </c>
      <c r="CZ27" s="578">
        <v>0</v>
      </c>
      <c r="DA27" s="578">
        <v>0</v>
      </c>
      <c r="DB27" s="578">
        <v>0</v>
      </c>
      <c r="DC27" s="578">
        <v>0</v>
      </c>
      <c r="DD27" s="578">
        <v>0</v>
      </c>
      <c r="DE27" s="578">
        <v>0</v>
      </c>
      <c r="DF27" s="578">
        <v>0</v>
      </c>
      <c r="DG27" s="578">
        <v>0</v>
      </c>
      <c r="DH27" s="578">
        <v>0</v>
      </c>
      <c r="DI27" s="578">
        <v>0</v>
      </c>
      <c r="DJ27" s="578">
        <v>0</v>
      </c>
      <c r="DK27" s="578">
        <v>0</v>
      </c>
      <c r="DL27" s="578">
        <v>0</v>
      </c>
      <c r="DM27" s="578">
        <v>0</v>
      </c>
      <c r="DN27" s="578">
        <v>0</v>
      </c>
      <c r="DO27" s="578">
        <v>0</v>
      </c>
      <c r="DP27" s="578">
        <v>0</v>
      </c>
      <c r="DQ27" s="578">
        <v>0</v>
      </c>
      <c r="DR27" s="578">
        <v>0</v>
      </c>
      <c r="DS27" s="578">
        <v>0</v>
      </c>
      <c r="DT27" s="578">
        <v>0</v>
      </c>
      <c r="DU27" s="578">
        <v>0</v>
      </c>
      <c r="DV27" s="578">
        <v>0</v>
      </c>
      <c r="DW27" s="578">
        <v>0</v>
      </c>
      <c r="DX27" s="578">
        <v>0</v>
      </c>
      <c r="DY27" s="578">
        <v>0</v>
      </c>
      <c r="DZ27" s="578">
        <v>0</v>
      </c>
      <c r="EA27" s="578">
        <v>0</v>
      </c>
      <c r="EB27" s="578">
        <v>0</v>
      </c>
      <c r="EC27" s="578">
        <v>0</v>
      </c>
      <c r="ED27" s="578">
        <v>0</v>
      </c>
      <c r="EE27" s="578">
        <v>0</v>
      </c>
      <c r="EF27" s="578">
        <v>0</v>
      </c>
      <c r="EG27" s="578">
        <v>0</v>
      </c>
      <c r="EH27" s="578">
        <v>0</v>
      </c>
      <c r="EI27" s="578">
        <v>0</v>
      </c>
      <c r="EJ27" s="578">
        <v>0</v>
      </c>
      <c r="EK27" s="578">
        <v>0</v>
      </c>
      <c r="EL27" s="578">
        <v>0</v>
      </c>
      <c r="EM27" s="578">
        <v>0</v>
      </c>
      <c r="EN27" s="578">
        <v>0</v>
      </c>
      <c r="EO27" s="578">
        <v>0</v>
      </c>
      <c r="EP27" s="578">
        <v>0</v>
      </c>
      <c r="EQ27" s="578">
        <v>0</v>
      </c>
      <c r="ER27" s="578">
        <v>0</v>
      </c>
      <c r="ES27" s="578">
        <v>0</v>
      </c>
      <c r="ET27" s="578">
        <v>0</v>
      </c>
      <c r="EU27" s="578">
        <v>0</v>
      </c>
      <c r="EV27" s="578">
        <v>0</v>
      </c>
      <c r="EW27" s="578">
        <v>0</v>
      </c>
      <c r="EX27" s="578">
        <v>0</v>
      </c>
      <c r="EY27" s="578">
        <v>0</v>
      </c>
      <c r="EZ27" s="578">
        <v>0</v>
      </c>
      <c r="FA27" s="578">
        <v>0</v>
      </c>
      <c r="FB27" s="578">
        <v>0</v>
      </c>
      <c r="FC27" s="578">
        <v>0</v>
      </c>
      <c r="FD27" s="578">
        <v>0</v>
      </c>
      <c r="FE27" s="578">
        <v>0</v>
      </c>
      <c r="FF27" s="578">
        <v>0</v>
      </c>
      <c r="FG27" s="578">
        <v>0</v>
      </c>
      <c r="FH27" s="578">
        <v>0</v>
      </c>
      <c r="FI27" s="578">
        <v>2.9361504718393807E-5</v>
      </c>
      <c r="FJ27" s="578">
        <v>0</v>
      </c>
      <c r="FK27" s="578">
        <v>2.4607575269183486E-4</v>
      </c>
      <c r="FL27" s="578">
        <v>0</v>
      </c>
      <c r="FM27" s="578">
        <v>0</v>
      </c>
      <c r="FN27" s="578">
        <v>0</v>
      </c>
      <c r="FO27" s="578">
        <v>1.4061821510922916E-4</v>
      </c>
      <c r="FP27" s="578">
        <v>0</v>
      </c>
      <c r="FQ27" s="578">
        <v>6.3450717160079485E-4</v>
      </c>
      <c r="FR27" s="578">
        <v>9.9453472817218058E-4</v>
      </c>
      <c r="FS27" s="578">
        <v>0</v>
      </c>
      <c r="FT27" s="578">
        <v>0</v>
      </c>
      <c r="FU27" s="578">
        <v>0</v>
      </c>
      <c r="FV27" s="578">
        <v>0</v>
      </c>
      <c r="FW27" s="578">
        <v>0</v>
      </c>
      <c r="FX27" s="578">
        <v>0</v>
      </c>
      <c r="FY27" s="578">
        <v>0</v>
      </c>
      <c r="FZ27" s="578">
        <v>1.9793575100808636E-3</v>
      </c>
      <c r="GA27" s="578">
        <v>7.393890483510775E-3</v>
      </c>
      <c r="GB27" s="578">
        <v>0</v>
      </c>
      <c r="GC27" s="578">
        <v>0</v>
      </c>
      <c r="GD27" s="578">
        <v>2.2502779261169943E-4</v>
      </c>
      <c r="GE27" s="578">
        <v>0</v>
      </c>
      <c r="GF27" s="578">
        <v>0</v>
      </c>
      <c r="GG27" s="579">
        <v>6.4042388411977727E-4</v>
      </c>
      <c r="GH27" s="572"/>
    </row>
    <row r="28" spans="1:190">
      <c r="A28" s="572" t="s">
        <v>9259</v>
      </c>
      <c r="B28" s="577" t="s">
        <v>144</v>
      </c>
      <c r="C28" s="573" t="s">
        <v>9506</v>
      </c>
      <c r="D28" s="578">
        <v>0</v>
      </c>
      <c r="E28" s="578">
        <v>0</v>
      </c>
      <c r="F28" s="578">
        <v>0</v>
      </c>
      <c r="G28" s="578">
        <v>0</v>
      </c>
      <c r="H28" s="578">
        <v>0</v>
      </c>
      <c r="I28" s="578">
        <v>0</v>
      </c>
      <c r="J28" s="578">
        <v>3.9942662951569525E-3</v>
      </c>
      <c r="K28" s="578">
        <v>0</v>
      </c>
      <c r="L28" s="578">
        <v>0</v>
      </c>
      <c r="M28" s="578">
        <v>0</v>
      </c>
      <c r="N28" s="578">
        <v>0</v>
      </c>
      <c r="O28" s="578">
        <v>2.1897170885521591E-5</v>
      </c>
      <c r="P28" s="578">
        <v>0</v>
      </c>
      <c r="Q28" s="578">
        <v>0</v>
      </c>
      <c r="R28" s="578">
        <v>0</v>
      </c>
      <c r="S28" s="578">
        <v>0</v>
      </c>
      <c r="T28" s="578">
        <v>1.4702650216668908E-2</v>
      </c>
      <c r="U28" s="578">
        <v>3.7345549137370412E-2</v>
      </c>
      <c r="V28" s="578">
        <v>1.7383389537139276E-3</v>
      </c>
      <c r="W28" s="578">
        <v>6.3972940181624319E-2</v>
      </c>
      <c r="X28" s="578">
        <v>5.4867437813491654E-2</v>
      </c>
      <c r="Y28" s="578">
        <v>0.16602383893187037</v>
      </c>
      <c r="Z28" s="578">
        <v>4.2986710758353752E-2</v>
      </c>
      <c r="AA28" s="578">
        <v>1.0149191206573172E-2</v>
      </c>
      <c r="AB28" s="578">
        <v>2.4826150872962124E-2</v>
      </c>
      <c r="AC28" s="578">
        <v>0.19849701995335578</v>
      </c>
      <c r="AD28" s="578">
        <v>0</v>
      </c>
      <c r="AE28" s="578">
        <v>0</v>
      </c>
      <c r="AF28" s="578">
        <v>6.8269741333535619E-4</v>
      </c>
      <c r="AG28" s="578">
        <v>0</v>
      </c>
      <c r="AH28" s="578">
        <v>3.8565368299267258E-4</v>
      </c>
      <c r="AI28" s="578">
        <v>0</v>
      </c>
      <c r="AJ28" s="578">
        <v>0</v>
      </c>
      <c r="AK28" s="578">
        <v>0</v>
      </c>
      <c r="AL28" s="578">
        <v>0</v>
      </c>
      <c r="AM28" s="578">
        <v>0</v>
      </c>
      <c r="AN28" s="578">
        <v>0</v>
      </c>
      <c r="AO28" s="578">
        <v>0</v>
      </c>
      <c r="AP28" s="578">
        <v>0</v>
      </c>
      <c r="AQ28" s="578">
        <v>2.4621368865348011E-3</v>
      </c>
      <c r="AR28" s="578">
        <v>2.6092397785097816E-3</v>
      </c>
      <c r="AS28" s="578">
        <v>5.890322200624374E-5</v>
      </c>
      <c r="AT28" s="578">
        <v>0</v>
      </c>
      <c r="AU28" s="578">
        <v>0</v>
      </c>
      <c r="AV28" s="578">
        <v>1.1982505541908813E-4</v>
      </c>
      <c r="AW28" s="578">
        <v>0</v>
      </c>
      <c r="AX28" s="578">
        <v>3.9500104236386179E-4</v>
      </c>
      <c r="AY28" s="578">
        <v>0</v>
      </c>
      <c r="AZ28" s="578">
        <v>2.2605511223636321E-5</v>
      </c>
      <c r="BA28" s="578">
        <v>0</v>
      </c>
      <c r="BB28" s="578">
        <v>1.346932511716306E-2</v>
      </c>
      <c r="BC28" s="578">
        <v>9.2112131167674787E-5</v>
      </c>
      <c r="BD28" s="578">
        <v>0</v>
      </c>
      <c r="BE28" s="578">
        <v>7.1573493586818398E-3</v>
      </c>
      <c r="BF28" s="578">
        <v>5.1257433102081265E-2</v>
      </c>
      <c r="BG28" s="578">
        <v>4.4526901669758816E-5</v>
      </c>
      <c r="BH28" s="578">
        <v>5.8058044302753808E-3</v>
      </c>
      <c r="BI28" s="578">
        <v>0</v>
      </c>
      <c r="BJ28" s="578">
        <v>1.0004082457391929E-2</v>
      </c>
      <c r="BK28" s="578">
        <v>0</v>
      </c>
      <c r="BL28" s="578">
        <v>0</v>
      </c>
      <c r="BM28" s="578">
        <v>2.0610199300627238E-5</v>
      </c>
      <c r="BN28" s="578">
        <v>0</v>
      </c>
      <c r="BO28" s="578">
        <v>0</v>
      </c>
      <c r="BP28" s="578">
        <v>0</v>
      </c>
      <c r="BQ28" s="578">
        <v>2.7819507038335281E-5</v>
      </c>
      <c r="BR28" s="578">
        <v>0</v>
      </c>
      <c r="BS28" s="578">
        <v>0</v>
      </c>
      <c r="BT28" s="578">
        <v>7.2846476051720993E-4</v>
      </c>
      <c r="BU28" s="578">
        <v>4.6409096182851837E-4</v>
      </c>
      <c r="BV28" s="578">
        <v>1.9202263845842877E-3</v>
      </c>
      <c r="BW28" s="578">
        <v>0</v>
      </c>
      <c r="BX28" s="578">
        <v>0</v>
      </c>
      <c r="BY28" s="578">
        <v>0</v>
      </c>
      <c r="BZ28" s="578">
        <v>0</v>
      </c>
      <c r="CA28" s="578">
        <v>0</v>
      </c>
      <c r="CB28" s="578">
        <v>6.2050136510300319E-6</v>
      </c>
      <c r="CC28" s="578">
        <v>0</v>
      </c>
      <c r="CD28" s="578">
        <v>0</v>
      </c>
      <c r="CE28" s="578">
        <v>0</v>
      </c>
      <c r="CF28" s="578">
        <v>0</v>
      </c>
      <c r="CG28" s="578">
        <v>0</v>
      </c>
      <c r="CH28" s="578">
        <v>0</v>
      </c>
      <c r="CI28" s="578">
        <v>0</v>
      </c>
      <c r="CJ28" s="578">
        <v>0</v>
      </c>
      <c r="CK28" s="578">
        <v>0</v>
      </c>
      <c r="CL28" s="578">
        <v>0</v>
      </c>
      <c r="CM28" s="578">
        <v>0</v>
      </c>
      <c r="CN28" s="578">
        <v>0</v>
      </c>
      <c r="CO28" s="578">
        <v>0</v>
      </c>
      <c r="CP28" s="578">
        <v>0</v>
      </c>
      <c r="CQ28" s="578">
        <v>0</v>
      </c>
      <c r="CR28" s="578">
        <v>0</v>
      </c>
      <c r="CS28" s="578">
        <v>0</v>
      </c>
      <c r="CT28" s="578">
        <v>0</v>
      </c>
      <c r="CU28" s="578">
        <v>0</v>
      </c>
      <c r="CV28" s="578">
        <v>0</v>
      </c>
      <c r="CW28" s="578">
        <v>0</v>
      </c>
      <c r="CX28" s="578">
        <v>0</v>
      </c>
      <c r="CY28" s="578">
        <v>0</v>
      </c>
      <c r="CZ28" s="578">
        <v>0</v>
      </c>
      <c r="DA28" s="578">
        <v>0</v>
      </c>
      <c r="DB28" s="578">
        <v>0</v>
      </c>
      <c r="DC28" s="578">
        <v>0</v>
      </c>
      <c r="DD28" s="578">
        <v>0</v>
      </c>
      <c r="DE28" s="578">
        <v>0</v>
      </c>
      <c r="DF28" s="578">
        <v>0</v>
      </c>
      <c r="DG28" s="578">
        <v>0</v>
      </c>
      <c r="DH28" s="578">
        <v>0</v>
      </c>
      <c r="DI28" s="578">
        <v>0</v>
      </c>
      <c r="DJ28" s="578">
        <v>0</v>
      </c>
      <c r="DK28" s="578">
        <v>0</v>
      </c>
      <c r="DL28" s="578">
        <v>0</v>
      </c>
      <c r="DM28" s="578">
        <v>0</v>
      </c>
      <c r="DN28" s="578">
        <v>0</v>
      </c>
      <c r="DO28" s="578">
        <v>0</v>
      </c>
      <c r="DP28" s="578">
        <v>0</v>
      </c>
      <c r="DQ28" s="578">
        <v>0</v>
      </c>
      <c r="DR28" s="578">
        <v>0</v>
      </c>
      <c r="DS28" s="578">
        <v>0</v>
      </c>
      <c r="DT28" s="578">
        <v>0</v>
      </c>
      <c r="DU28" s="578">
        <v>0</v>
      </c>
      <c r="DV28" s="578">
        <v>0</v>
      </c>
      <c r="DW28" s="578">
        <v>0</v>
      </c>
      <c r="DX28" s="578">
        <v>1.225813173814179E-5</v>
      </c>
      <c r="DY28" s="578">
        <v>0</v>
      </c>
      <c r="DZ28" s="578">
        <v>0</v>
      </c>
      <c r="EA28" s="578">
        <v>0</v>
      </c>
      <c r="EB28" s="578">
        <v>0</v>
      </c>
      <c r="EC28" s="578">
        <v>0</v>
      </c>
      <c r="ED28" s="578">
        <v>0</v>
      </c>
      <c r="EE28" s="578">
        <v>0</v>
      </c>
      <c r="EF28" s="578">
        <v>0</v>
      </c>
      <c r="EG28" s="578">
        <v>0</v>
      </c>
      <c r="EH28" s="578">
        <v>0</v>
      </c>
      <c r="EI28" s="578">
        <v>0</v>
      </c>
      <c r="EJ28" s="578">
        <v>0</v>
      </c>
      <c r="EK28" s="578">
        <v>0</v>
      </c>
      <c r="EL28" s="578">
        <v>0</v>
      </c>
      <c r="EM28" s="578">
        <v>0</v>
      </c>
      <c r="EN28" s="578">
        <v>0</v>
      </c>
      <c r="EO28" s="578">
        <v>0</v>
      </c>
      <c r="EP28" s="578">
        <v>0</v>
      </c>
      <c r="EQ28" s="578">
        <v>0</v>
      </c>
      <c r="ER28" s="578">
        <v>0</v>
      </c>
      <c r="ES28" s="578">
        <v>0</v>
      </c>
      <c r="ET28" s="578">
        <v>0</v>
      </c>
      <c r="EU28" s="578">
        <v>0</v>
      </c>
      <c r="EV28" s="578">
        <v>0</v>
      </c>
      <c r="EW28" s="578">
        <v>0</v>
      </c>
      <c r="EX28" s="578">
        <v>0</v>
      </c>
      <c r="EY28" s="578">
        <v>0</v>
      </c>
      <c r="EZ28" s="578">
        <v>0</v>
      </c>
      <c r="FA28" s="578">
        <v>0</v>
      </c>
      <c r="FB28" s="578">
        <v>3.7102372190760157E-5</v>
      </c>
      <c r="FC28" s="578">
        <v>0</v>
      </c>
      <c r="FD28" s="578">
        <v>0</v>
      </c>
      <c r="FE28" s="578">
        <v>0</v>
      </c>
      <c r="FF28" s="578">
        <v>0</v>
      </c>
      <c r="FG28" s="578">
        <v>0</v>
      </c>
      <c r="FH28" s="578">
        <v>0</v>
      </c>
      <c r="FI28" s="578">
        <v>4.6978407549430093E-5</v>
      </c>
      <c r="FJ28" s="578">
        <v>0</v>
      </c>
      <c r="FK28" s="578">
        <v>5.6434728406598491E-4</v>
      </c>
      <c r="FL28" s="578">
        <v>0</v>
      </c>
      <c r="FM28" s="578">
        <v>0</v>
      </c>
      <c r="FN28" s="578">
        <v>0</v>
      </c>
      <c r="FO28" s="578">
        <v>2.8569264126065221E-4</v>
      </c>
      <c r="FP28" s="578">
        <v>0</v>
      </c>
      <c r="FQ28" s="578">
        <v>1.0575119526679913E-3</v>
      </c>
      <c r="FR28" s="578">
        <v>1.9050242680481205E-3</v>
      </c>
      <c r="FS28" s="578">
        <v>0</v>
      </c>
      <c r="FT28" s="578">
        <v>0</v>
      </c>
      <c r="FU28" s="578">
        <v>0</v>
      </c>
      <c r="FV28" s="578">
        <v>0</v>
      </c>
      <c r="FW28" s="578">
        <v>0</v>
      </c>
      <c r="FX28" s="578">
        <v>0</v>
      </c>
      <c r="FY28" s="578">
        <v>0</v>
      </c>
      <c r="FZ28" s="578">
        <v>3.755148711685139E-3</v>
      </c>
      <c r="GA28" s="578">
        <v>1.4626049822994248E-2</v>
      </c>
      <c r="GB28" s="578">
        <v>0</v>
      </c>
      <c r="GC28" s="578">
        <v>0</v>
      </c>
      <c r="GD28" s="578">
        <v>4.1646934752016015E-4</v>
      </c>
      <c r="GE28" s="578">
        <v>0</v>
      </c>
      <c r="GF28" s="578">
        <v>0</v>
      </c>
      <c r="GG28" s="579">
        <v>3.5902496631550047E-3</v>
      </c>
      <c r="GH28" s="572"/>
    </row>
    <row r="29" spans="1:190">
      <c r="A29" s="572" t="s">
        <v>9260</v>
      </c>
      <c r="B29" s="577" t="s">
        <v>157</v>
      </c>
      <c r="C29" s="573" t="s">
        <v>161</v>
      </c>
      <c r="D29" s="578">
        <v>0</v>
      </c>
      <c r="E29" s="578">
        <v>0</v>
      </c>
      <c r="F29" s="578">
        <v>0</v>
      </c>
      <c r="G29" s="578">
        <v>0</v>
      </c>
      <c r="H29" s="578">
        <v>0</v>
      </c>
      <c r="I29" s="578">
        <v>0</v>
      </c>
      <c r="J29" s="578">
        <v>4.960621043985247E-3</v>
      </c>
      <c r="K29" s="578">
        <v>0</v>
      </c>
      <c r="L29" s="578">
        <v>0</v>
      </c>
      <c r="M29" s="578">
        <v>0</v>
      </c>
      <c r="N29" s="578">
        <v>4.6263345195729534E-2</v>
      </c>
      <c r="O29" s="578">
        <v>3.5911360252255408E-3</v>
      </c>
      <c r="P29" s="578">
        <v>0</v>
      </c>
      <c r="Q29" s="578">
        <v>0</v>
      </c>
      <c r="R29" s="578">
        <v>0</v>
      </c>
      <c r="S29" s="578">
        <v>0</v>
      </c>
      <c r="T29" s="578">
        <v>6.2950436782212484E-3</v>
      </c>
      <c r="U29" s="578">
        <v>1.0328602578325236E-2</v>
      </c>
      <c r="V29" s="578">
        <v>0</v>
      </c>
      <c r="W29" s="578">
        <v>6.9861637069990323E-2</v>
      </c>
      <c r="X29" s="578">
        <v>2.3032040126932132E-4</v>
      </c>
      <c r="Y29" s="578">
        <v>6.5242594851821264E-3</v>
      </c>
      <c r="Z29" s="578">
        <v>8.7264499123624037E-2</v>
      </c>
      <c r="AA29" s="578">
        <v>7.4833623718259974E-3</v>
      </c>
      <c r="AB29" s="578">
        <v>6.1941494194017277E-4</v>
      </c>
      <c r="AC29" s="578">
        <v>1.1574673922432408E-3</v>
      </c>
      <c r="AD29" s="578">
        <v>0</v>
      </c>
      <c r="AE29" s="578">
        <v>0</v>
      </c>
      <c r="AF29" s="578">
        <v>0</v>
      </c>
      <c r="AG29" s="578">
        <v>0</v>
      </c>
      <c r="AH29" s="578">
        <v>0</v>
      </c>
      <c r="AI29" s="578">
        <v>0</v>
      </c>
      <c r="AJ29" s="578">
        <v>0</v>
      </c>
      <c r="AK29" s="578">
        <v>0</v>
      </c>
      <c r="AL29" s="578">
        <v>0</v>
      </c>
      <c r="AM29" s="578">
        <v>0</v>
      </c>
      <c r="AN29" s="578">
        <v>0</v>
      </c>
      <c r="AO29" s="578">
        <v>0</v>
      </c>
      <c r="AP29" s="578">
        <v>0</v>
      </c>
      <c r="AQ29" s="578">
        <v>0</v>
      </c>
      <c r="AR29" s="578">
        <v>0</v>
      </c>
      <c r="AS29" s="578">
        <v>0</v>
      </c>
      <c r="AT29" s="578">
        <v>0</v>
      </c>
      <c r="AU29" s="578">
        <v>0</v>
      </c>
      <c r="AV29" s="578">
        <v>0</v>
      </c>
      <c r="AW29" s="578">
        <v>0</v>
      </c>
      <c r="AX29" s="578">
        <v>0</v>
      </c>
      <c r="AY29" s="578">
        <v>0</v>
      </c>
      <c r="AZ29" s="578">
        <v>0</v>
      </c>
      <c r="BA29" s="578">
        <v>0</v>
      </c>
      <c r="BB29" s="578">
        <v>0</v>
      </c>
      <c r="BC29" s="578">
        <v>0</v>
      </c>
      <c r="BD29" s="578">
        <v>0</v>
      </c>
      <c r="BE29" s="578">
        <v>0</v>
      </c>
      <c r="BF29" s="578">
        <v>0</v>
      </c>
      <c r="BG29" s="578">
        <v>0</v>
      </c>
      <c r="BH29" s="578">
        <v>0</v>
      </c>
      <c r="BI29" s="578">
        <v>0</v>
      </c>
      <c r="BJ29" s="578">
        <v>0</v>
      </c>
      <c r="BK29" s="578">
        <v>0</v>
      </c>
      <c r="BL29" s="578">
        <v>0</v>
      </c>
      <c r="BM29" s="578">
        <v>0</v>
      </c>
      <c r="BN29" s="578">
        <v>0</v>
      </c>
      <c r="BO29" s="578">
        <v>0</v>
      </c>
      <c r="BP29" s="578">
        <v>0</v>
      </c>
      <c r="BQ29" s="578">
        <v>0</v>
      </c>
      <c r="BR29" s="578">
        <v>0</v>
      </c>
      <c r="BS29" s="578">
        <v>0</v>
      </c>
      <c r="BT29" s="578">
        <v>0</v>
      </c>
      <c r="BU29" s="578">
        <v>0</v>
      </c>
      <c r="BV29" s="578">
        <v>0</v>
      </c>
      <c r="BW29" s="578">
        <v>0</v>
      </c>
      <c r="BX29" s="578">
        <v>0</v>
      </c>
      <c r="BY29" s="578">
        <v>0</v>
      </c>
      <c r="BZ29" s="578">
        <v>0</v>
      </c>
      <c r="CA29" s="578">
        <v>0</v>
      </c>
      <c r="CB29" s="578">
        <v>0</v>
      </c>
      <c r="CC29" s="578">
        <v>0</v>
      </c>
      <c r="CD29" s="578">
        <v>0</v>
      </c>
      <c r="CE29" s="578">
        <v>0</v>
      </c>
      <c r="CF29" s="578">
        <v>0</v>
      </c>
      <c r="CG29" s="578">
        <v>0</v>
      </c>
      <c r="CH29" s="578">
        <v>0</v>
      </c>
      <c r="CI29" s="578">
        <v>0</v>
      </c>
      <c r="CJ29" s="578">
        <v>0</v>
      </c>
      <c r="CK29" s="578">
        <v>0</v>
      </c>
      <c r="CL29" s="578">
        <v>0</v>
      </c>
      <c r="CM29" s="578">
        <v>0</v>
      </c>
      <c r="CN29" s="578">
        <v>0</v>
      </c>
      <c r="CO29" s="578">
        <v>0</v>
      </c>
      <c r="CP29" s="578">
        <v>0</v>
      </c>
      <c r="CQ29" s="578">
        <v>0</v>
      </c>
      <c r="CR29" s="578">
        <v>0</v>
      </c>
      <c r="CS29" s="578">
        <v>0</v>
      </c>
      <c r="CT29" s="578">
        <v>0</v>
      </c>
      <c r="CU29" s="578">
        <v>0</v>
      </c>
      <c r="CV29" s="578">
        <v>0</v>
      </c>
      <c r="CW29" s="578">
        <v>0</v>
      </c>
      <c r="CX29" s="578">
        <v>0</v>
      </c>
      <c r="CY29" s="578">
        <v>0</v>
      </c>
      <c r="CZ29" s="578">
        <v>0</v>
      </c>
      <c r="DA29" s="578">
        <v>0</v>
      </c>
      <c r="DB29" s="578">
        <v>0</v>
      </c>
      <c r="DC29" s="578">
        <v>0</v>
      </c>
      <c r="DD29" s="578">
        <v>0</v>
      </c>
      <c r="DE29" s="578">
        <v>0</v>
      </c>
      <c r="DF29" s="578">
        <v>0</v>
      </c>
      <c r="DG29" s="578">
        <v>0</v>
      </c>
      <c r="DH29" s="578">
        <v>0</v>
      </c>
      <c r="DI29" s="578">
        <v>0</v>
      </c>
      <c r="DJ29" s="578">
        <v>0</v>
      </c>
      <c r="DK29" s="578">
        <v>0</v>
      </c>
      <c r="DL29" s="578">
        <v>0</v>
      </c>
      <c r="DM29" s="578">
        <v>0</v>
      </c>
      <c r="DN29" s="578">
        <v>0</v>
      </c>
      <c r="DO29" s="578">
        <v>0</v>
      </c>
      <c r="DP29" s="578">
        <v>0</v>
      </c>
      <c r="DQ29" s="578">
        <v>0</v>
      </c>
      <c r="DR29" s="578">
        <v>0</v>
      </c>
      <c r="DS29" s="578">
        <v>0</v>
      </c>
      <c r="DT29" s="578">
        <v>0</v>
      </c>
      <c r="DU29" s="578">
        <v>0</v>
      </c>
      <c r="DV29" s="578">
        <v>0</v>
      </c>
      <c r="DW29" s="578">
        <v>0</v>
      </c>
      <c r="DX29" s="578">
        <v>0</v>
      </c>
      <c r="DY29" s="578">
        <v>0</v>
      </c>
      <c r="DZ29" s="578">
        <v>0</v>
      </c>
      <c r="EA29" s="578">
        <v>0</v>
      </c>
      <c r="EB29" s="578">
        <v>0</v>
      </c>
      <c r="EC29" s="578">
        <v>0</v>
      </c>
      <c r="ED29" s="578">
        <v>0</v>
      </c>
      <c r="EE29" s="578">
        <v>0</v>
      </c>
      <c r="EF29" s="578">
        <v>0</v>
      </c>
      <c r="EG29" s="578">
        <v>0</v>
      </c>
      <c r="EH29" s="578">
        <v>0</v>
      </c>
      <c r="EI29" s="578">
        <v>0</v>
      </c>
      <c r="EJ29" s="578">
        <v>0</v>
      </c>
      <c r="EK29" s="578">
        <v>0</v>
      </c>
      <c r="EL29" s="578">
        <v>0</v>
      </c>
      <c r="EM29" s="578">
        <v>0</v>
      </c>
      <c r="EN29" s="578">
        <v>0</v>
      </c>
      <c r="EO29" s="578">
        <v>0</v>
      </c>
      <c r="EP29" s="578">
        <v>0</v>
      </c>
      <c r="EQ29" s="578">
        <v>0</v>
      </c>
      <c r="ER29" s="578">
        <v>0</v>
      </c>
      <c r="ES29" s="578">
        <v>0</v>
      </c>
      <c r="ET29" s="578">
        <v>0</v>
      </c>
      <c r="EU29" s="578">
        <v>0</v>
      </c>
      <c r="EV29" s="578">
        <v>0</v>
      </c>
      <c r="EW29" s="578">
        <v>0</v>
      </c>
      <c r="EX29" s="578">
        <v>0</v>
      </c>
      <c r="EY29" s="578">
        <v>0</v>
      </c>
      <c r="EZ29" s="578">
        <v>0</v>
      </c>
      <c r="FA29" s="578">
        <v>0</v>
      </c>
      <c r="FB29" s="578">
        <v>3.0356486337894675E-5</v>
      </c>
      <c r="FC29" s="578">
        <v>0</v>
      </c>
      <c r="FD29" s="578">
        <v>0</v>
      </c>
      <c r="FE29" s="578">
        <v>0</v>
      </c>
      <c r="FF29" s="578">
        <v>0</v>
      </c>
      <c r="FG29" s="578">
        <v>0</v>
      </c>
      <c r="FH29" s="578">
        <v>0</v>
      </c>
      <c r="FI29" s="578">
        <v>7.0467611324145143E-5</v>
      </c>
      <c r="FJ29" s="578">
        <v>9.9096174545951573E-5</v>
      </c>
      <c r="FK29" s="578">
        <v>4.9418518929021378E-4</v>
      </c>
      <c r="FL29" s="578">
        <v>0</v>
      </c>
      <c r="FM29" s="578">
        <v>0</v>
      </c>
      <c r="FN29" s="578">
        <v>0</v>
      </c>
      <c r="FO29" s="578">
        <v>1.3363681780979208E-3</v>
      </c>
      <c r="FP29" s="578">
        <v>0</v>
      </c>
      <c r="FQ29" s="578">
        <v>2.4990677197259375E-3</v>
      </c>
      <c r="FR29" s="578">
        <v>4.6248199448570178E-3</v>
      </c>
      <c r="FS29" s="578">
        <v>0</v>
      </c>
      <c r="FT29" s="578">
        <v>0</v>
      </c>
      <c r="FU29" s="578">
        <v>0</v>
      </c>
      <c r="FV29" s="578">
        <v>0</v>
      </c>
      <c r="FW29" s="578">
        <v>0</v>
      </c>
      <c r="FX29" s="578">
        <v>0</v>
      </c>
      <c r="FY29" s="578">
        <v>0</v>
      </c>
      <c r="FZ29" s="578">
        <v>8.8746248099686852E-3</v>
      </c>
      <c r="GA29" s="578">
        <v>2.8640298500147845E-2</v>
      </c>
      <c r="GB29" s="578">
        <v>0</v>
      </c>
      <c r="GC29" s="578">
        <v>0</v>
      </c>
      <c r="GD29" s="578">
        <v>1.0243802499487809E-3</v>
      </c>
      <c r="GE29" s="578">
        <v>0</v>
      </c>
      <c r="GF29" s="578">
        <v>0</v>
      </c>
      <c r="GG29" s="579">
        <v>2.7181437759063653E-3</v>
      </c>
      <c r="GH29" s="572"/>
    </row>
    <row r="30" spans="1:190">
      <c r="A30" s="572" t="s">
        <v>9261</v>
      </c>
      <c r="B30" s="577" t="s">
        <v>162</v>
      </c>
      <c r="C30" s="573" t="s">
        <v>9507</v>
      </c>
      <c r="D30" s="578">
        <v>0</v>
      </c>
      <c r="E30" s="578">
        <v>0</v>
      </c>
      <c r="F30" s="578">
        <v>0</v>
      </c>
      <c r="G30" s="578">
        <v>0</v>
      </c>
      <c r="H30" s="578">
        <v>0</v>
      </c>
      <c r="I30" s="578">
        <v>0</v>
      </c>
      <c r="J30" s="578">
        <v>2.0937686224613056E-4</v>
      </c>
      <c r="K30" s="578">
        <v>0</v>
      </c>
      <c r="L30" s="578">
        <v>0</v>
      </c>
      <c r="M30" s="578">
        <v>0</v>
      </c>
      <c r="N30" s="578">
        <v>0</v>
      </c>
      <c r="O30" s="578">
        <v>0</v>
      </c>
      <c r="P30" s="578">
        <v>0</v>
      </c>
      <c r="Q30" s="578">
        <v>0</v>
      </c>
      <c r="R30" s="578">
        <v>0</v>
      </c>
      <c r="S30" s="578">
        <v>0</v>
      </c>
      <c r="T30" s="578">
        <v>1.3121508448611253E-5</v>
      </c>
      <c r="U30" s="578">
        <v>1.5684174285604988E-3</v>
      </c>
      <c r="V30" s="578">
        <v>0</v>
      </c>
      <c r="W30" s="578">
        <v>6.1276762626076944E-4</v>
      </c>
      <c r="X30" s="578">
        <v>1.791380898761388E-3</v>
      </c>
      <c r="Y30" s="578">
        <v>8.0700770635528036E-4</v>
      </c>
      <c r="Z30" s="578">
        <v>8.052459086797456E-5</v>
      </c>
      <c r="AA30" s="578">
        <v>1.3605247874477545E-2</v>
      </c>
      <c r="AB30" s="578">
        <v>0</v>
      </c>
      <c r="AC30" s="578">
        <v>0</v>
      </c>
      <c r="AD30" s="578">
        <v>0</v>
      </c>
      <c r="AE30" s="578">
        <v>0</v>
      </c>
      <c r="AF30" s="578">
        <v>0</v>
      </c>
      <c r="AG30" s="578">
        <v>0</v>
      </c>
      <c r="AH30" s="578">
        <v>0</v>
      </c>
      <c r="AI30" s="578">
        <v>0</v>
      </c>
      <c r="AJ30" s="578">
        <v>0</v>
      </c>
      <c r="AK30" s="578">
        <v>0</v>
      </c>
      <c r="AL30" s="578">
        <v>0</v>
      </c>
      <c r="AM30" s="578">
        <v>0</v>
      </c>
      <c r="AN30" s="578">
        <v>0</v>
      </c>
      <c r="AO30" s="578">
        <v>0</v>
      </c>
      <c r="AP30" s="578">
        <v>0</v>
      </c>
      <c r="AQ30" s="578">
        <v>0</v>
      </c>
      <c r="AR30" s="578">
        <v>0</v>
      </c>
      <c r="AS30" s="578">
        <v>0</v>
      </c>
      <c r="AT30" s="578">
        <v>0</v>
      </c>
      <c r="AU30" s="578">
        <v>0</v>
      </c>
      <c r="AV30" s="578">
        <v>0</v>
      </c>
      <c r="AW30" s="578">
        <v>0</v>
      </c>
      <c r="AX30" s="578">
        <v>0</v>
      </c>
      <c r="AY30" s="578">
        <v>0</v>
      </c>
      <c r="AZ30" s="578">
        <v>0</v>
      </c>
      <c r="BA30" s="578">
        <v>0</v>
      </c>
      <c r="BB30" s="578">
        <v>0</v>
      </c>
      <c r="BC30" s="578">
        <v>0</v>
      </c>
      <c r="BD30" s="578">
        <v>0</v>
      </c>
      <c r="BE30" s="578">
        <v>4.2122703435106463E-5</v>
      </c>
      <c r="BF30" s="578">
        <v>0</v>
      </c>
      <c r="BG30" s="578">
        <v>0</v>
      </c>
      <c r="BH30" s="578">
        <v>0</v>
      </c>
      <c r="BI30" s="578">
        <v>0</v>
      </c>
      <c r="BJ30" s="578">
        <v>0</v>
      </c>
      <c r="BK30" s="578">
        <v>0</v>
      </c>
      <c r="BL30" s="578">
        <v>0</v>
      </c>
      <c r="BM30" s="578">
        <v>0</v>
      </c>
      <c r="BN30" s="578">
        <v>0</v>
      </c>
      <c r="BO30" s="578">
        <v>0</v>
      </c>
      <c r="BP30" s="578">
        <v>0</v>
      </c>
      <c r="BQ30" s="578">
        <v>0</v>
      </c>
      <c r="BR30" s="578">
        <v>0</v>
      </c>
      <c r="BS30" s="578">
        <v>0</v>
      </c>
      <c r="BT30" s="578">
        <v>0</v>
      </c>
      <c r="BU30" s="578">
        <v>0</v>
      </c>
      <c r="BV30" s="578">
        <v>0</v>
      </c>
      <c r="BW30" s="578">
        <v>0</v>
      </c>
      <c r="BX30" s="578">
        <v>0</v>
      </c>
      <c r="BY30" s="578">
        <v>0</v>
      </c>
      <c r="BZ30" s="578">
        <v>0</v>
      </c>
      <c r="CA30" s="578">
        <v>0</v>
      </c>
      <c r="CB30" s="578">
        <v>0</v>
      </c>
      <c r="CC30" s="578">
        <v>0</v>
      </c>
      <c r="CD30" s="578">
        <v>0</v>
      </c>
      <c r="CE30" s="578">
        <v>0</v>
      </c>
      <c r="CF30" s="578">
        <v>0</v>
      </c>
      <c r="CG30" s="578">
        <v>0</v>
      </c>
      <c r="CH30" s="578">
        <v>0</v>
      </c>
      <c r="CI30" s="578">
        <v>0</v>
      </c>
      <c r="CJ30" s="578">
        <v>0</v>
      </c>
      <c r="CK30" s="578">
        <v>0</v>
      </c>
      <c r="CL30" s="578">
        <v>0</v>
      </c>
      <c r="CM30" s="578">
        <v>0</v>
      </c>
      <c r="CN30" s="578">
        <v>0</v>
      </c>
      <c r="CO30" s="578">
        <v>0</v>
      </c>
      <c r="CP30" s="578">
        <v>0</v>
      </c>
      <c r="CQ30" s="578">
        <v>0</v>
      </c>
      <c r="CR30" s="578">
        <v>0</v>
      </c>
      <c r="CS30" s="578">
        <v>0</v>
      </c>
      <c r="CT30" s="578">
        <v>0</v>
      </c>
      <c r="CU30" s="578">
        <v>0</v>
      </c>
      <c r="CV30" s="578">
        <v>0</v>
      </c>
      <c r="CW30" s="578">
        <v>0</v>
      </c>
      <c r="CX30" s="578">
        <v>0</v>
      </c>
      <c r="CY30" s="578">
        <v>0</v>
      </c>
      <c r="CZ30" s="578">
        <v>0</v>
      </c>
      <c r="DA30" s="578">
        <v>0</v>
      </c>
      <c r="DB30" s="578">
        <v>0</v>
      </c>
      <c r="DC30" s="578">
        <v>0</v>
      </c>
      <c r="DD30" s="578">
        <v>0</v>
      </c>
      <c r="DE30" s="578">
        <v>0</v>
      </c>
      <c r="DF30" s="578">
        <v>0</v>
      </c>
      <c r="DG30" s="578">
        <v>0</v>
      </c>
      <c r="DH30" s="578">
        <v>0</v>
      </c>
      <c r="DI30" s="578">
        <v>0</v>
      </c>
      <c r="DJ30" s="578">
        <v>0</v>
      </c>
      <c r="DK30" s="578">
        <v>0</v>
      </c>
      <c r="DL30" s="578">
        <v>0</v>
      </c>
      <c r="DM30" s="578">
        <v>0</v>
      </c>
      <c r="DN30" s="578">
        <v>0</v>
      </c>
      <c r="DO30" s="578">
        <v>0</v>
      </c>
      <c r="DP30" s="578">
        <v>0</v>
      </c>
      <c r="DQ30" s="578">
        <v>0</v>
      </c>
      <c r="DR30" s="578">
        <v>0</v>
      </c>
      <c r="DS30" s="578">
        <v>0</v>
      </c>
      <c r="DT30" s="578">
        <v>0</v>
      </c>
      <c r="DU30" s="578">
        <v>0</v>
      </c>
      <c r="DV30" s="578">
        <v>0</v>
      </c>
      <c r="DW30" s="578">
        <v>0</v>
      </c>
      <c r="DX30" s="578">
        <v>0</v>
      </c>
      <c r="DY30" s="578">
        <v>0</v>
      </c>
      <c r="DZ30" s="578">
        <v>0</v>
      </c>
      <c r="EA30" s="578">
        <v>0</v>
      </c>
      <c r="EB30" s="578">
        <v>0</v>
      </c>
      <c r="EC30" s="578">
        <v>0</v>
      </c>
      <c r="ED30" s="578">
        <v>0</v>
      </c>
      <c r="EE30" s="578">
        <v>0</v>
      </c>
      <c r="EF30" s="578">
        <v>0</v>
      </c>
      <c r="EG30" s="578">
        <v>0</v>
      </c>
      <c r="EH30" s="578">
        <v>0</v>
      </c>
      <c r="EI30" s="578">
        <v>0</v>
      </c>
      <c r="EJ30" s="578">
        <v>0</v>
      </c>
      <c r="EK30" s="578">
        <v>0</v>
      </c>
      <c r="EL30" s="578">
        <v>0</v>
      </c>
      <c r="EM30" s="578">
        <v>0</v>
      </c>
      <c r="EN30" s="578">
        <v>0</v>
      </c>
      <c r="EO30" s="578">
        <v>0</v>
      </c>
      <c r="EP30" s="578">
        <v>0</v>
      </c>
      <c r="EQ30" s="578">
        <v>0</v>
      </c>
      <c r="ER30" s="578">
        <v>0</v>
      </c>
      <c r="ES30" s="578">
        <v>0</v>
      </c>
      <c r="ET30" s="578">
        <v>0</v>
      </c>
      <c r="EU30" s="578">
        <v>0</v>
      </c>
      <c r="EV30" s="578">
        <v>0</v>
      </c>
      <c r="EW30" s="578">
        <v>0</v>
      </c>
      <c r="EX30" s="578">
        <v>0</v>
      </c>
      <c r="EY30" s="578">
        <v>0</v>
      </c>
      <c r="EZ30" s="578">
        <v>0</v>
      </c>
      <c r="FA30" s="578">
        <v>0</v>
      </c>
      <c r="FB30" s="578">
        <v>1.9900363265953176E-4</v>
      </c>
      <c r="FC30" s="578">
        <v>0</v>
      </c>
      <c r="FD30" s="578">
        <v>0</v>
      </c>
      <c r="FE30" s="578">
        <v>0</v>
      </c>
      <c r="FF30" s="578">
        <v>0</v>
      </c>
      <c r="FG30" s="578">
        <v>0</v>
      </c>
      <c r="FH30" s="578">
        <v>0</v>
      </c>
      <c r="FI30" s="578">
        <v>0</v>
      </c>
      <c r="FJ30" s="578">
        <v>0</v>
      </c>
      <c r="FK30" s="578">
        <v>0</v>
      </c>
      <c r="FL30" s="578">
        <v>0</v>
      </c>
      <c r="FM30" s="578">
        <v>0</v>
      </c>
      <c r="FN30" s="578">
        <v>0</v>
      </c>
      <c r="FO30" s="578">
        <v>0</v>
      </c>
      <c r="FP30" s="578">
        <v>0</v>
      </c>
      <c r="FQ30" s="578">
        <v>0</v>
      </c>
      <c r="FR30" s="578">
        <v>0</v>
      </c>
      <c r="FS30" s="578">
        <v>0</v>
      </c>
      <c r="FT30" s="578">
        <v>0</v>
      </c>
      <c r="FU30" s="578">
        <v>0</v>
      </c>
      <c r="FV30" s="578">
        <v>0</v>
      </c>
      <c r="FW30" s="578">
        <v>0</v>
      </c>
      <c r="FX30" s="578">
        <v>0</v>
      </c>
      <c r="FY30" s="578">
        <v>0</v>
      </c>
      <c r="FZ30" s="578">
        <v>1.9113577006535779E-2</v>
      </c>
      <c r="GA30" s="578">
        <v>5.9918121566276281E-2</v>
      </c>
      <c r="GB30" s="578">
        <v>0</v>
      </c>
      <c r="GC30" s="578">
        <v>0</v>
      </c>
      <c r="GD30" s="578">
        <v>8.3965594258096805E-4</v>
      </c>
      <c r="GE30" s="578">
        <v>0</v>
      </c>
      <c r="GF30" s="578">
        <v>3.0462240619858832E-3</v>
      </c>
      <c r="GG30" s="579">
        <v>2.1103186225614225E-3</v>
      </c>
      <c r="GH30" s="572"/>
    </row>
    <row r="31" spans="1:190">
      <c r="A31" s="572" t="s">
        <v>9262</v>
      </c>
      <c r="B31" s="577" t="s">
        <v>167</v>
      </c>
      <c r="C31" s="573" t="s">
        <v>9508</v>
      </c>
      <c r="D31" s="578">
        <v>0</v>
      </c>
      <c r="E31" s="578">
        <v>0</v>
      </c>
      <c r="F31" s="578">
        <v>0</v>
      </c>
      <c r="G31" s="578">
        <v>0</v>
      </c>
      <c r="H31" s="578">
        <v>0</v>
      </c>
      <c r="I31" s="578">
        <v>0</v>
      </c>
      <c r="J31" s="578">
        <v>0</v>
      </c>
      <c r="K31" s="578">
        <v>3.5522716777379133E-5</v>
      </c>
      <c r="L31" s="578">
        <v>0</v>
      </c>
      <c r="M31" s="578">
        <v>0</v>
      </c>
      <c r="N31" s="578">
        <v>0</v>
      </c>
      <c r="O31" s="578">
        <v>1.1933958132609267E-2</v>
      </c>
      <c r="P31" s="578">
        <v>5.5248618784530384E-3</v>
      </c>
      <c r="Q31" s="578">
        <v>0</v>
      </c>
      <c r="R31" s="578">
        <v>0</v>
      </c>
      <c r="S31" s="578">
        <v>0</v>
      </c>
      <c r="T31" s="578">
        <v>3.0146665660684352E-3</v>
      </c>
      <c r="U31" s="578">
        <v>2.1996098083470409E-4</v>
      </c>
      <c r="V31" s="578">
        <v>0</v>
      </c>
      <c r="W31" s="578">
        <v>8.9157689620941944E-4</v>
      </c>
      <c r="X31" s="578">
        <v>7.0119766608660048E-3</v>
      </c>
      <c r="Y31" s="578">
        <v>1.5155074297751744E-5</v>
      </c>
      <c r="Z31" s="578">
        <v>1.4467584825946097E-3</v>
      </c>
      <c r="AA31" s="578">
        <v>4.3795759427989298E-4</v>
      </c>
      <c r="AB31" s="578">
        <v>8.1721478006640133E-2</v>
      </c>
      <c r="AC31" s="578">
        <v>0</v>
      </c>
      <c r="AD31" s="578">
        <v>0</v>
      </c>
      <c r="AE31" s="578">
        <v>0</v>
      </c>
      <c r="AF31" s="578">
        <v>0</v>
      </c>
      <c r="AG31" s="578">
        <v>0</v>
      </c>
      <c r="AH31" s="578">
        <v>0</v>
      </c>
      <c r="AI31" s="578">
        <v>0</v>
      </c>
      <c r="AJ31" s="578">
        <v>0</v>
      </c>
      <c r="AK31" s="578">
        <v>0</v>
      </c>
      <c r="AL31" s="578">
        <v>0</v>
      </c>
      <c r="AM31" s="578">
        <v>0</v>
      </c>
      <c r="AN31" s="578">
        <v>0</v>
      </c>
      <c r="AO31" s="578">
        <v>0</v>
      </c>
      <c r="AP31" s="578">
        <v>0</v>
      </c>
      <c r="AQ31" s="578">
        <v>0</v>
      </c>
      <c r="AR31" s="578">
        <v>0</v>
      </c>
      <c r="AS31" s="578">
        <v>0</v>
      </c>
      <c r="AT31" s="578">
        <v>0</v>
      </c>
      <c r="AU31" s="578">
        <v>0</v>
      </c>
      <c r="AV31" s="578">
        <v>0</v>
      </c>
      <c r="AW31" s="578">
        <v>0</v>
      </c>
      <c r="AX31" s="578">
        <v>0</v>
      </c>
      <c r="AY31" s="578">
        <v>0</v>
      </c>
      <c r="AZ31" s="578">
        <v>0</v>
      </c>
      <c r="BA31" s="578">
        <v>0</v>
      </c>
      <c r="BB31" s="578">
        <v>0</v>
      </c>
      <c r="BC31" s="578">
        <v>0</v>
      </c>
      <c r="BD31" s="578">
        <v>0</v>
      </c>
      <c r="BE31" s="578">
        <v>7.0204505725177445E-6</v>
      </c>
      <c r="BF31" s="578">
        <v>0</v>
      </c>
      <c r="BG31" s="578">
        <v>0</v>
      </c>
      <c r="BH31" s="578">
        <v>0</v>
      </c>
      <c r="BI31" s="578">
        <v>0</v>
      </c>
      <c r="BJ31" s="578">
        <v>8.2473886705621832E-6</v>
      </c>
      <c r="BK31" s="578">
        <v>0</v>
      </c>
      <c r="BL31" s="578">
        <v>0</v>
      </c>
      <c r="BM31" s="578">
        <v>0</v>
      </c>
      <c r="BN31" s="578">
        <v>0</v>
      </c>
      <c r="BO31" s="578">
        <v>0</v>
      </c>
      <c r="BP31" s="578">
        <v>0</v>
      </c>
      <c r="BQ31" s="578">
        <v>0</v>
      </c>
      <c r="BR31" s="578">
        <v>0</v>
      </c>
      <c r="BS31" s="578">
        <v>0</v>
      </c>
      <c r="BT31" s="578">
        <v>0</v>
      </c>
      <c r="BU31" s="578">
        <v>0</v>
      </c>
      <c r="BV31" s="578">
        <v>0</v>
      </c>
      <c r="BW31" s="578">
        <v>0</v>
      </c>
      <c r="BX31" s="578">
        <v>0</v>
      </c>
      <c r="BY31" s="578">
        <v>0</v>
      </c>
      <c r="BZ31" s="578">
        <v>0</v>
      </c>
      <c r="CA31" s="578">
        <v>0</v>
      </c>
      <c r="CB31" s="578">
        <v>0</v>
      </c>
      <c r="CC31" s="578">
        <v>0</v>
      </c>
      <c r="CD31" s="578">
        <v>0</v>
      </c>
      <c r="CE31" s="578">
        <v>0</v>
      </c>
      <c r="CF31" s="578">
        <v>0</v>
      </c>
      <c r="CG31" s="578">
        <v>0</v>
      </c>
      <c r="CH31" s="578">
        <v>0</v>
      </c>
      <c r="CI31" s="578">
        <v>0</v>
      </c>
      <c r="CJ31" s="578">
        <v>0</v>
      </c>
      <c r="CK31" s="578">
        <v>0</v>
      </c>
      <c r="CL31" s="578">
        <v>0</v>
      </c>
      <c r="CM31" s="578">
        <v>0</v>
      </c>
      <c r="CN31" s="578">
        <v>0</v>
      </c>
      <c r="CO31" s="578">
        <v>0</v>
      </c>
      <c r="CP31" s="578">
        <v>0</v>
      </c>
      <c r="CQ31" s="578">
        <v>0</v>
      </c>
      <c r="CR31" s="578">
        <v>0</v>
      </c>
      <c r="CS31" s="578">
        <v>0</v>
      </c>
      <c r="CT31" s="578">
        <v>0</v>
      </c>
      <c r="CU31" s="578">
        <v>0</v>
      </c>
      <c r="CV31" s="578">
        <v>0</v>
      </c>
      <c r="CW31" s="578">
        <v>0</v>
      </c>
      <c r="CX31" s="578">
        <v>0</v>
      </c>
      <c r="CY31" s="578">
        <v>0</v>
      </c>
      <c r="CZ31" s="578">
        <v>0</v>
      </c>
      <c r="DA31" s="578">
        <v>0</v>
      </c>
      <c r="DB31" s="578">
        <v>0</v>
      </c>
      <c r="DC31" s="578">
        <v>0</v>
      </c>
      <c r="DD31" s="578">
        <v>0</v>
      </c>
      <c r="DE31" s="578">
        <v>0</v>
      </c>
      <c r="DF31" s="578">
        <v>0</v>
      </c>
      <c r="DG31" s="578">
        <v>0</v>
      </c>
      <c r="DH31" s="578">
        <v>0</v>
      </c>
      <c r="DI31" s="578">
        <v>0</v>
      </c>
      <c r="DJ31" s="578">
        <v>0</v>
      </c>
      <c r="DK31" s="578">
        <v>0</v>
      </c>
      <c r="DL31" s="578">
        <v>0</v>
      </c>
      <c r="DM31" s="578">
        <v>0</v>
      </c>
      <c r="DN31" s="578">
        <v>0</v>
      </c>
      <c r="DO31" s="578">
        <v>0</v>
      </c>
      <c r="DP31" s="578">
        <v>0</v>
      </c>
      <c r="DQ31" s="578">
        <v>0</v>
      </c>
      <c r="DR31" s="578">
        <v>0</v>
      </c>
      <c r="DS31" s="578">
        <v>0</v>
      </c>
      <c r="DT31" s="578">
        <v>0</v>
      </c>
      <c r="DU31" s="578">
        <v>0</v>
      </c>
      <c r="DV31" s="578">
        <v>0</v>
      </c>
      <c r="DW31" s="578">
        <v>0</v>
      </c>
      <c r="DX31" s="578">
        <v>0</v>
      </c>
      <c r="DY31" s="578">
        <v>0</v>
      </c>
      <c r="DZ31" s="578">
        <v>0</v>
      </c>
      <c r="EA31" s="578">
        <v>0</v>
      </c>
      <c r="EB31" s="578">
        <v>0</v>
      </c>
      <c r="EC31" s="578">
        <v>0</v>
      </c>
      <c r="ED31" s="578">
        <v>0</v>
      </c>
      <c r="EE31" s="578">
        <v>0</v>
      </c>
      <c r="EF31" s="578">
        <v>0</v>
      </c>
      <c r="EG31" s="578">
        <v>0</v>
      </c>
      <c r="EH31" s="578">
        <v>0</v>
      </c>
      <c r="EI31" s="578">
        <v>0</v>
      </c>
      <c r="EJ31" s="578">
        <v>1.3570874566473469E-4</v>
      </c>
      <c r="EK31" s="578">
        <v>5.7224185093609703E-5</v>
      </c>
      <c r="EL31" s="578">
        <v>0</v>
      </c>
      <c r="EM31" s="578">
        <v>0</v>
      </c>
      <c r="EN31" s="578">
        <v>0</v>
      </c>
      <c r="EO31" s="578">
        <v>0</v>
      </c>
      <c r="EP31" s="578">
        <v>0</v>
      </c>
      <c r="EQ31" s="578">
        <v>0</v>
      </c>
      <c r="ER31" s="578">
        <v>0</v>
      </c>
      <c r="ES31" s="578">
        <v>0</v>
      </c>
      <c r="ET31" s="578">
        <v>0</v>
      </c>
      <c r="EU31" s="578">
        <v>0</v>
      </c>
      <c r="EV31" s="578">
        <v>0</v>
      </c>
      <c r="EW31" s="578">
        <v>0</v>
      </c>
      <c r="EX31" s="578">
        <v>0</v>
      </c>
      <c r="EY31" s="578">
        <v>0</v>
      </c>
      <c r="EZ31" s="578">
        <v>0</v>
      </c>
      <c r="FA31" s="578">
        <v>0</v>
      </c>
      <c r="FB31" s="578">
        <v>7.4204744381520314E-5</v>
      </c>
      <c r="FC31" s="578">
        <v>0</v>
      </c>
      <c r="FD31" s="578">
        <v>0</v>
      </c>
      <c r="FE31" s="578">
        <v>0</v>
      </c>
      <c r="FF31" s="578">
        <v>0</v>
      </c>
      <c r="FG31" s="578">
        <v>0</v>
      </c>
      <c r="FH31" s="578">
        <v>0</v>
      </c>
      <c r="FI31" s="578">
        <v>4.4042257077590711E-5</v>
      </c>
      <c r="FJ31" s="578">
        <v>1.480747435744104E-5</v>
      </c>
      <c r="FK31" s="578">
        <v>9.7616827514116308E-5</v>
      </c>
      <c r="FL31" s="578">
        <v>0</v>
      </c>
      <c r="FM31" s="578">
        <v>0</v>
      </c>
      <c r="FN31" s="578">
        <v>0</v>
      </c>
      <c r="FO31" s="578">
        <v>4.8374646535815805E-4</v>
      </c>
      <c r="FP31" s="578">
        <v>0</v>
      </c>
      <c r="FQ31" s="578">
        <v>1.2717972693928211E-3</v>
      </c>
      <c r="FR31" s="578">
        <v>2.4279721063358399E-3</v>
      </c>
      <c r="FS31" s="578">
        <v>0</v>
      </c>
      <c r="FT31" s="578">
        <v>0</v>
      </c>
      <c r="FU31" s="578">
        <v>0</v>
      </c>
      <c r="FV31" s="578">
        <v>0</v>
      </c>
      <c r="FW31" s="578">
        <v>0</v>
      </c>
      <c r="FX31" s="578">
        <v>0</v>
      </c>
      <c r="FY31" s="578">
        <v>7.1404153758134496E-6</v>
      </c>
      <c r="FZ31" s="578">
        <v>4.4481404001160763E-3</v>
      </c>
      <c r="GA31" s="578">
        <v>1.8839227807301427E-2</v>
      </c>
      <c r="GB31" s="578">
        <v>0</v>
      </c>
      <c r="GC31" s="578">
        <v>0</v>
      </c>
      <c r="GD31" s="578">
        <v>5.4073842702214337E-4</v>
      </c>
      <c r="GE31" s="578">
        <v>0</v>
      </c>
      <c r="GF31" s="578">
        <v>0</v>
      </c>
      <c r="GG31" s="579">
        <v>1.019544556201906E-3</v>
      </c>
      <c r="GH31" s="572"/>
    </row>
    <row r="32" spans="1:190">
      <c r="A32" s="572" t="s">
        <v>9263</v>
      </c>
      <c r="B32" s="577" t="s">
        <v>171</v>
      </c>
      <c r="C32" s="573" t="s">
        <v>9058</v>
      </c>
      <c r="D32" s="578">
        <v>1.0287423011693296E-2</v>
      </c>
      <c r="E32" s="578">
        <v>9.4097519247219839E-3</v>
      </c>
      <c r="F32" s="578">
        <v>5.8921963751207901E-3</v>
      </c>
      <c r="G32" s="578">
        <v>3.6353467561521251E-3</v>
      </c>
      <c r="H32" s="578">
        <v>8.9285714285714281E-3</v>
      </c>
      <c r="I32" s="578">
        <v>9.6106857794429068E-3</v>
      </c>
      <c r="J32" s="578">
        <v>0.35970944933885229</v>
      </c>
      <c r="K32" s="578">
        <v>1.598522254982061E-2</v>
      </c>
      <c r="L32" s="578">
        <v>0</v>
      </c>
      <c r="M32" s="578">
        <v>0</v>
      </c>
      <c r="N32" s="578">
        <v>3.6298932384341634E-2</v>
      </c>
      <c r="O32" s="578">
        <v>5.3122536568275376E-2</v>
      </c>
      <c r="P32" s="578">
        <v>9.3922651933701654E-2</v>
      </c>
      <c r="Q32" s="578">
        <v>0</v>
      </c>
      <c r="R32" s="578">
        <v>0</v>
      </c>
      <c r="S32" s="578">
        <v>0</v>
      </c>
      <c r="T32" s="578">
        <v>-1.9682262672916877E-5</v>
      </c>
      <c r="U32" s="578">
        <v>0</v>
      </c>
      <c r="V32" s="578">
        <v>0</v>
      </c>
      <c r="W32" s="578">
        <v>0</v>
      </c>
      <c r="X32" s="578">
        <v>0</v>
      </c>
      <c r="Y32" s="578">
        <v>0</v>
      </c>
      <c r="Z32" s="578">
        <v>0</v>
      </c>
      <c r="AA32" s="578">
        <v>0</v>
      </c>
      <c r="AB32" s="578">
        <v>0</v>
      </c>
      <c r="AC32" s="578">
        <v>4.622959315884944E-2</v>
      </c>
      <c r="AD32" s="578">
        <v>0</v>
      </c>
      <c r="AE32" s="578">
        <v>0</v>
      </c>
      <c r="AF32" s="578">
        <v>0</v>
      </c>
      <c r="AG32" s="578">
        <v>0</v>
      </c>
      <c r="AH32" s="578">
        <v>0</v>
      </c>
      <c r="AI32" s="578">
        <v>0</v>
      </c>
      <c r="AJ32" s="578">
        <v>0</v>
      </c>
      <c r="AK32" s="578">
        <v>0</v>
      </c>
      <c r="AL32" s="578">
        <v>0</v>
      </c>
      <c r="AM32" s="578">
        <v>0</v>
      </c>
      <c r="AN32" s="578">
        <v>0</v>
      </c>
      <c r="AO32" s="578">
        <v>0</v>
      </c>
      <c r="AP32" s="578">
        <v>0</v>
      </c>
      <c r="AQ32" s="578">
        <v>0</v>
      </c>
      <c r="AR32" s="578">
        <v>0</v>
      </c>
      <c r="AS32" s="578">
        <v>0</v>
      </c>
      <c r="AT32" s="578">
        <v>0</v>
      </c>
      <c r="AU32" s="578">
        <v>0</v>
      </c>
      <c r="AV32" s="578">
        <v>3.5947516625726441E-4</v>
      </c>
      <c r="AW32" s="578">
        <v>0</v>
      </c>
      <c r="AX32" s="578">
        <v>0</v>
      </c>
      <c r="AY32" s="578">
        <v>0</v>
      </c>
      <c r="AZ32" s="578">
        <v>0</v>
      </c>
      <c r="BA32" s="578">
        <v>0</v>
      </c>
      <c r="BB32" s="578">
        <v>0</v>
      </c>
      <c r="BC32" s="578">
        <v>0</v>
      </c>
      <c r="BD32" s="578">
        <v>0</v>
      </c>
      <c r="BE32" s="578">
        <v>0</v>
      </c>
      <c r="BF32" s="578">
        <v>0</v>
      </c>
      <c r="BG32" s="578">
        <v>0</v>
      </c>
      <c r="BH32" s="578">
        <v>0</v>
      </c>
      <c r="BI32" s="578">
        <v>0</v>
      </c>
      <c r="BJ32" s="578">
        <v>0</v>
      </c>
      <c r="BK32" s="578">
        <v>0</v>
      </c>
      <c r="BL32" s="578">
        <v>0</v>
      </c>
      <c r="BM32" s="578">
        <v>0</v>
      </c>
      <c r="BN32" s="578">
        <v>0</v>
      </c>
      <c r="BO32" s="578">
        <v>0</v>
      </c>
      <c r="BP32" s="578">
        <v>0</v>
      </c>
      <c r="BQ32" s="578">
        <v>0</v>
      </c>
      <c r="BR32" s="578">
        <v>0</v>
      </c>
      <c r="BS32" s="578">
        <v>0</v>
      </c>
      <c r="BT32" s="578">
        <v>0</v>
      </c>
      <c r="BU32" s="578">
        <v>0</v>
      </c>
      <c r="BV32" s="578">
        <v>0</v>
      </c>
      <c r="BW32" s="578">
        <v>0</v>
      </c>
      <c r="BX32" s="578">
        <v>0</v>
      </c>
      <c r="BY32" s="578">
        <v>0</v>
      </c>
      <c r="BZ32" s="578">
        <v>0</v>
      </c>
      <c r="CA32" s="578">
        <v>0</v>
      </c>
      <c r="CB32" s="578">
        <v>0</v>
      </c>
      <c r="CC32" s="578">
        <v>0</v>
      </c>
      <c r="CD32" s="578">
        <v>0</v>
      </c>
      <c r="CE32" s="578">
        <v>0</v>
      </c>
      <c r="CF32" s="578">
        <v>0</v>
      </c>
      <c r="CG32" s="578">
        <v>0</v>
      </c>
      <c r="CH32" s="578">
        <v>0</v>
      </c>
      <c r="CI32" s="578">
        <v>0</v>
      </c>
      <c r="CJ32" s="578">
        <v>0</v>
      </c>
      <c r="CK32" s="578">
        <v>0</v>
      </c>
      <c r="CL32" s="578">
        <v>0</v>
      </c>
      <c r="CM32" s="578">
        <v>0</v>
      </c>
      <c r="CN32" s="578">
        <v>0</v>
      </c>
      <c r="CO32" s="578">
        <v>0</v>
      </c>
      <c r="CP32" s="578">
        <v>0</v>
      </c>
      <c r="CQ32" s="578">
        <v>0</v>
      </c>
      <c r="CR32" s="578">
        <v>0</v>
      </c>
      <c r="CS32" s="578">
        <v>0</v>
      </c>
      <c r="CT32" s="578">
        <v>0</v>
      </c>
      <c r="CU32" s="578">
        <v>0</v>
      </c>
      <c r="CV32" s="578">
        <v>0</v>
      </c>
      <c r="CW32" s="578">
        <v>0</v>
      </c>
      <c r="CX32" s="578">
        <v>0</v>
      </c>
      <c r="CY32" s="578">
        <v>0</v>
      </c>
      <c r="CZ32" s="578">
        <v>0</v>
      </c>
      <c r="DA32" s="578">
        <v>0</v>
      </c>
      <c r="DB32" s="578">
        <v>0</v>
      </c>
      <c r="DC32" s="578">
        <v>0</v>
      </c>
      <c r="DD32" s="578">
        <v>0</v>
      </c>
      <c r="DE32" s="578">
        <v>0</v>
      </c>
      <c r="DF32" s="578">
        <v>0</v>
      </c>
      <c r="DG32" s="578">
        <v>0</v>
      </c>
      <c r="DH32" s="578">
        <v>0</v>
      </c>
      <c r="DI32" s="578">
        <v>0</v>
      </c>
      <c r="DJ32" s="578">
        <v>0</v>
      </c>
      <c r="DK32" s="578">
        <v>0</v>
      </c>
      <c r="DL32" s="578">
        <v>0</v>
      </c>
      <c r="DM32" s="578">
        <v>0</v>
      </c>
      <c r="DN32" s="578">
        <v>0</v>
      </c>
      <c r="DO32" s="578">
        <v>0</v>
      </c>
      <c r="DP32" s="578">
        <v>0</v>
      </c>
      <c r="DQ32" s="578">
        <v>0</v>
      </c>
      <c r="DR32" s="578">
        <v>0</v>
      </c>
      <c r="DS32" s="578">
        <v>0</v>
      </c>
      <c r="DT32" s="578">
        <v>0</v>
      </c>
      <c r="DU32" s="578">
        <v>0</v>
      </c>
      <c r="DV32" s="578">
        <v>0</v>
      </c>
      <c r="DW32" s="578">
        <v>0</v>
      </c>
      <c r="DX32" s="578">
        <v>0</v>
      </c>
      <c r="DY32" s="578">
        <v>0</v>
      </c>
      <c r="DZ32" s="578">
        <v>0</v>
      </c>
      <c r="EA32" s="578">
        <v>0</v>
      </c>
      <c r="EB32" s="578">
        <v>0</v>
      </c>
      <c r="EC32" s="578">
        <v>7.6455638909192112E-5</v>
      </c>
      <c r="ED32" s="578">
        <v>0</v>
      </c>
      <c r="EE32" s="578">
        <v>0</v>
      </c>
      <c r="EF32" s="578">
        <v>0</v>
      </c>
      <c r="EG32" s="578">
        <v>0</v>
      </c>
      <c r="EH32" s="578">
        <v>0</v>
      </c>
      <c r="EI32" s="578">
        <v>0</v>
      </c>
      <c r="EJ32" s="578">
        <v>0</v>
      </c>
      <c r="EK32" s="578">
        <v>8.9519022225646855E-5</v>
      </c>
      <c r="EL32" s="578">
        <v>0</v>
      </c>
      <c r="EM32" s="578">
        <v>0</v>
      </c>
      <c r="EN32" s="578">
        <v>0</v>
      </c>
      <c r="EO32" s="578">
        <v>0</v>
      </c>
      <c r="EP32" s="578">
        <v>0</v>
      </c>
      <c r="EQ32" s="578">
        <v>0</v>
      </c>
      <c r="ER32" s="578">
        <v>0</v>
      </c>
      <c r="ES32" s="578">
        <v>0</v>
      </c>
      <c r="ET32" s="578">
        <v>0</v>
      </c>
      <c r="EU32" s="578">
        <v>0</v>
      </c>
      <c r="EV32" s="578">
        <v>0</v>
      </c>
      <c r="EW32" s="578">
        <v>0</v>
      </c>
      <c r="EX32" s="578">
        <v>0</v>
      </c>
      <c r="EY32" s="578">
        <v>0</v>
      </c>
      <c r="EZ32" s="578">
        <v>0</v>
      </c>
      <c r="FA32" s="578">
        <v>0</v>
      </c>
      <c r="FB32" s="578">
        <v>0</v>
      </c>
      <c r="FC32" s="578">
        <v>0</v>
      </c>
      <c r="FD32" s="578">
        <v>0</v>
      </c>
      <c r="FE32" s="578">
        <v>0</v>
      </c>
      <c r="FF32" s="578">
        <v>0</v>
      </c>
      <c r="FG32" s="578">
        <v>0</v>
      </c>
      <c r="FH32" s="578">
        <v>0</v>
      </c>
      <c r="FI32" s="578">
        <v>0</v>
      </c>
      <c r="FJ32" s="578">
        <v>0</v>
      </c>
      <c r="FK32" s="578">
        <v>0</v>
      </c>
      <c r="FL32" s="578">
        <v>3.3716675378985886E-3</v>
      </c>
      <c r="FM32" s="578">
        <v>1.7477119537671931E-3</v>
      </c>
      <c r="FN32" s="578">
        <v>4.8334531735878304E-3</v>
      </c>
      <c r="FO32" s="578">
        <v>3.961076481950117E-5</v>
      </c>
      <c r="FP32" s="578">
        <v>0</v>
      </c>
      <c r="FQ32" s="578">
        <v>5.844145001586268E-5</v>
      </c>
      <c r="FR32" s="578">
        <v>2.1011297074060155E-5</v>
      </c>
      <c r="FS32" s="578">
        <v>0</v>
      </c>
      <c r="FT32" s="578">
        <v>0</v>
      </c>
      <c r="FU32" s="578">
        <v>0</v>
      </c>
      <c r="FV32" s="578">
        <v>0</v>
      </c>
      <c r="FW32" s="578">
        <v>0</v>
      </c>
      <c r="FX32" s="578">
        <v>0</v>
      </c>
      <c r="FY32" s="578">
        <v>0</v>
      </c>
      <c r="FZ32" s="578">
        <v>0</v>
      </c>
      <c r="GA32" s="578">
        <v>0</v>
      </c>
      <c r="GB32" s="578">
        <v>0</v>
      </c>
      <c r="GC32" s="578">
        <v>1.4302995448821551E-3</v>
      </c>
      <c r="GD32" s="578">
        <v>0</v>
      </c>
      <c r="GE32" s="578">
        <v>0</v>
      </c>
      <c r="GF32" s="578">
        <v>0</v>
      </c>
      <c r="GG32" s="579">
        <v>8.4158628812164879E-4</v>
      </c>
      <c r="GH32" s="572"/>
    </row>
    <row r="33" spans="1:190">
      <c r="A33" s="572" t="s">
        <v>9264</v>
      </c>
      <c r="B33" s="577" t="s">
        <v>174</v>
      </c>
      <c r="C33" s="573" t="s">
        <v>175</v>
      </c>
      <c r="D33" s="578">
        <v>0</v>
      </c>
      <c r="E33" s="578">
        <v>0</v>
      </c>
      <c r="F33" s="578">
        <v>0</v>
      </c>
      <c r="G33" s="578">
        <v>0</v>
      </c>
      <c r="H33" s="578">
        <v>0</v>
      </c>
      <c r="I33" s="578">
        <v>0</v>
      </c>
      <c r="J33" s="578">
        <v>0</v>
      </c>
      <c r="K33" s="578">
        <v>0</v>
      </c>
      <c r="L33" s="578">
        <v>0</v>
      </c>
      <c r="M33" s="578">
        <v>0</v>
      </c>
      <c r="N33" s="578">
        <v>0</v>
      </c>
      <c r="O33" s="578">
        <v>0</v>
      </c>
      <c r="P33" s="578">
        <v>0</v>
      </c>
      <c r="Q33" s="578">
        <v>0</v>
      </c>
      <c r="R33" s="578">
        <v>0</v>
      </c>
      <c r="S33" s="578">
        <v>0</v>
      </c>
      <c r="T33" s="578">
        <v>0</v>
      </c>
      <c r="U33" s="578">
        <v>0</v>
      </c>
      <c r="V33" s="578">
        <v>0</v>
      </c>
      <c r="W33" s="578">
        <v>0</v>
      </c>
      <c r="X33" s="578">
        <v>0</v>
      </c>
      <c r="Y33" s="578">
        <v>0</v>
      </c>
      <c r="Z33" s="578">
        <v>0</v>
      </c>
      <c r="AA33" s="578">
        <v>0</v>
      </c>
      <c r="AB33" s="578">
        <v>0</v>
      </c>
      <c r="AC33" s="578">
        <v>0</v>
      </c>
      <c r="AD33" s="578">
        <v>0</v>
      </c>
      <c r="AE33" s="578">
        <v>0</v>
      </c>
      <c r="AF33" s="578">
        <v>0</v>
      </c>
      <c r="AG33" s="578">
        <v>0</v>
      </c>
      <c r="AH33" s="578">
        <v>0</v>
      </c>
      <c r="AI33" s="578">
        <v>0</v>
      </c>
      <c r="AJ33" s="578">
        <v>0</v>
      </c>
      <c r="AK33" s="578">
        <v>0</v>
      </c>
      <c r="AL33" s="578">
        <v>0</v>
      </c>
      <c r="AM33" s="578">
        <v>0</v>
      </c>
      <c r="AN33" s="578">
        <v>0</v>
      </c>
      <c r="AO33" s="578">
        <v>0</v>
      </c>
      <c r="AP33" s="578">
        <v>0</v>
      </c>
      <c r="AQ33" s="578">
        <v>0</v>
      </c>
      <c r="AR33" s="578">
        <v>0</v>
      </c>
      <c r="AS33" s="578">
        <v>0</v>
      </c>
      <c r="AT33" s="578">
        <v>0</v>
      </c>
      <c r="AU33" s="578">
        <v>0</v>
      </c>
      <c r="AV33" s="578">
        <v>0</v>
      </c>
      <c r="AW33" s="578">
        <v>0</v>
      </c>
      <c r="AX33" s="578">
        <v>0</v>
      </c>
      <c r="AY33" s="578">
        <v>0</v>
      </c>
      <c r="AZ33" s="578">
        <v>0</v>
      </c>
      <c r="BA33" s="578">
        <v>0</v>
      </c>
      <c r="BB33" s="578">
        <v>0</v>
      </c>
      <c r="BC33" s="578">
        <v>0</v>
      </c>
      <c r="BD33" s="578">
        <v>0</v>
      </c>
      <c r="BE33" s="578">
        <v>0</v>
      </c>
      <c r="BF33" s="578">
        <v>0</v>
      </c>
      <c r="BG33" s="578">
        <v>0</v>
      </c>
      <c r="BH33" s="578">
        <v>0</v>
      </c>
      <c r="BI33" s="578">
        <v>0</v>
      </c>
      <c r="BJ33" s="578">
        <v>0</v>
      </c>
      <c r="BK33" s="578">
        <v>0</v>
      </c>
      <c r="BL33" s="578">
        <v>0</v>
      </c>
      <c r="BM33" s="578">
        <v>0</v>
      </c>
      <c r="BN33" s="578">
        <v>0</v>
      </c>
      <c r="BO33" s="578">
        <v>0</v>
      </c>
      <c r="BP33" s="578">
        <v>0</v>
      </c>
      <c r="BQ33" s="578">
        <v>0</v>
      </c>
      <c r="BR33" s="578">
        <v>0</v>
      </c>
      <c r="BS33" s="578">
        <v>0</v>
      </c>
      <c r="BT33" s="578">
        <v>0</v>
      </c>
      <c r="BU33" s="578">
        <v>0</v>
      </c>
      <c r="BV33" s="578">
        <v>0</v>
      </c>
      <c r="BW33" s="578">
        <v>0</v>
      </c>
      <c r="BX33" s="578">
        <v>0</v>
      </c>
      <c r="BY33" s="578">
        <v>0</v>
      </c>
      <c r="BZ33" s="578">
        <v>0</v>
      </c>
      <c r="CA33" s="578">
        <v>0</v>
      </c>
      <c r="CB33" s="578">
        <v>0</v>
      </c>
      <c r="CC33" s="578">
        <v>0</v>
      </c>
      <c r="CD33" s="578">
        <v>0</v>
      </c>
      <c r="CE33" s="578">
        <v>0</v>
      </c>
      <c r="CF33" s="578">
        <v>0</v>
      </c>
      <c r="CG33" s="578">
        <v>0</v>
      </c>
      <c r="CH33" s="578">
        <v>0</v>
      </c>
      <c r="CI33" s="578">
        <v>0</v>
      </c>
      <c r="CJ33" s="578">
        <v>0</v>
      </c>
      <c r="CK33" s="578">
        <v>0</v>
      </c>
      <c r="CL33" s="578">
        <v>0</v>
      </c>
      <c r="CM33" s="578">
        <v>0</v>
      </c>
      <c r="CN33" s="578">
        <v>0</v>
      </c>
      <c r="CO33" s="578">
        <v>0</v>
      </c>
      <c r="CP33" s="578">
        <v>0</v>
      </c>
      <c r="CQ33" s="578">
        <v>0</v>
      </c>
      <c r="CR33" s="578">
        <v>0</v>
      </c>
      <c r="CS33" s="578">
        <v>0</v>
      </c>
      <c r="CT33" s="578">
        <v>0</v>
      </c>
      <c r="CU33" s="578">
        <v>0</v>
      </c>
      <c r="CV33" s="578">
        <v>0</v>
      </c>
      <c r="CW33" s="578">
        <v>0</v>
      </c>
      <c r="CX33" s="578">
        <v>0</v>
      </c>
      <c r="CY33" s="578">
        <v>0</v>
      </c>
      <c r="CZ33" s="578">
        <v>0</v>
      </c>
      <c r="DA33" s="578">
        <v>0</v>
      </c>
      <c r="DB33" s="578">
        <v>0</v>
      </c>
      <c r="DC33" s="578">
        <v>0</v>
      </c>
      <c r="DD33" s="578">
        <v>0</v>
      </c>
      <c r="DE33" s="578">
        <v>0</v>
      </c>
      <c r="DF33" s="578">
        <v>0</v>
      </c>
      <c r="DG33" s="578">
        <v>0</v>
      </c>
      <c r="DH33" s="578">
        <v>0</v>
      </c>
      <c r="DI33" s="578">
        <v>0</v>
      </c>
      <c r="DJ33" s="578">
        <v>0</v>
      </c>
      <c r="DK33" s="578">
        <v>0</v>
      </c>
      <c r="DL33" s="578">
        <v>0</v>
      </c>
      <c r="DM33" s="578">
        <v>0</v>
      </c>
      <c r="DN33" s="578">
        <v>0</v>
      </c>
      <c r="DO33" s="578">
        <v>0</v>
      </c>
      <c r="DP33" s="578">
        <v>0</v>
      </c>
      <c r="DQ33" s="578">
        <v>0</v>
      </c>
      <c r="DR33" s="578">
        <v>0</v>
      </c>
      <c r="DS33" s="578">
        <v>0</v>
      </c>
      <c r="DT33" s="578">
        <v>0</v>
      </c>
      <c r="DU33" s="578">
        <v>0</v>
      </c>
      <c r="DV33" s="578">
        <v>0</v>
      </c>
      <c r="DW33" s="578">
        <v>0</v>
      </c>
      <c r="DX33" s="578">
        <v>0</v>
      </c>
      <c r="DY33" s="578">
        <v>0</v>
      </c>
      <c r="DZ33" s="578">
        <v>0</v>
      </c>
      <c r="EA33" s="578">
        <v>0</v>
      </c>
      <c r="EB33" s="578">
        <v>0</v>
      </c>
      <c r="EC33" s="578">
        <v>0</v>
      </c>
      <c r="ED33" s="578">
        <v>0</v>
      </c>
      <c r="EE33" s="578">
        <v>0</v>
      </c>
      <c r="EF33" s="578">
        <v>0</v>
      </c>
      <c r="EG33" s="578">
        <v>0</v>
      </c>
      <c r="EH33" s="578">
        <v>0</v>
      </c>
      <c r="EI33" s="578">
        <v>0</v>
      </c>
      <c r="EJ33" s="578">
        <v>0</v>
      </c>
      <c r="EK33" s="578">
        <v>0</v>
      </c>
      <c r="EL33" s="578">
        <v>0</v>
      </c>
      <c r="EM33" s="578">
        <v>0</v>
      </c>
      <c r="EN33" s="578">
        <v>0</v>
      </c>
      <c r="EO33" s="578">
        <v>0</v>
      </c>
      <c r="EP33" s="578">
        <v>0</v>
      </c>
      <c r="EQ33" s="578">
        <v>0</v>
      </c>
      <c r="ER33" s="578">
        <v>0</v>
      </c>
      <c r="ES33" s="578">
        <v>0</v>
      </c>
      <c r="ET33" s="578">
        <v>0</v>
      </c>
      <c r="EU33" s="578">
        <v>0</v>
      </c>
      <c r="EV33" s="578">
        <v>0</v>
      </c>
      <c r="EW33" s="578">
        <v>0</v>
      </c>
      <c r="EX33" s="578">
        <v>0</v>
      </c>
      <c r="EY33" s="578">
        <v>0</v>
      </c>
      <c r="EZ33" s="578">
        <v>0</v>
      </c>
      <c r="FA33" s="578">
        <v>0</v>
      </c>
      <c r="FB33" s="578">
        <v>0</v>
      </c>
      <c r="FC33" s="578">
        <v>0</v>
      </c>
      <c r="FD33" s="578">
        <v>0</v>
      </c>
      <c r="FE33" s="578">
        <v>0</v>
      </c>
      <c r="FF33" s="578">
        <v>0</v>
      </c>
      <c r="FG33" s="578">
        <v>0</v>
      </c>
      <c r="FH33" s="578">
        <v>0</v>
      </c>
      <c r="FI33" s="578">
        <v>0</v>
      </c>
      <c r="FJ33" s="578">
        <v>0</v>
      </c>
      <c r="FK33" s="578">
        <v>0</v>
      </c>
      <c r="FL33" s="578">
        <v>0</v>
      </c>
      <c r="FM33" s="578">
        <v>0</v>
      </c>
      <c r="FN33" s="578">
        <v>0</v>
      </c>
      <c r="FO33" s="578">
        <v>0</v>
      </c>
      <c r="FP33" s="578">
        <v>0</v>
      </c>
      <c r="FQ33" s="578">
        <v>0</v>
      </c>
      <c r="FR33" s="578">
        <v>0</v>
      </c>
      <c r="FS33" s="578">
        <v>0</v>
      </c>
      <c r="FT33" s="578">
        <v>0</v>
      </c>
      <c r="FU33" s="578">
        <v>0</v>
      </c>
      <c r="FV33" s="578">
        <v>0</v>
      </c>
      <c r="FW33" s="578">
        <v>0</v>
      </c>
      <c r="FX33" s="578">
        <v>0</v>
      </c>
      <c r="FY33" s="578">
        <v>0</v>
      </c>
      <c r="FZ33" s="578">
        <v>0</v>
      </c>
      <c r="GA33" s="578">
        <v>0</v>
      </c>
      <c r="GB33" s="578">
        <v>0</v>
      </c>
      <c r="GC33" s="578">
        <v>0</v>
      </c>
      <c r="GD33" s="578">
        <v>0</v>
      </c>
      <c r="GE33" s="578">
        <v>0</v>
      </c>
      <c r="GF33" s="578">
        <v>0</v>
      </c>
      <c r="GG33" s="579">
        <v>0</v>
      </c>
      <c r="GH33" s="572"/>
    </row>
    <row r="34" spans="1:190">
      <c r="A34" s="572" t="s">
        <v>9265</v>
      </c>
      <c r="B34" s="577" t="s">
        <v>176</v>
      </c>
      <c r="C34" s="573" t="s">
        <v>6076</v>
      </c>
      <c r="D34" s="578">
        <v>0</v>
      </c>
      <c r="E34" s="578">
        <v>0</v>
      </c>
      <c r="F34" s="578">
        <v>0</v>
      </c>
      <c r="G34" s="578">
        <v>0</v>
      </c>
      <c r="H34" s="578">
        <v>0</v>
      </c>
      <c r="I34" s="578">
        <v>0</v>
      </c>
      <c r="J34" s="578">
        <v>0</v>
      </c>
      <c r="K34" s="578">
        <v>3.5522716777379133E-5</v>
      </c>
      <c r="L34" s="578">
        <v>0</v>
      </c>
      <c r="M34" s="578">
        <v>0</v>
      </c>
      <c r="N34" s="578">
        <v>0</v>
      </c>
      <c r="O34" s="578">
        <v>5.0363493036699653E-4</v>
      </c>
      <c r="P34" s="578">
        <v>0</v>
      </c>
      <c r="Q34" s="578">
        <v>0</v>
      </c>
      <c r="R34" s="578">
        <v>0</v>
      </c>
      <c r="S34" s="578">
        <v>0</v>
      </c>
      <c r="T34" s="578">
        <v>6.5607542243056263E-6</v>
      </c>
      <c r="U34" s="578">
        <v>0</v>
      </c>
      <c r="V34" s="578">
        <v>0</v>
      </c>
      <c r="W34" s="578">
        <v>0</v>
      </c>
      <c r="X34" s="578">
        <v>0</v>
      </c>
      <c r="Y34" s="578">
        <v>0</v>
      </c>
      <c r="Z34" s="578">
        <v>0</v>
      </c>
      <c r="AA34" s="578">
        <v>0</v>
      </c>
      <c r="AB34" s="578">
        <v>0</v>
      </c>
      <c r="AC34" s="578">
        <v>0</v>
      </c>
      <c r="AD34" s="578">
        <v>0</v>
      </c>
      <c r="AE34" s="578">
        <v>3.1545741324921135E-3</v>
      </c>
      <c r="AF34" s="578">
        <v>0.1394219828567094</v>
      </c>
      <c r="AG34" s="578">
        <v>0</v>
      </c>
      <c r="AH34" s="578">
        <v>0</v>
      </c>
      <c r="AI34" s="578">
        <v>2.8399599064483794E-2</v>
      </c>
      <c r="AJ34" s="578">
        <v>4.1779832418376191E-2</v>
      </c>
      <c r="AK34" s="578">
        <v>2.4943876278373658E-2</v>
      </c>
      <c r="AL34" s="578">
        <v>6.0181883024251072E-2</v>
      </c>
      <c r="AM34" s="578">
        <v>0</v>
      </c>
      <c r="AN34" s="578">
        <v>8.6266390614216703E-5</v>
      </c>
      <c r="AO34" s="578">
        <v>1.9431939631440879E-4</v>
      </c>
      <c r="AP34" s="578">
        <v>0</v>
      </c>
      <c r="AQ34" s="578">
        <v>0</v>
      </c>
      <c r="AR34" s="578">
        <v>8.2645603844201231E-4</v>
      </c>
      <c r="AS34" s="578">
        <v>2.3561288802497498E-5</v>
      </c>
      <c r="AT34" s="578">
        <v>2.279556522640141E-4</v>
      </c>
      <c r="AU34" s="578">
        <v>1.5542939415258259E-4</v>
      </c>
      <c r="AV34" s="578">
        <v>0</v>
      </c>
      <c r="AW34" s="578">
        <v>0</v>
      </c>
      <c r="AX34" s="578">
        <v>0</v>
      </c>
      <c r="AY34" s="578">
        <v>0</v>
      </c>
      <c r="AZ34" s="578">
        <v>0</v>
      </c>
      <c r="BA34" s="578">
        <v>0</v>
      </c>
      <c r="BB34" s="578">
        <v>0</v>
      </c>
      <c r="BC34" s="578">
        <v>0</v>
      </c>
      <c r="BD34" s="578">
        <v>0</v>
      </c>
      <c r="BE34" s="578">
        <v>0</v>
      </c>
      <c r="BF34" s="578">
        <v>0</v>
      </c>
      <c r="BG34" s="578">
        <v>0</v>
      </c>
      <c r="BH34" s="578">
        <v>0</v>
      </c>
      <c r="BI34" s="578">
        <v>0</v>
      </c>
      <c r="BJ34" s="578">
        <v>1.6494777341124366E-5</v>
      </c>
      <c r="BK34" s="578">
        <v>0</v>
      </c>
      <c r="BL34" s="578">
        <v>0</v>
      </c>
      <c r="BM34" s="578">
        <v>2.564824801855834E-4</v>
      </c>
      <c r="BN34" s="578">
        <v>0</v>
      </c>
      <c r="BO34" s="578">
        <v>6.0169401493128322E-3</v>
      </c>
      <c r="BP34" s="578">
        <v>3.0505520046484602E-3</v>
      </c>
      <c r="BQ34" s="578">
        <v>3.8390919712902689E-3</v>
      </c>
      <c r="BR34" s="578">
        <v>0</v>
      </c>
      <c r="BS34" s="578">
        <v>0</v>
      </c>
      <c r="BT34" s="578">
        <v>0</v>
      </c>
      <c r="BU34" s="578">
        <v>0</v>
      </c>
      <c r="BV34" s="578">
        <v>6.7376364371378515E-5</v>
      </c>
      <c r="BW34" s="578">
        <v>0</v>
      </c>
      <c r="BX34" s="578">
        <v>0</v>
      </c>
      <c r="BY34" s="578">
        <v>0</v>
      </c>
      <c r="BZ34" s="578">
        <v>0</v>
      </c>
      <c r="CA34" s="578">
        <v>0</v>
      </c>
      <c r="CB34" s="578">
        <v>0</v>
      </c>
      <c r="CC34" s="578">
        <v>0</v>
      </c>
      <c r="CD34" s="578">
        <v>0</v>
      </c>
      <c r="CE34" s="578">
        <v>0</v>
      </c>
      <c r="CF34" s="578">
        <v>7.1056371387967791E-4</v>
      </c>
      <c r="CG34" s="578">
        <v>0</v>
      </c>
      <c r="CH34" s="578">
        <v>0</v>
      </c>
      <c r="CI34" s="578">
        <v>0</v>
      </c>
      <c r="CJ34" s="578">
        <v>0</v>
      </c>
      <c r="CK34" s="578">
        <v>0</v>
      </c>
      <c r="CL34" s="578">
        <v>0</v>
      </c>
      <c r="CM34" s="578">
        <v>0</v>
      </c>
      <c r="CN34" s="578">
        <v>0</v>
      </c>
      <c r="CO34" s="578">
        <v>0</v>
      </c>
      <c r="CP34" s="578">
        <v>0</v>
      </c>
      <c r="CQ34" s="578">
        <v>0</v>
      </c>
      <c r="CR34" s="578">
        <v>0</v>
      </c>
      <c r="CS34" s="578">
        <v>0</v>
      </c>
      <c r="CT34" s="578">
        <v>0</v>
      </c>
      <c r="CU34" s="578">
        <v>0</v>
      </c>
      <c r="CV34" s="578">
        <v>0</v>
      </c>
      <c r="CW34" s="578">
        <v>0</v>
      </c>
      <c r="CX34" s="578">
        <v>0</v>
      </c>
      <c r="CY34" s="578">
        <v>0</v>
      </c>
      <c r="CZ34" s="578">
        <v>0</v>
      </c>
      <c r="DA34" s="578">
        <v>0</v>
      </c>
      <c r="DB34" s="578">
        <v>3.7905452970162992E-4</v>
      </c>
      <c r="DC34" s="578">
        <v>0</v>
      </c>
      <c r="DD34" s="578">
        <v>0</v>
      </c>
      <c r="DE34" s="578">
        <v>0</v>
      </c>
      <c r="DF34" s="578">
        <v>0</v>
      </c>
      <c r="DG34" s="578">
        <v>0</v>
      </c>
      <c r="DH34" s="578">
        <v>0</v>
      </c>
      <c r="DI34" s="578">
        <v>0</v>
      </c>
      <c r="DJ34" s="578">
        <v>0</v>
      </c>
      <c r="DK34" s="578">
        <v>0</v>
      </c>
      <c r="DL34" s="578">
        <v>0</v>
      </c>
      <c r="DM34" s="578">
        <v>7.069336047958376E-5</v>
      </c>
      <c r="DN34" s="578">
        <v>0</v>
      </c>
      <c r="DO34" s="578">
        <v>0</v>
      </c>
      <c r="DP34" s="578">
        <v>0</v>
      </c>
      <c r="DQ34" s="578">
        <v>0</v>
      </c>
      <c r="DR34" s="578">
        <v>2.0007402739013434E-5</v>
      </c>
      <c r="DS34" s="578">
        <v>0</v>
      </c>
      <c r="DT34" s="578">
        <v>1.3120585469680513E-4</v>
      </c>
      <c r="DU34" s="578">
        <v>0</v>
      </c>
      <c r="DV34" s="578">
        <v>0</v>
      </c>
      <c r="DW34" s="578">
        <v>2.3938367133633405E-3</v>
      </c>
      <c r="DX34" s="578">
        <v>3.1871142519168655E-4</v>
      </c>
      <c r="DY34" s="578">
        <v>0</v>
      </c>
      <c r="DZ34" s="578">
        <v>0</v>
      </c>
      <c r="EA34" s="578">
        <v>0</v>
      </c>
      <c r="EB34" s="578">
        <v>0</v>
      </c>
      <c r="EC34" s="578">
        <v>0</v>
      </c>
      <c r="ED34" s="578">
        <v>0</v>
      </c>
      <c r="EE34" s="578">
        <v>0</v>
      </c>
      <c r="EF34" s="578">
        <v>0</v>
      </c>
      <c r="EG34" s="578">
        <v>0</v>
      </c>
      <c r="EH34" s="578">
        <v>0</v>
      </c>
      <c r="EI34" s="578">
        <v>0</v>
      </c>
      <c r="EJ34" s="578">
        <v>0</v>
      </c>
      <c r="EK34" s="578">
        <v>0</v>
      </c>
      <c r="EL34" s="578">
        <v>0</v>
      </c>
      <c r="EM34" s="578">
        <v>0</v>
      </c>
      <c r="EN34" s="578">
        <v>0</v>
      </c>
      <c r="EO34" s="578">
        <v>0</v>
      </c>
      <c r="EP34" s="578">
        <v>0</v>
      </c>
      <c r="EQ34" s="578">
        <v>0</v>
      </c>
      <c r="ER34" s="578">
        <v>0</v>
      </c>
      <c r="ES34" s="578">
        <v>0</v>
      </c>
      <c r="ET34" s="578">
        <v>0</v>
      </c>
      <c r="EU34" s="578">
        <v>0</v>
      </c>
      <c r="EV34" s="578">
        <v>0</v>
      </c>
      <c r="EW34" s="578">
        <v>0</v>
      </c>
      <c r="EX34" s="578">
        <v>0</v>
      </c>
      <c r="EY34" s="578">
        <v>0</v>
      </c>
      <c r="EZ34" s="578">
        <v>0</v>
      </c>
      <c r="FA34" s="578">
        <v>0</v>
      </c>
      <c r="FB34" s="578">
        <v>0</v>
      </c>
      <c r="FC34" s="578">
        <v>0</v>
      </c>
      <c r="FD34" s="578">
        <v>0</v>
      </c>
      <c r="FE34" s="578">
        <v>0</v>
      </c>
      <c r="FF34" s="578">
        <v>0</v>
      </c>
      <c r="FG34" s="578">
        <v>0</v>
      </c>
      <c r="FH34" s="578">
        <v>0</v>
      </c>
      <c r="FI34" s="578">
        <v>0</v>
      </c>
      <c r="FJ34" s="578">
        <v>0</v>
      </c>
      <c r="FK34" s="578">
        <v>0</v>
      </c>
      <c r="FL34" s="578">
        <v>0</v>
      </c>
      <c r="FM34" s="578">
        <v>0</v>
      </c>
      <c r="FN34" s="578">
        <v>0</v>
      </c>
      <c r="FO34" s="578">
        <v>0</v>
      </c>
      <c r="FP34" s="578">
        <v>0</v>
      </c>
      <c r="FQ34" s="578">
        <v>0</v>
      </c>
      <c r="FR34" s="578">
        <v>0</v>
      </c>
      <c r="FS34" s="578">
        <v>0</v>
      </c>
      <c r="FT34" s="578">
        <v>0</v>
      </c>
      <c r="FU34" s="578">
        <v>0</v>
      </c>
      <c r="FV34" s="578">
        <v>0</v>
      </c>
      <c r="FW34" s="578">
        <v>0</v>
      </c>
      <c r="FX34" s="578">
        <v>0</v>
      </c>
      <c r="FY34" s="578">
        <v>0</v>
      </c>
      <c r="FZ34" s="578">
        <v>0</v>
      </c>
      <c r="GA34" s="578">
        <v>0</v>
      </c>
      <c r="GB34" s="578">
        <v>0</v>
      </c>
      <c r="GC34" s="578">
        <v>2.478855363747236E-6</v>
      </c>
      <c r="GD34" s="578">
        <v>1.8136568359748909E-4</v>
      </c>
      <c r="GE34" s="578">
        <v>0</v>
      </c>
      <c r="GF34" s="578">
        <v>1.0614021121902032E-5</v>
      </c>
      <c r="GG34" s="579">
        <v>1.513402493294672E-4</v>
      </c>
      <c r="GH34" s="572"/>
    </row>
    <row r="35" spans="1:190">
      <c r="A35" s="572" t="s">
        <v>9266</v>
      </c>
      <c r="B35" s="577" t="s">
        <v>179</v>
      </c>
      <c r="C35" s="573" t="s">
        <v>9509</v>
      </c>
      <c r="D35" s="578">
        <v>6.6946353655270913E-5</v>
      </c>
      <c r="E35" s="578">
        <v>0</v>
      </c>
      <c r="F35" s="578">
        <v>0</v>
      </c>
      <c r="G35" s="578">
        <v>0</v>
      </c>
      <c r="H35" s="578">
        <v>0</v>
      </c>
      <c r="I35" s="578">
        <v>0</v>
      </c>
      <c r="J35" s="578">
        <v>0</v>
      </c>
      <c r="K35" s="578">
        <v>0</v>
      </c>
      <c r="L35" s="578">
        <v>0</v>
      </c>
      <c r="M35" s="578">
        <v>0</v>
      </c>
      <c r="N35" s="578">
        <v>7.1174377224199293E-4</v>
      </c>
      <c r="O35" s="578">
        <v>0</v>
      </c>
      <c r="P35" s="578">
        <v>0</v>
      </c>
      <c r="Q35" s="578">
        <v>0</v>
      </c>
      <c r="R35" s="578">
        <v>0</v>
      </c>
      <c r="S35" s="578">
        <v>0</v>
      </c>
      <c r="T35" s="578">
        <v>0</v>
      </c>
      <c r="U35" s="578">
        <v>0</v>
      </c>
      <c r="V35" s="578">
        <v>0</v>
      </c>
      <c r="W35" s="578">
        <v>0</v>
      </c>
      <c r="X35" s="578">
        <v>0</v>
      </c>
      <c r="Y35" s="578">
        <v>0</v>
      </c>
      <c r="Z35" s="578">
        <v>0</v>
      </c>
      <c r="AA35" s="578">
        <v>0</v>
      </c>
      <c r="AB35" s="578">
        <v>3.303546357014255E-5</v>
      </c>
      <c r="AC35" s="578">
        <v>0</v>
      </c>
      <c r="AD35" s="578">
        <v>0</v>
      </c>
      <c r="AE35" s="578">
        <v>1.0815682739972961E-2</v>
      </c>
      <c r="AF35" s="578">
        <v>1.1378290222255935E-3</v>
      </c>
      <c r="AG35" s="578">
        <v>0</v>
      </c>
      <c r="AH35" s="578">
        <v>1.1569610489780178E-3</v>
      </c>
      <c r="AI35" s="578">
        <v>4.4102906782492483E-3</v>
      </c>
      <c r="AJ35" s="578">
        <v>5.564865645767119E-2</v>
      </c>
      <c r="AK35" s="578">
        <v>5.3005737091544027E-2</v>
      </c>
      <c r="AL35" s="578">
        <v>9.0228245363766044E-2</v>
      </c>
      <c r="AM35" s="578">
        <v>0</v>
      </c>
      <c r="AN35" s="578">
        <v>8.6266390614216703E-5</v>
      </c>
      <c r="AO35" s="578">
        <v>3.432976001554555E-3</v>
      </c>
      <c r="AP35" s="578">
        <v>6.3532401524777639E-4</v>
      </c>
      <c r="AQ35" s="578">
        <v>1.1172722006124306E-3</v>
      </c>
      <c r="AR35" s="578">
        <v>4.7226059339543558E-5</v>
      </c>
      <c r="AS35" s="578">
        <v>0</v>
      </c>
      <c r="AT35" s="578">
        <v>1.1397782613200705E-3</v>
      </c>
      <c r="AU35" s="578">
        <v>5.7263461003583056E-5</v>
      </c>
      <c r="AV35" s="578">
        <v>1.1982505541908813E-4</v>
      </c>
      <c r="AW35" s="578">
        <v>0</v>
      </c>
      <c r="AX35" s="578">
        <v>0</v>
      </c>
      <c r="AY35" s="578">
        <v>0</v>
      </c>
      <c r="AZ35" s="578">
        <v>0</v>
      </c>
      <c r="BA35" s="578">
        <v>0</v>
      </c>
      <c r="BB35" s="578">
        <v>0</v>
      </c>
      <c r="BC35" s="578">
        <v>0</v>
      </c>
      <c r="BD35" s="578">
        <v>0</v>
      </c>
      <c r="BE35" s="578">
        <v>0</v>
      </c>
      <c r="BF35" s="578">
        <v>0</v>
      </c>
      <c r="BG35" s="578">
        <v>0</v>
      </c>
      <c r="BH35" s="578">
        <v>0</v>
      </c>
      <c r="BI35" s="578">
        <v>0</v>
      </c>
      <c r="BJ35" s="578">
        <v>4.9484332023373099E-5</v>
      </c>
      <c r="BK35" s="578">
        <v>0</v>
      </c>
      <c r="BL35" s="578">
        <v>0</v>
      </c>
      <c r="BM35" s="578">
        <v>1.8320177156113101E-4</v>
      </c>
      <c r="BN35" s="578">
        <v>6.4197530864197527E-3</v>
      </c>
      <c r="BO35" s="578">
        <v>8.5859707748621311E-3</v>
      </c>
      <c r="BP35" s="578">
        <v>1.452643811737362E-3</v>
      </c>
      <c r="BQ35" s="578">
        <v>6.4819451399321208E-3</v>
      </c>
      <c r="BR35" s="578">
        <v>2.8805223347166953E-4</v>
      </c>
      <c r="BS35" s="578">
        <v>0</v>
      </c>
      <c r="BT35" s="578">
        <v>0</v>
      </c>
      <c r="BU35" s="578">
        <v>0</v>
      </c>
      <c r="BV35" s="578">
        <v>8.758927368279208E-4</v>
      </c>
      <c r="BW35" s="578">
        <v>0</v>
      </c>
      <c r="BX35" s="578">
        <v>0</v>
      </c>
      <c r="BY35" s="578">
        <v>0</v>
      </c>
      <c r="BZ35" s="578">
        <v>0</v>
      </c>
      <c r="CA35" s="578">
        <v>0</v>
      </c>
      <c r="CB35" s="578">
        <v>0</v>
      </c>
      <c r="CC35" s="578">
        <v>0</v>
      </c>
      <c r="CD35" s="578">
        <v>0</v>
      </c>
      <c r="CE35" s="578">
        <v>0</v>
      </c>
      <c r="CF35" s="578">
        <v>6.3161219011526927E-4</v>
      </c>
      <c r="CG35" s="578">
        <v>7.093305338421598E-6</v>
      </c>
      <c r="CH35" s="578">
        <v>0</v>
      </c>
      <c r="CI35" s="578">
        <v>2.4871291068719379E-5</v>
      </c>
      <c r="CJ35" s="578">
        <v>0</v>
      </c>
      <c r="CK35" s="578">
        <v>3.0258101606705194E-5</v>
      </c>
      <c r="CL35" s="578">
        <v>0</v>
      </c>
      <c r="CM35" s="578">
        <v>0</v>
      </c>
      <c r="CN35" s="578">
        <v>2.4121960632960248E-5</v>
      </c>
      <c r="CO35" s="578">
        <v>0</v>
      </c>
      <c r="CP35" s="578">
        <v>8.9415846276277076E-6</v>
      </c>
      <c r="CQ35" s="578">
        <v>0</v>
      </c>
      <c r="CR35" s="578">
        <v>0</v>
      </c>
      <c r="CS35" s="578">
        <v>5.650355972426263E-5</v>
      </c>
      <c r="CT35" s="578">
        <v>0</v>
      </c>
      <c r="CU35" s="578">
        <v>0</v>
      </c>
      <c r="CV35" s="578">
        <v>0</v>
      </c>
      <c r="CW35" s="578">
        <v>3.9010688928766481E-4</v>
      </c>
      <c r="CX35" s="578">
        <v>0</v>
      </c>
      <c r="CY35" s="578">
        <v>0</v>
      </c>
      <c r="CZ35" s="578">
        <v>0</v>
      </c>
      <c r="DA35" s="578">
        <v>2.1417403782313509E-5</v>
      </c>
      <c r="DB35" s="578">
        <v>5.4150647100232849E-5</v>
      </c>
      <c r="DC35" s="578">
        <v>0</v>
      </c>
      <c r="DD35" s="578">
        <v>0</v>
      </c>
      <c r="DE35" s="578">
        <v>1.9535864212114054E-4</v>
      </c>
      <c r="DF35" s="578">
        <v>5.9908938413611313E-5</v>
      </c>
      <c r="DG35" s="578">
        <v>0</v>
      </c>
      <c r="DH35" s="578">
        <v>3.1716903977073208E-4</v>
      </c>
      <c r="DI35" s="578">
        <v>0</v>
      </c>
      <c r="DJ35" s="578">
        <v>0</v>
      </c>
      <c r="DK35" s="578">
        <v>6.4264091593242126E-4</v>
      </c>
      <c r="DL35" s="578">
        <v>0</v>
      </c>
      <c r="DM35" s="578">
        <v>2.8277344191833504E-4</v>
      </c>
      <c r="DN35" s="578">
        <v>0</v>
      </c>
      <c r="DO35" s="578">
        <v>0</v>
      </c>
      <c r="DP35" s="578">
        <v>0</v>
      </c>
      <c r="DQ35" s="578">
        <v>0</v>
      </c>
      <c r="DR35" s="578">
        <v>3.4012584656322841E-4</v>
      </c>
      <c r="DS35" s="578">
        <v>4.7111156691066188E-4</v>
      </c>
      <c r="DT35" s="578">
        <v>5.1753420463739801E-4</v>
      </c>
      <c r="DU35" s="578">
        <v>3.9813989043190215E-5</v>
      </c>
      <c r="DV35" s="578">
        <v>1.2669614463631872E-5</v>
      </c>
      <c r="DW35" s="578">
        <v>1.4835044420843236E-3</v>
      </c>
      <c r="DX35" s="578">
        <v>4.1064741322774996E-4</v>
      </c>
      <c r="DY35" s="578">
        <v>0</v>
      </c>
      <c r="DZ35" s="578">
        <v>3.36823384973972E-5</v>
      </c>
      <c r="EA35" s="578">
        <v>2.8936924183032723E-5</v>
      </c>
      <c r="EB35" s="578">
        <v>2.4893913629609203E-4</v>
      </c>
      <c r="EC35" s="578">
        <v>0</v>
      </c>
      <c r="ED35" s="578">
        <v>0</v>
      </c>
      <c r="EE35" s="578">
        <v>0</v>
      </c>
      <c r="EF35" s="578">
        <v>0</v>
      </c>
      <c r="EG35" s="578">
        <v>0</v>
      </c>
      <c r="EH35" s="578">
        <v>5.3248136315228966E-6</v>
      </c>
      <c r="EI35" s="578">
        <v>0</v>
      </c>
      <c r="EJ35" s="578">
        <v>1.8873401714963103E-5</v>
      </c>
      <c r="EK35" s="578">
        <v>3.2861413222072895E-5</v>
      </c>
      <c r="EL35" s="578">
        <v>1.4920473874250245E-6</v>
      </c>
      <c r="EM35" s="578">
        <v>0</v>
      </c>
      <c r="EN35" s="578">
        <v>0</v>
      </c>
      <c r="EO35" s="578">
        <v>0</v>
      </c>
      <c r="EP35" s="578">
        <v>0</v>
      </c>
      <c r="EQ35" s="578">
        <v>2.7115059365033096E-5</v>
      </c>
      <c r="ER35" s="578">
        <v>0</v>
      </c>
      <c r="ES35" s="578">
        <v>1.3608126773309019E-5</v>
      </c>
      <c r="ET35" s="578">
        <v>0</v>
      </c>
      <c r="EU35" s="578">
        <v>3.5201764781807731E-5</v>
      </c>
      <c r="EV35" s="578">
        <v>2.4519049415314977E-4</v>
      </c>
      <c r="EW35" s="578">
        <v>2.1389958386808228E-4</v>
      </c>
      <c r="EX35" s="578">
        <v>0</v>
      </c>
      <c r="EY35" s="578">
        <v>0</v>
      </c>
      <c r="EZ35" s="578">
        <v>8.6908155461308481E-6</v>
      </c>
      <c r="FA35" s="578">
        <v>2.8391718354153929E-4</v>
      </c>
      <c r="FB35" s="578">
        <v>6.7458858528654839E-6</v>
      </c>
      <c r="FC35" s="578">
        <v>0</v>
      </c>
      <c r="FD35" s="578">
        <v>0</v>
      </c>
      <c r="FE35" s="578">
        <v>0</v>
      </c>
      <c r="FF35" s="578">
        <v>4.5504186385147432E-5</v>
      </c>
      <c r="FG35" s="578">
        <v>0</v>
      </c>
      <c r="FH35" s="578">
        <v>1.6257519102584946E-5</v>
      </c>
      <c r="FI35" s="578">
        <v>1.4680752359196904E-5</v>
      </c>
      <c r="FJ35" s="578">
        <v>3.4171094671017786E-6</v>
      </c>
      <c r="FK35" s="578">
        <v>0</v>
      </c>
      <c r="FL35" s="578">
        <v>0</v>
      </c>
      <c r="FM35" s="578">
        <v>0</v>
      </c>
      <c r="FN35" s="578">
        <v>0</v>
      </c>
      <c r="FO35" s="578">
        <v>4.4562110421938814E-6</v>
      </c>
      <c r="FP35" s="578">
        <v>1.7332114833139005E-4</v>
      </c>
      <c r="FQ35" s="578">
        <v>5.5658523824631125E-6</v>
      </c>
      <c r="FR35" s="578">
        <v>7.0037656913533846E-6</v>
      </c>
      <c r="FS35" s="578">
        <v>5.6063239333968717E-6</v>
      </c>
      <c r="FT35" s="578">
        <v>1.5563960094006318E-5</v>
      </c>
      <c r="FU35" s="578">
        <v>0</v>
      </c>
      <c r="FV35" s="578">
        <v>0</v>
      </c>
      <c r="FW35" s="578">
        <v>0</v>
      </c>
      <c r="FX35" s="578">
        <v>0</v>
      </c>
      <c r="FY35" s="578">
        <v>4.9090355708717465E-5</v>
      </c>
      <c r="FZ35" s="578">
        <v>4.7643178579626914E-5</v>
      </c>
      <c r="GA35" s="578">
        <v>0</v>
      </c>
      <c r="GB35" s="578">
        <v>1.4149675264952669E-5</v>
      </c>
      <c r="GC35" s="578">
        <v>1.7351987546230653E-4</v>
      </c>
      <c r="GD35" s="578">
        <v>1.0075871310971616E-5</v>
      </c>
      <c r="GE35" s="578">
        <v>1.8564586195373705E-3</v>
      </c>
      <c r="GF35" s="578">
        <v>1.008332006580693E-4</v>
      </c>
      <c r="GG35" s="579">
        <v>1.6989842440836897E-4</v>
      </c>
      <c r="GH35" s="572"/>
    </row>
    <row r="36" spans="1:190">
      <c r="A36" s="572" t="s">
        <v>9267</v>
      </c>
      <c r="B36" s="577" t="s">
        <v>183</v>
      </c>
      <c r="C36" s="573" t="s">
        <v>184</v>
      </c>
      <c r="D36" s="578">
        <v>0</v>
      </c>
      <c r="E36" s="578">
        <v>0</v>
      </c>
      <c r="F36" s="578">
        <v>0</v>
      </c>
      <c r="G36" s="578">
        <v>0</v>
      </c>
      <c r="H36" s="578">
        <v>0</v>
      </c>
      <c r="I36" s="578">
        <v>0</v>
      </c>
      <c r="J36" s="578">
        <v>0</v>
      </c>
      <c r="K36" s="578">
        <v>0</v>
      </c>
      <c r="L36" s="578">
        <v>0</v>
      </c>
      <c r="M36" s="578">
        <v>0</v>
      </c>
      <c r="N36" s="578">
        <v>0</v>
      </c>
      <c r="O36" s="578">
        <v>0</v>
      </c>
      <c r="P36" s="578">
        <v>0</v>
      </c>
      <c r="Q36" s="578">
        <v>0</v>
      </c>
      <c r="R36" s="578">
        <v>0</v>
      </c>
      <c r="S36" s="578">
        <v>0</v>
      </c>
      <c r="T36" s="578">
        <v>0</v>
      </c>
      <c r="U36" s="578">
        <v>0</v>
      </c>
      <c r="V36" s="578">
        <v>0</v>
      </c>
      <c r="W36" s="578">
        <v>0</v>
      </c>
      <c r="X36" s="578">
        <v>0</v>
      </c>
      <c r="Y36" s="578">
        <v>0</v>
      </c>
      <c r="Z36" s="578">
        <v>0</v>
      </c>
      <c r="AA36" s="578">
        <v>0</v>
      </c>
      <c r="AB36" s="578">
        <v>0</v>
      </c>
      <c r="AC36" s="578">
        <v>0</v>
      </c>
      <c r="AD36" s="578">
        <v>0</v>
      </c>
      <c r="AE36" s="578">
        <v>0</v>
      </c>
      <c r="AF36" s="578">
        <v>0</v>
      </c>
      <c r="AG36" s="578">
        <v>0</v>
      </c>
      <c r="AH36" s="578">
        <v>0</v>
      </c>
      <c r="AI36" s="578">
        <v>0</v>
      </c>
      <c r="AJ36" s="578">
        <v>6.8477318694019074E-2</v>
      </c>
      <c r="AK36" s="578">
        <v>4.4774257919680718E-2</v>
      </c>
      <c r="AL36" s="578">
        <v>0</v>
      </c>
      <c r="AM36" s="578">
        <v>0</v>
      </c>
      <c r="AN36" s="578">
        <v>0</v>
      </c>
      <c r="AO36" s="578">
        <v>0</v>
      </c>
      <c r="AP36" s="578">
        <v>0</v>
      </c>
      <c r="AQ36" s="578">
        <v>0</v>
      </c>
      <c r="AR36" s="578">
        <v>0</v>
      </c>
      <c r="AS36" s="578">
        <v>0</v>
      </c>
      <c r="AT36" s="578">
        <v>0</v>
      </c>
      <c r="AU36" s="578">
        <v>0</v>
      </c>
      <c r="AV36" s="578">
        <v>0</v>
      </c>
      <c r="AW36" s="578">
        <v>0</v>
      </c>
      <c r="AX36" s="578">
        <v>0</v>
      </c>
      <c r="AY36" s="578">
        <v>0</v>
      </c>
      <c r="AZ36" s="578">
        <v>0</v>
      </c>
      <c r="BA36" s="578">
        <v>0</v>
      </c>
      <c r="BB36" s="578">
        <v>0</v>
      </c>
      <c r="BC36" s="578">
        <v>0</v>
      </c>
      <c r="BD36" s="578">
        <v>0</v>
      </c>
      <c r="BE36" s="578">
        <v>0</v>
      </c>
      <c r="BF36" s="578">
        <v>0</v>
      </c>
      <c r="BG36" s="578">
        <v>0</v>
      </c>
      <c r="BH36" s="578">
        <v>0</v>
      </c>
      <c r="BI36" s="578">
        <v>0</v>
      </c>
      <c r="BJ36" s="578">
        <v>0</v>
      </c>
      <c r="BK36" s="578">
        <v>0</v>
      </c>
      <c r="BL36" s="578">
        <v>0</v>
      </c>
      <c r="BM36" s="578">
        <v>0</v>
      </c>
      <c r="BN36" s="578">
        <v>0</v>
      </c>
      <c r="BO36" s="578">
        <v>0</v>
      </c>
      <c r="BP36" s="578">
        <v>0</v>
      </c>
      <c r="BQ36" s="578">
        <v>2.7819507038335281E-5</v>
      </c>
      <c r="BR36" s="578">
        <v>0</v>
      </c>
      <c r="BS36" s="578">
        <v>0</v>
      </c>
      <c r="BT36" s="578">
        <v>0</v>
      </c>
      <c r="BU36" s="578">
        <v>0</v>
      </c>
      <c r="BV36" s="578">
        <v>0</v>
      </c>
      <c r="BW36" s="578">
        <v>0</v>
      </c>
      <c r="BX36" s="578">
        <v>0</v>
      </c>
      <c r="BY36" s="578">
        <v>0</v>
      </c>
      <c r="BZ36" s="578">
        <v>0</v>
      </c>
      <c r="CA36" s="578">
        <v>0</v>
      </c>
      <c r="CB36" s="578">
        <v>0</v>
      </c>
      <c r="CC36" s="578">
        <v>0</v>
      </c>
      <c r="CD36" s="578">
        <v>0</v>
      </c>
      <c r="CE36" s="578">
        <v>0</v>
      </c>
      <c r="CF36" s="578">
        <v>0</v>
      </c>
      <c r="CG36" s="578">
        <v>0</v>
      </c>
      <c r="CH36" s="578">
        <v>0</v>
      </c>
      <c r="CI36" s="578">
        <v>0</v>
      </c>
      <c r="CJ36" s="578">
        <v>0</v>
      </c>
      <c r="CK36" s="578">
        <v>0</v>
      </c>
      <c r="CL36" s="578">
        <v>0</v>
      </c>
      <c r="CM36" s="578">
        <v>0</v>
      </c>
      <c r="CN36" s="578">
        <v>0</v>
      </c>
      <c r="CO36" s="578">
        <v>0</v>
      </c>
      <c r="CP36" s="578">
        <v>0</v>
      </c>
      <c r="CQ36" s="578">
        <v>0</v>
      </c>
      <c r="CR36" s="578">
        <v>0</v>
      </c>
      <c r="CS36" s="578">
        <v>0</v>
      </c>
      <c r="CT36" s="578">
        <v>0</v>
      </c>
      <c r="CU36" s="578">
        <v>0</v>
      </c>
      <c r="CV36" s="578">
        <v>0</v>
      </c>
      <c r="CW36" s="578">
        <v>0</v>
      </c>
      <c r="CX36" s="578">
        <v>0</v>
      </c>
      <c r="CY36" s="578">
        <v>0</v>
      </c>
      <c r="CZ36" s="578">
        <v>0</v>
      </c>
      <c r="DA36" s="578">
        <v>0</v>
      </c>
      <c r="DB36" s="578">
        <v>0</v>
      </c>
      <c r="DC36" s="578">
        <v>0</v>
      </c>
      <c r="DD36" s="578">
        <v>0</v>
      </c>
      <c r="DE36" s="578">
        <v>0</v>
      </c>
      <c r="DF36" s="578">
        <v>0</v>
      </c>
      <c r="DG36" s="578">
        <v>0</v>
      </c>
      <c r="DH36" s="578">
        <v>0</v>
      </c>
      <c r="DI36" s="578">
        <v>0</v>
      </c>
      <c r="DJ36" s="578">
        <v>0</v>
      </c>
      <c r="DK36" s="578">
        <v>0</v>
      </c>
      <c r="DL36" s="578">
        <v>0</v>
      </c>
      <c r="DM36" s="578">
        <v>0</v>
      </c>
      <c r="DN36" s="578">
        <v>0</v>
      </c>
      <c r="DO36" s="578">
        <v>0</v>
      </c>
      <c r="DP36" s="578">
        <v>0</v>
      </c>
      <c r="DQ36" s="578">
        <v>0</v>
      </c>
      <c r="DR36" s="578">
        <v>0</v>
      </c>
      <c r="DS36" s="578">
        <v>0</v>
      </c>
      <c r="DT36" s="578">
        <v>0</v>
      </c>
      <c r="DU36" s="578">
        <v>0</v>
      </c>
      <c r="DV36" s="578">
        <v>0</v>
      </c>
      <c r="DW36" s="578">
        <v>0</v>
      </c>
      <c r="DX36" s="578">
        <v>7.9677856297921638E-5</v>
      </c>
      <c r="DY36" s="578">
        <v>0</v>
      </c>
      <c r="DZ36" s="578">
        <v>0</v>
      </c>
      <c r="EA36" s="578">
        <v>0</v>
      </c>
      <c r="EB36" s="578">
        <v>0</v>
      </c>
      <c r="EC36" s="578">
        <v>0</v>
      </c>
      <c r="ED36" s="578">
        <v>0</v>
      </c>
      <c r="EE36" s="578">
        <v>0</v>
      </c>
      <c r="EF36" s="578">
        <v>0</v>
      </c>
      <c r="EG36" s="578">
        <v>0</v>
      </c>
      <c r="EH36" s="578">
        <v>0</v>
      </c>
      <c r="EI36" s="578">
        <v>0</v>
      </c>
      <c r="EJ36" s="578">
        <v>0</v>
      </c>
      <c r="EK36" s="578">
        <v>0</v>
      </c>
      <c r="EL36" s="578">
        <v>0</v>
      </c>
      <c r="EM36" s="578">
        <v>0</v>
      </c>
      <c r="EN36" s="578">
        <v>0</v>
      </c>
      <c r="EO36" s="578">
        <v>0</v>
      </c>
      <c r="EP36" s="578">
        <v>0</v>
      </c>
      <c r="EQ36" s="578">
        <v>0</v>
      </c>
      <c r="ER36" s="578">
        <v>0</v>
      </c>
      <c r="ES36" s="578">
        <v>0</v>
      </c>
      <c r="ET36" s="578">
        <v>0</v>
      </c>
      <c r="EU36" s="578">
        <v>0</v>
      </c>
      <c r="EV36" s="578">
        <v>0</v>
      </c>
      <c r="EW36" s="578">
        <v>0</v>
      </c>
      <c r="EX36" s="578">
        <v>0</v>
      </c>
      <c r="EY36" s="578">
        <v>0</v>
      </c>
      <c r="EZ36" s="578">
        <v>0</v>
      </c>
      <c r="FA36" s="578">
        <v>0</v>
      </c>
      <c r="FB36" s="578">
        <v>0</v>
      </c>
      <c r="FC36" s="578">
        <v>0</v>
      </c>
      <c r="FD36" s="578">
        <v>0</v>
      </c>
      <c r="FE36" s="578">
        <v>0</v>
      </c>
      <c r="FF36" s="578">
        <v>0</v>
      </c>
      <c r="FG36" s="578">
        <v>0</v>
      </c>
      <c r="FH36" s="578">
        <v>0</v>
      </c>
      <c r="FI36" s="578">
        <v>0</v>
      </c>
      <c r="FJ36" s="578">
        <v>0</v>
      </c>
      <c r="FK36" s="578">
        <v>0</v>
      </c>
      <c r="FL36" s="578">
        <v>0</v>
      </c>
      <c r="FM36" s="578">
        <v>0</v>
      </c>
      <c r="FN36" s="578">
        <v>0</v>
      </c>
      <c r="FO36" s="578">
        <v>0</v>
      </c>
      <c r="FP36" s="578">
        <v>0</v>
      </c>
      <c r="FQ36" s="578">
        <v>0</v>
      </c>
      <c r="FR36" s="578">
        <v>0</v>
      </c>
      <c r="FS36" s="578">
        <v>0</v>
      </c>
      <c r="FT36" s="578">
        <v>0</v>
      </c>
      <c r="FU36" s="578">
        <v>0</v>
      </c>
      <c r="FV36" s="578">
        <v>0</v>
      </c>
      <c r="FW36" s="578">
        <v>0</v>
      </c>
      <c r="FX36" s="578">
        <v>0</v>
      </c>
      <c r="FY36" s="578">
        <v>0</v>
      </c>
      <c r="FZ36" s="578">
        <v>0</v>
      </c>
      <c r="GA36" s="578">
        <v>0</v>
      </c>
      <c r="GB36" s="578">
        <v>0</v>
      </c>
      <c r="GC36" s="578">
        <v>2.478855363747236E-6</v>
      </c>
      <c r="GD36" s="578">
        <v>0</v>
      </c>
      <c r="GE36" s="578">
        <v>0</v>
      </c>
      <c r="GF36" s="578">
        <v>0</v>
      </c>
      <c r="GG36" s="579">
        <v>4.0016867148005322E-5</v>
      </c>
      <c r="GH36" s="572"/>
    </row>
    <row r="37" spans="1:190">
      <c r="A37" s="572" t="s">
        <v>9268</v>
      </c>
      <c r="B37" s="577" t="s">
        <v>185</v>
      </c>
      <c r="C37" s="573" t="s">
        <v>186</v>
      </c>
      <c r="D37" s="578">
        <v>0</v>
      </c>
      <c r="E37" s="578">
        <v>0</v>
      </c>
      <c r="F37" s="578">
        <v>0</v>
      </c>
      <c r="G37" s="578">
        <v>0</v>
      </c>
      <c r="H37" s="578">
        <v>0</v>
      </c>
      <c r="I37" s="578">
        <v>0</v>
      </c>
      <c r="J37" s="578">
        <v>0</v>
      </c>
      <c r="K37" s="578">
        <v>0</v>
      </c>
      <c r="L37" s="578">
        <v>0</v>
      </c>
      <c r="M37" s="578">
        <v>0</v>
      </c>
      <c r="N37" s="578">
        <v>0</v>
      </c>
      <c r="O37" s="578">
        <v>0</v>
      </c>
      <c r="P37" s="578">
        <v>0</v>
      </c>
      <c r="Q37" s="578">
        <v>0</v>
      </c>
      <c r="R37" s="578">
        <v>0</v>
      </c>
      <c r="S37" s="578">
        <v>0</v>
      </c>
      <c r="T37" s="578">
        <v>0</v>
      </c>
      <c r="U37" s="578">
        <v>0</v>
      </c>
      <c r="V37" s="578">
        <v>0</v>
      </c>
      <c r="W37" s="578">
        <v>0</v>
      </c>
      <c r="X37" s="578">
        <v>0</v>
      </c>
      <c r="Y37" s="578">
        <v>0</v>
      </c>
      <c r="Z37" s="578">
        <v>0</v>
      </c>
      <c r="AA37" s="578">
        <v>0</v>
      </c>
      <c r="AB37" s="578">
        <v>0</v>
      </c>
      <c r="AC37" s="578">
        <v>0</v>
      </c>
      <c r="AD37" s="578">
        <v>0</v>
      </c>
      <c r="AE37" s="578">
        <v>6.3091482649842268E-2</v>
      </c>
      <c r="AF37" s="578">
        <v>0.24721231889554729</v>
      </c>
      <c r="AG37" s="578">
        <v>0</v>
      </c>
      <c r="AH37" s="578">
        <v>0</v>
      </c>
      <c r="AI37" s="578">
        <v>0.16678917474106247</v>
      </c>
      <c r="AJ37" s="578">
        <v>6.6050274487142444E-2</v>
      </c>
      <c r="AK37" s="578">
        <v>3.6168620603641809E-2</v>
      </c>
      <c r="AL37" s="578">
        <v>3.6644079885877319E-2</v>
      </c>
      <c r="AM37" s="578">
        <v>0</v>
      </c>
      <c r="AN37" s="578">
        <v>0</v>
      </c>
      <c r="AO37" s="578">
        <v>0</v>
      </c>
      <c r="AP37" s="578">
        <v>0</v>
      </c>
      <c r="AQ37" s="578">
        <v>0</v>
      </c>
      <c r="AR37" s="578">
        <v>0</v>
      </c>
      <c r="AS37" s="578">
        <v>0</v>
      </c>
      <c r="AT37" s="578">
        <v>0</v>
      </c>
      <c r="AU37" s="578">
        <v>0</v>
      </c>
      <c r="AV37" s="578">
        <v>0</v>
      </c>
      <c r="AW37" s="578">
        <v>0</v>
      </c>
      <c r="AX37" s="578">
        <v>0</v>
      </c>
      <c r="AY37" s="578">
        <v>0</v>
      </c>
      <c r="AZ37" s="578">
        <v>0</v>
      </c>
      <c r="BA37" s="578">
        <v>0</v>
      </c>
      <c r="BB37" s="578">
        <v>0</v>
      </c>
      <c r="BC37" s="578">
        <v>0</v>
      </c>
      <c r="BD37" s="578">
        <v>1.0047318024317242E-2</v>
      </c>
      <c r="BE37" s="578">
        <v>0</v>
      </c>
      <c r="BF37" s="578">
        <v>0</v>
      </c>
      <c r="BG37" s="578">
        <v>0</v>
      </c>
      <c r="BH37" s="578">
        <v>0</v>
      </c>
      <c r="BI37" s="578">
        <v>0</v>
      </c>
      <c r="BJ37" s="578">
        <v>0</v>
      </c>
      <c r="BK37" s="578">
        <v>0</v>
      </c>
      <c r="BL37" s="578">
        <v>0</v>
      </c>
      <c r="BM37" s="578">
        <v>0</v>
      </c>
      <c r="BN37" s="578">
        <v>0</v>
      </c>
      <c r="BO37" s="578">
        <v>0</v>
      </c>
      <c r="BP37" s="578">
        <v>0</v>
      </c>
      <c r="BQ37" s="578">
        <v>0</v>
      </c>
      <c r="BR37" s="578">
        <v>0</v>
      </c>
      <c r="BS37" s="578">
        <v>0</v>
      </c>
      <c r="BT37" s="578">
        <v>0</v>
      </c>
      <c r="BU37" s="578">
        <v>0</v>
      </c>
      <c r="BV37" s="578">
        <v>0</v>
      </c>
      <c r="BW37" s="578">
        <v>0</v>
      </c>
      <c r="BX37" s="578">
        <v>0</v>
      </c>
      <c r="BY37" s="578">
        <v>0</v>
      </c>
      <c r="BZ37" s="578">
        <v>0</v>
      </c>
      <c r="CA37" s="578">
        <v>0</v>
      </c>
      <c r="CB37" s="578">
        <v>0</v>
      </c>
      <c r="CC37" s="578">
        <v>0</v>
      </c>
      <c r="CD37" s="578">
        <v>0</v>
      </c>
      <c r="CE37" s="578">
        <v>0</v>
      </c>
      <c r="CF37" s="578">
        <v>0</v>
      </c>
      <c r="CG37" s="578">
        <v>0</v>
      </c>
      <c r="CH37" s="578">
        <v>0</v>
      </c>
      <c r="CI37" s="578">
        <v>0</v>
      </c>
      <c r="CJ37" s="578">
        <v>0</v>
      </c>
      <c r="CK37" s="578">
        <v>0</v>
      </c>
      <c r="CL37" s="578">
        <v>0</v>
      </c>
      <c r="CM37" s="578">
        <v>0</v>
      </c>
      <c r="CN37" s="578">
        <v>0</v>
      </c>
      <c r="CO37" s="578">
        <v>0</v>
      </c>
      <c r="CP37" s="578">
        <v>0</v>
      </c>
      <c r="CQ37" s="578">
        <v>0</v>
      </c>
      <c r="CR37" s="578">
        <v>0</v>
      </c>
      <c r="CS37" s="578">
        <v>0</v>
      </c>
      <c r="CT37" s="578">
        <v>0</v>
      </c>
      <c r="CU37" s="578">
        <v>0</v>
      </c>
      <c r="CV37" s="578">
        <v>0</v>
      </c>
      <c r="CW37" s="578">
        <v>0</v>
      </c>
      <c r="CX37" s="578">
        <v>0</v>
      </c>
      <c r="CY37" s="578">
        <v>0</v>
      </c>
      <c r="CZ37" s="578">
        <v>0</v>
      </c>
      <c r="DA37" s="578">
        <v>0</v>
      </c>
      <c r="DB37" s="578">
        <v>0</v>
      </c>
      <c r="DC37" s="578">
        <v>0</v>
      </c>
      <c r="DD37" s="578">
        <v>0</v>
      </c>
      <c r="DE37" s="578">
        <v>0</v>
      </c>
      <c r="DF37" s="578">
        <v>0</v>
      </c>
      <c r="DG37" s="578">
        <v>0</v>
      </c>
      <c r="DH37" s="578">
        <v>0</v>
      </c>
      <c r="DI37" s="578">
        <v>0</v>
      </c>
      <c r="DJ37" s="578">
        <v>0</v>
      </c>
      <c r="DK37" s="578">
        <v>0</v>
      </c>
      <c r="DL37" s="578">
        <v>0</v>
      </c>
      <c r="DM37" s="578">
        <v>0</v>
      </c>
      <c r="DN37" s="578">
        <v>0</v>
      </c>
      <c r="DO37" s="578">
        <v>0</v>
      </c>
      <c r="DP37" s="578">
        <v>0</v>
      </c>
      <c r="DQ37" s="578">
        <v>0</v>
      </c>
      <c r="DR37" s="578">
        <v>0</v>
      </c>
      <c r="DS37" s="578">
        <v>0</v>
      </c>
      <c r="DT37" s="578">
        <v>0</v>
      </c>
      <c r="DU37" s="578">
        <v>0</v>
      </c>
      <c r="DV37" s="578">
        <v>0</v>
      </c>
      <c r="DW37" s="578">
        <v>0</v>
      </c>
      <c r="DX37" s="578">
        <v>4.5355087431124622E-4</v>
      </c>
      <c r="DY37" s="578">
        <v>0</v>
      </c>
      <c r="DZ37" s="578">
        <v>0</v>
      </c>
      <c r="EA37" s="578">
        <v>0</v>
      </c>
      <c r="EB37" s="578">
        <v>0</v>
      </c>
      <c r="EC37" s="578">
        <v>0</v>
      </c>
      <c r="ED37" s="578">
        <v>0</v>
      </c>
      <c r="EE37" s="578">
        <v>0</v>
      </c>
      <c r="EF37" s="578">
        <v>0</v>
      </c>
      <c r="EG37" s="578">
        <v>0</v>
      </c>
      <c r="EH37" s="578">
        <v>0</v>
      </c>
      <c r="EI37" s="578">
        <v>0</v>
      </c>
      <c r="EJ37" s="578">
        <v>0</v>
      </c>
      <c r="EK37" s="578">
        <v>0</v>
      </c>
      <c r="EL37" s="578">
        <v>0</v>
      </c>
      <c r="EM37" s="578">
        <v>0</v>
      </c>
      <c r="EN37" s="578">
        <v>0</v>
      </c>
      <c r="EO37" s="578">
        <v>0</v>
      </c>
      <c r="EP37" s="578">
        <v>0</v>
      </c>
      <c r="EQ37" s="578">
        <v>0</v>
      </c>
      <c r="ER37" s="578">
        <v>0</v>
      </c>
      <c r="ES37" s="578">
        <v>0</v>
      </c>
      <c r="ET37" s="578">
        <v>0</v>
      </c>
      <c r="EU37" s="578">
        <v>0</v>
      </c>
      <c r="EV37" s="578">
        <v>0</v>
      </c>
      <c r="EW37" s="578">
        <v>0</v>
      </c>
      <c r="EX37" s="578">
        <v>0</v>
      </c>
      <c r="EY37" s="578">
        <v>0</v>
      </c>
      <c r="EZ37" s="578">
        <v>0</v>
      </c>
      <c r="FA37" s="578">
        <v>0</v>
      </c>
      <c r="FB37" s="578">
        <v>0</v>
      </c>
      <c r="FC37" s="578">
        <v>0</v>
      </c>
      <c r="FD37" s="578">
        <v>0</v>
      </c>
      <c r="FE37" s="578">
        <v>0</v>
      </c>
      <c r="FF37" s="578">
        <v>0</v>
      </c>
      <c r="FG37" s="578">
        <v>0</v>
      </c>
      <c r="FH37" s="578">
        <v>0</v>
      </c>
      <c r="FI37" s="578">
        <v>0</v>
      </c>
      <c r="FJ37" s="578">
        <v>0</v>
      </c>
      <c r="FK37" s="578">
        <v>0</v>
      </c>
      <c r="FL37" s="578">
        <v>0</v>
      </c>
      <c r="FM37" s="578">
        <v>0</v>
      </c>
      <c r="FN37" s="578">
        <v>0</v>
      </c>
      <c r="FO37" s="578">
        <v>0</v>
      </c>
      <c r="FP37" s="578">
        <v>0</v>
      </c>
      <c r="FQ37" s="578">
        <v>0</v>
      </c>
      <c r="FR37" s="578">
        <v>0</v>
      </c>
      <c r="FS37" s="578">
        <v>0</v>
      </c>
      <c r="FT37" s="578">
        <v>0</v>
      </c>
      <c r="FU37" s="578">
        <v>0</v>
      </c>
      <c r="FV37" s="578">
        <v>0</v>
      </c>
      <c r="FW37" s="578">
        <v>0</v>
      </c>
      <c r="FX37" s="578">
        <v>0</v>
      </c>
      <c r="FY37" s="578">
        <v>0</v>
      </c>
      <c r="FZ37" s="578">
        <v>0</v>
      </c>
      <c r="GA37" s="578">
        <v>0</v>
      </c>
      <c r="GB37" s="578">
        <v>0</v>
      </c>
      <c r="GC37" s="578">
        <v>0</v>
      </c>
      <c r="GD37" s="578">
        <v>0</v>
      </c>
      <c r="GE37" s="578">
        <v>0</v>
      </c>
      <c r="GF37" s="578">
        <v>1.5921031682853049E-5</v>
      </c>
      <c r="GG37" s="579">
        <v>2.3193868604834899E-4</v>
      </c>
      <c r="GH37" s="572"/>
    </row>
    <row r="38" spans="1:190">
      <c r="A38" s="572" t="s">
        <v>9269</v>
      </c>
      <c r="B38" s="577" t="s">
        <v>187</v>
      </c>
      <c r="C38" s="573" t="s">
        <v>9510</v>
      </c>
      <c r="D38" s="578">
        <v>5.578862804605909E-4</v>
      </c>
      <c r="E38" s="578">
        <v>0</v>
      </c>
      <c r="F38" s="578">
        <v>0</v>
      </c>
      <c r="G38" s="578">
        <v>0</v>
      </c>
      <c r="H38" s="578">
        <v>0</v>
      </c>
      <c r="I38" s="578">
        <v>0</v>
      </c>
      <c r="J38" s="578">
        <v>3.2211824960943159E-5</v>
      </c>
      <c r="K38" s="578">
        <v>0</v>
      </c>
      <c r="L38" s="578">
        <v>0</v>
      </c>
      <c r="M38" s="578">
        <v>3.6350418029807341E-4</v>
      </c>
      <c r="N38" s="578">
        <v>5.6939501779359435E-3</v>
      </c>
      <c r="O38" s="578">
        <v>1.3094508189541911E-2</v>
      </c>
      <c r="P38" s="578">
        <v>5.5248618784530384E-3</v>
      </c>
      <c r="Q38" s="578">
        <v>0</v>
      </c>
      <c r="R38" s="578">
        <v>0</v>
      </c>
      <c r="S38" s="578">
        <v>0</v>
      </c>
      <c r="T38" s="578">
        <v>0</v>
      </c>
      <c r="U38" s="578">
        <v>0</v>
      </c>
      <c r="V38" s="578">
        <v>0</v>
      </c>
      <c r="W38" s="578">
        <v>0</v>
      </c>
      <c r="X38" s="578">
        <v>0</v>
      </c>
      <c r="Y38" s="578">
        <v>0</v>
      </c>
      <c r="Z38" s="578">
        <v>0</v>
      </c>
      <c r="AA38" s="578">
        <v>0</v>
      </c>
      <c r="AB38" s="578">
        <v>5.285674171222808E-4</v>
      </c>
      <c r="AC38" s="578">
        <v>0</v>
      </c>
      <c r="AD38" s="578">
        <v>0</v>
      </c>
      <c r="AE38" s="578">
        <v>0.10815682739972961</v>
      </c>
      <c r="AF38" s="578">
        <v>7.509671546688918E-3</v>
      </c>
      <c r="AG38" s="578">
        <v>0</v>
      </c>
      <c r="AH38" s="578">
        <v>2.6995757809487081E-3</v>
      </c>
      <c r="AI38" s="578">
        <v>7.2168392916805877E-3</v>
      </c>
      <c r="AJ38" s="578">
        <v>8.9569488587113548E-3</v>
      </c>
      <c r="AK38" s="578">
        <v>2.2324769269144427E-2</v>
      </c>
      <c r="AL38" s="578">
        <v>4.0165834522111268E-2</v>
      </c>
      <c r="AM38" s="578">
        <v>3.4439214785902879E-4</v>
      </c>
      <c r="AN38" s="578">
        <v>2.1566597653554175E-4</v>
      </c>
      <c r="AO38" s="578">
        <v>5.9267415875894677E-3</v>
      </c>
      <c r="AP38" s="578">
        <v>3.5736975857687419E-3</v>
      </c>
      <c r="AQ38" s="578">
        <v>2.3586857568484647E-3</v>
      </c>
      <c r="AR38" s="578">
        <v>4.3684104889077791E-4</v>
      </c>
      <c r="AS38" s="578">
        <v>2.3561288802497496E-4</v>
      </c>
      <c r="AT38" s="578">
        <v>5.6367215832556208E-3</v>
      </c>
      <c r="AU38" s="578">
        <v>2.2087334958524894E-4</v>
      </c>
      <c r="AV38" s="578">
        <v>8.3877538793361692E-4</v>
      </c>
      <c r="AW38" s="578">
        <v>0</v>
      </c>
      <c r="AX38" s="578">
        <v>0</v>
      </c>
      <c r="AY38" s="578">
        <v>0</v>
      </c>
      <c r="AZ38" s="578">
        <v>0</v>
      </c>
      <c r="BA38" s="578">
        <v>0</v>
      </c>
      <c r="BB38" s="578">
        <v>0</v>
      </c>
      <c r="BC38" s="578">
        <v>0</v>
      </c>
      <c r="BD38" s="578">
        <v>0</v>
      </c>
      <c r="BE38" s="578">
        <v>0</v>
      </c>
      <c r="BF38" s="578">
        <v>0</v>
      </c>
      <c r="BG38" s="578">
        <v>0</v>
      </c>
      <c r="BH38" s="578">
        <v>1.0306161710548013E-4</v>
      </c>
      <c r="BI38" s="578">
        <v>0</v>
      </c>
      <c r="BJ38" s="578">
        <v>4.1236943352810916E-5</v>
      </c>
      <c r="BK38" s="578">
        <v>0</v>
      </c>
      <c r="BL38" s="578">
        <v>0</v>
      </c>
      <c r="BM38" s="578">
        <v>1.8549179370564513E-4</v>
      </c>
      <c r="BN38" s="578">
        <v>1.4765432098765432E-2</v>
      </c>
      <c r="BO38" s="578">
        <v>4.3461044417187396E-4</v>
      </c>
      <c r="BP38" s="578">
        <v>3.9221382916908775E-3</v>
      </c>
      <c r="BQ38" s="578">
        <v>2.2978912813664942E-2</v>
      </c>
      <c r="BR38" s="578">
        <v>2.5177898925671854E-3</v>
      </c>
      <c r="BS38" s="578">
        <v>1.0115621554366407E-5</v>
      </c>
      <c r="BT38" s="578">
        <v>0</v>
      </c>
      <c r="BU38" s="578">
        <v>0</v>
      </c>
      <c r="BV38" s="578">
        <v>1.0780218299420562E-3</v>
      </c>
      <c r="BW38" s="578">
        <v>0</v>
      </c>
      <c r="BX38" s="578">
        <v>0</v>
      </c>
      <c r="BY38" s="578">
        <v>0</v>
      </c>
      <c r="BZ38" s="578">
        <v>0</v>
      </c>
      <c r="CA38" s="578">
        <v>0</v>
      </c>
      <c r="CB38" s="578">
        <v>1.2410027302060064E-5</v>
      </c>
      <c r="CC38" s="578">
        <v>0</v>
      </c>
      <c r="CD38" s="578">
        <v>0</v>
      </c>
      <c r="CE38" s="578">
        <v>0</v>
      </c>
      <c r="CF38" s="578">
        <v>3.1580609505763463E-4</v>
      </c>
      <c r="CG38" s="578">
        <v>9.9306274737902365E-5</v>
      </c>
      <c r="CH38" s="578">
        <v>0</v>
      </c>
      <c r="CI38" s="578">
        <v>3.481980749620713E-4</v>
      </c>
      <c r="CJ38" s="578">
        <v>3.8186157517899763E-4</v>
      </c>
      <c r="CK38" s="578">
        <v>3.2023157533763E-4</v>
      </c>
      <c r="CL38" s="578">
        <v>0</v>
      </c>
      <c r="CM38" s="578">
        <v>0</v>
      </c>
      <c r="CN38" s="578">
        <v>2.0503666538016209E-4</v>
      </c>
      <c r="CO38" s="578">
        <v>0</v>
      </c>
      <c r="CP38" s="578">
        <v>6.2591092393393959E-5</v>
      </c>
      <c r="CQ38" s="578">
        <v>0</v>
      </c>
      <c r="CR38" s="578">
        <v>0</v>
      </c>
      <c r="CS38" s="578">
        <v>5.650355972426263E-5</v>
      </c>
      <c r="CT38" s="578">
        <v>2.9162170831996735E-5</v>
      </c>
      <c r="CU38" s="578">
        <v>8.0615255630975599E-6</v>
      </c>
      <c r="CV38" s="578">
        <v>0</v>
      </c>
      <c r="CW38" s="578">
        <v>3.2768978700163844E-3</v>
      </c>
      <c r="CX38" s="578">
        <v>7.1386759183906567E-6</v>
      </c>
      <c r="CY38" s="578">
        <v>0</v>
      </c>
      <c r="CZ38" s="578">
        <v>0</v>
      </c>
      <c r="DA38" s="578">
        <v>1.4992182647619455E-4</v>
      </c>
      <c r="DB38" s="578">
        <v>3.2490388260139711E-4</v>
      </c>
      <c r="DC38" s="578">
        <v>0</v>
      </c>
      <c r="DD38" s="578">
        <v>0</v>
      </c>
      <c r="DE38" s="578">
        <v>1.0040525560179548E-3</v>
      </c>
      <c r="DF38" s="578">
        <v>0</v>
      </c>
      <c r="DG38" s="578">
        <v>0</v>
      </c>
      <c r="DH38" s="578">
        <v>2.24283820980732E-3</v>
      </c>
      <c r="DI38" s="578">
        <v>0</v>
      </c>
      <c r="DJ38" s="578">
        <v>0</v>
      </c>
      <c r="DK38" s="578">
        <v>3.5514366406791701E-4</v>
      </c>
      <c r="DL38" s="578">
        <v>0</v>
      </c>
      <c r="DM38" s="578">
        <v>1.5128379142630925E-3</v>
      </c>
      <c r="DN38" s="578">
        <v>0</v>
      </c>
      <c r="DO38" s="578">
        <v>0</v>
      </c>
      <c r="DP38" s="578">
        <v>6.5731814198071863E-5</v>
      </c>
      <c r="DQ38" s="578">
        <v>0</v>
      </c>
      <c r="DR38" s="578">
        <v>4.0348262190343759E-4</v>
      </c>
      <c r="DS38" s="578">
        <v>6.9865524888792032E-4</v>
      </c>
      <c r="DT38" s="578">
        <v>7.7994591403100831E-4</v>
      </c>
      <c r="DU38" s="578">
        <v>1.9906994521595107E-4</v>
      </c>
      <c r="DV38" s="578">
        <v>0</v>
      </c>
      <c r="DW38" s="578">
        <v>1.0064228999140242E-2</v>
      </c>
      <c r="DX38" s="578">
        <v>6.1903565277616037E-4</v>
      </c>
      <c r="DY38" s="578">
        <v>3.1620053437890308E-5</v>
      </c>
      <c r="DZ38" s="578">
        <v>4.4292275124077315E-4</v>
      </c>
      <c r="EA38" s="578">
        <v>3.4501717295154402E-4</v>
      </c>
      <c r="EB38" s="578">
        <v>2.5353493573540449E-3</v>
      </c>
      <c r="EC38" s="578">
        <v>1.2538724781107507E-4</v>
      </c>
      <c r="ED38" s="578">
        <v>3.6182395455491128E-5</v>
      </c>
      <c r="EE38" s="578">
        <v>0</v>
      </c>
      <c r="EF38" s="578">
        <v>0</v>
      </c>
      <c r="EG38" s="578">
        <v>0</v>
      </c>
      <c r="EH38" s="578">
        <v>9.5846645367412143E-5</v>
      </c>
      <c r="EI38" s="578">
        <v>4.4959985612804602E-5</v>
      </c>
      <c r="EJ38" s="578">
        <v>2.2108842008956777E-4</v>
      </c>
      <c r="EK38" s="578">
        <v>3.1048369733958529E-4</v>
      </c>
      <c r="EL38" s="578">
        <v>1.1936379099400196E-5</v>
      </c>
      <c r="EM38" s="578">
        <v>0</v>
      </c>
      <c r="EN38" s="578">
        <v>1.6941055292216262E-6</v>
      </c>
      <c r="EO38" s="578">
        <v>0</v>
      </c>
      <c r="EP38" s="578">
        <v>0</v>
      </c>
      <c r="EQ38" s="578">
        <v>4.5078786194367525E-4</v>
      </c>
      <c r="ER38" s="578">
        <v>0</v>
      </c>
      <c r="ES38" s="578">
        <v>1.428853311197447E-4</v>
      </c>
      <c r="ET38" s="578">
        <v>3.9751368440858578E-5</v>
      </c>
      <c r="EU38" s="578">
        <v>5.1629255013318001E-4</v>
      </c>
      <c r="EV38" s="578">
        <v>3.5269709543568465E-3</v>
      </c>
      <c r="EW38" s="578">
        <v>4.2682689690040059E-3</v>
      </c>
      <c r="EX38" s="578">
        <v>3.8546043248660526E-5</v>
      </c>
      <c r="EY38" s="578">
        <v>5.6913787983767195E-4</v>
      </c>
      <c r="EZ38" s="578">
        <v>2.6941528193005629E-4</v>
      </c>
      <c r="FA38" s="578">
        <v>3.4943653358958681E-3</v>
      </c>
      <c r="FB38" s="578">
        <v>1.5852831754233887E-4</v>
      </c>
      <c r="FC38" s="578">
        <v>4.3312543312543313E-5</v>
      </c>
      <c r="FD38" s="578">
        <v>7.3808000787285341E-6</v>
      </c>
      <c r="FE38" s="578">
        <v>0</v>
      </c>
      <c r="FF38" s="578">
        <v>3.5265744448489261E-4</v>
      </c>
      <c r="FG38" s="578">
        <v>0</v>
      </c>
      <c r="FH38" s="578">
        <v>1.3006015282067957E-4</v>
      </c>
      <c r="FI38" s="578">
        <v>1.5855212547932656E-4</v>
      </c>
      <c r="FJ38" s="578">
        <v>2.2780729780678524E-5</v>
      </c>
      <c r="FK38" s="578">
        <v>4.0673678130881798E-6</v>
      </c>
      <c r="FL38" s="578">
        <v>1.3068478829064297E-5</v>
      </c>
      <c r="FM38" s="578">
        <v>0</v>
      </c>
      <c r="FN38" s="578">
        <v>0</v>
      </c>
      <c r="FO38" s="578">
        <v>5.3474532506326581E-5</v>
      </c>
      <c r="FP38" s="578">
        <v>2.142879652097186E-3</v>
      </c>
      <c r="FQ38" s="578">
        <v>7.513900716325202E-5</v>
      </c>
      <c r="FR38" s="578">
        <v>7.0037656913533844E-5</v>
      </c>
      <c r="FS38" s="578">
        <v>8.9701182934349947E-5</v>
      </c>
      <c r="FT38" s="578">
        <v>1.7639154773207161E-4</v>
      </c>
      <c r="FU38" s="578">
        <v>0</v>
      </c>
      <c r="FV38" s="578">
        <v>0</v>
      </c>
      <c r="FW38" s="578">
        <v>2.4249674650198443E-5</v>
      </c>
      <c r="FX38" s="578">
        <v>0</v>
      </c>
      <c r="FY38" s="578">
        <v>3.8736753413787966E-4</v>
      </c>
      <c r="FZ38" s="578">
        <v>5.5872454879744285E-4</v>
      </c>
      <c r="GA38" s="578">
        <v>8.168239597338461E-7</v>
      </c>
      <c r="GB38" s="578">
        <v>1.6979610317943204E-4</v>
      </c>
      <c r="GC38" s="578">
        <v>1.7228044778043292E-3</v>
      </c>
      <c r="GD38" s="578">
        <v>1.8808293113813684E-4</v>
      </c>
      <c r="GE38" s="578">
        <v>1.483310437010359E-2</v>
      </c>
      <c r="GF38" s="578">
        <v>1.5921031682853049E-5</v>
      </c>
      <c r="GG38" s="579">
        <v>3.2480656631870387E-4</v>
      </c>
      <c r="GH38" s="572"/>
    </row>
    <row r="39" spans="1:190">
      <c r="A39" s="572" t="s">
        <v>9270</v>
      </c>
      <c r="B39" s="577" t="s">
        <v>190</v>
      </c>
      <c r="C39" s="573" t="s">
        <v>9511</v>
      </c>
      <c r="D39" s="578">
        <v>2.0976524145318218E-3</v>
      </c>
      <c r="E39" s="578">
        <v>2.2811519817507843E-3</v>
      </c>
      <c r="F39" s="578">
        <v>4.313087746588418E-3</v>
      </c>
      <c r="G39" s="578">
        <v>9.7874720357941838E-3</v>
      </c>
      <c r="H39" s="578">
        <v>0</v>
      </c>
      <c r="I39" s="578">
        <v>3.2578595862518323E-3</v>
      </c>
      <c r="J39" s="578">
        <v>6.7644832417980644E-4</v>
      </c>
      <c r="K39" s="578">
        <v>2.8418173421903306E-4</v>
      </c>
      <c r="L39" s="578">
        <v>0</v>
      </c>
      <c r="M39" s="578">
        <v>0</v>
      </c>
      <c r="N39" s="578">
        <v>7.1174377224199293E-4</v>
      </c>
      <c r="O39" s="578">
        <v>4.6203030568450557E-3</v>
      </c>
      <c r="P39" s="578">
        <v>0</v>
      </c>
      <c r="Q39" s="578">
        <v>0</v>
      </c>
      <c r="R39" s="578">
        <v>4.578599287773444E-3</v>
      </c>
      <c r="S39" s="578">
        <v>2.8011204481792717E-3</v>
      </c>
      <c r="T39" s="578">
        <v>8.8242144316910676E-4</v>
      </c>
      <c r="U39" s="578">
        <v>1.2910753222906545E-3</v>
      </c>
      <c r="V39" s="578">
        <v>5.8939389417768362E-4</v>
      </c>
      <c r="W39" s="578">
        <v>2.025197004791843E-3</v>
      </c>
      <c r="X39" s="578">
        <v>1.586651653188658E-3</v>
      </c>
      <c r="Y39" s="578">
        <v>9.7371352363054958E-4</v>
      </c>
      <c r="Z39" s="578">
        <v>1.0414513752258043E-3</v>
      </c>
      <c r="AA39" s="578">
        <v>3.4750983024382814E-4</v>
      </c>
      <c r="AB39" s="578">
        <v>7.7633339389834985E-4</v>
      </c>
      <c r="AC39" s="578">
        <v>1.7275632720048372E-5</v>
      </c>
      <c r="AD39" s="578">
        <v>0</v>
      </c>
      <c r="AE39" s="578">
        <v>1.3519603424966202E-3</v>
      </c>
      <c r="AF39" s="578">
        <v>1.0619737540772207E-3</v>
      </c>
      <c r="AG39" s="578">
        <v>0</v>
      </c>
      <c r="AH39" s="578">
        <v>4.6278441959120712E-3</v>
      </c>
      <c r="AI39" s="578">
        <v>1.1359839625793519E-3</v>
      </c>
      <c r="AJ39" s="578">
        <v>9.9393238948280848E-3</v>
      </c>
      <c r="AK39" s="578">
        <v>1.0476428036916938E-2</v>
      </c>
      <c r="AL39" s="578">
        <v>3.6109129814550643E-3</v>
      </c>
      <c r="AM39" s="578">
        <v>5.7398691309838137E-4</v>
      </c>
      <c r="AN39" s="578">
        <v>2.6311249137336095E-3</v>
      </c>
      <c r="AO39" s="578">
        <v>1.1335298118340512E-3</v>
      </c>
      <c r="AP39" s="578">
        <v>2.3824650571791615E-4</v>
      </c>
      <c r="AQ39" s="578">
        <v>1.9241910121658528E-3</v>
      </c>
      <c r="AR39" s="578">
        <v>9.3271467195598528E-4</v>
      </c>
      <c r="AS39" s="578">
        <v>1.1780644401248748E-3</v>
      </c>
      <c r="AT39" s="578">
        <v>1.1190550202051601E-3</v>
      </c>
      <c r="AU39" s="578">
        <v>3.3540027159241503E-4</v>
      </c>
      <c r="AV39" s="578">
        <v>1.1982505541908812E-3</v>
      </c>
      <c r="AW39" s="578">
        <v>9.1187040712331711E-4</v>
      </c>
      <c r="AX39" s="578">
        <v>6.1444606589934061E-4</v>
      </c>
      <c r="AY39" s="578">
        <v>0</v>
      </c>
      <c r="AZ39" s="578">
        <v>3.8429369080181746E-4</v>
      </c>
      <c r="BA39" s="578">
        <v>4.1649312786339027E-4</v>
      </c>
      <c r="BB39" s="578">
        <v>7.4370506781881924E-4</v>
      </c>
      <c r="BC39" s="578">
        <v>4.7079533707922665E-4</v>
      </c>
      <c r="BD39" s="578">
        <v>7.203268793700866E-4</v>
      </c>
      <c r="BE39" s="578">
        <v>9.7233240429370758E-4</v>
      </c>
      <c r="BF39" s="578">
        <v>7.2782457879088205E-4</v>
      </c>
      <c r="BG39" s="578">
        <v>5.4916512059369205E-4</v>
      </c>
      <c r="BH39" s="578">
        <v>1.0100038476337052E-3</v>
      </c>
      <c r="BI39" s="578">
        <v>3.2529140688533479E-4</v>
      </c>
      <c r="BJ39" s="578">
        <v>8.9071797642071584E-4</v>
      </c>
      <c r="BK39" s="578">
        <v>0</v>
      </c>
      <c r="BL39" s="578">
        <v>1.6491601968843559E-4</v>
      </c>
      <c r="BM39" s="578">
        <v>2.8625276806426716E-4</v>
      </c>
      <c r="BN39" s="578">
        <v>1.6296296296296295E-3</v>
      </c>
      <c r="BO39" s="578">
        <v>2.0571561024135365E-3</v>
      </c>
      <c r="BP39" s="578">
        <v>5.8105752469494478E-4</v>
      </c>
      <c r="BQ39" s="578">
        <v>6.6766816892004674E-4</v>
      </c>
      <c r="BR39" s="578">
        <v>1.3549123574408159E-3</v>
      </c>
      <c r="BS39" s="578">
        <v>9.4075280455607594E-4</v>
      </c>
      <c r="BT39" s="578">
        <v>4.1886723729739573E-3</v>
      </c>
      <c r="BU39" s="578">
        <v>1.4792899408284023E-3</v>
      </c>
      <c r="BV39" s="578">
        <v>1.9876027489556664E-3</v>
      </c>
      <c r="BW39" s="578">
        <v>5.1832913223815648E-5</v>
      </c>
      <c r="BX39" s="578">
        <v>0</v>
      </c>
      <c r="BY39" s="578">
        <v>3.515892836587307E-4</v>
      </c>
      <c r="BZ39" s="578">
        <v>2.3730553363392036E-4</v>
      </c>
      <c r="CA39" s="578">
        <v>5.0960088059032161E-4</v>
      </c>
      <c r="CB39" s="578">
        <v>1.2534127575080664E-3</v>
      </c>
      <c r="CC39" s="578">
        <v>5.3470100392841559E-4</v>
      </c>
      <c r="CD39" s="578">
        <v>1.7078863686269407E-4</v>
      </c>
      <c r="CE39" s="578">
        <v>0</v>
      </c>
      <c r="CF39" s="578">
        <v>5.5266066635086062E-4</v>
      </c>
      <c r="CG39" s="578">
        <v>6.3130417511952225E-4</v>
      </c>
      <c r="CH39" s="578">
        <v>1.0415099579924316E-3</v>
      </c>
      <c r="CI39" s="578">
        <v>8.7049518740517817E-4</v>
      </c>
      <c r="CJ39" s="578">
        <v>8.4183119982642659E-4</v>
      </c>
      <c r="CK39" s="578">
        <v>8.9513550586502871E-4</v>
      </c>
      <c r="CL39" s="578">
        <v>3.8515721008302613E-4</v>
      </c>
      <c r="CM39" s="578">
        <v>9.7347864282831158E-4</v>
      </c>
      <c r="CN39" s="578">
        <v>4.9450019297568506E-4</v>
      </c>
      <c r="CO39" s="578">
        <v>1.1957635804578067E-3</v>
      </c>
      <c r="CP39" s="578">
        <v>1.5826604790901045E-3</v>
      </c>
      <c r="CQ39" s="578">
        <v>8.9189017009619668E-4</v>
      </c>
      <c r="CR39" s="578">
        <v>6.8807339449541288E-4</v>
      </c>
      <c r="CS39" s="578">
        <v>9.6056051531246463E-4</v>
      </c>
      <c r="CT39" s="578">
        <v>6.1240558747193146E-4</v>
      </c>
      <c r="CU39" s="578">
        <v>3.9501475259178046E-4</v>
      </c>
      <c r="CV39" s="578">
        <v>1.1337376791212604E-3</v>
      </c>
      <c r="CW39" s="578">
        <v>4.6812826714519778E-4</v>
      </c>
      <c r="CX39" s="578">
        <v>4.9256863836895533E-4</v>
      </c>
      <c r="CY39" s="578">
        <v>8.1509295723051556E-4</v>
      </c>
      <c r="CZ39" s="578">
        <v>8.3570412517780935E-4</v>
      </c>
      <c r="DA39" s="578">
        <v>7.7102653616328625E-4</v>
      </c>
      <c r="DB39" s="578">
        <v>7.0395841230302698E-4</v>
      </c>
      <c r="DC39" s="578">
        <v>7.2516316171138508E-4</v>
      </c>
      <c r="DD39" s="578">
        <v>1.9323671497584541E-3</v>
      </c>
      <c r="DE39" s="578">
        <v>1.3129918040234794E-3</v>
      </c>
      <c r="DF39" s="578">
        <v>2.9455228053358895E-3</v>
      </c>
      <c r="DG39" s="578">
        <v>1.3712980965857522E-3</v>
      </c>
      <c r="DH39" s="578">
        <v>1.0307993792548792E-3</v>
      </c>
      <c r="DI39" s="578">
        <v>5.2987150615975626E-4</v>
      </c>
      <c r="DJ39" s="578">
        <v>9.3180434593546945E-4</v>
      </c>
      <c r="DK39" s="578">
        <v>8.3350043607776443E-4</v>
      </c>
      <c r="DL39" s="578">
        <v>1.3939041943385269E-3</v>
      </c>
      <c r="DM39" s="578">
        <v>3.8174414658975227E-4</v>
      </c>
      <c r="DN39" s="578">
        <v>5.6119501526780558E-4</v>
      </c>
      <c r="DO39" s="578">
        <v>0</v>
      </c>
      <c r="DP39" s="578">
        <v>4.3821209465381244E-5</v>
      </c>
      <c r="DQ39" s="578">
        <v>0</v>
      </c>
      <c r="DR39" s="578">
        <v>3.3679127944005949E-4</v>
      </c>
      <c r="DS39" s="578">
        <v>4.8713576986680684E-4</v>
      </c>
      <c r="DT39" s="578">
        <v>5.248234187872205E-4</v>
      </c>
      <c r="DU39" s="578">
        <v>4.1406548604917826E-4</v>
      </c>
      <c r="DV39" s="578">
        <v>1.2669614463631872E-4</v>
      </c>
      <c r="DW39" s="578">
        <v>1.8543805526054047E-3</v>
      </c>
      <c r="DX39" s="578">
        <v>1.1583934492543991E-3</v>
      </c>
      <c r="DY39" s="578">
        <v>1.5177625650187349E-3</v>
      </c>
      <c r="DZ39" s="578">
        <v>5.3723329903348528E-4</v>
      </c>
      <c r="EA39" s="578">
        <v>4.7857220764246428E-4</v>
      </c>
      <c r="EB39" s="578">
        <v>1.4668259877138961E-3</v>
      </c>
      <c r="EC39" s="578">
        <v>3.4557948786954836E-4</v>
      </c>
      <c r="ED39" s="578">
        <v>4.296659460339572E-4</v>
      </c>
      <c r="EE39" s="578">
        <v>1.1159583324247466E-4</v>
      </c>
      <c r="EF39" s="578">
        <v>1.9563195535742919E-4</v>
      </c>
      <c r="EG39" s="578">
        <v>0</v>
      </c>
      <c r="EH39" s="578">
        <v>6.3897763578274762E-4</v>
      </c>
      <c r="EI39" s="578">
        <v>1.775919431705782E-3</v>
      </c>
      <c r="EJ39" s="578">
        <v>2.4130992192702822E-3</v>
      </c>
      <c r="EK39" s="578">
        <v>4.0272228479740369E-3</v>
      </c>
      <c r="EL39" s="578">
        <v>1.7680761540986541E-3</v>
      </c>
      <c r="EM39" s="578">
        <v>8.0548441872523675E-4</v>
      </c>
      <c r="EN39" s="578">
        <v>7.7928854344194812E-5</v>
      </c>
      <c r="EO39" s="578">
        <v>1.7727946926466446E-5</v>
      </c>
      <c r="EP39" s="578">
        <v>4.6637092531722552E-7</v>
      </c>
      <c r="EQ39" s="578">
        <v>1.0507085503950325E-3</v>
      </c>
      <c r="ER39" s="578">
        <v>9.8039215686274508E-4</v>
      </c>
      <c r="ES39" s="578">
        <v>1.3404004871709384E-3</v>
      </c>
      <c r="ET39" s="578">
        <v>9.699333899569493E-4</v>
      </c>
      <c r="EU39" s="578">
        <v>2.3467843187871819E-4</v>
      </c>
      <c r="EV39" s="578">
        <v>4.6020369671821958E-3</v>
      </c>
      <c r="EW39" s="578">
        <v>1.225061253062653E-3</v>
      </c>
      <c r="EX39" s="578">
        <v>1.6767528813167328E-3</v>
      </c>
      <c r="EY39" s="578">
        <v>2.7219637731366918E-4</v>
      </c>
      <c r="EZ39" s="578">
        <v>1.9119794201487866E-4</v>
      </c>
      <c r="FA39" s="578">
        <v>7.2071285052852281E-4</v>
      </c>
      <c r="FB39" s="578">
        <v>1.2547347686329799E-3</v>
      </c>
      <c r="FC39" s="578">
        <v>1.4293139293139294E-3</v>
      </c>
      <c r="FD39" s="578">
        <v>2.2142400236185603E-4</v>
      </c>
      <c r="FE39" s="578">
        <v>7.7652787105439891E-4</v>
      </c>
      <c r="FF39" s="578">
        <v>1.0010921004732435E-3</v>
      </c>
      <c r="FG39" s="578">
        <v>8.8726513569937365E-4</v>
      </c>
      <c r="FH39" s="578">
        <v>1.0892537798731913E-3</v>
      </c>
      <c r="FI39" s="578">
        <v>7.6339912267823907E-5</v>
      </c>
      <c r="FJ39" s="578">
        <v>3.0799546663477363E-3</v>
      </c>
      <c r="FK39" s="578">
        <v>2.2370522971984987E-5</v>
      </c>
      <c r="FL39" s="578">
        <v>2.7443805541035025E-4</v>
      </c>
      <c r="FM39" s="578">
        <v>1.3457382044007387E-3</v>
      </c>
      <c r="FN39" s="578">
        <v>4.7998356476509755E-4</v>
      </c>
      <c r="FO39" s="578">
        <v>5.6197772587667286E-4</v>
      </c>
      <c r="FP39" s="578">
        <v>3.7342829231399488E-3</v>
      </c>
      <c r="FQ39" s="578">
        <v>3.3367285032866356E-3</v>
      </c>
      <c r="FR39" s="578">
        <v>1.1929747560938599E-3</v>
      </c>
      <c r="FS39" s="578">
        <v>2.1348881538375289E-2</v>
      </c>
      <c r="FT39" s="578">
        <v>8.0932592488832864E-4</v>
      </c>
      <c r="FU39" s="578">
        <v>1.0293007616825636E-4</v>
      </c>
      <c r="FV39" s="578">
        <v>3.7702651753173305E-4</v>
      </c>
      <c r="FW39" s="578">
        <v>9.780702108913371E-4</v>
      </c>
      <c r="FX39" s="578">
        <v>6.3345778256141175E-4</v>
      </c>
      <c r="FY39" s="578">
        <v>1.7003114113655776E-3</v>
      </c>
      <c r="FZ39" s="578">
        <v>3.378334481100817E-4</v>
      </c>
      <c r="GA39" s="578">
        <v>3.3408099953114302E-4</v>
      </c>
      <c r="GB39" s="578">
        <v>1.9951042123583264E-3</v>
      </c>
      <c r="GC39" s="578">
        <v>3.6340019632534479E-3</v>
      </c>
      <c r="GD39" s="578">
        <v>2.3073745302125003E-3</v>
      </c>
      <c r="GE39" s="578">
        <v>0</v>
      </c>
      <c r="GF39" s="578">
        <v>2.0166640131613861E-4</v>
      </c>
      <c r="GG39" s="579">
        <v>1.1274283872622435E-3</v>
      </c>
      <c r="GH39" s="572"/>
    </row>
    <row r="40" spans="1:190">
      <c r="A40" s="572" t="s">
        <v>9271</v>
      </c>
      <c r="B40" s="577" t="s">
        <v>193</v>
      </c>
      <c r="C40" s="573" t="s">
        <v>194</v>
      </c>
      <c r="D40" s="578">
        <v>1.71828974381862E-3</v>
      </c>
      <c r="E40" s="578">
        <v>0</v>
      </c>
      <c r="F40" s="578">
        <v>4.7137571000966317E-5</v>
      </c>
      <c r="G40" s="578">
        <v>2.7964205816554809E-4</v>
      </c>
      <c r="H40" s="578">
        <v>0</v>
      </c>
      <c r="I40" s="578">
        <v>0</v>
      </c>
      <c r="J40" s="578">
        <v>0</v>
      </c>
      <c r="K40" s="578">
        <v>0</v>
      </c>
      <c r="L40" s="578">
        <v>0</v>
      </c>
      <c r="M40" s="578">
        <v>0</v>
      </c>
      <c r="N40" s="578">
        <v>0</v>
      </c>
      <c r="O40" s="578">
        <v>1.0948585442760796E-4</v>
      </c>
      <c r="P40" s="578">
        <v>0</v>
      </c>
      <c r="Q40" s="578">
        <v>0</v>
      </c>
      <c r="R40" s="578">
        <v>1.1305183426601097E-4</v>
      </c>
      <c r="S40" s="578">
        <v>0</v>
      </c>
      <c r="T40" s="578">
        <v>9.8411313364584386E-6</v>
      </c>
      <c r="U40" s="578">
        <v>4.7817604529283498E-5</v>
      </c>
      <c r="V40" s="578">
        <v>2.2382046614342415E-5</v>
      </c>
      <c r="W40" s="578">
        <v>3.6766057575646162E-5</v>
      </c>
      <c r="X40" s="578">
        <v>5.1182311393182519E-5</v>
      </c>
      <c r="Y40" s="578">
        <v>2.6521380021065552E-5</v>
      </c>
      <c r="Z40" s="578">
        <v>4.2946448462919766E-5</v>
      </c>
      <c r="AA40" s="578">
        <v>4.7604086334770977E-6</v>
      </c>
      <c r="AB40" s="578">
        <v>1.6517731785071275E-5</v>
      </c>
      <c r="AC40" s="578">
        <v>0</v>
      </c>
      <c r="AD40" s="578">
        <v>0</v>
      </c>
      <c r="AE40" s="578">
        <v>0</v>
      </c>
      <c r="AF40" s="578">
        <v>7.5855268148372902E-5</v>
      </c>
      <c r="AG40" s="578">
        <v>0</v>
      </c>
      <c r="AH40" s="578">
        <v>0</v>
      </c>
      <c r="AI40" s="578">
        <v>1.3364517206815904E-4</v>
      </c>
      <c r="AJ40" s="578">
        <v>1.9647500722334587E-3</v>
      </c>
      <c r="AK40" s="578">
        <v>1.4841606385632327E-2</v>
      </c>
      <c r="AL40" s="578">
        <v>8.9158345221112699E-5</v>
      </c>
      <c r="AM40" s="578">
        <v>0</v>
      </c>
      <c r="AN40" s="578">
        <v>8.6266390614216703E-5</v>
      </c>
      <c r="AO40" s="578">
        <v>6.4773132104802925E-5</v>
      </c>
      <c r="AP40" s="578">
        <v>0</v>
      </c>
      <c r="AQ40" s="578">
        <v>1.6552180749813787E-4</v>
      </c>
      <c r="AR40" s="578">
        <v>4.7226059339543558E-5</v>
      </c>
      <c r="AS40" s="578">
        <v>9.4245155209989992E-5</v>
      </c>
      <c r="AT40" s="578">
        <v>1.0361620557455187E-4</v>
      </c>
      <c r="AU40" s="578">
        <v>0</v>
      </c>
      <c r="AV40" s="578">
        <v>1.1982505541908813E-4</v>
      </c>
      <c r="AW40" s="578">
        <v>5.3639435713136299E-5</v>
      </c>
      <c r="AX40" s="578">
        <v>7.6805758237417576E-5</v>
      </c>
      <c r="AY40" s="578">
        <v>0</v>
      </c>
      <c r="AZ40" s="578">
        <v>5.6513778059090803E-6</v>
      </c>
      <c r="BA40" s="578">
        <v>0</v>
      </c>
      <c r="BB40" s="578">
        <v>4.721936938532186E-5</v>
      </c>
      <c r="BC40" s="578">
        <v>1.0234681240852753E-5</v>
      </c>
      <c r="BD40" s="578">
        <v>6.2097144773283326E-5</v>
      </c>
      <c r="BE40" s="578">
        <v>1.4040901145035489E-5</v>
      </c>
      <c r="BF40" s="578">
        <v>7.7428146679881069E-5</v>
      </c>
      <c r="BG40" s="578">
        <v>1.4842300556586271E-5</v>
      </c>
      <c r="BH40" s="578">
        <v>1.0993239157917881E-4</v>
      </c>
      <c r="BI40" s="578">
        <v>0</v>
      </c>
      <c r="BJ40" s="578">
        <v>1.5670038474068149E-4</v>
      </c>
      <c r="BK40" s="578">
        <v>0</v>
      </c>
      <c r="BL40" s="578">
        <v>2.5371695336682396E-5</v>
      </c>
      <c r="BM40" s="578">
        <v>8.2440797202508952E-5</v>
      </c>
      <c r="BN40" s="578">
        <v>1.9753086419753085E-4</v>
      </c>
      <c r="BO40" s="578">
        <v>1.545281579277774E-4</v>
      </c>
      <c r="BP40" s="578">
        <v>7.2632190586868097E-5</v>
      </c>
      <c r="BQ40" s="578">
        <v>9.4586323930339949E-4</v>
      </c>
      <c r="BR40" s="578">
        <v>1.8136622107475488E-4</v>
      </c>
      <c r="BS40" s="578">
        <v>7.0809350880564857E-5</v>
      </c>
      <c r="BT40" s="578">
        <v>5.4634857038790747E-4</v>
      </c>
      <c r="BU40" s="578">
        <v>1.1602274045712959E-4</v>
      </c>
      <c r="BV40" s="578">
        <v>1.6844091092844631E-4</v>
      </c>
      <c r="BW40" s="578">
        <v>9.0144196910983727E-6</v>
      </c>
      <c r="BX40" s="578">
        <v>0</v>
      </c>
      <c r="BY40" s="578">
        <v>1.5014488981867503E-5</v>
      </c>
      <c r="BZ40" s="578">
        <v>1.1037466680647458E-5</v>
      </c>
      <c r="CA40" s="578">
        <v>1.2544021676069457E-5</v>
      </c>
      <c r="CB40" s="578">
        <v>2.4820054604120128E-5</v>
      </c>
      <c r="CC40" s="578">
        <v>3.2736796158882582E-5</v>
      </c>
      <c r="CD40" s="578">
        <v>1.6265584463113721E-5</v>
      </c>
      <c r="CE40" s="578">
        <v>0</v>
      </c>
      <c r="CF40" s="578">
        <v>0</v>
      </c>
      <c r="CG40" s="578">
        <v>1.4186610676843196E-5</v>
      </c>
      <c r="CH40" s="578">
        <v>4.6289331466330298E-5</v>
      </c>
      <c r="CI40" s="578">
        <v>4.9742582137438757E-5</v>
      </c>
      <c r="CJ40" s="578">
        <v>3.4714688652636144E-5</v>
      </c>
      <c r="CK40" s="578">
        <v>1.0086033868901732E-5</v>
      </c>
      <c r="CL40" s="578">
        <v>5.9946647483739472E-6</v>
      </c>
      <c r="CM40" s="578">
        <v>2.3743381532397844E-5</v>
      </c>
      <c r="CN40" s="578">
        <v>7.2365881898880734E-5</v>
      </c>
      <c r="CO40" s="578">
        <v>0</v>
      </c>
      <c r="CP40" s="578">
        <v>5.3649507765766249E-5</v>
      </c>
      <c r="CQ40" s="578">
        <v>6.3706440721156905E-5</v>
      </c>
      <c r="CR40" s="578">
        <v>6.0968528626175822E-5</v>
      </c>
      <c r="CS40" s="578">
        <v>1.1300711944852526E-4</v>
      </c>
      <c r="CT40" s="578">
        <v>0</v>
      </c>
      <c r="CU40" s="578">
        <v>1.612305112619512E-5</v>
      </c>
      <c r="CV40" s="578">
        <v>4.9562302912404826E-5</v>
      </c>
      <c r="CW40" s="578">
        <v>3.901068892876648E-5</v>
      </c>
      <c r="CX40" s="578">
        <v>5.7109407347125254E-5</v>
      </c>
      <c r="CY40" s="578">
        <v>3.6633391336202951E-5</v>
      </c>
      <c r="CZ40" s="578">
        <v>0</v>
      </c>
      <c r="DA40" s="578">
        <v>4.2834807564627017E-5</v>
      </c>
      <c r="DB40" s="578">
        <v>1.083012942004657E-4</v>
      </c>
      <c r="DC40" s="578">
        <v>0</v>
      </c>
      <c r="DD40" s="578">
        <v>4.8309178743961351E-4</v>
      </c>
      <c r="DE40" s="578">
        <v>1.0449415741363331E-4</v>
      </c>
      <c r="DF40" s="578">
        <v>2.2965093058551002E-4</v>
      </c>
      <c r="DG40" s="578">
        <v>1.0716683689426133E-4</v>
      </c>
      <c r="DH40" s="578">
        <v>6.7964794236585451E-5</v>
      </c>
      <c r="DI40" s="578">
        <v>6.6233938269969533E-5</v>
      </c>
      <c r="DJ40" s="578">
        <v>1.242405794580626E-4</v>
      </c>
      <c r="DK40" s="578">
        <v>8.6973958547244978E-5</v>
      </c>
      <c r="DL40" s="578">
        <v>5.8079341430771951E-5</v>
      </c>
      <c r="DM40" s="578">
        <v>5.6554688383667005E-5</v>
      </c>
      <c r="DN40" s="578">
        <v>4.1264339357926881E-5</v>
      </c>
      <c r="DO40" s="578">
        <v>0</v>
      </c>
      <c r="DP40" s="578">
        <v>2.1910604732690622E-5</v>
      </c>
      <c r="DQ40" s="578">
        <v>7.8796618049153335E-6</v>
      </c>
      <c r="DR40" s="578">
        <v>6.6691342463378113E-6</v>
      </c>
      <c r="DS40" s="578">
        <v>1.2819362364915969E-5</v>
      </c>
      <c r="DT40" s="578">
        <v>1.0933821224733761E-4</v>
      </c>
      <c r="DU40" s="578">
        <v>7.9627978086380427E-6</v>
      </c>
      <c r="DV40" s="578">
        <v>1.2669614463631872E-5</v>
      </c>
      <c r="DW40" s="578">
        <v>1.0283383064448152E-3</v>
      </c>
      <c r="DX40" s="578">
        <v>4.780671377875298E-4</v>
      </c>
      <c r="DY40" s="578">
        <v>6.3240106875780616E-5</v>
      </c>
      <c r="DZ40" s="578">
        <v>0</v>
      </c>
      <c r="EA40" s="578">
        <v>2.2259172448486711E-6</v>
      </c>
      <c r="EB40" s="578">
        <v>3.8298328660937239E-6</v>
      </c>
      <c r="EC40" s="578">
        <v>1.6208595448748728E-4</v>
      </c>
      <c r="ED40" s="578">
        <v>9.0455988638727823E-5</v>
      </c>
      <c r="EE40" s="578">
        <v>1.282710726924996E-5</v>
      </c>
      <c r="EF40" s="578">
        <v>1.4752573682691382E-4</v>
      </c>
      <c r="EG40" s="578">
        <v>0</v>
      </c>
      <c r="EH40" s="578">
        <v>1.757188498402556E-4</v>
      </c>
      <c r="EI40" s="578">
        <v>1.2363996043521266E-4</v>
      </c>
      <c r="EJ40" s="578">
        <v>1.1324041028977861E-4</v>
      </c>
      <c r="EK40" s="578">
        <v>1.2691304416800569E-4</v>
      </c>
      <c r="EL40" s="578">
        <v>4.177732684790069E-5</v>
      </c>
      <c r="EM40" s="578">
        <v>1.1280740016545086E-4</v>
      </c>
      <c r="EN40" s="578">
        <v>0</v>
      </c>
      <c r="EO40" s="578">
        <v>0</v>
      </c>
      <c r="EP40" s="578">
        <v>0</v>
      </c>
      <c r="EQ40" s="578">
        <v>5.0840736309437054E-5</v>
      </c>
      <c r="ER40" s="578">
        <v>0</v>
      </c>
      <c r="ES40" s="578">
        <v>4.7628443706581573E-5</v>
      </c>
      <c r="ET40" s="578">
        <v>1.3250456146952858E-5</v>
      </c>
      <c r="EU40" s="578">
        <v>2.346784318787182E-5</v>
      </c>
      <c r="EV40" s="578">
        <v>1.4522821576763486E-3</v>
      </c>
      <c r="EW40" s="578">
        <v>9.7227083576401045E-5</v>
      </c>
      <c r="EX40" s="578">
        <v>0</v>
      </c>
      <c r="EY40" s="578">
        <v>0</v>
      </c>
      <c r="EZ40" s="578">
        <v>1.7381631092261696E-5</v>
      </c>
      <c r="FA40" s="578">
        <v>2.1839783349349175E-5</v>
      </c>
      <c r="FB40" s="578">
        <v>3.3729429264327421E-5</v>
      </c>
      <c r="FC40" s="578">
        <v>2.1656271656271656E-5</v>
      </c>
      <c r="FD40" s="578">
        <v>2.4602666929095112E-6</v>
      </c>
      <c r="FE40" s="578">
        <v>2.0987239758226999E-5</v>
      </c>
      <c r="FF40" s="578">
        <v>3.7920155320956193E-6</v>
      </c>
      <c r="FG40" s="578">
        <v>0</v>
      </c>
      <c r="FH40" s="578">
        <v>1.6257519102584946E-5</v>
      </c>
      <c r="FI40" s="578">
        <v>2.0553053302875664E-5</v>
      </c>
      <c r="FJ40" s="578">
        <v>9.3400992100781946E-5</v>
      </c>
      <c r="FK40" s="578">
        <v>1.0168419532720448E-5</v>
      </c>
      <c r="FL40" s="578">
        <v>0</v>
      </c>
      <c r="FM40" s="578">
        <v>2.0972543445206318E-4</v>
      </c>
      <c r="FN40" s="578">
        <v>2.0544043628078105E-5</v>
      </c>
      <c r="FO40" s="578">
        <v>4.3571841301451288E-5</v>
      </c>
      <c r="FP40" s="578">
        <v>3.1512936060252733E-5</v>
      </c>
      <c r="FQ40" s="578">
        <v>3.3395114294778673E-5</v>
      </c>
      <c r="FR40" s="578">
        <v>4.2022594148120309E-5</v>
      </c>
      <c r="FS40" s="578">
        <v>2.9713516847003422E-4</v>
      </c>
      <c r="FT40" s="578">
        <v>4.1503893584016852E-5</v>
      </c>
      <c r="FU40" s="578">
        <v>0</v>
      </c>
      <c r="FV40" s="578">
        <v>2.0945917640651837E-5</v>
      </c>
      <c r="FW40" s="578">
        <v>8.0832248833994816E-6</v>
      </c>
      <c r="FX40" s="578">
        <v>6.7269853015371157E-5</v>
      </c>
      <c r="FY40" s="578">
        <v>3.1239317269183842E-5</v>
      </c>
      <c r="FZ40" s="578">
        <v>5.1974376632320269E-5</v>
      </c>
      <c r="GA40" s="578">
        <v>1.5519655234943077E-5</v>
      </c>
      <c r="GB40" s="578">
        <v>1.8866233686603559E-4</v>
      </c>
      <c r="GC40" s="578">
        <v>8.1802227003658791E-5</v>
      </c>
      <c r="GD40" s="578">
        <v>1.8808293113813684E-4</v>
      </c>
      <c r="GE40" s="578">
        <v>0</v>
      </c>
      <c r="GF40" s="578">
        <v>4.7763095048559148E-5</v>
      </c>
      <c r="GG40" s="579">
        <v>6.124454458957069E-5</v>
      </c>
      <c r="GH40" s="572"/>
    </row>
    <row r="41" spans="1:190">
      <c r="A41" s="572" t="s">
        <v>9272</v>
      </c>
      <c r="B41" s="577" t="s">
        <v>195</v>
      </c>
      <c r="C41" s="573" t="s">
        <v>6119</v>
      </c>
      <c r="D41" s="578">
        <v>2.7001695974292602E-3</v>
      </c>
      <c r="E41" s="578">
        <v>2.8514399771884804E-4</v>
      </c>
      <c r="F41" s="578">
        <v>0</v>
      </c>
      <c r="G41" s="578">
        <v>0</v>
      </c>
      <c r="H41" s="578">
        <v>0</v>
      </c>
      <c r="I41" s="578">
        <v>1.6289297931259162E-4</v>
      </c>
      <c r="J41" s="578">
        <v>1.6105912480471579E-5</v>
      </c>
      <c r="K41" s="578">
        <v>4.7245213313914245E-3</v>
      </c>
      <c r="L41" s="578">
        <v>0</v>
      </c>
      <c r="M41" s="578">
        <v>0</v>
      </c>
      <c r="N41" s="578">
        <v>0</v>
      </c>
      <c r="O41" s="578">
        <v>1.2919330822457739E-3</v>
      </c>
      <c r="P41" s="578">
        <v>0</v>
      </c>
      <c r="Q41" s="578">
        <v>0</v>
      </c>
      <c r="R41" s="578">
        <v>1.1305183426601097E-4</v>
      </c>
      <c r="S41" s="578">
        <v>0</v>
      </c>
      <c r="T41" s="578">
        <v>6.5607542243056263E-6</v>
      </c>
      <c r="U41" s="578">
        <v>0</v>
      </c>
      <c r="V41" s="578">
        <v>0</v>
      </c>
      <c r="W41" s="578">
        <v>0</v>
      </c>
      <c r="X41" s="578">
        <v>0</v>
      </c>
      <c r="Y41" s="578">
        <v>3.7887685744379361E-6</v>
      </c>
      <c r="Z41" s="578">
        <v>0</v>
      </c>
      <c r="AA41" s="578">
        <v>1.9041634533908391E-5</v>
      </c>
      <c r="AB41" s="578">
        <v>3.303546357014255E-5</v>
      </c>
      <c r="AC41" s="578">
        <v>0</v>
      </c>
      <c r="AD41" s="578">
        <v>0</v>
      </c>
      <c r="AE41" s="578">
        <v>0</v>
      </c>
      <c r="AF41" s="578">
        <v>8.3440794963210191E-4</v>
      </c>
      <c r="AG41" s="578">
        <v>0</v>
      </c>
      <c r="AH41" s="578">
        <v>0</v>
      </c>
      <c r="AI41" s="578">
        <v>6.6822586034079518E-5</v>
      </c>
      <c r="AJ41" s="578">
        <v>9.3036694596937298E-3</v>
      </c>
      <c r="AK41" s="578">
        <v>1.2471938139186829E-2</v>
      </c>
      <c r="AL41" s="578">
        <v>1.2838801711840228E-2</v>
      </c>
      <c r="AM41" s="578">
        <v>0</v>
      </c>
      <c r="AN41" s="578">
        <v>0</v>
      </c>
      <c r="AO41" s="578">
        <v>7.1250445315283219E-4</v>
      </c>
      <c r="AP41" s="578">
        <v>0</v>
      </c>
      <c r="AQ41" s="578">
        <v>0</v>
      </c>
      <c r="AR41" s="578">
        <v>0</v>
      </c>
      <c r="AS41" s="578">
        <v>1.5314837721623373E-4</v>
      </c>
      <c r="AT41" s="578">
        <v>3.3157185783856593E-4</v>
      </c>
      <c r="AU41" s="578">
        <v>0</v>
      </c>
      <c r="AV41" s="578">
        <v>3.4749266071535559E-3</v>
      </c>
      <c r="AW41" s="578">
        <v>0</v>
      </c>
      <c r="AX41" s="578">
        <v>0</v>
      </c>
      <c r="AY41" s="578">
        <v>0</v>
      </c>
      <c r="AZ41" s="578">
        <v>0</v>
      </c>
      <c r="BA41" s="578">
        <v>0</v>
      </c>
      <c r="BB41" s="578">
        <v>0</v>
      </c>
      <c r="BC41" s="578">
        <v>0</v>
      </c>
      <c r="BD41" s="578">
        <v>0</v>
      </c>
      <c r="BE41" s="578">
        <v>0</v>
      </c>
      <c r="BF41" s="578">
        <v>0</v>
      </c>
      <c r="BG41" s="578">
        <v>0</v>
      </c>
      <c r="BH41" s="578">
        <v>0</v>
      </c>
      <c r="BI41" s="578">
        <v>0</v>
      </c>
      <c r="BJ41" s="578">
        <v>0</v>
      </c>
      <c r="BK41" s="578">
        <v>0</v>
      </c>
      <c r="BL41" s="578">
        <v>0</v>
      </c>
      <c r="BM41" s="578">
        <v>0</v>
      </c>
      <c r="BN41" s="578">
        <v>0</v>
      </c>
      <c r="BO41" s="578">
        <v>1.6418616779826349E-4</v>
      </c>
      <c r="BP41" s="578">
        <v>7.2632190586868097E-5</v>
      </c>
      <c r="BQ41" s="578">
        <v>1.9473654926834697E-4</v>
      </c>
      <c r="BR41" s="578">
        <v>3.3179349855440455E-3</v>
      </c>
      <c r="BS41" s="578">
        <v>0</v>
      </c>
      <c r="BT41" s="578">
        <v>0</v>
      </c>
      <c r="BU41" s="578">
        <v>0</v>
      </c>
      <c r="BV41" s="578">
        <v>0</v>
      </c>
      <c r="BW41" s="578">
        <v>0</v>
      </c>
      <c r="BX41" s="578">
        <v>0</v>
      </c>
      <c r="BY41" s="578">
        <v>0</v>
      </c>
      <c r="BZ41" s="578">
        <v>0</v>
      </c>
      <c r="CA41" s="578">
        <v>0</v>
      </c>
      <c r="CB41" s="578">
        <v>0</v>
      </c>
      <c r="CC41" s="578">
        <v>0</v>
      </c>
      <c r="CD41" s="578">
        <v>0</v>
      </c>
      <c r="CE41" s="578">
        <v>0</v>
      </c>
      <c r="CF41" s="578">
        <v>7.8951523764408658E-5</v>
      </c>
      <c r="CG41" s="578">
        <v>0</v>
      </c>
      <c r="CH41" s="578">
        <v>0</v>
      </c>
      <c r="CI41" s="578">
        <v>0</v>
      </c>
      <c r="CJ41" s="578">
        <v>0</v>
      </c>
      <c r="CK41" s="578">
        <v>0</v>
      </c>
      <c r="CL41" s="578">
        <v>0</v>
      </c>
      <c r="CM41" s="578">
        <v>0</v>
      </c>
      <c r="CN41" s="578">
        <v>3.6182940949440367E-5</v>
      </c>
      <c r="CO41" s="578">
        <v>0</v>
      </c>
      <c r="CP41" s="578">
        <v>0</v>
      </c>
      <c r="CQ41" s="578">
        <v>0</v>
      </c>
      <c r="CR41" s="578">
        <v>0</v>
      </c>
      <c r="CS41" s="578">
        <v>0</v>
      </c>
      <c r="CT41" s="578">
        <v>0</v>
      </c>
      <c r="CU41" s="578">
        <v>0</v>
      </c>
      <c r="CV41" s="578">
        <v>0</v>
      </c>
      <c r="CW41" s="578">
        <v>0</v>
      </c>
      <c r="CX41" s="578">
        <v>0</v>
      </c>
      <c r="CY41" s="578">
        <v>0</v>
      </c>
      <c r="CZ41" s="578">
        <v>0</v>
      </c>
      <c r="DA41" s="578">
        <v>6.4252211346940526E-5</v>
      </c>
      <c r="DB41" s="578">
        <v>0</v>
      </c>
      <c r="DC41" s="578">
        <v>0</v>
      </c>
      <c r="DD41" s="578">
        <v>4.8309178743961351E-4</v>
      </c>
      <c r="DE41" s="578">
        <v>0</v>
      </c>
      <c r="DF41" s="578">
        <v>0</v>
      </c>
      <c r="DG41" s="578">
        <v>0</v>
      </c>
      <c r="DH41" s="578">
        <v>4.2251447083743957E-3</v>
      </c>
      <c r="DI41" s="578">
        <v>0</v>
      </c>
      <c r="DJ41" s="578">
        <v>0</v>
      </c>
      <c r="DK41" s="578">
        <v>0</v>
      </c>
      <c r="DL41" s="578">
        <v>0</v>
      </c>
      <c r="DM41" s="578">
        <v>0</v>
      </c>
      <c r="DN41" s="578">
        <v>0</v>
      </c>
      <c r="DO41" s="578">
        <v>0</v>
      </c>
      <c r="DP41" s="578">
        <v>7.0113935144609991E-4</v>
      </c>
      <c r="DQ41" s="578">
        <v>0</v>
      </c>
      <c r="DR41" s="578">
        <v>1.167098493109117E-4</v>
      </c>
      <c r="DS41" s="578">
        <v>1.2819362364915968E-4</v>
      </c>
      <c r="DT41" s="578">
        <v>1.4578428299645016E-5</v>
      </c>
      <c r="DU41" s="578">
        <v>0</v>
      </c>
      <c r="DV41" s="578">
        <v>0</v>
      </c>
      <c r="DW41" s="578">
        <v>2.2775164786999105E-2</v>
      </c>
      <c r="DX41" s="578">
        <v>4.4742180844217533E-4</v>
      </c>
      <c r="DY41" s="578">
        <v>0</v>
      </c>
      <c r="DZ41" s="578">
        <v>2.1842996515562081E-3</v>
      </c>
      <c r="EA41" s="578">
        <v>3.7796074817530432E-3</v>
      </c>
      <c r="EB41" s="578">
        <v>2.9106729782312299E-4</v>
      </c>
      <c r="EC41" s="578">
        <v>7.5843993797918572E-4</v>
      </c>
      <c r="ED41" s="578">
        <v>1.0040614738898788E-3</v>
      </c>
      <c r="EE41" s="578">
        <v>0</v>
      </c>
      <c r="EF41" s="578">
        <v>0</v>
      </c>
      <c r="EG41" s="578">
        <v>0</v>
      </c>
      <c r="EH41" s="578">
        <v>6.9222577209797654E-5</v>
      </c>
      <c r="EI41" s="578">
        <v>5.6199982016005753E-6</v>
      </c>
      <c r="EJ41" s="578">
        <v>9.1401188305321307E-4</v>
      </c>
      <c r="EK41" s="578">
        <v>3.1105027342962107E-4</v>
      </c>
      <c r="EL41" s="578">
        <v>5.3713705947300886E-5</v>
      </c>
      <c r="EM41" s="578">
        <v>7.9163087835404105E-6</v>
      </c>
      <c r="EN41" s="578">
        <v>4.7434954818205533E-5</v>
      </c>
      <c r="EO41" s="578">
        <v>1.9697718807184938E-6</v>
      </c>
      <c r="EP41" s="578">
        <v>0</v>
      </c>
      <c r="EQ41" s="578">
        <v>1.1523900230139066E-4</v>
      </c>
      <c r="ER41" s="578">
        <v>0</v>
      </c>
      <c r="ES41" s="578">
        <v>1.5649345789305372E-4</v>
      </c>
      <c r="ET41" s="578">
        <v>6.4927235120069014E-5</v>
      </c>
      <c r="EU41" s="578">
        <v>9.3871372751487279E-5</v>
      </c>
      <c r="EV41" s="578">
        <v>2.0181063749528478E-3</v>
      </c>
      <c r="EW41" s="578">
        <v>9.1393458561816977E-4</v>
      </c>
      <c r="EX41" s="578">
        <v>9.6365108121651311E-5</v>
      </c>
      <c r="EY41" s="578">
        <v>2.4745125210333564E-5</v>
      </c>
      <c r="EZ41" s="578">
        <v>7.3002850587499128E-4</v>
      </c>
      <c r="FA41" s="578">
        <v>1.5724644011531406E-3</v>
      </c>
      <c r="FB41" s="578">
        <v>3.1368369215824498E-4</v>
      </c>
      <c r="FC41" s="578">
        <v>3.0318780318780317E-4</v>
      </c>
      <c r="FD41" s="578">
        <v>1.2301333464547557E-5</v>
      </c>
      <c r="FE41" s="578">
        <v>2.0987239758226999E-5</v>
      </c>
      <c r="FF41" s="578">
        <v>0</v>
      </c>
      <c r="FG41" s="578">
        <v>0</v>
      </c>
      <c r="FH41" s="578">
        <v>1.6257519102584946E-5</v>
      </c>
      <c r="FI41" s="578">
        <v>6.136554486144306E-4</v>
      </c>
      <c r="FJ41" s="578">
        <v>1.3338117286587276E-3</v>
      </c>
      <c r="FK41" s="578">
        <v>5.0842097663602241E-5</v>
      </c>
      <c r="FL41" s="578">
        <v>1.3068478829064297E-5</v>
      </c>
      <c r="FM41" s="578">
        <v>6.2917630335618951E-4</v>
      </c>
      <c r="FN41" s="578">
        <v>0</v>
      </c>
      <c r="FO41" s="578">
        <v>1.5002577175386069E-3</v>
      </c>
      <c r="FP41" s="578">
        <v>1.0399268899883402E-3</v>
      </c>
      <c r="FQ41" s="578">
        <v>2.276433624427413E-3</v>
      </c>
      <c r="FR41" s="578">
        <v>1.6225390518302006E-3</v>
      </c>
      <c r="FS41" s="578">
        <v>2.0743398553568426E-4</v>
      </c>
      <c r="FT41" s="578">
        <v>3.3618153803053651E-3</v>
      </c>
      <c r="FU41" s="578">
        <v>0</v>
      </c>
      <c r="FV41" s="578">
        <v>0</v>
      </c>
      <c r="FW41" s="578">
        <v>2.4249674650198443E-5</v>
      </c>
      <c r="FX41" s="578">
        <v>0</v>
      </c>
      <c r="FY41" s="578">
        <v>1.6065934595580261E-5</v>
      </c>
      <c r="FZ41" s="578">
        <v>8.9699111671279388E-3</v>
      </c>
      <c r="GA41" s="578">
        <v>3.2591275993380461E-4</v>
      </c>
      <c r="GB41" s="578">
        <v>3.5421353746598184E-3</v>
      </c>
      <c r="GC41" s="578">
        <v>2.9994149901341557E-4</v>
      </c>
      <c r="GD41" s="578">
        <v>2.0655536187491812E-3</v>
      </c>
      <c r="GE41" s="578">
        <v>2.8032525155014293E-3</v>
      </c>
      <c r="GF41" s="578">
        <v>1.2206124290187337E-4</v>
      </c>
      <c r="GG41" s="579">
        <v>5.1375086335299965E-4</v>
      </c>
      <c r="GH41" s="572"/>
    </row>
    <row r="42" spans="1:190">
      <c r="A42" s="572" t="s">
        <v>9273</v>
      </c>
      <c r="B42" s="577" t="s">
        <v>201</v>
      </c>
      <c r="C42" s="573" t="s">
        <v>9512</v>
      </c>
      <c r="D42" s="578">
        <v>0</v>
      </c>
      <c r="E42" s="578">
        <v>0</v>
      </c>
      <c r="F42" s="578">
        <v>0</v>
      </c>
      <c r="G42" s="578">
        <v>0</v>
      </c>
      <c r="H42" s="578">
        <v>0</v>
      </c>
      <c r="I42" s="578">
        <v>0</v>
      </c>
      <c r="J42" s="578">
        <v>2.8507465090434701E-3</v>
      </c>
      <c r="K42" s="578">
        <v>0</v>
      </c>
      <c r="L42" s="578">
        <v>2.7108433734939759E-3</v>
      </c>
      <c r="M42" s="578">
        <v>-1.8175209014903672E-3</v>
      </c>
      <c r="N42" s="578">
        <v>1.7793594306049824E-2</v>
      </c>
      <c r="O42" s="578">
        <v>0</v>
      </c>
      <c r="P42" s="578">
        <v>0</v>
      </c>
      <c r="Q42" s="578">
        <v>0</v>
      </c>
      <c r="R42" s="578">
        <v>7.9136283986207679E-4</v>
      </c>
      <c r="S42" s="578">
        <v>0</v>
      </c>
      <c r="T42" s="578">
        <v>9.0210370584202363E-4</v>
      </c>
      <c r="U42" s="578">
        <v>2.2952450174056079E-4</v>
      </c>
      <c r="V42" s="578">
        <v>0</v>
      </c>
      <c r="W42" s="578">
        <v>0</v>
      </c>
      <c r="X42" s="578">
        <v>0</v>
      </c>
      <c r="Y42" s="578">
        <v>0</v>
      </c>
      <c r="Z42" s="578">
        <v>0</v>
      </c>
      <c r="AA42" s="578">
        <v>0</v>
      </c>
      <c r="AB42" s="578">
        <v>0</v>
      </c>
      <c r="AC42" s="578">
        <v>2.6431718061674008E-3</v>
      </c>
      <c r="AD42" s="578">
        <v>0</v>
      </c>
      <c r="AE42" s="578">
        <v>0</v>
      </c>
      <c r="AF42" s="578">
        <v>0</v>
      </c>
      <c r="AG42" s="578">
        <v>0</v>
      </c>
      <c r="AH42" s="578">
        <v>0</v>
      </c>
      <c r="AI42" s="578">
        <v>0</v>
      </c>
      <c r="AJ42" s="578">
        <v>0</v>
      </c>
      <c r="AK42" s="578">
        <v>2.4943876278373661E-4</v>
      </c>
      <c r="AL42" s="578">
        <v>0</v>
      </c>
      <c r="AM42" s="578">
        <v>8.0300769142463549E-2</v>
      </c>
      <c r="AN42" s="578">
        <v>0.23662870945479642</v>
      </c>
      <c r="AO42" s="578">
        <v>9.9523917479029694E-2</v>
      </c>
      <c r="AP42" s="578">
        <v>0.50397077509529864</v>
      </c>
      <c r="AQ42" s="578">
        <v>0</v>
      </c>
      <c r="AR42" s="578">
        <v>3.5419544504657672E-5</v>
      </c>
      <c r="AS42" s="578">
        <v>0</v>
      </c>
      <c r="AT42" s="578">
        <v>8.7866542327219976E-3</v>
      </c>
      <c r="AU42" s="578">
        <v>3.2721977716333175E-5</v>
      </c>
      <c r="AV42" s="578">
        <v>0</v>
      </c>
      <c r="AW42" s="578">
        <v>0</v>
      </c>
      <c r="AX42" s="578">
        <v>0</v>
      </c>
      <c r="AY42" s="578">
        <v>0</v>
      </c>
      <c r="AZ42" s="578">
        <v>0</v>
      </c>
      <c r="BA42" s="578">
        <v>0</v>
      </c>
      <c r="BB42" s="578">
        <v>0</v>
      </c>
      <c r="BC42" s="578">
        <v>0</v>
      </c>
      <c r="BD42" s="578">
        <v>0</v>
      </c>
      <c r="BE42" s="578">
        <v>0</v>
      </c>
      <c r="BF42" s="578">
        <v>0</v>
      </c>
      <c r="BG42" s="578">
        <v>0</v>
      </c>
      <c r="BH42" s="578">
        <v>0</v>
      </c>
      <c r="BI42" s="578">
        <v>0</v>
      </c>
      <c r="BJ42" s="578">
        <v>0</v>
      </c>
      <c r="BK42" s="578">
        <v>0</v>
      </c>
      <c r="BL42" s="578">
        <v>0</v>
      </c>
      <c r="BM42" s="578">
        <v>2.7480265734169649E-5</v>
      </c>
      <c r="BN42" s="578">
        <v>0</v>
      </c>
      <c r="BO42" s="578">
        <v>0</v>
      </c>
      <c r="BP42" s="578">
        <v>0</v>
      </c>
      <c r="BQ42" s="578">
        <v>8.3458521115005842E-5</v>
      </c>
      <c r="BR42" s="578">
        <v>0</v>
      </c>
      <c r="BS42" s="578">
        <v>4.0462486217465629E-5</v>
      </c>
      <c r="BT42" s="578">
        <v>0</v>
      </c>
      <c r="BU42" s="578">
        <v>5.8011370228564796E-5</v>
      </c>
      <c r="BV42" s="578">
        <v>3.3688182185689257E-5</v>
      </c>
      <c r="BW42" s="578">
        <v>0</v>
      </c>
      <c r="BX42" s="578">
        <v>0</v>
      </c>
      <c r="BY42" s="578">
        <v>1.1260866736400627E-5</v>
      </c>
      <c r="BZ42" s="578">
        <v>0</v>
      </c>
      <c r="CA42" s="578">
        <v>2.9792051480664958E-5</v>
      </c>
      <c r="CB42" s="578">
        <v>0</v>
      </c>
      <c r="CC42" s="578">
        <v>0</v>
      </c>
      <c r="CD42" s="578">
        <v>0</v>
      </c>
      <c r="CE42" s="578">
        <v>0</v>
      </c>
      <c r="CF42" s="578">
        <v>0</v>
      </c>
      <c r="CG42" s="578">
        <v>0</v>
      </c>
      <c r="CH42" s="578">
        <v>1.1572332866582575E-5</v>
      </c>
      <c r="CI42" s="578">
        <v>2.7109707264904121E-3</v>
      </c>
      <c r="CJ42" s="578">
        <v>1.6489477110002171E-4</v>
      </c>
      <c r="CK42" s="578">
        <v>1.8407011810745661E-4</v>
      </c>
      <c r="CL42" s="578">
        <v>1.4986661870934868E-6</v>
      </c>
      <c r="CM42" s="578">
        <v>2.3743381532397844E-5</v>
      </c>
      <c r="CN42" s="578">
        <v>0</v>
      </c>
      <c r="CO42" s="578">
        <v>1.7082336863682952E-4</v>
      </c>
      <c r="CP42" s="578">
        <v>0</v>
      </c>
      <c r="CQ42" s="578">
        <v>6.3706440721156905E-5</v>
      </c>
      <c r="CR42" s="578">
        <v>6.6775055162002092E-5</v>
      </c>
      <c r="CS42" s="578">
        <v>0</v>
      </c>
      <c r="CT42" s="578">
        <v>5.832434166399347E-5</v>
      </c>
      <c r="CU42" s="578">
        <v>0</v>
      </c>
      <c r="CV42" s="578">
        <v>0</v>
      </c>
      <c r="CW42" s="578">
        <v>0</v>
      </c>
      <c r="CX42" s="578">
        <v>0</v>
      </c>
      <c r="CY42" s="578">
        <v>0</v>
      </c>
      <c r="CZ42" s="578">
        <v>2.7916073968705549E-3</v>
      </c>
      <c r="DA42" s="578">
        <v>8.5669615129254034E-5</v>
      </c>
      <c r="DB42" s="578">
        <v>5.4150647100232849E-5</v>
      </c>
      <c r="DC42" s="578">
        <v>0</v>
      </c>
      <c r="DD42" s="578">
        <v>0</v>
      </c>
      <c r="DE42" s="578">
        <v>0</v>
      </c>
      <c r="DF42" s="578">
        <v>0</v>
      </c>
      <c r="DG42" s="578">
        <v>0</v>
      </c>
      <c r="DH42" s="578">
        <v>1.1327465706097575E-4</v>
      </c>
      <c r="DI42" s="578">
        <v>0</v>
      </c>
      <c r="DJ42" s="578">
        <v>0</v>
      </c>
      <c r="DK42" s="578">
        <v>0</v>
      </c>
      <c r="DL42" s="578">
        <v>0</v>
      </c>
      <c r="DM42" s="578">
        <v>6.362402443162538E-4</v>
      </c>
      <c r="DN42" s="578">
        <v>0</v>
      </c>
      <c r="DO42" s="578">
        <v>0</v>
      </c>
      <c r="DP42" s="578">
        <v>1.0955302366345311E-4</v>
      </c>
      <c r="DQ42" s="578">
        <v>0</v>
      </c>
      <c r="DR42" s="578">
        <v>2.3341969862182341E-5</v>
      </c>
      <c r="DS42" s="578">
        <v>8.4607791608445394E-4</v>
      </c>
      <c r="DT42" s="578">
        <v>1.6910976827588218E-3</v>
      </c>
      <c r="DU42" s="578">
        <v>2.388839342591413E-5</v>
      </c>
      <c r="DV42" s="578">
        <v>0</v>
      </c>
      <c r="DW42" s="578">
        <v>3.8773411554476645E-4</v>
      </c>
      <c r="DX42" s="578">
        <v>2.9787260123684549E-3</v>
      </c>
      <c r="DY42" s="578">
        <v>0</v>
      </c>
      <c r="DZ42" s="578">
        <v>4.9487775837300831E-2</v>
      </c>
      <c r="EA42" s="578">
        <v>9.2731712420395639E-3</v>
      </c>
      <c r="EB42" s="578">
        <v>1.0302250409792116E-2</v>
      </c>
      <c r="EC42" s="578">
        <v>1.2049408692088677E-3</v>
      </c>
      <c r="ED42" s="578">
        <v>2.8674548398476721E-3</v>
      </c>
      <c r="EE42" s="578">
        <v>4.3496720750026618E-3</v>
      </c>
      <c r="EF42" s="578">
        <v>0</v>
      </c>
      <c r="EG42" s="578">
        <v>0</v>
      </c>
      <c r="EH42" s="578">
        <v>0</v>
      </c>
      <c r="EI42" s="578">
        <v>0</v>
      </c>
      <c r="EJ42" s="578">
        <v>0</v>
      </c>
      <c r="EK42" s="578">
        <v>0</v>
      </c>
      <c r="EL42" s="578">
        <v>0</v>
      </c>
      <c r="EM42" s="578">
        <v>0</v>
      </c>
      <c r="EN42" s="578">
        <v>0</v>
      </c>
      <c r="EO42" s="578">
        <v>1.9697718807184938E-6</v>
      </c>
      <c r="EP42" s="578">
        <v>1.8654837012689021E-6</v>
      </c>
      <c r="EQ42" s="578">
        <v>0</v>
      </c>
      <c r="ER42" s="578">
        <v>0</v>
      </c>
      <c r="ES42" s="578">
        <v>0</v>
      </c>
      <c r="ET42" s="578">
        <v>0</v>
      </c>
      <c r="EU42" s="578">
        <v>0</v>
      </c>
      <c r="EV42" s="578">
        <v>0</v>
      </c>
      <c r="EW42" s="578">
        <v>0</v>
      </c>
      <c r="EX42" s="578">
        <v>0</v>
      </c>
      <c r="EY42" s="578">
        <v>0</v>
      </c>
      <c r="EZ42" s="578">
        <v>0</v>
      </c>
      <c r="FA42" s="578">
        <v>2.6011181969074867E-2</v>
      </c>
      <c r="FB42" s="578">
        <v>0</v>
      </c>
      <c r="FC42" s="578">
        <v>0</v>
      </c>
      <c r="FD42" s="578">
        <v>0</v>
      </c>
      <c r="FE42" s="578">
        <v>0</v>
      </c>
      <c r="FF42" s="578">
        <v>0</v>
      </c>
      <c r="FG42" s="578">
        <v>0</v>
      </c>
      <c r="FH42" s="578">
        <v>3.2515038205169893E-5</v>
      </c>
      <c r="FI42" s="578">
        <v>4.6978407549430093E-5</v>
      </c>
      <c r="FJ42" s="578">
        <v>0</v>
      </c>
      <c r="FK42" s="578">
        <v>0</v>
      </c>
      <c r="FL42" s="578">
        <v>0</v>
      </c>
      <c r="FM42" s="578">
        <v>0</v>
      </c>
      <c r="FN42" s="578">
        <v>0</v>
      </c>
      <c r="FO42" s="578">
        <v>0</v>
      </c>
      <c r="FP42" s="578">
        <v>0</v>
      </c>
      <c r="FQ42" s="578">
        <v>0</v>
      </c>
      <c r="FR42" s="578">
        <v>0</v>
      </c>
      <c r="FS42" s="578">
        <v>0</v>
      </c>
      <c r="FT42" s="578">
        <v>0</v>
      </c>
      <c r="FU42" s="578">
        <v>0</v>
      </c>
      <c r="FV42" s="578">
        <v>0</v>
      </c>
      <c r="FW42" s="578">
        <v>5.658257418379637E-5</v>
      </c>
      <c r="FX42" s="578">
        <v>0</v>
      </c>
      <c r="FY42" s="578">
        <v>9.1932847963598156E-5</v>
      </c>
      <c r="FZ42" s="578">
        <v>0</v>
      </c>
      <c r="GA42" s="578">
        <v>0</v>
      </c>
      <c r="GB42" s="578">
        <v>0</v>
      </c>
      <c r="GC42" s="578">
        <v>9.6675359186142206E-5</v>
      </c>
      <c r="GD42" s="578">
        <v>1.1083458442068778E-4</v>
      </c>
      <c r="GE42" s="578">
        <v>0</v>
      </c>
      <c r="GF42" s="578">
        <v>0</v>
      </c>
      <c r="GG42" s="579">
        <v>1.5656631357022018E-3</v>
      </c>
      <c r="GH42" s="572"/>
    </row>
    <row r="43" spans="1:190">
      <c r="A43" s="572" t="s">
        <v>9274</v>
      </c>
      <c r="B43" s="577" t="s">
        <v>206</v>
      </c>
      <c r="C43" s="573" t="s">
        <v>6132</v>
      </c>
      <c r="D43" s="578">
        <v>0</v>
      </c>
      <c r="E43" s="578">
        <v>0</v>
      </c>
      <c r="F43" s="578">
        <v>4.7137571000966317E-5</v>
      </c>
      <c r="G43" s="578">
        <v>2.7964205816554809E-4</v>
      </c>
      <c r="H43" s="578">
        <v>0</v>
      </c>
      <c r="I43" s="578">
        <v>0</v>
      </c>
      <c r="J43" s="578">
        <v>0</v>
      </c>
      <c r="K43" s="578">
        <v>7.1045433554758265E-5</v>
      </c>
      <c r="L43" s="578">
        <v>1.5060240963855423E-4</v>
      </c>
      <c r="M43" s="578">
        <v>0</v>
      </c>
      <c r="N43" s="578">
        <v>0</v>
      </c>
      <c r="O43" s="578">
        <v>1.6203906455285978E-3</v>
      </c>
      <c r="P43" s="578">
        <v>0</v>
      </c>
      <c r="Q43" s="578">
        <v>0</v>
      </c>
      <c r="R43" s="578">
        <v>0</v>
      </c>
      <c r="S43" s="578">
        <v>0</v>
      </c>
      <c r="T43" s="578">
        <v>8.5289804915973137E-5</v>
      </c>
      <c r="U43" s="578">
        <v>2.2091733292528976E-3</v>
      </c>
      <c r="V43" s="578">
        <v>0</v>
      </c>
      <c r="W43" s="578">
        <v>2.3285169797909237E-4</v>
      </c>
      <c r="X43" s="578">
        <v>7.4214351520114651E-4</v>
      </c>
      <c r="Y43" s="578">
        <v>3.4098917169941426E-5</v>
      </c>
      <c r="Z43" s="578">
        <v>2.8988852712470844E-4</v>
      </c>
      <c r="AA43" s="578">
        <v>1.3805185037083583E-3</v>
      </c>
      <c r="AB43" s="578">
        <v>1.0736525660296328E-4</v>
      </c>
      <c r="AC43" s="578">
        <v>0</v>
      </c>
      <c r="AD43" s="578">
        <v>0</v>
      </c>
      <c r="AE43" s="578">
        <v>0</v>
      </c>
      <c r="AF43" s="578">
        <v>7.5855268148372902E-5</v>
      </c>
      <c r="AG43" s="578">
        <v>0</v>
      </c>
      <c r="AH43" s="578">
        <v>7.7130736598534516E-4</v>
      </c>
      <c r="AI43" s="578">
        <v>6.6822586034079518E-5</v>
      </c>
      <c r="AJ43" s="578">
        <v>2.8893383415197921E-4</v>
      </c>
      <c r="AK43" s="578">
        <v>8.7303566974307803E-4</v>
      </c>
      <c r="AL43" s="578">
        <v>8.9158345221112699E-5</v>
      </c>
      <c r="AM43" s="578">
        <v>2.8699345654919069E-4</v>
      </c>
      <c r="AN43" s="578">
        <v>7.720841959972395E-3</v>
      </c>
      <c r="AO43" s="578">
        <v>5.1818505683842345E-2</v>
      </c>
      <c r="AP43" s="578">
        <v>0</v>
      </c>
      <c r="AQ43" s="578">
        <v>0</v>
      </c>
      <c r="AR43" s="578">
        <v>0</v>
      </c>
      <c r="AS43" s="578">
        <v>7.068386640749249E-5</v>
      </c>
      <c r="AT43" s="578">
        <v>0</v>
      </c>
      <c r="AU43" s="578">
        <v>1.6360988858166587E-5</v>
      </c>
      <c r="AV43" s="578">
        <v>2.3965011083817625E-4</v>
      </c>
      <c r="AW43" s="578">
        <v>0</v>
      </c>
      <c r="AX43" s="578">
        <v>0</v>
      </c>
      <c r="AY43" s="578">
        <v>0</v>
      </c>
      <c r="AZ43" s="578">
        <v>1.1302755611818161E-5</v>
      </c>
      <c r="BA43" s="578">
        <v>0</v>
      </c>
      <c r="BB43" s="578">
        <v>3.6595011273624442E-4</v>
      </c>
      <c r="BC43" s="578">
        <v>4.0938724963411012E-5</v>
      </c>
      <c r="BD43" s="578">
        <v>0</v>
      </c>
      <c r="BE43" s="578">
        <v>7.0204505725177445E-6</v>
      </c>
      <c r="BF43" s="578">
        <v>0</v>
      </c>
      <c r="BG43" s="578">
        <v>0</v>
      </c>
      <c r="BH43" s="578">
        <v>4.3285879184301655E-4</v>
      </c>
      <c r="BI43" s="578">
        <v>0</v>
      </c>
      <c r="BJ43" s="578">
        <v>6.0618306728632044E-4</v>
      </c>
      <c r="BK43" s="578">
        <v>0</v>
      </c>
      <c r="BL43" s="578">
        <v>0</v>
      </c>
      <c r="BM43" s="578">
        <v>1.3740132867084824E-4</v>
      </c>
      <c r="BN43" s="578">
        <v>0</v>
      </c>
      <c r="BO43" s="578">
        <v>5.7948059222916523E-5</v>
      </c>
      <c r="BP43" s="578">
        <v>3.6316095293434051E-3</v>
      </c>
      <c r="BQ43" s="578">
        <v>2.7819507038335281E-4</v>
      </c>
      <c r="BR43" s="578">
        <v>8.6842414091088515E-3</v>
      </c>
      <c r="BS43" s="578">
        <v>4.0462486217465629E-5</v>
      </c>
      <c r="BT43" s="578">
        <v>2.3857220906938627E-2</v>
      </c>
      <c r="BU43" s="578">
        <v>3.4806822137138879E-3</v>
      </c>
      <c r="BV43" s="578">
        <v>2.054979113327045E-3</v>
      </c>
      <c r="BW43" s="578">
        <v>0</v>
      </c>
      <c r="BX43" s="578">
        <v>0</v>
      </c>
      <c r="BY43" s="578">
        <v>0</v>
      </c>
      <c r="BZ43" s="578">
        <v>0</v>
      </c>
      <c r="CA43" s="578">
        <v>9.2512159861012243E-5</v>
      </c>
      <c r="CB43" s="578">
        <v>6.2050136510300325E-4</v>
      </c>
      <c r="CC43" s="578">
        <v>2.182453077258839E-5</v>
      </c>
      <c r="CD43" s="578">
        <v>0</v>
      </c>
      <c r="CE43" s="578">
        <v>0</v>
      </c>
      <c r="CF43" s="578">
        <v>6.1582188536238747E-3</v>
      </c>
      <c r="CG43" s="578">
        <v>7.0223722850373815E-4</v>
      </c>
      <c r="CH43" s="578">
        <v>2.3144665733165149E-5</v>
      </c>
      <c r="CI43" s="578">
        <v>2.4871291068719379E-5</v>
      </c>
      <c r="CJ43" s="578">
        <v>2.6036016489477111E-5</v>
      </c>
      <c r="CK43" s="578">
        <v>6.4298465914248537E-4</v>
      </c>
      <c r="CL43" s="578">
        <v>5.9946647483739472E-6</v>
      </c>
      <c r="CM43" s="578">
        <v>1.8044969964622361E-4</v>
      </c>
      <c r="CN43" s="578">
        <v>0</v>
      </c>
      <c r="CO43" s="578">
        <v>1.7082336863682952E-4</v>
      </c>
      <c r="CP43" s="578">
        <v>1.4306535404204332E-4</v>
      </c>
      <c r="CQ43" s="578">
        <v>6.3706440721156905E-5</v>
      </c>
      <c r="CR43" s="578">
        <v>5.2258738822436417E-5</v>
      </c>
      <c r="CS43" s="578">
        <v>1.1300711944852526E-4</v>
      </c>
      <c r="CT43" s="578">
        <v>1.4581085415998367E-4</v>
      </c>
      <c r="CU43" s="578">
        <v>1.2898440900956096E-4</v>
      </c>
      <c r="CV43" s="578">
        <v>3.2215496893063137E-4</v>
      </c>
      <c r="CW43" s="578">
        <v>0</v>
      </c>
      <c r="CX43" s="578">
        <v>1.0708013877585985E-4</v>
      </c>
      <c r="CY43" s="578">
        <v>4.3044234820038466E-4</v>
      </c>
      <c r="CZ43" s="578">
        <v>9.4238975817923182E-4</v>
      </c>
      <c r="DA43" s="578">
        <v>9.4236576642179432E-4</v>
      </c>
      <c r="DB43" s="578">
        <v>8.1225970650349272E-4</v>
      </c>
      <c r="DC43" s="578">
        <v>0</v>
      </c>
      <c r="DD43" s="578">
        <v>1.4492753623188406E-3</v>
      </c>
      <c r="DE43" s="578">
        <v>6.8148363530630415E-5</v>
      </c>
      <c r="DF43" s="578">
        <v>1.5975716910296349E-4</v>
      </c>
      <c r="DG43" s="578">
        <v>2.132401346365404E-4</v>
      </c>
      <c r="DH43" s="578">
        <v>3.1716903977073208E-4</v>
      </c>
      <c r="DI43" s="578">
        <v>3.3116969134984766E-5</v>
      </c>
      <c r="DJ43" s="578">
        <v>1.7393681124128763E-4</v>
      </c>
      <c r="DK43" s="578">
        <v>2.2951461283300759E-4</v>
      </c>
      <c r="DL43" s="578">
        <v>4.5453397641473703E-5</v>
      </c>
      <c r="DM43" s="578">
        <v>4.2416016287750257E-5</v>
      </c>
      <c r="DN43" s="578">
        <v>2.4758603614756129E-5</v>
      </c>
      <c r="DO43" s="578">
        <v>0</v>
      </c>
      <c r="DP43" s="578">
        <v>3.9439088518843118E-4</v>
      </c>
      <c r="DQ43" s="578">
        <v>0</v>
      </c>
      <c r="DR43" s="578">
        <v>2.5676166848400577E-4</v>
      </c>
      <c r="DS43" s="578">
        <v>7.5313753893881314E-4</v>
      </c>
      <c r="DT43" s="578">
        <v>3.046891514625808E-3</v>
      </c>
      <c r="DU43" s="578">
        <v>7.9627978086380427E-6</v>
      </c>
      <c r="DV43" s="578">
        <v>8.8687301245423097E-5</v>
      </c>
      <c r="DW43" s="578">
        <v>5.9003017582899238E-4</v>
      </c>
      <c r="DX43" s="578">
        <v>3.7178913561784051E-2</v>
      </c>
      <c r="DY43" s="578">
        <v>0</v>
      </c>
      <c r="DZ43" s="578">
        <v>4.9309259443264628E-2</v>
      </c>
      <c r="EA43" s="578">
        <v>6.6020705482211584E-3</v>
      </c>
      <c r="EB43" s="578">
        <v>5.1396357062977772E-3</v>
      </c>
      <c r="EC43" s="578">
        <v>5.5353882570255083E-4</v>
      </c>
      <c r="ED43" s="578">
        <v>1.5694114028819278E-3</v>
      </c>
      <c r="EE43" s="578">
        <v>1.9240660903874941E-5</v>
      </c>
      <c r="EF43" s="578">
        <v>6.4141624707353838E-6</v>
      </c>
      <c r="EG43" s="578">
        <v>0</v>
      </c>
      <c r="EH43" s="578">
        <v>0</v>
      </c>
      <c r="EI43" s="578">
        <v>5.6199982016005753E-6</v>
      </c>
      <c r="EJ43" s="578">
        <v>1.0874674321478741E-3</v>
      </c>
      <c r="EK43" s="578">
        <v>4.1700000226630438E-4</v>
      </c>
      <c r="EL43" s="578">
        <v>1.4323654919280235E-4</v>
      </c>
      <c r="EM43" s="578">
        <v>0</v>
      </c>
      <c r="EN43" s="578">
        <v>0</v>
      </c>
      <c r="EO43" s="578">
        <v>0</v>
      </c>
      <c r="EP43" s="578">
        <v>0</v>
      </c>
      <c r="EQ43" s="578">
        <v>3.389382420629137E-6</v>
      </c>
      <c r="ER43" s="578">
        <v>0</v>
      </c>
      <c r="ES43" s="578">
        <v>0</v>
      </c>
      <c r="ET43" s="578">
        <v>1.3250456146952858E-6</v>
      </c>
      <c r="EU43" s="578">
        <v>0</v>
      </c>
      <c r="EV43" s="578">
        <v>0</v>
      </c>
      <c r="EW43" s="578">
        <v>6.0280791817368651E-4</v>
      </c>
      <c r="EX43" s="578">
        <v>0</v>
      </c>
      <c r="EY43" s="578">
        <v>0</v>
      </c>
      <c r="EZ43" s="578">
        <v>5.0406730167558921E-4</v>
      </c>
      <c r="FA43" s="578">
        <v>3.4353979208526252E-2</v>
      </c>
      <c r="FB43" s="578">
        <v>4.3848258043625643E-5</v>
      </c>
      <c r="FC43" s="578">
        <v>4.3312543312543313E-5</v>
      </c>
      <c r="FD43" s="578">
        <v>4.6745067165280716E-5</v>
      </c>
      <c r="FE43" s="578">
        <v>2.3085963734049698E-4</v>
      </c>
      <c r="FF43" s="578">
        <v>1.5168062128382477E-5</v>
      </c>
      <c r="FG43" s="578">
        <v>5.2192066805845514E-5</v>
      </c>
      <c r="FH43" s="578">
        <v>3.2515038205169893E-5</v>
      </c>
      <c r="FI43" s="578">
        <v>4.4042257077590711E-5</v>
      </c>
      <c r="FJ43" s="578">
        <v>6.8342189342035573E-6</v>
      </c>
      <c r="FK43" s="578">
        <v>1.7286313205624763E-5</v>
      </c>
      <c r="FL43" s="578">
        <v>9.1479351803450083E-5</v>
      </c>
      <c r="FM43" s="578">
        <v>9.9037010713474277E-5</v>
      </c>
      <c r="FN43" s="578">
        <v>1.1205841978951694E-4</v>
      </c>
      <c r="FO43" s="578">
        <v>9.9026912048752937E-7</v>
      </c>
      <c r="FP43" s="578">
        <v>3.9391170075315916E-4</v>
      </c>
      <c r="FQ43" s="578">
        <v>3.061218810354712E-5</v>
      </c>
      <c r="FR43" s="578">
        <v>2.8015062765413538E-5</v>
      </c>
      <c r="FS43" s="578">
        <v>1.4015809833492178E-4</v>
      </c>
      <c r="FT43" s="578">
        <v>5.1879866980021062E-5</v>
      </c>
      <c r="FU43" s="578">
        <v>0</v>
      </c>
      <c r="FV43" s="578">
        <v>0</v>
      </c>
      <c r="FW43" s="578">
        <v>8.0832248833994816E-6</v>
      </c>
      <c r="FX43" s="578">
        <v>0</v>
      </c>
      <c r="FY43" s="578">
        <v>1.2495726907673537E-4</v>
      </c>
      <c r="FZ43" s="578">
        <v>2.252222987400545E-4</v>
      </c>
      <c r="GA43" s="578">
        <v>8.8788764423069068E-4</v>
      </c>
      <c r="GB43" s="578">
        <v>3.1600941425060963E-4</v>
      </c>
      <c r="GC43" s="578">
        <v>5.0816534956818341E-4</v>
      </c>
      <c r="GD43" s="578">
        <v>5.5753154587376275E-4</v>
      </c>
      <c r="GE43" s="578">
        <v>0</v>
      </c>
      <c r="GF43" s="578">
        <v>2.1228042243804064E-5</v>
      </c>
      <c r="GG43" s="579">
        <v>1.3400901860571275E-3</v>
      </c>
      <c r="GH43" s="572"/>
    </row>
    <row r="44" spans="1:190">
      <c r="A44" s="572" t="s">
        <v>9275</v>
      </c>
      <c r="B44" s="577" t="s">
        <v>9407</v>
      </c>
      <c r="C44" s="573" t="s">
        <v>9062</v>
      </c>
      <c r="D44" s="578">
        <v>0</v>
      </c>
      <c r="E44" s="578">
        <v>0</v>
      </c>
      <c r="F44" s="578">
        <v>0</v>
      </c>
      <c r="G44" s="578">
        <v>0</v>
      </c>
      <c r="H44" s="578">
        <v>0</v>
      </c>
      <c r="I44" s="578">
        <v>0</v>
      </c>
      <c r="J44" s="578">
        <v>0</v>
      </c>
      <c r="K44" s="578">
        <v>3.5522716777379133E-5</v>
      </c>
      <c r="L44" s="578">
        <v>0</v>
      </c>
      <c r="M44" s="578">
        <v>0</v>
      </c>
      <c r="N44" s="578">
        <v>0</v>
      </c>
      <c r="O44" s="578">
        <v>3.7225190505386707E-4</v>
      </c>
      <c r="P44" s="578">
        <v>0</v>
      </c>
      <c r="Q44" s="578">
        <v>0</v>
      </c>
      <c r="R44" s="578">
        <v>2.0349330167881972E-3</v>
      </c>
      <c r="S44" s="578">
        <v>0</v>
      </c>
      <c r="T44" s="578">
        <v>2.8867318586944758E-4</v>
      </c>
      <c r="U44" s="578">
        <v>2.1996098083470409E-4</v>
      </c>
      <c r="V44" s="578">
        <v>5.968545763824644E-5</v>
      </c>
      <c r="W44" s="578">
        <v>4.3506501464514626E-4</v>
      </c>
      <c r="X44" s="578">
        <v>4.350496468420514E-4</v>
      </c>
      <c r="Y44" s="578">
        <v>3.334116345505384E-4</v>
      </c>
      <c r="Z44" s="578">
        <v>6.8982732843564875E-4</v>
      </c>
      <c r="AA44" s="578">
        <v>1.2377062447040455E-4</v>
      </c>
      <c r="AB44" s="578">
        <v>7.3503906443567169E-4</v>
      </c>
      <c r="AC44" s="578">
        <v>1.7275632720048372E-5</v>
      </c>
      <c r="AD44" s="578">
        <v>0</v>
      </c>
      <c r="AE44" s="578">
        <v>4.5065344749887338E-4</v>
      </c>
      <c r="AF44" s="578">
        <v>7.5855268148372905E-4</v>
      </c>
      <c r="AG44" s="578">
        <v>0</v>
      </c>
      <c r="AH44" s="578">
        <v>1.1569610489780178E-3</v>
      </c>
      <c r="AI44" s="578">
        <v>1.0023387905111927E-3</v>
      </c>
      <c r="AJ44" s="578">
        <v>6.3565443513435426E-4</v>
      </c>
      <c r="AK44" s="578">
        <v>9.9775505113494645E-4</v>
      </c>
      <c r="AL44" s="578">
        <v>5.7952924393723257E-4</v>
      </c>
      <c r="AM44" s="578">
        <v>3.4439214785902879E-4</v>
      </c>
      <c r="AN44" s="578">
        <v>8.6266390614216703E-5</v>
      </c>
      <c r="AO44" s="578">
        <v>3.4135440619231142E-2</v>
      </c>
      <c r="AP44" s="578">
        <v>7.9415501905972049E-5</v>
      </c>
      <c r="AQ44" s="578">
        <v>9.5175039311429276E-4</v>
      </c>
      <c r="AR44" s="578">
        <v>7.2019740492803934E-4</v>
      </c>
      <c r="AS44" s="578">
        <v>9.7779348530364603E-4</v>
      </c>
      <c r="AT44" s="578">
        <v>7.2531343902186303E-4</v>
      </c>
      <c r="AU44" s="578">
        <v>4.1720521588324799E-4</v>
      </c>
      <c r="AV44" s="578">
        <v>1.0185129710622491E-3</v>
      </c>
      <c r="AW44" s="578">
        <v>8.0459153569704446E-4</v>
      </c>
      <c r="AX44" s="578">
        <v>9.1069684767223688E-4</v>
      </c>
      <c r="AY44" s="578">
        <v>0</v>
      </c>
      <c r="AZ44" s="578">
        <v>4.973212469199991E-4</v>
      </c>
      <c r="BA44" s="578">
        <v>1.1106483409690406E-3</v>
      </c>
      <c r="BB44" s="578">
        <v>1.0388261264770808E-3</v>
      </c>
      <c r="BC44" s="578">
        <v>2.8657107474387711E-4</v>
      </c>
      <c r="BD44" s="578">
        <v>6.458103056421466E-4</v>
      </c>
      <c r="BE44" s="578">
        <v>1.6006627305340457E-3</v>
      </c>
      <c r="BF44" s="578">
        <v>3.2519821605550049E-4</v>
      </c>
      <c r="BG44" s="578">
        <v>2.3747680890538034E-4</v>
      </c>
      <c r="BH44" s="578">
        <v>7.4204364315945696E-4</v>
      </c>
      <c r="BI44" s="578">
        <v>1.626457034426674E-4</v>
      </c>
      <c r="BJ44" s="578">
        <v>7.6700714636228308E-4</v>
      </c>
      <c r="BK44" s="578">
        <v>0</v>
      </c>
      <c r="BL44" s="578">
        <v>1.2685847668341199E-4</v>
      </c>
      <c r="BM44" s="578">
        <v>8.7020841491537227E-4</v>
      </c>
      <c r="BN44" s="578">
        <v>1.0370370370370371E-3</v>
      </c>
      <c r="BO44" s="578">
        <v>1.4100694410909688E-3</v>
      </c>
      <c r="BP44" s="578">
        <v>3.631609529343405E-4</v>
      </c>
      <c r="BQ44" s="578">
        <v>5.5639014076670561E-5</v>
      </c>
      <c r="BR44" s="578">
        <v>5.5476726446395612E-4</v>
      </c>
      <c r="BS44" s="578">
        <v>6.5751540103381652E-4</v>
      </c>
      <c r="BT44" s="578">
        <v>4.9171371334911671E-3</v>
      </c>
      <c r="BU44" s="578">
        <v>8.1215918319990719E-4</v>
      </c>
      <c r="BV44" s="578">
        <v>1.5159681983560166E-3</v>
      </c>
      <c r="BW44" s="578">
        <v>7.7749369835723465E-5</v>
      </c>
      <c r="BX44" s="578">
        <v>0</v>
      </c>
      <c r="BY44" s="578">
        <v>1.6515937880054251E-4</v>
      </c>
      <c r="BZ44" s="578">
        <v>2.6489920033553898E-4</v>
      </c>
      <c r="CA44" s="578">
        <v>2.0227234952661997E-4</v>
      </c>
      <c r="CB44" s="578">
        <v>9.0593199305038466E-4</v>
      </c>
      <c r="CC44" s="578">
        <v>0</v>
      </c>
      <c r="CD44" s="578">
        <v>4.8796753389341166E-5</v>
      </c>
      <c r="CE44" s="578">
        <v>0</v>
      </c>
      <c r="CF44" s="578">
        <v>3.1580609505763463E-4</v>
      </c>
      <c r="CG44" s="578">
        <v>4.4687823632056067E-4</v>
      </c>
      <c r="CH44" s="578">
        <v>1.8515732586532119E-4</v>
      </c>
      <c r="CI44" s="578">
        <v>5.2229711244310693E-4</v>
      </c>
      <c r="CJ44" s="578">
        <v>1.9960945975265785E-4</v>
      </c>
      <c r="CK44" s="578">
        <v>2.218927451158381E-4</v>
      </c>
      <c r="CL44" s="578">
        <v>1.0190930072235711E-4</v>
      </c>
      <c r="CM44" s="578">
        <v>1.9469572856566233E-4</v>
      </c>
      <c r="CN44" s="578">
        <v>5.427441142416056E-4</v>
      </c>
      <c r="CO44" s="578">
        <v>5.1247010591048861E-4</v>
      </c>
      <c r="CP44" s="578">
        <v>5.0072873914715167E-4</v>
      </c>
      <c r="CQ44" s="578">
        <v>6.3706440721156905E-4</v>
      </c>
      <c r="CR44" s="578">
        <v>2.8742306352340033E-4</v>
      </c>
      <c r="CS44" s="578">
        <v>1.07356763476099E-3</v>
      </c>
      <c r="CT44" s="578">
        <v>2.0413519582397713E-4</v>
      </c>
      <c r="CU44" s="578">
        <v>2.9021492027151216E-4</v>
      </c>
      <c r="CV44" s="578">
        <v>4.8323245339594703E-4</v>
      </c>
      <c r="CW44" s="578">
        <v>5.461496450027307E-4</v>
      </c>
      <c r="CX44" s="578">
        <v>1.7132822204137576E-4</v>
      </c>
      <c r="CY44" s="578">
        <v>7.3266782672405903E-5</v>
      </c>
      <c r="CZ44" s="578">
        <v>3.3783783783783786E-4</v>
      </c>
      <c r="DA44" s="578">
        <v>7.4960913238097276E-4</v>
      </c>
      <c r="DB44" s="578">
        <v>4.3320517680186279E-4</v>
      </c>
      <c r="DC44" s="578">
        <v>0</v>
      </c>
      <c r="DD44" s="578">
        <v>0</v>
      </c>
      <c r="DE44" s="578">
        <v>8.4049648354444183E-4</v>
      </c>
      <c r="DF44" s="578">
        <v>1.0084671299624571E-3</v>
      </c>
      <c r="DG44" s="578">
        <v>7.1736168370036154E-4</v>
      </c>
      <c r="DH44" s="578">
        <v>1.2800036247890259E-3</v>
      </c>
      <c r="DI44" s="578">
        <v>4.9675453702477152E-4</v>
      </c>
      <c r="DJ44" s="578">
        <v>1.1181652151225634E-3</v>
      </c>
      <c r="DK44" s="578">
        <v>7.8518157021818379E-4</v>
      </c>
      <c r="DL44" s="578">
        <v>8.2321153506224594E-4</v>
      </c>
      <c r="DM44" s="578">
        <v>1.0745390792896731E-2</v>
      </c>
      <c r="DN44" s="578">
        <v>4.6463646117025663E-3</v>
      </c>
      <c r="DO44" s="578">
        <v>0</v>
      </c>
      <c r="DP44" s="578">
        <v>3.5056967572304995E-4</v>
      </c>
      <c r="DQ44" s="578">
        <v>2.0487120692779865E-4</v>
      </c>
      <c r="DR44" s="578">
        <v>3.2345301094738386E-4</v>
      </c>
      <c r="DS44" s="578">
        <v>2.0671221813427002E-3</v>
      </c>
      <c r="DT44" s="578">
        <v>2.1867642449467524E-3</v>
      </c>
      <c r="DU44" s="578">
        <v>3.1054911453688369E-4</v>
      </c>
      <c r="DV44" s="578">
        <v>1.9004421695447806E-4</v>
      </c>
      <c r="DW44" s="578">
        <v>1.1126283315632428E-3</v>
      </c>
      <c r="DX44" s="578">
        <v>4.7255097850536602E-3</v>
      </c>
      <c r="DY44" s="578">
        <v>1.2648021375156123E-4</v>
      </c>
      <c r="DZ44" s="578">
        <v>1.5165472908453088E-2</v>
      </c>
      <c r="EA44" s="578">
        <v>4.3227312894961187E-3</v>
      </c>
      <c r="EB44" s="578">
        <v>2.4457312682874519E-2</v>
      </c>
      <c r="EC44" s="578">
        <v>6.1164511127353684E-5</v>
      </c>
      <c r="ED44" s="578">
        <v>1.2211558466228257E-4</v>
      </c>
      <c r="EE44" s="578">
        <v>6.246801240124731E-4</v>
      </c>
      <c r="EF44" s="578">
        <v>3.3032936724287226E-4</v>
      </c>
      <c r="EG44" s="578">
        <v>2.4979184013322231E-3</v>
      </c>
      <c r="EH44" s="578">
        <v>3.0617678381256656E-3</v>
      </c>
      <c r="EI44" s="578">
        <v>2.6863591403650752E-3</v>
      </c>
      <c r="EJ44" s="578">
        <v>1.3139482527274313E-3</v>
      </c>
      <c r="EK44" s="578">
        <v>1.1014239190294778E-3</v>
      </c>
      <c r="EL44" s="578">
        <v>2.1425800483423352E-3</v>
      </c>
      <c r="EM44" s="578">
        <v>2.8696619340333987E-3</v>
      </c>
      <c r="EN44" s="578">
        <v>4.5063207077295257E-4</v>
      </c>
      <c r="EO44" s="578">
        <v>1.1148908844866676E-3</v>
      </c>
      <c r="EP44" s="578">
        <v>1.4970506702682938E-4</v>
      </c>
      <c r="EQ44" s="578">
        <v>3.186019475391389E-4</v>
      </c>
      <c r="ER44" s="578">
        <v>0</v>
      </c>
      <c r="ES44" s="578">
        <v>4.2865599335923412E-4</v>
      </c>
      <c r="ET44" s="578">
        <v>3.935385475644999E-4</v>
      </c>
      <c r="EU44" s="578">
        <v>1.6427490231510274E-4</v>
      </c>
      <c r="EV44" s="578">
        <v>3.055450773293097E-3</v>
      </c>
      <c r="EW44" s="578">
        <v>1.0500525026251313E-3</v>
      </c>
      <c r="EX44" s="578">
        <v>6.938287784758895E-4</v>
      </c>
      <c r="EY44" s="578">
        <v>3.464317529446699E-4</v>
      </c>
      <c r="EZ44" s="578">
        <v>2.2856844886324132E-3</v>
      </c>
      <c r="FA44" s="578">
        <v>3.0575696689088844E-4</v>
      </c>
      <c r="FB44" s="578">
        <v>2.5364530806774219E-3</v>
      </c>
      <c r="FC44" s="578">
        <v>3.465003465003465E-4</v>
      </c>
      <c r="FD44" s="578">
        <v>2.3766176253505879E-3</v>
      </c>
      <c r="FE44" s="578">
        <v>7.3455339153794496E-4</v>
      </c>
      <c r="FF44" s="578">
        <v>3.7465113457104721E-3</v>
      </c>
      <c r="FG44" s="578">
        <v>2.9749478079331942E-3</v>
      </c>
      <c r="FH44" s="578">
        <v>1.4631767192326451E-3</v>
      </c>
      <c r="FI44" s="578">
        <v>4.4335872124774651E-4</v>
      </c>
      <c r="FJ44" s="578">
        <v>1.1310632336106888E-3</v>
      </c>
      <c r="FK44" s="578">
        <v>1.8465849871420336E-3</v>
      </c>
      <c r="FL44" s="578">
        <v>1.9472033455305803E-3</v>
      </c>
      <c r="FM44" s="578">
        <v>3.0002388539670148E-3</v>
      </c>
      <c r="FN44" s="578">
        <v>4.1293527692436993E-3</v>
      </c>
      <c r="FO44" s="578">
        <v>1.6859331776300187E-3</v>
      </c>
      <c r="FP44" s="578">
        <v>7.2479752938581286E-4</v>
      </c>
      <c r="FQ44" s="578">
        <v>7.4443275615444131E-3</v>
      </c>
      <c r="FR44" s="578">
        <v>3.5742550911540103E-3</v>
      </c>
      <c r="FS44" s="578">
        <v>1.422885014296126E-2</v>
      </c>
      <c r="FT44" s="578">
        <v>1.6394037965686656E-3</v>
      </c>
      <c r="FU44" s="578">
        <v>8.2344060934605088E-4</v>
      </c>
      <c r="FV44" s="578">
        <v>5.8648569393825146E-4</v>
      </c>
      <c r="FW44" s="578">
        <v>2.5866319626878341E-4</v>
      </c>
      <c r="FX44" s="578">
        <v>1.5135716928458512E-4</v>
      </c>
      <c r="FY44" s="578">
        <v>1.8565079977114968E-3</v>
      </c>
      <c r="FZ44" s="578">
        <v>3.010182646621882E-3</v>
      </c>
      <c r="GA44" s="578">
        <v>2.5860646565173569E-3</v>
      </c>
      <c r="GB44" s="578">
        <v>9.5274480117347972E-4</v>
      </c>
      <c r="GC44" s="578">
        <v>3.7852121404420296E-3</v>
      </c>
      <c r="GD44" s="578">
        <v>3.6877688998156115E-3</v>
      </c>
      <c r="GE44" s="578">
        <v>0</v>
      </c>
      <c r="GF44" s="578">
        <v>3.1311362309610998E-4</v>
      </c>
      <c r="GG44" s="579">
        <v>1.7030398342115826E-3</v>
      </c>
      <c r="GH44" s="572"/>
    </row>
    <row r="45" spans="1:190">
      <c r="A45" s="572" t="s">
        <v>9276</v>
      </c>
      <c r="B45" s="577" t="s">
        <v>9408</v>
      </c>
      <c r="C45" s="573" t="s">
        <v>215</v>
      </c>
      <c r="D45" s="578">
        <v>0</v>
      </c>
      <c r="E45" s="578">
        <v>0</v>
      </c>
      <c r="F45" s="578">
        <v>0</v>
      </c>
      <c r="G45" s="578">
        <v>0</v>
      </c>
      <c r="H45" s="578">
        <v>0</v>
      </c>
      <c r="I45" s="578">
        <v>0</v>
      </c>
      <c r="J45" s="578">
        <v>0</v>
      </c>
      <c r="K45" s="578">
        <v>0</v>
      </c>
      <c r="L45" s="578">
        <v>0</v>
      </c>
      <c r="M45" s="578">
        <v>0</v>
      </c>
      <c r="N45" s="578">
        <v>0</v>
      </c>
      <c r="O45" s="578">
        <v>0</v>
      </c>
      <c r="P45" s="578">
        <v>0</v>
      </c>
      <c r="Q45" s="578">
        <v>0</v>
      </c>
      <c r="R45" s="578">
        <v>0</v>
      </c>
      <c r="S45" s="578">
        <v>0</v>
      </c>
      <c r="T45" s="578">
        <v>0</v>
      </c>
      <c r="U45" s="578">
        <v>0</v>
      </c>
      <c r="V45" s="578">
        <v>0</v>
      </c>
      <c r="W45" s="578">
        <v>0</v>
      </c>
      <c r="X45" s="578">
        <v>0</v>
      </c>
      <c r="Y45" s="578">
        <v>0</v>
      </c>
      <c r="Z45" s="578">
        <v>0</v>
      </c>
      <c r="AA45" s="578">
        <v>0</v>
      </c>
      <c r="AB45" s="578">
        <v>0</v>
      </c>
      <c r="AC45" s="578">
        <v>8.6378163600241853E-5</v>
      </c>
      <c r="AD45" s="578">
        <v>0</v>
      </c>
      <c r="AE45" s="578">
        <v>0</v>
      </c>
      <c r="AF45" s="578">
        <v>6.8269741333535619E-4</v>
      </c>
      <c r="AG45" s="578">
        <v>0</v>
      </c>
      <c r="AH45" s="578">
        <v>0</v>
      </c>
      <c r="AI45" s="578">
        <v>4.0093551620447711E-4</v>
      </c>
      <c r="AJ45" s="578">
        <v>0</v>
      </c>
      <c r="AK45" s="578">
        <v>0</v>
      </c>
      <c r="AL45" s="578">
        <v>0</v>
      </c>
      <c r="AM45" s="578">
        <v>0</v>
      </c>
      <c r="AN45" s="578">
        <v>4.3133195307108351E-5</v>
      </c>
      <c r="AO45" s="578">
        <v>0</v>
      </c>
      <c r="AP45" s="578">
        <v>0</v>
      </c>
      <c r="AQ45" s="578">
        <v>0.35597533725068276</v>
      </c>
      <c r="AR45" s="578">
        <v>-8.3826255327689812E-3</v>
      </c>
      <c r="AS45" s="578">
        <v>-1.6304411851328266E-2</v>
      </c>
      <c r="AT45" s="578">
        <v>1.5749663247331882E-3</v>
      </c>
      <c r="AU45" s="578">
        <v>-4.2374961142651463E-3</v>
      </c>
      <c r="AV45" s="578">
        <v>0</v>
      </c>
      <c r="AW45" s="578">
        <v>0</v>
      </c>
      <c r="AX45" s="578">
        <v>0</v>
      </c>
      <c r="AY45" s="578">
        <v>0</v>
      </c>
      <c r="AZ45" s="578">
        <v>0</v>
      </c>
      <c r="BA45" s="578">
        <v>0</v>
      </c>
      <c r="BB45" s="578">
        <v>0</v>
      </c>
      <c r="BC45" s="578">
        <v>2.3028032791918697E-3</v>
      </c>
      <c r="BD45" s="578">
        <v>2.2677877271203069E-2</v>
      </c>
      <c r="BE45" s="578">
        <v>0</v>
      </c>
      <c r="BF45" s="578">
        <v>0</v>
      </c>
      <c r="BG45" s="578">
        <v>0</v>
      </c>
      <c r="BH45" s="578">
        <v>0</v>
      </c>
      <c r="BI45" s="578">
        <v>0</v>
      </c>
      <c r="BJ45" s="578">
        <v>0</v>
      </c>
      <c r="BK45" s="578">
        <v>0</v>
      </c>
      <c r="BL45" s="578">
        <v>0</v>
      </c>
      <c r="BM45" s="578">
        <v>0</v>
      </c>
      <c r="BN45" s="578">
        <v>0</v>
      </c>
      <c r="BO45" s="578">
        <v>0</v>
      </c>
      <c r="BP45" s="578">
        <v>0</v>
      </c>
      <c r="BQ45" s="578">
        <v>0</v>
      </c>
      <c r="BR45" s="578">
        <v>0</v>
      </c>
      <c r="BS45" s="578">
        <v>0</v>
      </c>
      <c r="BT45" s="578">
        <v>0</v>
      </c>
      <c r="BU45" s="578">
        <v>0</v>
      </c>
      <c r="BV45" s="578">
        <v>0</v>
      </c>
      <c r="BW45" s="578">
        <v>0</v>
      </c>
      <c r="BX45" s="578">
        <v>0</v>
      </c>
      <c r="BY45" s="578">
        <v>0</v>
      </c>
      <c r="BZ45" s="578">
        <v>0</v>
      </c>
      <c r="CA45" s="578">
        <v>0</v>
      </c>
      <c r="CB45" s="578">
        <v>0</v>
      </c>
      <c r="CC45" s="578">
        <v>0</v>
      </c>
      <c r="CD45" s="578">
        <v>0</v>
      </c>
      <c r="CE45" s="578">
        <v>0</v>
      </c>
      <c r="CF45" s="578">
        <v>0</v>
      </c>
      <c r="CG45" s="578">
        <v>0</v>
      </c>
      <c r="CH45" s="578">
        <v>0</v>
      </c>
      <c r="CI45" s="578">
        <v>0</v>
      </c>
      <c r="CJ45" s="578">
        <v>0</v>
      </c>
      <c r="CK45" s="578">
        <v>0</v>
      </c>
      <c r="CL45" s="578">
        <v>0</v>
      </c>
      <c r="CM45" s="578">
        <v>0</v>
      </c>
      <c r="CN45" s="578">
        <v>0</v>
      </c>
      <c r="CO45" s="578">
        <v>0</v>
      </c>
      <c r="CP45" s="578">
        <v>0</v>
      </c>
      <c r="CQ45" s="578">
        <v>0</v>
      </c>
      <c r="CR45" s="578">
        <v>0</v>
      </c>
      <c r="CS45" s="578">
        <v>0</v>
      </c>
      <c r="CT45" s="578">
        <v>0</v>
      </c>
      <c r="CU45" s="578">
        <v>0</v>
      </c>
      <c r="CV45" s="578">
        <v>0</v>
      </c>
      <c r="CW45" s="578">
        <v>0</v>
      </c>
      <c r="CX45" s="578">
        <v>0</v>
      </c>
      <c r="CY45" s="578">
        <v>0</v>
      </c>
      <c r="CZ45" s="578">
        <v>0</v>
      </c>
      <c r="DA45" s="578">
        <v>0</v>
      </c>
      <c r="DB45" s="578">
        <v>0</v>
      </c>
      <c r="DC45" s="578">
        <v>0</v>
      </c>
      <c r="DD45" s="578">
        <v>0</v>
      </c>
      <c r="DE45" s="578">
        <v>0</v>
      </c>
      <c r="DF45" s="578">
        <v>0</v>
      </c>
      <c r="DG45" s="578">
        <v>0</v>
      </c>
      <c r="DH45" s="578">
        <v>0</v>
      </c>
      <c r="DI45" s="578">
        <v>0</v>
      </c>
      <c r="DJ45" s="578">
        <v>0</v>
      </c>
      <c r="DK45" s="578">
        <v>0</v>
      </c>
      <c r="DL45" s="578">
        <v>0</v>
      </c>
      <c r="DM45" s="578">
        <v>0</v>
      </c>
      <c r="DN45" s="578">
        <v>0</v>
      </c>
      <c r="DO45" s="578">
        <v>0</v>
      </c>
      <c r="DP45" s="578">
        <v>0</v>
      </c>
      <c r="DQ45" s="578">
        <v>0</v>
      </c>
      <c r="DR45" s="578">
        <v>0</v>
      </c>
      <c r="DS45" s="578">
        <v>0</v>
      </c>
      <c r="DT45" s="578">
        <v>0</v>
      </c>
      <c r="DU45" s="578">
        <v>0</v>
      </c>
      <c r="DV45" s="578">
        <v>0</v>
      </c>
      <c r="DW45" s="578">
        <v>0</v>
      </c>
      <c r="DX45" s="578">
        <v>1.6058152576965744E-3</v>
      </c>
      <c r="DY45" s="578">
        <v>0</v>
      </c>
      <c r="DZ45" s="578">
        <v>0</v>
      </c>
      <c r="EA45" s="578">
        <v>0</v>
      </c>
      <c r="EB45" s="578">
        <v>0</v>
      </c>
      <c r="EC45" s="578">
        <v>0</v>
      </c>
      <c r="ED45" s="578">
        <v>0</v>
      </c>
      <c r="EE45" s="578">
        <v>0</v>
      </c>
      <c r="EF45" s="578">
        <v>0</v>
      </c>
      <c r="EG45" s="578">
        <v>0</v>
      </c>
      <c r="EH45" s="578">
        <v>0</v>
      </c>
      <c r="EI45" s="578">
        <v>0</v>
      </c>
      <c r="EJ45" s="578">
        <v>0</v>
      </c>
      <c r="EK45" s="578">
        <v>-1.1558152236729089E-3</v>
      </c>
      <c r="EL45" s="578">
        <v>0</v>
      </c>
      <c r="EM45" s="578">
        <v>0</v>
      </c>
      <c r="EN45" s="578">
        <v>0</v>
      </c>
      <c r="EO45" s="578">
        <v>0</v>
      </c>
      <c r="EP45" s="578">
        <v>0</v>
      </c>
      <c r="EQ45" s="578">
        <v>0</v>
      </c>
      <c r="ER45" s="578">
        <v>0</v>
      </c>
      <c r="ES45" s="578">
        <v>0</v>
      </c>
      <c r="ET45" s="578">
        <v>0</v>
      </c>
      <c r="EU45" s="578">
        <v>0</v>
      </c>
      <c r="EV45" s="578">
        <v>0</v>
      </c>
      <c r="EW45" s="578">
        <v>0</v>
      </c>
      <c r="EX45" s="578">
        <v>0</v>
      </c>
      <c r="EY45" s="578">
        <v>0</v>
      </c>
      <c r="EZ45" s="578">
        <v>0</v>
      </c>
      <c r="FA45" s="578">
        <v>0</v>
      </c>
      <c r="FB45" s="578">
        <v>0</v>
      </c>
      <c r="FC45" s="578">
        <v>0</v>
      </c>
      <c r="FD45" s="578">
        <v>0</v>
      </c>
      <c r="FE45" s="578">
        <v>0</v>
      </c>
      <c r="FF45" s="578">
        <v>0</v>
      </c>
      <c r="FG45" s="578">
        <v>0</v>
      </c>
      <c r="FH45" s="578">
        <v>-9.2180133311656649E-3</v>
      </c>
      <c r="FI45" s="578">
        <v>0</v>
      </c>
      <c r="FJ45" s="578">
        <v>0</v>
      </c>
      <c r="FK45" s="578">
        <v>0</v>
      </c>
      <c r="FL45" s="578">
        <v>0</v>
      </c>
      <c r="FM45" s="578">
        <v>0</v>
      </c>
      <c r="FN45" s="578">
        <v>0</v>
      </c>
      <c r="FO45" s="578">
        <v>0</v>
      </c>
      <c r="FP45" s="578">
        <v>0</v>
      </c>
      <c r="FQ45" s="578">
        <v>0</v>
      </c>
      <c r="FR45" s="578">
        <v>0</v>
      </c>
      <c r="FS45" s="578">
        <v>0</v>
      </c>
      <c r="FT45" s="578">
        <v>0</v>
      </c>
      <c r="FU45" s="578">
        <v>0</v>
      </c>
      <c r="FV45" s="578">
        <v>0</v>
      </c>
      <c r="FW45" s="578">
        <v>0</v>
      </c>
      <c r="FX45" s="578">
        <v>0</v>
      </c>
      <c r="FY45" s="578">
        <v>0</v>
      </c>
      <c r="FZ45" s="578">
        <v>0</v>
      </c>
      <c r="GA45" s="578">
        <v>0</v>
      </c>
      <c r="GB45" s="578">
        <v>0</v>
      </c>
      <c r="GC45" s="578">
        <v>0</v>
      </c>
      <c r="GD45" s="578">
        <v>0</v>
      </c>
      <c r="GE45" s="578">
        <v>0</v>
      </c>
      <c r="GF45" s="578">
        <v>0</v>
      </c>
      <c r="GG45" s="579">
        <v>3.695207308933192E-4</v>
      </c>
      <c r="GH45" s="572"/>
    </row>
    <row r="46" spans="1:190">
      <c r="A46" s="572" t="s">
        <v>9277</v>
      </c>
      <c r="B46" s="577" t="s">
        <v>9409</v>
      </c>
      <c r="C46" s="573" t="s">
        <v>9513</v>
      </c>
      <c r="D46" s="578">
        <v>0</v>
      </c>
      <c r="E46" s="578">
        <v>0</v>
      </c>
      <c r="F46" s="578">
        <v>0</v>
      </c>
      <c r="G46" s="578">
        <v>0</v>
      </c>
      <c r="H46" s="578">
        <v>0</v>
      </c>
      <c r="I46" s="578">
        <v>0</v>
      </c>
      <c r="J46" s="578">
        <v>0</v>
      </c>
      <c r="K46" s="578">
        <v>7.1045433554758265E-5</v>
      </c>
      <c r="L46" s="578">
        <v>0</v>
      </c>
      <c r="M46" s="578">
        <v>0</v>
      </c>
      <c r="N46" s="578">
        <v>0</v>
      </c>
      <c r="O46" s="578">
        <v>2.4086887974073749E-4</v>
      </c>
      <c r="P46" s="578">
        <v>0</v>
      </c>
      <c r="Q46" s="578">
        <v>0</v>
      </c>
      <c r="R46" s="578">
        <v>0</v>
      </c>
      <c r="S46" s="578">
        <v>0</v>
      </c>
      <c r="T46" s="578">
        <v>0</v>
      </c>
      <c r="U46" s="578">
        <v>0</v>
      </c>
      <c r="V46" s="578">
        <v>0</v>
      </c>
      <c r="W46" s="578">
        <v>0</v>
      </c>
      <c r="X46" s="578">
        <v>0</v>
      </c>
      <c r="Y46" s="578">
        <v>0</v>
      </c>
      <c r="Z46" s="578">
        <v>0</v>
      </c>
      <c r="AA46" s="578">
        <v>0</v>
      </c>
      <c r="AB46" s="578">
        <v>1.8747625576055896E-3</v>
      </c>
      <c r="AC46" s="578">
        <v>0</v>
      </c>
      <c r="AD46" s="578">
        <v>0</v>
      </c>
      <c r="AE46" s="578">
        <v>0</v>
      </c>
      <c r="AF46" s="578">
        <v>1.517105362967458E-4</v>
      </c>
      <c r="AG46" s="578">
        <v>0</v>
      </c>
      <c r="AH46" s="578">
        <v>0</v>
      </c>
      <c r="AI46" s="578">
        <v>3.3411293017039759E-4</v>
      </c>
      <c r="AJ46" s="578">
        <v>3.4672060098237504E-4</v>
      </c>
      <c r="AK46" s="578">
        <v>1.3719131953105514E-3</v>
      </c>
      <c r="AL46" s="578">
        <v>3.3880171184022824E-3</v>
      </c>
      <c r="AM46" s="578">
        <v>0</v>
      </c>
      <c r="AN46" s="578">
        <v>7.462042788129745E-3</v>
      </c>
      <c r="AO46" s="578">
        <v>3.4005894355021537E-3</v>
      </c>
      <c r="AP46" s="578">
        <v>0</v>
      </c>
      <c r="AQ46" s="578">
        <v>4.5518497061987915E-4</v>
      </c>
      <c r="AR46" s="578">
        <v>0.35731236496298657</v>
      </c>
      <c r="AS46" s="578">
        <v>5.6770925369617718E-2</v>
      </c>
      <c r="AT46" s="578">
        <v>0.17171277587814734</v>
      </c>
      <c r="AU46" s="578">
        <v>0.13567350010634643</v>
      </c>
      <c r="AV46" s="578">
        <v>0</v>
      </c>
      <c r="AW46" s="578">
        <v>0</v>
      </c>
      <c r="AX46" s="578">
        <v>5.5958481001547084E-4</v>
      </c>
      <c r="AY46" s="578">
        <v>0</v>
      </c>
      <c r="AZ46" s="578">
        <v>0</v>
      </c>
      <c r="BA46" s="578">
        <v>0</v>
      </c>
      <c r="BB46" s="578">
        <v>0</v>
      </c>
      <c r="BC46" s="578">
        <v>1.0234681240852753E-5</v>
      </c>
      <c r="BD46" s="578">
        <v>0</v>
      </c>
      <c r="BE46" s="578">
        <v>1.5093968730913151E-4</v>
      </c>
      <c r="BF46" s="578">
        <v>2.5551288404360752E-3</v>
      </c>
      <c r="BG46" s="578">
        <v>1.7736549165120593E-3</v>
      </c>
      <c r="BH46" s="578">
        <v>0</v>
      </c>
      <c r="BI46" s="578">
        <v>0</v>
      </c>
      <c r="BJ46" s="578">
        <v>1.1051500818553325E-3</v>
      </c>
      <c r="BK46" s="578">
        <v>0</v>
      </c>
      <c r="BL46" s="578">
        <v>0</v>
      </c>
      <c r="BM46" s="578">
        <v>1.6373658333276083E-3</v>
      </c>
      <c r="BN46" s="578">
        <v>1.2345679012345679E-3</v>
      </c>
      <c r="BO46" s="578">
        <v>4.490974589776031E-3</v>
      </c>
      <c r="BP46" s="578">
        <v>5.8105752469494478E-4</v>
      </c>
      <c r="BQ46" s="578">
        <v>7.7894619707338786E-4</v>
      </c>
      <c r="BR46" s="578">
        <v>7.4680208677840249E-5</v>
      </c>
      <c r="BS46" s="578">
        <v>0</v>
      </c>
      <c r="BT46" s="578">
        <v>4.1886723729739573E-3</v>
      </c>
      <c r="BU46" s="578">
        <v>1.9085740805197818E-2</v>
      </c>
      <c r="BV46" s="578">
        <v>9.4326910119929932E-4</v>
      </c>
      <c r="BW46" s="578">
        <v>0</v>
      </c>
      <c r="BX46" s="578">
        <v>0</v>
      </c>
      <c r="BY46" s="578">
        <v>0</v>
      </c>
      <c r="BZ46" s="578">
        <v>0</v>
      </c>
      <c r="CA46" s="578">
        <v>2.5715244435942384E-4</v>
      </c>
      <c r="CB46" s="578">
        <v>0</v>
      </c>
      <c r="CC46" s="578">
        <v>0</v>
      </c>
      <c r="CD46" s="578">
        <v>0</v>
      </c>
      <c r="CE46" s="578">
        <v>0</v>
      </c>
      <c r="CF46" s="578">
        <v>1.0263698089373124E-3</v>
      </c>
      <c r="CG46" s="578">
        <v>0</v>
      </c>
      <c r="CH46" s="578">
        <v>0</v>
      </c>
      <c r="CI46" s="578">
        <v>0</v>
      </c>
      <c r="CJ46" s="578">
        <v>4.3393360815795186E-5</v>
      </c>
      <c r="CK46" s="578">
        <v>0</v>
      </c>
      <c r="CL46" s="578">
        <v>0</v>
      </c>
      <c r="CM46" s="578">
        <v>0</v>
      </c>
      <c r="CN46" s="578">
        <v>0</v>
      </c>
      <c r="CO46" s="578">
        <v>0</v>
      </c>
      <c r="CP46" s="578">
        <v>0</v>
      </c>
      <c r="CQ46" s="578">
        <v>0</v>
      </c>
      <c r="CR46" s="578">
        <v>0</v>
      </c>
      <c r="CS46" s="578">
        <v>0</v>
      </c>
      <c r="CT46" s="578">
        <v>0</v>
      </c>
      <c r="CU46" s="578">
        <v>0</v>
      </c>
      <c r="CV46" s="578">
        <v>0</v>
      </c>
      <c r="CW46" s="578">
        <v>0</v>
      </c>
      <c r="CX46" s="578">
        <v>0</v>
      </c>
      <c r="CY46" s="578">
        <v>0</v>
      </c>
      <c r="CZ46" s="578">
        <v>0</v>
      </c>
      <c r="DA46" s="578">
        <v>4.7118288321089716E-4</v>
      </c>
      <c r="DB46" s="578">
        <v>8.6641035360372559E-4</v>
      </c>
      <c r="DC46" s="578">
        <v>0</v>
      </c>
      <c r="DD46" s="578">
        <v>0</v>
      </c>
      <c r="DE46" s="578">
        <v>0</v>
      </c>
      <c r="DF46" s="578">
        <v>1.2780573528237079E-3</v>
      </c>
      <c r="DG46" s="578">
        <v>8.1906082483471153E-4</v>
      </c>
      <c r="DH46" s="578">
        <v>1.1327465706097575E-4</v>
      </c>
      <c r="DI46" s="578">
        <v>0</v>
      </c>
      <c r="DJ46" s="578">
        <v>0</v>
      </c>
      <c r="DK46" s="578">
        <v>1.3021934349156956E-3</v>
      </c>
      <c r="DL46" s="578">
        <v>1.1641120173732987E-3</v>
      </c>
      <c r="DM46" s="578">
        <v>2.5449609772650153E-4</v>
      </c>
      <c r="DN46" s="578">
        <v>0</v>
      </c>
      <c r="DO46" s="578">
        <v>0</v>
      </c>
      <c r="DP46" s="578">
        <v>0</v>
      </c>
      <c r="DQ46" s="578">
        <v>0</v>
      </c>
      <c r="DR46" s="578">
        <v>3.7013695067174854E-4</v>
      </c>
      <c r="DS46" s="578">
        <v>0</v>
      </c>
      <c r="DT46" s="578">
        <v>0</v>
      </c>
      <c r="DU46" s="578">
        <v>0</v>
      </c>
      <c r="DV46" s="578">
        <v>0</v>
      </c>
      <c r="DW46" s="578">
        <v>9.4404828132638782E-3</v>
      </c>
      <c r="DX46" s="578">
        <v>4.5048634137671078E-3</v>
      </c>
      <c r="DY46" s="578">
        <v>1.2648021375156123E-4</v>
      </c>
      <c r="DZ46" s="578">
        <v>5.0523507746095796E-5</v>
      </c>
      <c r="EA46" s="578">
        <v>2.2259172448486711E-6</v>
      </c>
      <c r="EB46" s="578">
        <v>7.6596657321874479E-6</v>
      </c>
      <c r="EC46" s="578">
        <v>0</v>
      </c>
      <c r="ED46" s="578">
        <v>0</v>
      </c>
      <c r="EE46" s="578">
        <v>0</v>
      </c>
      <c r="EF46" s="578">
        <v>0</v>
      </c>
      <c r="EG46" s="578">
        <v>0</v>
      </c>
      <c r="EH46" s="578">
        <v>0</v>
      </c>
      <c r="EI46" s="578">
        <v>1.7983994245121841E-4</v>
      </c>
      <c r="EJ46" s="578">
        <v>0</v>
      </c>
      <c r="EK46" s="578">
        <v>1.6260733784025726E-4</v>
      </c>
      <c r="EL46" s="578">
        <v>5.9383486019515979E-4</v>
      </c>
      <c r="EM46" s="578">
        <v>2.8498711620745479E-4</v>
      </c>
      <c r="EN46" s="578">
        <v>0</v>
      </c>
      <c r="EO46" s="578">
        <v>0</v>
      </c>
      <c r="EP46" s="578">
        <v>6.9955638797583828E-6</v>
      </c>
      <c r="EQ46" s="578">
        <v>0</v>
      </c>
      <c r="ER46" s="578">
        <v>0</v>
      </c>
      <c r="ES46" s="578">
        <v>0</v>
      </c>
      <c r="ET46" s="578">
        <v>0</v>
      </c>
      <c r="EU46" s="578">
        <v>9.3871372751487279E-5</v>
      </c>
      <c r="EV46" s="578">
        <v>9.4304036212749905E-5</v>
      </c>
      <c r="EW46" s="578">
        <v>0</v>
      </c>
      <c r="EX46" s="578">
        <v>9.6365108121651311E-5</v>
      </c>
      <c r="EY46" s="578">
        <v>2.4745125210333564E-5</v>
      </c>
      <c r="EZ46" s="578">
        <v>1.2167141764583189E-3</v>
      </c>
      <c r="FA46" s="578">
        <v>1.9655805014414256E-2</v>
      </c>
      <c r="FB46" s="578">
        <v>2.023765755859645E-5</v>
      </c>
      <c r="FC46" s="578">
        <v>0</v>
      </c>
      <c r="FD46" s="578">
        <v>0</v>
      </c>
      <c r="FE46" s="578">
        <v>0</v>
      </c>
      <c r="FF46" s="578">
        <v>6.0710168668850865E-3</v>
      </c>
      <c r="FG46" s="578">
        <v>0</v>
      </c>
      <c r="FH46" s="578">
        <v>0.10341407901154284</v>
      </c>
      <c r="FI46" s="578">
        <v>1.84977479725881E-4</v>
      </c>
      <c r="FJ46" s="578">
        <v>1.4921378006344432E-4</v>
      </c>
      <c r="FK46" s="578">
        <v>1.7876081538522549E-3</v>
      </c>
      <c r="FL46" s="578">
        <v>2.0386826973340304E-3</v>
      </c>
      <c r="FM46" s="578">
        <v>2.1555114096462047E-3</v>
      </c>
      <c r="FN46" s="578">
        <v>5.046364171187913E-3</v>
      </c>
      <c r="FO46" s="578">
        <v>0</v>
      </c>
      <c r="FP46" s="578">
        <v>3.0094853937541362E-3</v>
      </c>
      <c r="FQ46" s="578">
        <v>1.2439680074805056E-3</v>
      </c>
      <c r="FR46" s="578">
        <v>8.8247447711052639E-4</v>
      </c>
      <c r="FS46" s="578">
        <v>1.8220552783539833E-3</v>
      </c>
      <c r="FT46" s="578">
        <v>0</v>
      </c>
      <c r="FU46" s="578">
        <v>0</v>
      </c>
      <c r="FV46" s="578">
        <v>0</v>
      </c>
      <c r="FW46" s="578">
        <v>0</v>
      </c>
      <c r="FX46" s="578">
        <v>0</v>
      </c>
      <c r="FY46" s="578">
        <v>1.8681111726971938E-3</v>
      </c>
      <c r="FZ46" s="578">
        <v>1.000506750172165E-3</v>
      </c>
      <c r="GA46" s="578">
        <v>0</v>
      </c>
      <c r="GB46" s="578">
        <v>4.622227253217872E-4</v>
      </c>
      <c r="GC46" s="578">
        <v>4.1148999038204121E-4</v>
      </c>
      <c r="GD46" s="578">
        <v>1.0075871310971616E-5</v>
      </c>
      <c r="GE46" s="578">
        <v>0.11898043292615007</v>
      </c>
      <c r="GF46" s="578">
        <v>4.0863981319322828E-4</v>
      </c>
      <c r="GG46" s="579">
        <v>2.3715191614312762E-3</v>
      </c>
      <c r="GH46" s="572"/>
    </row>
    <row r="47" spans="1:190">
      <c r="A47" s="572" t="s">
        <v>9278</v>
      </c>
      <c r="B47" s="577" t="s">
        <v>9410</v>
      </c>
      <c r="C47" s="573" t="s">
        <v>9514</v>
      </c>
      <c r="D47" s="578">
        <v>0</v>
      </c>
      <c r="E47" s="578">
        <v>0</v>
      </c>
      <c r="F47" s="578">
        <v>2.3568785500483158E-5</v>
      </c>
      <c r="G47" s="578">
        <v>2.7964205816554809E-4</v>
      </c>
      <c r="H47" s="578">
        <v>0</v>
      </c>
      <c r="I47" s="578">
        <v>6.5157191725036647E-4</v>
      </c>
      <c r="J47" s="578">
        <v>0</v>
      </c>
      <c r="K47" s="578">
        <v>3.5522716777379133E-5</v>
      </c>
      <c r="L47" s="578">
        <v>0</v>
      </c>
      <c r="M47" s="578">
        <v>0</v>
      </c>
      <c r="N47" s="578">
        <v>0</v>
      </c>
      <c r="O47" s="578">
        <v>0</v>
      </c>
      <c r="P47" s="578">
        <v>0</v>
      </c>
      <c r="Q47" s="578">
        <v>0</v>
      </c>
      <c r="R47" s="578">
        <v>0</v>
      </c>
      <c r="S47" s="578">
        <v>0</v>
      </c>
      <c r="T47" s="578">
        <v>3.9364525345833755E-5</v>
      </c>
      <c r="U47" s="578">
        <v>3.9210435714012471E-4</v>
      </c>
      <c r="V47" s="578">
        <v>0</v>
      </c>
      <c r="W47" s="578">
        <v>7.8740639974508864E-4</v>
      </c>
      <c r="X47" s="578">
        <v>0</v>
      </c>
      <c r="Y47" s="578">
        <v>3.7887685744379361E-6</v>
      </c>
      <c r="Z47" s="578">
        <v>0</v>
      </c>
      <c r="AA47" s="578">
        <v>4.7604086334770977E-6</v>
      </c>
      <c r="AB47" s="578">
        <v>0</v>
      </c>
      <c r="AC47" s="578">
        <v>3.4551265440096744E-5</v>
      </c>
      <c r="AD47" s="578">
        <v>0</v>
      </c>
      <c r="AE47" s="578">
        <v>0</v>
      </c>
      <c r="AF47" s="578">
        <v>2.2756580444511872E-4</v>
      </c>
      <c r="AG47" s="578">
        <v>0</v>
      </c>
      <c r="AH47" s="578">
        <v>1.1569610489780178E-3</v>
      </c>
      <c r="AI47" s="578">
        <v>2.0046775810223855E-4</v>
      </c>
      <c r="AJ47" s="578">
        <v>2.3114706732158335E-4</v>
      </c>
      <c r="AK47" s="578">
        <v>9.9775505113494645E-4</v>
      </c>
      <c r="AL47" s="578">
        <v>1.3373751783166905E-4</v>
      </c>
      <c r="AM47" s="578">
        <v>7.5192285615887956E-3</v>
      </c>
      <c r="AN47" s="578">
        <v>1.6821946169772257E-3</v>
      </c>
      <c r="AO47" s="578">
        <v>1.6646694950934352E-2</v>
      </c>
      <c r="AP47" s="578">
        <v>0</v>
      </c>
      <c r="AQ47" s="578">
        <v>0</v>
      </c>
      <c r="AR47" s="578">
        <v>0</v>
      </c>
      <c r="AS47" s="578">
        <v>0.30653236732049244</v>
      </c>
      <c r="AT47" s="578">
        <v>1.7096673919801058E-2</v>
      </c>
      <c r="AU47" s="578">
        <v>1.2270741643624942E-4</v>
      </c>
      <c r="AV47" s="578">
        <v>0</v>
      </c>
      <c r="AW47" s="578">
        <v>0</v>
      </c>
      <c r="AX47" s="578">
        <v>4.8058460154269851E-3</v>
      </c>
      <c r="AY47" s="578">
        <v>0</v>
      </c>
      <c r="AZ47" s="578">
        <v>0</v>
      </c>
      <c r="BA47" s="578">
        <v>0</v>
      </c>
      <c r="BB47" s="578">
        <v>0</v>
      </c>
      <c r="BC47" s="578">
        <v>0</v>
      </c>
      <c r="BD47" s="578">
        <v>1.4158149008308598E-3</v>
      </c>
      <c r="BE47" s="578">
        <v>1.8253171488546134E-3</v>
      </c>
      <c r="BF47" s="578">
        <v>0</v>
      </c>
      <c r="BG47" s="578">
        <v>0</v>
      </c>
      <c r="BH47" s="578">
        <v>4.122464684219205E-5</v>
      </c>
      <c r="BI47" s="578">
        <v>0</v>
      </c>
      <c r="BJ47" s="578">
        <v>6.1443045595688261E-4</v>
      </c>
      <c r="BK47" s="578">
        <v>0</v>
      </c>
      <c r="BL47" s="578">
        <v>0</v>
      </c>
      <c r="BM47" s="578">
        <v>2.0862101736523792E-3</v>
      </c>
      <c r="BN47" s="578">
        <v>0</v>
      </c>
      <c r="BO47" s="578">
        <v>0</v>
      </c>
      <c r="BP47" s="578">
        <v>0</v>
      </c>
      <c r="BQ47" s="578">
        <v>2.7819507038335281E-5</v>
      </c>
      <c r="BR47" s="578">
        <v>9.3136888822506481E-3</v>
      </c>
      <c r="BS47" s="578">
        <v>0</v>
      </c>
      <c r="BT47" s="578">
        <v>1.0926971407758149E-2</v>
      </c>
      <c r="BU47" s="578">
        <v>2.030397957999768E-4</v>
      </c>
      <c r="BV47" s="578">
        <v>7.4114000808516377E-4</v>
      </c>
      <c r="BW47" s="578">
        <v>0</v>
      </c>
      <c r="BX47" s="578">
        <v>0</v>
      </c>
      <c r="BY47" s="578">
        <v>0</v>
      </c>
      <c r="BZ47" s="578">
        <v>2.7593666701618644E-5</v>
      </c>
      <c r="CA47" s="578">
        <v>0</v>
      </c>
      <c r="CB47" s="578">
        <v>0</v>
      </c>
      <c r="CC47" s="578">
        <v>2.127891750327368E-4</v>
      </c>
      <c r="CD47" s="578">
        <v>0</v>
      </c>
      <c r="CE47" s="578">
        <v>0</v>
      </c>
      <c r="CF47" s="578">
        <v>1.9737880941102163E-3</v>
      </c>
      <c r="CG47" s="578">
        <v>7.2351714451900301E-4</v>
      </c>
      <c r="CH47" s="578">
        <v>0</v>
      </c>
      <c r="CI47" s="578">
        <v>3.7306936603079065E-4</v>
      </c>
      <c r="CJ47" s="578">
        <v>4.3393360815795186E-5</v>
      </c>
      <c r="CK47" s="578">
        <v>5.6229638819127155E-4</v>
      </c>
      <c r="CL47" s="578">
        <v>0</v>
      </c>
      <c r="CM47" s="578">
        <v>0</v>
      </c>
      <c r="CN47" s="578">
        <v>0</v>
      </c>
      <c r="CO47" s="578">
        <v>1.0249402118209772E-3</v>
      </c>
      <c r="CP47" s="578">
        <v>4.4707923138138543E-4</v>
      </c>
      <c r="CQ47" s="578">
        <v>1.9111932216347072E-4</v>
      </c>
      <c r="CR47" s="578">
        <v>0</v>
      </c>
      <c r="CS47" s="578">
        <v>2.2601423889705052E-4</v>
      </c>
      <c r="CT47" s="578">
        <v>0</v>
      </c>
      <c r="CU47" s="578">
        <v>6.4492204504780479E-5</v>
      </c>
      <c r="CV47" s="578">
        <v>4.2127957475544104E-4</v>
      </c>
      <c r="CW47" s="578">
        <v>0</v>
      </c>
      <c r="CX47" s="578">
        <v>2.5699233306206366E-4</v>
      </c>
      <c r="CY47" s="578">
        <v>0</v>
      </c>
      <c r="CZ47" s="578">
        <v>0</v>
      </c>
      <c r="DA47" s="578">
        <v>2.1417403782313509E-4</v>
      </c>
      <c r="DB47" s="578">
        <v>0</v>
      </c>
      <c r="DC47" s="578">
        <v>0</v>
      </c>
      <c r="DD47" s="578">
        <v>0</v>
      </c>
      <c r="DE47" s="578">
        <v>6.1333527177567381E-4</v>
      </c>
      <c r="DF47" s="578">
        <v>2.7358415208882498E-3</v>
      </c>
      <c r="DG47" s="578">
        <v>2.8825692046252332E-3</v>
      </c>
      <c r="DH47" s="578">
        <v>1.7897395815634168E-3</v>
      </c>
      <c r="DI47" s="578">
        <v>6.6233938269969533E-5</v>
      </c>
      <c r="DJ47" s="578">
        <v>2.9817739069935021E-4</v>
      </c>
      <c r="DK47" s="578">
        <v>3.3267539144321203E-3</v>
      </c>
      <c r="DL47" s="578">
        <v>1.5403651422943865E-4</v>
      </c>
      <c r="DM47" s="578">
        <v>4.0012442031444407E-3</v>
      </c>
      <c r="DN47" s="578">
        <v>6.932409012131716E-4</v>
      </c>
      <c r="DO47" s="578">
        <v>0</v>
      </c>
      <c r="DP47" s="578">
        <v>0</v>
      </c>
      <c r="DQ47" s="578">
        <v>0</v>
      </c>
      <c r="DR47" s="578">
        <v>1.5672465478893858E-4</v>
      </c>
      <c r="DS47" s="578">
        <v>4.1662927685976901E-5</v>
      </c>
      <c r="DT47" s="578">
        <v>0</v>
      </c>
      <c r="DU47" s="578">
        <v>0</v>
      </c>
      <c r="DV47" s="578">
        <v>0</v>
      </c>
      <c r="DW47" s="578">
        <v>5.596857667863585E-3</v>
      </c>
      <c r="DX47" s="578">
        <v>8.5561759532229685E-3</v>
      </c>
      <c r="DY47" s="578">
        <v>0</v>
      </c>
      <c r="DZ47" s="578">
        <v>6.0863985664796737E-3</v>
      </c>
      <c r="EA47" s="578">
        <v>1.0573106913031188E-3</v>
      </c>
      <c r="EB47" s="578">
        <v>2.7115216691943563E-3</v>
      </c>
      <c r="EC47" s="578">
        <v>0</v>
      </c>
      <c r="ED47" s="578">
        <v>0</v>
      </c>
      <c r="EE47" s="578">
        <v>0</v>
      </c>
      <c r="EF47" s="578">
        <v>0</v>
      </c>
      <c r="EG47" s="578">
        <v>0</v>
      </c>
      <c r="EH47" s="578">
        <v>0</v>
      </c>
      <c r="EI47" s="578">
        <v>0</v>
      </c>
      <c r="EJ47" s="578">
        <v>2.696200244994729E-6</v>
      </c>
      <c r="EK47" s="578">
        <v>2.8328804501786982E-6</v>
      </c>
      <c r="EL47" s="578">
        <v>1.4920473874250245E-6</v>
      </c>
      <c r="EM47" s="578">
        <v>3.9581543917702053E-6</v>
      </c>
      <c r="EN47" s="578">
        <v>0</v>
      </c>
      <c r="EO47" s="578">
        <v>0</v>
      </c>
      <c r="EP47" s="578">
        <v>7.2287493424169952E-5</v>
      </c>
      <c r="EQ47" s="578">
        <v>0</v>
      </c>
      <c r="ER47" s="578">
        <v>0</v>
      </c>
      <c r="ES47" s="578">
        <v>0</v>
      </c>
      <c r="ET47" s="578">
        <v>2.8753489838887706E-4</v>
      </c>
      <c r="EU47" s="578">
        <v>0</v>
      </c>
      <c r="EV47" s="578">
        <v>0</v>
      </c>
      <c r="EW47" s="578">
        <v>0</v>
      </c>
      <c r="EX47" s="578">
        <v>0</v>
      </c>
      <c r="EY47" s="578">
        <v>1.4104721369890131E-3</v>
      </c>
      <c r="EZ47" s="578">
        <v>2.8418966835847877E-3</v>
      </c>
      <c r="FA47" s="578">
        <v>3.8175941294662355E-2</v>
      </c>
      <c r="FB47" s="578">
        <v>0</v>
      </c>
      <c r="FC47" s="578">
        <v>0</v>
      </c>
      <c r="FD47" s="578">
        <v>6.8887467401466319E-5</v>
      </c>
      <c r="FE47" s="578">
        <v>0</v>
      </c>
      <c r="FF47" s="578">
        <v>3.7920155320956193E-6</v>
      </c>
      <c r="FG47" s="578">
        <v>2.6096033402922753E-4</v>
      </c>
      <c r="FH47" s="578">
        <v>1.0729962607706064E-3</v>
      </c>
      <c r="FI47" s="578">
        <v>0</v>
      </c>
      <c r="FJ47" s="578">
        <v>0</v>
      </c>
      <c r="FK47" s="578">
        <v>1.0168419532720449E-6</v>
      </c>
      <c r="FL47" s="578">
        <v>0</v>
      </c>
      <c r="FM47" s="578">
        <v>0</v>
      </c>
      <c r="FN47" s="578">
        <v>3.7352806596505644E-6</v>
      </c>
      <c r="FO47" s="578">
        <v>0</v>
      </c>
      <c r="FP47" s="578">
        <v>0</v>
      </c>
      <c r="FQ47" s="578">
        <v>0</v>
      </c>
      <c r="FR47" s="578">
        <v>2.3345885637844615E-6</v>
      </c>
      <c r="FS47" s="578">
        <v>0</v>
      </c>
      <c r="FT47" s="578">
        <v>0</v>
      </c>
      <c r="FU47" s="578">
        <v>0</v>
      </c>
      <c r="FV47" s="578">
        <v>0</v>
      </c>
      <c r="FW47" s="578">
        <v>0</v>
      </c>
      <c r="FX47" s="578">
        <v>4.5407150785375532E-4</v>
      </c>
      <c r="FY47" s="578">
        <v>3.748718072302061E-5</v>
      </c>
      <c r="FZ47" s="578">
        <v>0</v>
      </c>
      <c r="GA47" s="578">
        <v>0</v>
      </c>
      <c r="GB47" s="578">
        <v>0</v>
      </c>
      <c r="GC47" s="578">
        <v>0</v>
      </c>
      <c r="GD47" s="578">
        <v>4.0303485243886464E-5</v>
      </c>
      <c r="GE47" s="578">
        <v>2.9517692050644189E-3</v>
      </c>
      <c r="GF47" s="578">
        <v>7.9605158414265247E-5</v>
      </c>
      <c r="GG47" s="579">
        <v>1.186311448992535E-3</v>
      </c>
      <c r="GH47" s="572"/>
    </row>
    <row r="48" spans="1:190">
      <c r="A48" s="572" t="s">
        <v>9279</v>
      </c>
      <c r="B48" s="577" t="s">
        <v>9411</v>
      </c>
      <c r="C48" s="573" t="s">
        <v>9515</v>
      </c>
      <c r="D48" s="578">
        <v>3.7043649022583235E-3</v>
      </c>
      <c r="E48" s="578">
        <v>0</v>
      </c>
      <c r="F48" s="578">
        <v>6.3541445709302605E-2</v>
      </c>
      <c r="G48" s="578">
        <v>4.2225950782997762E-2</v>
      </c>
      <c r="H48" s="578">
        <v>0</v>
      </c>
      <c r="I48" s="578">
        <v>1.3845903241570288E-2</v>
      </c>
      <c r="J48" s="578">
        <v>1.3094106846623396E-2</v>
      </c>
      <c r="K48" s="578">
        <v>2.0674221164434656E-2</v>
      </c>
      <c r="L48" s="578">
        <v>0</v>
      </c>
      <c r="M48" s="578">
        <v>0</v>
      </c>
      <c r="N48" s="578">
        <v>1.5658362989323844E-2</v>
      </c>
      <c r="O48" s="578">
        <v>1.5109047911009898E-3</v>
      </c>
      <c r="P48" s="578">
        <v>0</v>
      </c>
      <c r="Q48" s="578">
        <v>0</v>
      </c>
      <c r="R48" s="578">
        <v>0</v>
      </c>
      <c r="S48" s="578">
        <v>0</v>
      </c>
      <c r="T48" s="578">
        <v>1.3206798253527226E-2</v>
      </c>
      <c r="U48" s="578">
        <v>2.0743276844803184E-2</v>
      </c>
      <c r="V48" s="578">
        <v>3.5736667760900057E-3</v>
      </c>
      <c r="W48" s="578">
        <v>1.9259286493375983E-2</v>
      </c>
      <c r="X48" s="578">
        <v>1.6224792711638857E-2</v>
      </c>
      <c r="Y48" s="578">
        <v>1.0536565405511901E-2</v>
      </c>
      <c r="Z48" s="578">
        <v>1.1592856931959404E-2</v>
      </c>
      <c r="AA48" s="578">
        <v>3.1166395323374559E-2</v>
      </c>
      <c r="AB48" s="578">
        <v>2.8666523512991197E-2</v>
      </c>
      <c r="AC48" s="578">
        <v>1.4166018830439665E-3</v>
      </c>
      <c r="AD48" s="578">
        <v>0</v>
      </c>
      <c r="AE48" s="578">
        <v>1.3519603424966202E-3</v>
      </c>
      <c r="AF48" s="578">
        <v>2.2756580444511872E-4</v>
      </c>
      <c r="AG48" s="578">
        <v>0</v>
      </c>
      <c r="AH48" s="578">
        <v>1.1569610489780178E-3</v>
      </c>
      <c r="AI48" s="578">
        <v>1.8042098229201469E-3</v>
      </c>
      <c r="AJ48" s="578">
        <v>4.2762207454492924E-3</v>
      </c>
      <c r="AK48" s="578">
        <v>7.2337241207283609E-3</v>
      </c>
      <c r="AL48" s="578">
        <v>3.1205420827389442E-3</v>
      </c>
      <c r="AM48" s="578">
        <v>0</v>
      </c>
      <c r="AN48" s="578">
        <v>1.5527950310559005E-3</v>
      </c>
      <c r="AO48" s="578">
        <v>9.3921041551964252E-3</v>
      </c>
      <c r="AP48" s="578">
        <v>0</v>
      </c>
      <c r="AQ48" s="578">
        <v>3.1035338905900851E-4</v>
      </c>
      <c r="AR48" s="578">
        <v>1.180651483488589E-4</v>
      </c>
      <c r="AS48" s="578">
        <v>1.0131354185073924E-3</v>
      </c>
      <c r="AT48" s="578">
        <v>5.5123821365661591E-3</v>
      </c>
      <c r="AU48" s="578">
        <v>1.0143813092063285E-3</v>
      </c>
      <c r="AV48" s="578">
        <v>3.774489245701276E-3</v>
      </c>
      <c r="AW48" s="578">
        <v>8.5823097141018078E-4</v>
      </c>
      <c r="AX48" s="578">
        <v>1.7775046906373781E-3</v>
      </c>
      <c r="AY48" s="578">
        <v>0</v>
      </c>
      <c r="AZ48" s="578">
        <v>1.0172480050636345E-3</v>
      </c>
      <c r="BA48" s="578">
        <v>3.4707760655282522E-3</v>
      </c>
      <c r="BB48" s="578">
        <v>1.8415554060275524E-3</v>
      </c>
      <c r="BC48" s="578">
        <v>2.0878749731339618E-3</v>
      </c>
      <c r="BD48" s="578">
        <v>7.8118208124790421E-3</v>
      </c>
      <c r="BE48" s="578">
        <v>2.0422490715454118E-2</v>
      </c>
      <c r="BF48" s="578">
        <v>2.6588825569871161E-2</v>
      </c>
      <c r="BG48" s="578">
        <v>5.3684601113172539E-2</v>
      </c>
      <c r="BH48" s="578">
        <v>2.1299400868465893E-3</v>
      </c>
      <c r="BI48" s="578">
        <v>1.3282732447817837E-2</v>
      </c>
      <c r="BJ48" s="578">
        <v>3.4020478266069006E-3</v>
      </c>
      <c r="BK48" s="578">
        <v>0</v>
      </c>
      <c r="BL48" s="578">
        <v>0</v>
      </c>
      <c r="BM48" s="578">
        <v>1.4129436631652229E-3</v>
      </c>
      <c r="BN48" s="578">
        <v>0</v>
      </c>
      <c r="BO48" s="578">
        <v>1.3714374016090243E-3</v>
      </c>
      <c r="BP48" s="578">
        <v>8.4253341080767E-3</v>
      </c>
      <c r="BQ48" s="578">
        <v>4.979691759862015E-3</v>
      </c>
      <c r="BR48" s="578">
        <v>9.1323226611758936E-3</v>
      </c>
      <c r="BS48" s="578">
        <v>3.3583863560496473E-3</v>
      </c>
      <c r="BT48" s="578">
        <v>2.4221453287197232E-2</v>
      </c>
      <c r="BU48" s="578">
        <v>8.4116486831418958E-4</v>
      </c>
      <c r="BV48" s="578">
        <v>5.0195391456677001E-3</v>
      </c>
      <c r="BW48" s="578">
        <v>0</v>
      </c>
      <c r="BX48" s="578">
        <v>0</v>
      </c>
      <c r="BY48" s="578">
        <v>0</v>
      </c>
      <c r="BZ48" s="578">
        <v>0</v>
      </c>
      <c r="CA48" s="578">
        <v>0</v>
      </c>
      <c r="CB48" s="578">
        <v>0</v>
      </c>
      <c r="CC48" s="578">
        <v>1.3367525098210388E-3</v>
      </c>
      <c r="CD48" s="578">
        <v>0</v>
      </c>
      <c r="CE48" s="578">
        <v>0</v>
      </c>
      <c r="CF48" s="578">
        <v>1.5790304752881732E-4</v>
      </c>
      <c r="CG48" s="578">
        <v>1.6314602278369675E-4</v>
      </c>
      <c r="CH48" s="578">
        <v>9.2578662932660597E-5</v>
      </c>
      <c r="CI48" s="578">
        <v>4.9742582137438757E-5</v>
      </c>
      <c r="CJ48" s="578">
        <v>1.1785636797569972E-2</v>
      </c>
      <c r="CK48" s="578">
        <v>1.9743411298375141E-3</v>
      </c>
      <c r="CL48" s="578">
        <v>1.1989329496747894E-5</v>
      </c>
      <c r="CM48" s="578">
        <v>7.3129615119785359E-4</v>
      </c>
      <c r="CN48" s="578">
        <v>1.6885372443072174E-4</v>
      </c>
      <c r="CO48" s="578">
        <v>1.7082336863682952E-4</v>
      </c>
      <c r="CP48" s="578">
        <v>6.0802775467868415E-4</v>
      </c>
      <c r="CQ48" s="578">
        <v>5.7335796649041215E-4</v>
      </c>
      <c r="CR48" s="578">
        <v>2.9032632679131345E-4</v>
      </c>
      <c r="CS48" s="578">
        <v>5.0853203751836365E-4</v>
      </c>
      <c r="CT48" s="578">
        <v>5.832434166399347E-5</v>
      </c>
      <c r="CU48" s="578">
        <v>4.0307627815487801E-5</v>
      </c>
      <c r="CV48" s="578">
        <v>1.0965659519369566E-3</v>
      </c>
      <c r="CW48" s="578">
        <v>7.8021377857532959E-5</v>
      </c>
      <c r="CX48" s="578">
        <v>1.998829257149384E-4</v>
      </c>
      <c r="CY48" s="578">
        <v>4.3960069603443536E-3</v>
      </c>
      <c r="CZ48" s="578">
        <v>2.8449502133712662E-4</v>
      </c>
      <c r="DA48" s="578">
        <v>5.7826990212246469E-4</v>
      </c>
      <c r="DB48" s="578">
        <v>1.0288622949044242E-2</v>
      </c>
      <c r="DC48" s="578">
        <v>7.2516316171138508E-4</v>
      </c>
      <c r="DD48" s="578">
        <v>0</v>
      </c>
      <c r="DE48" s="578">
        <v>5.3610045977429261E-4</v>
      </c>
      <c r="DF48" s="578">
        <v>2.2865244827861651E-3</v>
      </c>
      <c r="DG48" s="578">
        <v>9.710627669602455E-4</v>
      </c>
      <c r="DH48" s="578">
        <v>5.9922293585256171E-3</v>
      </c>
      <c r="DI48" s="578">
        <v>1.3246787653993907E-4</v>
      </c>
      <c r="DJ48" s="578">
        <v>1.1181652151225634E-3</v>
      </c>
      <c r="DK48" s="578">
        <v>3.6577381455702471E-3</v>
      </c>
      <c r="DL48" s="578">
        <v>1.9065175121840358E-3</v>
      </c>
      <c r="DM48" s="578">
        <v>4.9768125777626968E-3</v>
      </c>
      <c r="DN48" s="578">
        <v>9.9034414459024515E-4</v>
      </c>
      <c r="DO48" s="578">
        <v>0</v>
      </c>
      <c r="DP48" s="578">
        <v>0</v>
      </c>
      <c r="DQ48" s="578">
        <v>0</v>
      </c>
      <c r="DR48" s="578">
        <v>2.7009993697668135E-4</v>
      </c>
      <c r="DS48" s="578">
        <v>2.2433884138602947E-5</v>
      </c>
      <c r="DT48" s="578">
        <v>1.6765192544591768E-4</v>
      </c>
      <c r="DU48" s="578">
        <v>0</v>
      </c>
      <c r="DV48" s="578">
        <v>1.2669614463631872E-4</v>
      </c>
      <c r="DW48" s="578">
        <v>7.7546823108953283E-3</v>
      </c>
      <c r="DX48" s="578">
        <v>2.0409789344006078E-3</v>
      </c>
      <c r="DY48" s="578">
        <v>4.9011082828729984E-4</v>
      </c>
      <c r="DZ48" s="578">
        <v>0</v>
      </c>
      <c r="EA48" s="578">
        <v>0</v>
      </c>
      <c r="EB48" s="578">
        <v>0</v>
      </c>
      <c r="EC48" s="578">
        <v>0</v>
      </c>
      <c r="ED48" s="578">
        <v>0</v>
      </c>
      <c r="EE48" s="578">
        <v>0</v>
      </c>
      <c r="EF48" s="578">
        <v>0</v>
      </c>
      <c r="EG48" s="578">
        <v>0</v>
      </c>
      <c r="EH48" s="578">
        <v>0</v>
      </c>
      <c r="EI48" s="578">
        <v>0</v>
      </c>
      <c r="EJ48" s="578">
        <v>5.3609448204645195E-3</v>
      </c>
      <c r="EK48" s="578">
        <v>4.3037119799114783E-3</v>
      </c>
      <c r="EL48" s="578">
        <v>3.6405956253170602E-4</v>
      </c>
      <c r="EM48" s="578">
        <v>4.0373174796056095E-4</v>
      </c>
      <c r="EN48" s="578">
        <v>4.0658532701319033E-5</v>
      </c>
      <c r="EO48" s="578">
        <v>0</v>
      </c>
      <c r="EP48" s="578">
        <v>0</v>
      </c>
      <c r="EQ48" s="578">
        <v>0</v>
      </c>
      <c r="ER48" s="578">
        <v>0</v>
      </c>
      <c r="ES48" s="578">
        <v>0</v>
      </c>
      <c r="ET48" s="578">
        <v>4.6774110198743589E-4</v>
      </c>
      <c r="EU48" s="578">
        <v>0</v>
      </c>
      <c r="EV48" s="578">
        <v>0</v>
      </c>
      <c r="EW48" s="578">
        <v>0</v>
      </c>
      <c r="EX48" s="578">
        <v>3.8546043248660526E-5</v>
      </c>
      <c r="EY48" s="578">
        <v>0</v>
      </c>
      <c r="EZ48" s="578">
        <v>7.3871932142112213E-4</v>
      </c>
      <c r="FA48" s="578">
        <v>3.7848344544422118E-2</v>
      </c>
      <c r="FB48" s="578">
        <v>6.7458858528654839E-6</v>
      </c>
      <c r="FC48" s="578">
        <v>2.8153153153153153E-4</v>
      </c>
      <c r="FD48" s="578">
        <v>6.8887467401466319E-5</v>
      </c>
      <c r="FE48" s="578">
        <v>0</v>
      </c>
      <c r="FF48" s="578">
        <v>0</v>
      </c>
      <c r="FG48" s="578">
        <v>1.5657620041753653E-4</v>
      </c>
      <c r="FH48" s="578">
        <v>5.8527068769305803E-4</v>
      </c>
      <c r="FI48" s="578">
        <v>3.2297655190233189E-5</v>
      </c>
      <c r="FJ48" s="578">
        <v>4.3283386583289196E-5</v>
      </c>
      <c r="FK48" s="578">
        <v>2.511599624581951E-4</v>
      </c>
      <c r="FL48" s="578">
        <v>1.8295870360690017E-4</v>
      </c>
      <c r="FM48" s="578">
        <v>2.6798249957763628E-3</v>
      </c>
      <c r="FN48" s="578">
        <v>4.2768963552998961E-4</v>
      </c>
      <c r="FO48" s="578">
        <v>2.2776189771213175E-5</v>
      </c>
      <c r="FP48" s="578">
        <v>2.7888948413323672E-3</v>
      </c>
      <c r="FQ48" s="578">
        <v>0</v>
      </c>
      <c r="FR48" s="578">
        <v>2.3345885637844615E-6</v>
      </c>
      <c r="FS48" s="578">
        <v>4.2047429500476535E-4</v>
      </c>
      <c r="FT48" s="578">
        <v>5.1879866980021065E-6</v>
      </c>
      <c r="FU48" s="578">
        <v>0</v>
      </c>
      <c r="FV48" s="578">
        <v>0</v>
      </c>
      <c r="FW48" s="578">
        <v>0</v>
      </c>
      <c r="FX48" s="578">
        <v>0</v>
      </c>
      <c r="FY48" s="578">
        <v>1.4280830751626899E-5</v>
      </c>
      <c r="FZ48" s="578">
        <v>9.5286357159253828E-5</v>
      </c>
      <c r="GA48" s="578">
        <v>4.2393163510186612E-4</v>
      </c>
      <c r="GB48" s="578">
        <v>0</v>
      </c>
      <c r="GC48" s="578">
        <v>3.9661685819955776E-5</v>
      </c>
      <c r="GD48" s="578">
        <v>2.4517953523364266E-4</v>
      </c>
      <c r="GE48" s="578">
        <v>0</v>
      </c>
      <c r="GF48" s="578">
        <v>1.3798227458472641E-4</v>
      </c>
      <c r="GG48" s="579">
        <v>2.1585750114249567E-3</v>
      </c>
      <c r="GH48" s="572"/>
    </row>
    <row r="49" spans="1:190">
      <c r="A49" s="572" t="s">
        <v>9280</v>
      </c>
      <c r="B49" s="577" t="s">
        <v>9412</v>
      </c>
      <c r="C49" s="573" t="s">
        <v>9516</v>
      </c>
      <c r="D49" s="578">
        <v>0</v>
      </c>
      <c r="E49" s="578">
        <v>0</v>
      </c>
      <c r="F49" s="578">
        <v>0</v>
      </c>
      <c r="G49" s="578">
        <v>7.829977628635347E-3</v>
      </c>
      <c r="H49" s="578">
        <v>0</v>
      </c>
      <c r="I49" s="578">
        <v>0</v>
      </c>
      <c r="J49" s="578">
        <v>0</v>
      </c>
      <c r="K49" s="578">
        <v>4.6179531810592873E-4</v>
      </c>
      <c r="L49" s="578">
        <v>0</v>
      </c>
      <c r="M49" s="578">
        <v>0</v>
      </c>
      <c r="N49" s="578">
        <v>0</v>
      </c>
      <c r="O49" s="578">
        <v>0</v>
      </c>
      <c r="P49" s="578">
        <v>0</v>
      </c>
      <c r="Q49" s="578">
        <v>0</v>
      </c>
      <c r="R49" s="578">
        <v>0</v>
      </c>
      <c r="S49" s="578">
        <v>0</v>
      </c>
      <c r="T49" s="578">
        <v>0</v>
      </c>
      <c r="U49" s="578">
        <v>2.964691480815577E-4</v>
      </c>
      <c r="V49" s="578">
        <v>0</v>
      </c>
      <c r="W49" s="578">
        <v>2.2978785984778852E-4</v>
      </c>
      <c r="X49" s="578">
        <v>0</v>
      </c>
      <c r="Y49" s="578">
        <v>0</v>
      </c>
      <c r="Z49" s="578">
        <v>0</v>
      </c>
      <c r="AA49" s="578">
        <v>1.947007131092133E-3</v>
      </c>
      <c r="AB49" s="578">
        <v>0</v>
      </c>
      <c r="AC49" s="578">
        <v>0</v>
      </c>
      <c r="AD49" s="578">
        <v>0</v>
      </c>
      <c r="AE49" s="578">
        <v>0</v>
      </c>
      <c r="AF49" s="578">
        <v>6.0684214518698322E-4</v>
      </c>
      <c r="AG49" s="578">
        <v>0</v>
      </c>
      <c r="AH49" s="578">
        <v>1.1569610489780178E-3</v>
      </c>
      <c r="AI49" s="578">
        <v>6.0140327430671572E-4</v>
      </c>
      <c r="AJ49" s="578">
        <v>6.3565443513435426E-4</v>
      </c>
      <c r="AK49" s="578">
        <v>9.9775505113494645E-4</v>
      </c>
      <c r="AL49" s="578">
        <v>1.9614835948644793E-3</v>
      </c>
      <c r="AM49" s="578">
        <v>1.721960739295144E-4</v>
      </c>
      <c r="AN49" s="578">
        <v>3.4506556245686681E-4</v>
      </c>
      <c r="AO49" s="578">
        <v>1.813647698934482E-3</v>
      </c>
      <c r="AP49" s="578">
        <v>0</v>
      </c>
      <c r="AQ49" s="578">
        <v>3.7242406687081021E-4</v>
      </c>
      <c r="AR49" s="578">
        <v>3.5419544504657672E-5</v>
      </c>
      <c r="AS49" s="578">
        <v>2.8273546562996996E-4</v>
      </c>
      <c r="AT49" s="578">
        <v>5.408765930991607E-3</v>
      </c>
      <c r="AU49" s="578">
        <v>5.7263461003583056E-5</v>
      </c>
      <c r="AV49" s="578">
        <v>5.9912527709544064E-5</v>
      </c>
      <c r="AW49" s="578">
        <v>0</v>
      </c>
      <c r="AX49" s="578">
        <v>1.0972251176773939E-5</v>
      </c>
      <c r="AY49" s="578">
        <v>0</v>
      </c>
      <c r="AZ49" s="578">
        <v>0</v>
      </c>
      <c r="BA49" s="578">
        <v>0</v>
      </c>
      <c r="BB49" s="578">
        <v>1.1804842346330465E-5</v>
      </c>
      <c r="BC49" s="578">
        <v>2.0469362481705506E-5</v>
      </c>
      <c r="BD49" s="578">
        <v>7.4516573727939983E-5</v>
      </c>
      <c r="BE49" s="578">
        <v>4.4579861135487673E-4</v>
      </c>
      <c r="BF49" s="578">
        <v>1.0375371655104064E-3</v>
      </c>
      <c r="BG49" s="578">
        <v>1.3803339517625233E-3</v>
      </c>
      <c r="BH49" s="578">
        <v>4.122464684219205E-5</v>
      </c>
      <c r="BI49" s="578">
        <v>0</v>
      </c>
      <c r="BJ49" s="578">
        <v>3.0927707514608185E-4</v>
      </c>
      <c r="BK49" s="578">
        <v>0</v>
      </c>
      <c r="BL49" s="578">
        <v>1.2685847668341198E-5</v>
      </c>
      <c r="BM49" s="578">
        <v>7.7402748484577848E-4</v>
      </c>
      <c r="BN49" s="578">
        <v>0</v>
      </c>
      <c r="BO49" s="578">
        <v>2.8974029611458262E-5</v>
      </c>
      <c r="BP49" s="578">
        <v>1.3800116211504939E-3</v>
      </c>
      <c r="BQ49" s="578">
        <v>1.390975351916764E-3</v>
      </c>
      <c r="BR49" s="578">
        <v>6.4011607438148779E-5</v>
      </c>
      <c r="BS49" s="578">
        <v>6.069372932619845E-5</v>
      </c>
      <c r="BT49" s="578">
        <v>5.4634857038790747E-4</v>
      </c>
      <c r="BU49" s="578">
        <v>0</v>
      </c>
      <c r="BV49" s="578">
        <v>6.7376364371378515E-5</v>
      </c>
      <c r="BW49" s="578">
        <v>0</v>
      </c>
      <c r="BX49" s="578">
        <v>0</v>
      </c>
      <c r="BY49" s="578">
        <v>0</v>
      </c>
      <c r="BZ49" s="578">
        <v>0</v>
      </c>
      <c r="CA49" s="578">
        <v>0</v>
      </c>
      <c r="CB49" s="578">
        <v>0</v>
      </c>
      <c r="CC49" s="578">
        <v>0</v>
      </c>
      <c r="CD49" s="578">
        <v>0</v>
      </c>
      <c r="CE49" s="578">
        <v>0</v>
      </c>
      <c r="CF49" s="578">
        <v>0</v>
      </c>
      <c r="CG49" s="578">
        <v>0</v>
      </c>
      <c r="CH49" s="578">
        <v>0</v>
      </c>
      <c r="CI49" s="578">
        <v>0</v>
      </c>
      <c r="CJ49" s="578">
        <v>0</v>
      </c>
      <c r="CK49" s="578">
        <v>1.2607542336127165E-5</v>
      </c>
      <c r="CL49" s="578">
        <v>0</v>
      </c>
      <c r="CM49" s="578">
        <v>0</v>
      </c>
      <c r="CN49" s="578">
        <v>0</v>
      </c>
      <c r="CO49" s="578">
        <v>0</v>
      </c>
      <c r="CP49" s="578">
        <v>8.9415846276277076E-6</v>
      </c>
      <c r="CQ49" s="578">
        <v>6.3706440721156905E-5</v>
      </c>
      <c r="CR49" s="578">
        <v>8.1291371501567768E-5</v>
      </c>
      <c r="CS49" s="578">
        <v>5.0853203751836365E-4</v>
      </c>
      <c r="CT49" s="578">
        <v>5.832434166399347E-5</v>
      </c>
      <c r="CU49" s="578">
        <v>0</v>
      </c>
      <c r="CV49" s="578">
        <v>4.9562302912404826E-5</v>
      </c>
      <c r="CW49" s="578">
        <v>0</v>
      </c>
      <c r="CX49" s="578">
        <v>7.1386759183906567E-6</v>
      </c>
      <c r="CY49" s="578">
        <v>1.8316695668101476E-5</v>
      </c>
      <c r="CZ49" s="578">
        <v>1.7780938833570414E-5</v>
      </c>
      <c r="DA49" s="578">
        <v>3.4267846051701614E-4</v>
      </c>
      <c r="DB49" s="578">
        <v>3.7905452970162992E-4</v>
      </c>
      <c r="DC49" s="578">
        <v>0</v>
      </c>
      <c r="DD49" s="578">
        <v>0</v>
      </c>
      <c r="DE49" s="578">
        <v>4.543224235375361E-5</v>
      </c>
      <c r="DF49" s="578">
        <v>3.294991612748622E-4</v>
      </c>
      <c r="DG49" s="578">
        <v>7.8734818942722605E-5</v>
      </c>
      <c r="DH49" s="578">
        <v>1.1327465706097575E-4</v>
      </c>
      <c r="DI49" s="578">
        <v>0</v>
      </c>
      <c r="DJ49" s="578">
        <v>3.4787362248257526E-4</v>
      </c>
      <c r="DK49" s="578">
        <v>1.4519819190803953E-3</v>
      </c>
      <c r="DL49" s="578">
        <v>9.5957172798666695E-5</v>
      </c>
      <c r="DM49" s="578">
        <v>5.9382422802850359E-4</v>
      </c>
      <c r="DN49" s="578">
        <v>0</v>
      </c>
      <c r="DO49" s="578">
        <v>0</v>
      </c>
      <c r="DP49" s="578">
        <v>4.3821209465381244E-5</v>
      </c>
      <c r="DQ49" s="578">
        <v>0</v>
      </c>
      <c r="DR49" s="578">
        <v>2.0007402739013434E-5</v>
      </c>
      <c r="DS49" s="578">
        <v>2.2433884138602947E-5</v>
      </c>
      <c r="DT49" s="578">
        <v>2.3325485279432025E-4</v>
      </c>
      <c r="DU49" s="578">
        <v>0</v>
      </c>
      <c r="DV49" s="578">
        <v>1.2669614463631872E-5</v>
      </c>
      <c r="DW49" s="578">
        <v>7.0803621099479086E-4</v>
      </c>
      <c r="DX49" s="578">
        <v>4.9645433539474248E-4</v>
      </c>
      <c r="DY49" s="578">
        <v>6.6402112219569648E-4</v>
      </c>
      <c r="DZ49" s="578">
        <v>1.3472935398958879E-5</v>
      </c>
      <c r="EA49" s="578">
        <v>2.8936924183032723E-5</v>
      </c>
      <c r="EB49" s="578">
        <v>2.2672610567274843E-3</v>
      </c>
      <c r="EC49" s="578">
        <v>0</v>
      </c>
      <c r="ED49" s="578">
        <v>0</v>
      </c>
      <c r="EE49" s="578">
        <v>0</v>
      </c>
      <c r="EF49" s="578">
        <v>0</v>
      </c>
      <c r="EG49" s="578">
        <v>0</v>
      </c>
      <c r="EH49" s="578">
        <v>4.2598509052183172E-5</v>
      </c>
      <c r="EI49" s="578">
        <v>6.0695980577286218E-4</v>
      </c>
      <c r="EJ49" s="578">
        <v>7.153917983386014E-4</v>
      </c>
      <c r="EK49" s="578">
        <v>2.6283464816757962E-3</v>
      </c>
      <c r="EL49" s="578">
        <v>9.2656142759094031E-4</v>
      </c>
      <c r="EM49" s="578">
        <v>1.1260949244586234E-3</v>
      </c>
      <c r="EN49" s="578">
        <v>0</v>
      </c>
      <c r="EO49" s="578">
        <v>0</v>
      </c>
      <c r="EP49" s="578">
        <v>0</v>
      </c>
      <c r="EQ49" s="578">
        <v>2.7453997607096014E-4</v>
      </c>
      <c r="ER49" s="578">
        <v>0</v>
      </c>
      <c r="ES49" s="578">
        <v>7.4844697253199612E-5</v>
      </c>
      <c r="ET49" s="578">
        <v>1.9875684220429289E-5</v>
      </c>
      <c r="EU49" s="578">
        <v>2.5814627506659001E-4</v>
      </c>
      <c r="EV49" s="578">
        <v>2.2632968691059978E-3</v>
      </c>
      <c r="EW49" s="578">
        <v>1.6528604207988176E-4</v>
      </c>
      <c r="EX49" s="578">
        <v>4.4327949735959604E-4</v>
      </c>
      <c r="EY49" s="578">
        <v>2.2270612689300208E-4</v>
      </c>
      <c r="EZ49" s="578">
        <v>9.3860807898213166E-4</v>
      </c>
      <c r="FA49" s="578">
        <v>5.3507469205905473E-3</v>
      </c>
      <c r="FB49" s="578">
        <v>1.1906488530307579E-3</v>
      </c>
      <c r="FC49" s="578">
        <v>8.6625086625086625E-5</v>
      </c>
      <c r="FD49" s="578">
        <v>9.1029867637651922E-5</v>
      </c>
      <c r="FE49" s="578">
        <v>3.3579583613163198E-4</v>
      </c>
      <c r="FF49" s="578">
        <v>1.0465962868583909E-3</v>
      </c>
      <c r="FG49" s="578">
        <v>2.0876826722338206E-4</v>
      </c>
      <c r="FH49" s="578">
        <v>9.7545114615509671E-5</v>
      </c>
      <c r="FI49" s="578">
        <v>1.1157371792989646E-4</v>
      </c>
      <c r="FJ49" s="578">
        <v>1.2073786783759617E-4</v>
      </c>
      <c r="FK49" s="578">
        <v>2.4810943659837897E-4</v>
      </c>
      <c r="FL49" s="578">
        <v>1.7381076842655516E-3</v>
      </c>
      <c r="FM49" s="578">
        <v>9.2046162898405507E-4</v>
      </c>
      <c r="FN49" s="578">
        <v>6.1818894917216847E-4</v>
      </c>
      <c r="FO49" s="578">
        <v>8.6945628778805077E-4</v>
      </c>
      <c r="FP49" s="578">
        <v>2.2059055242176914E-4</v>
      </c>
      <c r="FQ49" s="578">
        <v>6.3895985350676532E-3</v>
      </c>
      <c r="FR49" s="578">
        <v>4.136890935026066E-3</v>
      </c>
      <c r="FS49" s="578">
        <v>1.3006671525480741E-3</v>
      </c>
      <c r="FT49" s="578">
        <v>5.1879866980021065E-6</v>
      </c>
      <c r="FU49" s="578">
        <v>0</v>
      </c>
      <c r="FV49" s="578">
        <v>5.8648569393825146E-4</v>
      </c>
      <c r="FW49" s="578">
        <v>8.0832248833994816E-6</v>
      </c>
      <c r="FX49" s="578">
        <v>0</v>
      </c>
      <c r="FY49" s="578">
        <v>8.7916364314703094E-4</v>
      </c>
      <c r="FZ49" s="578">
        <v>5.7604934100821627E-4</v>
      </c>
      <c r="GA49" s="578">
        <v>2.5141841480607781E-3</v>
      </c>
      <c r="GB49" s="578">
        <v>5.4240421848985232E-4</v>
      </c>
      <c r="GC49" s="578">
        <v>4.4123625474700801E-4</v>
      </c>
      <c r="GD49" s="578">
        <v>1.3132218941966339E-3</v>
      </c>
      <c r="GE49" s="578">
        <v>0.3100100248765455</v>
      </c>
      <c r="GF49" s="578">
        <v>2.600435174865998E-4</v>
      </c>
      <c r="GG49" s="579">
        <v>1.0392064678346013E-3</v>
      </c>
      <c r="GH49" s="572"/>
    </row>
    <row r="50" spans="1:190">
      <c r="A50" s="572" t="s">
        <v>9281</v>
      </c>
      <c r="B50" s="577" t="s">
        <v>230</v>
      </c>
      <c r="C50" s="573" t="s">
        <v>231</v>
      </c>
      <c r="D50" s="578">
        <v>0</v>
      </c>
      <c r="E50" s="578">
        <v>0</v>
      </c>
      <c r="F50" s="578">
        <v>0</v>
      </c>
      <c r="G50" s="578">
        <v>0</v>
      </c>
      <c r="H50" s="578">
        <v>0</v>
      </c>
      <c r="I50" s="578">
        <v>1.3031438345007329E-3</v>
      </c>
      <c r="J50" s="578">
        <v>0</v>
      </c>
      <c r="K50" s="578">
        <v>2.1313630066427481E-4</v>
      </c>
      <c r="L50" s="578">
        <v>0</v>
      </c>
      <c r="M50" s="578">
        <v>0</v>
      </c>
      <c r="N50" s="578">
        <v>0</v>
      </c>
      <c r="O50" s="578">
        <v>5.0363493036699653E-4</v>
      </c>
      <c r="P50" s="578">
        <v>0</v>
      </c>
      <c r="Q50" s="578">
        <v>0</v>
      </c>
      <c r="R50" s="578">
        <v>2.8262958566502744E-4</v>
      </c>
      <c r="S50" s="578">
        <v>0</v>
      </c>
      <c r="T50" s="578">
        <v>1.2137395314965408E-2</v>
      </c>
      <c r="U50" s="578">
        <v>6.6562105504762636E-3</v>
      </c>
      <c r="V50" s="578">
        <v>3.9392402041242653E-3</v>
      </c>
      <c r="W50" s="578">
        <v>1.3989484907533364E-2</v>
      </c>
      <c r="X50" s="578">
        <v>1.2872351315385402E-2</v>
      </c>
      <c r="Y50" s="578">
        <v>4.6488190408353475E-3</v>
      </c>
      <c r="Z50" s="578">
        <v>6.8016437753149186E-3</v>
      </c>
      <c r="AA50" s="578">
        <v>1.4233621814096521E-3</v>
      </c>
      <c r="AB50" s="578">
        <v>2.5106952313308337E-3</v>
      </c>
      <c r="AC50" s="578">
        <v>1.7275632720048371E-4</v>
      </c>
      <c r="AD50" s="578">
        <v>0</v>
      </c>
      <c r="AE50" s="578">
        <v>0</v>
      </c>
      <c r="AF50" s="578">
        <v>2.2756580444511872E-4</v>
      </c>
      <c r="AG50" s="578">
        <v>0</v>
      </c>
      <c r="AH50" s="578">
        <v>3.8565368299267258E-4</v>
      </c>
      <c r="AI50" s="578">
        <v>2.0046775810223855E-4</v>
      </c>
      <c r="AJ50" s="578">
        <v>3.9872869112973133E-3</v>
      </c>
      <c r="AK50" s="578">
        <v>3.9910202045397858E-3</v>
      </c>
      <c r="AL50" s="578">
        <v>1.6940085592011412E-3</v>
      </c>
      <c r="AM50" s="578">
        <v>6.8878429571805758E-4</v>
      </c>
      <c r="AN50" s="578">
        <v>1.1645962732919255E-3</v>
      </c>
      <c r="AO50" s="578">
        <v>3.2386566052401465E-3</v>
      </c>
      <c r="AP50" s="578">
        <v>1.588310038119441E-4</v>
      </c>
      <c r="AQ50" s="578">
        <v>1.6552180749813787E-4</v>
      </c>
      <c r="AR50" s="578">
        <v>5.9032574174429451E-4</v>
      </c>
      <c r="AS50" s="578">
        <v>4.8771867821169818E-3</v>
      </c>
      <c r="AT50" s="578">
        <v>3.0214485545539321E-2</v>
      </c>
      <c r="AU50" s="578">
        <v>4.9639240195677427E-2</v>
      </c>
      <c r="AV50" s="578">
        <v>2.995626385477203E-4</v>
      </c>
      <c r="AW50" s="578">
        <v>5.3639435713136299E-5</v>
      </c>
      <c r="AX50" s="578">
        <v>1.5361151647483515E-4</v>
      </c>
      <c r="AY50" s="578">
        <v>0</v>
      </c>
      <c r="AZ50" s="578">
        <v>3.0517440151909034E-4</v>
      </c>
      <c r="BA50" s="578">
        <v>1.3883104262113008E-4</v>
      </c>
      <c r="BB50" s="578">
        <v>3.1873074335092257E-4</v>
      </c>
      <c r="BC50" s="578">
        <v>1.9445894357620231E-4</v>
      </c>
      <c r="BD50" s="578">
        <v>4.3343807051751757E-3</v>
      </c>
      <c r="BE50" s="578">
        <v>2.2711157602094902E-3</v>
      </c>
      <c r="BF50" s="578">
        <v>4.7540882061446977E-3</v>
      </c>
      <c r="BG50" s="578">
        <v>1.4137291280148423E-2</v>
      </c>
      <c r="BH50" s="578">
        <v>4.1155939097455062E-3</v>
      </c>
      <c r="BI50" s="578">
        <v>5.8552453239360258E-3</v>
      </c>
      <c r="BJ50" s="578">
        <v>3.2577185248720622E-3</v>
      </c>
      <c r="BK50" s="578">
        <v>0</v>
      </c>
      <c r="BL50" s="578">
        <v>7.6115086010047187E-5</v>
      </c>
      <c r="BM50" s="578">
        <v>3.5953347668871957E-4</v>
      </c>
      <c r="BN50" s="578">
        <v>6.4197530864197529E-4</v>
      </c>
      <c r="BO50" s="578">
        <v>1.1686191943288166E-3</v>
      </c>
      <c r="BP50" s="578">
        <v>7.2632190586868097E-5</v>
      </c>
      <c r="BQ50" s="578">
        <v>1.1127802815334112E-3</v>
      </c>
      <c r="BR50" s="578">
        <v>6.5078467562117931E-3</v>
      </c>
      <c r="BS50" s="578">
        <v>1.0115621554366409E-4</v>
      </c>
      <c r="BT50" s="578">
        <v>1.821161901293025E-3</v>
      </c>
      <c r="BU50" s="578">
        <v>5.8011370228564796E-5</v>
      </c>
      <c r="BV50" s="578">
        <v>2.0212909311413557E-4</v>
      </c>
      <c r="BW50" s="578">
        <v>1.352162953664756E-5</v>
      </c>
      <c r="BX50" s="578">
        <v>0</v>
      </c>
      <c r="BY50" s="578">
        <v>2.2521733472801254E-5</v>
      </c>
      <c r="BZ50" s="578">
        <v>4.414986672258983E-5</v>
      </c>
      <c r="CA50" s="578">
        <v>1.6464028449841161E-4</v>
      </c>
      <c r="CB50" s="578">
        <v>8.5629188384214446E-4</v>
      </c>
      <c r="CC50" s="578">
        <v>1.1457878655608905E-4</v>
      </c>
      <c r="CD50" s="578">
        <v>1.3825746793646662E-4</v>
      </c>
      <c r="CE50" s="578">
        <v>0</v>
      </c>
      <c r="CF50" s="578">
        <v>7.8951523764408658E-5</v>
      </c>
      <c r="CG50" s="578">
        <v>9.1503638865638609E-4</v>
      </c>
      <c r="CH50" s="578">
        <v>2.8930832166456434E-4</v>
      </c>
      <c r="CI50" s="578">
        <v>3.9794065709951006E-4</v>
      </c>
      <c r="CJ50" s="578">
        <v>2.614016055543502E-2</v>
      </c>
      <c r="CK50" s="578">
        <v>9.9851735302127148E-4</v>
      </c>
      <c r="CL50" s="578">
        <v>6.8189311512753645E-4</v>
      </c>
      <c r="CM50" s="578">
        <v>1.4151055393309116E-3</v>
      </c>
      <c r="CN50" s="578">
        <v>1.2664029332304129E-3</v>
      </c>
      <c r="CO50" s="578">
        <v>2.7331738981892723E-3</v>
      </c>
      <c r="CP50" s="578">
        <v>7.9580103185886597E-4</v>
      </c>
      <c r="CQ50" s="578">
        <v>8.2818372937503977E-4</v>
      </c>
      <c r="CR50" s="578">
        <v>1.9132504935547555E-3</v>
      </c>
      <c r="CS50" s="578">
        <v>6.7804271669115153E-4</v>
      </c>
      <c r="CT50" s="578">
        <v>1.1664868332798694E-3</v>
      </c>
      <c r="CU50" s="578">
        <v>2.2330425809780241E-3</v>
      </c>
      <c r="CV50" s="578">
        <v>1.7842429048465737E-3</v>
      </c>
      <c r="CW50" s="578">
        <v>3.5109620035889832E-4</v>
      </c>
      <c r="CX50" s="578">
        <v>6.6389686041033106E-4</v>
      </c>
      <c r="CY50" s="578">
        <v>1.5331074274200935E-2</v>
      </c>
      <c r="CZ50" s="578">
        <v>3.3250355618776673E-3</v>
      </c>
      <c r="DA50" s="578">
        <v>2.5915058576599344E-3</v>
      </c>
      <c r="DB50" s="578">
        <v>1.5162181188065197E-3</v>
      </c>
      <c r="DC50" s="578">
        <v>1.4503263234227702E-3</v>
      </c>
      <c r="DD50" s="578">
        <v>1.4492753623188406E-3</v>
      </c>
      <c r="DE50" s="578">
        <v>6.6285641594126523E-3</v>
      </c>
      <c r="DF50" s="578">
        <v>1.7972681524083393E-3</v>
      </c>
      <c r="DG50" s="578">
        <v>1.506896951431552E-3</v>
      </c>
      <c r="DH50" s="578">
        <v>1.2324282688234161E-2</v>
      </c>
      <c r="DI50" s="578">
        <v>1.125976950589482E-3</v>
      </c>
      <c r="DJ50" s="578">
        <v>2.4102672414864144E-3</v>
      </c>
      <c r="DK50" s="578">
        <v>1.1862281568527024E-3</v>
      </c>
      <c r="DL50" s="578">
        <v>4.588267973030984E-3</v>
      </c>
      <c r="DM50" s="578">
        <v>8.3700938807827162E-3</v>
      </c>
      <c r="DN50" s="578">
        <v>4.192456878765371E-3</v>
      </c>
      <c r="DO50" s="578">
        <v>0</v>
      </c>
      <c r="DP50" s="578">
        <v>8.5451358457493424E-4</v>
      </c>
      <c r="DQ50" s="578">
        <v>6.9341023883254932E-4</v>
      </c>
      <c r="DR50" s="578">
        <v>3.5679868217907291E-4</v>
      </c>
      <c r="DS50" s="578">
        <v>1.8043252528619227E-3</v>
      </c>
      <c r="DT50" s="578">
        <v>4.8983519086807249E-3</v>
      </c>
      <c r="DU50" s="578">
        <v>3.6310358007389477E-3</v>
      </c>
      <c r="DV50" s="578">
        <v>6.2081110871796169E-4</v>
      </c>
      <c r="DW50" s="578">
        <v>1.1800603516579848E-4</v>
      </c>
      <c r="DX50" s="578">
        <v>7.1832651985510891E-3</v>
      </c>
      <c r="DY50" s="578">
        <v>2.7035145689396217E-3</v>
      </c>
      <c r="DZ50" s="578">
        <v>4.7660508973817035E-4</v>
      </c>
      <c r="EA50" s="578">
        <v>8.9036689793946841E-4</v>
      </c>
      <c r="EB50" s="578">
        <v>9.1533005499639991E-4</v>
      </c>
      <c r="EC50" s="578">
        <v>4.8931608901882947E-4</v>
      </c>
      <c r="ED50" s="578">
        <v>3.3920995739522938E-4</v>
      </c>
      <c r="EE50" s="578">
        <v>1.2904069912865461E-3</v>
      </c>
      <c r="EF50" s="578">
        <v>3.550238927552035E-3</v>
      </c>
      <c r="EG50" s="578">
        <v>4.7182903136275328E-3</v>
      </c>
      <c r="EH50" s="578">
        <v>2.9818956336528221E-3</v>
      </c>
      <c r="EI50" s="578">
        <v>3.2314989659203309E-3</v>
      </c>
      <c r="EJ50" s="578">
        <v>3.835794215212501E-3</v>
      </c>
      <c r="EK50" s="578">
        <v>7.8062853685124207E-3</v>
      </c>
      <c r="EL50" s="578">
        <v>1.4838411267941869E-2</v>
      </c>
      <c r="EM50" s="578">
        <v>1.6810281701848062E-2</v>
      </c>
      <c r="EN50" s="578">
        <v>3.1679773396444414E-4</v>
      </c>
      <c r="EO50" s="578">
        <v>3.1516350091495901E-5</v>
      </c>
      <c r="EP50" s="578">
        <v>0</v>
      </c>
      <c r="EQ50" s="578">
        <v>1.5726734431719196E-3</v>
      </c>
      <c r="ER50" s="578">
        <v>4.9019607843137254E-4</v>
      </c>
      <c r="ES50" s="578">
        <v>6.3958195834552399E-4</v>
      </c>
      <c r="ET50" s="578">
        <v>1.6231808780017253E-3</v>
      </c>
      <c r="EU50" s="578">
        <v>2.346784318787182E-5</v>
      </c>
      <c r="EV50" s="578">
        <v>2.3387400980761975E-3</v>
      </c>
      <c r="EW50" s="578">
        <v>1.4389608369307354E-3</v>
      </c>
      <c r="EX50" s="578">
        <v>6.1673669197856841E-4</v>
      </c>
      <c r="EY50" s="578">
        <v>1.8311392655646838E-3</v>
      </c>
      <c r="EZ50" s="578">
        <v>1.0515886810818326E-3</v>
      </c>
      <c r="FA50" s="578">
        <v>6.5519350048047522E-5</v>
      </c>
      <c r="FB50" s="578">
        <v>5.9498713222273566E-3</v>
      </c>
      <c r="FC50" s="578">
        <v>7.146569646569647E-3</v>
      </c>
      <c r="FD50" s="578">
        <v>5.3756827240072826E-3</v>
      </c>
      <c r="FE50" s="578">
        <v>2.8962390866353258E-3</v>
      </c>
      <c r="FF50" s="578">
        <v>7.1251971848076689E-3</v>
      </c>
      <c r="FG50" s="578">
        <v>8.5594989561586631E-3</v>
      </c>
      <c r="FH50" s="578">
        <v>9.8097870264997555E-2</v>
      </c>
      <c r="FI50" s="578">
        <v>7.7631818475433229E-3</v>
      </c>
      <c r="FJ50" s="578">
        <v>6.9765984953327979E-3</v>
      </c>
      <c r="FK50" s="578">
        <v>4.5330814276867762E-3</v>
      </c>
      <c r="FL50" s="578">
        <v>1.2663355985363304E-2</v>
      </c>
      <c r="FM50" s="578">
        <v>1.0870768352431941E-2</v>
      </c>
      <c r="FN50" s="578">
        <v>2.4036531044851383E-2</v>
      </c>
      <c r="FO50" s="578">
        <v>2.286531399205705E-3</v>
      </c>
      <c r="FP50" s="578">
        <v>6.0347272555383987E-3</v>
      </c>
      <c r="FQ50" s="578">
        <v>7.5111177901339699E-3</v>
      </c>
      <c r="FR50" s="578">
        <v>1.8069715483691731E-3</v>
      </c>
      <c r="FS50" s="578">
        <v>4.2832314851152097E-2</v>
      </c>
      <c r="FT50" s="578">
        <v>1.369628488272556E-3</v>
      </c>
      <c r="FU50" s="578">
        <v>1.7155012694709395E-4</v>
      </c>
      <c r="FV50" s="578">
        <v>4.3022914833898876E-2</v>
      </c>
      <c r="FW50" s="578">
        <v>7.5982313903955121E-4</v>
      </c>
      <c r="FX50" s="578">
        <v>1.5219804244727725E-3</v>
      </c>
      <c r="FY50" s="578">
        <v>2.6107143717817925E-3</v>
      </c>
      <c r="FZ50" s="578">
        <v>4.8509418190165583E-4</v>
      </c>
      <c r="GA50" s="578">
        <v>4.949953195987107E-4</v>
      </c>
      <c r="GB50" s="578">
        <v>2.051702913418137E-3</v>
      </c>
      <c r="GC50" s="578">
        <v>5.5377628826113251E-3</v>
      </c>
      <c r="GD50" s="578">
        <v>3.6541826621123729E-3</v>
      </c>
      <c r="GE50" s="578">
        <v>0</v>
      </c>
      <c r="GF50" s="578">
        <v>5.8377116170461177E-5</v>
      </c>
      <c r="GG50" s="579">
        <v>4.0847749758384372E-3</v>
      </c>
      <c r="GH50" s="572"/>
    </row>
    <row r="51" spans="1:190">
      <c r="A51" s="572" t="s">
        <v>9282</v>
      </c>
      <c r="B51" s="577" t="s">
        <v>233</v>
      </c>
      <c r="C51" s="573" t="s">
        <v>234</v>
      </c>
      <c r="D51" s="578">
        <v>6.0028563777559579E-2</v>
      </c>
      <c r="E51" s="578">
        <v>0.12460792700313658</v>
      </c>
      <c r="F51" s="578">
        <v>4.3955784958401092E-2</v>
      </c>
      <c r="G51" s="578">
        <v>3.4395973154362415E-2</v>
      </c>
      <c r="H51" s="578">
        <v>0.11607142857142858</v>
      </c>
      <c r="I51" s="578">
        <v>2.4922625834826517E-2</v>
      </c>
      <c r="J51" s="578">
        <v>0</v>
      </c>
      <c r="K51" s="578">
        <v>3.5522716777379134E-4</v>
      </c>
      <c r="L51" s="578">
        <v>1.5060240963855423E-4</v>
      </c>
      <c r="M51" s="578">
        <v>0</v>
      </c>
      <c r="N51" s="578">
        <v>0</v>
      </c>
      <c r="O51" s="578">
        <v>0</v>
      </c>
      <c r="P51" s="578">
        <v>0</v>
      </c>
      <c r="Q51" s="578">
        <v>0</v>
      </c>
      <c r="R51" s="578">
        <v>0</v>
      </c>
      <c r="S51" s="578">
        <v>0</v>
      </c>
      <c r="T51" s="578">
        <v>0</v>
      </c>
      <c r="U51" s="578">
        <v>9.5635209058567009E-6</v>
      </c>
      <c r="V51" s="578">
        <v>0</v>
      </c>
      <c r="W51" s="578">
        <v>0</v>
      </c>
      <c r="X51" s="578">
        <v>0</v>
      </c>
      <c r="Y51" s="578">
        <v>0</v>
      </c>
      <c r="Z51" s="578">
        <v>0</v>
      </c>
      <c r="AA51" s="578">
        <v>0</v>
      </c>
      <c r="AB51" s="578">
        <v>5.7812061247749461E-5</v>
      </c>
      <c r="AC51" s="578">
        <v>0</v>
      </c>
      <c r="AD51" s="578">
        <v>0</v>
      </c>
      <c r="AE51" s="578">
        <v>0</v>
      </c>
      <c r="AF51" s="578">
        <v>0</v>
      </c>
      <c r="AG51" s="578">
        <v>0</v>
      </c>
      <c r="AH51" s="578">
        <v>0</v>
      </c>
      <c r="AI51" s="578">
        <v>0</v>
      </c>
      <c r="AJ51" s="578">
        <v>0</v>
      </c>
      <c r="AK51" s="578">
        <v>0</v>
      </c>
      <c r="AL51" s="578">
        <v>0</v>
      </c>
      <c r="AM51" s="578">
        <v>0</v>
      </c>
      <c r="AN51" s="578">
        <v>0</v>
      </c>
      <c r="AO51" s="578">
        <v>0</v>
      </c>
      <c r="AP51" s="578">
        <v>0</v>
      </c>
      <c r="AQ51" s="578">
        <v>0</v>
      </c>
      <c r="AR51" s="578">
        <v>0</v>
      </c>
      <c r="AS51" s="578">
        <v>0</v>
      </c>
      <c r="AT51" s="578">
        <v>0</v>
      </c>
      <c r="AU51" s="578">
        <v>0</v>
      </c>
      <c r="AV51" s="578">
        <v>0.18375172248517166</v>
      </c>
      <c r="AW51" s="578">
        <v>-2.1455774285254517E-3</v>
      </c>
      <c r="AX51" s="578">
        <v>7.8451595913933657E-3</v>
      </c>
      <c r="AY51" s="578">
        <v>0</v>
      </c>
      <c r="AZ51" s="578">
        <v>9.0026448448131662E-3</v>
      </c>
      <c r="BA51" s="578">
        <v>1.3883104262113008E-4</v>
      </c>
      <c r="BB51" s="578">
        <v>8.570315543435918E-3</v>
      </c>
      <c r="BC51" s="578">
        <v>3.2750979970728811E-3</v>
      </c>
      <c r="BD51" s="578">
        <v>3.601634396850433E-4</v>
      </c>
      <c r="BE51" s="578">
        <v>1.1057209651715446E-3</v>
      </c>
      <c r="BF51" s="578">
        <v>1.3317641228939544E-3</v>
      </c>
      <c r="BG51" s="578">
        <v>0</v>
      </c>
      <c r="BH51" s="578">
        <v>1.3741548947397351E-5</v>
      </c>
      <c r="BI51" s="578">
        <v>1.0843046896177825E-4</v>
      </c>
      <c r="BJ51" s="578">
        <v>7.3772891658178729E-3</v>
      </c>
      <c r="BK51" s="578">
        <v>0</v>
      </c>
      <c r="BL51" s="578">
        <v>-3.6915816714872887E-3</v>
      </c>
      <c r="BM51" s="578">
        <v>0</v>
      </c>
      <c r="BN51" s="578">
        <v>0</v>
      </c>
      <c r="BO51" s="578">
        <v>5.7948059222916523E-5</v>
      </c>
      <c r="BP51" s="578">
        <v>0</v>
      </c>
      <c r="BQ51" s="578">
        <v>2.7819507038335281E-5</v>
      </c>
      <c r="BR51" s="578">
        <v>0</v>
      </c>
      <c r="BS51" s="578">
        <v>0</v>
      </c>
      <c r="BT51" s="578">
        <v>0</v>
      </c>
      <c r="BU51" s="578">
        <v>0</v>
      </c>
      <c r="BV51" s="578">
        <v>1.0106454655706779E-4</v>
      </c>
      <c r="BW51" s="578">
        <v>-1.1166612392348109E-3</v>
      </c>
      <c r="BX51" s="578">
        <v>0</v>
      </c>
      <c r="BY51" s="578">
        <v>0</v>
      </c>
      <c r="BZ51" s="578">
        <v>0</v>
      </c>
      <c r="CA51" s="578">
        <v>9.7686568802390883E-4</v>
      </c>
      <c r="CB51" s="578">
        <v>0</v>
      </c>
      <c r="CC51" s="578">
        <v>0</v>
      </c>
      <c r="CD51" s="578">
        <v>1.6265584463113721E-5</v>
      </c>
      <c r="CE51" s="578">
        <v>0</v>
      </c>
      <c r="CF51" s="578">
        <v>0</v>
      </c>
      <c r="CG51" s="578">
        <v>0</v>
      </c>
      <c r="CH51" s="578">
        <v>0</v>
      </c>
      <c r="CI51" s="578">
        <v>0</v>
      </c>
      <c r="CJ51" s="578">
        <v>0</v>
      </c>
      <c r="CK51" s="578">
        <v>0</v>
      </c>
      <c r="CL51" s="578">
        <v>0</v>
      </c>
      <c r="CM51" s="578">
        <v>0</v>
      </c>
      <c r="CN51" s="578">
        <v>0</v>
      </c>
      <c r="CO51" s="578">
        <v>0</v>
      </c>
      <c r="CP51" s="578">
        <v>0</v>
      </c>
      <c r="CQ51" s="578">
        <v>0</v>
      </c>
      <c r="CR51" s="578">
        <v>0</v>
      </c>
      <c r="CS51" s="578">
        <v>0</v>
      </c>
      <c r="CT51" s="578">
        <v>0</v>
      </c>
      <c r="CU51" s="578">
        <v>0</v>
      </c>
      <c r="CV51" s="578">
        <v>3.0976439320253017E-5</v>
      </c>
      <c r="CW51" s="578">
        <v>0</v>
      </c>
      <c r="CX51" s="578">
        <v>0</v>
      </c>
      <c r="CY51" s="578">
        <v>0</v>
      </c>
      <c r="CZ51" s="578">
        <v>0</v>
      </c>
      <c r="DA51" s="578">
        <v>0</v>
      </c>
      <c r="DB51" s="578">
        <v>0</v>
      </c>
      <c r="DC51" s="578">
        <v>0</v>
      </c>
      <c r="DD51" s="578">
        <v>0</v>
      </c>
      <c r="DE51" s="578">
        <v>0</v>
      </c>
      <c r="DF51" s="578">
        <v>9.9848230689352183E-6</v>
      </c>
      <c r="DG51" s="578">
        <v>0</v>
      </c>
      <c r="DH51" s="578">
        <v>0</v>
      </c>
      <c r="DI51" s="578">
        <v>0</v>
      </c>
      <c r="DJ51" s="578">
        <v>0</v>
      </c>
      <c r="DK51" s="578">
        <v>4.2762196285728781E-4</v>
      </c>
      <c r="DL51" s="578">
        <v>0</v>
      </c>
      <c r="DM51" s="578">
        <v>0</v>
      </c>
      <c r="DN51" s="578">
        <v>0</v>
      </c>
      <c r="DO51" s="578">
        <v>0</v>
      </c>
      <c r="DP51" s="578">
        <v>0</v>
      </c>
      <c r="DQ51" s="578">
        <v>0</v>
      </c>
      <c r="DR51" s="578">
        <v>0</v>
      </c>
      <c r="DS51" s="578">
        <v>0</v>
      </c>
      <c r="DT51" s="578">
        <v>0</v>
      </c>
      <c r="DU51" s="578">
        <v>0</v>
      </c>
      <c r="DV51" s="578">
        <v>0</v>
      </c>
      <c r="DW51" s="578">
        <v>0</v>
      </c>
      <c r="DX51" s="578">
        <v>3.0645329345354478E-5</v>
      </c>
      <c r="DY51" s="578">
        <v>0</v>
      </c>
      <c r="DZ51" s="578">
        <v>0</v>
      </c>
      <c r="EA51" s="578">
        <v>0</v>
      </c>
      <c r="EB51" s="578">
        <v>0</v>
      </c>
      <c r="EC51" s="578">
        <v>3.5475416453865141E-4</v>
      </c>
      <c r="ED51" s="578">
        <v>1.8543477670939203E-4</v>
      </c>
      <c r="EE51" s="578">
        <v>1.4622902286944955E-4</v>
      </c>
      <c r="EF51" s="578">
        <v>9.9419518296398453E-5</v>
      </c>
      <c r="EG51" s="578">
        <v>0</v>
      </c>
      <c r="EH51" s="578">
        <v>0</v>
      </c>
      <c r="EI51" s="578">
        <v>0</v>
      </c>
      <c r="EJ51" s="578">
        <v>0</v>
      </c>
      <c r="EK51" s="578">
        <v>0</v>
      </c>
      <c r="EL51" s="578">
        <v>0</v>
      </c>
      <c r="EM51" s="578">
        <v>0</v>
      </c>
      <c r="EN51" s="578">
        <v>5.0823165876648791E-6</v>
      </c>
      <c r="EO51" s="578">
        <v>0</v>
      </c>
      <c r="EP51" s="578">
        <v>0</v>
      </c>
      <c r="EQ51" s="578">
        <v>0</v>
      </c>
      <c r="ER51" s="578">
        <v>0</v>
      </c>
      <c r="ES51" s="578">
        <v>0</v>
      </c>
      <c r="ET51" s="578">
        <v>0</v>
      </c>
      <c r="EU51" s="578">
        <v>0</v>
      </c>
      <c r="EV51" s="578">
        <v>0</v>
      </c>
      <c r="EW51" s="578">
        <v>0</v>
      </c>
      <c r="EX51" s="578">
        <v>0</v>
      </c>
      <c r="EY51" s="578">
        <v>0</v>
      </c>
      <c r="EZ51" s="578">
        <v>8.6908155461308481E-6</v>
      </c>
      <c r="FA51" s="578">
        <v>0</v>
      </c>
      <c r="FB51" s="578">
        <v>0</v>
      </c>
      <c r="FC51" s="578">
        <v>0</v>
      </c>
      <c r="FD51" s="578">
        <v>0</v>
      </c>
      <c r="FE51" s="578">
        <v>0</v>
      </c>
      <c r="FF51" s="578">
        <v>0</v>
      </c>
      <c r="FG51" s="578">
        <v>0</v>
      </c>
      <c r="FH51" s="578">
        <v>0</v>
      </c>
      <c r="FI51" s="578">
        <v>0</v>
      </c>
      <c r="FJ51" s="578">
        <v>4.5561459561357046E-6</v>
      </c>
      <c r="FK51" s="578">
        <v>0</v>
      </c>
      <c r="FL51" s="578">
        <v>0</v>
      </c>
      <c r="FM51" s="578">
        <v>0</v>
      </c>
      <c r="FN51" s="578">
        <v>0</v>
      </c>
      <c r="FO51" s="578">
        <v>0</v>
      </c>
      <c r="FP51" s="578">
        <v>0</v>
      </c>
      <c r="FQ51" s="578">
        <v>0</v>
      </c>
      <c r="FR51" s="578">
        <v>0</v>
      </c>
      <c r="FS51" s="578">
        <v>0</v>
      </c>
      <c r="FT51" s="578">
        <v>0</v>
      </c>
      <c r="FU51" s="578">
        <v>0</v>
      </c>
      <c r="FV51" s="578">
        <v>0</v>
      </c>
      <c r="FW51" s="578">
        <v>0</v>
      </c>
      <c r="FX51" s="578">
        <v>0</v>
      </c>
      <c r="FY51" s="578">
        <v>0</v>
      </c>
      <c r="FZ51" s="578">
        <v>0</v>
      </c>
      <c r="GA51" s="578">
        <v>0</v>
      </c>
      <c r="GB51" s="578">
        <v>0</v>
      </c>
      <c r="GC51" s="578">
        <v>1.6856216473481206E-4</v>
      </c>
      <c r="GD51" s="578">
        <v>5.3402117948149561E-4</v>
      </c>
      <c r="GE51" s="578">
        <v>0</v>
      </c>
      <c r="GF51" s="578">
        <v>1.289603566311097E-3</v>
      </c>
      <c r="GG51" s="579">
        <v>3.6515712126204214E-4</v>
      </c>
      <c r="GH51" s="572"/>
    </row>
    <row r="52" spans="1:190">
      <c r="A52" s="572" t="s">
        <v>9283</v>
      </c>
      <c r="B52" s="577" t="s">
        <v>236</v>
      </c>
      <c r="C52" s="573" t="s">
        <v>6226</v>
      </c>
      <c r="D52" s="578">
        <v>0</v>
      </c>
      <c r="E52" s="578">
        <v>0</v>
      </c>
      <c r="F52" s="578">
        <v>0</v>
      </c>
      <c r="G52" s="578">
        <v>0</v>
      </c>
      <c r="H52" s="578">
        <v>0</v>
      </c>
      <c r="I52" s="578">
        <v>0</v>
      </c>
      <c r="J52" s="578">
        <v>3.2211824960943159E-5</v>
      </c>
      <c r="K52" s="578">
        <v>0</v>
      </c>
      <c r="L52" s="578">
        <v>0</v>
      </c>
      <c r="M52" s="578">
        <v>0</v>
      </c>
      <c r="N52" s="578">
        <v>0</v>
      </c>
      <c r="O52" s="578">
        <v>0</v>
      </c>
      <c r="P52" s="578">
        <v>0</v>
      </c>
      <c r="Q52" s="578">
        <v>0</v>
      </c>
      <c r="R52" s="578">
        <v>0</v>
      </c>
      <c r="S52" s="578">
        <v>0</v>
      </c>
      <c r="T52" s="578">
        <v>3.1163582565451724E-4</v>
      </c>
      <c r="U52" s="578">
        <v>2.6777858536398763E-4</v>
      </c>
      <c r="V52" s="578">
        <v>0</v>
      </c>
      <c r="W52" s="578">
        <v>2.1446866919126929E-4</v>
      </c>
      <c r="X52" s="578">
        <v>2.8150271266250381E-4</v>
      </c>
      <c r="Y52" s="578">
        <v>1.310913926755526E-3</v>
      </c>
      <c r="Z52" s="578">
        <v>2.4157377260392369E-5</v>
      </c>
      <c r="AA52" s="578">
        <v>4.7604086334770977E-6</v>
      </c>
      <c r="AB52" s="578">
        <v>9.0847524817892005E-5</v>
      </c>
      <c r="AC52" s="578">
        <v>6.9102530880193487E-5</v>
      </c>
      <c r="AD52" s="578">
        <v>0</v>
      </c>
      <c r="AE52" s="578">
        <v>0</v>
      </c>
      <c r="AF52" s="578">
        <v>0</v>
      </c>
      <c r="AG52" s="578">
        <v>0</v>
      </c>
      <c r="AH52" s="578">
        <v>2.1210952564596992E-2</v>
      </c>
      <c r="AI52" s="578">
        <v>1.3364517206815904E-4</v>
      </c>
      <c r="AJ52" s="578">
        <v>1.7336030049118752E-3</v>
      </c>
      <c r="AK52" s="578">
        <v>4.9887752556747322E-4</v>
      </c>
      <c r="AL52" s="578">
        <v>2.2289586305278175E-4</v>
      </c>
      <c r="AM52" s="578">
        <v>0</v>
      </c>
      <c r="AN52" s="578">
        <v>4.3133195307108351E-5</v>
      </c>
      <c r="AO52" s="578">
        <v>0</v>
      </c>
      <c r="AP52" s="578">
        <v>2.3586404066073697E-2</v>
      </c>
      <c r="AQ52" s="578">
        <v>2.2345444012248613E-3</v>
      </c>
      <c r="AR52" s="578">
        <v>3.5419544504657672E-5</v>
      </c>
      <c r="AS52" s="578">
        <v>0</v>
      </c>
      <c r="AT52" s="578">
        <v>1.2641177080095327E-3</v>
      </c>
      <c r="AU52" s="578">
        <v>0</v>
      </c>
      <c r="AV52" s="578">
        <v>4.7930022167635251E-4</v>
      </c>
      <c r="AW52" s="578">
        <v>0.10443598133347637</v>
      </c>
      <c r="AX52" s="578">
        <v>2.8813131590208364E-2</v>
      </c>
      <c r="AY52" s="578">
        <v>0</v>
      </c>
      <c r="AZ52" s="578">
        <v>1.3908040780342247E-2</v>
      </c>
      <c r="BA52" s="578">
        <v>4.7202554491184226E-3</v>
      </c>
      <c r="BB52" s="578">
        <v>2.2913198994227432E-2</v>
      </c>
      <c r="BC52" s="578">
        <v>1.0439374865669809E-3</v>
      </c>
      <c r="BD52" s="578">
        <v>4.7318024317241896E-3</v>
      </c>
      <c r="BE52" s="578">
        <v>7.8067410366397319E-3</v>
      </c>
      <c r="BF52" s="578">
        <v>9.8178889990089193E-3</v>
      </c>
      <c r="BG52" s="578">
        <v>1.4842300556586271E-5</v>
      </c>
      <c r="BH52" s="578">
        <v>0</v>
      </c>
      <c r="BI52" s="578">
        <v>1.4258606668473841E-2</v>
      </c>
      <c r="BJ52" s="578">
        <v>1.0577275969996001E-2</v>
      </c>
      <c r="BK52" s="578">
        <v>0</v>
      </c>
      <c r="BL52" s="578">
        <v>5.0743390673364791E-5</v>
      </c>
      <c r="BM52" s="578">
        <v>1.0763104079216446E-4</v>
      </c>
      <c r="BN52" s="578">
        <v>0</v>
      </c>
      <c r="BO52" s="578">
        <v>0</v>
      </c>
      <c r="BP52" s="578">
        <v>0</v>
      </c>
      <c r="BQ52" s="578">
        <v>1.6691704223001168E-4</v>
      </c>
      <c r="BR52" s="578">
        <v>1.3346420150854021E-2</v>
      </c>
      <c r="BS52" s="578">
        <v>0</v>
      </c>
      <c r="BT52" s="578">
        <v>4.9171371334911671E-3</v>
      </c>
      <c r="BU52" s="578">
        <v>4.9309664694280081E-4</v>
      </c>
      <c r="BV52" s="578">
        <v>2.6950545748551406E-4</v>
      </c>
      <c r="BW52" s="578">
        <v>7.8876172297110768E-6</v>
      </c>
      <c r="BX52" s="578">
        <v>0</v>
      </c>
      <c r="BY52" s="578">
        <v>2.5024148303112505E-6</v>
      </c>
      <c r="BZ52" s="578">
        <v>1.6556200020971186E-5</v>
      </c>
      <c r="CA52" s="578">
        <v>1.1791380375505288E-3</v>
      </c>
      <c r="CB52" s="578">
        <v>0</v>
      </c>
      <c r="CC52" s="578">
        <v>0</v>
      </c>
      <c r="CD52" s="578">
        <v>1.9600029278052035E-3</v>
      </c>
      <c r="CE52" s="578">
        <v>0</v>
      </c>
      <c r="CF52" s="578">
        <v>0</v>
      </c>
      <c r="CG52" s="578">
        <v>0</v>
      </c>
      <c r="CH52" s="578">
        <v>1.1572332866582575E-5</v>
      </c>
      <c r="CI52" s="578">
        <v>2.4871291068719379E-5</v>
      </c>
      <c r="CJ52" s="578">
        <v>6.0750705142113258E-5</v>
      </c>
      <c r="CK52" s="578">
        <v>9.5817321754566452E-5</v>
      </c>
      <c r="CL52" s="578">
        <v>1.4986661870934868E-6</v>
      </c>
      <c r="CM52" s="578">
        <v>4.7486763064795691E-6</v>
      </c>
      <c r="CN52" s="578">
        <v>0</v>
      </c>
      <c r="CO52" s="578">
        <v>0</v>
      </c>
      <c r="CP52" s="578">
        <v>7.1532677021021661E-5</v>
      </c>
      <c r="CQ52" s="578">
        <v>0</v>
      </c>
      <c r="CR52" s="578">
        <v>0</v>
      </c>
      <c r="CS52" s="578">
        <v>5.650355972426263E-5</v>
      </c>
      <c r="CT52" s="578">
        <v>0</v>
      </c>
      <c r="CU52" s="578">
        <v>1.6929203682504877E-4</v>
      </c>
      <c r="CV52" s="578">
        <v>4.9562302912404826E-5</v>
      </c>
      <c r="CW52" s="578">
        <v>0</v>
      </c>
      <c r="CX52" s="578">
        <v>2.5699233306206366E-4</v>
      </c>
      <c r="CY52" s="578">
        <v>4.4875904386848612E-4</v>
      </c>
      <c r="CZ52" s="578">
        <v>3.5561877667140828E-5</v>
      </c>
      <c r="DA52" s="578">
        <v>0</v>
      </c>
      <c r="DB52" s="578">
        <v>0</v>
      </c>
      <c r="DC52" s="578">
        <v>0</v>
      </c>
      <c r="DD52" s="578">
        <v>0</v>
      </c>
      <c r="DE52" s="578">
        <v>2.2261798753339269E-4</v>
      </c>
      <c r="DF52" s="578">
        <v>4.7927150730889051E-4</v>
      </c>
      <c r="DG52" s="578">
        <v>4.1554487775325822E-5</v>
      </c>
      <c r="DH52" s="578">
        <v>1.1327465706097575E-5</v>
      </c>
      <c r="DI52" s="578">
        <v>6.2922241356471061E-4</v>
      </c>
      <c r="DJ52" s="578">
        <v>0</v>
      </c>
      <c r="DK52" s="578">
        <v>1.4616456922523114E-3</v>
      </c>
      <c r="DL52" s="578">
        <v>1.7777328855331936E-3</v>
      </c>
      <c r="DM52" s="578">
        <v>4.2416016287750257E-5</v>
      </c>
      <c r="DN52" s="578">
        <v>8.9130973013122063E-4</v>
      </c>
      <c r="DO52" s="578">
        <v>0</v>
      </c>
      <c r="DP52" s="578">
        <v>0</v>
      </c>
      <c r="DQ52" s="578">
        <v>0</v>
      </c>
      <c r="DR52" s="578">
        <v>6.669134246337812E-5</v>
      </c>
      <c r="DS52" s="578">
        <v>6.7301652415808835E-5</v>
      </c>
      <c r="DT52" s="578">
        <v>0</v>
      </c>
      <c r="DU52" s="578">
        <v>7.9627978086380427E-6</v>
      </c>
      <c r="DV52" s="578">
        <v>1.2669614463631872E-5</v>
      </c>
      <c r="DW52" s="578">
        <v>5.0574015071056487E-4</v>
      </c>
      <c r="DX52" s="578">
        <v>2.451626347628358E-5</v>
      </c>
      <c r="DY52" s="578">
        <v>1.1067018703261609E-4</v>
      </c>
      <c r="DZ52" s="578">
        <v>0</v>
      </c>
      <c r="EA52" s="578">
        <v>0</v>
      </c>
      <c r="EB52" s="578">
        <v>0</v>
      </c>
      <c r="EC52" s="578">
        <v>2.4465804450941476E-5</v>
      </c>
      <c r="ED52" s="578">
        <v>2.2613997159681956E-5</v>
      </c>
      <c r="EE52" s="578">
        <v>0</v>
      </c>
      <c r="EF52" s="578">
        <v>0</v>
      </c>
      <c r="EG52" s="578">
        <v>0</v>
      </c>
      <c r="EH52" s="578">
        <v>3.4238551650692226E-3</v>
      </c>
      <c r="EI52" s="578">
        <v>1.3881395557953421E-3</v>
      </c>
      <c r="EJ52" s="578">
        <v>0</v>
      </c>
      <c r="EK52" s="578">
        <v>0</v>
      </c>
      <c r="EL52" s="578">
        <v>0</v>
      </c>
      <c r="EM52" s="578">
        <v>0</v>
      </c>
      <c r="EN52" s="578">
        <v>0</v>
      </c>
      <c r="EO52" s="578">
        <v>0</v>
      </c>
      <c r="EP52" s="578">
        <v>0</v>
      </c>
      <c r="EQ52" s="578">
        <v>2.7115059365033096E-5</v>
      </c>
      <c r="ER52" s="578">
        <v>0</v>
      </c>
      <c r="ES52" s="578">
        <v>0</v>
      </c>
      <c r="ET52" s="578">
        <v>0</v>
      </c>
      <c r="EU52" s="578">
        <v>0</v>
      </c>
      <c r="EV52" s="578">
        <v>0</v>
      </c>
      <c r="EW52" s="578">
        <v>0</v>
      </c>
      <c r="EX52" s="578">
        <v>0</v>
      </c>
      <c r="EY52" s="578">
        <v>0</v>
      </c>
      <c r="EZ52" s="578">
        <v>1.7381631092261696E-5</v>
      </c>
      <c r="FA52" s="578">
        <v>0</v>
      </c>
      <c r="FB52" s="578">
        <v>0</v>
      </c>
      <c r="FC52" s="578">
        <v>0</v>
      </c>
      <c r="FD52" s="578">
        <v>0</v>
      </c>
      <c r="FE52" s="578">
        <v>0</v>
      </c>
      <c r="FF52" s="578">
        <v>0</v>
      </c>
      <c r="FG52" s="578">
        <v>0</v>
      </c>
      <c r="FH52" s="578">
        <v>0</v>
      </c>
      <c r="FI52" s="578">
        <v>5.8723009436787616E-6</v>
      </c>
      <c r="FJ52" s="578">
        <v>0</v>
      </c>
      <c r="FK52" s="578">
        <v>0</v>
      </c>
      <c r="FL52" s="578">
        <v>0</v>
      </c>
      <c r="FM52" s="578">
        <v>0</v>
      </c>
      <c r="FN52" s="578">
        <v>3.7166042563523116E-4</v>
      </c>
      <c r="FO52" s="578">
        <v>0</v>
      </c>
      <c r="FP52" s="578">
        <v>1.6386726751331422E-3</v>
      </c>
      <c r="FQ52" s="578">
        <v>0</v>
      </c>
      <c r="FR52" s="578">
        <v>0</v>
      </c>
      <c r="FS52" s="578">
        <v>0</v>
      </c>
      <c r="FT52" s="578">
        <v>0</v>
      </c>
      <c r="FU52" s="578">
        <v>0</v>
      </c>
      <c r="FV52" s="578">
        <v>0</v>
      </c>
      <c r="FW52" s="578">
        <v>0</v>
      </c>
      <c r="FX52" s="578">
        <v>0</v>
      </c>
      <c r="FY52" s="578">
        <v>0</v>
      </c>
      <c r="FZ52" s="578">
        <v>0</v>
      </c>
      <c r="GA52" s="578">
        <v>0</v>
      </c>
      <c r="GB52" s="578">
        <v>1.6932444733726694E-3</v>
      </c>
      <c r="GC52" s="578">
        <v>7.634874520341487E-4</v>
      </c>
      <c r="GD52" s="578">
        <v>3.3586237703238719E-6</v>
      </c>
      <c r="GE52" s="578">
        <v>0</v>
      </c>
      <c r="GF52" s="578">
        <v>2.7065753860850181E-4</v>
      </c>
      <c r="GG52" s="579">
        <v>5.7666384691923509E-4</v>
      </c>
      <c r="GH52" s="572"/>
    </row>
    <row r="53" spans="1:190">
      <c r="A53" s="572" t="s">
        <v>9284</v>
      </c>
      <c r="B53" s="577" t="s">
        <v>241</v>
      </c>
      <c r="C53" s="573" t="s">
        <v>249</v>
      </c>
      <c r="D53" s="578">
        <v>1.6736588413817728E-3</v>
      </c>
      <c r="E53" s="578">
        <v>4.5623039635015687E-3</v>
      </c>
      <c r="F53" s="578">
        <v>1.4141271300289896E-4</v>
      </c>
      <c r="G53" s="578">
        <v>1.1185682326621924E-3</v>
      </c>
      <c r="H53" s="578">
        <v>0</v>
      </c>
      <c r="I53" s="578">
        <v>6.5157191725036647E-4</v>
      </c>
      <c r="J53" s="578">
        <v>4.348596369727327E-4</v>
      </c>
      <c r="K53" s="578">
        <v>2.5221128911939185E-3</v>
      </c>
      <c r="L53" s="578">
        <v>1.5060240963855423E-4</v>
      </c>
      <c r="M53" s="578">
        <v>0</v>
      </c>
      <c r="N53" s="578">
        <v>0</v>
      </c>
      <c r="O53" s="578">
        <v>1.3138302531312954E-3</v>
      </c>
      <c r="P53" s="578">
        <v>0</v>
      </c>
      <c r="Q53" s="578">
        <v>0</v>
      </c>
      <c r="R53" s="578">
        <v>5.6525917133005484E-5</v>
      </c>
      <c r="S53" s="578">
        <v>0</v>
      </c>
      <c r="T53" s="578">
        <v>4.2218453433406702E-3</v>
      </c>
      <c r="U53" s="578">
        <v>3.4715580888259822E-3</v>
      </c>
      <c r="V53" s="578">
        <v>0</v>
      </c>
      <c r="W53" s="578">
        <v>8.1865754868438792E-3</v>
      </c>
      <c r="X53" s="578">
        <v>1.7146074316716142E-3</v>
      </c>
      <c r="Y53" s="578">
        <v>6.3802862793534846E-3</v>
      </c>
      <c r="Z53" s="578">
        <v>8.8308634651878778E-4</v>
      </c>
      <c r="AA53" s="578">
        <v>4.9508249788161819E-4</v>
      </c>
      <c r="AB53" s="578">
        <v>8.8039510414429888E-3</v>
      </c>
      <c r="AC53" s="578">
        <v>2.2458322536062884E-3</v>
      </c>
      <c r="AD53" s="578">
        <v>0</v>
      </c>
      <c r="AE53" s="578">
        <v>0</v>
      </c>
      <c r="AF53" s="578">
        <v>3.0342107259349161E-4</v>
      </c>
      <c r="AG53" s="578">
        <v>0</v>
      </c>
      <c r="AH53" s="578">
        <v>4.2807558812186654E-2</v>
      </c>
      <c r="AI53" s="578">
        <v>1.3364517206815904E-4</v>
      </c>
      <c r="AJ53" s="578">
        <v>0</v>
      </c>
      <c r="AK53" s="578">
        <v>0</v>
      </c>
      <c r="AL53" s="578">
        <v>0</v>
      </c>
      <c r="AM53" s="578">
        <v>0</v>
      </c>
      <c r="AN53" s="578">
        <v>4.7446514837819187E-4</v>
      </c>
      <c r="AO53" s="578">
        <v>1.2954626420960585E-4</v>
      </c>
      <c r="AP53" s="578">
        <v>1.2706480304955527E-2</v>
      </c>
      <c r="AQ53" s="578">
        <v>3.7656211205826366E-3</v>
      </c>
      <c r="AR53" s="578">
        <v>1.2160710279932466E-3</v>
      </c>
      <c r="AS53" s="578">
        <v>3.6519997643871122E-4</v>
      </c>
      <c r="AT53" s="578">
        <v>1.1397782613200705E-3</v>
      </c>
      <c r="AU53" s="578">
        <v>8.1804944290832937E-6</v>
      </c>
      <c r="AV53" s="578">
        <v>8.6933077706548442E-2</v>
      </c>
      <c r="AW53" s="578">
        <v>0.11736308534034222</v>
      </c>
      <c r="AX53" s="578">
        <v>0.11561461064966699</v>
      </c>
      <c r="AY53" s="578">
        <v>9.3561687281953701E-3</v>
      </c>
      <c r="AZ53" s="578">
        <v>1.0195085561859982E-2</v>
      </c>
      <c r="BA53" s="578">
        <v>5.136748576981813E-3</v>
      </c>
      <c r="BB53" s="578">
        <v>2.0989009691775567E-2</v>
      </c>
      <c r="BC53" s="578">
        <v>1.2619361969971446E-2</v>
      </c>
      <c r="BD53" s="578">
        <v>7.600690520249879E-3</v>
      </c>
      <c r="BE53" s="578">
        <v>1.9590567322610764E-2</v>
      </c>
      <c r="BF53" s="578">
        <v>3.1234514370664025E-2</v>
      </c>
      <c r="BG53" s="578">
        <v>7.0871985157699444E-3</v>
      </c>
      <c r="BH53" s="578">
        <v>0.10461441213653604</v>
      </c>
      <c r="BI53" s="578">
        <v>3.8926538357278398E-2</v>
      </c>
      <c r="BJ53" s="578">
        <v>3.3966870239710352E-2</v>
      </c>
      <c r="BK53" s="578">
        <v>2.7560357182229083E-5</v>
      </c>
      <c r="BL53" s="578">
        <v>1.6491601968843559E-4</v>
      </c>
      <c r="BM53" s="578">
        <v>3.8541072692172933E-3</v>
      </c>
      <c r="BN53" s="578">
        <v>6.6074074074074077E-2</v>
      </c>
      <c r="BO53" s="578">
        <v>1.4660858983397881E-2</v>
      </c>
      <c r="BP53" s="578">
        <v>2.9052876234747239E-4</v>
      </c>
      <c r="BQ53" s="578">
        <v>1.585711901185111E-3</v>
      </c>
      <c r="BR53" s="578">
        <v>1.8275313923591479E-2</v>
      </c>
      <c r="BS53" s="578">
        <v>1.0722558847628392E-3</v>
      </c>
      <c r="BT53" s="578">
        <v>1.2566017118921873E-2</v>
      </c>
      <c r="BU53" s="578">
        <v>6.9903701125420582E-3</v>
      </c>
      <c r="BV53" s="578">
        <v>1.7517854736558416E-3</v>
      </c>
      <c r="BW53" s="578">
        <v>6.0283931684220367E-3</v>
      </c>
      <c r="BX53" s="578">
        <v>0</v>
      </c>
      <c r="BY53" s="578">
        <v>1.2361929261737576E-3</v>
      </c>
      <c r="BZ53" s="578">
        <v>6.0706066743561023E-4</v>
      </c>
      <c r="CA53" s="578">
        <v>4.6898961041404678E-3</v>
      </c>
      <c r="CB53" s="578">
        <v>1.4892032762472078E-3</v>
      </c>
      <c r="CC53" s="578">
        <v>3.982976865997381E-4</v>
      </c>
      <c r="CD53" s="578">
        <v>1.4395042249855643E-3</v>
      </c>
      <c r="CE53" s="578">
        <v>0</v>
      </c>
      <c r="CF53" s="578">
        <v>1.4211274277593558E-3</v>
      </c>
      <c r="CG53" s="578">
        <v>2.2698577082949113E-4</v>
      </c>
      <c r="CH53" s="578">
        <v>8.1816393366738807E-3</v>
      </c>
      <c r="CI53" s="578">
        <v>1.7409903748103565E-4</v>
      </c>
      <c r="CJ53" s="578">
        <v>9.2861792145801695E-4</v>
      </c>
      <c r="CK53" s="578">
        <v>9.228720990045084E-4</v>
      </c>
      <c r="CL53" s="578">
        <v>2.1880526331564907E-4</v>
      </c>
      <c r="CM53" s="578">
        <v>2.9441793100173328E-4</v>
      </c>
      <c r="CN53" s="578">
        <v>2.4121960632960247E-4</v>
      </c>
      <c r="CO53" s="578">
        <v>3.928937478647079E-3</v>
      </c>
      <c r="CP53" s="578">
        <v>1.6899594946216368E-3</v>
      </c>
      <c r="CQ53" s="578">
        <v>1.2741288144231381E-4</v>
      </c>
      <c r="CR53" s="578">
        <v>2.7871327371966091E-4</v>
      </c>
      <c r="CS53" s="578">
        <v>4.5202847779410104E-4</v>
      </c>
      <c r="CT53" s="578">
        <v>6.9989209996792166E-4</v>
      </c>
      <c r="CU53" s="578">
        <v>1.1769827322122438E-3</v>
      </c>
      <c r="CV53" s="578">
        <v>2.2303036310582171E-4</v>
      </c>
      <c r="CW53" s="578">
        <v>4.6812826714519778E-4</v>
      </c>
      <c r="CX53" s="578">
        <v>1.0208306563298639E-3</v>
      </c>
      <c r="CY53" s="578">
        <v>9.1583478340507378E-6</v>
      </c>
      <c r="CZ53" s="578">
        <v>7.6458036984352771E-4</v>
      </c>
      <c r="DA53" s="578">
        <v>2.570088453877621E-4</v>
      </c>
      <c r="DB53" s="578">
        <v>7.5810905940325985E-4</v>
      </c>
      <c r="DC53" s="578">
        <v>0</v>
      </c>
      <c r="DD53" s="578">
        <v>0</v>
      </c>
      <c r="DE53" s="578">
        <v>7.5235793337815977E-3</v>
      </c>
      <c r="DF53" s="578">
        <v>2.0169342599249142E-3</v>
      </c>
      <c r="DG53" s="578">
        <v>6.7580719592503569E-4</v>
      </c>
      <c r="DH53" s="578">
        <v>1.1100916391975624E-3</v>
      </c>
      <c r="DI53" s="578">
        <v>1.8545502715591469E-3</v>
      </c>
      <c r="DJ53" s="578">
        <v>1.1181652151225633E-4</v>
      </c>
      <c r="DK53" s="578">
        <v>2.1414921348966096E-2</v>
      </c>
      <c r="DL53" s="578">
        <v>1.1186586197318249E-3</v>
      </c>
      <c r="DM53" s="578">
        <v>1.5835312747426761E-3</v>
      </c>
      <c r="DN53" s="578">
        <v>2.2365271931996367E-3</v>
      </c>
      <c r="DO53" s="578">
        <v>0</v>
      </c>
      <c r="DP53" s="578">
        <v>0</v>
      </c>
      <c r="DQ53" s="578">
        <v>0</v>
      </c>
      <c r="DR53" s="578">
        <v>8.3364178079222643E-5</v>
      </c>
      <c r="DS53" s="578">
        <v>9.5824733677746872E-4</v>
      </c>
      <c r="DT53" s="578">
        <v>1.064225265874086E-3</v>
      </c>
      <c r="DU53" s="578">
        <v>4.2202828385781629E-4</v>
      </c>
      <c r="DV53" s="578">
        <v>1.3936575909995059E-4</v>
      </c>
      <c r="DW53" s="578">
        <v>5.0911175171530201E-3</v>
      </c>
      <c r="DX53" s="578">
        <v>3.0277585393210221E-3</v>
      </c>
      <c r="DY53" s="578">
        <v>4.1106069469257401E-4</v>
      </c>
      <c r="DZ53" s="578">
        <v>1.4314993861393809E-4</v>
      </c>
      <c r="EA53" s="578">
        <v>2.003325520363804E-4</v>
      </c>
      <c r="EB53" s="578">
        <v>3.3319545935015394E-4</v>
      </c>
      <c r="EC53" s="578">
        <v>6.1776156238627219E-4</v>
      </c>
      <c r="ED53" s="578">
        <v>8.1410389774855046E-4</v>
      </c>
      <c r="EE53" s="578">
        <v>5.1308429076999846E-6</v>
      </c>
      <c r="EF53" s="578">
        <v>1.2828324941470768E-5</v>
      </c>
      <c r="EG53" s="578">
        <v>0</v>
      </c>
      <c r="EH53" s="578">
        <v>4.2651757188498403E-3</v>
      </c>
      <c r="EI53" s="578">
        <v>5.3108983005125442E-3</v>
      </c>
      <c r="EJ53" s="578">
        <v>0</v>
      </c>
      <c r="EK53" s="578">
        <v>0</v>
      </c>
      <c r="EL53" s="578">
        <v>0</v>
      </c>
      <c r="EM53" s="578">
        <v>0</v>
      </c>
      <c r="EN53" s="578">
        <v>0</v>
      </c>
      <c r="EO53" s="578">
        <v>0</v>
      </c>
      <c r="EP53" s="578">
        <v>0</v>
      </c>
      <c r="EQ53" s="578">
        <v>0</v>
      </c>
      <c r="ER53" s="578">
        <v>0</v>
      </c>
      <c r="ES53" s="578">
        <v>0</v>
      </c>
      <c r="ET53" s="578">
        <v>5.6976961431897296E-5</v>
      </c>
      <c r="EU53" s="578">
        <v>0</v>
      </c>
      <c r="EV53" s="578">
        <v>0</v>
      </c>
      <c r="EW53" s="578">
        <v>0</v>
      </c>
      <c r="EX53" s="578">
        <v>0</v>
      </c>
      <c r="EY53" s="578">
        <v>0</v>
      </c>
      <c r="EZ53" s="578">
        <v>6.3442953486755199E-4</v>
      </c>
      <c r="FA53" s="578">
        <v>2.1621385515855681E-3</v>
      </c>
      <c r="FB53" s="578">
        <v>3.7102372190760157E-5</v>
      </c>
      <c r="FC53" s="578">
        <v>0</v>
      </c>
      <c r="FD53" s="578">
        <v>0</v>
      </c>
      <c r="FE53" s="578">
        <v>0</v>
      </c>
      <c r="FF53" s="578">
        <v>0</v>
      </c>
      <c r="FG53" s="578">
        <v>0</v>
      </c>
      <c r="FH53" s="578">
        <v>2.4386278653877418E-4</v>
      </c>
      <c r="FI53" s="578">
        <v>7.3403761795984518E-5</v>
      </c>
      <c r="FJ53" s="578">
        <v>1.7655065580025856E-4</v>
      </c>
      <c r="FK53" s="578">
        <v>1.7286313205624763E-5</v>
      </c>
      <c r="FL53" s="578">
        <v>0</v>
      </c>
      <c r="FM53" s="578">
        <v>0</v>
      </c>
      <c r="FN53" s="578">
        <v>6.9382838253009239E-3</v>
      </c>
      <c r="FO53" s="578">
        <v>3.1639098399576562E-4</v>
      </c>
      <c r="FP53" s="578">
        <v>1.0115652475341127E-2</v>
      </c>
      <c r="FQ53" s="578">
        <v>3.3116821675655521E-4</v>
      </c>
      <c r="FR53" s="578">
        <v>2.9415815903684217E-4</v>
      </c>
      <c r="FS53" s="578">
        <v>0</v>
      </c>
      <c r="FT53" s="578">
        <v>0</v>
      </c>
      <c r="FU53" s="578">
        <v>0</v>
      </c>
      <c r="FV53" s="578">
        <v>2.7229692932847387E-4</v>
      </c>
      <c r="FW53" s="578">
        <v>4.2841091882017251E-4</v>
      </c>
      <c r="FX53" s="578">
        <v>3.3915217561916294E-4</v>
      </c>
      <c r="FY53" s="578">
        <v>0</v>
      </c>
      <c r="FZ53" s="578">
        <v>7.7961564948480393E-5</v>
      </c>
      <c r="GA53" s="578">
        <v>3.152940484572646E-4</v>
      </c>
      <c r="GB53" s="578">
        <v>0</v>
      </c>
      <c r="GC53" s="578">
        <v>9.9154214549889441E-6</v>
      </c>
      <c r="GD53" s="578">
        <v>4.0303485243886464E-5</v>
      </c>
      <c r="GE53" s="578">
        <v>0</v>
      </c>
      <c r="GF53" s="578">
        <v>7.2706044685028927E-4</v>
      </c>
      <c r="GG53" s="579">
        <v>2.6312052710761574E-3</v>
      </c>
      <c r="GH53" s="572"/>
    </row>
    <row r="54" spans="1:190">
      <c r="A54" s="572" t="s">
        <v>9285</v>
      </c>
      <c r="B54" s="577" t="s">
        <v>250</v>
      </c>
      <c r="C54" s="573" t="s">
        <v>9066</v>
      </c>
      <c r="D54" s="578">
        <v>0</v>
      </c>
      <c r="E54" s="578">
        <v>0</v>
      </c>
      <c r="F54" s="578">
        <v>0</v>
      </c>
      <c r="G54" s="578">
        <v>0</v>
      </c>
      <c r="H54" s="578">
        <v>0</v>
      </c>
      <c r="I54" s="578">
        <v>0</v>
      </c>
      <c r="J54" s="578">
        <v>0</v>
      </c>
      <c r="K54" s="578">
        <v>0</v>
      </c>
      <c r="L54" s="578">
        <v>0</v>
      </c>
      <c r="M54" s="578">
        <v>0</v>
      </c>
      <c r="N54" s="578">
        <v>0</v>
      </c>
      <c r="O54" s="578">
        <v>0</v>
      </c>
      <c r="P54" s="578">
        <v>0</v>
      </c>
      <c r="Q54" s="578">
        <v>0</v>
      </c>
      <c r="R54" s="578">
        <v>0</v>
      </c>
      <c r="S54" s="578">
        <v>0</v>
      </c>
      <c r="T54" s="578">
        <v>0</v>
      </c>
      <c r="U54" s="578">
        <v>0</v>
      </c>
      <c r="V54" s="578">
        <v>0</v>
      </c>
      <c r="W54" s="578">
        <v>0</v>
      </c>
      <c r="X54" s="578">
        <v>0</v>
      </c>
      <c r="Y54" s="578">
        <v>0</v>
      </c>
      <c r="Z54" s="578">
        <v>0</v>
      </c>
      <c r="AA54" s="578">
        <v>0</v>
      </c>
      <c r="AB54" s="578">
        <v>0</v>
      </c>
      <c r="AC54" s="578">
        <v>0</v>
      </c>
      <c r="AD54" s="578">
        <v>0</v>
      </c>
      <c r="AE54" s="578">
        <v>0</v>
      </c>
      <c r="AF54" s="578">
        <v>0</v>
      </c>
      <c r="AG54" s="578">
        <v>0</v>
      </c>
      <c r="AH54" s="578">
        <v>3.8565368299267258E-4</v>
      </c>
      <c r="AI54" s="578">
        <v>0</v>
      </c>
      <c r="AJ54" s="578">
        <v>0</v>
      </c>
      <c r="AK54" s="578">
        <v>0</v>
      </c>
      <c r="AL54" s="578">
        <v>0</v>
      </c>
      <c r="AM54" s="578">
        <v>0</v>
      </c>
      <c r="AN54" s="578">
        <v>0</v>
      </c>
      <c r="AO54" s="578">
        <v>0</v>
      </c>
      <c r="AP54" s="578">
        <v>0</v>
      </c>
      <c r="AQ54" s="578">
        <v>2.0690225937267234E-5</v>
      </c>
      <c r="AR54" s="578">
        <v>2.1133661554445745E-3</v>
      </c>
      <c r="AS54" s="578">
        <v>0</v>
      </c>
      <c r="AT54" s="578">
        <v>0</v>
      </c>
      <c r="AU54" s="578">
        <v>1.6360988858166587E-5</v>
      </c>
      <c r="AV54" s="578">
        <v>1.6416032592415072E-2</v>
      </c>
      <c r="AW54" s="578">
        <v>0</v>
      </c>
      <c r="AX54" s="578">
        <v>4.4327894754166717E-3</v>
      </c>
      <c r="AY54" s="578">
        <v>0.35521725340945132</v>
      </c>
      <c r="AZ54" s="578">
        <v>0.25761240590455953</v>
      </c>
      <c r="BA54" s="578">
        <v>0.20588643620713593</v>
      </c>
      <c r="BB54" s="578">
        <v>9.21840138824946E-2</v>
      </c>
      <c r="BC54" s="578">
        <v>0.21327028769688969</v>
      </c>
      <c r="BD54" s="578">
        <v>1.8629143431984998E-3</v>
      </c>
      <c r="BE54" s="578">
        <v>4.0367590791977028E-4</v>
      </c>
      <c r="BF54" s="578">
        <v>1.656962338949455E-3</v>
      </c>
      <c r="BG54" s="578">
        <v>0</v>
      </c>
      <c r="BH54" s="578">
        <v>8.4434947507283017E-2</v>
      </c>
      <c r="BI54" s="578">
        <v>1.3553808620222283E-3</v>
      </c>
      <c r="BJ54" s="578">
        <v>1.3995818573944024E-2</v>
      </c>
      <c r="BK54" s="578">
        <v>1.3780178591114541E-4</v>
      </c>
      <c r="BL54" s="578">
        <v>0</v>
      </c>
      <c r="BM54" s="578">
        <v>1.83201771561131E-5</v>
      </c>
      <c r="BN54" s="578">
        <v>4.9382716049382713E-5</v>
      </c>
      <c r="BO54" s="578">
        <v>4.8290049352430441E-4</v>
      </c>
      <c r="BP54" s="578">
        <v>0</v>
      </c>
      <c r="BQ54" s="578">
        <v>0</v>
      </c>
      <c r="BR54" s="578">
        <v>8.0014509297685976E-4</v>
      </c>
      <c r="BS54" s="578">
        <v>0</v>
      </c>
      <c r="BT54" s="578">
        <v>0</v>
      </c>
      <c r="BU54" s="578">
        <v>0</v>
      </c>
      <c r="BV54" s="578">
        <v>4.7163455059964966E-4</v>
      </c>
      <c r="BW54" s="578">
        <v>0</v>
      </c>
      <c r="BX54" s="578">
        <v>0</v>
      </c>
      <c r="BY54" s="578">
        <v>0</v>
      </c>
      <c r="BZ54" s="578">
        <v>0</v>
      </c>
      <c r="CA54" s="578">
        <v>0</v>
      </c>
      <c r="CB54" s="578">
        <v>4.3435095557210223E-5</v>
      </c>
      <c r="CC54" s="578">
        <v>0</v>
      </c>
      <c r="CD54" s="578">
        <v>0</v>
      </c>
      <c r="CE54" s="578">
        <v>0</v>
      </c>
      <c r="CF54" s="578">
        <v>0</v>
      </c>
      <c r="CG54" s="578">
        <v>0</v>
      </c>
      <c r="CH54" s="578">
        <v>0</v>
      </c>
      <c r="CI54" s="578">
        <v>0</v>
      </c>
      <c r="CJ54" s="578">
        <v>0</v>
      </c>
      <c r="CK54" s="578">
        <v>0</v>
      </c>
      <c r="CL54" s="578">
        <v>0</v>
      </c>
      <c r="CM54" s="578">
        <v>0</v>
      </c>
      <c r="CN54" s="578">
        <v>0</v>
      </c>
      <c r="CO54" s="578">
        <v>0</v>
      </c>
      <c r="CP54" s="578">
        <v>8.0474261648649377E-5</v>
      </c>
      <c r="CQ54" s="578">
        <v>0</v>
      </c>
      <c r="CR54" s="578">
        <v>0</v>
      </c>
      <c r="CS54" s="578">
        <v>0</v>
      </c>
      <c r="CT54" s="578">
        <v>2.9162170831996735E-5</v>
      </c>
      <c r="CU54" s="578">
        <v>0</v>
      </c>
      <c r="CV54" s="578">
        <v>0</v>
      </c>
      <c r="CW54" s="578">
        <v>0</v>
      </c>
      <c r="CX54" s="578">
        <v>0</v>
      </c>
      <c r="CY54" s="578">
        <v>0</v>
      </c>
      <c r="CZ54" s="578">
        <v>0</v>
      </c>
      <c r="DA54" s="578">
        <v>0</v>
      </c>
      <c r="DB54" s="578">
        <v>0</v>
      </c>
      <c r="DC54" s="578">
        <v>0</v>
      </c>
      <c r="DD54" s="578">
        <v>0</v>
      </c>
      <c r="DE54" s="578">
        <v>4.5432242353753609E-6</v>
      </c>
      <c r="DF54" s="578">
        <v>1.4977234603402828E-4</v>
      </c>
      <c r="DG54" s="578">
        <v>0</v>
      </c>
      <c r="DH54" s="578">
        <v>0</v>
      </c>
      <c r="DI54" s="578">
        <v>0</v>
      </c>
      <c r="DJ54" s="578">
        <v>0</v>
      </c>
      <c r="DK54" s="578">
        <v>0</v>
      </c>
      <c r="DL54" s="578">
        <v>0</v>
      </c>
      <c r="DM54" s="578">
        <v>0</v>
      </c>
      <c r="DN54" s="578">
        <v>0</v>
      </c>
      <c r="DO54" s="578">
        <v>0</v>
      </c>
      <c r="DP54" s="578">
        <v>0</v>
      </c>
      <c r="DQ54" s="578">
        <v>0</v>
      </c>
      <c r="DR54" s="578">
        <v>0</v>
      </c>
      <c r="DS54" s="578">
        <v>3.2048405912289922E-6</v>
      </c>
      <c r="DT54" s="578">
        <v>0</v>
      </c>
      <c r="DU54" s="578">
        <v>0</v>
      </c>
      <c r="DV54" s="578">
        <v>0</v>
      </c>
      <c r="DW54" s="578">
        <v>1.6858005023685496E-3</v>
      </c>
      <c r="DX54" s="578">
        <v>1.0419411977420521E-4</v>
      </c>
      <c r="DY54" s="578">
        <v>0</v>
      </c>
      <c r="DZ54" s="578">
        <v>0</v>
      </c>
      <c r="EA54" s="578">
        <v>0</v>
      </c>
      <c r="EB54" s="578">
        <v>0</v>
      </c>
      <c r="EC54" s="578">
        <v>0</v>
      </c>
      <c r="ED54" s="578">
        <v>0</v>
      </c>
      <c r="EE54" s="578">
        <v>0</v>
      </c>
      <c r="EF54" s="578">
        <v>2.5656649882941534E-4</v>
      </c>
      <c r="EG54" s="578">
        <v>0</v>
      </c>
      <c r="EH54" s="578">
        <v>0</v>
      </c>
      <c r="EI54" s="578">
        <v>0</v>
      </c>
      <c r="EJ54" s="578">
        <v>0</v>
      </c>
      <c r="EK54" s="578">
        <v>0</v>
      </c>
      <c r="EL54" s="578">
        <v>0</v>
      </c>
      <c r="EM54" s="578">
        <v>0</v>
      </c>
      <c r="EN54" s="578">
        <v>0</v>
      </c>
      <c r="EO54" s="578">
        <v>0</v>
      </c>
      <c r="EP54" s="578">
        <v>0</v>
      </c>
      <c r="EQ54" s="578">
        <v>0</v>
      </c>
      <c r="ER54" s="578">
        <v>0</v>
      </c>
      <c r="ES54" s="578">
        <v>0</v>
      </c>
      <c r="ET54" s="578">
        <v>0</v>
      </c>
      <c r="EU54" s="578">
        <v>0</v>
      </c>
      <c r="EV54" s="578">
        <v>0</v>
      </c>
      <c r="EW54" s="578">
        <v>0</v>
      </c>
      <c r="EX54" s="578">
        <v>0</v>
      </c>
      <c r="EY54" s="578">
        <v>0</v>
      </c>
      <c r="EZ54" s="578">
        <v>0</v>
      </c>
      <c r="FA54" s="578">
        <v>0</v>
      </c>
      <c r="FB54" s="578">
        <v>0</v>
      </c>
      <c r="FC54" s="578">
        <v>0</v>
      </c>
      <c r="FD54" s="578">
        <v>0</v>
      </c>
      <c r="FE54" s="578">
        <v>0</v>
      </c>
      <c r="FF54" s="578">
        <v>0</v>
      </c>
      <c r="FG54" s="578">
        <v>0</v>
      </c>
      <c r="FH54" s="578">
        <v>1.6257519102584946E-5</v>
      </c>
      <c r="FI54" s="578">
        <v>0</v>
      </c>
      <c r="FJ54" s="578">
        <v>0</v>
      </c>
      <c r="FK54" s="578">
        <v>0</v>
      </c>
      <c r="FL54" s="578">
        <v>0</v>
      </c>
      <c r="FM54" s="578">
        <v>0</v>
      </c>
      <c r="FN54" s="578">
        <v>1.8153464005901743E-3</v>
      </c>
      <c r="FO54" s="578">
        <v>6.6843165632908224E-5</v>
      </c>
      <c r="FP54" s="578">
        <v>6.3025872120505466E-5</v>
      </c>
      <c r="FQ54" s="578">
        <v>0</v>
      </c>
      <c r="FR54" s="578">
        <v>0</v>
      </c>
      <c r="FS54" s="578">
        <v>0</v>
      </c>
      <c r="FT54" s="578">
        <v>0</v>
      </c>
      <c r="FU54" s="578">
        <v>0</v>
      </c>
      <c r="FV54" s="578">
        <v>0</v>
      </c>
      <c r="FW54" s="578">
        <v>0</v>
      </c>
      <c r="FX54" s="578">
        <v>0</v>
      </c>
      <c r="FY54" s="578">
        <v>0</v>
      </c>
      <c r="FZ54" s="578">
        <v>0</v>
      </c>
      <c r="GA54" s="578">
        <v>0</v>
      </c>
      <c r="GB54" s="578">
        <v>0</v>
      </c>
      <c r="GC54" s="578">
        <v>0</v>
      </c>
      <c r="GD54" s="578">
        <v>0</v>
      </c>
      <c r="GE54" s="578">
        <v>0</v>
      </c>
      <c r="GF54" s="578">
        <v>0</v>
      </c>
      <c r="GG54" s="579">
        <v>2.4741923292260302E-3</v>
      </c>
      <c r="GH54" s="572"/>
    </row>
    <row r="55" spans="1:190">
      <c r="A55" s="572" t="s">
        <v>9286</v>
      </c>
      <c r="B55" s="577" t="s">
        <v>262</v>
      </c>
      <c r="C55" s="573" t="s">
        <v>9517</v>
      </c>
      <c r="D55" s="578">
        <v>0</v>
      </c>
      <c r="E55" s="578">
        <v>0</v>
      </c>
      <c r="F55" s="578">
        <v>0</v>
      </c>
      <c r="G55" s="578">
        <v>0</v>
      </c>
      <c r="H55" s="578">
        <v>0</v>
      </c>
      <c r="I55" s="578">
        <v>0</v>
      </c>
      <c r="J55" s="578">
        <v>0</v>
      </c>
      <c r="K55" s="578">
        <v>0</v>
      </c>
      <c r="L55" s="578">
        <v>0</v>
      </c>
      <c r="M55" s="578">
        <v>0</v>
      </c>
      <c r="N55" s="578">
        <v>0</v>
      </c>
      <c r="O55" s="578">
        <v>0</v>
      </c>
      <c r="P55" s="578">
        <v>0</v>
      </c>
      <c r="Q55" s="578">
        <v>0</v>
      </c>
      <c r="R55" s="578">
        <v>0</v>
      </c>
      <c r="S55" s="578">
        <v>0</v>
      </c>
      <c r="T55" s="578">
        <v>2.033833809534744E-4</v>
      </c>
      <c r="U55" s="578">
        <v>2.773421062698443E-4</v>
      </c>
      <c r="V55" s="578">
        <v>0</v>
      </c>
      <c r="W55" s="578">
        <v>0</v>
      </c>
      <c r="X55" s="578">
        <v>1.0492373835602417E-3</v>
      </c>
      <c r="Y55" s="578">
        <v>3.3720040312497634E-4</v>
      </c>
      <c r="Z55" s="578">
        <v>1.8789071202527397E-5</v>
      </c>
      <c r="AA55" s="578">
        <v>7.1406129502156463E-5</v>
      </c>
      <c r="AB55" s="578">
        <v>2.72542574453676E-4</v>
      </c>
      <c r="AC55" s="578">
        <v>3.4551265440096744E-5</v>
      </c>
      <c r="AD55" s="578">
        <v>0</v>
      </c>
      <c r="AE55" s="578">
        <v>9.0130689499774675E-4</v>
      </c>
      <c r="AF55" s="578">
        <v>1.517105362967458E-4</v>
      </c>
      <c r="AG55" s="578">
        <v>0</v>
      </c>
      <c r="AH55" s="578">
        <v>6.5561126108754336E-2</v>
      </c>
      <c r="AI55" s="578">
        <v>1.2028065486134314E-3</v>
      </c>
      <c r="AJ55" s="578">
        <v>5.7786766830395839E-5</v>
      </c>
      <c r="AK55" s="578">
        <v>1.2471938139186831E-4</v>
      </c>
      <c r="AL55" s="578">
        <v>1.783166904422254E-4</v>
      </c>
      <c r="AM55" s="578">
        <v>0</v>
      </c>
      <c r="AN55" s="578">
        <v>6.4699792960662525E-4</v>
      </c>
      <c r="AO55" s="578">
        <v>1.6517148686724748E-3</v>
      </c>
      <c r="AP55" s="578">
        <v>1.1118170266836086E-3</v>
      </c>
      <c r="AQ55" s="578">
        <v>9.3106016717702553E-4</v>
      </c>
      <c r="AR55" s="578">
        <v>8.311786443759666E-3</v>
      </c>
      <c r="AS55" s="578">
        <v>0</v>
      </c>
      <c r="AT55" s="578">
        <v>4.0410320174075224E-3</v>
      </c>
      <c r="AU55" s="578">
        <v>4.9901016017408096E-4</v>
      </c>
      <c r="AV55" s="578">
        <v>5.9912527709544064E-5</v>
      </c>
      <c r="AW55" s="578">
        <v>5.3639435713136299E-5</v>
      </c>
      <c r="AX55" s="578">
        <v>1.3166701412128726E-3</v>
      </c>
      <c r="AY55" s="578">
        <v>2.2201078338090706E-3</v>
      </c>
      <c r="AZ55" s="578">
        <v>0.33701426407758212</v>
      </c>
      <c r="BA55" s="578">
        <v>0.10342912675274191</v>
      </c>
      <c r="BB55" s="578">
        <v>0.10616094722054988</v>
      </c>
      <c r="BC55" s="578">
        <v>0.35883815898553839</v>
      </c>
      <c r="BD55" s="578">
        <v>0.26308076354649212</v>
      </c>
      <c r="BE55" s="578">
        <v>3.3656040044650067E-2</v>
      </c>
      <c r="BF55" s="578">
        <v>0.12467480178394449</v>
      </c>
      <c r="BG55" s="578">
        <v>2.6886827458256029E-2</v>
      </c>
      <c r="BH55" s="578">
        <v>0.13097757379211786</v>
      </c>
      <c r="BI55" s="578">
        <v>6.4136622390891837E-2</v>
      </c>
      <c r="BJ55" s="578">
        <v>0.13126131438633243</v>
      </c>
      <c r="BK55" s="578">
        <v>2.2048285745783266E-4</v>
      </c>
      <c r="BL55" s="578">
        <v>2.5371695336682396E-5</v>
      </c>
      <c r="BM55" s="578">
        <v>1.899573368874477E-2</v>
      </c>
      <c r="BN55" s="578">
        <v>4.9382716049382717E-4</v>
      </c>
      <c r="BO55" s="578">
        <v>7.0503472054548439E-4</v>
      </c>
      <c r="BP55" s="578">
        <v>0</v>
      </c>
      <c r="BQ55" s="578">
        <v>2.1421020419518165E-3</v>
      </c>
      <c r="BR55" s="578">
        <v>6.7212187810056223E-4</v>
      </c>
      <c r="BS55" s="578">
        <v>2.0231243108732814E-5</v>
      </c>
      <c r="BT55" s="578">
        <v>5.4634857038790747E-4</v>
      </c>
      <c r="BU55" s="578">
        <v>5.8011370228564796E-5</v>
      </c>
      <c r="BV55" s="578">
        <v>7.7482819027085298E-4</v>
      </c>
      <c r="BW55" s="578">
        <v>0</v>
      </c>
      <c r="BX55" s="578">
        <v>0</v>
      </c>
      <c r="BY55" s="578">
        <v>0</v>
      </c>
      <c r="BZ55" s="578">
        <v>0</v>
      </c>
      <c r="CA55" s="578">
        <v>0</v>
      </c>
      <c r="CB55" s="578">
        <v>1.2410027302060064E-5</v>
      </c>
      <c r="CC55" s="578">
        <v>0</v>
      </c>
      <c r="CD55" s="578">
        <v>0</v>
      </c>
      <c r="CE55" s="578">
        <v>0</v>
      </c>
      <c r="CF55" s="578">
        <v>0</v>
      </c>
      <c r="CG55" s="578">
        <v>0</v>
      </c>
      <c r="CH55" s="578">
        <v>0</v>
      </c>
      <c r="CI55" s="578">
        <v>0</v>
      </c>
      <c r="CJ55" s="578">
        <v>8.6786721631590359E-6</v>
      </c>
      <c r="CK55" s="578">
        <v>1.0590335562346818E-4</v>
      </c>
      <c r="CL55" s="578">
        <v>0</v>
      </c>
      <c r="CM55" s="578">
        <v>0</v>
      </c>
      <c r="CN55" s="578">
        <v>0</v>
      </c>
      <c r="CO55" s="578">
        <v>0</v>
      </c>
      <c r="CP55" s="578">
        <v>2.6824753882883125E-5</v>
      </c>
      <c r="CQ55" s="578">
        <v>0</v>
      </c>
      <c r="CR55" s="578">
        <v>0</v>
      </c>
      <c r="CS55" s="578">
        <v>0</v>
      </c>
      <c r="CT55" s="578">
        <v>0</v>
      </c>
      <c r="CU55" s="578">
        <v>0</v>
      </c>
      <c r="CV55" s="578">
        <v>0</v>
      </c>
      <c r="CW55" s="578">
        <v>0</v>
      </c>
      <c r="CX55" s="578">
        <v>0</v>
      </c>
      <c r="CY55" s="578">
        <v>0</v>
      </c>
      <c r="CZ55" s="578">
        <v>0</v>
      </c>
      <c r="DA55" s="578">
        <v>0</v>
      </c>
      <c r="DB55" s="578">
        <v>2.166025884009314E-4</v>
      </c>
      <c r="DC55" s="578">
        <v>0</v>
      </c>
      <c r="DD55" s="578">
        <v>0</v>
      </c>
      <c r="DE55" s="578">
        <v>2.3624766023951879E-4</v>
      </c>
      <c r="DF55" s="578">
        <v>3.3948398434379741E-4</v>
      </c>
      <c r="DG55" s="578">
        <v>5.3036648871139535E-4</v>
      </c>
      <c r="DH55" s="578">
        <v>1.6991198559146363E-4</v>
      </c>
      <c r="DI55" s="578">
        <v>0</v>
      </c>
      <c r="DJ55" s="578">
        <v>1.5405831852799761E-3</v>
      </c>
      <c r="DK55" s="578">
        <v>2.6937767716716152E-3</v>
      </c>
      <c r="DL55" s="578">
        <v>2.0201510062877201E-5</v>
      </c>
      <c r="DM55" s="578">
        <v>2.8277344191833503E-5</v>
      </c>
      <c r="DN55" s="578">
        <v>0</v>
      </c>
      <c r="DO55" s="578">
        <v>0</v>
      </c>
      <c r="DP55" s="578">
        <v>0</v>
      </c>
      <c r="DQ55" s="578">
        <v>0</v>
      </c>
      <c r="DR55" s="578">
        <v>0</v>
      </c>
      <c r="DS55" s="578">
        <v>3.2048405912289921E-5</v>
      </c>
      <c r="DT55" s="578">
        <v>0</v>
      </c>
      <c r="DU55" s="578">
        <v>0</v>
      </c>
      <c r="DV55" s="578">
        <v>0</v>
      </c>
      <c r="DW55" s="578">
        <v>4.3830813061582295E-4</v>
      </c>
      <c r="DX55" s="578">
        <v>2.9419516171540298E-4</v>
      </c>
      <c r="DY55" s="578">
        <v>0</v>
      </c>
      <c r="DZ55" s="578">
        <v>1.6841169248698599E-6</v>
      </c>
      <c r="EA55" s="578">
        <v>0</v>
      </c>
      <c r="EB55" s="578">
        <v>7.6596657321874479E-6</v>
      </c>
      <c r="EC55" s="578">
        <v>0</v>
      </c>
      <c r="ED55" s="578">
        <v>0</v>
      </c>
      <c r="EE55" s="578">
        <v>0</v>
      </c>
      <c r="EF55" s="578">
        <v>0</v>
      </c>
      <c r="EG55" s="578">
        <v>0</v>
      </c>
      <c r="EH55" s="578">
        <v>0</v>
      </c>
      <c r="EI55" s="578">
        <v>0</v>
      </c>
      <c r="EJ55" s="578">
        <v>0</v>
      </c>
      <c r="EK55" s="578">
        <v>0</v>
      </c>
      <c r="EL55" s="578">
        <v>0</v>
      </c>
      <c r="EM55" s="578">
        <v>0</v>
      </c>
      <c r="EN55" s="578">
        <v>0</v>
      </c>
      <c r="EO55" s="578">
        <v>0</v>
      </c>
      <c r="EP55" s="578">
        <v>0</v>
      </c>
      <c r="EQ55" s="578">
        <v>0</v>
      </c>
      <c r="ER55" s="578">
        <v>0</v>
      </c>
      <c r="ES55" s="578">
        <v>0</v>
      </c>
      <c r="ET55" s="578">
        <v>0</v>
      </c>
      <c r="EU55" s="578">
        <v>0</v>
      </c>
      <c r="EV55" s="578">
        <v>0</v>
      </c>
      <c r="EW55" s="578">
        <v>0</v>
      </c>
      <c r="EX55" s="578">
        <v>0</v>
      </c>
      <c r="EY55" s="578">
        <v>0</v>
      </c>
      <c r="EZ55" s="578">
        <v>8.6908155461308481E-6</v>
      </c>
      <c r="FA55" s="578">
        <v>1.0919891674674588E-4</v>
      </c>
      <c r="FB55" s="578">
        <v>0</v>
      </c>
      <c r="FC55" s="578">
        <v>0</v>
      </c>
      <c r="FD55" s="578">
        <v>0</v>
      </c>
      <c r="FE55" s="578">
        <v>0</v>
      </c>
      <c r="FF55" s="578">
        <v>0</v>
      </c>
      <c r="FG55" s="578">
        <v>0</v>
      </c>
      <c r="FH55" s="578">
        <v>1.4631767192326451E-4</v>
      </c>
      <c r="FI55" s="578">
        <v>0</v>
      </c>
      <c r="FJ55" s="578">
        <v>0</v>
      </c>
      <c r="FK55" s="578">
        <v>0</v>
      </c>
      <c r="FL55" s="578">
        <v>0</v>
      </c>
      <c r="FM55" s="578">
        <v>0</v>
      </c>
      <c r="FN55" s="578">
        <v>4.558910045103514E-3</v>
      </c>
      <c r="FO55" s="578">
        <v>2.2281055210969408E-5</v>
      </c>
      <c r="FP55" s="578">
        <v>7.8782340150631829E-5</v>
      </c>
      <c r="FQ55" s="578">
        <v>0</v>
      </c>
      <c r="FR55" s="578">
        <v>2.3345885637844615E-6</v>
      </c>
      <c r="FS55" s="578">
        <v>0</v>
      </c>
      <c r="FT55" s="578">
        <v>0</v>
      </c>
      <c r="FU55" s="578">
        <v>0</v>
      </c>
      <c r="FV55" s="578">
        <v>0</v>
      </c>
      <c r="FW55" s="578">
        <v>0</v>
      </c>
      <c r="FX55" s="578">
        <v>0</v>
      </c>
      <c r="FY55" s="578">
        <v>0</v>
      </c>
      <c r="FZ55" s="578">
        <v>0</v>
      </c>
      <c r="GA55" s="578">
        <v>0</v>
      </c>
      <c r="GB55" s="578">
        <v>5.8485324428471039E-4</v>
      </c>
      <c r="GC55" s="578">
        <v>0</v>
      </c>
      <c r="GD55" s="578">
        <v>6.0455227865829697E-5</v>
      </c>
      <c r="GE55" s="578">
        <v>0</v>
      </c>
      <c r="GF55" s="578">
        <v>3.1842063365706099E-5</v>
      </c>
      <c r="GG55" s="579">
        <v>5.4888818820155935E-3</v>
      </c>
      <c r="GH55" s="572"/>
    </row>
    <row r="56" spans="1:190">
      <c r="A56" s="572" t="s">
        <v>9287</v>
      </c>
      <c r="B56" s="577" t="s">
        <v>9413</v>
      </c>
      <c r="C56" s="573" t="s">
        <v>280</v>
      </c>
      <c r="D56" s="578">
        <v>0</v>
      </c>
      <c r="E56" s="578">
        <v>0</v>
      </c>
      <c r="F56" s="578">
        <v>0</v>
      </c>
      <c r="G56" s="578">
        <v>0</v>
      </c>
      <c r="H56" s="578">
        <v>0</v>
      </c>
      <c r="I56" s="578">
        <v>0</v>
      </c>
      <c r="J56" s="578">
        <v>0</v>
      </c>
      <c r="K56" s="578">
        <v>0</v>
      </c>
      <c r="L56" s="578">
        <v>0</v>
      </c>
      <c r="M56" s="578">
        <v>0</v>
      </c>
      <c r="N56" s="578">
        <v>0</v>
      </c>
      <c r="O56" s="578">
        <v>0</v>
      </c>
      <c r="P56" s="578">
        <v>0</v>
      </c>
      <c r="Q56" s="578">
        <v>0</v>
      </c>
      <c r="R56" s="578">
        <v>0</v>
      </c>
      <c r="S56" s="578">
        <v>0</v>
      </c>
      <c r="T56" s="578">
        <v>0</v>
      </c>
      <c r="U56" s="578">
        <v>0</v>
      </c>
      <c r="V56" s="578">
        <v>0</v>
      </c>
      <c r="W56" s="578">
        <v>4.9021410100861551E-5</v>
      </c>
      <c r="X56" s="578">
        <v>0</v>
      </c>
      <c r="Y56" s="578">
        <v>0</v>
      </c>
      <c r="Z56" s="578">
        <v>0</v>
      </c>
      <c r="AA56" s="578">
        <v>0</v>
      </c>
      <c r="AB56" s="578">
        <v>0</v>
      </c>
      <c r="AC56" s="578">
        <v>0</v>
      </c>
      <c r="AD56" s="578">
        <v>0</v>
      </c>
      <c r="AE56" s="578">
        <v>0</v>
      </c>
      <c r="AF56" s="578">
        <v>7.5855268148372902E-5</v>
      </c>
      <c r="AG56" s="578">
        <v>0</v>
      </c>
      <c r="AH56" s="578">
        <v>0</v>
      </c>
      <c r="AI56" s="578">
        <v>2.071500167056465E-3</v>
      </c>
      <c r="AJ56" s="578">
        <v>0</v>
      </c>
      <c r="AK56" s="578">
        <v>2.4943876278373661E-4</v>
      </c>
      <c r="AL56" s="578">
        <v>2.5855920114122681E-3</v>
      </c>
      <c r="AM56" s="578">
        <v>0</v>
      </c>
      <c r="AN56" s="578">
        <v>0</v>
      </c>
      <c r="AO56" s="578">
        <v>1.2954626420960585E-4</v>
      </c>
      <c r="AP56" s="578">
        <v>0</v>
      </c>
      <c r="AQ56" s="578">
        <v>4.3035669949515847E-3</v>
      </c>
      <c r="AR56" s="578">
        <v>0</v>
      </c>
      <c r="AS56" s="578">
        <v>0</v>
      </c>
      <c r="AT56" s="578">
        <v>8.2892964459641482E-5</v>
      </c>
      <c r="AU56" s="578">
        <v>0</v>
      </c>
      <c r="AV56" s="578">
        <v>0</v>
      </c>
      <c r="AW56" s="578">
        <v>0</v>
      </c>
      <c r="AX56" s="578">
        <v>0</v>
      </c>
      <c r="AY56" s="578">
        <v>0</v>
      </c>
      <c r="AZ56" s="578">
        <v>0</v>
      </c>
      <c r="BA56" s="578">
        <v>0</v>
      </c>
      <c r="BB56" s="578">
        <v>4.2497432446789675E-3</v>
      </c>
      <c r="BC56" s="578">
        <v>4.7591267769965303E-3</v>
      </c>
      <c r="BD56" s="578">
        <v>0</v>
      </c>
      <c r="BE56" s="578">
        <v>0</v>
      </c>
      <c r="BF56" s="578">
        <v>0</v>
      </c>
      <c r="BG56" s="578">
        <v>0</v>
      </c>
      <c r="BH56" s="578">
        <v>1.1680316605287748E-4</v>
      </c>
      <c r="BI56" s="578">
        <v>0</v>
      </c>
      <c r="BJ56" s="578">
        <v>1.8267965905295236E-3</v>
      </c>
      <c r="BK56" s="578">
        <v>0</v>
      </c>
      <c r="BL56" s="578">
        <v>3.9326127771857714E-4</v>
      </c>
      <c r="BM56" s="578">
        <v>2.0587299079182094E-3</v>
      </c>
      <c r="BN56" s="578">
        <v>0.14335802469135803</v>
      </c>
      <c r="BO56" s="578">
        <v>6.023700756222173E-2</v>
      </c>
      <c r="BP56" s="578">
        <v>0</v>
      </c>
      <c r="BQ56" s="578">
        <v>0</v>
      </c>
      <c r="BR56" s="578">
        <v>0</v>
      </c>
      <c r="BS56" s="578">
        <v>0</v>
      </c>
      <c r="BT56" s="578">
        <v>0</v>
      </c>
      <c r="BU56" s="578">
        <v>0</v>
      </c>
      <c r="BV56" s="578">
        <v>6.0638727934240663E-4</v>
      </c>
      <c r="BW56" s="578">
        <v>0</v>
      </c>
      <c r="BX56" s="578">
        <v>0</v>
      </c>
      <c r="BY56" s="578">
        <v>0</v>
      </c>
      <c r="BZ56" s="578">
        <v>0</v>
      </c>
      <c r="CA56" s="578">
        <v>0</v>
      </c>
      <c r="CB56" s="578">
        <v>0</v>
      </c>
      <c r="CC56" s="578">
        <v>0</v>
      </c>
      <c r="CD56" s="578">
        <v>0</v>
      </c>
      <c r="CE56" s="578">
        <v>0</v>
      </c>
      <c r="CF56" s="578">
        <v>3.9475761882204327E-3</v>
      </c>
      <c r="CG56" s="578">
        <v>0</v>
      </c>
      <c r="CH56" s="578">
        <v>0</v>
      </c>
      <c r="CI56" s="578">
        <v>0</v>
      </c>
      <c r="CJ56" s="578">
        <v>0</v>
      </c>
      <c r="CK56" s="578">
        <v>0</v>
      </c>
      <c r="CL56" s="578">
        <v>0</v>
      </c>
      <c r="CM56" s="578">
        <v>0</v>
      </c>
      <c r="CN56" s="578">
        <v>0</v>
      </c>
      <c r="CO56" s="578">
        <v>0</v>
      </c>
      <c r="CP56" s="578">
        <v>0</v>
      </c>
      <c r="CQ56" s="578">
        <v>0</v>
      </c>
      <c r="CR56" s="578">
        <v>0</v>
      </c>
      <c r="CS56" s="578">
        <v>0</v>
      </c>
      <c r="CT56" s="578">
        <v>0</v>
      </c>
      <c r="CU56" s="578">
        <v>0</v>
      </c>
      <c r="CV56" s="578">
        <v>0</v>
      </c>
      <c r="CW56" s="578">
        <v>0</v>
      </c>
      <c r="CX56" s="578">
        <v>0</v>
      </c>
      <c r="CY56" s="578">
        <v>0</v>
      </c>
      <c r="CZ56" s="578">
        <v>0</v>
      </c>
      <c r="DA56" s="578">
        <v>0</v>
      </c>
      <c r="DB56" s="578">
        <v>0</v>
      </c>
      <c r="DC56" s="578">
        <v>0</v>
      </c>
      <c r="DD56" s="578">
        <v>0</v>
      </c>
      <c r="DE56" s="578">
        <v>2.3624766023951879E-4</v>
      </c>
      <c r="DF56" s="578">
        <v>0</v>
      </c>
      <c r="DG56" s="578">
        <v>1.3122469823787101E-5</v>
      </c>
      <c r="DH56" s="578">
        <v>0</v>
      </c>
      <c r="DI56" s="578">
        <v>0</v>
      </c>
      <c r="DJ56" s="578">
        <v>0</v>
      </c>
      <c r="DK56" s="578">
        <v>0</v>
      </c>
      <c r="DL56" s="578">
        <v>0</v>
      </c>
      <c r="DM56" s="578">
        <v>0</v>
      </c>
      <c r="DN56" s="578">
        <v>0</v>
      </c>
      <c r="DO56" s="578">
        <v>0</v>
      </c>
      <c r="DP56" s="578">
        <v>0</v>
      </c>
      <c r="DQ56" s="578">
        <v>0</v>
      </c>
      <c r="DR56" s="578">
        <v>0</v>
      </c>
      <c r="DS56" s="578">
        <v>0</v>
      </c>
      <c r="DT56" s="578">
        <v>0</v>
      </c>
      <c r="DU56" s="578">
        <v>0</v>
      </c>
      <c r="DV56" s="578">
        <v>0</v>
      </c>
      <c r="DW56" s="578">
        <v>6.7937760245452552E-3</v>
      </c>
      <c r="DX56" s="578">
        <v>0</v>
      </c>
      <c r="DY56" s="578">
        <v>0</v>
      </c>
      <c r="DZ56" s="578">
        <v>0</v>
      </c>
      <c r="EA56" s="578">
        <v>0</v>
      </c>
      <c r="EB56" s="578">
        <v>0</v>
      </c>
      <c r="EC56" s="578">
        <v>0</v>
      </c>
      <c r="ED56" s="578">
        <v>0</v>
      </c>
      <c r="EE56" s="578">
        <v>0</v>
      </c>
      <c r="EF56" s="578">
        <v>0</v>
      </c>
      <c r="EG56" s="578">
        <v>0</v>
      </c>
      <c r="EH56" s="578">
        <v>0</v>
      </c>
      <c r="EI56" s="578">
        <v>0</v>
      </c>
      <c r="EJ56" s="578">
        <v>0</v>
      </c>
      <c r="EK56" s="578">
        <v>0</v>
      </c>
      <c r="EL56" s="578">
        <v>0</v>
      </c>
      <c r="EM56" s="578">
        <v>0</v>
      </c>
      <c r="EN56" s="578">
        <v>0</v>
      </c>
      <c r="EO56" s="578">
        <v>0</v>
      </c>
      <c r="EP56" s="578">
        <v>0</v>
      </c>
      <c r="EQ56" s="578">
        <v>0</v>
      </c>
      <c r="ER56" s="578">
        <v>0</v>
      </c>
      <c r="ES56" s="578">
        <v>0</v>
      </c>
      <c r="ET56" s="578">
        <v>0</v>
      </c>
      <c r="EU56" s="578">
        <v>0</v>
      </c>
      <c r="EV56" s="578">
        <v>0</v>
      </c>
      <c r="EW56" s="578">
        <v>0</v>
      </c>
      <c r="EX56" s="578">
        <v>0</v>
      </c>
      <c r="EY56" s="578">
        <v>0</v>
      </c>
      <c r="EZ56" s="578">
        <v>0</v>
      </c>
      <c r="FA56" s="578">
        <v>0</v>
      </c>
      <c r="FB56" s="578">
        <v>0</v>
      </c>
      <c r="FC56" s="578">
        <v>0</v>
      </c>
      <c r="FD56" s="578">
        <v>0</v>
      </c>
      <c r="FE56" s="578">
        <v>0</v>
      </c>
      <c r="FF56" s="578">
        <v>0</v>
      </c>
      <c r="FG56" s="578">
        <v>0</v>
      </c>
      <c r="FH56" s="578">
        <v>0</v>
      </c>
      <c r="FI56" s="578">
        <v>0</v>
      </c>
      <c r="FJ56" s="578">
        <v>0</v>
      </c>
      <c r="FK56" s="578">
        <v>0</v>
      </c>
      <c r="FL56" s="578">
        <v>0</v>
      </c>
      <c r="FM56" s="578">
        <v>0</v>
      </c>
      <c r="FN56" s="578">
        <v>6.7608579939675212E-4</v>
      </c>
      <c r="FO56" s="578">
        <v>0</v>
      </c>
      <c r="FP56" s="578">
        <v>0</v>
      </c>
      <c r="FQ56" s="578">
        <v>0</v>
      </c>
      <c r="FR56" s="578">
        <v>0</v>
      </c>
      <c r="FS56" s="578">
        <v>0</v>
      </c>
      <c r="FT56" s="578">
        <v>0</v>
      </c>
      <c r="FU56" s="578">
        <v>0</v>
      </c>
      <c r="FV56" s="578">
        <v>0</v>
      </c>
      <c r="FW56" s="578">
        <v>0</v>
      </c>
      <c r="FX56" s="578">
        <v>0</v>
      </c>
      <c r="FY56" s="578">
        <v>0</v>
      </c>
      <c r="FZ56" s="578">
        <v>0</v>
      </c>
      <c r="GA56" s="578">
        <v>0</v>
      </c>
      <c r="GB56" s="578">
        <v>0</v>
      </c>
      <c r="GC56" s="578">
        <v>0</v>
      </c>
      <c r="GD56" s="578">
        <v>0</v>
      </c>
      <c r="GE56" s="578">
        <v>0</v>
      </c>
      <c r="GF56" s="578">
        <v>3.7149073926657113E-5</v>
      </c>
      <c r="GG56" s="579">
        <v>3.2298411759034697E-4</v>
      </c>
      <c r="GH56" s="572"/>
    </row>
    <row r="57" spans="1:190">
      <c r="A57" s="572" t="s">
        <v>9288</v>
      </c>
      <c r="B57" s="577" t="s">
        <v>9414</v>
      </c>
      <c r="C57" s="573" t="s">
        <v>284</v>
      </c>
      <c r="D57" s="578">
        <v>0</v>
      </c>
      <c r="E57" s="578">
        <v>0</v>
      </c>
      <c r="F57" s="578">
        <v>0</v>
      </c>
      <c r="G57" s="578">
        <v>0</v>
      </c>
      <c r="H57" s="578">
        <v>0</v>
      </c>
      <c r="I57" s="578">
        <v>0</v>
      </c>
      <c r="J57" s="578">
        <v>0</v>
      </c>
      <c r="K57" s="578">
        <v>6.7493161877020351E-4</v>
      </c>
      <c r="L57" s="578">
        <v>0</v>
      </c>
      <c r="M57" s="578">
        <v>0</v>
      </c>
      <c r="N57" s="578">
        <v>0</v>
      </c>
      <c r="O57" s="578">
        <v>0</v>
      </c>
      <c r="P57" s="578">
        <v>0</v>
      </c>
      <c r="Q57" s="578">
        <v>0</v>
      </c>
      <c r="R57" s="578">
        <v>5.6525917133005484E-5</v>
      </c>
      <c r="S57" s="578">
        <v>3.7348272642390291E-3</v>
      </c>
      <c r="T57" s="578">
        <v>4.3989857073969225E-3</v>
      </c>
      <c r="U57" s="578">
        <v>9.1044719023755782E-3</v>
      </c>
      <c r="V57" s="578">
        <v>0</v>
      </c>
      <c r="W57" s="578">
        <v>3.9492873512506589E-3</v>
      </c>
      <c r="X57" s="578">
        <v>5.5788719418568946E-3</v>
      </c>
      <c r="Y57" s="578">
        <v>4.8609900810038719E-3</v>
      </c>
      <c r="Z57" s="578">
        <v>4.0799126039773779E-4</v>
      </c>
      <c r="AA57" s="578">
        <v>3.6179105614425941E-4</v>
      </c>
      <c r="AB57" s="578">
        <v>5.4673692208585915E-3</v>
      </c>
      <c r="AC57" s="578">
        <v>1.4511531484840633E-3</v>
      </c>
      <c r="AD57" s="578">
        <v>0</v>
      </c>
      <c r="AE57" s="578">
        <v>0</v>
      </c>
      <c r="AF57" s="578">
        <v>5.3098687703861036E-4</v>
      </c>
      <c r="AG57" s="578">
        <v>0</v>
      </c>
      <c r="AH57" s="578">
        <v>3.0852294639413806E-3</v>
      </c>
      <c r="AI57" s="578">
        <v>1.8710324089542265E-3</v>
      </c>
      <c r="AJ57" s="578">
        <v>0</v>
      </c>
      <c r="AK57" s="578">
        <v>0</v>
      </c>
      <c r="AL57" s="578">
        <v>0</v>
      </c>
      <c r="AM57" s="578">
        <v>5.7398691309838139E-5</v>
      </c>
      <c r="AN57" s="578">
        <v>2.976190476190476E-3</v>
      </c>
      <c r="AO57" s="578">
        <v>0</v>
      </c>
      <c r="AP57" s="578">
        <v>1.2706480304955528E-3</v>
      </c>
      <c r="AQ57" s="578">
        <v>1.2765869403293884E-2</v>
      </c>
      <c r="AR57" s="578">
        <v>4.3447974592380079E-3</v>
      </c>
      <c r="AS57" s="578">
        <v>2.2383224362372621E-4</v>
      </c>
      <c r="AT57" s="578">
        <v>1.4506268780437259E-4</v>
      </c>
      <c r="AU57" s="578">
        <v>2.4541483287249881E-5</v>
      </c>
      <c r="AV57" s="578">
        <v>5.9912527709544069E-3</v>
      </c>
      <c r="AW57" s="578">
        <v>1.9310196856729067E-3</v>
      </c>
      <c r="AX57" s="578">
        <v>2.0529081951744039E-2</v>
      </c>
      <c r="AY57" s="578">
        <v>0</v>
      </c>
      <c r="AZ57" s="578">
        <v>1.3026425842620431E-2</v>
      </c>
      <c r="BA57" s="578">
        <v>6.9415521310565043E-3</v>
      </c>
      <c r="BB57" s="578">
        <v>0.13311140229722232</v>
      </c>
      <c r="BC57" s="578">
        <v>1.0797588709099654E-2</v>
      </c>
      <c r="BD57" s="578">
        <v>6.7064916355145986E-4</v>
      </c>
      <c r="BE57" s="578">
        <v>3.3792938830814162E-2</v>
      </c>
      <c r="BF57" s="578">
        <v>2.384786917740337E-2</v>
      </c>
      <c r="BG57" s="578">
        <v>3.4181818181818181E-2</v>
      </c>
      <c r="BH57" s="578">
        <v>8.8296322761501678E-2</v>
      </c>
      <c r="BI57" s="578">
        <v>4.0769856329628623E-2</v>
      </c>
      <c r="BJ57" s="578">
        <v>4.4197755885542742E-2</v>
      </c>
      <c r="BK57" s="578">
        <v>2.7560357182229083E-5</v>
      </c>
      <c r="BL57" s="578">
        <v>5.3280560207033035E-4</v>
      </c>
      <c r="BM57" s="578">
        <v>1.6000384723720278E-2</v>
      </c>
      <c r="BN57" s="578">
        <v>2.237037037037037E-2</v>
      </c>
      <c r="BO57" s="578">
        <v>3.0934605615166939E-2</v>
      </c>
      <c r="BP57" s="578">
        <v>0</v>
      </c>
      <c r="BQ57" s="578">
        <v>1.8639069715684637E-3</v>
      </c>
      <c r="BR57" s="578">
        <v>1.8531360353344073E-2</v>
      </c>
      <c r="BS57" s="578">
        <v>1.6184994486986252E-4</v>
      </c>
      <c r="BT57" s="578">
        <v>1.8211619012930248E-4</v>
      </c>
      <c r="BU57" s="578">
        <v>1.1312217194570137E-3</v>
      </c>
      <c r="BV57" s="578">
        <v>2.6984233930737098E-2</v>
      </c>
      <c r="BW57" s="578">
        <v>4.0564888609942681E-5</v>
      </c>
      <c r="BX57" s="578">
        <v>0</v>
      </c>
      <c r="BY57" s="578">
        <v>0</v>
      </c>
      <c r="BZ57" s="578">
        <v>0</v>
      </c>
      <c r="CA57" s="578">
        <v>0</v>
      </c>
      <c r="CB57" s="578">
        <v>6.2050136510300319E-6</v>
      </c>
      <c r="CC57" s="578">
        <v>0</v>
      </c>
      <c r="CD57" s="578">
        <v>1.6265584463113721E-4</v>
      </c>
      <c r="CE57" s="578">
        <v>0</v>
      </c>
      <c r="CF57" s="578">
        <v>6.0792673298594663E-3</v>
      </c>
      <c r="CG57" s="578">
        <v>3.262920455673935E-4</v>
      </c>
      <c r="CH57" s="578">
        <v>1.6201266013215603E-4</v>
      </c>
      <c r="CI57" s="578">
        <v>0</v>
      </c>
      <c r="CJ57" s="578">
        <v>1.3885875461054457E-4</v>
      </c>
      <c r="CK57" s="578">
        <v>5.5473186278959525E-5</v>
      </c>
      <c r="CL57" s="578">
        <v>4.4959985612804602E-6</v>
      </c>
      <c r="CM57" s="578">
        <v>0</v>
      </c>
      <c r="CN57" s="578">
        <v>0</v>
      </c>
      <c r="CO57" s="578">
        <v>3.928937478647079E-3</v>
      </c>
      <c r="CP57" s="578">
        <v>5.4543666228529025E-4</v>
      </c>
      <c r="CQ57" s="578">
        <v>0</v>
      </c>
      <c r="CR57" s="578">
        <v>0</v>
      </c>
      <c r="CS57" s="578">
        <v>0</v>
      </c>
      <c r="CT57" s="578">
        <v>2.9162170831996735E-5</v>
      </c>
      <c r="CU57" s="578">
        <v>2.4184576689292681E-5</v>
      </c>
      <c r="CV57" s="578">
        <v>4.3367015048354219E-5</v>
      </c>
      <c r="CW57" s="578">
        <v>0</v>
      </c>
      <c r="CX57" s="578">
        <v>2.8554703673562627E-5</v>
      </c>
      <c r="CY57" s="578">
        <v>9.1583478340507378E-6</v>
      </c>
      <c r="CZ57" s="578">
        <v>3.5206258890469419E-3</v>
      </c>
      <c r="DA57" s="578">
        <v>6.4252211346940526E-5</v>
      </c>
      <c r="DB57" s="578">
        <v>8.6641035360372559E-4</v>
      </c>
      <c r="DC57" s="578">
        <v>0</v>
      </c>
      <c r="DD57" s="578">
        <v>0</v>
      </c>
      <c r="DE57" s="578">
        <v>7.3100477947189565E-3</v>
      </c>
      <c r="DF57" s="578">
        <v>8.6867960699736396E-4</v>
      </c>
      <c r="DG57" s="578">
        <v>4.713153745043534E-4</v>
      </c>
      <c r="DH57" s="578">
        <v>4.3837292282597612E-3</v>
      </c>
      <c r="DI57" s="578">
        <v>3.3116969134984766E-5</v>
      </c>
      <c r="DJ57" s="578">
        <v>1.1181652151225633E-4</v>
      </c>
      <c r="DK57" s="578">
        <v>1.2176354196614296E-3</v>
      </c>
      <c r="DL57" s="578">
        <v>1.7928840180803516E-4</v>
      </c>
      <c r="DM57" s="578">
        <v>1.5128379142630925E-3</v>
      </c>
      <c r="DN57" s="578">
        <v>8.2528678715853762E-6</v>
      </c>
      <c r="DO57" s="578">
        <v>0</v>
      </c>
      <c r="DP57" s="578">
        <v>6.5731814198071863E-5</v>
      </c>
      <c r="DQ57" s="578">
        <v>0</v>
      </c>
      <c r="DR57" s="578">
        <v>3.3345671231689057E-4</v>
      </c>
      <c r="DS57" s="578">
        <v>2.4997756611586141E-4</v>
      </c>
      <c r="DT57" s="578">
        <v>0</v>
      </c>
      <c r="DU57" s="578">
        <v>0</v>
      </c>
      <c r="DV57" s="578">
        <v>1.2669614463631872E-5</v>
      </c>
      <c r="DW57" s="578">
        <v>5.0574015071056491E-5</v>
      </c>
      <c r="DX57" s="578">
        <v>1.7161384433398506E-4</v>
      </c>
      <c r="DY57" s="578">
        <v>0</v>
      </c>
      <c r="DZ57" s="578">
        <v>9.0942313942972433E-5</v>
      </c>
      <c r="EA57" s="578">
        <v>4.4518344896973423E-6</v>
      </c>
      <c r="EB57" s="578">
        <v>2.1447064050124853E-4</v>
      </c>
      <c r="EC57" s="578">
        <v>0</v>
      </c>
      <c r="ED57" s="578">
        <v>0</v>
      </c>
      <c r="EE57" s="578">
        <v>0</v>
      </c>
      <c r="EF57" s="578">
        <v>3.2070812353676919E-6</v>
      </c>
      <c r="EG57" s="578">
        <v>0</v>
      </c>
      <c r="EH57" s="578">
        <v>5.8572949946751863E-5</v>
      </c>
      <c r="EI57" s="578">
        <v>0</v>
      </c>
      <c r="EJ57" s="578">
        <v>0</v>
      </c>
      <c r="EK57" s="578">
        <v>0</v>
      </c>
      <c r="EL57" s="578">
        <v>0</v>
      </c>
      <c r="EM57" s="578">
        <v>0</v>
      </c>
      <c r="EN57" s="578">
        <v>0</v>
      </c>
      <c r="EO57" s="578">
        <v>0</v>
      </c>
      <c r="EP57" s="578">
        <v>0</v>
      </c>
      <c r="EQ57" s="578">
        <v>0</v>
      </c>
      <c r="ER57" s="578">
        <v>0</v>
      </c>
      <c r="ES57" s="578">
        <v>0</v>
      </c>
      <c r="ET57" s="578">
        <v>0</v>
      </c>
      <c r="EU57" s="578">
        <v>0</v>
      </c>
      <c r="EV57" s="578">
        <v>0</v>
      </c>
      <c r="EW57" s="578">
        <v>0</v>
      </c>
      <c r="EX57" s="578">
        <v>0</v>
      </c>
      <c r="EY57" s="578">
        <v>0</v>
      </c>
      <c r="EZ57" s="578">
        <v>0</v>
      </c>
      <c r="FA57" s="578">
        <v>3.9966803529308988E-3</v>
      </c>
      <c r="FB57" s="578">
        <v>0</v>
      </c>
      <c r="FC57" s="578">
        <v>0</v>
      </c>
      <c r="FD57" s="578">
        <v>0</v>
      </c>
      <c r="FE57" s="578">
        <v>0</v>
      </c>
      <c r="FF57" s="578">
        <v>0</v>
      </c>
      <c r="FG57" s="578">
        <v>0</v>
      </c>
      <c r="FH57" s="578">
        <v>1.3006015282067957E-4</v>
      </c>
      <c r="FI57" s="578">
        <v>8.8084514155181428E-6</v>
      </c>
      <c r="FJ57" s="578">
        <v>2.2780729780678523E-6</v>
      </c>
      <c r="FK57" s="578">
        <v>4.6469677264532452E-4</v>
      </c>
      <c r="FL57" s="578">
        <v>1.5682174594877155E-4</v>
      </c>
      <c r="FM57" s="578">
        <v>1.031150052722644E-3</v>
      </c>
      <c r="FN57" s="578">
        <v>6.9102692203535439E-4</v>
      </c>
      <c r="FO57" s="578">
        <v>3.6293363265867948E-4</v>
      </c>
      <c r="FP57" s="578">
        <v>8.6660574165695016E-4</v>
      </c>
      <c r="FQ57" s="578">
        <v>1.391463095615778E-5</v>
      </c>
      <c r="FR57" s="578">
        <v>6.0699302658395995E-5</v>
      </c>
      <c r="FS57" s="578">
        <v>0</v>
      </c>
      <c r="FT57" s="578">
        <v>0</v>
      </c>
      <c r="FU57" s="578">
        <v>0</v>
      </c>
      <c r="FV57" s="578">
        <v>0</v>
      </c>
      <c r="FW57" s="578">
        <v>3.7991156951977561E-4</v>
      </c>
      <c r="FX57" s="578">
        <v>3.3354635453454869E-4</v>
      </c>
      <c r="FY57" s="578">
        <v>0</v>
      </c>
      <c r="FZ57" s="578">
        <v>0</v>
      </c>
      <c r="GA57" s="578">
        <v>0</v>
      </c>
      <c r="GB57" s="578">
        <v>0</v>
      </c>
      <c r="GC57" s="578">
        <v>0</v>
      </c>
      <c r="GD57" s="578">
        <v>1.6793118851619359E-5</v>
      </c>
      <c r="GE57" s="578">
        <v>0</v>
      </c>
      <c r="GF57" s="578">
        <v>2.1228042243804065E-4</v>
      </c>
      <c r="GG57" s="579">
        <v>2.1497194507026592E-3</v>
      </c>
      <c r="GH57" s="572"/>
    </row>
    <row r="58" spans="1:190">
      <c r="A58" s="572" t="s">
        <v>9289</v>
      </c>
      <c r="B58" s="577" t="s">
        <v>288</v>
      </c>
      <c r="C58" s="573" t="s">
        <v>9068</v>
      </c>
      <c r="D58" s="578">
        <v>0</v>
      </c>
      <c r="E58" s="578">
        <v>0</v>
      </c>
      <c r="F58" s="578">
        <v>0</v>
      </c>
      <c r="G58" s="578">
        <v>0</v>
      </c>
      <c r="H58" s="578">
        <v>0</v>
      </c>
      <c r="I58" s="578">
        <v>0</v>
      </c>
      <c r="J58" s="578">
        <v>0</v>
      </c>
      <c r="K58" s="578">
        <v>0</v>
      </c>
      <c r="L58" s="578">
        <v>0</v>
      </c>
      <c r="M58" s="578">
        <v>0</v>
      </c>
      <c r="N58" s="578">
        <v>0</v>
      </c>
      <c r="O58" s="578">
        <v>0</v>
      </c>
      <c r="P58" s="578">
        <v>0</v>
      </c>
      <c r="Q58" s="578">
        <v>0</v>
      </c>
      <c r="R58" s="578">
        <v>0</v>
      </c>
      <c r="S58" s="578">
        <v>0</v>
      </c>
      <c r="T58" s="578">
        <v>0</v>
      </c>
      <c r="U58" s="578">
        <v>0</v>
      </c>
      <c r="V58" s="578">
        <v>0</v>
      </c>
      <c r="W58" s="578">
        <v>2.2059634545387697E-4</v>
      </c>
      <c r="X58" s="578">
        <v>0</v>
      </c>
      <c r="Y58" s="578">
        <v>0</v>
      </c>
      <c r="Z58" s="578">
        <v>0</v>
      </c>
      <c r="AA58" s="578">
        <v>0</v>
      </c>
      <c r="AB58" s="578">
        <v>0</v>
      </c>
      <c r="AC58" s="578">
        <v>1.7275632720048372E-5</v>
      </c>
      <c r="AD58" s="578">
        <v>0</v>
      </c>
      <c r="AE58" s="578">
        <v>0</v>
      </c>
      <c r="AF58" s="578">
        <v>6.0684214518698322E-4</v>
      </c>
      <c r="AG58" s="578">
        <v>0</v>
      </c>
      <c r="AH58" s="578">
        <v>0</v>
      </c>
      <c r="AI58" s="578">
        <v>5.2789842966922823E-3</v>
      </c>
      <c r="AJ58" s="578">
        <v>0</v>
      </c>
      <c r="AK58" s="578">
        <v>1.2471938139186831E-4</v>
      </c>
      <c r="AL58" s="578">
        <v>1.783166904422254E-4</v>
      </c>
      <c r="AM58" s="578">
        <v>0</v>
      </c>
      <c r="AN58" s="578">
        <v>5.2191166321601101E-3</v>
      </c>
      <c r="AO58" s="578">
        <v>7.1250445315283219E-4</v>
      </c>
      <c r="AP58" s="578">
        <v>0</v>
      </c>
      <c r="AQ58" s="578">
        <v>2.8345609534056113E-3</v>
      </c>
      <c r="AR58" s="578">
        <v>1.2939940259034936E-2</v>
      </c>
      <c r="AS58" s="578">
        <v>2.2265417918360133E-3</v>
      </c>
      <c r="AT58" s="578">
        <v>5.0357475909232202E-3</v>
      </c>
      <c r="AU58" s="578">
        <v>5.235516434613308E-4</v>
      </c>
      <c r="AV58" s="578">
        <v>0</v>
      </c>
      <c r="AW58" s="578">
        <v>0</v>
      </c>
      <c r="AX58" s="578">
        <v>0</v>
      </c>
      <c r="AY58" s="578">
        <v>0</v>
      </c>
      <c r="AZ58" s="578">
        <v>0</v>
      </c>
      <c r="BA58" s="578">
        <v>0</v>
      </c>
      <c r="BB58" s="578">
        <v>0</v>
      </c>
      <c r="BC58" s="578">
        <v>3.3058020407954396E-3</v>
      </c>
      <c r="BD58" s="578">
        <v>6.5338615730448718E-2</v>
      </c>
      <c r="BE58" s="578">
        <v>0</v>
      </c>
      <c r="BF58" s="578">
        <v>2.013131813676908E-3</v>
      </c>
      <c r="BG58" s="578">
        <v>3.7105751391465674E-5</v>
      </c>
      <c r="BH58" s="578">
        <v>6.9848293299620737E-2</v>
      </c>
      <c r="BI58" s="578">
        <v>0</v>
      </c>
      <c r="BJ58" s="578">
        <v>1.3632933472439289E-2</v>
      </c>
      <c r="BK58" s="578">
        <v>0</v>
      </c>
      <c r="BL58" s="578">
        <v>0</v>
      </c>
      <c r="BM58" s="578">
        <v>0.15416658079083626</v>
      </c>
      <c r="BN58" s="578">
        <v>0</v>
      </c>
      <c r="BO58" s="578">
        <v>9.0785292782569226E-4</v>
      </c>
      <c r="BP58" s="578">
        <v>0</v>
      </c>
      <c r="BQ58" s="578">
        <v>1.1405997885717466E-2</v>
      </c>
      <c r="BR58" s="578">
        <v>2.1337202479382926E-5</v>
      </c>
      <c r="BS58" s="578">
        <v>0</v>
      </c>
      <c r="BT58" s="578">
        <v>0</v>
      </c>
      <c r="BU58" s="578">
        <v>1.4792899408284023E-3</v>
      </c>
      <c r="BV58" s="578">
        <v>1.8865382023985986E-3</v>
      </c>
      <c r="BW58" s="578">
        <v>0</v>
      </c>
      <c r="BX58" s="578">
        <v>0</v>
      </c>
      <c r="BY58" s="578">
        <v>0</v>
      </c>
      <c r="BZ58" s="578">
        <v>0</v>
      </c>
      <c r="CA58" s="578">
        <v>3.6064062318699686E-5</v>
      </c>
      <c r="CB58" s="578">
        <v>0</v>
      </c>
      <c r="CC58" s="578">
        <v>0</v>
      </c>
      <c r="CD58" s="578">
        <v>0</v>
      </c>
      <c r="CE58" s="578">
        <v>0</v>
      </c>
      <c r="CF58" s="578">
        <v>1.5948207800410549E-2</v>
      </c>
      <c r="CG58" s="578">
        <v>0</v>
      </c>
      <c r="CH58" s="578">
        <v>0</v>
      </c>
      <c r="CI58" s="578">
        <v>7.4613873206158136E-5</v>
      </c>
      <c r="CJ58" s="578">
        <v>0</v>
      </c>
      <c r="CK58" s="578">
        <v>1.8911313504190748E-4</v>
      </c>
      <c r="CL58" s="578">
        <v>0</v>
      </c>
      <c r="CM58" s="578">
        <v>0</v>
      </c>
      <c r="CN58" s="578">
        <v>0</v>
      </c>
      <c r="CO58" s="578">
        <v>0</v>
      </c>
      <c r="CP58" s="578">
        <v>8.9415846276277076E-6</v>
      </c>
      <c r="CQ58" s="578">
        <v>0</v>
      </c>
      <c r="CR58" s="578">
        <v>0</v>
      </c>
      <c r="CS58" s="578">
        <v>0</v>
      </c>
      <c r="CT58" s="578">
        <v>0</v>
      </c>
      <c r="CU58" s="578">
        <v>0</v>
      </c>
      <c r="CV58" s="578">
        <v>0</v>
      </c>
      <c r="CW58" s="578">
        <v>0</v>
      </c>
      <c r="CX58" s="578">
        <v>1.8560557387815708E-4</v>
      </c>
      <c r="CY58" s="578">
        <v>9.799432182434288E-4</v>
      </c>
      <c r="CZ58" s="578">
        <v>0</v>
      </c>
      <c r="DA58" s="578">
        <v>2.1417403782313509E-5</v>
      </c>
      <c r="DB58" s="578">
        <v>1.2833703362755185E-2</v>
      </c>
      <c r="DC58" s="578">
        <v>0</v>
      </c>
      <c r="DD58" s="578">
        <v>0</v>
      </c>
      <c r="DE58" s="578">
        <v>3.9117160666581859E-3</v>
      </c>
      <c r="DF58" s="578">
        <v>2.3464334211997762E-3</v>
      </c>
      <c r="DG58" s="578">
        <v>2.8650725781935171E-3</v>
      </c>
      <c r="DH58" s="578">
        <v>5.74302511299147E-3</v>
      </c>
      <c r="DI58" s="578">
        <v>0</v>
      </c>
      <c r="DJ58" s="578">
        <v>0</v>
      </c>
      <c r="DK58" s="578">
        <v>7.0497225289128012E-3</v>
      </c>
      <c r="DL58" s="578">
        <v>6.9442690841140377E-4</v>
      </c>
      <c r="DM58" s="578">
        <v>5.0475059382422806E-3</v>
      </c>
      <c r="DN58" s="578">
        <v>1.2791945200957332E-3</v>
      </c>
      <c r="DO58" s="578">
        <v>0</v>
      </c>
      <c r="DP58" s="578">
        <v>0</v>
      </c>
      <c r="DQ58" s="578">
        <v>0</v>
      </c>
      <c r="DR58" s="578">
        <v>3.26120664645919E-3</v>
      </c>
      <c r="DS58" s="578">
        <v>4.8713576986680684E-4</v>
      </c>
      <c r="DT58" s="578">
        <v>6.5602927348402563E-5</v>
      </c>
      <c r="DU58" s="578">
        <v>0</v>
      </c>
      <c r="DV58" s="578">
        <v>1.3936575909995059E-4</v>
      </c>
      <c r="DW58" s="578">
        <v>4.2145012559213742E-3</v>
      </c>
      <c r="DX58" s="578">
        <v>1.4158142157553767E-3</v>
      </c>
      <c r="DY58" s="578">
        <v>0</v>
      </c>
      <c r="DZ58" s="578">
        <v>0</v>
      </c>
      <c r="EA58" s="578">
        <v>0</v>
      </c>
      <c r="EB58" s="578">
        <v>0</v>
      </c>
      <c r="EC58" s="578">
        <v>0</v>
      </c>
      <c r="ED58" s="578">
        <v>0</v>
      </c>
      <c r="EE58" s="578">
        <v>0</v>
      </c>
      <c r="EF58" s="578">
        <v>0</v>
      </c>
      <c r="EG58" s="578">
        <v>0</v>
      </c>
      <c r="EH58" s="578">
        <v>0</v>
      </c>
      <c r="EI58" s="578">
        <v>0</v>
      </c>
      <c r="EJ58" s="578">
        <v>0</v>
      </c>
      <c r="EK58" s="578">
        <v>0</v>
      </c>
      <c r="EL58" s="578">
        <v>0</v>
      </c>
      <c r="EM58" s="578">
        <v>0</v>
      </c>
      <c r="EN58" s="578">
        <v>0</v>
      </c>
      <c r="EO58" s="578">
        <v>0</v>
      </c>
      <c r="EP58" s="578">
        <v>0</v>
      </c>
      <c r="EQ58" s="578">
        <v>0</v>
      </c>
      <c r="ER58" s="578">
        <v>0</v>
      </c>
      <c r="ES58" s="578">
        <v>0</v>
      </c>
      <c r="ET58" s="578">
        <v>0</v>
      </c>
      <c r="EU58" s="578">
        <v>0</v>
      </c>
      <c r="EV58" s="578">
        <v>0</v>
      </c>
      <c r="EW58" s="578">
        <v>0</v>
      </c>
      <c r="EX58" s="578">
        <v>0</v>
      </c>
      <c r="EY58" s="578">
        <v>0</v>
      </c>
      <c r="EZ58" s="578">
        <v>0</v>
      </c>
      <c r="FA58" s="578">
        <v>0</v>
      </c>
      <c r="FB58" s="578">
        <v>0</v>
      </c>
      <c r="FC58" s="578">
        <v>0</v>
      </c>
      <c r="FD58" s="578">
        <v>0</v>
      </c>
      <c r="FE58" s="578">
        <v>0</v>
      </c>
      <c r="FF58" s="578">
        <v>0</v>
      </c>
      <c r="FG58" s="578">
        <v>0</v>
      </c>
      <c r="FH58" s="578">
        <v>3.2515038205169893E-5</v>
      </c>
      <c r="FI58" s="578">
        <v>0</v>
      </c>
      <c r="FJ58" s="578">
        <v>0</v>
      </c>
      <c r="FK58" s="578">
        <v>0</v>
      </c>
      <c r="FL58" s="578">
        <v>0</v>
      </c>
      <c r="FM58" s="578">
        <v>0</v>
      </c>
      <c r="FN58" s="578">
        <v>0</v>
      </c>
      <c r="FO58" s="578">
        <v>1.5002577175386069E-4</v>
      </c>
      <c r="FP58" s="578">
        <v>2.363470204518955E-4</v>
      </c>
      <c r="FQ58" s="578">
        <v>0</v>
      </c>
      <c r="FR58" s="578">
        <v>1.1672942818922307E-5</v>
      </c>
      <c r="FS58" s="578">
        <v>0</v>
      </c>
      <c r="FT58" s="578">
        <v>0</v>
      </c>
      <c r="FU58" s="578">
        <v>0</v>
      </c>
      <c r="FV58" s="578">
        <v>0</v>
      </c>
      <c r="FW58" s="578">
        <v>0</v>
      </c>
      <c r="FX58" s="578">
        <v>0</v>
      </c>
      <c r="FY58" s="578">
        <v>0</v>
      </c>
      <c r="FZ58" s="578">
        <v>0</v>
      </c>
      <c r="GA58" s="578">
        <v>0</v>
      </c>
      <c r="GB58" s="578">
        <v>0</v>
      </c>
      <c r="GC58" s="578">
        <v>0</v>
      </c>
      <c r="GD58" s="578">
        <v>0</v>
      </c>
      <c r="GE58" s="578">
        <v>0</v>
      </c>
      <c r="GF58" s="578">
        <v>1.5178050204319906E-3</v>
      </c>
      <c r="GG58" s="579">
        <v>2.5670088729124875E-3</v>
      </c>
      <c r="GH58" s="572"/>
    </row>
    <row r="59" spans="1:190">
      <c r="A59" s="572" t="s">
        <v>9290</v>
      </c>
      <c r="B59" s="577" t="s">
        <v>9415</v>
      </c>
      <c r="C59" s="573" t="s">
        <v>9069</v>
      </c>
      <c r="D59" s="578">
        <v>0</v>
      </c>
      <c r="E59" s="578">
        <v>0</v>
      </c>
      <c r="F59" s="578">
        <v>0</v>
      </c>
      <c r="G59" s="578">
        <v>0</v>
      </c>
      <c r="H59" s="578">
        <v>0</v>
      </c>
      <c r="I59" s="578">
        <v>0</v>
      </c>
      <c r="J59" s="578">
        <v>0</v>
      </c>
      <c r="K59" s="578">
        <v>0</v>
      </c>
      <c r="L59" s="578">
        <v>0</v>
      </c>
      <c r="M59" s="578">
        <v>0</v>
      </c>
      <c r="N59" s="578">
        <v>0</v>
      </c>
      <c r="O59" s="578">
        <v>0</v>
      </c>
      <c r="P59" s="578">
        <v>0</v>
      </c>
      <c r="Q59" s="578">
        <v>0</v>
      </c>
      <c r="R59" s="578">
        <v>0</v>
      </c>
      <c r="S59" s="578">
        <v>0</v>
      </c>
      <c r="T59" s="578">
        <v>0</v>
      </c>
      <c r="U59" s="578">
        <v>0</v>
      </c>
      <c r="V59" s="578">
        <v>0</v>
      </c>
      <c r="W59" s="578">
        <v>0</v>
      </c>
      <c r="X59" s="578">
        <v>0</v>
      </c>
      <c r="Y59" s="578">
        <v>0</v>
      </c>
      <c r="Z59" s="578">
        <v>0</v>
      </c>
      <c r="AA59" s="578">
        <v>0</v>
      </c>
      <c r="AB59" s="578">
        <v>0</v>
      </c>
      <c r="AC59" s="578">
        <v>0</v>
      </c>
      <c r="AD59" s="578">
        <v>0</v>
      </c>
      <c r="AE59" s="578">
        <v>0.16403785488958991</v>
      </c>
      <c r="AF59" s="578">
        <v>9.4136387772130778E-2</v>
      </c>
      <c r="AG59" s="578">
        <v>0</v>
      </c>
      <c r="AH59" s="578">
        <v>0</v>
      </c>
      <c r="AI59" s="578">
        <v>0.15743401269629134</v>
      </c>
      <c r="AJ59" s="578">
        <v>9.0378503322739098E-2</v>
      </c>
      <c r="AK59" s="578">
        <v>4.5647293589423793E-2</v>
      </c>
      <c r="AL59" s="578">
        <v>9.7672967189728954E-2</v>
      </c>
      <c r="AM59" s="578">
        <v>0</v>
      </c>
      <c r="AN59" s="578">
        <v>2.1566597653554175E-4</v>
      </c>
      <c r="AO59" s="578">
        <v>1.1011432457816498E-3</v>
      </c>
      <c r="AP59" s="578">
        <v>0</v>
      </c>
      <c r="AQ59" s="578">
        <v>1.3862451377969047E-3</v>
      </c>
      <c r="AR59" s="578">
        <v>3.0696938570703313E-4</v>
      </c>
      <c r="AS59" s="578">
        <v>0</v>
      </c>
      <c r="AT59" s="578">
        <v>4.1446482229820741E-5</v>
      </c>
      <c r="AU59" s="578">
        <v>0</v>
      </c>
      <c r="AV59" s="578">
        <v>0</v>
      </c>
      <c r="AW59" s="578">
        <v>0</v>
      </c>
      <c r="AX59" s="578">
        <v>0</v>
      </c>
      <c r="AY59" s="578">
        <v>0</v>
      </c>
      <c r="AZ59" s="578">
        <v>0</v>
      </c>
      <c r="BA59" s="578">
        <v>0</v>
      </c>
      <c r="BB59" s="578">
        <v>0</v>
      </c>
      <c r="BC59" s="578">
        <v>0</v>
      </c>
      <c r="BD59" s="578">
        <v>7.4516573727939983E-5</v>
      </c>
      <c r="BE59" s="578">
        <v>0</v>
      </c>
      <c r="BF59" s="578">
        <v>0</v>
      </c>
      <c r="BG59" s="578">
        <v>0</v>
      </c>
      <c r="BH59" s="578">
        <v>0</v>
      </c>
      <c r="BI59" s="578">
        <v>0</v>
      </c>
      <c r="BJ59" s="578">
        <v>0</v>
      </c>
      <c r="BK59" s="578">
        <v>0</v>
      </c>
      <c r="BL59" s="578">
        <v>1.2685847668341199E-4</v>
      </c>
      <c r="BM59" s="578">
        <v>3.2060310023197922E-4</v>
      </c>
      <c r="BN59" s="578">
        <v>0</v>
      </c>
      <c r="BO59" s="578">
        <v>2.2213422702118001E-4</v>
      </c>
      <c r="BP59" s="578">
        <v>4.6484601975595582E-3</v>
      </c>
      <c r="BQ59" s="578">
        <v>2.7819507038335281E-5</v>
      </c>
      <c r="BR59" s="578">
        <v>2.1337202479382926E-5</v>
      </c>
      <c r="BS59" s="578">
        <v>0</v>
      </c>
      <c r="BT59" s="578">
        <v>0</v>
      </c>
      <c r="BU59" s="578">
        <v>0</v>
      </c>
      <c r="BV59" s="578">
        <v>8.1525400889368004E-3</v>
      </c>
      <c r="BW59" s="578">
        <v>0</v>
      </c>
      <c r="BX59" s="578">
        <v>0</v>
      </c>
      <c r="BY59" s="578">
        <v>0</v>
      </c>
      <c r="BZ59" s="578">
        <v>0</v>
      </c>
      <c r="CA59" s="578">
        <v>0</v>
      </c>
      <c r="CB59" s="578">
        <v>0</v>
      </c>
      <c r="CC59" s="578">
        <v>0</v>
      </c>
      <c r="CD59" s="578">
        <v>0</v>
      </c>
      <c r="CE59" s="578">
        <v>0</v>
      </c>
      <c r="CF59" s="578">
        <v>0</v>
      </c>
      <c r="CG59" s="578">
        <v>0</v>
      </c>
      <c r="CH59" s="578">
        <v>0</v>
      </c>
      <c r="CI59" s="578">
        <v>0</v>
      </c>
      <c r="CJ59" s="578">
        <v>0</v>
      </c>
      <c r="CK59" s="578">
        <v>0</v>
      </c>
      <c r="CL59" s="578">
        <v>0</v>
      </c>
      <c r="CM59" s="578">
        <v>0</v>
      </c>
      <c r="CN59" s="578">
        <v>0</v>
      </c>
      <c r="CO59" s="578">
        <v>0</v>
      </c>
      <c r="CP59" s="578">
        <v>0</v>
      </c>
      <c r="CQ59" s="578">
        <v>0</v>
      </c>
      <c r="CR59" s="578">
        <v>0</v>
      </c>
      <c r="CS59" s="578">
        <v>0</v>
      </c>
      <c r="CT59" s="578">
        <v>0</v>
      </c>
      <c r="CU59" s="578">
        <v>0</v>
      </c>
      <c r="CV59" s="578">
        <v>0</v>
      </c>
      <c r="CW59" s="578">
        <v>0</v>
      </c>
      <c r="CX59" s="578">
        <v>0</v>
      </c>
      <c r="CY59" s="578">
        <v>0</v>
      </c>
      <c r="CZ59" s="578">
        <v>0</v>
      </c>
      <c r="DA59" s="578">
        <v>0</v>
      </c>
      <c r="DB59" s="578">
        <v>2.7616830021118754E-3</v>
      </c>
      <c r="DC59" s="578">
        <v>0</v>
      </c>
      <c r="DD59" s="578">
        <v>0</v>
      </c>
      <c r="DE59" s="578">
        <v>0</v>
      </c>
      <c r="DF59" s="578">
        <v>0</v>
      </c>
      <c r="DG59" s="578">
        <v>0</v>
      </c>
      <c r="DH59" s="578">
        <v>0</v>
      </c>
      <c r="DI59" s="578">
        <v>0</v>
      </c>
      <c r="DJ59" s="578">
        <v>0</v>
      </c>
      <c r="DK59" s="578">
        <v>0</v>
      </c>
      <c r="DL59" s="578">
        <v>0</v>
      </c>
      <c r="DM59" s="578">
        <v>0</v>
      </c>
      <c r="DN59" s="578">
        <v>0</v>
      </c>
      <c r="DO59" s="578">
        <v>0</v>
      </c>
      <c r="DP59" s="578">
        <v>0</v>
      </c>
      <c r="DQ59" s="578">
        <v>0</v>
      </c>
      <c r="DR59" s="578">
        <v>0</v>
      </c>
      <c r="DS59" s="578">
        <v>0</v>
      </c>
      <c r="DT59" s="578">
        <v>0</v>
      </c>
      <c r="DU59" s="578">
        <v>0</v>
      </c>
      <c r="DV59" s="578">
        <v>0</v>
      </c>
      <c r="DW59" s="578">
        <v>3.9784891855897772E-2</v>
      </c>
      <c r="DX59" s="578">
        <v>9.7084403366082973E-3</v>
      </c>
      <c r="DY59" s="578">
        <v>0</v>
      </c>
      <c r="DZ59" s="578">
        <v>0</v>
      </c>
      <c r="EA59" s="578">
        <v>0</v>
      </c>
      <c r="EB59" s="578">
        <v>0</v>
      </c>
      <c r="EC59" s="578">
        <v>0</v>
      </c>
      <c r="ED59" s="578">
        <v>0</v>
      </c>
      <c r="EE59" s="578">
        <v>0</v>
      </c>
      <c r="EF59" s="578">
        <v>0</v>
      </c>
      <c r="EG59" s="578">
        <v>0</v>
      </c>
      <c r="EH59" s="578">
        <v>0</v>
      </c>
      <c r="EI59" s="578">
        <v>0</v>
      </c>
      <c r="EJ59" s="578">
        <v>0</v>
      </c>
      <c r="EK59" s="578">
        <v>0</v>
      </c>
      <c r="EL59" s="578">
        <v>0</v>
      </c>
      <c r="EM59" s="578">
        <v>0</v>
      </c>
      <c r="EN59" s="578">
        <v>0</v>
      </c>
      <c r="EO59" s="578">
        <v>0</v>
      </c>
      <c r="EP59" s="578">
        <v>0</v>
      </c>
      <c r="EQ59" s="578">
        <v>0</v>
      </c>
      <c r="ER59" s="578">
        <v>0</v>
      </c>
      <c r="ES59" s="578">
        <v>0</v>
      </c>
      <c r="ET59" s="578">
        <v>0</v>
      </c>
      <c r="EU59" s="578">
        <v>0</v>
      </c>
      <c r="EV59" s="578">
        <v>0</v>
      </c>
      <c r="EW59" s="578">
        <v>0</v>
      </c>
      <c r="EX59" s="578">
        <v>0</v>
      </c>
      <c r="EY59" s="578">
        <v>0</v>
      </c>
      <c r="EZ59" s="578">
        <v>0</v>
      </c>
      <c r="FA59" s="578">
        <v>0</v>
      </c>
      <c r="FB59" s="578">
        <v>0</v>
      </c>
      <c r="FC59" s="578">
        <v>0</v>
      </c>
      <c r="FD59" s="578">
        <v>0</v>
      </c>
      <c r="FE59" s="578">
        <v>0</v>
      </c>
      <c r="FF59" s="578">
        <v>0</v>
      </c>
      <c r="FG59" s="578">
        <v>0</v>
      </c>
      <c r="FH59" s="578">
        <v>0</v>
      </c>
      <c r="FI59" s="578">
        <v>2.9361504718393808E-6</v>
      </c>
      <c r="FJ59" s="578">
        <v>0</v>
      </c>
      <c r="FK59" s="578">
        <v>0</v>
      </c>
      <c r="FL59" s="578">
        <v>0</v>
      </c>
      <c r="FM59" s="578">
        <v>0</v>
      </c>
      <c r="FN59" s="578">
        <v>0</v>
      </c>
      <c r="FO59" s="578">
        <v>0</v>
      </c>
      <c r="FP59" s="578">
        <v>0</v>
      </c>
      <c r="FQ59" s="578">
        <v>0</v>
      </c>
      <c r="FR59" s="578">
        <v>0</v>
      </c>
      <c r="FS59" s="578">
        <v>0</v>
      </c>
      <c r="FT59" s="578">
        <v>0</v>
      </c>
      <c r="FU59" s="578">
        <v>0</v>
      </c>
      <c r="FV59" s="578">
        <v>0</v>
      </c>
      <c r="FW59" s="578">
        <v>0</v>
      </c>
      <c r="FX59" s="578">
        <v>0</v>
      </c>
      <c r="FY59" s="578">
        <v>0</v>
      </c>
      <c r="FZ59" s="578">
        <v>0</v>
      </c>
      <c r="GA59" s="578">
        <v>0</v>
      </c>
      <c r="GB59" s="578">
        <v>0</v>
      </c>
      <c r="GC59" s="578">
        <v>0</v>
      </c>
      <c r="GD59" s="578">
        <v>0</v>
      </c>
      <c r="GE59" s="578">
        <v>0</v>
      </c>
      <c r="GF59" s="578">
        <v>1.273682534628244E-4</v>
      </c>
      <c r="GG59" s="579">
        <v>3.2660334675511205E-4</v>
      </c>
      <c r="GH59" s="572"/>
    </row>
    <row r="60" spans="1:190">
      <c r="A60" s="572" t="s">
        <v>9291</v>
      </c>
      <c r="B60" s="577" t="s">
        <v>9416</v>
      </c>
      <c r="C60" s="573" t="s">
        <v>301</v>
      </c>
      <c r="D60" s="578">
        <v>0</v>
      </c>
      <c r="E60" s="578">
        <v>0</v>
      </c>
      <c r="F60" s="578">
        <v>0</v>
      </c>
      <c r="G60" s="578">
        <v>0</v>
      </c>
      <c r="H60" s="578">
        <v>0</v>
      </c>
      <c r="I60" s="578">
        <v>0</v>
      </c>
      <c r="J60" s="578">
        <v>4.5740791444539288E-3</v>
      </c>
      <c r="K60" s="578">
        <v>5.7475755745799439E-2</v>
      </c>
      <c r="L60" s="578">
        <v>0</v>
      </c>
      <c r="M60" s="578">
        <v>0</v>
      </c>
      <c r="N60" s="578">
        <v>0</v>
      </c>
      <c r="O60" s="578">
        <v>6.4377682403433476E-3</v>
      </c>
      <c r="P60" s="578">
        <v>5.5248618784530384E-3</v>
      </c>
      <c r="Q60" s="578">
        <v>0</v>
      </c>
      <c r="R60" s="578">
        <v>0</v>
      </c>
      <c r="S60" s="578">
        <v>0</v>
      </c>
      <c r="T60" s="578">
        <v>4.5925279570139383E-5</v>
      </c>
      <c r="U60" s="578">
        <v>9.5635209058567009E-6</v>
      </c>
      <c r="V60" s="578">
        <v>0</v>
      </c>
      <c r="W60" s="578">
        <v>6.7710822701815021E-4</v>
      </c>
      <c r="X60" s="578">
        <v>0</v>
      </c>
      <c r="Y60" s="578">
        <v>1.0608552008426221E-4</v>
      </c>
      <c r="Z60" s="578">
        <v>1.6373333476488161E-4</v>
      </c>
      <c r="AA60" s="578">
        <v>0</v>
      </c>
      <c r="AB60" s="578">
        <v>0</v>
      </c>
      <c r="AC60" s="578">
        <v>2.0903515591258531E-3</v>
      </c>
      <c r="AD60" s="578">
        <v>0</v>
      </c>
      <c r="AE60" s="578">
        <v>0</v>
      </c>
      <c r="AF60" s="578">
        <v>0</v>
      </c>
      <c r="AG60" s="578">
        <v>0</v>
      </c>
      <c r="AH60" s="578">
        <v>0</v>
      </c>
      <c r="AI60" s="578">
        <v>0</v>
      </c>
      <c r="AJ60" s="578">
        <v>0</v>
      </c>
      <c r="AK60" s="578">
        <v>0</v>
      </c>
      <c r="AL60" s="578">
        <v>2.2289586305278175E-4</v>
      </c>
      <c r="AM60" s="578">
        <v>0</v>
      </c>
      <c r="AN60" s="578">
        <v>0</v>
      </c>
      <c r="AO60" s="578">
        <v>0</v>
      </c>
      <c r="AP60" s="578">
        <v>0</v>
      </c>
      <c r="AQ60" s="578">
        <v>0</v>
      </c>
      <c r="AR60" s="578">
        <v>0</v>
      </c>
      <c r="AS60" s="578">
        <v>0</v>
      </c>
      <c r="AT60" s="578">
        <v>0</v>
      </c>
      <c r="AU60" s="578">
        <v>0</v>
      </c>
      <c r="AV60" s="578">
        <v>0</v>
      </c>
      <c r="AW60" s="578">
        <v>0</v>
      </c>
      <c r="AX60" s="578">
        <v>0</v>
      </c>
      <c r="AY60" s="578">
        <v>0</v>
      </c>
      <c r="AZ60" s="578">
        <v>0</v>
      </c>
      <c r="BA60" s="578">
        <v>0</v>
      </c>
      <c r="BB60" s="578">
        <v>0</v>
      </c>
      <c r="BC60" s="578">
        <v>0</v>
      </c>
      <c r="BD60" s="578">
        <v>0</v>
      </c>
      <c r="BE60" s="578">
        <v>3.8145618185775165E-2</v>
      </c>
      <c r="BF60" s="578">
        <v>1.5485629335976214E-5</v>
      </c>
      <c r="BG60" s="578">
        <v>5.6994434137291284E-3</v>
      </c>
      <c r="BH60" s="578">
        <v>0</v>
      </c>
      <c r="BI60" s="578">
        <v>0</v>
      </c>
      <c r="BJ60" s="578">
        <v>0</v>
      </c>
      <c r="BK60" s="578">
        <v>0</v>
      </c>
      <c r="BL60" s="578">
        <v>0</v>
      </c>
      <c r="BM60" s="578">
        <v>0</v>
      </c>
      <c r="BN60" s="578">
        <v>0</v>
      </c>
      <c r="BO60" s="578">
        <v>0</v>
      </c>
      <c r="BP60" s="578">
        <v>0</v>
      </c>
      <c r="BQ60" s="578">
        <v>0</v>
      </c>
      <c r="BR60" s="578">
        <v>0</v>
      </c>
      <c r="BS60" s="578">
        <v>0</v>
      </c>
      <c r="BT60" s="578">
        <v>0</v>
      </c>
      <c r="BU60" s="578">
        <v>0</v>
      </c>
      <c r="BV60" s="578">
        <v>0</v>
      </c>
      <c r="BW60" s="578">
        <v>0</v>
      </c>
      <c r="BX60" s="578">
        <v>0</v>
      </c>
      <c r="BY60" s="578">
        <v>0</v>
      </c>
      <c r="BZ60" s="578">
        <v>0</v>
      </c>
      <c r="CA60" s="578">
        <v>0</v>
      </c>
      <c r="CB60" s="578">
        <v>0</v>
      </c>
      <c r="CC60" s="578">
        <v>0</v>
      </c>
      <c r="CD60" s="578">
        <v>0</v>
      </c>
      <c r="CE60" s="578">
        <v>0</v>
      </c>
      <c r="CF60" s="578">
        <v>0</v>
      </c>
      <c r="CG60" s="578">
        <v>0</v>
      </c>
      <c r="CH60" s="578">
        <v>0</v>
      </c>
      <c r="CI60" s="578">
        <v>0</v>
      </c>
      <c r="CJ60" s="578">
        <v>0</v>
      </c>
      <c r="CK60" s="578">
        <v>0</v>
      </c>
      <c r="CL60" s="578">
        <v>0</v>
      </c>
      <c r="CM60" s="578">
        <v>0</v>
      </c>
      <c r="CN60" s="578">
        <v>0</v>
      </c>
      <c r="CO60" s="578">
        <v>0</v>
      </c>
      <c r="CP60" s="578">
        <v>0</v>
      </c>
      <c r="CQ60" s="578">
        <v>0</v>
      </c>
      <c r="CR60" s="578">
        <v>0</v>
      </c>
      <c r="CS60" s="578">
        <v>0</v>
      </c>
      <c r="CT60" s="578">
        <v>0</v>
      </c>
      <c r="CU60" s="578">
        <v>0</v>
      </c>
      <c r="CV60" s="578">
        <v>0</v>
      </c>
      <c r="CW60" s="578">
        <v>0</v>
      </c>
      <c r="CX60" s="578">
        <v>0</v>
      </c>
      <c r="CY60" s="578">
        <v>0</v>
      </c>
      <c r="CZ60" s="578">
        <v>0</v>
      </c>
      <c r="DA60" s="578">
        <v>0</v>
      </c>
      <c r="DB60" s="578">
        <v>0</v>
      </c>
      <c r="DC60" s="578">
        <v>0</v>
      </c>
      <c r="DD60" s="578">
        <v>0</v>
      </c>
      <c r="DE60" s="578">
        <v>0</v>
      </c>
      <c r="DF60" s="578">
        <v>0</v>
      </c>
      <c r="DG60" s="578">
        <v>0</v>
      </c>
      <c r="DH60" s="578">
        <v>0</v>
      </c>
      <c r="DI60" s="578">
        <v>0</v>
      </c>
      <c r="DJ60" s="578">
        <v>0</v>
      </c>
      <c r="DK60" s="578">
        <v>0</v>
      </c>
      <c r="DL60" s="578">
        <v>0</v>
      </c>
      <c r="DM60" s="578">
        <v>0</v>
      </c>
      <c r="DN60" s="578">
        <v>0</v>
      </c>
      <c r="DO60" s="578">
        <v>0</v>
      </c>
      <c r="DP60" s="578">
        <v>0</v>
      </c>
      <c r="DQ60" s="578">
        <v>0</v>
      </c>
      <c r="DR60" s="578">
        <v>0</v>
      </c>
      <c r="DS60" s="578">
        <v>0</v>
      </c>
      <c r="DT60" s="578">
        <v>0</v>
      </c>
      <c r="DU60" s="578">
        <v>0</v>
      </c>
      <c r="DV60" s="578">
        <v>0</v>
      </c>
      <c r="DW60" s="578">
        <v>0</v>
      </c>
      <c r="DX60" s="578">
        <v>0</v>
      </c>
      <c r="DY60" s="578">
        <v>3.1620053437890308E-5</v>
      </c>
      <c r="DZ60" s="578">
        <v>0</v>
      </c>
      <c r="EA60" s="578">
        <v>0</v>
      </c>
      <c r="EB60" s="578">
        <v>0</v>
      </c>
      <c r="EC60" s="578">
        <v>0</v>
      </c>
      <c r="ED60" s="578">
        <v>0</v>
      </c>
      <c r="EE60" s="578">
        <v>0</v>
      </c>
      <c r="EF60" s="578">
        <v>0</v>
      </c>
      <c r="EG60" s="578">
        <v>0</v>
      </c>
      <c r="EH60" s="578">
        <v>2.6624068157614482E-5</v>
      </c>
      <c r="EI60" s="578">
        <v>5.0411383868357159E-3</v>
      </c>
      <c r="EJ60" s="578">
        <v>0</v>
      </c>
      <c r="EK60" s="578">
        <v>0</v>
      </c>
      <c r="EL60" s="578">
        <v>0</v>
      </c>
      <c r="EM60" s="578">
        <v>0</v>
      </c>
      <c r="EN60" s="578">
        <v>0</v>
      </c>
      <c r="EO60" s="578">
        <v>0</v>
      </c>
      <c r="EP60" s="578">
        <v>0</v>
      </c>
      <c r="EQ60" s="578">
        <v>0</v>
      </c>
      <c r="ER60" s="578">
        <v>0</v>
      </c>
      <c r="ES60" s="578">
        <v>6.8040633866545097E-6</v>
      </c>
      <c r="ET60" s="578">
        <v>1.590054737634343E-5</v>
      </c>
      <c r="EU60" s="578">
        <v>0</v>
      </c>
      <c r="EV60" s="578">
        <v>9.4304036212749905E-5</v>
      </c>
      <c r="EW60" s="578">
        <v>0</v>
      </c>
      <c r="EX60" s="578">
        <v>0</v>
      </c>
      <c r="EY60" s="578">
        <v>0</v>
      </c>
      <c r="EZ60" s="578">
        <v>0</v>
      </c>
      <c r="FA60" s="578">
        <v>0</v>
      </c>
      <c r="FB60" s="578">
        <v>0</v>
      </c>
      <c r="FC60" s="578">
        <v>8.4459459459459464E-4</v>
      </c>
      <c r="FD60" s="578">
        <v>0</v>
      </c>
      <c r="FE60" s="578">
        <v>0</v>
      </c>
      <c r="FF60" s="578">
        <v>0</v>
      </c>
      <c r="FG60" s="578">
        <v>0</v>
      </c>
      <c r="FH60" s="578">
        <v>0</v>
      </c>
      <c r="FI60" s="578">
        <v>6.3714465238914561E-4</v>
      </c>
      <c r="FJ60" s="578">
        <v>1.6288221793185146E-4</v>
      </c>
      <c r="FK60" s="578">
        <v>5.0842097663602241E-6</v>
      </c>
      <c r="FL60" s="578">
        <v>0</v>
      </c>
      <c r="FM60" s="578">
        <v>1.3865181499886398E-3</v>
      </c>
      <c r="FN60" s="578">
        <v>4.9492468740369982E-4</v>
      </c>
      <c r="FO60" s="578">
        <v>0.18447129284089891</v>
      </c>
      <c r="FP60" s="578">
        <v>1.6181892666939778E-2</v>
      </c>
      <c r="FQ60" s="578">
        <v>8.170671297455849E-3</v>
      </c>
      <c r="FR60" s="578">
        <v>3.6326198052486218E-3</v>
      </c>
      <c r="FS60" s="578">
        <v>0</v>
      </c>
      <c r="FT60" s="578">
        <v>0</v>
      </c>
      <c r="FU60" s="578">
        <v>0</v>
      </c>
      <c r="FV60" s="578">
        <v>0</v>
      </c>
      <c r="FW60" s="578">
        <v>0</v>
      </c>
      <c r="FX60" s="578">
        <v>0</v>
      </c>
      <c r="FY60" s="578">
        <v>0</v>
      </c>
      <c r="FZ60" s="578">
        <v>1.7324792210773421E-5</v>
      </c>
      <c r="GA60" s="578">
        <v>0</v>
      </c>
      <c r="GB60" s="578">
        <v>0</v>
      </c>
      <c r="GC60" s="578">
        <v>3.4703975092461307E-5</v>
      </c>
      <c r="GD60" s="578">
        <v>3.3586237703238719E-6</v>
      </c>
      <c r="GE60" s="578">
        <v>0</v>
      </c>
      <c r="GF60" s="578">
        <v>1.8892957596985619E-3</v>
      </c>
      <c r="GG60" s="579">
        <v>1.0128066295653753E-2</v>
      </c>
      <c r="GH60" s="572"/>
    </row>
    <row r="61" spans="1:190">
      <c r="A61" s="572" t="s">
        <v>9292</v>
      </c>
      <c r="B61" s="577" t="s">
        <v>304</v>
      </c>
      <c r="C61" s="573" t="s">
        <v>9518</v>
      </c>
      <c r="D61" s="578">
        <v>6.6946353655270913E-5</v>
      </c>
      <c r="E61" s="578">
        <v>0</v>
      </c>
      <c r="F61" s="578">
        <v>0</v>
      </c>
      <c r="G61" s="578">
        <v>0</v>
      </c>
      <c r="H61" s="578">
        <v>0</v>
      </c>
      <c r="I61" s="578">
        <v>0</v>
      </c>
      <c r="J61" s="578">
        <v>0</v>
      </c>
      <c r="K61" s="578">
        <v>3.5522716777379133E-5</v>
      </c>
      <c r="L61" s="578">
        <v>0</v>
      </c>
      <c r="M61" s="578">
        <v>0</v>
      </c>
      <c r="N61" s="578">
        <v>0</v>
      </c>
      <c r="O61" s="578">
        <v>0</v>
      </c>
      <c r="P61" s="578">
        <v>0</v>
      </c>
      <c r="Q61" s="578">
        <v>0</v>
      </c>
      <c r="R61" s="578">
        <v>0</v>
      </c>
      <c r="S61" s="578">
        <v>0</v>
      </c>
      <c r="T61" s="578">
        <v>1.1481319892534846E-4</v>
      </c>
      <c r="U61" s="578">
        <v>5.7381125435140199E-5</v>
      </c>
      <c r="V61" s="578">
        <v>3.7303411023904025E-5</v>
      </c>
      <c r="W61" s="578">
        <v>3.7654570633724278E-3</v>
      </c>
      <c r="X61" s="578">
        <v>2.8150271266250381E-4</v>
      </c>
      <c r="Y61" s="578">
        <v>2.3604028218748344E-3</v>
      </c>
      <c r="Z61" s="578">
        <v>2.8183606803791096E-4</v>
      </c>
      <c r="AA61" s="578">
        <v>4.7604086334770977E-6</v>
      </c>
      <c r="AB61" s="578">
        <v>4.0468442873424623E-4</v>
      </c>
      <c r="AC61" s="578">
        <v>0</v>
      </c>
      <c r="AD61" s="578">
        <v>0</v>
      </c>
      <c r="AE61" s="578">
        <v>2.7039206849932404E-3</v>
      </c>
      <c r="AF61" s="578">
        <v>2.1998027763028144E-3</v>
      </c>
      <c r="AG61" s="578">
        <v>0</v>
      </c>
      <c r="AH61" s="578">
        <v>4.3578866178171999E-2</v>
      </c>
      <c r="AI61" s="578">
        <v>1.4700968927497495E-3</v>
      </c>
      <c r="AJ61" s="578">
        <v>3.4672060098237504E-4</v>
      </c>
      <c r="AK61" s="578">
        <v>1.9955101022698929E-3</v>
      </c>
      <c r="AL61" s="578">
        <v>8.9158345221112699E-5</v>
      </c>
      <c r="AM61" s="578">
        <v>0</v>
      </c>
      <c r="AN61" s="578">
        <v>2.1566597653554175E-4</v>
      </c>
      <c r="AO61" s="578">
        <v>0</v>
      </c>
      <c r="AP61" s="578">
        <v>8.9739517153748418E-3</v>
      </c>
      <c r="AQ61" s="578">
        <v>1.0138210709260945E-3</v>
      </c>
      <c r="AR61" s="578">
        <v>4.7226059339543558E-5</v>
      </c>
      <c r="AS61" s="578">
        <v>0</v>
      </c>
      <c r="AT61" s="578">
        <v>3.7301834006838667E-4</v>
      </c>
      <c r="AU61" s="578">
        <v>0</v>
      </c>
      <c r="AV61" s="578">
        <v>1.3180756096099694E-3</v>
      </c>
      <c r="AW61" s="578">
        <v>1.7164619428203616E-3</v>
      </c>
      <c r="AX61" s="578">
        <v>1.4274898780982894E-2</v>
      </c>
      <c r="AY61" s="578">
        <v>0</v>
      </c>
      <c r="AZ61" s="578">
        <v>2.5544227682709046E-3</v>
      </c>
      <c r="BA61" s="578">
        <v>1.665972511453561E-2</v>
      </c>
      <c r="BB61" s="578">
        <v>1.7235069825642479E-3</v>
      </c>
      <c r="BC61" s="578">
        <v>2.8043026599936546E-3</v>
      </c>
      <c r="BD61" s="578">
        <v>3.1048572386641661E-3</v>
      </c>
      <c r="BE61" s="578">
        <v>3.9174114194649012E-3</v>
      </c>
      <c r="BF61" s="578">
        <v>0.11411360257680872</v>
      </c>
      <c r="BG61" s="578">
        <v>3.5198515769944344E-2</v>
      </c>
      <c r="BH61" s="578">
        <v>1.3411751772659814E-2</v>
      </c>
      <c r="BI61" s="578">
        <v>9.596096503117376E-3</v>
      </c>
      <c r="BJ61" s="578">
        <v>9.9793402913802426E-3</v>
      </c>
      <c r="BK61" s="578">
        <v>1.6536214309337448E-4</v>
      </c>
      <c r="BL61" s="578">
        <v>3.6281524331455827E-3</v>
      </c>
      <c r="BM61" s="578">
        <v>1.6236257004605234E-3</v>
      </c>
      <c r="BN61" s="578">
        <v>4.9876543209876542E-3</v>
      </c>
      <c r="BO61" s="578">
        <v>7.9388841135395634E-3</v>
      </c>
      <c r="BP61" s="578">
        <v>0</v>
      </c>
      <c r="BQ61" s="578">
        <v>2.2255605630668225E-4</v>
      </c>
      <c r="BR61" s="578">
        <v>1.0668601239691463E-5</v>
      </c>
      <c r="BS61" s="578">
        <v>2.5187897670372354E-3</v>
      </c>
      <c r="BT61" s="578">
        <v>3.6423238025860496E-4</v>
      </c>
      <c r="BU61" s="578">
        <v>5.5110801717136559E-4</v>
      </c>
      <c r="BV61" s="578">
        <v>1.1790863764991242E-3</v>
      </c>
      <c r="BW61" s="578">
        <v>5.5213320607977539E-5</v>
      </c>
      <c r="BX61" s="578">
        <v>0</v>
      </c>
      <c r="BY61" s="578">
        <v>3.7661343196184317E-4</v>
      </c>
      <c r="BZ61" s="578">
        <v>1.2141213348712204E-4</v>
      </c>
      <c r="CA61" s="578">
        <v>5.6918498355165161E-4</v>
      </c>
      <c r="CB61" s="578">
        <v>2.6681558699429139E-3</v>
      </c>
      <c r="CC61" s="578">
        <v>1.7459624618070712E-4</v>
      </c>
      <c r="CD61" s="578">
        <v>0</v>
      </c>
      <c r="CE61" s="578">
        <v>0</v>
      </c>
      <c r="CF61" s="578">
        <v>0</v>
      </c>
      <c r="CG61" s="578">
        <v>3.8303848827476626E-4</v>
      </c>
      <c r="CH61" s="578">
        <v>2.5459132306481663E-4</v>
      </c>
      <c r="CI61" s="578">
        <v>1.2435645534359689E-4</v>
      </c>
      <c r="CJ61" s="578">
        <v>1.1282273812106748E-4</v>
      </c>
      <c r="CK61" s="578">
        <v>8.5731287885664725E-5</v>
      </c>
      <c r="CL61" s="578">
        <v>3.7466654677337173E-5</v>
      </c>
      <c r="CM61" s="578">
        <v>9.4973526129591378E-5</v>
      </c>
      <c r="CN61" s="578">
        <v>4.3419529139328446E-4</v>
      </c>
      <c r="CO61" s="578">
        <v>3.4164673727365904E-4</v>
      </c>
      <c r="CP61" s="578">
        <v>3.6660496973273604E-4</v>
      </c>
      <c r="CQ61" s="578">
        <v>1.2741288144231381E-4</v>
      </c>
      <c r="CR61" s="578">
        <v>3.6000464522122864E-4</v>
      </c>
      <c r="CS61" s="578">
        <v>9.6056051531246463E-4</v>
      </c>
      <c r="CT61" s="578">
        <v>6.9989209996792166E-4</v>
      </c>
      <c r="CU61" s="578">
        <v>5.7236831497992676E-4</v>
      </c>
      <c r="CV61" s="578">
        <v>3.5932669611493499E-4</v>
      </c>
      <c r="CW61" s="578">
        <v>9.7526722321916205E-4</v>
      </c>
      <c r="CX61" s="578">
        <v>1.1350494710241144E-3</v>
      </c>
      <c r="CY61" s="578">
        <v>2.9489880025643372E-3</v>
      </c>
      <c r="CZ61" s="578">
        <v>1.5113798008534851E-3</v>
      </c>
      <c r="DA61" s="578">
        <v>1.4992182647619455E-4</v>
      </c>
      <c r="DB61" s="578">
        <v>7.0395841230302698E-4</v>
      </c>
      <c r="DC61" s="578">
        <v>0</v>
      </c>
      <c r="DD61" s="578">
        <v>0</v>
      </c>
      <c r="DE61" s="578">
        <v>7.0419975648318097E-4</v>
      </c>
      <c r="DF61" s="578">
        <v>5.8910456106717787E-4</v>
      </c>
      <c r="DG61" s="578">
        <v>3.8711285980171946E-4</v>
      </c>
      <c r="DH61" s="578">
        <v>4.0778876541951268E-4</v>
      </c>
      <c r="DI61" s="578">
        <v>6.6233938269969533E-5</v>
      </c>
      <c r="DJ61" s="578">
        <v>7.5786753469418179E-4</v>
      </c>
      <c r="DK61" s="578">
        <v>7.05455441549876E-4</v>
      </c>
      <c r="DL61" s="578">
        <v>8.7371531021943896E-4</v>
      </c>
      <c r="DM61" s="578">
        <v>7.2107227689175433E-4</v>
      </c>
      <c r="DN61" s="578">
        <v>7.6751671205743991E-4</v>
      </c>
      <c r="DO61" s="578">
        <v>0</v>
      </c>
      <c r="DP61" s="578">
        <v>3.2865907099035934E-4</v>
      </c>
      <c r="DQ61" s="578">
        <v>6.7765091522271859E-4</v>
      </c>
      <c r="DR61" s="578">
        <v>8.0029610956053736E-5</v>
      </c>
      <c r="DS61" s="578">
        <v>4.8072608868434881E-5</v>
      </c>
      <c r="DT61" s="578">
        <v>3.6446070749112538E-5</v>
      </c>
      <c r="DU61" s="578">
        <v>1.9110714740731304E-4</v>
      </c>
      <c r="DV61" s="578">
        <v>8.7420339799059918E-4</v>
      </c>
      <c r="DW61" s="578">
        <v>0</v>
      </c>
      <c r="DX61" s="578">
        <v>1.7161384433398506E-4</v>
      </c>
      <c r="DY61" s="578">
        <v>3.1620053437890308E-5</v>
      </c>
      <c r="DZ61" s="578">
        <v>1.9872579713464347E-4</v>
      </c>
      <c r="EA61" s="578">
        <v>1.9588071754668304E-4</v>
      </c>
      <c r="EB61" s="578">
        <v>3.446849579484351E-5</v>
      </c>
      <c r="EC61" s="578">
        <v>7.9513864465559787E-5</v>
      </c>
      <c r="ED61" s="578">
        <v>9.4978788070664225E-5</v>
      </c>
      <c r="EE61" s="578">
        <v>0</v>
      </c>
      <c r="EF61" s="578">
        <v>0</v>
      </c>
      <c r="EG61" s="578">
        <v>0</v>
      </c>
      <c r="EH61" s="578">
        <v>0</v>
      </c>
      <c r="EI61" s="578">
        <v>1.1239996403201151E-4</v>
      </c>
      <c r="EJ61" s="578">
        <v>2.696200244994729E-6</v>
      </c>
      <c r="EK61" s="578">
        <v>9.0652174405718334E-6</v>
      </c>
      <c r="EL61" s="578">
        <v>1.0444331711975173E-5</v>
      </c>
      <c r="EM61" s="578">
        <v>0</v>
      </c>
      <c r="EN61" s="578">
        <v>1.355284423377301E-5</v>
      </c>
      <c r="EO61" s="578">
        <v>1.9697718807184938E-6</v>
      </c>
      <c r="EP61" s="578">
        <v>0</v>
      </c>
      <c r="EQ61" s="578">
        <v>2.0336294523774824E-5</v>
      </c>
      <c r="ER61" s="578">
        <v>0</v>
      </c>
      <c r="ES61" s="578">
        <v>1.0206095079981766E-4</v>
      </c>
      <c r="ET61" s="578">
        <v>8.3477873725803012E-5</v>
      </c>
      <c r="EU61" s="578">
        <v>1.29073137533295E-4</v>
      </c>
      <c r="EV61" s="578">
        <v>3.2063372312334968E-4</v>
      </c>
      <c r="EW61" s="578">
        <v>9.7227083576401035E-6</v>
      </c>
      <c r="EX61" s="578">
        <v>0</v>
      </c>
      <c r="EY61" s="578">
        <v>2.4745125210333564E-5</v>
      </c>
      <c r="EZ61" s="578">
        <v>8.6908155461308488E-5</v>
      </c>
      <c r="FA61" s="578">
        <v>6.5519350048047522E-5</v>
      </c>
      <c r="FB61" s="578">
        <v>3.204295780111105E-4</v>
      </c>
      <c r="FC61" s="578">
        <v>0</v>
      </c>
      <c r="FD61" s="578">
        <v>0</v>
      </c>
      <c r="FE61" s="578">
        <v>0</v>
      </c>
      <c r="FF61" s="578">
        <v>0</v>
      </c>
      <c r="FG61" s="578">
        <v>0</v>
      </c>
      <c r="FH61" s="578">
        <v>0</v>
      </c>
      <c r="FI61" s="578">
        <v>3.2297655190233189E-5</v>
      </c>
      <c r="FJ61" s="578">
        <v>8.0871590721408765E-5</v>
      </c>
      <c r="FK61" s="578">
        <v>3.1522100551433391E-5</v>
      </c>
      <c r="FL61" s="578">
        <v>0</v>
      </c>
      <c r="FM61" s="578">
        <v>2.3302826050229241E-5</v>
      </c>
      <c r="FN61" s="578">
        <v>0</v>
      </c>
      <c r="FO61" s="578">
        <v>4.0155412835769311E-4</v>
      </c>
      <c r="FP61" s="578">
        <v>3.040998329814389E-3</v>
      </c>
      <c r="FQ61" s="578">
        <v>1.2050070408032639E-3</v>
      </c>
      <c r="FR61" s="578">
        <v>1.0809145050322056E-3</v>
      </c>
      <c r="FS61" s="578">
        <v>1.1212647866793743E-5</v>
      </c>
      <c r="FT61" s="578">
        <v>3.6834705555814954E-4</v>
      </c>
      <c r="FU61" s="578">
        <v>6.8620050778837573E-5</v>
      </c>
      <c r="FV61" s="578">
        <v>0</v>
      </c>
      <c r="FW61" s="578">
        <v>3.7991156951977561E-4</v>
      </c>
      <c r="FX61" s="578">
        <v>1.5416007982689225E-4</v>
      </c>
      <c r="FY61" s="578">
        <v>1.2531428984552603E-3</v>
      </c>
      <c r="FZ61" s="578">
        <v>2.0616502730820374E-3</v>
      </c>
      <c r="GA61" s="578">
        <v>1.2971164480573476E-3</v>
      </c>
      <c r="GB61" s="578">
        <v>8.2822765884189627E-3</v>
      </c>
      <c r="GC61" s="578">
        <v>6.221926963005562E-4</v>
      </c>
      <c r="GD61" s="578">
        <v>9.8407676470489442E-4</v>
      </c>
      <c r="GE61" s="578">
        <v>0</v>
      </c>
      <c r="GF61" s="578">
        <v>5.9438518282651381E-4</v>
      </c>
      <c r="GG61" s="579">
        <v>9.6895235277104103E-4</v>
      </c>
      <c r="GH61" s="572"/>
    </row>
    <row r="62" spans="1:190">
      <c r="A62" s="572" t="s">
        <v>9293</v>
      </c>
      <c r="B62" s="577" t="s">
        <v>9417</v>
      </c>
      <c r="C62" s="573" t="s">
        <v>308</v>
      </c>
      <c r="D62" s="578">
        <v>0</v>
      </c>
      <c r="E62" s="578">
        <v>0</v>
      </c>
      <c r="F62" s="578">
        <v>0</v>
      </c>
      <c r="G62" s="578">
        <v>0</v>
      </c>
      <c r="H62" s="578">
        <v>0</v>
      </c>
      <c r="I62" s="578">
        <v>0</v>
      </c>
      <c r="J62" s="578">
        <v>0</v>
      </c>
      <c r="K62" s="578">
        <v>1.065681503321374E-4</v>
      </c>
      <c r="L62" s="578">
        <v>0</v>
      </c>
      <c r="M62" s="578">
        <v>0</v>
      </c>
      <c r="N62" s="578">
        <v>0</v>
      </c>
      <c r="O62" s="578">
        <v>0</v>
      </c>
      <c r="P62" s="578">
        <v>0</v>
      </c>
      <c r="Q62" s="578">
        <v>0</v>
      </c>
      <c r="R62" s="578">
        <v>0</v>
      </c>
      <c r="S62" s="578">
        <v>0</v>
      </c>
      <c r="T62" s="578">
        <v>0</v>
      </c>
      <c r="U62" s="578">
        <v>0</v>
      </c>
      <c r="V62" s="578">
        <v>0</v>
      </c>
      <c r="W62" s="578">
        <v>0</v>
      </c>
      <c r="X62" s="578">
        <v>0</v>
      </c>
      <c r="Y62" s="578">
        <v>0</v>
      </c>
      <c r="Z62" s="578">
        <v>0</v>
      </c>
      <c r="AA62" s="578">
        <v>0</v>
      </c>
      <c r="AB62" s="578">
        <v>0</v>
      </c>
      <c r="AC62" s="578">
        <v>0</v>
      </c>
      <c r="AD62" s="578">
        <v>0</v>
      </c>
      <c r="AE62" s="578">
        <v>0</v>
      </c>
      <c r="AF62" s="578">
        <v>0</v>
      </c>
      <c r="AG62" s="578">
        <v>0</v>
      </c>
      <c r="AH62" s="578">
        <v>0</v>
      </c>
      <c r="AI62" s="578">
        <v>0</v>
      </c>
      <c r="AJ62" s="578">
        <v>0</v>
      </c>
      <c r="AK62" s="578">
        <v>0</v>
      </c>
      <c r="AL62" s="578">
        <v>0</v>
      </c>
      <c r="AM62" s="578">
        <v>0</v>
      </c>
      <c r="AN62" s="578">
        <v>0</v>
      </c>
      <c r="AO62" s="578">
        <v>0</v>
      </c>
      <c r="AP62" s="578">
        <v>0</v>
      </c>
      <c r="AQ62" s="578">
        <v>0</v>
      </c>
      <c r="AR62" s="578">
        <v>0</v>
      </c>
      <c r="AS62" s="578">
        <v>0</v>
      </c>
      <c r="AT62" s="578">
        <v>0</v>
      </c>
      <c r="AU62" s="578">
        <v>0</v>
      </c>
      <c r="AV62" s="578">
        <v>0</v>
      </c>
      <c r="AW62" s="578">
        <v>0</v>
      </c>
      <c r="AX62" s="578">
        <v>0</v>
      </c>
      <c r="AY62" s="578">
        <v>0</v>
      </c>
      <c r="AZ62" s="578">
        <v>0</v>
      </c>
      <c r="BA62" s="578">
        <v>0</v>
      </c>
      <c r="BB62" s="578">
        <v>0</v>
      </c>
      <c r="BC62" s="578">
        <v>0</v>
      </c>
      <c r="BD62" s="578">
        <v>0</v>
      </c>
      <c r="BE62" s="578">
        <v>0</v>
      </c>
      <c r="BF62" s="578">
        <v>0</v>
      </c>
      <c r="BG62" s="578">
        <v>9.4619666048237471E-3</v>
      </c>
      <c r="BH62" s="578">
        <v>0</v>
      </c>
      <c r="BI62" s="578">
        <v>0</v>
      </c>
      <c r="BJ62" s="578">
        <v>0</v>
      </c>
      <c r="BK62" s="578">
        <v>0</v>
      </c>
      <c r="BL62" s="578">
        <v>0</v>
      </c>
      <c r="BM62" s="578">
        <v>0</v>
      </c>
      <c r="BN62" s="578">
        <v>0</v>
      </c>
      <c r="BO62" s="578">
        <v>0</v>
      </c>
      <c r="BP62" s="578">
        <v>0</v>
      </c>
      <c r="BQ62" s="578">
        <v>0</v>
      </c>
      <c r="BR62" s="578">
        <v>0</v>
      </c>
      <c r="BS62" s="578">
        <v>0</v>
      </c>
      <c r="BT62" s="578">
        <v>0</v>
      </c>
      <c r="BU62" s="578">
        <v>0</v>
      </c>
      <c r="BV62" s="578">
        <v>0</v>
      </c>
      <c r="BW62" s="578">
        <v>0</v>
      </c>
      <c r="BX62" s="578">
        <v>0</v>
      </c>
      <c r="BY62" s="578">
        <v>0</v>
      </c>
      <c r="BZ62" s="578">
        <v>0</v>
      </c>
      <c r="CA62" s="578">
        <v>0</v>
      </c>
      <c r="CB62" s="578">
        <v>0</v>
      </c>
      <c r="CC62" s="578">
        <v>0</v>
      </c>
      <c r="CD62" s="578">
        <v>0</v>
      </c>
      <c r="CE62" s="578">
        <v>0</v>
      </c>
      <c r="CF62" s="578">
        <v>0</v>
      </c>
      <c r="CG62" s="578">
        <v>0</v>
      </c>
      <c r="CH62" s="578">
        <v>0</v>
      </c>
      <c r="CI62" s="578">
        <v>0</v>
      </c>
      <c r="CJ62" s="578">
        <v>0</v>
      </c>
      <c r="CK62" s="578">
        <v>0</v>
      </c>
      <c r="CL62" s="578">
        <v>0</v>
      </c>
      <c r="CM62" s="578">
        <v>0</v>
      </c>
      <c r="CN62" s="578">
        <v>0</v>
      </c>
      <c r="CO62" s="578">
        <v>0</v>
      </c>
      <c r="CP62" s="578">
        <v>0</v>
      </c>
      <c r="CQ62" s="578">
        <v>0</v>
      </c>
      <c r="CR62" s="578">
        <v>0</v>
      </c>
      <c r="CS62" s="578">
        <v>0</v>
      </c>
      <c r="CT62" s="578">
        <v>0</v>
      </c>
      <c r="CU62" s="578">
        <v>0</v>
      </c>
      <c r="CV62" s="578">
        <v>0</v>
      </c>
      <c r="CW62" s="578">
        <v>0</v>
      </c>
      <c r="CX62" s="578">
        <v>0</v>
      </c>
      <c r="CY62" s="578">
        <v>0</v>
      </c>
      <c r="CZ62" s="578">
        <v>0</v>
      </c>
      <c r="DA62" s="578">
        <v>0</v>
      </c>
      <c r="DB62" s="578">
        <v>0</v>
      </c>
      <c r="DC62" s="578">
        <v>0</v>
      </c>
      <c r="DD62" s="578">
        <v>0</v>
      </c>
      <c r="DE62" s="578">
        <v>0</v>
      </c>
      <c r="DF62" s="578">
        <v>0</v>
      </c>
      <c r="DG62" s="578">
        <v>0</v>
      </c>
      <c r="DH62" s="578">
        <v>0</v>
      </c>
      <c r="DI62" s="578">
        <v>0</v>
      </c>
      <c r="DJ62" s="578">
        <v>0</v>
      </c>
      <c r="DK62" s="578">
        <v>0</v>
      </c>
      <c r="DL62" s="578">
        <v>0</v>
      </c>
      <c r="DM62" s="578">
        <v>0</v>
      </c>
      <c r="DN62" s="578">
        <v>0</v>
      </c>
      <c r="DO62" s="578">
        <v>0</v>
      </c>
      <c r="DP62" s="578">
        <v>0</v>
      </c>
      <c r="DQ62" s="578">
        <v>0</v>
      </c>
      <c r="DR62" s="578">
        <v>0</v>
      </c>
      <c r="DS62" s="578">
        <v>0</v>
      </c>
      <c r="DT62" s="578">
        <v>0</v>
      </c>
      <c r="DU62" s="578">
        <v>0</v>
      </c>
      <c r="DV62" s="578">
        <v>0</v>
      </c>
      <c r="DW62" s="578">
        <v>0</v>
      </c>
      <c r="DX62" s="578">
        <v>0</v>
      </c>
      <c r="DY62" s="578">
        <v>0</v>
      </c>
      <c r="DZ62" s="578">
        <v>0</v>
      </c>
      <c r="EA62" s="578">
        <v>0</v>
      </c>
      <c r="EB62" s="578">
        <v>0</v>
      </c>
      <c r="EC62" s="578">
        <v>0</v>
      </c>
      <c r="ED62" s="578">
        <v>0</v>
      </c>
      <c r="EE62" s="578">
        <v>0</v>
      </c>
      <c r="EF62" s="578">
        <v>0</v>
      </c>
      <c r="EG62" s="578">
        <v>0</v>
      </c>
      <c r="EH62" s="578">
        <v>0</v>
      </c>
      <c r="EI62" s="578">
        <v>0</v>
      </c>
      <c r="EJ62" s="578">
        <v>0</v>
      </c>
      <c r="EK62" s="578">
        <v>0</v>
      </c>
      <c r="EL62" s="578">
        <v>0</v>
      </c>
      <c r="EM62" s="578">
        <v>0</v>
      </c>
      <c r="EN62" s="578">
        <v>0</v>
      </c>
      <c r="EO62" s="578">
        <v>0</v>
      </c>
      <c r="EP62" s="578">
        <v>0</v>
      </c>
      <c r="EQ62" s="578">
        <v>0</v>
      </c>
      <c r="ER62" s="578">
        <v>0</v>
      </c>
      <c r="ES62" s="578">
        <v>0</v>
      </c>
      <c r="ET62" s="578">
        <v>0</v>
      </c>
      <c r="EU62" s="578">
        <v>0</v>
      </c>
      <c r="EV62" s="578">
        <v>0</v>
      </c>
      <c r="EW62" s="578">
        <v>0</v>
      </c>
      <c r="EX62" s="578">
        <v>3.8546043248660526E-5</v>
      </c>
      <c r="EY62" s="578">
        <v>0</v>
      </c>
      <c r="EZ62" s="578">
        <v>0</v>
      </c>
      <c r="FA62" s="578">
        <v>0</v>
      </c>
      <c r="FB62" s="578">
        <v>0</v>
      </c>
      <c r="FC62" s="578">
        <v>0</v>
      </c>
      <c r="FD62" s="578">
        <v>0</v>
      </c>
      <c r="FE62" s="578">
        <v>2.0987239758226999E-5</v>
      </c>
      <c r="FF62" s="578">
        <v>0</v>
      </c>
      <c r="FG62" s="578">
        <v>0</v>
      </c>
      <c r="FH62" s="578">
        <v>1.3006015282067957E-4</v>
      </c>
      <c r="FI62" s="578">
        <v>0</v>
      </c>
      <c r="FJ62" s="578">
        <v>0</v>
      </c>
      <c r="FK62" s="578">
        <v>0</v>
      </c>
      <c r="FL62" s="578">
        <v>0</v>
      </c>
      <c r="FM62" s="578">
        <v>0</v>
      </c>
      <c r="FN62" s="578">
        <v>0</v>
      </c>
      <c r="FO62" s="578">
        <v>2.9708073614625879E-6</v>
      </c>
      <c r="FP62" s="578">
        <v>5.3571991302429651E-4</v>
      </c>
      <c r="FQ62" s="578">
        <v>0</v>
      </c>
      <c r="FR62" s="578">
        <v>0</v>
      </c>
      <c r="FS62" s="578">
        <v>0</v>
      </c>
      <c r="FT62" s="578">
        <v>0</v>
      </c>
      <c r="FU62" s="578">
        <v>0</v>
      </c>
      <c r="FV62" s="578">
        <v>0</v>
      </c>
      <c r="FW62" s="578">
        <v>0</v>
      </c>
      <c r="FX62" s="578">
        <v>0</v>
      </c>
      <c r="FY62" s="578">
        <v>0</v>
      </c>
      <c r="FZ62" s="578">
        <v>4.7643178579626912E-4</v>
      </c>
      <c r="GA62" s="578">
        <v>0</v>
      </c>
      <c r="GB62" s="578">
        <v>1.6823963890028725E-2</v>
      </c>
      <c r="GC62" s="578">
        <v>2.4144051242898077E-3</v>
      </c>
      <c r="GD62" s="578">
        <v>1.0478906163410482E-3</v>
      </c>
      <c r="GE62" s="578">
        <v>0</v>
      </c>
      <c r="GF62" s="578">
        <v>4.1925383431513029E-4</v>
      </c>
      <c r="GG62" s="579">
        <v>1.6353268800509423E-4</v>
      </c>
      <c r="GH62" s="572"/>
    </row>
    <row r="63" spans="1:190">
      <c r="A63" s="572" t="s">
        <v>9294</v>
      </c>
      <c r="B63" s="577" t="s">
        <v>9418</v>
      </c>
      <c r="C63" s="573" t="s">
        <v>9519</v>
      </c>
      <c r="D63" s="578">
        <v>0</v>
      </c>
      <c r="E63" s="578">
        <v>0</v>
      </c>
      <c r="F63" s="578">
        <v>0</v>
      </c>
      <c r="G63" s="578">
        <v>0</v>
      </c>
      <c r="H63" s="578">
        <v>0</v>
      </c>
      <c r="I63" s="578">
        <v>0</v>
      </c>
      <c r="J63" s="578">
        <v>0</v>
      </c>
      <c r="K63" s="578">
        <v>0</v>
      </c>
      <c r="L63" s="578">
        <v>0</v>
      </c>
      <c r="M63" s="578">
        <v>0</v>
      </c>
      <c r="N63" s="578">
        <v>0</v>
      </c>
      <c r="O63" s="578">
        <v>3.3283699745992818E-3</v>
      </c>
      <c r="P63" s="578">
        <v>0</v>
      </c>
      <c r="Q63" s="578">
        <v>0</v>
      </c>
      <c r="R63" s="578">
        <v>0</v>
      </c>
      <c r="S63" s="578">
        <v>0</v>
      </c>
      <c r="T63" s="578">
        <v>0</v>
      </c>
      <c r="U63" s="578">
        <v>0</v>
      </c>
      <c r="V63" s="578">
        <v>0</v>
      </c>
      <c r="W63" s="578">
        <v>0</v>
      </c>
      <c r="X63" s="578">
        <v>0</v>
      </c>
      <c r="Y63" s="578">
        <v>0</v>
      </c>
      <c r="Z63" s="578">
        <v>0</v>
      </c>
      <c r="AA63" s="578">
        <v>0</v>
      </c>
      <c r="AB63" s="578">
        <v>0</v>
      </c>
      <c r="AC63" s="578">
        <v>0</v>
      </c>
      <c r="AD63" s="578">
        <v>0</v>
      </c>
      <c r="AE63" s="578">
        <v>0</v>
      </c>
      <c r="AF63" s="578">
        <v>1.517105362967458E-4</v>
      </c>
      <c r="AG63" s="578">
        <v>0</v>
      </c>
      <c r="AH63" s="578">
        <v>0</v>
      </c>
      <c r="AI63" s="578">
        <v>2.6729034413631807E-4</v>
      </c>
      <c r="AJ63" s="578">
        <v>0</v>
      </c>
      <c r="AK63" s="578">
        <v>3.7415814417560486E-4</v>
      </c>
      <c r="AL63" s="578">
        <v>4.4579172610556349E-5</v>
      </c>
      <c r="AM63" s="578">
        <v>1.0331764435770865E-3</v>
      </c>
      <c r="AN63" s="578">
        <v>7.030710835058661E-3</v>
      </c>
      <c r="AO63" s="578">
        <v>9.9102892120348472E-3</v>
      </c>
      <c r="AP63" s="578">
        <v>0</v>
      </c>
      <c r="AQ63" s="578">
        <v>1.0138210709260945E-3</v>
      </c>
      <c r="AR63" s="578">
        <v>3.1641459757494185E-3</v>
      </c>
      <c r="AS63" s="578">
        <v>1.3170760440596101E-2</v>
      </c>
      <c r="AT63" s="578">
        <v>1.9687079059164852E-3</v>
      </c>
      <c r="AU63" s="578">
        <v>2.8893506323522195E-2</v>
      </c>
      <c r="AV63" s="578">
        <v>0</v>
      </c>
      <c r="AW63" s="578">
        <v>0</v>
      </c>
      <c r="AX63" s="578">
        <v>0</v>
      </c>
      <c r="AY63" s="578">
        <v>0</v>
      </c>
      <c r="AZ63" s="578">
        <v>0</v>
      </c>
      <c r="BA63" s="578">
        <v>0</v>
      </c>
      <c r="BB63" s="578">
        <v>0</v>
      </c>
      <c r="BC63" s="578">
        <v>0</v>
      </c>
      <c r="BD63" s="578">
        <v>0</v>
      </c>
      <c r="BE63" s="578">
        <v>0</v>
      </c>
      <c r="BF63" s="578">
        <v>0</v>
      </c>
      <c r="BG63" s="578">
        <v>1.4842300556586271E-5</v>
      </c>
      <c r="BH63" s="578">
        <v>1.1501676468971583E-2</v>
      </c>
      <c r="BI63" s="578">
        <v>0</v>
      </c>
      <c r="BJ63" s="578">
        <v>0</v>
      </c>
      <c r="BK63" s="578">
        <v>0</v>
      </c>
      <c r="BL63" s="578">
        <v>2.1565941036180038E-4</v>
      </c>
      <c r="BM63" s="578">
        <v>8.5417825990377323E-4</v>
      </c>
      <c r="BN63" s="578">
        <v>0</v>
      </c>
      <c r="BO63" s="578">
        <v>4.9255850339479052E-4</v>
      </c>
      <c r="BP63" s="578">
        <v>0</v>
      </c>
      <c r="BQ63" s="578">
        <v>6.1202915484337612E-4</v>
      </c>
      <c r="BR63" s="578">
        <v>1.1308717314072953E-3</v>
      </c>
      <c r="BS63" s="578">
        <v>6.1705291481635091E-4</v>
      </c>
      <c r="BT63" s="578">
        <v>3.6423238025860496E-4</v>
      </c>
      <c r="BU63" s="578">
        <v>1.0151989789998839E-3</v>
      </c>
      <c r="BV63" s="578">
        <v>1.6844091092844631E-4</v>
      </c>
      <c r="BW63" s="578">
        <v>0</v>
      </c>
      <c r="BX63" s="578">
        <v>0</v>
      </c>
      <c r="BY63" s="578">
        <v>6.2560370757781258E-6</v>
      </c>
      <c r="BZ63" s="578">
        <v>3.3112400041942373E-5</v>
      </c>
      <c r="CA63" s="578">
        <v>1.0631058370468864E-3</v>
      </c>
      <c r="CB63" s="578">
        <v>3.4748076445768178E-4</v>
      </c>
      <c r="CC63" s="578">
        <v>0</v>
      </c>
      <c r="CD63" s="578">
        <v>0</v>
      </c>
      <c r="CE63" s="578">
        <v>0</v>
      </c>
      <c r="CF63" s="578">
        <v>3.6317700931627981E-3</v>
      </c>
      <c r="CG63" s="578">
        <v>4.2559832030529588E-5</v>
      </c>
      <c r="CH63" s="578">
        <v>8.2742179996065403E-3</v>
      </c>
      <c r="CI63" s="578">
        <v>1.5668913373293207E-3</v>
      </c>
      <c r="CJ63" s="578">
        <v>1.9093078758949881E-3</v>
      </c>
      <c r="CK63" s="578">
        <v>4.7580864776543916E-3</v>
      </c>
      <c r="CL63" s="578">
        <v>2.7125857986392112E-4</v>
      </c>
      <c r="CM63" s="578">
        <v>7.1705012227841493E-4</v>
      </c>
      <c r="CN63" s="578">
        <v>1.0613662678502509E-3</v>
      </c>
      <c r="CO63" s="578">
        <v>1.8790570550051248E-3</v>
      </c>
      <c r="CP63" s="578">
        <v>2.5930595420120355E-3</v>
      </c>
      <c r="CQ63" s="578">
        <v>1.9748996623558642E-3</v>
      </c>
      <c r="CR63" s="578">
        <v>1.6461502729067472E-3</v>
      </c>
      <c r="CS63" s="578">
        <v>1.2995818736580404E-3</v>
      </c>
      <c r="CT63" s="578">
        <v>1.7497302499198039E-3</v>
      </c>
      <c r="CU63" s="578">
        <v>2.1443657997839509E-3</v>
      </c>
      <c r="CV63" s="578">
        <v>2.2303036310582173E-3</v>
      </c>
      <c r="CW63" s="578">
        <v>2.0675665132246237E-3</v>
      </c>
      <c r="CX63" s="578">
        <v>2.0916320440884624E-3</v>
      </c>
      <c r="CY63" s="578">
        <v>1.0532100009158349E-3</v>
      </c>
      <c r="CZ63" s="578">
        <v>4.2318634423897583E-3</v>
      </c>
      <c r="DA63" s="578">
        <v>3.4267846051701614E-4</v>
      </c>
      <c r="DB63" s="578">
        <v>7.0395841230302698E-4</v>
      </c>
      <c r="DC63" s="578">
        <v>0</v>
      </c>
      <c r="DD63" s="578">
        <v>1.9323671497584541E-3</v>
      </c>
      <c r="DE63" s="578">
        <v>0</v>
      </c>
      <c r="DF63" s="578">
        <v>7.1890726096333576E-4</v>
      </c>
      <c r="DG63" s="578">
        <v>1.7562238780835071E-3</v>
      </c>
      <c r="DH63" s="578">
        <v>1.9709790328609781E-3</v>
      </c>
      <c r="DI63" s="578">
        <v>1.4902636110743145E-3</v>
      </c>
      <c r="DJ63" s="578">
        <v>1.9008808657083576E-3</v>
      </c>
      <c r="DK63" s="578">
        <v>3.9186600212119818E-3</v>
      </c>
      <c r="DL63" s="578">
        <v>3.060528774525896E-3</v>
      </c>
      <c r="DM63" s="578">
        <v>1.1169550955774234E-3</v>
      </c>
      <c r="DN63" s="578">
        <v>1.3452174630684162E-3</v>
      </c>
      <c r="DO63" s="578">
        <v>0</v>
      </c>
      <c r="DP63" s="578">
        <v>6.3978965819456619E-3</v>
      </c>
      <c r="DQ63" s="578">
        <v>9.7156230054606055E-3</v>
      </c>
      <c r="DR63" s="578">
        <v>1.163763925985948E-3</v>
      </c>
      <c r="DS63" s="578">
        <v>7.4865076211109256E-3</v>
      </c>
      <c r="DT63" s="578">
        <v>2.6824308071346828E-3</v>
      </c>
      <c r="DU63" s="578">
        <v>1.2421964581475348E-3</v>
      </c>
      <c r="DV63" s="578">
        <v>1.9891294707902038E-3</v>
      </c>
      <c r="DW63" s="578">
        <v>9.6090628635007325E-3</v>
      </c>
      <c r="DX63" s="578">
        <v>5.9268066953915557E-3</v>
      </c>
      <c r="DY63" s="578">
        <v>0</v>
      </c>
      <c r="DZ63" s="578">
        <v>4.250711118371526E-3</v>
      </c>
      <c r="EA63" s="578">
        <v>3.2921316051311845E-3</v>
      </c>
      <c r="EB63" s="578">
        <v>5.802196792131991E-3</v>
      </c>
      <c r="EC63" s="578">
        <v>1.0642624936159542E-3</v>
      </c>
      <c r="ED63" s="578">
        <v>3.6182395455491129E-4</v>
      </c>
      <c r="EE63" s="578">
        <v>0</v>
      </c>
      <c r="EF63" s="578">
        <v>0</v>
      </c>
      <c r="EG63" s="578">
        <v>0</v>
      </c>
      <c r="EH63" s="578">
        <v>2.3961661341853036E-4</v>
      </c>
      <c r="EI63" s="578">
        <v>0</v>
      </c>
      <c r="EJ63" s="578">
        <v>0</v>
      </c>
      <c r="EK63" s="578">
        <v>0</v>
      </c>
      <c r="EL63" s="578">
        <v>0</v>
      </c>
      <c r="EM63" s="578">
        <v>0</v>
      </c>
      <c r="EN63" s="578">
        <v>0</v>
      </c>
      <c r="EO63" s="578">
        <v>1.5758175045747951E-5</v>
      </c>
      <c r="EP63" s="578">
        <v>3.4511448473474688E-5</v>
      </c>
      <c r="EQ63" s="578">
        <v>0</v>
      </c>
      <c r="ER63" s="578">
        <v>0</v>
      </c>
      <c r="ES63" s="578">
        <v>0</v>
      </c>
      <c r="ET63" s="578">
        <v>0</v>
      </c>
      <c r="EU63" s="578">
        <v>0</v>
      </c>
      <c r="EV63" s="578">
        <v>0</v>
      </c>
      <c r="EW63" s="578">
        <v>0</v>
      </c>
      <c r="EX63" s="578">
        <v>1.1563812974598157E-4</v>
      </c>
      <c r="EY63" s="578">
        <v>0</v>
      </c>
      <c r="EZ63" s="578">
        <v>0</v>
      </c>
      <c r="FA63" s="578">
        <v>4.367956669869835E-5</v>
      </c>
      <c r="FB63" s="578">
        <v>1.3491771705730968E-5</v>
      </c>
      <c r="FC63" s="578">
        <v>0</v>
      </c>
      <c r="FD63" s="578">
        <v>0</v>
      </c>
      <c r="FE63" s="578">
        <v>6.296171927468099E-5</v>
      </c>
      <c r="FF63" s="578">
        <v>0</v>
      </c>
      <c r="FG63" s="578">
        <v>0</v>
      </c>
      <c r="FH63" s="578">
        <v>8.3888798569338313E-3</v>
      </c>
      <c r="FI63" s="578">
        <v>4.4042257077590711E-5</v>
      </c>
      <c r="FJ63" s="578">
        <v>1.5490896250861395E-4</v>
      </c>
      <c r="FK63" s="578">
        <v>0</v>
      </c>
      <c r="FL63" s="578">
        <v>0</v>
      </c>
      <c r="FM63" s="578">
        <v>0</v>
      </c>
      <c r="FN63" s="578">
        <v>0</v>
      </c>
      <c r="FO63" s="578">
        <v>0</v>
      </c>
      <c r="FP63" s="578">
        <v>0</v>
      </c>
      <c r="FQ63" s="578">
        <v>0</v>
      </c>
      <c r="FR63" s="578">
        <v>0</v>
      </c>
      <c r="FS63" s="578">
        <v>2.354656052026686E-4</v>
      </c>
      <c r="FT63" s="578">
        <v>1.5563960094006318E-5</v>
      </c>
      <c r="FU63" s="578">
        <v>0</v>
      </c>
      <c r="FV63" s="578">
        <v>3.8749947635205897E-3</v>
      </c>
      <c r="FW63" s="578">
        <v>8.0266423092156848E-3</v>
      </c>
      <c r="FX63" s="578">
        <v>1.2893388494612806E-4</v>
      </c>
      <c r="FY63" s="578">
        <v>1.2138706138882864E-4</v>
      </c>
      <c r="FZ63" s="578">
        <v>0</v>
      </c>
      <c r="GA63" s="578">
        <v>0</v>
      </c>
      <c r="GB63" s="578">
        <v>0</v>
      </c>
      <c r="GC63" s="578">
        <v>9.4196503822394968E-5</v>
      </c>
      <c r="GD63" s="578">
        <v>1.8808293113813684E-4</v>
      </c>
      <c r="GE63" s="578">
        <v>0</v>
      </c>
      <c r="GF63" s="578">
        <v>6.3684126731412198E-5</v>
      </c>
      <c r="GG63" s="579">
        <v>8.8096144797093691E-4</v>
      </c>
      <c r="GH63" s="572"/>
    </row>
    <row r="64" spans="1:190">
      <c r="A64" s="572" t="s">
        <v>9295</v>
      </c>
      <c r="B64" s="577" t="s">
        <v>9419</v>
      </c>
      <c r="C64" s="573" t="s">
        <v>313</v>
      </c>
      <c r="D64" s="578">
        <v>5.4873694546103725E-2</v>
      </c>
      <c r="E64" s="578">
        <v>0.11006558311947534</v>
      </c>
      <c r="F64" s="578">
        <v>3.1181503217139219E-2</v>
      </c>
      <c r="G64" s="578">
        <v>5.2572706935123045E-2</v>
      </c>
      <c r="H64" s="578">
        <v>3.5714285714285712E-2</v>
      </c>
      <c r="I64" s="578">
        <v>2.6388662648639843E-2</v>
      </c>
      <c r="J64" s="578">
        <v>1.7555444603714024E-3</v>
      </c>
      <c r="K64" s="578">
        <v>2.9483854925224681E-3</v>
      </c>
      <c r="L64" s="578">
        <v>4.5180722891566266E-4</v>
      </c>
      <c r="M64" s="578">
        <v>0</v>
      </c>
      <c r="N64" s="578">
        <v>0</v>
      </c>
      <c r="O64" s="578">
        <v>0</v>
      </c>
      <c r="P64" s="578">
        <v>0</v>
      </c>
      <c r="Q64" s="578">
        <v>0</v>
      </c>
      <c r="R64" s="578">
        <v>0</v>
      </c>
      <c r="S64" s="578">
        <v>0</v>
      </c>
      <c r="T64" s="578">
        <v>0</v>
      </c>
      <c r="U64" s="578">
        <v>0</v>
      </c>
      <c r="V64" s="578">
        <v>0</v>
      </c>
      <c r="W64" s="578">
        <v>0</v>
      </c>
      <c r="X64" s="578">
        <v>0</v>
      </c>
      <c r="Y64" s="578">
        <v>0</v>
      </c>
      <c r="Z64" s="578">
        <v>0</v>
      </c>
      <c r="AA64" s="578">
        <v>0</v>
      </c>
      <c r="AB64" s="578">
        <v>0</v>
      </c>
      <c r="AC64" s="578">
        <v>0</v>
      </c>
      <c r="AD64" s="578">
        <v>0</v>
      </c>
      <c r="AE64" s="578">
        <v>0</v>
      </c>
      <c r="AF64" s="578">
        <v>0</v>
      </c>
      <c r="AG64" s="578">
        <v>0</v>
      </c>
      <c r="AH64" s="578">
        <v>0</v>
      </c>
      <c r="AI64" s="578">
        <v>0</v>
      </c>
      <c r="AJ64" s="578">
        <v>0</v>
      </c>
      <c r="AK64" s="578">
        <v>0</v>
      </c>
      <c r="AL64" s="578">
        <v>0</v>
      </c>
      <c r="AM64" s="578">
        <v>0</v>
      </c>
      <c r="AN64" s="578">
        <v>6.0386473429951688E-4</v>
      </c>
      <c r="AO64" s="578">
        <v>0</v>
      </c>
      <c r="AP64" s="578">
        <v>0</v>
      </c>
      <c r="AQ64" s="578">
        <v>0</v>
      </c>
      <c r="AR64" s="578">
        <v>0</v>
      </c>
      <c r="AS64" s="578">
        <v>0</v>
      </c>
      <c r="AT64" s="578">
        <v>0</v>
      </c>
      <c r="AU64" s="578">
        <v>0</v>
      </c>
      <c r="AV64" s="578">
        <v>0</v>
      </c>
      <c r="AW64" s="578">
        <v>0</v>
      </c>
      <c r="AX64" s="578">
        <v>0</v>
      </c>
      <c r="AY64" s="578">
        <v>0</v>
      </c>
      <c r="AZ64" s="578">
        <v>0</v>
      </c>
      <c r="BA64" s="578">
        <v>0</v>
      </c>
      <c r="BB64" s="578">
        <v>2.360968469266093E-5</v>
      </c>
      <c r="BC64" s="578">
        <v>0</v>
      </c>
      <c r="BD64" s="578">
        <v>0</v>
      </c>
      <c r="BE64" s="578">
        <v>0</v>
      </c>
      <c r="BF64" s="578">
        <v>0</v>
      </c>
      <c r="BG64" s="578">
        <v>0</v>
      </c>
      <c r="BH64" s="578">
        <v>0</v>
      </c>
      <c r="BI64" s="578">
        <v>0.13141772838167526</v>
      </c>
      <c r="BJ64" s="578">
        <v>1.1133974705258948E-4</v>
      </c>
      <c r="BK64" s="578">
        <v>0</v>
      </c>
      <c r="BL64" s="578">
        <v>0</v>
      </c>
      <c r="BM64" s="578">
        <v>0</v>
      </c>
      <c r="BN64" s="578">
        <v>0</v>
      </c>
      <c r="BO64" s="578">
        <v>0</v>
      </c>
      <c r="BP64" s="578">
        <v>0</v>
      </c>
      <c r="BQ64" s="578">
        <v>0</v>
      </c>
      <c r="BR64" s="578">
        <v>0</v>
      </c>
      <c r="BS64" s="578">
        <v>0</v>
      </c>
      <c r="BT64" s="578">
        <v>0</v>
      </c>
      <c r="BU64" s="578">
        <v>0</v>
      </c>
      <c r="BV64" s="578">
        <v>0</v>
      </c>
      <c r="BW64" s="578">
        <v>0</v>
      </c>
      <c r="BX64" s="578">
        <v>0</v>
      </c>
      <c r="BY64" s="578">
        <v>0</v>
      </c>
      <c r="BZ64" s="578">
        <v>0</v>
      </c>
      <c r="CA64" s="578">
        <v>0</v>
      </c>
      <c r="CB64" s="578">
        <v>0</v>
      </c>
      <c r="CC64" s="578">
        <v>0</v>
      </c>
      <c r="CD64" s="578">
        <v>0</v>
      </c>
      <c r="CE64" s="578">
        <v>0</v>
      </c>
      <c r="CF64" s="578">
        <v>0</v>
      </c>
      <c r="CG64" s="578">
        <v>0</v>
      </c>
      <c r="CH64" s="578">
        <v>0</v>
      </c>
      <c r="CI64" s="578">
        <v>0</v>
      </c>
      <c r="CJ64" s="578">
        <v>0</v>
      </c>
      <c r="CK64" s="578">
        <v>0</v>
      </c>
      <c r="CL64" s="578">
        <v>0</v>
      </c>
      <c r="CM64" s="578">
        <v>0</v>
      </c>
      <c r="CN64" s="578">
        <v>0</v>
      </c>
      <c r="CO64" s="578">
        <v>0</v>
      </c>
      <c r="CP64" s="578">
        <v>0</v>
      </c>
      <c r="CQ64" s="578">
        <v>0</v>
      </c>
      <c r="CR64" s="578">
        <v>0</v>
      </c>
      <c r="CS64" s="578">
        <v>0</v>
      </c>
      <c r="CT64" s="578">
        <v>0</v>
      </c>
      <c r="CU64" s="578">
        <v>0</v>
      </c>
      <c r="CV64" s="578">
        <v>0</v>
      </c>
      <c r="CW64" s="578">
        <v>0</v>
      </c>
      <c r="CX64" s="578">
        <v>0</v>
      </c>
      <c r="CY64" s="578">
        <v>0</v>
      </c>
      <c r="CZ64" s="578">
        <v>0</v>
      </c>
      <c r="DA64" s="578">
        <v>0</v>
      </c>
      <c r="DB64" s="578">
        <v>0</v>
      </c>
      <c r="DC64" s="578">
        <v>0</v>
      </c>
      <c r="DD64" s="578">
        <v>0</v>
      </c>
      <c r="DE64" s="578">
        <v>0</v>
      </c>
      <c r="DF64" s="578">
        <v>0</v>
      </c>
      <c r="DG64" s="578">
        <v>0</v>
      </c>
      <c r="DH64" s="578">
        <v>0</v>
      </c>
      <c r="DI64" s="578">
        <v>0</v>
      </c>
      <c r="DJ64" s="578">
        <v>0</v>
      </c>
      <c r="DK64" s="578">
        <v>0</v>
      </c>
      <c r="DL64" s="578">
        <v>0</v>
      </c>
      <c r="DM64" s="578">
        <v>0</v>
      </c>
      <c r="DN64" s="578">
        <v>0</v>
      </c>
      <c r="DO64" s="578">
        <v>0</v>
      </c>
      <c r="DP64" s="578">
        <v>0</v>
      </c>
      <c r="DQ64" s="578">
        <v>0</v>
      </c>
      <c r="DR64" s="578">
        <v>0</v>
      </c>
      <c r="DS64" s="578">
        <v>0</v>
      </c>
      <c r="DT64" s="578">
        <v>0</v>
      </c>
      <c r="DU64" s="578">
        <v>0</v>
      </c>
      <c r="DV64" s="578">
        <v>0</v>
      </c>
      <c r="DW64" s="578">
        <v>0</v>
      </c>
      <c r="DX64" s="578">
        <v>0</v>
      </c>
      <c r="DY64" s="578">
        <v>0</v>
      </c>
      <c r="DZ64" s="578">
        <v>0</v>
      </c>
      <c r="EA64" s="578">
        <v>0</v>
      </c>
      <c r="EB64" s="578">
        <v>0</v>
      </c>
      <c r="EC64" s="578">
        <v>0</v>
      </c>
      <c r="ED64" s="578">
        <v>0</v>
      </c>
      <c r="EE64" s="578">
        <v>0</v>
      </c>
      <c r="EF64" s="578">
        <v>0</v>
      </c>
      <c r="EG64" s="578">
        <v>0</v>
      </c>
      <c r="EH64" s="578">
        <v>0</v>
      </c>
      <c r="EI64" s="578">
        <v>0</v>
      </c>
      <c r="EJ64" s="578">
        <v>0</v>
      </c>
      <c r="EK64" s="578">
        <v>0</v>
      </c>
      <c r="EL64" s="578">
        <v>0</v>
      </c>
      <c r="EM64" s="578">
        <v>0</v>
      </c>
      <c r="EN64" s="578">
        <v>0</v>
      </c>
      <c r="EO64" s="578">
        <v>0</v>
      </c>
      <c r="EP64" s="578">
        <v>0</v>
      </c>
      <c r="EQ64" s="578">
        <v>3.7283206626920511E-5</v>
      </c>
      <c r="ER64" s="578">
        <v>0</v>
      </c>
      <c r="ES64" s="578">
        <v>0</v>
      </c>
      <c r="ET64" s="578">
        <v>0</v>
      </c>
      <c r="EU64" s="578">
        <v>0</v>
      </c>
      <c r="EV64" s="578">
        <v>0</v>
      </c>
      <c r="EW64" s="578">
        <v>0</v>
      </c>
      <c r="EX64" s="578">
        <v>0</v>
      </c>
      <c r="EY64" s="578">
        <v>0</v>
      </c>
      <c r="EZ64" s="578">
        <v>0</v>
      </c>
      <c r="FA64" s="578">
        <v>0</v>
      </c>
      <c r="FB64" s="578">
        <v>0</v>
      </c>
      <c r="FC64" s="578">
        <v>0</v>
      </c>
      <c r="FD64" s="578">
        <v>0</v>
      </c>
      <c r="FE64" s="578">
        <v>0</v>
      </c>
      <c r="FF64" s="578">
        <v>0</v>
      </c>
      <c r="FG64" s="578">
        <v>0</v>
      </c>
      <c r="FH64" s="578">
        <v>0</v>
      </c>
      <c r="FI64" s="578">
        <v>8.8084514155181428E-6</v>
      </c>
      <c r="FJ64" s="578">
        <v>1.4237956112924077E-4</v>
      </c>
      <c r="FK64" s="578">
        <v>0</v>
      </c>
      <c r="FL64" s="578">
        <v>0</v>
      </c>
      <c r="FM64" s="578">
        <v>0</v>
      </c>
      <c r="FN64" s="578">
        <v>0</v>
      </c>
      <c r="FO64" s="578">
        <v>0</v>
      </c>
      <c r="FP64" s="578">
        <v>0</v>
      </c>
      <c r="FQ64" s="578">
        <v>0</v>
      </c>
      <c r="FR64" s="578">
        <v>0</v>
      </c>
      <c r="FS64" s="578">
        <v>0</v>
      </c>
      <c r="FT64" s="578">
        <v>0</v>
      </c>
      <c r="FU64" s="578">
        <v>0</v>
      </c>
      <c r="FV64" s="578">
        <v>0</v>
      </c>
      <c r="FW64" s="578">
        <v>0</v>
      </c>
      <c r="FX64" s="578">
        <v>0</v>
      </c>
      <c r="FY64" s="578">
        <v>8.479243258778471E-5</v>
      </c>
      <c r="FZ64" s="578">
        <v>0</v>
      </c>
      <c r="GA64" s="578">
        <v>0</v>
      </c>
      <c r="GB64" s="578">
        <v>0</v>
      </c>
      <c r="GC64" s="578">
        <v>3.2225119728714069E-4</v>
      </c>
      <c r="GD64" s="578">
        <v>1.2829942802637191E-3</v>
      </c>
      <c r="GE64" s="578">
        <v>0</v>
      </c>
      <c r="GF64" s="578">
        <v>0</v>
      </c>
      <c r="GG64" s="579">
        <v>2.0354955515309954E-4</v>
      </c>
      <c r="GH64" s="572"/>
    </row>
    <row r="65" spans="1:190">
      <c r="A65" s="572" t="s">
        <v>9296</v>
      </c>
      <c r="B65" s="577" t="s">
        <v>9420</v>
      </c>
      <c r="C65" s="573" t="s">
        <v>6428</v>
      </c>
      <c r="D65" s="578">
        <v>0</v>
      </c>
      <c r="E65" s="578">
        <v>0</v>
      </c>
      <c r="F65" s="578">
        <v>0</v>
      </c>
      <c r="G65" s="578">
        <v>0</v>
      </c>
      <c r="H65" s="578">
        <v>0</v>
      </c>
      <c r="I65" s="578">
        <v>0</v>
      </c>
      <c r="J65" s="578">
        <v>0</v>
      </c>
      <c r="K65" s="578">
        <v>0</v>
      </c>
      <c r="L65" s="578">
        <v>4.5180722891566266E-4</v>
      </c>
      <c r="M65" s="578">
        <v>0</v>
      </c>
      <c r="N65" s="578">
        <v>0</v>
      </c>
      <c r="O65" s="578">
        <v>3.9414907593938862E-4</v>
      </c>
      <c r="P65" s="578">
        <v>0</v>
      </c>
      <c r="Q65" s="578">
        <v>0</v>
      </c>
      <c r="R65" s="578">
        <v>2.0179752416482958E-2</v>
      </c>
      <c r="S65" s="578">
        <v>1.9607843137254902E-2</v>
      </c>
      <c r="T65" s="578">
        <v>1.1579731205899431E-3</v>
      </c>
      <c r="U65" s="578">
        <v>6.4075590069239893E-4</v>
      </c>
      <c r="V65" s="578">
        <v>0</v>
      </c>
      <c r="W65" s="578">
        <v>1.3725994828241235E-3</v>
      </c>
      <c r="X65" s="578">
        <v>2.8150271266250381E-4</v>
      </c>
      <c r="Y65" s="578">
        <v>3.5349210799505947E-3</v>
      </c>
      <c r="Z65" s="578">
        <v>2.3888961957499122E-4</v>
      </c>
      <c r="AA65" s="578">
        <v>2.475412489408091E-4</v>
      </c>
      <c r="AB65" s="578">
        <v>3.9642556284171055E-3</v>
      </c>
      <c r="AC65" s="578">
        <v>0</v>
      </c>
      <c r="AD65" s="578">
        <v>0</v>
      </c>
      <c r="AE65" s="578">
        <v>0</v>
      </c>
      <c r="AF65" s="578">
        <v>1.5171053629674581E-3</v>
      </c>
      <c r="AG65" s="578">
        <v>0</v>
      </c>
      <c r="AH65" s="578">
        <v>2.236791361357501E-2</v>
      </c>
      <c r="AI65" s="578">
        <v>7.1500167056465086E-3</v>
      </c>
      <c r="AJ65" s="578">
        <v>8.0901473562554175E-4</v>
      </c>
      <c r="AK65" s="578">
        <v>1.2471938139186831E-4</v>
      </c>
      <c r="AL65" s="578">
        <v>1.1902639087018545E-2</v>
      </c>
      <c r="AM65" s="578">
        <v>3.3406038342325792E-2</v>
      </c>
      <c r="AN65" s="578">
        <v>9.4893029675638379E-3</v>
      </c>
      <c r="AO65" s="578">
        <v>9.9750623441396506E-3</v>
      </c>
      <c r="AP65" s="578">
        <v>7.9415501905972044E-4</v>
      </c>
      <c r="AQ65" s="578">
        <v>4.0966647355789127E-3</v>
      </c>
      <c r="AR65" s="578">
        <v>3.0685132055868428E-2</v>
      </c>
      <c r="AS65" s="578">
        <v>8.7058962125228252E-3</v>
      </c>
      <c r="AT65" s="578">
        <v>6.9008392912651541E-3</v>
      </c>
      <c r="AU65" s="578">
        <v>1.587015919242159E-3</v>
      </c>
      <c r="AV65" s="578">
        <v>2.3365885806722188E-3</v>
      </c>
      <c r="AW65" s="578">
        <v>5.3639435713136299E-5</v>
      </c>
      <c r="AX65" s="578">
        <v>1.0204193594399763E-3</v>
      </c>
      <c r="AY65" s="578">
        <v>3.8058991436726928E-3</v>
      </c>
      <c r="AZ65" s="578">
        <v>4.8658362908877185E-3</v>
      </c>
      <c r="BA65" s="578">
        <v>8.1910315146466756E-3</v>
      </c>
      <c r="BB65" s="578">
        <v>1.5346295050229605E-2</v>
      </c>
      <c r="BC65" s="578">
        <v>6.1203393820299466E-3</v>
      </c>
      <c r="BD65" s="578">
        <v>1.0419900892956942E-2</v>
      </c>
      <c r="BE65" s="578">
        <v>1.1415252630913851E-2</v>
      </c>
      <c r="BF65" s="578">
        <v>1.0003716551040634E-2</v>
      </c>
      <c r="BG65" s="578">
        <v>2.4289424860853431E-2</v>
      </c>
      <c r="BH65" s="578">
        <v>2.5971527510580991E-3</v>
      </c>
      <c r="BI65" s="578">
        <v>4.423963133640553E-2</v>
      </c>
      <c r="BJ65" s="578">
        <v>0.18970231050593606</v>
      </c>
      <c r="BK65" s="578">
        <v>5.5120714364458165E-4</v>
      </c>
      <c r="BL65" s="578">
        <v>1.5730451108743086E-3</v>
      </c>
      <c r="BM65" s="578">
        <v>2.935808389267124E-3</v>
      </c>
      <c r="BN65" s="578">
        <v>1.1851851851851852E-3</v>
      </c>
      <c r="BO65" s="578">
        <v>4.3943944910711701E-3</v>
      </c>
      <c r="BP65" s="578">
        <v>8.7158628704241722E-4</v>
      </c>
      <c r="BQ65" s="578">
        <v>1.3075168308017582E-3</v>
      </c>
      <c r="BR65" s="578">
        <v>5.8677306818303047E-4</v>
      </c>
      <c r="BS65" s="578">
        <v>3.8135893259961359E-3</v>
      </c>
      <c r="BT65" s="578">
        <v>0</v>
      </c>
      <c r="BU65" s="578">
        <v>3.5096878988281704E-3</v>
      </c>
      <c r="BV65" s="578">
        <v>2.0179221129227865E-2</v>
      </c>
      <c r="BW65" s="578">
        <v>7.7749369835723465E-5</v>
      </c>
      <c r="BX65" s="578">
        <v>0</v>
      </c>
      <c r="BY65" s="578">
        <v>1.0259900804276127E-4</v>
      </c>
      <c r="BZ65" s="578">
        <v>7.1743533424208471E-5</v>
      </c>
      <c r="CA65" s="578">
        <v>1.3798423843676402E-4</v>
      </c>
      <c r="CB65" s="578">
        <v>1.0796723752792257E-3</v>
      </c>
      <c r="CC65" s="578">
        <v>0</v>
      </c>
      <c r="CD65" s="578">
        <v>1.6265584463113721E-5</v>
      </c>
      <c r="CE65" s="578">
        <v>0</v>
      </c>
      <c r="CF65" s="578">
        <v>0</v>
      </c>
      <c r="CG65" s="578">
        <v>2.7663890819844229E-3</v>
      </c>
      <c r="CH65" s="578">
        <v>4.6289331466330298E-5</v>
      </c>
      <c r="CI65" s="578">
        <v>6.963961499241426E-4</v>
      </c>
      <c r="CJ65" s="578">
        <v>5.2072032978954222E-5</v>
      </c>
      <c r="CK65" s="578">
        <v>4.0091984628884381E-4</v>
      </c>
      <c r="CL65" s="578">
        <v>1.3188262446422685E-4</v>
      </c>
      <c r="CM65" s="578">
        <v>1.2963886316689223E-3</v>
      </c>
      <c r="CN65" s="578">
        <v>1.4473176379776147E-4</v>
      </c>
      <c r="CO65" s="578">
        <v>1.7082336863682952E-4</v>
      </c>
      <c r="CP65" s="578">
        <v>1.072990155315325E-4</v>
      </c>
      <c r="CQ65" s="578">
        <v>5.7335796649041215E-4</v>
      </c>
      <c r="CR65" s="578">
        <v>9.8710951109046564E-5</v>
      </c>
      <c r="CS65" s="578">
        <v>9.6056051531246463E-4</v>
      </c>
      <c r="CT65" s="578">
        <v>0</v>
      </c>
      <c r="CU65" s="578">
        <v>8.8676781194073164E-5</v>
      </c>
      <c r="CV65" s="578">
        <v>2.7259266601822651E-4</v>
      </c>
      <c r="CW65" s="578">
        <v>0</v>
      </c>
      <c r="CX65" s="578">
        <v>1.0708013877585985E-4</v>
      </c>
      <c r="CY65" s="578">
        <v>1.118234270537595E-2</v>
      </c>
      <c r="CZ65" s="578">
        <v>7.1123755334281656E-5</v>
      </c>
      <c r="DA65" s="578">
        <v>1.477800860979632E-3</v>
      </c>
      <c r="DB65" s="578">
        <v>1.0288622949044242E-3</v>
      </c>
      <c r="DC65" s="578">
        <v>0</v>
      </c>
      <c r="DD65" s="578">
        <v>7.6811594202898556E-2</v>
      </c>
      <c r="DE65" s="578">
        <v>1.7082523125011358E-3</v>
      </c>
      <c r="DF65" s="578">
        <v>2.4962057672338047E-3</v>
      </c>
      <c r="DG65" s="578">
        <v>1.2422604766518456E-3</v>
      </c>
      <c r="DH65" s="578">
        <v>5.3239088818658601E-4</v>
      </c>
      <c r="DI65" s="578">
        <v>5.2987150615975626E-4</v>
      </c>
      <c r="DJ65" s="578">
        <v>2.2363304302451266E-4</v>
      </c>
      <c r="DK65" s="578">
        <v>2.1671011338021875E-3</v>
      </c>
      <c r="DL65" s="578">
        <v>7.4240549481073711E-4</v>
      </c>
      <c r="DM65" s="578">
        <v>9.897070467141725E-4</v>
      </c>
      <c r="DN65" s="578">
        <v>3.4496987703226873E-3</v>
      </c>
      <c r="DO65" s="578">
        <v>0</v>
      </c>
      <c r="DP65" s="578">
        <v>3.9439088518843118E-4</v>
      </c>
      <c r="DQ65" s="578">
        <v>2.3638985414746001E-5</v>
      </c>
      <c r="DR65" s="578">
        <v>8.3797671805234605E-3</v>
      </c>
      <c r="DS65" s="578">
        <v>1.1601522940248952E-3</v>
      </c>
      <c r="DT65" s="578">
        <v>2.8427935184307781E-4</v>
      </c>
      <c r="DU65" s="578">
        <v>1.4333036055548477E-4</v>
      </c>
      <c r="DV65" s="578">
        <v>8.1085532567243984E-4</v>
      </c>
      <c r="DW65" s="578">
        <v>7.3163741802795054E-3</v>
      </c>
      <c r="DX65" s="578">
        <v>2.786886250666536E-2</v>
      </c>
      <c r="DY65" s="578">
        <v>1.8972032062734186E-4</v>
      </c>
      <c r="DZ65" s="578">
        <v>1.3237159029477099E-3</v>
      </c>
      <c r="EA65" s="578">
        <v>5.4312380774307572E-4</v>
      </c>
      <c r="EB65" s="578">
        <v>5.3617660125312132E-5</v>
      </c>
      <c r="EC65" s="578">
        <v>3.149972323058715E-4</v>
      </c>
      <c r="ED65" s="578">
        <v>1.8543477670939204E-3</v>
      </c>
      <c r="EE65" s="578">
        <v>2.2960522011957428E-4</v>
      </c>
      <c r="EF65" s="578">
        <v>2.5688720695295213E-3</v>
      </c>
      <c r="EG65" s="578">
        <v>0</v>
      </c>
      <c r="EH65" s="578">
        <v>9.6911608093716724E-4</v>
      </c>
      <c r="EI65" s="578">
        <v>2.4165992266882473E-3</v>
      </c>
      <c r="EJ65" s="578">
        <v>5.3924004899894579E-6</v>
      </c>
      <c r="EK65" s="578">
        <v>3.9660326302501778E-6</v>
      </c>
      <c r="EL65" s="578">
        <v>2.6856852973650443E-5</v>
      </c>
      <c r="EM65" s="578">
        <v>0</v>
      </c>
      <c r="EN65" s="578">
        <v>0</v>
      </c>
      <c r="EO65" s="578">
        <v>0</v>
      </c>
      <c r="EP65" s="578">
        <v>0</v>
      </c>
      <c r="EQ65" s="578">
        <v>3.0504441785662233E-5</v>
      </c>
      <c r="ER65" s="578">
        <v>0</v>
      </c>
      <c r="ES65" s="578">
        <v>1.6329752127970825E-4</v>
      </c>
      <c r="ET65" s="578">
        <v>3.0741058260930632E-4</v>
      </c>
      <c r="EU65" s="578">
        <v>0</v>
      </c>
      <c r="EV65" s="578">
        <v>0</v>
      </c>
      <c r="EW65" s="578">
        <v>0</v>
      </c>
      <c r="EX65" s="578">
        <v>1.9273021624330263E-5</v>
      </c>
      <c r="EY65" s="578">
        <v>0</v>
      </c>
      <c r="EZ65" s="578">
        <v>1.2167141764583188E-4</v>
      </c>
      <c r="FA65" s="578">
        <v>4.1495588363763431E-4</v>
      </c>
      <c r="FB65" s="578">
        <v>4.7221200970058385E-5</v>
      </c>
      <c r="FC65" s="578">
        <v>0</v>
      </c>
      <c r="FD65" s="578">
        <v>0</v>
      </c>
      <c r="FE65" s="578">
        <v>8.6047683008730693E-4</v>
      </c>
      <c r="FF65" s="578">
        <v>8.7595558791408806E-4</v>
      </c>
      <c r="FG65" s="578">
        <v>0</v>
      </c>
      <c r="FH65" s="578">
        <v>1.8533571776946838E-3</v>
      </c>
      <c r="FI65" s="578">
        <v>2.5838124152186551E-4</v>
      </c>
      <c r="FJ65" s="578">
        <v>8.5427736677544467E-5</v>
      </c>
      <c r="FK65" s="578">
        <v>3.0505258598161346E-6</v>
      </c>
      <c r="FL65" s="578">
        <v>0</v>
      </c>
      <c r="FM65" s="578">
        <v>1.4039952695263118E-3</v>
      </c>
      <c r="FN65" s="578">
        <v>9.6220829792598543E-3</v>
      </c>
      <c r="FO65" s="578">
        <v>1.7453493248592703E-3</v>
      </c>
      <c r="FP65" s="578">
        <v>7.1849494217376235E-3</v>
      </c>
      <c r="FQ65" s="578">
        <v>1.9619629648182473E-3</v>
      </c>
      <c r="FR65" s="578">
        <v>1.7416030685832083E-3</v>
      </c>
      <c r="FS65" s="578">
        <v>1.9229691091551271E-3</v>
      </c>
      <c r="FT65" s="578">
        <v>3.2943715532313374E-3</v>
      </c>
      <c r="FU65" s="578">
        <v>6.8620050778837573E-5</v>
      </c>
      <c r="FV65" s="578">
        <v>2.9324284696912573E-4</v>
      </c>
      <c r="FW65" s="578">
        <v>8.8915473717394289E-5</v>
      </c>
      <c r="FX65" s="578">
        <v>1.9620373796149922E-5</v>
      </c>
      <c r="FY65" s="578">
        <v>2.2349500126296099E-3</v>
      </c>
      <c r="FZ65" s="578">
        <v>1.8191031821312094E-4</v>
      </c>
      <c r="GA65" s="578">
        <v>7.0900319704897841E-4</v>
      </c>
      <c r="GB65" s="578">
        <v>1.3159197996405983E-3</v>
      </c>
      <c r="GC65" s="578">
        <v>2.8754722219467941E-4</v>
      </c>
      <c r="GD65" s="578">
        <v>4.8498527243476712E-3</v>
      </c>
      <c r="GE65" s="578">
        <v>1.0340474510823153E-2</v>
      </c>
      <c r="GF65" s="578">
        <v>1.1144722177997135E-4</v>
      </c>
      <c r="GG65" s="579">
        <v>2.7215576587355408E-3</v>
      </c>
      <c r="GH65" s="572"/>
    </row>
    <row r="66" spans="1:190">
      <c r="A66" s="572" t="s">
        <v>9297</v>
      </c>
      <c r="B66" s="577" t="s">
        <v>319</v>
      </c>
      <c r="C66" s="573" t="s">
        <v>6441</v>
      </c>
      <c r="D66" s="578">
        <v>2.0106221547799695E-2</v>
      </c>
      <c r="E66" s="578">
        <v>3.7639007698887936E-2</v>
      </c>
      <c r="F66" s="578">
        <v>3.0097339084116995E-2</v>
      </c>
      <c r="G66" s="578">
        <v>3.9988814317673378E-2</v>
      </c>
      <c r="H66" s="578">
        <v>3.5714285714285712E-2</v>
      </c>
      <c r="I66" s="578">
        <v>3.4533311614269424E-2</v>
      </c>
      <c r="J66" s="578">
        <v>7.0060719290051376E-3</v>
      </c>
      <c r="K66" s="578">
        <v>7.0334979219210687E-3</v>
      </c>
      <c r="L66" s="578">
        <v>6.6265060240963854E-3</v>
      </c>
      <c r="M66" s="578">
        <v>2.9080334423845874E-2</v>
      </c>
      <c r="N66" s="578">
        <v>3.3451957295373667E-2</v>
      </c>
      <c r="O66" s="578">
        <v>5.4874310239117104E-2</v>
      </c>
      <c r="P66" s="578">
        <v>3.3149171270718231E-2</v>
      </c>
      <c r="Q66" s="578">
        <v>0</v>
      </c>
      <c r="R66" s="578">
        <v>0.13204454242270081</v>
      </c>
      <c r="S66" s="578">
        <v>7.8431372549019607E-2</v>
      </c>
      <c r="T66" s="578">
        <v>4.5072381520979655E-3</v>
      </c>
      <c r="U66" s="578">
        <v>6.3501778814888492E-3</v>
      </c>
      <c r="V66" s="578">
        <v>3.140947208212719E-3</v>
      </c>
      <c r="W66" s="578">
        <v>4.5222250818044785E-3</v>
      </c>
      <c r="X66" s="578">
        <v>4.5808168696898355E-3</v>
      </c>
      <c r="Y66" s="578">
        <v>1.0449423728299828E-2</v>
      </c>
      <c r="Z66" s="578">
        <v>1.0873503920205498E-2</v>
      </c>
      <c r="AA66" s="578">
        <v>5.1650433673226508E-3</v>
      </c>
      <c r="AB66" s="578">
        <v>5.6820997340645179E-3</v>
      </c>
      <c r="AC66" s="578">
        <v>5.9600932884166886E-3</v>
      </c>
      <c r="AD66" s="578">
        <v>0</v>
      </c>
      <c r="AE66" s="578">
        <v>9.9143758449752144E-3</v>
      </c>
      <c r="AF66" s="578">
        <v>6.1442767200182054E-3</v>
      </c>
      <c r="AG66" s="578">
        <v>0</v>
      </c>
      <c r="AH66" s="578">
        <v>3.5865792518318548E-2</v>
      </c>
      <c r="AI66" s="578">
        <v>1.2429001002338791E-2</v>
      </c>
      <c r="AJ66" s="578">
        <v>3.7561398439757295E-3</v>
      </c>
      <c r="AK66" s="578">
        <v>9.7281117485657279E-3</v>
      </c>
      <c r="AL66" s="578">
        <v>5.3940798858773181E-3</v>
      </c>
      <c r="AM66" s="578">
        <v>7.1174377224199285E-3</v>
      </c>
      <c r="AN66" s="578">
        <v>7.6777087646652861E-3</v>
      </c>
      <c r="AO66" s="578">
        <v>4.2102535868121906E-3</v>
      </c>
      <c r="AP66" s="578">
        <v>1.588310038119441E-2</v>
      </c>
      <c r="AQ66" s="578">
        <v>6.8484647852354551E-3</v>
      </c>
      <c r="AR66" s="578">
        <v>7.508943434987426E-3</v>
      </c>
      <c r="AS66" s="578">
        <v>3.0629675443246745E-3</v>
      </c>
      <c r="AT66" s="578">
        <v>5.3673194487617861E-3</v>
      </c>
      <c r="AU66" s="578">
        <v>4.3274815529850625E-3</v>
      </c>
      <c r="AV66" s="578">
        <v>5.7695764184290933E-2</v>
      </c>
      <c r="AW66" s="578">
        <v>2.1938529206672747E-2</v>
      </c>
      <c r="AX66" s="578">
        <v>1.732518460812605E-2</v>
      </c>
      <c r="AY66" s="578">
        <v>0.44259435458293689</v>
      </c>
      <c r="AZ66" s="578">
        <v>2.3956190519248594E-2</v>
      </c>
      <c r="BA66" s="578">
        <v>2.4295432458697766E-2</v>
      </c>
      <c r="BB66" s="578">
        <v>4.0844754518303411E-3</v>
      </c>
      <c r="BC66" s="578">
        <v>1.9445894357620233E-3</v>
      </c>
      <c r="BD66" s="578">
        <v>9.6374768688135722E-3</v>
      </c>
      <c r="BE66" s="578">
        <v>2.6853223439880372E-3</v>
      </c>
      <c r="BF66" s="578">
        <v>9.8488602576808724E-3</v>
      </c>
      <c r="BG66" s="578">
        <v>3.5250463821892395E-3</v>
      </c>
      <c r="BH66" s="578">
        <v>2.521574231847414E-3</v>
      </c>
      <c r="BI66" s="578">
        <v>3.8492816481431281E-3</v>
      </c>
      <c r="BJ66" s="578">
        <v>6.5649213817674983E-3</v>
      </c>
      <c r="BK66" s="578">
        <v>5.4018300077168999E-2</v>
      </c>
      <c r="BL66" s="578">
        <v>5.3724564875424978E-2</v>
      </c>
      <c r="BM66" s="578">
        <v>1.3327928881072279E-3</v>
      </c>
      <c r="BN66" s="578">
        <v>6.9629629629629633E-3</v>
      </c>
      <c r="BO66" s="578">
        <v>4.529606629257975E-3</v>
      </c>
      <c r="BP66" s="578">
        <v>5.7379430563625801E-3</v>
      </c>
      <c r="BQ66" s="578">
        <v>5.3135258443220389E-3</v>
      </c>
      <c r="BR66" s="578">
        <v>2.6116735834764704E-2</v>
      </c>
      <c r="BS66" s="578">
        <v>1.9401762141274769E-2</v>
      </c>
      <c r="BT66" s="578">
        <v>4.607539610271353E-2</v>
      </c>
      <c r="BU66" s="578">
        <v>2.3059519665854507E-2</v>
      </c>
      <c r="BV66" s="578">
        <v>1.7349413825629968E-2</v>
      </c>
      <c r="BW66" s="578">
        <v>2.1848699726299682E-3</v>
      </c>
      <c r="BX66" s="578">
        <v>0</v>
      </c>
      <c r="BY66" s="578">
        <v>4.0176270100647123E-3</v>
      </c>
      <c r="BZ66" s="578">
        <v>5.0606784730768597E-3</v>
      </c>
      <c r="CA66" s="578">
        <v>4.1897032398071988E-3</v>
      </c>
      <c r="CB66" s="578">
        <v>5.4045668900471579E-3</v>
      </c>
      <c r="CC66" s="578">
        <v>3.748363160192056E-3</v>
      </c>
      <c r="CD66" s="578">
        <v>3.610959750811246E-3</v>
      </c>
      <c r="CE66" s="578">
        <v>0</v>
      </c>
      <c r="CF66" s="578">
        <v>2.2106426654034425E-3</v>
      </c>
      <c r="CG66" s="578">
        <v>2.8444154407070606E-3</v>
      </c>
      <c r="CH66" s="578">
        <v>4.8372351382315161E-3</v>
      </c>
      <c r="CI66" s="578">
        <v>6.740119879622951E-3</v>
      </c>
      <c r="CJ66" s="578">
        <v>4.1831199826426555E-3</v>
      </c>
      <c r="CK66" s="578">
        <v>5.6633080173883223E-3</v>
      </c>
      <c r="CL66" s="578">
        <v>2.9508737223870756E-3</v>
      </c>
      <c r="CM66" s="578">
        <v>2.6972481420803949E-3</v>
      </c>
      <c r="CN66" s="578">
        <v>2.2433423388653032E-3</v>
      </c>
      <c r="CO66" s="578">
        <v>1.7082336863682953E-3</v>
      </c>
      <c r="CP66" s="578">
        <v>3.1384962042973258E-3</v>
      </c>
      <c r="CQ66" s="578">
        <v>3.1853220360578455E-3</v>
      </c>
      <c r="CR66" s="578">
        <v>1.8609917547323192E-3</v>
      </c>
      <c r="CS66" s="578">
        <v>3.164199344558707E-3</v>
      </c>
      <c r="CT66" s="578">
        <v>2.4204601790557287E-3</v>
      </c>
      <c r="CU66" s="578">
        <v>2.877964626025829E-3</v>
      </c>
      <c r="CV66" s="578">
        <v>3.0480816291128966E-3</v>
      </c>
      <c r="CW66" s="578">
        <v>1.5604275571506592E-3</v>
      </c>
      <c r="CX66" s="578">
        <v>3.7977755885838294E-3</v>
      </c>
      <c r="CY66" s="578">
        <v>3.4526971334371279E-3</v>
      </c>
      <c r="CZ66" s="578">
        <v>2.2403982930298719E-3</v>
      </c>
      <c r="DA66" s="578">
        <v>2.5700884538776211E-3</v>
      </c>
      <c r="DB66" s="578">
        <v>4.0071478854172308E-3</v>
      </c>
      <c r="DC66" s="578">
        <v>3.6258158085569255E-3</v>
      </c>
      <c r="DD66" s="578">
        <v>6.7632850241545897E-3</v>
      </c>
      <c r="DE66" s="578">
        <v>2.3261308085121848E-3</v>
      </c>
      <c r="DF66" s="578">
        <v>1.3579359373751896E-3</v>
      </c>
      <c r="DG66" s="578">
        <v>1.9672769344160827E-3</v>
      </c>
      <c r="DH66" s="578">
        <v>1.3706233504378064E-3</v>
      </c>
      <c r="DI66" s="578">
        <v>1.0928599814544974E-3</v>
      </c>
      <c r="DJ66" s="578">
        <v>7.7029159263998807E-4</v>
      </c>
      <c r="DK66" s="578">
        <v>3.0078493997588887E-3</v>
      </c>
      <c r="DL66" s="578">
        <v>3.7877831367894748E-4</v>
      </c>
      <c r="DM66" s="578">
        <v>1.0179843909060061E-3</v>
      </c>
      <c r="DN66" s="578">
        <v>1.42774614178427E-3</v>
      </c>
      <c r="DO66" s="578">
        <v>0</v>
      </c>
      <c r="DP66" s="578">
        <v>8.7642418930762491E-4</v>
      </c>
      <c r="DQ66" s="578">
        <v>2.3481392178647691E-3</v>
      </c>
      <c r="DR66" s="578">
        <v>2.3108550163560516E-3</v>
      </c>
      <c r="DS66" s="578">
        <v>8.0153063186637098E-3</v>
      </c>
      <c r="DT66" s="578">
        <v>2.8427935184307781E-3</v>
      </c>
      <c r="DU66" s="578">
        <v>7.1665180277742388E-3</v>
      </c>
      <c r="DV66" s="578">
        <v>2.6479494228990614E-3</v>
      </c>
      <c r="DW66" s="578">
        <v>1.3520120028995769E-2</v>
      </c>
      <c r="DX66" s="578">
        <v>1.0879091917600838E-2</v>
      </c>
      <c r="DY66" s="578">
        <v>1.0608527928412199E-2</v>
      </c>
      <c r="DZ66" s="578">
        <v>8.2252270610643947E-3</v>
      </c>
      <c r="EA66" s="578">
        <v>9.2264269798977422E-3</v>
      </c>
      <c r="EB66" s="578">
        <v>9.6396893239579021E-3</v>
      </c>
      <c r="EC66" s="578">
        <v>1.8175034481493147E-2</v>
      </c>
      <c r="ED66" s="578">
        <v>9.3260124286528388E-3</v>
      </c>
      <c r="EE66" s="578">
        <v>5.1148090236134217E-2</v>
      </c>
      <c r="EF66" s="578">
        <v>2.9505147365382765E-2</v>
      </c>
      <c r="EG66" s="578">
        <v>3.996669442131557E-2</v>
      </c>
      <c r="EH66" s="578">
        <v>1.4877529286474973E-2</v>
      </c>
      <c r="EI66" s="578">
        <v>1.797837424692024E-2</v>
      </c>
      <c r="EJ66" s="578">
        <v>1.4049000743252535E-2</v>
      </c>
      <c r="EK66" s="578">
        <v>1.2423880502303699E-2</v>
      </c>
      <c r="EL66" s="578">
        <v>3.3988839485542062E-3</v>
      </c>
      <c r="EM66" s="578">
        <v>2.083968287267013E-3</v>
      </c>
      <c r="EN66" s="578">
        <v>2.9206379323780838E-3</v>
      </c>
      <c r="EO66" s="578">
        <v>1.6329408891156314E-3</v>
      </c>
      <c r="EP66" s="578">
        <v>2.229253023016338E-4</v>
      </c>
      <c r="EQ66" s="578">
        <v>3.8096658407871502E-3</v>
      </c>
      <c r="ER66" s="578">
        <v>1.2745098039215686E-2</v>
      </c>
      <c r="ES66" s="578">
        <v>7.1537922447285518E-2</v>
      </c>
      <c r="ET66" s="578">
        <v>5.85206395730173E-2</v>
      </c>
      <c r="EU66" s="578">
        <v>8.1726763901763602E-2</v>
      </c>
      <c r="EV66" s="578">
        <v>0.11361750282912109</v>
      </c>
      <c r="EW66" s="578">
        <v>1.4185431493796911E-2</v>
      </c>
      <c r="EX66" s="578">
        <v>0.24158732606097985</v>
      </c>
      <c r="EY66" s="578">
        <v>2.7071166980104918E-2</v>
      </c>
      <c r="EZ66" s="578">
        <v>1.9988875756100952E-3</v>
      </c>
      <c r="FA66" s="578">
        <v>4.5645147200139777E-3</v>
      </c>
      <c r="FB66" s="578">
        <v>2.6241495967646729E-3</v>
      </c>
      <c r="FC66" s="578">
        <v>7.2981635481635483E-3</v>
      </c>
      <c r="FD66" s="578">
        <v>3.0433498991290658E-3</v>
      </c>
      <c r="FE66" s="578">
        <v>2.6234049697783745E-3</v>
      </c>
      <c r="FF66" s="578">
        <v>4.8424038344861064E-3</v>
      </c>
      <c r="FG66" s="578">
        <v>8.8726513569937365E-4</v>
      </c>
      <c r="FH66" s="578">
        <v>4.4870752723134453E-3</v>
      </c>
      <c r="FI66" s="578">
        <v>2.5004257418184166E-2</v>
      </c>
      <c r="FJ66" s="578">
        <v>8.8263937535238944E-3</v>
      </c>
      <c r="FK66" s="578">
        <v>3.464380534797857E-3</v>
      </c>
      <c r="FL66" s="578">
        <v>1.3120752744380555E-2</v>
      </c>
      <c r="FM66" s="578">
        <v>1.3282610848630668E-2</v>
      </c>
      <c r="FN66" s="578">
        <v>5.354524825609084E-3</v>
      </c>
      <c r="FO66" s="578">
        <v>3.2634318865666528E-3</v>
      </c>
      <c r="FP66" s="578">
        <v>5.2941732581224593E-3</v>
      </c>
      <c r="FQ66" s="578">
        <v>3.7124235391028959E-3</v>
      </c>
      <c r="FR66" s="578">
        <v>5.1384294288896E-3</v>
      </c>
      <c r="FS66" s="578">
        <v>6.6098559174749116E-3</v>
      </c>
      <c r="FT66" s="578">
        <v>4.2437731189657229E-3</v>
      </c>
      <c r="FU66" s="578">
        <v>9.6068071090372603E-3</v>
      </c>
      <c r="FV66" s="578">
        <v>4.4195886221775373E-3</v>
      </c>
      <c r="FW66" s="578">
        <v>4.5751052840041061E-3</v>
      </c>
      <c r="FX66" s="578">
        <v>6.942809413294765E-3</v>
      </c>
      <c r="FY66" s="578">
        <v>3.5309354033397507E-3</v>
      </c>
      <c r="FZ66" s="578">
        <v>1.1248121342844645E-2</v>
      </c>
      <c r="GA66" s="578">
        <v>4.2785239010858858E-3</v>
      </c>
      <c r="GB66" s="578">
        <v>1.1706498002537508E-2</v>
      </c>
      <c r="GC66" s="578">
        <v>1.34973674556037E-2</v>
      </c>
      <c r="GD66" s="578">
        <v>1.0465471668329186E-2</v>
      </c>
      <c r="GE66" s="578">
        <v>0</v>
      </c>
      <c r="GF66" s="578">
        <v>2.3048346866210264E-2</v>
      </c>
      <c r="GG66" s="579">
        <v>9.3173076261624781E-3</v>
      </c>
      <c r="GH66" s="572"/>
    </row>
    <row r="67" spans="1:190">
      <c r="A67" s="572" t="s">
        <v>9298</v>
      </c>
      <c r="B67" s="577" t="s">
        <v>332</v>
      </c>
      <c r="C67" s="573" t="s">
        <v>6454</v>
      </c>
      <c r="D67" s="578">
        <v>0</v>
      </c>
      <c r="E67" s="578">
        <v>0</v>
      </c>
      <c r="F67" s="578">
        <v>0</v>
      </c>
      <c r="G67" s="578">
        <v>0</v>
      </c>
      <c r="H67" s="578">
        <v>0</v>
      </c>
      <c r="I67" s="578">
        <v>0</v>
      </c>
      <c r="J67" s="578">
        <v>0</v>
      </c>
      <c r="K67" s="578">
        <v>0</v>
      </c>
      <c r="L67" s="578">
        <v>0</v>
      </c>
      <c r="M67" s="578">
        <v>0</v>
      </c>
      <c r="N67" s="578">
        <v>0</v>
      </c>
      <c r="O67" s="578">
        <v>0</v>
      </c>
      <c r="P67" s="578">
        <v>0</v>
      </c>
      <c r="Q67" s="578">
        <v>0</v>
      </c>
      <c r="R67" s="578">
        <v>3.956814199310384E-4</v>
      </c>
      <c r="S67" s="578">
        <v>0</v>
      </c>
      <c r="T67" s="578">
        <v>0</v>
      </c>
      <c r="U67" s="578">
        <v>0</v>
      </c>
      <c r="V67" s="578">
        <v>0</v>
      </c>
      <c r="W67" s="578">
        <v>0</v>
      </c>
      <c r="X67" s="578">
        <v>0</v>
      </c>
      <c r="Y67" s="578">
        <v>6.0620297191006978E-5</v>
      </c>
      <c r="Z67" s="578">
        <v>0</v>
      </c>
      <c r="AA67" s="578">
        <v>0</v>
      </c>
      <c r="AB67" s="578">
        <v>0</v>
      </c>
      <c r="AC67" s="578">
        <v>0</v>
      </c>
      <c r="AD67" s="578">
        <v>0</v>
      </c>
      <c r="AE67" s="578">
        <v>0</v>
      </c>
      <c r="AF67" s="578">
        <v>0</v>
      </c>
      <c r="AG67" s="578">
        <v>0</v>
      </c>
      <c r="AH67" s="578">
        <v>0</v>
      </c>
      <c r="AI67" s="578">
        <v>0</v>
      </c>
      <c r="AJ67" s="578">
        <v>0</v>
      </c>
      <c r="AK67" s="578">
        <v>0</v>
      </c>
      <c r="AL67" s="578">
        <v>0</v>
      </c>
      <c r="AM67" s="578">
        <v>0</v>
      </c>
      <c r="AN67" s="578">
        <v>0</v>
      </c>
      <c r="AO67" s="578">
        <v>0</v>
      </c>
      <c r="AP67" s="578">
        <v>0</v>
      </c>
      <c r="AQ67" s="578">
        <v>2.0690225937267234E-4</v>
      </c>
      <c r="AR67" s="578">
        <v>0</v>
      </c>
      <c r="AS67" s="578">
        <v>0</v>
      </c>
      <c r="AT67" s="578">
        <v>0</v>
      </c>
      <c r="AU67" s="578">
        <v>0</v>
      </c>
      <c r="AV67" s="578">
        <v>4.5533521059253493E-3</v>
      </c>
      <c r="AW67" s="578">
        <v>5.9003379284449926E-4</v>
      </c>
      <c r="AX67" s="578">
        <v>5.4861255883869697E-4</v>
      </c>
      <c r="AY67" s="578">
        <v>4.7573739295908661E-4</v>
      </c>
      <c r="AZ67" s="578">
        <v>1.2998168953590885E-4</v>
      </c>
      <c r="BA67" s="578">
        <v>1.2494793835901709E-3</v>
      </c>
      <c r="BB67" s="578">
        <v>1.119099054432128E-2</v>
      </c>
      <c r="BC67" s="578">
        <v>0</v>
      </c>
      <c r="BD67" s="578">
        <v>0</v>
      </c>
      <c r="BE67" s="578">
        <v>0</v>
      </c>
      <c r="BF67" s="578">
        <v>4.3359762140733399E-4</v>
      </c>
      <c r="BG67" s="578">
        <v>0</v>
      </c>
      <c r="BH67" s="578">
        <v>8.24492936843841E-5</v>
      </c>
      <c r="BI67" s="578">
        <v>0</v>
      </c>
      <c r="BJ67" s="578">
        <v>7.4226498035059649E-5</v>
      </c>
      <c r="BK67" s="578">
        <v>0</v>
      </c>
      <c r="BL67" s="578">
        <v>4.9005429542802049E-2</v>
      </c>
      <c r="BM67" s="578">
        <v>5.2670509323825163E-5</v>
      </c>
      <c r="BN67" s="578">
        <v>0</v>
      </c>
      <c r="BO67" s="578">
        <v>0</v>
      </c>
      <c r="BP67" s="578">
        <v>0</v>
      </c>
      <c r="BQ67" s="578">
        <v>0</v>
      </c>
      <c r="BR67" s="578">
        <v>0</v>
      </c>
      <c r="BS67" s="578">
        <v>1.6184994486986252E-4</v>
      </c>
      <c r="BT67" s="578">
        <v>0</v>
      </c>
      <c r="BU67" s="578">
        <v>1.2472444599141432E-3</v>
      </c>
      <c r="BV67" s="578">
        <v>1.1622422854062795E-2</v>
      </c>
      <c r="BW67" s="578">
        <v>2.9225875441002313E-2</v>
      </c>
      <c r="BX67" s="578">
        <v>0</v>
      </c>
      <c r="BY67" s="578">
        <v>1.4251252458622571E-2</v>
      </c>
      <c r="BZ67" s="578">
        <v>4.5253613390654574E-3</v>
      </c>
      <c r="CA67" s="578">
        <v>1.3876823979151836E-3</v>
      </c>
      <c r="CB67" s="578">
        <v>8.5691238520724747E-3</v>
      </c>
      <c r="CC67" s="578">
        <v>1.4731558271497162E-4</v>
      </c>
      <c r="CD67" s="578">
        <v>1.6021600696167016E-3</v>
      </c>
      <c r="CE67" s="578">
        <v>0</v>
      </c>
      <c r="CF67" s="578">
        <v>0</v>
      </c>
      <c r="CG67" s="578">
        <v>1.0639958007632397E-4</v>
      </c>
      <c r="CH67" s="578">
        <v>3.4716998599747724E-5</v>
      </c>
      <c r="CI67" s="578">
        <v>0</v>
      </c>
      <c r="CJ67" s="578">
        <v>6.0750705142113258E-5</v>
      </c>
      <c r="CK67" s="578">
        <v>4.0344135475606928E-5</v>
      </c>
      <c r="CL67" s="578">
        <v>1.0490663309654408E-5</v>
      </c>
      <c r="CM67" s="578">
        <v>4.7486763064795691E-6</v>
      </c>
      <c r="CN67" s="578">
        <v>3.6182940949440367E-5</v>
      </c>
      <c r="CO67" s="578">
        <v>0</v>
      </c>
      <c r="CP67" s="578">
        <v>1.7883169255255415E-5</v>
      </c>
      <c r="CQ67" s="578">
        <v>0</v>
      </c>
      <c r="CR67" s="578">
        <v>0</v>
      </c>
      <c r="CS67" s="578">
        <v>5.650355972426263E-5</v>
      </c>
      <c r="CT67" s="578">
        <v>2.9162170831996735E-5</v>
      </c>
      <c r="CU67" s="578">
        <v>2.4184576689292681E-5</v>
      </c>
      <c r="CV67" s="578">
        <v>0</v>
      </c>
      <c r="CW67" s="578">
        <v>3.901068892876648E-5</v>
      </c>
      <c r="CX67" s="578">
        <v>1.4277351836781313E-5</v>
      </c>
      <c r="CY67" s="578">
        <v>9.1583478340507378E-6</v>
      </c>
      <c r="CZ67" s="578">
        <v>0</v>
      </c>
      <c r="DA67" s="578">
        <v>2.1417403782313509E-5</v>
      </c>
      <c r="DB67" s="578">
        <v>1.083012942004657E-4</v>
      </c>
      <c r="DC67" s="578">
        <v>0</v>
      </c>
      <c r="DD67" s="578">
        <v>0</v>
      </c>
      <c r="DE67" s="578">
        <v>0</v>
      </c>
      <c r="DF67" s="578">
        <v>0</v>
      </c>
      <c r="DG67" s="578">
        <v>4.3741566079290336E-6</v>
      </c>
      <c r="DH67" s="578">
        <v>0</v>
      </c>
      <c r="DI67" s="578">
        <v>0</v>
      </c>
      <c r="DJ67" s="578">
        <v>0</v>
      </c>
      <c r="DK67" s="578">
        <v>0</v>
      </c>
      <c r="DL67" s="578">
        <v>5.0503775157193002E-6</v>
      </c>
      <c r="DM67" s="578">
        <v>0</v>
      </c>
      <c r="DN67" s="578">
        <v>0</v>
      </c>
      <c r="DO67" s="578">
        <v>0</v>
      </c>
      <c r="DP67" s="578">
        <v>0</v>
      </c>
      <c r="DQ67" s="578">
        <v>0</v>
      </c>
      <c r="DR67" s="578">
        <v>4.3349372601195775E-5</v>
      </c>
      <c r="DS67" s="578">
        <v>6.4096811824579843E-6</v>
      </c>
      <c r="DT67" s="578">
        <v>4.3006363483952796E-4</v>
      </c>
      <c r="DU67" s="578">
        <v>0</v>
      </c>
      <c r="DV67" s="578">
        <v>0</v>
      </c>
      <c r="DW67" s="578">
        <v>0</v>
      </c>
      <c r="DX67" s="578">
        <v>6.129065869070895E-6</v>
      </c>
      <c r="DY67" s="578">
        <v>1.8972032062734186E-4</v>
      </c>
      <c r="DZ67" s="578">
        <v>2.1725108330821193E-4</v>
      </c>
      <c r="EA67" s="578">
        <v>1.4579757953758796E-3</v>
      </c>
      <c r="EB67" s="578">
        <v>3.0638662928749791E-5</v>
      </c>
      <c r="EC67" s="578">
        <v>2.7361944052821673E-2</v>
      </c>
      <c r="ED67" s="578">
        <v>1.3731219075358883E-2</v>
      </c>
      <c r="EE67" s="578">
        <v>3.186894801045153E-2</v>
      </c>
      <c r="EF67" s="578">
        <v>0</v>
      </c>
      <c r="EG67" s="578">
        <v>0</v>
      </c>
      <c r="EH67" s="578">
        <v>0</v>
      </c>
      <c r="EI67" s="578">
        <v>1.9107993885441956E-4</v>
      </c>
      <c r="EJ67" s="578">
        <v>-2.696200244994729E-6</v>
      </c>
      <c r="EK67" s="578">
        <v>-7.3654891704646149E-6</v>
      </c>
      <c r="EL67" s="578">
        <v>0</v>
      </c>
      <c r="EM67" s="578">
        <v>0</v>
      </c>
      <c r="EN67" s="578">
        <v>0</v>
      </c>
      <c r="EO67" s="578">
        <v>0</v>
      </c>
      <c r="EP67" s="578">
        <v>0</v>
      </c>
      <c r="EQ67" s="578">
        <v>1.6946912103145687E-5</v>
      </c>
      <c r="ER67" s="578">
        <v>0</v>
      </c>
      <c r="ES67" s="578">
        <v>0</v>
      </c>
      <c r="ET67" s="578">
        <v>0</v>
      </c>
      <c r="EU67" s="578">
        <v>0</v>
      </c>
      <c r="EV67" s="578">
        <v>0</v>
      </c>
      <c r="EW67" s="578">
        <v>0</v>
      </c>
      <c r="EX67" s="578">
        <v>0</v>
      </c>
      <c r="EY67" s="578">
        <v>0</v>
      </c>
      <c r="EZ67" s="578">
        <v>0</v>
      </c>
      <c r="FA67" s="578">
        <v>0</v>
      </c>
      <c r="FB67" s="578">
        <v>0</v>
      </c>
      <c r="FC67" s="578">
        <v>0</v>
      </c>
      <c r="FD67" s="578">
        <v>0</v>
      </c>
      <c r="FE67" s="578">
        <v>0</v>
      </c>
      <c r="FF67" s="578">
        <v>0</v>
      </c>
      <c r="FG67" s="578">
        <v>0</v>
      </c>
      <c r="FH67" s="578">
        <v>0</v>
      </c>
      <c r="FI67" s="578">
        <v>0</v>
      </c>
      <c r="FJ67" s="578">
        <v>0</v>
      </c>
      <c r="FK67" s="578">
        <v>0</v>
      </c>
      <c r="FL67" s="578">
        <v>0</v>
      </c>
      <c r="FM67" s="578">
        <v>0</v>
      </c>
      <c r="FN67" s="578">
        <v>0</v>
      </c>
      <c r="FO67" s="578">
        <v>0</v>
      </c>
      <c r="FP67" s="578">
        <v>0</v>
      </c>
      <c r="FQ67" s="578">
        <v>1.9480483338620893E-5</v>
      </c>
      <c r="FR67" s="578">
        <v>2.1011297074060155E-5</v>
      </c>
      <c r="FS67" s="578">
        <v>2.2985928126927174E-4</v>
      </c>
      <c r="FT67" s="578">
        <v>1.5563960094006318E-5</v>
      </c>
      <c r="FU67" s="578">
        <v>0</v>
      </c>
      <c r="FV67" s="578">
        <v>0</v>
      </c>
      <c r="FW67" s="578">
        <v>0</v>
      </c>
      <c r="FX67" s="578">
        <v>0</v>
      </c>
      <c r="FY67" s="578">
        <v>1.7851038439533624E-6</v>
      </c>
      <c r="FZ67" s="578">
        <v>0</v>
      </c>
      <c r="GA67" s="578">
        <v>4.9989626335711379E-4</v>
      </c>
      <c r="GB67" s="578">
        <v>0</v>
      </c>
      <c r="GC67" s="578">
        <v>0</v>
      </c>
      <c r="GD67" s="578">
        <v>6.3813851636153573E-5</v>
      </c>
      <c r="GE67" s="578">
        <v>0</v>
      </c>
      <c r="GF67" s="578">
        <v>1.5921031682853049E-5</v>
      </c>
      <c r="GG67" s="579">
        <v>2.1724615573691973E-3</v>
      </c>
      <c r="GH67" s="572"/>
    </row>
    <row r="68" spans="1:190">
      <c r="A68" s="572" t="s">
        <v>9299</v>
      </c>
      <c r="B68" s="577" t="s">
        <v>336</v>
      </c>
      <c r="C68" s="573" t="s">
        <v>6460</v>
      </c>
      <c r="D68" s="578">
        <v>5.578862804605909E-4</v>
      </c>
      <c r="E68" s="578">
        <v>1.996007984031936E-3</v>
      </c>
      <c r="F68" s="578">
        <v>6.3635720851304535E-3</v>
      </c>
      <c r="G68" s="578">
        <v>4.7539149888143175E-3</v>
      </c>
      <c r="H68" s="578">
        <v>0</v>
      </c>
      <c r="I68" s="578">
        <v>4.7076071021338983E-2</v>
      </c>
      <c r="J68" s="578">
        <v>2.9634878964067708E-3</v>
      </c>
      <c r="K68" s="578">
        <v>2.0247948563106104E-3</v>
      </c>
      <c r="L68" s="578">
        <v>4.5180722891566266E-4</v>
      </c>
      <c r="M68" s="578">
        <v>3.6350418029807341E-4</v>
      </c>
      <c r="N68" s="578">
        <v>4.8398576512455514E-2</v>
      </c>
      <c r="O68" s="578">
        <v>1.4649207322413944E-2</v>
      </c>
      <c r="P68" s="578">
        <v>1.1049723756906077E-2</v>
      </c>
      <c r="Q68" s="578">
        <v>0</v>
      </c>
      <c r="R68" s="578">
        <v>0</v>
      </c>
      <c r="S68" s="578">
        <v>9.3370681605975728E-4</v>
      </c>
      <c r="T68" s="578">
        <v>6.7149319485768086E-3</v>
      </c>
      <c r="U68" s="578">
        <v>3.2391645308136645E-2</v>
      </c>
      <c r="V68" s="578">
        <v>1.1862484705601479E-3</v>
      </c>
      <c r="W68" s="578">
        <v>1.5677659717881785E-2</v>
      </c>
      <c r="X68" s="578">
        <v>2.4132459821885558E-2</v>
      </c>
      <c r="Y68" s="578">
        <v>3.2030249528298312E-2</v>
      </c>
      <c r="Z68" s="578">
        <v>1.8716599070746222E-2</v>
      </c>
      <c r="AA68" s="578">
        <v>1.3857549532051832E-2</v>
      </c>
      <c r="AB68" s="578">
        <v>3.8808410829024961E-2</v>
      </c>
      <c r="AC68" s="578">
        <v>7.0830094152198324E-4</v>
      </c>
      <c r="AD68" s="578">
        <v>0</v>
      </c>
      <c r="AE68" s="578">
        <v>4.0558810274898601E-3</v>
      </c>
      <c r="AF68" s="578">
        <v>6.0684214518698322E-4</v>
      </c>
      <c r="AG68" s="578">
        <v>0</v>
      </c>
      <c r="AH68" s="578">
        <v>1.9282684149633628E-3</v>
      </c>
      <c r="AI68" s="578">
        <v>7.0831941196124286E-3</v>
      </c>
      <c r="AJ68" s="578">
        <v>7.7434267552730423E-3</v>
      </c>
      <c r="AK68" s="578">
        <v>8.1067597904714399E-3</v>
      </c>
      <c r="AL68" s="578">
        <v>1.3908701854493581E-2</v>
      </c>
      <c r="AM68" s="578">
        <v>1.9515555045344966E-3</v>
      </c>
      <c r="AN68" s="578">
        <v>1.5657349896480332E-2</v>
      </c>
      <c r="AO68" s="578">
        <v>2.8079152767432069E-2</v>
      </c>
      <c r="AP68" s="578">
        <v>2.9383735705209657E-3</v>
      </c>
      <c r="AQ68" s="578">
        <v>1.9655714640403874E-3</v>
      </c>
      <c r="AR68" s="578">
        <v>1.6481894709500702E-2</v>
      </c>
      <c r="AS68" s="578">
        <v>3.4281675207633857E-3</v>
      </c>
      <c r="AT68" s="578">
        <v>7.265568334887576E-2</v>
      </c>
      <c r="AU68" s="578">
        <v>4.7847711915708184E-2</v>
      </c>
      <c r="AV68" s="578">
        <v>1.0185129710622491E-2</v>
      </c>
      <c r="AW68" s="578">
        <v>4.3447942927640404E-3</v>
      </c>
      <c r="AX68" s="578">
        <v>8.8436344484797945E-3</v>
      </c>
      <c r="AY68" s="578">
        <v>0</v>
      </c>
      <c r="AZ68" s="578">
        <v>8.5900942649818029E-4</v>
      </c>
      <c r="BA68" s="578">
        <v>3.8872691933916422E-3</v>
      </c>
      <c r="BB68" s="578">
        <v>2.6915040549633459E-3</v>
      </c>
      <c r="BC68" s="578">
        <v>9.8252939912186425E-4</v>
      </c>
      <c r="BD68" s="578">
        <v>6.396005911648182E-3</v>
      </c>
      <c r="BE68" s="578">
        <v>3.572356273825654E-2</v>
      </c>
      <c r="BF68" s="578">
        <v>5.4060332011892961E-2</v>
      </c>
      <c r="BG68" s="578">
        <v>5.2066790352504638E-2</v>
      </c>
      <c r="BH68" s="578">
        <v>1.4772165118452152E-3</v>
      </c>
      <c r="BI68" s="578">
        <v>9.7045269720791548E-3</v>
      </c>
      <c r="BJ68" s="578">
        <v>1.7434979649568454E-2</v>
      </c>
      <c r="BK68" s="578">
        <v>1.3780178591114541E-4</v>
      </c>
      <c r="BL68" s="578">
        <v>0</v>
      </c>
      <c r="BM68" s="578">
        <v>0.24943379202476887</v>
      </c>
      <c r="BN68" s="578">
        <v>7.0617283950617287E-3</v>
      </c>
      <c r="BO68" s="578">
        <v>6.3569020967539427E-2</v>
      </c>
      <c r="BP68" s="578">
        <v>1.5470656595002906E-2</v>
      </c>
      <c r="BQ68" s="578">
        <v>7.3026205975630115E-2</v>
      </c>
      <c r="BR68" s="578">
        <v>2.9637374243862886E-2</v>
      </c>
      <c r="BS68" s="578">
        <v>9.3063718300170949E-4</v>
      </c>
      <c r="BT68" s="578">
        <v>2.0032780914223274E-3</v>
      </c>
      <c r="BU68" s="578">
        <v>2.4944889198282865E-3</v>
      </c>
      <c r="BV68" s="578">
        <v>3.1330009432691012E-3</v>
      </c>
      <c r="BW68" s="578">
        <v>0</v>
      </c>
      <c r="BX68" s="578">
        <v>0</v>
      </c>
      <c r="BY68" s="578">
        <v>0</v>
      </c>
      <c r="BZ68" s="578">
        <v>3.0353033371780512E-4</v>
      </c>
      <c r="CA68" s="578">
        <v>0</v>
      </c>
      <c r="CB68" s="578">
        <v>1.9856043683296102E-4</v>
      </c>
      <c r="CC68" s="578">
        <v>1.4185945002182453E-4</v>
      </c>
      <c r="CD68" s="578">
        <v>6.6688896298766251E-4</v>
      </c>
      <c r="CE68" s="578">
        <v>0</v>
      </c>
      <c r="CF68" s="578">
        <v>3.2449076267171958E-2</v>
      </c>
      <c r="CG68" s="578">
        <v>5.9583764842741419E-4</v>
      </c>
      <c r="CH68" s="578">
        <v>4.7446564752988554E-4</v>
      </c>
      <c r="CI68" s="578">
        <v>4.9991295048125951E-3</v>
      </c>
      <c r="CJ68" s="578">
        <v>1.7747884573660229E-2</v>
      </c>
      <c r="CK68" s="578">
        <v>1.6742816222376875E-3</v>
      </c>
      <c r="CL68" s="578">
        <v>3.1322123310253877E-4</v>
      </c>
      <c r="CM68" s="578">
        <v>1.7855022912363178E-3</v>
      </c>
      <c r="CN68" s="578">
        <v>5.8495754534928597E-3</v>
      </c>
      <c r="CO68" s="578">
        <v>1.6911513495046122E-2</v>
      </c>
      <c r="CP68" s="578">
        <v>6.518415193540599E-3</v>
      </c>
      <c r="CQ68" s="578">
        <v>5.4787539020194941E-3</v>
      </c>
      <c r="CR68" s="578">
        <v>2.3284171408663339E-3</v>
      </c>
      <c r="CS68" s="578">
        <v>9.775115832297435E-3</v>
      </c>
      <c r="CT68" s="578">
        <v>3.9368930623195587E-3</v>
      </c>
      <c r="CU68" s="578">
        <v>9.3836157554455599E-3</v>
      </c>
      <c r="CV68" s="578">
        <v>2.8808088567835303E-3</v>
      </c>
      <c r="CW68" s="578">
        <v>2.3172349223687289E-2</v>
      </c>
      <c r="CX68" s="578">
        <v>1.9559972016390398E-3</v>
      </c>
      <c r="CY68" s="578">
        <v>4.4298928473303419E-2</v>
      </c>
      <c r="CZ68" s="578">
        <v>1.2322190611664296E-2</v>
      </c>
      <c r="DA68" s="578">
        <v>1.672699235398685E-2</v>
      </c>
      <c r="DB68" s="578">
        <v>6.1406833811664049E-2</v>
      </c>
      <c r="DC68" s="578">
        <v>3.1182015953589558E-2</v>
      </c>
      <c r="DD68" s="578">
        <v>1.1111111111111112E-2</v>
      </c>
      <c r="DE68" s="578">
        <v>1.4047649335780617E-2</v>
      </c>
      <c r="DF68" s="578">
        <v>1.255092259765157E-2</v>
      </c>
      <c r="DG68" s="578">
        <v>1.6449015924117131E-2</v>
      </c>
      <c r="DH68" s="578">
        <v>3.8139577032430531E-2</v>
      </c>
      <c r="DI68" s="578">
        <v>1.4902636110743145E-3</v>
      </c>
      <c r="DJ68" s="578">
        <v>1.1827703164407559E-2</v>
      </c>
      <c r="DK68" s="578">
        <v>8.0074024502496871E-2</v>
      </c>
      <c r="DL68" s="578">
        <v>4.4380192419383346E-2</v>
      </c>
      <c r="DM68" s="578">
        <v>3.0341590317837348E-2</v>
      </c>
      <c r="DN68" s="578">
        <v>2.2357019064124784E-2</v>
      </c>
      <c r="DO68" s="578">
        <v>0</v>
      </c>
      <c r="DP68" s="578">
        <v>5.4119193689745838E-3</v>
      </c>
      <c r="DQ68" s="578">
        <v>1.7989267900621705E-2</v>
      </c>
      <c r="DR68" s="578">
        <v>2.8367162516797884E-2</v>
      </c>
      <c r="DS68" s="578">
        <v>8.5184662914866618E-3</v>
      </c>
      <c r="DT68" s="578">
        <v>4.643229413436937E-3</v>
      </c>
      <c r="DU68" s="578">
        <v>2.6165753599184608E-2</v>
      </c>
      <c r="DV68" s="578">
        <v>2.8506632543171713E-3</v>
      </c>
      <c r="DW68" s="578">
        <v>4.6089785734756146E-2</v>
      </c>
      <c r="DX68" s="578">
        <v>7.4143309818150621E-2</v>
      </c>
      <c r="DY68" s="578">
        <v>2.2766438475281025E-3</v>
      </c>
      <c r="DZ68" s="578">
        <v>1.1292003981252411E-2</v>
      </c>
      <c r="EA68" s="578">
        <v>1.1999919866979186E-2</v>
      </c>
      <c r="EB68" s="578">
        <v>1.6908712103803791E-2</v>
      </c>
      <c r="EC68" s="578">
        <v>8.9483679779318436E-3</v>
      </c>
      <c r="ED68" s="578">
        <v>1.1949236099175945E-2</v>
      </c>
      <c r="EE68" s="578">
        <v>0</v>
      </c>
      <c r="EF68" s="578">
        <v>0</v>
      </c>
      <c r="EG68" s="578">
        <v>0</v>
      </c>
      <c r="EH68" s="578">
        <v>3.7603833865814694E-2</v>
      </c>
      <c r="EI68" s="578">
        <v>1.7309594460929772E-3</v>
      </c>
      <c r="EJ68" s="578">
        <v>1.2276698448876E-3</v>
      </c>
      <c r="EK68" s="578">
        <v>9.1915639086498045E-3</v>
      </c>
      <c r="EL68" s="578">
        <v>1.5696338515711259E-3</v>
      </c>
      <c r="EM68" s="578">
        <v>4.5024006206386084E-3</v>
      </c>
      <c r="EN68" s="578">
        <v>5.2517271405870417E-4</v>
      </c>
      <c r="EO68" s="578">
        <v>1.2921703537513321E-3</v>
      </c>
      <c r="EP68" s="578">
        <v>4.0480996317535171E-4</v>
      </c>
      <c r="EQ68" s="578">
        <v>0</v>
      </c>
      <c r="ER68" s="578">
        <v>0</v>
      </c>
      <c r="ES68" s="578">
        <v>0</v>
      </c>
      <c r="ET68" s="578">
        <v>4.3461496162005376E-4</v>
      </c>
      <c r="EU68" s="578">
        <v>3.5201764781807731E-5</v>
      </c>
      <c r="EV68" s="578">
        <v>7.5443228970199924E-4</v>
      </c>
      <c r="EW68" s="578">
        <v>8.7504375218760936E-5</v>
      </c>
      <c r="EX68" s="578">
        <v>7.5164784334888024E-4</v>
      </c>
      <c r="EY68" s="578">
        <v>1.8063941403543501E-3</v>
      </c>
      <c r="EZ68" s="578">
        <v>3.6327608982826948E-3</v>
      </c>
      <c r="FA68" s="578">
        <v>2.9330829038175941E-2</v>
      </c>
      <c r="FB68" s="578">
        <v>3.7102372190760157E-5</v>
      </c>
      <c r="FC68" s="578">
        <v>0</v>
      </c>
      <c r="FD68" s="578">
        <v>1.4761600157457068E-5</v>
      </c>
      <c r="FE68" s="578">
        <v>1.4061450638012088E-3</v>
      </c>
      <c r="FF68" s="578">
        <v>9.2183897585244503E-3</v>
      </c>
      <c r="FG68" s="578">
        <v>5.2192066805845514E-5</v>
      </c>
      <c r="FH68" s="578">
        <v>2.4711429035929118E-3</v>
      </c>
      <c r="FI68" s="578">
        <v>2.0259438255691728E-4</v>
      </c>
      <c r="FJ68" s="578">
        <v>9.5109546834332842E-4</v>
      </c>
      <c r="FK68" s="578">
        <v>2.4505891073856284E-4</v>
      </c>
      <c r="FL68" s="578">
        <v>0</v>
      </c>
      <c r="FM68" s="578">
        <v>2.9070275497660981E-3</v>
      </c>
      <c r="FN68" s="578">
        <v>1.0916357727828774E-2</v>
      </c>
      <c r="FO68" s="578">
        <v>1.1749543114584534E-3</v>
      </c>
      <c r="FP68" s="578">
        <v>3.1512936060252733E-5</v>
      </c>
      <c r="FQ68" s="578">
        <v>1.7254142385635649E-4</v>
      </c>
      <c r="FR68" s="578">
        <v>2.8481980478170429E-4</v>
      </c>
      <c r="FS68" s="578">
        <v>2.4779951785614172E-3</v>
      </c>
      <c r="FT68" s="578">
        <v>4.6173081612218745E-4</v>
      </c>
      <c r="FU68" s="578">
        <v>1.0293007616825636E-4</v>
      </c>
      <c r="FV68" s="578">
        <v>4.7128314691466631E-3</v>
      </c>
      <c r="FW68" s="578">
        <v>1.0087864654482552E-2</v>
      </c>
      <c r="FX68" s="578">
        <v>2.5814806094648685E-3</v>
      </c>
      <c r="FY68" s="578">
        <v>1.4539670809000137E-3</v>
      </c>
      <c r="FZ68" s="578">
        <v>1.7714600035515823E-3</v>
      </c>
      <c r="GA68" s="578">
        <v>1.1525386071844568E-3</v>
      </c>
      <c r="GB68" s="578">
        <v>2.7922025856173269E-3</v>
      </c>
      <c r="GC68" s="578">
        <v>4.2264483951890376E-3</v>
      </c>
      <c r="GD68" s="578">
        <v>8.8667667536550222E-4</v>
      </c>
      <c r="GE68" s="578">
        <v>3.7036349459770544E-2</v>
      </c>
      <c r="GF68" s="578">
        <v>3.6512232659342992E-3</v>
      </c>
      <c r="GG68" s="579">
        <v>1.0421634550670902E-2</v>
      </c>
      <c r="GH68" s="572"/>
    </row>
    <row r="69" spans="1:190">
      <c r="A69" s="572" t="s">
        <v>9300</v>
      </c>
      <c r="B69" s="577" t="s">
        <v>9421</v>
      </c>
      <c r="C69" s="573" t="s">
        <v>347</v>
      </c>
      <c r="D69" s="578">
        <v>5.1325537802374361E-4</v>
      </c>
      <c r="E69" s="578">
        <v>8.5543199315654401E-4</v>
      </c>
      <c r="F69" s="578">
        <v>6.5992599401352851E-4</v>
      </c>
      <c r="G69" s="578">
        <v>8.3892617449664428E-4</v>
      </c>
      <c r="H69" s="578">
        <v>0</v>
      </c>
      <c r="I69" s="578">
        <v>4.8867893793777485E-4</v>
      </c>
      <c r="J69" s="578">
        <v>1.6105912480471581E-4</v>
      </c>
      <c r="K69" s="578">
        <v>1.7761358388689567E-4</v>
      </c>
      <c r="L69" s="578">
        <v>1.5060240963855423E-4</v>
      </c>
      <c r="M69" s="578">
        <v>1.4540167211922936E-3</v>
      </c>
      <c r="N69" s="578">
        <v>7.1174377224199293E-4</v>
      </c>
      <c r="O69" s="578">
        <v>2.627660506262591E-4</v>
      </c>
      <c r="P69" s="578">
        <v>0</v>
      </c>
      <c r="Q69" s="578">
        <v>0</v>
      </c>
      <c r="R69" s="578">
        <v>3.5046068622463398E-3</v>
      </c>
      <c r="S69" s="578">
        <v>2.8011204481792717E-3</v>
      </c>
      <c r="T69" s="578">
        <v>3.2803771121528133E-5</v>
      </c>
      <c r="U69" s="578">
        <v>9.5635209058567009E-6</v>
      </c>
      <c r="V69" s="578">
        <v>2.2382046614342415E-5</v>
      </c>
      <c r="W69" s="578">
        <v>3.370221944434232E-5</v>
      </c>
      <c r="X69" s="578">
        <v>2.559115569659126E-5</v>
      </c>
      <c r="Y69" s="578">
        <v>7.5775371488758722E-6</v>
      </c>
      <c r="Z69" s="578">
        <v>2.4157377260392369E-5</v>
      </c>
      <c r="AA69" s="578">
        <v>6.6645720868679361E-5</v>
      </c>
      <c r="AB69" s="578">
        <v>2.4776597677606911E-5</v>
      </c>
      <c r="AC69" s="578">
        <v>1.7275632720048372E-5</v>
      </c>
      <c r="AD69" s="578">
        <v>0</v>
      </c>
      <c r="AE69" s="578">
        <v>0</v>
      </c>
      <c r="AF69" s="578">
        <v>7.5855268148372902E-5</v>
      </c>
      <c r="AG69" s="578">
        <v>0</v>
      </c>
      <c r="AH69" s="578">
        <v>0</v>
      </c>
      <c r="AI69" s="578">
        <v>1.3364517206815904E-4</v>
      </c>
      <c r="AJ69" s="578">
        <v>5.7786766830395839E-5</v>
      </c>
      <c r="AK69" s="578">
        <v>1.2471938139186831E-4</v>
      </c>
      <c r="AL69" s="578">
        <v>4.4579172610556349E-5</v>
      </c>
      <c r="AM69" s="578">
        <v>5.7398691309838139E-5</v>
      </c>
      <c r="AN69" s="578">
        <v>1.7253278122843341E-4</v>
      </c>
      <c r="AO69" s="578">
        <v>6.4773132104802925E-5</v>
      </c>
      <c r="AP69" s="578">
        <v>0</v>
      </c>
      <c r="AQ69" s="578">
        <v>2.0690225937267234E-5</v>
      </c>
      <c r="AR69" s="578">
        <v>4.7226059339543558E-5</v>
      </c>
      <c r="AS69" s="578">
        <v>2.3561288802497498E-5</v>
      </c>
      <c r="AT69" s="578">
        <v>2.0723241114910371E-5</v>
      </c>
      <c r="AU69" s="578">
        <v>2.4541483287249881E-5</v>
      </c>
      <c r="AV69" s="578">
        <v>0</v>
      </c>
      <c r="AW69" s="578">
        <v>0</v>
      </c>
      <c r="AX69" s="578">
        <v>2.1944502353547878E-5</v>
      </c>
      <c r="AY69" s="578">
        <v>0</v>
      </c>
      <c r="AZ69" s="578">
        <v>1.6954133417727242E-5</v>
      </c>
      <c r="BA69" s="578">
        <v>0</v>
      </c>
      <c r="BB69" s="578">
        <v>1.1804842346330465E-5</v>
      </c>
      <c r="BC69" s="578">
        <v>0</v>
      </c>
      <c r="BD69" s="578">
        <v>2.4838857909313331E-5</v>
      </c>
      <c r="BE69" s="578">
        <v>1.4040901145035489E-5</v>
      </c>
      <c r="BF69" s="578">
        <v>1.5485629335976214E-5</v>
      </c>
      <c r="BG69" s="578">
        <v>1.4842300556586271E-5</v>
      </c>
      <c r="BH69" s="578">
        <v>1.3741548947397351E-5</v>
      </c>
      <c r="BI69" s="578">
        <v>0</v>
      </c>
      <c r="BJ69" s="578">
        <v>0</v>
      </c>
      <c r="BK69" s="578">
        <v>0</v>
      </c>
      <c r="BL69" s="578">
        <v>0</v>
      </c>
      <c r="BM69" s="578">
        <v>6.8700664335424121E-6</v>
      </c>
      <c r="BN69" s="578">
        <v>0</v>
      </c>
      <c r="BO69" s="578">
        <v>9.6580098704860878E-6</v>
      </c>
      <c r="BP69" s="578">
        <v>7.2632190586868097E-5</v>
      </c>
      <c r="BQ69" s="578">
        <v>5.5639014076670561E-5</v>
      </c>
      <c r="BR69" s="578">
        <v>5.3343006198457323E-5</v>
      </c>
      <c r="BS69" s="578">
        <v>4.1474048372902274E-4</v>
      </c>
      <c r="BT69" s="578">
        <v>0</v>
      </c>
      <c r="BU69" s="578">
        <v>1.1602274045712959E-4</v>
      </c>
      <c r="BV69" s="578">
        <v>3.3688182185689257E-5</v>
      </c>
      <c r="BW69" s="578">
        <v>1.6902036920809449E-5</v>
      </c>
      <c r="BX69" s="578">
        <v>0</v>
      </c>
      <c r="BY69" s="578">
        <v>2.0019318642490004E-5</v>
      </c>
      <c r="BZ69" s="578">
        <v>3.3112400041942373E-5</v>
      </c>
      <c r="CA69" s="578">
        <v>3.6064062318699686E-5</v>
      </c>
      <c r="CB69" s="578">
        <v>3.1025068255150164E-5</v>
      </c>
      <c r="CC69" s="578">
        <v>3.2736796158882582E-5</v>
      </c>
      <c r="CD69" s="578">
        <v>1.6265584463113721E-5</v>
      </c>
      <c r="CE69" s="578">
        <v>0</v>
      </c>
      <c r="CF69" s="578">
        <v>0</v>
      </c>
      <c r="CG69" s="578">
        <v>3.5466526692107986E-5</v>
      </c>
      <c r="CH69" s="578">
        <v>5.7861664332912873E-5</v>
      </c>
      <c r="CI69" s="578">
        <v>4.9742582137438757E-5</v>
      </c>
      <c r="CJ69" s="578">
        <v>6.9429377305272287E-5</v>
      </c>
      <c r="CK69" s="578">
        <v>4.7908660877283226E-5</v>
      </c>
      <c r="CL69" s="578">
        <v>3.4469322303150197E-5</v>
      </c>
      <c r="CM69" s="578">
        <v>2.3743381532397844E-5</v>
      </c>
      <c r="CN69" s="578">
        <v>3.6182940949440367E-5</v>
      </c>
      <c r="CO69" s="578">
        <v>0</v>
      </c>
      <c r="CP69" s="578">
        <v>3.5766338510510831E-5</v>
      </c>
      <c r="CQ69" s="578">
        <v>1.5289545773077657E-2</v>
      </c>
      <c r="CR69" s="578">
        <v>3.2188479851352918E-2</v>
      </c>
      <c r="CS69" s="578">
        <v>5.650355972426263E-5</v>
      </c>
      <c r="CT69" s="578">
        <v>2.9162170831996735E-5</v>
      </c>
      <c r="CU69" s="578">
        <v>4.8369153378585363E-5</v>
      </c>
      <c r="CV69" s="578">
        <v>3.7171727184303618E-5</v>
      </c>
      <c r="CW69" s="578">
        <v>3.901068892876648E-5</v>
      </c>
      <c r="CX69" s="578">
        <v>2.8554703673562627E-5</v>
      </c>
      <c r="CY69" s="578">
        <v>3.6633391336202951E-5</v>
      </c>
      <c r="CZ69" s="578">
        <v>3.5561877667140828E-5</v>
      </c>
      <c r="DA69" s="578">
        <v>4.2834807564627017E-5</v>
      </c>
      <c r="DB69" s="578">
        <v>4.3320517680186279E-4</v>
      </c>
      <c r="DC69" s="578">
        <v>0</v>
      </c>
      <c r="DD69" s="578">
        <v>0</v>
      </c>
      <c r="DE69" s="578">
        <v>9.0864484707507217E-6</v>
      </c>
      <c r="DF69" s="578">
        <v>0</v>
      </c>
      <c r="DG69" s="578">
        <v>9.8418523678403256E-6</v>
      </c>
      <c r="DH69" s="578">
        <v>2.265493141219515E-5</v>
      </c>
      <c r="DI69" s="578">
        <v>0</v>
      </c>
      <c r="DJ69" s="578">
        <v>1.242405794580626E-5</v>
      </c>
      <c r="DK69" s="578">
        <v>2.1743489636811244E-5</v>
      </c>
      <c r="DL69" s="578">
        <v>0</v>
      </c>
      <c r="DM69" s="578">
        <v>0</v>
      </c>
      <c r="DN69" s="578">
        <v>3.3011471486341505E-5</v>
      </c>
      <c r="DO69" s="578">
        <v>0</v>
      </c>
      <c r="DP69" s="578">
        <v>2.2611744084136721E-2</v>
      </c>
      <c r="DQ69" s="578">
        <v>9.3295195770197546E-3</v>
      </c>
      <c r="DR69" s="578">
        <v>3.3345671231689056E-6</v>
      </c>
      <c r="DS69" s="578">
        <v>6.4096811824579843E-6</v>
      </c>
      <c r="DT69" s="578">
        <v>1.020489980975151E-4</v>
      </c>
      <c r="DU69" s="578">
        <v>3.4240030577143587E-4</v>
      </c>
      <c r="DV69" s="578">
        <v>8.0705444133335018E-3</v>
      </c>
      <c r="DW69" s="578">
        <v>2.0229606028422596E-4</v>
      </c>
      <c r="DX69" s="578">
        <v>2.4516263476283582E-4</v>
      </c>
      <c r="DY69" s="578">
        <v>1.8972032062734186E-4</v>
      </c>
      <c r="DZ69" s="578">
        <v>1.1957230166576005E-4</v>
      </c>
      <c r="EA69" s="578">
        <v>7.1229351835157476E-5</v>
      </c>
      <c r="EB69" s="578">
        <v>1.7234247897421757E-4</v>
      </c>
      <c r="EC69" s="578">
        <v>1.3456192448017812E-4</v>
      </c>
      <c r="ED69" s="578">
        <v>1.2211558466228257E-4</v>
      </c>
      <c r="EE69" s="578">
        <v>1.1544396542324964E-5</v>
      </c>
      <c r="EF69" s="578">
        <v>1.924248741220615E-5</v>
      </c>
      <c r="EG69" s="578">
        <v>0</v>
      </c>
      <c r="EH69" s="578">
        <v>5.3248136315228964E-5</v>
      </c>
      <c r="EI69" s="578">
        <v>2.6413991547522702E-4</v>
      </c>
      <c r="EJ69" s="578">
        <v>2.4535422229452034E-4</v>
      </c>
      <c r="EK69" s="578">
        <v>2.4136141435522507E-4</v>
      </c>
      <c r="EL69" s="578">
        <v>1.3428426486825222E-5</v>
      </c>
      <c r="EM69" s="578">
        <v>9.895385979425514E-6</v>
      </c>
      <c r="EN69" s="578">
        <v>3.3882110584432525E-6</v>
      </c>
      <c r="EO69" s="578">
        <v>3.9395437614369876E-6</v>
      </c>
      <c r="EP69" s="578">
        <v>9.3274185063445104E-7</v>
      </c>
      <c r="EQ69" s="578">
        <v>1.6946912103145687E-5</v>
      </c>
      <c r="ER69" s="578">
        <v>0</v>
      </c>
      <c r="ES69" s="578">
        <v>1.3608126773309019E-5</v>
      </c>
      <c r="ET69" s="578">
        <v>1.1925410532257572E-5</v>
      </c>
      <c r="EU69" s="578">
        <v>1.173392159393591E-5</v>
      </c>
      <c r="EV69" s="578">
        <v>7.5443228970199926E-5</v>
      </c>
      <c r="EW69" s="578">
        <v>1.9445416715280207E-5</v>
      </c>
      <c r="EX69" s="578">
        <v>0</v>
      </c>
      <c r="EY69" s="578">
        <v>0</v>
      </c>
      <c r="EZ69" s="578">
        <v>1.7381631092261696E-5</v>
      </c>
      <c r="FA69" s="578">
        <v>2.1839783349349175E-5</v>
      </c>
      <c r="FB69" s="578">
        <v>1.0118828779298225E-5</v>
      </c>
      <c r="FC69" s="578">
        <v>8.6625086625086625E-5</v>
      </c>
      <c r="FD69" s="578">
        <v>3.198346700782365E-5</v>
      </c>
      <c r="FE69" s="578">
        <v>2.0987239758226999E-5</v>
      </c>
      <c r="FF69" s="578">
        <v>5.308821744933867E-5</v>
      </c>
      <c r="FG69" s="578">
        <v>0</v>
      </c>
      <c r="FH69" s="578">
        <v>3.2515038205169893E-5</v>
      </c>
      <c r="FI69" s="578">
        <v>3.5233805662072569E-4</v>
      </c>
      <c r="FJ69" s="578">
        <v>7.5176408276239124E-5</v>
      </c>
      <c r="FK69" s="578">
        <v>3.4572626411249525E-5</v>
      </c>
      <c r="FL69" s="578">
        <v>7.8410872974385776E-5</v>
      </c>
      <c r="FM69" s="578">
        <v>1.7477119537671932E-5</v>
      </c>
      <c r="FN69" s="578">
        <v>1.4941122638602258E-5</v>
      </c>
      <c r="FO69" s="578">
        <v>2.0300516969994352E-5</v>
      </c>
      <c r="FP69" s="578">
        <v>1.5756468030126366E-5</v>
      </c>
      <c r="FQ69" s="578">
        <v>3.3395114294778673E-5</v>
      </c>
      <c r="FR69" s="578">
        <v>3.0349651329197997E-5</v>
      </c>
      <c r="FS69" s="578">
        <v>5.0456915400571844E-5</v>
      </c>
      <c r="FT69" s="578">
        <v>6.2255840376025271E-5</v>
      </c>
      <c r="FU69" s="578">
        <v>1.0293007616825636E-4</v>
      </c>
      <c r="FV69" s="578">
        <v>6.2837752921955517E-5</v>
      </c>
      <c r="FW69" s="578">
        <v>6.6985684608731499E-2</v>
      </c>
      <c r="FX69" s="578">
        <v>3.9240747592299844E-5</v>
      </c>
      <c r="FY69" s="578">
        <v>2.8561661503253798E-5</v>
      </c>
      <c r="FZ69" s="578">
        <v>5.6305574685013624E-5</v>
      </c>
      <c r="GA69" s="578">
        <v>2.4504718792015382E-6</v>
      </c>
      <c r="GB69" s="578">
        <v>1.5564642791447936E-4</v>
      </c>
      <c r="GC69" s="578">
        <v>1.2890047891485627E-4</v>
      </c>
      <c r="GD69" s="578">
        <v>1.7464843605684134E-4</v>
      </c>
      <c r="GE69" s="578">
        <v>0</v>
      </c>
      <c r="GF69" s="578">
        <v>8.4912168975216255E-5</v>
      </c>
      <c r="GG69" s="579">
        <v>6.3480252818301454E-4</v>
      </c>
      <c r="GH69" s="572"/>
    </row>
    <row r="70" spans="1:190">
      <c r="A70" s="572" t="s">
        <v>9301</v>
      </c>
      <c r="B70" s="577" t="s">
        <v>9422</v>
      </c>
      <c r="C70" s="573" t="s">
        <v>9520</v>
      </c>
      <c r="D70" s="578">
        <v>7.3640989020797997E-4</v>
      </c>
      <c r="E70" s="578">
        <v>8.5543199315654401E-4</v>
      </c>
      <c r="F70" s="578">
        <v>2.1683282660444505E-3</v>
      </c>
      <c r="G70" s="578">
        <v>3.3557046979865771E-3</v>
      </c>
      <c r="H70" s="578">
        <v>0</v>
      </c>
      <c r="I70" s="578">
        <v>1.6289297931259162E-3</v>
      </c>
      <c r="J70" s="578">
        <v>4.6707146193367583E-4</v>
      </c>
      <c r="K70" s="578">
        <v>8.3123157259067174E-3</v>
      </c>
      <c r="L70" s="578">
        <v>3.0120481927710846E-4</v>
      </c>
      <c r="M70" s="578">
        <v>7.2700836059614682E-4</v>
      </c>
      <c r="N70" s="578">
        <v>0</v>
      </c>
      <c r="O70" s="578">
        <v>8.53989664535342E-4</v>
      </c>
      <c r="P70" s="578">
        <v>5.5248618784530384E-3</v>
      </c>
      <c r="Q70" s="578">
        <v>0</v>
      </c>
      <c r="R70" s="578">
        <v>3.617658696512351E-3</v>
      </c>
      <c r="S70" s="578">
        <v>3.7348272642390291E-3</v>
      </c>
      <c r="T70" s="578">
        <v>2.6899092319653065E-4</v>
      </c>
      <c r="U70" s="578">
        <v>3.9210435714012471E-4</v>
      </c>
      <c r="V70" s="578">
        <v>2.2382046614342415E-5</v>
      </c>
      <c r="W70" s="578">
        <v>3.0331997499908085E-4</v>
      </c>
      <c r="X70" s="578">
        <v>3.5827617975227761E-4</v>
      </c>
      <c r="Y70" s="578">
        <v>2.9173518023172109E-4</v>
      </c>
      <c r="Z70" s="578">
        <v>3.1404590438510082E-4</v>
      </c>
      <c r="AA70" s="578">
        <v>1.3329144173735872E-4</v>
      </c>
      <c r="AB70" s="578">
        <v>1.0736525660296328E-4</v>
      </c>
      <c r="AC70" s="578">
        <v>0</v>
      </c>
      <c r="AD70" s="578">
        <v>0</v>
      </c>
      <c r="AE70" s="578">
        <v>0</v>
      </c>
      <c r="AF70" s="578">
        <v>9.1026321778047488E-4</v>
      </c>
      <c r="AG70" s="578">
        <v>0</v>
      </c>
      <c r="AH70" s="578">
        <v>0</v>
      </c>
      <c r="AI70" s="578">
        <v>4.6775810223855663E-4</v>
      </c>
      <c r="AJ70" s="578">
        <v>6.3565443513435426E-4</v>
      </c>
      <c r="AK70" s="578">
        <v>6.7348465951608876E-3</v>
      </c>
      <c r="AL70" s="578">
        <v>8.9158345221112701E-3</v>
      </c>
      <c r="AM70" s="578">
        <v>4.5918953047870511E-4</v>
      </c>
      <c r="AN70" s="578">
        <v>2.5879917184265012E-4</v>
      </c>
      <c r="AO70" s="578">
        <v>9.7159698157204394E-4</v>
      </c>
      <c r="AP70" s="578">
        <v>0</v>
      </c>
      <c r="AQ70" s="578">
        <v>0</v>
      </c>
      <c r="AR70" s="578">
        <v>1.0980058796443877E-3</v>
      </c>
      <c r="AS70" s="578">
        <v>5.0656770925369622E-4</v>
      </c>
      <c r="AT70" s="578">
        <v>7.6675992125168377E-4</v>
      </c>
      <c r="AU70" s="578">
        <v>5.7263461003583059E-4</v>
      </c>
      <c r="AV70" s="578">
        <v>1.1982505541908812E-3</v>
      </c>
      <c r="AW70" s="578">
        <v>4.8275492141822666E-4</v>
      </c>
      <c r="AX70" s="578">
        <v>1.0972251176773938E-4</v>
      </c>
      <c r="AY70" s="578">
        <v>0</v>
      </c>
      <c r="AZ70" s="578">
        <v>1.1980920948527251E-3</v>
      </c>
      <c r="BA70" s="578">
        <v>1.3883104262113009E-3</v>
      </c>
      <c r="BB70" s="578">
        <v>9.443873877064372E-5</v>
      </c>
      <c r="BC70" s="578">
        <v>4.8103001832007942E-4</v>
      </c>
      <c r="BD70" s="578">
        <v>0</v>
      </c>
      <c r="BE70" s="578">
        <v>1.4356821420798787E-3</v>
      </c>
      <c r="BF70" s="578">
        <v>1.0375371655104064E-3</v>
      </c>
      <c r="BG70" s="578">
        <v>1.6326530612244898E-4</v>
      </c>
      <c r="BH70" s="578">
        <v>2.6108943000054965E-4</v>
      </c>
      <c r="BI70" s="578">
        <v>9.7587422065600437E-4</v>
      </c>
      <c r="BJ70" s="578">
        <v>1.2783452439371385E-4</v>
      </c>
      <c r="BK70" s="578">
        <v>0</v>
      </c>
      <c r="BL70" s="578">
        <v>1.2685847668341199E-4</v>
      </c>
      <c r="BM70" s="578">
        <v>7.2822704195549574E-4</v>
      </c>
      <c r="BN70" s="578">
        <v>2.4790123456790124E-2</v>
      </c>
      <c r="BO70" s="578">
        <v>5.7001574255608888E-2</v>
      </c>
      <c r="BP70" s="578">
        <v>0.10560720511330622</v>
      </c>
      <c r="BQ70" s="578">
        <v>1.6969899293384522E-3</v>
      </c>
      <c r="BR70" s="578">
        <v>4.2674404958765858E-4</v>
      </c>
      <c r="BS70" s="578">
        <v>2.2658992281780754E-3</v>
      </c>
      <c r="BT70" s="578">
        <v>5.4634857038790747E-4</v>
      </c>
      <c r="BU70" s="578">
        <v>1.1312217194570137E-3</v>
      </c>
      <c r="BV70" s="578">
        <v>2.2907963886268697E-3</v>
      </c>
      <c r="BW70" s="578">
        <v>5.2170953962231838E-4</v>
      </c>
      <c r="BX70" s="578">
        <v>0</v>
      </c>
      <c r="BY70" s="578">
        <v>6.4312061138999132E-4</v>
      </c>
      <c r="BZ70" s="578">
        <v>2.6821044033973323E-3</v>
      </c>
      <c r="CA70" s="578">
        <v>8.2476942520156671E-4</v>
      </c>
      <c r="CB70" s="578">
        <v>2.0290394638868207E-3</v>
      </c>
      <c r="CC70" s="578">
        <v>1.4185945002182453E-4</v>
      </c>
      <c r="CD70" s="578">
        <v>1.6265584463113721E-5</v>
      </c>
      <c r="CE70" s="578">
        <v>0</v>
      </c>
      <c r="CF70" s="578">
        <v>3.1580609505763463E-4</v>
      </c>
      <c r="CG70" s="578">
        <v>1.4895941210685355E-4</v>
      </c>
      <c r="CH70" s="578">
        <v>2.3260389061830976E-3</v>
      </c>
      <c r="CI70" s="578">
        <v>4.0291491531325389E-3</v>
      </c>
      <c r="CJ70" s="578">
        <v>4.1657626383163372E-3</v>
      </c>
      <c r="CK70" s="578">
        <v>5.0682320191231206E-4</v>
      </c>
      <c r="CL70" s="578">
        <v>2.4128525612205137E-3</v>
      </c>
      <c r="CM70" s="578">
        <v>1.310159792957713E-2</v>
      </c>
      <c r="CN70" s="578">
        <v>1.6861250482439211E-2</v>
      </c>
      <c r="CO70" s="578">
        <v>8.7119918004783057E-3</v>
      </c>
      <c r="CP70" s="578">
        <v>2.1370387260030224E-3</v>
      </c>
      <c r="CQ70" s="578">
        <v>2.2106134930241446E-2</v>
      </c>
      <c r="CR70" s="578">
        <v>1.8798629659737547E-2</v>
      </c>
      <c r="CS70" s="578">
        <v>1.096169058650695E-2</v>
      </c>
      <c r="CT70" s="578">
        <v>5.5991367997433733E-3</v>
      </c>
      <c r="CU70" s="578">
        <v>1.7364526062912146E-2</v>
      </c>
      <c r="CV70" s="578">
        <v>3.4012130373637811E-3</v>
      </c>
      <c r="CW70" s="578">
        <v>2.8477802917999534E-3</v>
      </c>
      <c r="CX70" s="578">
        <v>3.4551191445010778E-3</v>
      </c>
      <c r="CY70" s="578">
        <v>8.1417712244711057E-3</v>
      </c>
      <c r="CZ70" s="578">
        <v>1.9238975817923186E-2</v>
      </c>
      <c r="DA70" s="578">
        <v>4.497654794285837E-3</v>
      </c>
      <c r="DB70" s="578">
        <v>1.0992581361347268E-2</v>
      </c>
      <c r="DC70" s="578">
        <v>0</v>
      </c>
      <c r="DD70" s="578">
        <v>1.1594202898550725E-2</v>
      </c>
      <c r="DE70" s="578">
        <v>2.9667254257001109E-3</v>
      </c>
      <c r="DF70" s="578">
        <v>8.3872513779055839E-4</v>
      </c>
      <c r="DG70" s="578">
        <v>1.0815102213104536E-2</v>
      </c>
      <c r="DH70" s="578">
        <v>8.3256872939817175E-3</v>
      </c>
      <c r="DI70" s="578">
        <v>1.6558484567492384E-4</v>
      </c>
      <c r="DJ70" s="578">
        <v>2.2860266620283519E-3</v>
      </c>
      <c r="DK70" s="578">
        <v>1.4568138056663535E-3</v>
      </c>
      <c r="DL70" s="578">
        <v>6.3053963283755459E-3</v>
      </c>
      <c r="DM70" s="578">
        <v>4.2274629566791087E-3</v>
      </c>
      <c r="DN70" s="578">
        <v>2.0219526285384171E-3</v>
      </c>
      <c r="DO70" s="578">
        <v>0</v>
      </c>
      <c r="DP70" s="578">
        <v>2.3225241016652061E-3</v>
      </c>
      <c r="DQ70" s="578">
        <v>2.5451307629876527E-3</v>
      </c>
      <c r="DR70" s="578">
        <v>1.4735452117283394E-2</v>
      </c>
      <c r="DS70" s="578">
        <v>1.0293947979027523E-2</v>
      </c>
      <c r="DT70" s="578">
        <v>1.5329217357076734E-2</v>
      </c>
      <c r="DU70" s="578">
        <v>9.5553573703656519E-5</v>
      </c>
      <c r="DV70" s="578">
        <v>9.9709865828782832E-3</v>
      </c>
      <c r="DW70" s="578">
        <v>1.1564591446248251E-2</v>
      </c>
      <c r="DX70" s="578">
        <v>4.7929295096134396E-3</v>
      </c>
      <c r="DY70" s="578">
        <v>5.2331188439708465E-3</v>
      </c>
      <c r="DZ70" s="578">
        <v>2.8293164337813646E-4</v>
      </c>
      <c r="EA70" s="578">
        <v>3.3166166948245197E-4</v>
      </c>
      <c r="EB70" s="578">
        <v>2.7191813349265438E-4</v>
      </c>
      <c r="EC70" s="578">
        <v>3.4527366531391158E-3</v>
      </c>
      <c r="ED70" s="578">
        <v>4.5408906296641365E-3</v>
      </c>
      <c r="EE70" s="578">
        <v>0</v>
      </c>
      <c r="EF70" s="578">
        <v>0</v>
      </c>
      <c r="EG70" s="578">
        <v>0</v>
      </c>
      <c r="EH70" s="578">
        <v>1.4110756123535677E-3</v>
      </c>
      <c r="EI70" s="578">
        <v>1.2161676108263646E-2</v>
      </c>
      <c r="EJ70" s="578">
        <v>9.0772074914822546E-5</v>
      </c>
      <c r="EK70" s="578">
        <v>1.4107744641889917E-4</v>
      </c>
      <c r="EL70" s="578">
        <v>1.7904568649100294E-5</v>
      </c>
      <c r="EM70" s="578">
        <v>0</v>
      </c>
      <c r="EN70" s="578">
        <v>0</v>
      </c>
      <c r="EO70" s="578">
        <v>0</v>
      </c>
      <c r="EP70" s="578">
        <v>0</v>
      </c>
      <c r="EQ70" s="578">
        <v>1.5930097376956945E-4</v>
      </c>
      <c r="ER70" s="578">
        <v>0</v>
      </c>
      <c r="ES70" s="578">
        <v>1.2247314095978118E-4</v>
      </c>
      <c r="ET70" s="578">
        <v>2.0723713413834271E-3</v>
      </c>
      <c r="EU70" s="578">
        <v>3.2854980463020548E-4</v>
      </c>
      <c r="EV70" s="578">
        <v>5.7525462089777438E-3</v>
      </c>
      <c r="EW70" s="578">
        <v>2.7223583401392291E-3</v>
      </c>
      <c r="EX70" s="578">
        <v>0</v>
      </c>
      <c r="EY70" s="578">
        <v>8.9082450757200832E-4</v>
      </c>
      <c r="EZ70" s="578">
        <v>6.3442953486755199E-4</v>
      </c>
      <c r="FA70" s="578">
        <v>5.6783436708307859E-4</v>
      </c>
      <c r="FB70" s="578">
        <v>4.3848258043625643E-5</v>
      </c>
      <c r="FC70" s="578">
        <v>3.2484407484407486E-4</v>
      </c>
      <c r="FD70" s="578">
        <v>9.5950401023470942E-5</v>
      </c>
      <c r="FE70" s="578">
        <v>0</v>
      </c>
      <c r="FF70" s="578">
        <v>0</v>
      </c>
      <c r="FG70" s="578">
        <v>3.6534446764091859E-4</v>
      </c>
      <c r="FH70" s="578">
        <v>3.2515038205169893E-5</v>
      </c>
      <c r="FI70" s="578">
        <v>2.1786236501048204E-3</v>
      </c>
      <c r="FJ70" s="578">
        <v>5.5243269718145422E-4</v>
      </c>
      <c r="FK70" s="578">
        <v>6.1010517196322692E-6</v>
      </c>
      <c r="FL70" s="578">
        <v>7.3183481442760066E-4</v>
      </c>
      <c r="FM70" s="578">
        <v>9.9037010713474267E-4</v>
      </c>
      <c r="FN70" s="578">
        <v>1.1952898110881806E-4</v>
      </c>
      <c r="FO70" s="578">
        <v>1.0788982067711631E-3</v>
      </c>
      <c r="FP70" s="578">
        <v>7.2479752938581286E-4</v>
      </c>
      <c r="FQ70" s="578">
        <v>1.6140971909143025E-3</v>
      </c>
      <c r="FR70" s="578">
        <v>1.5711781034269425E-3</v>
      </c>
      <c r="FS70" s="578">
        <v>4.5635476817850532E-3</v>
      </c>
      <c r="FT70" s="578">
        <v>5.9661847027024228E-4</v>
      </c>
      <c r="FU70" s="578">
        <v>1.0293007616825636E-4</v>
      </c>
      <c r="FV70" s="578">
        <v>2.0945917640651837E-5</v>
      </c>
      <c r="FW70" s="578">
        <v>4.6801872074882997E-3</v>
      </c>
      <c r="FX70" s="578">
        <v>9.580348233605776E-3</v>
      </c>
      <c r="FY70" s="578">
        <v>3.6594628801043931E-5</v>
      </c>
      <c r="FZ70" s="578">
        <v>1.2906970197026199E-3</v>
      </c>
      <c r="GA70" s="578">
        <v>1.4702831275209229E-4</v>
      </c>
      <c r="GB70" s="578">
        <v>4.7637240058673986E-4</v>
      </c>
      <c r="GC70" s="578">
        <v>2.4317571118360388E-3</v>
      </c>
      <c r="GD70" s="578">
        <v>5.8104191226602988E-4</v>
      </c>
      <c r="GE70" s="578">
        <v>1.0247651579846286E-2</v>
      </c>
      <c r="GF70" s="578">
        <v>2.8127155973040388E-4</v>
      </c>
      <c r="GG70" s="579">
        <v>2.091170076767701E-3</v>
      </c>
      <c r="GH70" s="572"/>
    </row>
    <row r="71" spans="1:190">
      <c r="A71" s="572" t="s">
        <v>9302</v>
      </c>
      <c r="B71" s="577" t="s">
        <v>9423</v>
      </c>
      <c r="C71" s="573" t="s">
        <v>352</v>
      </c>
      <c r="D71" s="578">
        <v>0</v>
      </c>
      <c r="E71" s="578">
        <v>0</v>
      </c>
      <c r="F71" s="578">
        <v>0</v>
      </c>
      <c r="G71" s="578">
        <v>0</v>
      </c>
      <c r="H71" s="578">
        <v>0</v>
      </c>
      <c r="I71" s="578">
        <v>0</v>
      </c>
      <c r="J71" s="578">
        <v>0</v>
      </c>
      <c r="K71" s="578">
        <v>0</v>
      </c>
      <c r="L71" s="578">
        <v>0</v>
      </c>
      <c r="M71" s="578">
        <v>0</v>
      </c>
      <c r="N71" s="578">
        <v>0</v>
      </c>
      <c r="O71" s="578">
        <v>0</v>
      </c>
      <c r="P71" s="578">
        <v>0</v>
      </c>
      <c r="Q71" s="578">
        <v>0</v>
      </c>
      <c r="R71" s="578">
        <v>3.617658696512351E-3</v>
      </c>
      <c r="S71" s="578">
        <v>0</v>
      </c>
      <c r="T71" s="578">
        <v>0</v>
      </c>
      <c r="U71" s="578">
        <v>0</v>
      </c>
      <c r="V71" s="578">
        <v>0</v>
      </c>
      <c r="W71" s="578">
        <v>0</v>
      </c>
      <c r="X71" s="578">
        <v>0</v>
      </c>
      <c r="Y71" s="578">
        <v>0</v>
      </c>
      <c r="Z71" s="578">
        <v>0</v>
      </c>
      <c r="AA71" s="578">
        <v>0</v>
      </c>
      <c r="AB71" s="578">
        <v>0</v>
      </c>
      <c r="AC71" s="578">
        <v>0</v>
      </c>
      <c r="AD71" s="578">
        <v>0</v>
      </c>
      <c r="AE71" s="578">
        <v>0</v>
      </c>
      <c r="AF71" s="578">
        <v>0</v>
      </c>
      <c r="AG71" s="578">
        <v>0</v>
      </c>
      <c r="AH71" s="578">
        <v>0</v>
      </c>
      <c r="AI71" s="578">
        <v>0</v>
      </c>
      <c r="AJ71" s="578">
        <v>0</v>
      </c>
      <c r="AK71" s="578">
        <v>0</v>
      </c>
      <c r="AL71" s="578">
        <v>0</v>
      </c>
      <c r="AM71" s="578">
        <v>4.5918953047870511E-4</v>
      </c>
      <c r="AN71" s="578">
        <v>0</v>
      </c>
      <c r="AO71" s="578">
        <v>0</v>
      </c>
      <c r="AP71" s="578">
        <v>0</v>
      </c>
      <c r="AQ71" s="578">
        <v>0</v>
      </c>
      <c r="AR71" s="578">
        <v>0</v>
      </c>
      <c r="AS71" s="578">
        <v>0</v>
      </c>
      <c r="AT71" s="578">
        <v>0</v>
      </c>
      <c r="AU71" s="578">
        <v>0</v>
      </c>
      <c r="AV71" s="578">
        <v>0</v>
      </c>
      <c r="AW71" s="578">
        <v>0</v>
      </c>
      <c r="AX71" s="578">
        <v>0</v>
      </c>
      <c r="AY71" s="578">
        <v>0</v>
      </c>
      <c r="AZ71" s="578">
        <v>0</v>
      </c>
      <c r="BA71" s="578">
        <v>0</v>
      </c>
      <c r="BB71" s="578">
        <v>0</v>
      </c>
      <c r="BC71" s="578">
        <v>0</v>
      </c>
      <c r="BD71" s="578">
        <v>0</v>
      </c>
      <c r="BE71" s="578">
        <v>0</v>
      </c>
      <c r="BF71" s="578">
        <v>0</v>
      </c>
      <c r="BG71" s="578">
        <v>0</v>
      </c>
      <c r="BH71" s="578">
        <v>1.9925245973726157E-4</v>
      </c>
      <c r="BI71" s="578">
        <v>0</v>
      </c>
      <c r="BJ71" s="578">
        <v>0</v>
      </c>
      <c r="BK71" s="578">
        <v>0</v>
      </c>
      <c r="BL71" s="578">
        <v>1.1417262901507079E-4</v>
      </c>
      <c r="BM71" s="578">
        <v>0</v>
      </c>
      <c r="BN71" s="578">
        <v>0</v>
      </c>
      <c r="BO71" s="578">
        <v>0</v>
      </c>
      <c r="BP71" s="578">
        <v>7.2269029633933765E-2</v>
      </c>
      <c r="BQ71" s="578">
        <v>0</v>
      </c>
      <c r="BR71" s="578">
        <v>0</v>
      </c>
      <c r="BS71" s="578">
        <v>1.213874586523969E-4</v>
      </c>
      <c r="BT71" s="578">
        <v>0</v>
      </c>
      <c r="BU71" s="578">
        <v>0</v>
      </c>
      <c r="BV71" s="578">
        <v>0</v>
      </c>
      <c r="BW71" s="578">
        <v>1.4648431998034856E-5</v>
      </c>
      <c r="BX71" s="578">
        <v>0</v>
      </c>
      <c r="BY71" s="578">
        <v>0</v>
      </c>
      <c r="BZ71" s="578">
        <v>0</v>
      </c>
      <c r="CA71" s="578">
        <v>0</v>
      </c>
      <c r="CB71" s="578">
        <v>3.4748076445768178E-4</v>
      </c>
      <c r="CC71" s="578">
        <v>0</v>
      </c>
      <c r="CD71" s="578">
        <v>0</v>
      </c>
      <c r="CE71" s="578">
        <v>0</v>
      </c>
      <c r="CF71" s="578">
        <v>0</v>
      </c>
      <c r="CG71" s="578">
        <v>0</v>
      </c>
      <c r="CH71" s="578">
        <v>5.0918264612963325E-4</v>
      </c>
      <c r="CI71" s="578">
        <v>0</v>
      </c>
      <c r="CJ71" s="578">
        <v>4.3393360815795186E-5</v>
      </c>
      <c r="CK71" s="578">
        <v>1.0086033868901732E-5</v>
      </c>
      <c r="CL71" s="578">
        <v>0</v>
      </c>
      <c r="CM71" s="578">
        <v>0</v>
      </c>
      <c r="CN71" s="578">
        <v>0</v>
      </c>
      <c r="CO71" s="578">
        <v>0</v>
      </c>
      <c r="CP71" s="578">
        <v>0</v>
      </c>
      <c r="CQ71" s="578">
        <v>0</v>
      </c>
      <c r="CR71" s="578">
        <v>8.4194634769480903E-5</v>
      </c>
      <c r="CS71" s="578">
        <v>0</v>
      </c>
      <c r="CT71" s="578">
        <v>0</v>
      </c>
      <c r="CU71" s="578">
        <v>0</v>
      </c>
      <c r="CV71" s="578">
        <v>0</v>
      </c>
      <c r="CW71" s="578">
        <v>6.2417102286026367E-4</v>
      </c>
      <c r="CX71" s="578">
        <v>3.4979512000114218E-4</v>
      </c>
      <c r="CY71" s="578">
        <v>0</v>
      </c>
      <c r="CZ71" s="578">
        <v>0</v>
      </c>
      <c r="DA71" s="578">
        <v>0</v>
      </c>
      <c r="DB71" s="578">
        <v>0</v>
      </c>
      <c r="DC71" s="578">
        <v>0</v>
      </c>
      <c r="DD71" s="578">
        <v>0</v>
      </c>
      <c r="DE71" s="578">
        <v>0</v>
      </c>
      <c r="DF71" s="578">
        <v>0</v>
      </c>
      <c r="DG71" s="578">
        <v>1.0935391519822584E-6</v>
      </c>
      <c r="DH71" s="578">
        <v>0</v>
      </c>
      <c r="DI71" s="578">
        <v>0</v>
      </c>
      <c r="DJ71" s="578">
        <v>0</v>
      </c>
      <c r="DK71" s="578">
        <v>0</v>
      </c>
      <c r="DL71" s="578">
        <v>0</v>
      </c>
      <c r="DM71" s="578">
        <v>0</v>
      </c>
      <c r="DN71" s="578">
        <v>0</v>
      </c>
      <c r="DO71" s="578">
        <v>0</v>
      </c>
      <c r="DP71" s="578">
        <v>2.1910604732690622E-5</v>
      </c>
      <c r="DQ71" s="578">
        <v>0</v>
      </c>
      <c r="DR71" s="578">
        <v>6.6691342463378113E-6</v>
      </c>
      <c r="DS71" s="578">
        <v>1.2819362364915969E-5</v>
      </c>
      <c r="DT71" s="578">
        <v>1.5307349714627265E-4</v>
      </c>
      <c r="DU71" s="578">
        <v>0</v>
      </c>
      <c r="DV71" s="578">
        <v>0</v>
      </c>
      <c r="DW71" s="578">
        <v>0</v>
      </c>
      <c r="DX71" s="578">
        <v>0</v>
      </c>
      <c r="DY71" s="578">
        <v>0</v>
      </c>
      <c r="DZ71" s="578">
        <v>0</v>
      </c>
      <c r="EA71" s="578">
        <v>2.2259172448486711E-6</v>
      </c>
      <c r="EB71" s="578">
        <v>7.6596657321874479E-6</v>
      </c>
      <c r="EC71" s="578">
        <v>3.0582255563676845E-6</v>
      </c>
      <c r="ED71" s="578">
        <v>4.0705194887427523E-5</v>
      </c>
      <c r="EE71" s="578">
        <v>1.7957950176949946E-5</v>
      </c>
      <c r="EF71" s="578">
        <v>9.6853853308104297E-4</v>
      </c>
      <c r="EG71" s="578">
        <v>0</v>
      </c>
      <c r="EH71" s="578">
        <v>0</v>
      </c>
      <c r="EI71" s="578">
        <v>0</v>
      </c>
      <c r="EJ71" s="578">
        <v>2.8759469279943776E-5</v>
      </c>
      <c r="EK71" s="578">
        <v>5.4391304643431001E-5</v>
      </c>
      <c r="EL71" s="578">
        <v>4.4761421622750736E-6</v>
      </c>
      <c r="EM71" s="578">
        <v>0</v>
      </c>
      <c r="EN71" s="578">
        <v>0</v>
      </c>
      <c r="EO71" s="578">
        <v>0</v>
      </c>
      <c r="EP71" s="578">
        <v>0</v>
      </c>
      <c r="EQ71" s="578">
        <v>1.7624788587271514E-4</v>
      </c>
      <c r="ER71" s="578">
        <v>0</v>
      </c>
      <c r="ES71" s="578">
        <v>0</v>
      </c>
      <c r="ET71" s="578">
        <v>2.3850821064515145E-5</v>
      </c>
      <c r="EU71" s="578">
        <v>0</v>
      </c>
      <c r="EV71" s="578">
        <v>0</v>
      </c>
      <c r="EW71" s="578">
        <v>9.7227083576401035E-6</v>
      </c>
      <c r="EX71" s="578">
        <v>0</v>
      </c>
      <c r="EY71" s="578">
        <v>0</v>
      </c>
      <c r="EZ71" s="578">
        <v>8.6908155461308481E-6</v>
      </c>
      <c r="FA71" s="578">
        <v>1.747182667947934E-4</v>
      </c>
      <c r="FB71" s="578">
        <v>6.7458858528654839E-6</v>
      </c>
      <c r="FC71" s="578">
        <v>3.6815661815661814E-4</v>
      </c>
      <c r="FD71" s="578">
        <v>5.6094080598336859E-4</v>
      </c>
      <c r="FE71" s="578">
        <v>0</v>
      </c>
      <c r="FF71" s="578">
        <v>0</v>
      </c>
      <c r="FG71" s="578">
        <v>2.0876826722338206E-4</v>
      </c>
      <c r="FH71" s="578">
        <v>0</v>
      </c>
      <c r="FI71" s="578">
        <v>1.4974367406380841E-4</v>
      </c>
      <c r="FJ71" s="578">
        <v>2.3122440727388701E-4</v>
      </c>
      <c r="FK71" s="578">
        <v>0</v>
      </c>
      <c r="FL71" s="578">
        <v>0</v>
      </c>
      <c r="FM71" s="578">
        <v>0</v>
      </c>
      <c r="FN71" s="578">
        <v>0</v>
      </c>
      <c r="FO71" s="578">
        <v>0</v>
      </c>
      <c r="FP71" s="578">
        <v>0</v>
      </c>
      <c r="FQ71" s="578">
        <v>0</v>
      </c>
      <c r="FR71" s="578">
        <v>0</v>
      </c>
      <c r="FS71" s="578">
        <v>5.6063239333968717E-6</v>
      </c>
      <c r="FT71" s="578">
        <v>1.5563960094006318E-5</v>
      </c>
      <c r="FU71" s="578">
        <v>0</v>
      </c>
      <c r="FV71" s="578">
        <v>0</v>
      </c>
      <c r="FW71" s="578">
        <v>8.0832248833994816E-6</v>
      </c>
      <c r="FX71" s="578">
        <v>0</v>
      </c>
      <c r="FY71" s="578">
        <v>7.4081809524064533E-5</v>
      </c>
      <c r="FZ71" s="578">
        <v>4.2445740916394886E-4</v>
      </c>
      <c r="GA71" s="578">
        <v>0</v>
      </c>
      <c r="GB71" s="578">
        <v>3.8204123215372209E-4</v>
      </c>
      <c r="GC71" s="578">
        <v>1.1402734673237286E-4</v>
      </c>
      <c r="GD71" s="578">
        <v>3.1571063441044396E-4</v>
      </c>
      <c r="GE71" s="578">
        <v>0</v>
      </c>
      <c r="GF71" s="578">
        <v>4.4578888711988539E-4</v>
      </c>
      <c r="GG71" s="579">
        <v>7.4386710067299178E-5</v>
      </c>
      <c r="GH71" s="572"/>
    </row>
    <row r="72" spans="1:190">
      <c r="A72" s="572" t="s">
        <v>9303</v>
      </c>
      <c r="B72" s="577" t="s">
        <v>9424</v>
      </c>
      <c r="C72" s="573" t="s">
        <v>9521</v>
      </c>
      <c r="D72" s="578">
        <v>4.4630902436847273E-5</v>
      </c>
      <c r="E72" s="578">
        <v>0</v>
      </c>
      <c r="F72" s="578">
        <v>1.178439275024158E-4</v>
      </c>
      <c r="G72" s="578">
        <v>0</v>
      </c>
      <c r="H72" s="578">
        <v>0</v>
      </c>
      <c r="I72" s="578">
        <v>0</v>
      </c>
      <c r="J72" s="578">
        <v>0</v>
      </c>
      <c r="K72" s="578">
        <v>3.5522716777379133E-5</v>
      </c>
      <c r="L72" s="578">
        <v>0</v>
      </c>
      <c r="M72" s="578">
        <v>3.6350418029807341E-4</v>
      </c>
      <c r="N72" s="578">
        <v>0</v>
      </c>
      <c r="O72" s="578">
        <v>3.0656039239730225E-4</v>
      </c>
      <c r="P72" s="578">
        <v>5.5248618784530384E-3</v>
      </c>
      <c r="Q72" s="578">
        <v>0</v>
      </c>
      <c r="R72" s="578">
        <v>5.6525917133005484E-5</v>
      </c>
      <c r="S72" s="578">
        <v>0</v>
      </c>
      <c r="T72" s="578">
        <v>1.6401885560764067E-5</v>
      </c>
      <c r="U72" s="578">
        <v>2.8690562717570099E-5</v>
      </c>
      <c r="V72" s="578">
        <v>0</v>
      </c>
      <c r="W72" s="578">
        <v>6.4340600757380783E-5</v>
      </c>
      <c r="X72" s="578">
        <v>7.6773467089773779E-5</v>
      </c>
      <c r="Y72" s="578">
        <v>1.5155074297751744E-5</v>
      </c>
      <c r="Z72" s="578">
        <v>1.8789071202527397E-5</v>
      </c>
      <c r="AA72" s="578">
        <v>0</v>
      </c>
      <c r="AB72" s="578">
        <v>1.6517731785071275E-5</v>
      </c>
      <c r="AC72" s="578">
        <v>0</v>
      </c>
      <c r="AD72" s="578">
        <v>0</v>
      </c>
      <c r="AE72" s="578">
        <v>0</v>
      </c>
      <c r="AF72" s="578">
        <v>7.5855268148372902E-5</v>
      </c>
      <c r="AG72" s="578">
        <v>0</v>
      </c>
      <c r="AH72" s="578">
        <v>0</v>
      </c>
      <c r="AI72" s="578">
        <v>2.6729034413631807E-4</v>
      </c>
      <c r="AJ72" s="578">
        <v>6.3565443513435426E-4</v>
      </c>
      <c r="AK72" s="578">
        <v>2.1077575455225744E-2</v>
      </c>
      <c r="AL72" s="578">
        <v>4.2350213980028532E-3</v>
      </c>
      <c r="AM72" s="578">
        <v>0</v>
      </c>
      <c r="AN72" s="578">
        <v>4.3133195307108351E-5</v>
      </c>
      <c r="AO72" s="578">
        <v>8.4205071736243801E-4</v>
      </c>
      <c r="AP72" s="578">
        <v>0</v>
      </c>
      <c r="AQ72" s="578">
        <v>6.2070677811801702E-5</v>
      </c>
      <c r="AR72" s="578">
        <v>1.2987166318374478E-4</v>
      </c>
      <c r="AS72" s="578">
        <v>1.8849031041997998E-4</v>
      </c>
      <c r="AT72" s="578">
        <v>0</v>
      </c>
      <c r="AU72" s="578">
        <v>8.9985438719916231E-5</v>
      </c>
      <c r="AV72" s="578">
        <v>1.1982505541908813E-4</v>
      </c>
      <c r="AW72" s="578">
        <v>5.3639435713136299E-5</v>
      </c>
      <c r="AX72" s="578">
        <v>1.0972251176773939E-5</v>
      </c>
      <c r="AY72" s="578">
        <v>0</v>
      </c>
      <c r="AZ72" s="578">
        <v>0</v>
      </c>
      <c r="BA72" s="578">
        <v>0</v>
      </c>
      <c r="BB72" s="578">
        <v>0</v>
      </c>
      <c r="BC72" s="578">
        <v>1.0234681240852753E-5</v>
      </c>
      <c r="BD72" s="578">
        <v>8.6936002682596654E-5</v>
      </c>
      <c r="BE72" s="578">
        <v>7.0204505725177445E-6</v>
      </c>
      <c r="BF72" s="578">
        <v>3.0971258671952428E-5</v>
      </c>
      <c r="BG72" s="578">
        <v>2.9684601113172543E-5</v>
      </c>
      <c r="BH72" s="578">
        <v>1.3741548947397351E-5</v>
      </c>
      <c r="BI72" s="578">
        <v>0</v>
      </c>
      <c r="BJ72" s="578">
        <v>7.2164650867419103E-4</v>
      </c>
      <c r="BK72" s="578">
        <v>0</v>
      </c>
      <c r="BL72" s="578">
        <v>0</v>
      </c>
      <c r="BM72" s="578">
        <v>1.0763104079216446E-4</v>
      </c>
      <c r="BN72" s="578">
        <v>0</v>
      </c>
      <c r="BO72" s="578">
        <v>2.5110825663263826E-4</v>
      </c>
      <c r="BP72" s="578">
        <v>0.16603718768158049</v>
      </c>
      <c r="BQ72" s="578">
        <v>0.13114115617871253</v>
      </c>
      <c r="BR72" s="578">
        <v>1.0668601239691463E-5</v>
      </c>
      <c r="BS72" s="578">
        <v>1.0115621554366407E-5</v>
      </c>
      <c r="BT72" s="578">
        <v>9.1058095064651249E-4</v>
      </c>
      <c r="BU72" s="578">
        <v>1.4502842557141199E-4</v>
      </c>
      <c r="BV72" s="578">
        <v>1.3475272874275703E-4</v>
      </c>
      <c r="BW72" s="578">
        <v>2.2536049227745932E-6</v>
      </c>
      <c r="BX72" s="578">
        <v>0</v>
      </c>
      <c r="BY72" s="578">
        <v>3.7536222454668757E-6</v>
      </c>
      <c r="BZ72" s="578">
        <v>4.6357360058719321E-4</v>
      </c>
      <c r="CA72" s="578">
        <v>6.2720108380347283E-6</v>
      </c>
      <c r="CB72" s="578">
        <v>1.1169024571854058E-4</v>
      </c>
      <c r="CC72" s="578">
        <v>2.182453077258839E-5</v>
      </c>
      <c r="CD72" s="578">
        <v>1.6265584463113721E-5</v>
      </c>
      <c r="CE72" s="578">
        <v>0</v>
      </c>
      <c r="CF72" s="578">
        <v>0</v>
      </c>
      <c r="CG72" s="578">
        <v>7.0933053384215973E-5</v>
      </c>
      <c r="CH72" s="578">
        <v>1.2729566153240831E-4</v>
      </c>
      <c r="CI72" s="578">
        <v>2.4871291068719379E-5</v>
      </c>
      <c r="CJ72" s="578">
        <v>8.6786721631590372E-5</v>
      </c>
      <c r="CK72" s="578">
        <v>1.7650559270578032E-5</v>
      </c>
      <c r="CL72" s="578">
        <v>1.1989329496747894E-5</v>
      </c>
      <c r="CM72" s="578">
        <v>2.8492057838877413E-5</v>
      </c>
      <c r="CN72" s="578">
        <v>3.6182940949440367E-5</v>
      </c>
      <c r="CO72" s="578">
        <v>0</v>
      </c>
      <c r="CP72" s="578">
        <v>3.5766338510510831E-5</v>
      </c>
      <c r="CQ72" s="578">
        <v>0</v>
      </c>
      <c r="CR72" s="578">
        <v>8.7097898037394034E-6</v>
      </c>
      <c r="CS72" s="578">
        <v>0</v>
      </c>
      <c r="CT72" s="578">
        <v>2.9162170831996735E-5</v>
      </c>
      <c r="CU72" s="578">
        <v>4.0307627815487801E-5</v>
      </c>
      <c r="CV72" s="578">
        <v>4.9562302912404826E-5</v>
      </c>
      <c r="CW72" s="578">
        <v>1.5604275571506592E-4</v>
      </c>
      <c r="CX72" s="578">
        <v>1.0708013877585985E-4</v>
      </c>
      <c r="CY72" s="578">
        <v>9.1583478340507378E-6</v>
      </c>
      <c r="CZ72" s="578">
        <v>0</v>
      </c>
      <c r="DA72" s="578">
        <v>2.2274099933606048E-3</v>
      </c>
      <c r="DB72" s="578">
        <v>5.4150647100232849E-5</v>
      </c>
      <c r="DC72" s="578">
        <v>1.2327773749093546E-2</v>
      </c>
      <c r="DD72" s="578">
        <v>9.6618357487922703E-4</v>
      </c>
      <c r="DE72" s="578">
        <v>2.0898831482726662E-4</v>
      </c>
      <c r="DF72" s="578">
        <v>2.096812844476396E-4</v>
      </c>
      <c r="DG72" s="578">
        <v>3.7180331167396789E-5</v>
      </c>
      <c r="DH72" s="578">
        <v>2.265493141219515E-5</v>
      </c>
      <c r="DI72" s="578">
        <v>1.3246787653993907E-4</v>
      </c>
      <c r="DJ72" s="578">
        <v>3.9756985426580031E-4</v>
      </c>
      <c r="DK72" s="578">
        <v>1.9327546343832218E-5</v>
      </c>
      <c r="DL72" s="578">
        <v>3.0049746218529833E-4</v>
      </c>
      <c r="DM72" s="578">
        <v>9.8970704671417256E-5</v>
      </c>
      <c r="DN72" s="578">
        <v>9.0781546587439139E-5</v>
      </c>
      <c r="DO72" s="578">
        <v>0</v>
      </c>
      <c r="DP72" s="578">
        <v>6.5731814198071863E-5</v>
      </c>
      <c r="DQ72" s="578">
        <v>0</v>
      </c>
      <c r="DR72" s="578">
        <v>1.0670614794140498E-4</v>
      </c>
      <c r="DS72" s="578">
        <v>3.2048405912289922E-6</v>
      </c>
      <c r="DT72" s="578">
        <v>5.8313713198580064E-5</v>
      </c>
      <c r="DU72" s="578">
        <v>1.5925595617276085E-5</v>
      </c>
      <c r="DV72" s="578">
        <v>6.3348072318159359E-5</v>
      </c>
      <c r="DW72" s="578">
        <v>2.1005074259512129E-2</v>
      </c>
      <c r="DX72" s="578">
        <v>1.0235540001348395E-3</v>
      </c>
      <c r="DY72" s="578">
        <v>7.9050133594725774E-5</v>
      </c>
      <c r="DZ72" s="578">
        <v>0</v>
      </c>
      <c r="EA72" s="578">
        <v>2.2259172448486711E-6</v>
      </c>
      <c r="EB72" s="578">
        <v>7.6596657321874479E-6</v>
      </c>
      <c r="EC72" s="578">
        <v>6.1164511127353689E-6</v>
      </c>
      <c r="ED72" s="578">
        <v>1.8091197727745564E-5</v>
      </c>
      <c r="EE72" s="578">
        <v>4.1046743261599877E-5</v>
      </c>
      <c r="EF72" s="578">
        <v>2.6779128315320227E-3</v>
      </c>
      <c r="EG72" s="578">
        <v>0</v>
      </c>
      <c r="EH72" s="578">
        <v>1.4376996805111821E-4</v>
      </c>
      <c r="EI72" s="578">
        <v>1.7983994245121841E-4</v>
      </c>
      <c r="EJ72" s="578">
        <v>3.954427025992269E-5</v>
      </c>
      <c r="EK72" s="578">
        <v>6.402309817403858E-5</v>
      </c>
      <c r="EL72" s="578">
        <v>4.3269374235325714E-5</v>
      </c>
      <c r="EM72" s="578">
        <v>2.0978218276382089E-4</v>
      </c>
      <c r="EN72" s="578">
        <v>0</v>
      </c>
      <c r="EO72" s="578">
        <v>0</v>
      </c>
      <c r="EP72" s="578">
        <v>0</v>
      </c>
      <c r="EQ72" s="578">
        <v>4.7451353888807924E-5</v>
      </c>
      <c r="ER72" s="578">
        <v>0</v>
      </c>
      <c r="ES72" s="578">
        <v>1.3608126773309019E-5</v>
      </c>
      <c r="ET72" s="578">
        <v>1.7225592991038717E-5</v>
      </c>
      <c r="EU72" s="578">
        <v>0</v>
      </c>
      <c r="EV72" s="578">
        <v>3.7721614485099963E-5</v>
      </c>
      <c r="EW72" s="578">
        <v>0</v>
      </c>
      <c r="EX72" s="578">
        <v>0</v>
      </c>
      <c r="EY72" s="578">
        <v>0</v>
      </c>
      <c r="EZ72" s="578">
        <v>8.6908155461308481E-6</v>
      </c>
      <c r="FA72" s="578">
        <v>0</v>
      </c>
      <c r="FB72" s="578">
        <v>2.3610600485029193E-5</v>
      </c>
      <c r="FC72" s="578">
        <v>2.1656271656271656E-4</v>
      </c>
      <c r="FD72" s="578">
        <v>3.1983467007823648E-3</v>
      </c>
      <c r="FE72" s="578">
        <v>2.9382135661517797E-4</v>
      </c>
      <c r="FF72" s="578">
        <v>3.7920155320956193E-6</v>
      </c>
      <c r="FG72" s="578">
        <v>1.4613778705636743E-3</v>
      </c>
      <c r="FH72" s="578">
        <v>3.2515038205169893E-5</v>
      </c>
      <c r="FI72" s="578">
        <v>3.2297655190233189E-5</v>
      </c>
      <c r="FJ72" s="578">
        <v>8.2010627210442691E-5</v>
      </c>
      <c r="FK72" s="578">
        <v>5.8976833289778602E-5</v>
      </c>
      <c r="FL72" s="578">
        <v>9.1479351803450083E-5</v>
      </c>
      <c r="FM72" s="578">
        <v>1.2641783132249364E-3</v>
      </c>
      <c r="FN72" s="578">
        <v>1.9423459430182934E-4</v>
      </c>
      <c r="FO72" s="578">
        <v>2.9708073614625877E-5</v>
      </c>
      <c r="FP72" s="578">
        <v>2.2059055242176914E-4</v>
      </c>
      <c r="FQ72" s="578">
        <v>7.513900716325202E-5</v>
      </c>
      <c r="FR72" s="578">
        <v>4.6691771275689227E-5</v>
      </c>
      <c r="FS72" s="578">
        <v>1.2950608286146773E-3</v>
      </c>
      <c r="FT72" s="578">
        <v>8.3526585837833908E-4</v>
      </c>
      <c r="FU72" s="578">
        <v>0</v>
      </c>
      <c r="FV72" s="578">
        <v>2.0945917640651837E-5</v>
      </c>
      <c r="FW72" s="578">
        <v>8.0832248833994816E-6</v>
      </c>
      <c r="FX72" s="578">
        <v>5.6058210846142636E-6</v>
      </c>
      <c r="FY72" s="578">
        <v>2.320634997139371E-5</v>
      </c>
      <c r="FZ72" s="578">
        <v>3.8980782474240197E-5</v>
      </c>
      <c r="GA72" s="578">
        <v>1.3886007315475383E-5</v>
      </c>
      <c r="GB72" s="578">
        <v>7.5464934746414232E-5</v>
      </c>
      <c r="GC72" s="578">
        <v>1.859141522810427E-4</v>
      </c>
      <c r="GD72" s="578">
        <v>8.5309043766226356E-4</v>
      </c>
      <c r="GE72" s="578">
        <v>0</v>
      </c>
      <c r="GF72" s="578">
        <v>6.4214827787507293E-4</v>
      </c>
      <c r="GG72" s="579">
        <v>3.5730262392574347E-4</v>
      </c>
      <c r="GH72" s="572"/>
    </row>
    <row r="73" spans="1:190">
      <c r="A73" s="572" t="s">
        <v>9304</v>
      </c>
      <c r="B73" s="577" t="s">
        <v>356</v>
      </c>
      <c r="C73" s="573" t="s">
        <v>9073</v>
      </c>
      <c r="D73" s="578">
        <v>0</v>
      </c>
      <c r="E73" s="578">
        <v>0</v>
      </c>
      <c r="F73" s="578">
        <v>0</v>
      </c>
      <c r="G73" s="578">
        <v>0</v>
      </c>
      <c r="H73" s="578">
        <v>0</v>
      </c>
      <c r="I73" s="578">
        <v>0</v>
      </c>
      <c r="J73" s="578">
        <v>0</v>
      </c>
      <c r="K73" s="578">
        <v>0</v>
      </c>
      <c r="L73" s="578">
        <v>0</v>
      </c>
      <c r="M73" s="578">
        <v>0</v>
      </c>
      <c r="N73" s="578">
        <v>2.1352313167259788E-3</v>
      </c>
      <c r="O73" s="578">
        <v>0</v>
      </c>
      <c r="P73" s="578">
        <v>0</v>
      </c>
      <c r="Q73" s="578">
        <v>0</v>
      </c>
      <c r="R73" s="578">
        <v>0</v>
      </c>
      <c r="S73" s="578">
        <v>0</v>
      </c>
      <c r="T73" s="578">
        <v>5.5438373195382544E-4</v>
      </c>
      <c r="U73" s="578">
        <v>1.1763130714203742E-3</v>
      </c>
      <c r="V73" s="578">
        <v>0</v>
      </c>
      <c r="W73" s="578">
        <v>1.5319190656519235E-5</v>
      </c>
      <c r="X73" s="578">
        <v>3.4036237076466372E-3</v>
      </c>
      <c r="Y73" s="578">
        <v>1.9360607415377855E-3</v>
      </c>
      <c r="Z73" s="578">
        <v>5.5293552396009206E-4</v>
      </c>
      <c r="AA73" s="578">
        <v>2.1402797216113031E-2</v>
      </c>
      <c r="AB73" s="578">
        <v>6.9291884838373992E-3</v>
      </c>
      <c r="AC73" s="578">
        <v>0</v>
      </c>
      <c r="AD73" s="578">
        <v>0</v>
      </c>
      <c r="AE73" s="578">
        <v>0</v>
      </c>
      <c r="AF73" s="578">
        <v>0</v>
      </c>
      <c r="AG73" s="578">
        <v>0</v>
      </c>
      <c r="AH73" s="578">
        <v>7.7130736598534516E-4</v>
      </c>
      <c r="AI73" s="578">
        <v>5.3458068827263614E-4</v>
      </c>
      <c r="AJ73" s="578">
        <v>1.0401618029471252E-3</v>
      </c>
      <c r="AK73" s="578">
        <v>0</v>
      </c>
      <c r="AL73" s="578">
        <v>8.9158345221112699E-4</v>
      </c>
      <c r="AM73" s="578">
        <v>0</v>
      </c>
      <c r="AN73" s="578">
        <v>8.6266390614216703E-5</v>
      </c>
      <c r="AO73" s="578">
        <v>1.3084172685170191E-2</v>
      </c>
      <c r="AP73" s="578">
        <v>0</v>
      </c>
      <c r="AQ73" s="578">
        <v>0</v>
      </c>
      <c r="AR73" s="578">
        <v>5.1948665273497912E-4</v>
      </c>
      <c r="AS73" s="578">
        <v>0</v>
      </c>
      <c r="AT73" s="578">
        <v>0</v>
      </c>
      <c r="AU73" s="578">
        <v>8.1804944290832937E-6</v>
      </c>
      <c r="AV73" s="578">
        <v>5.9912527709544064E-5</v>
      </c>
      <c r="AW73" s="578">
        <v>2.145577428525452E-4</v>
      </c>
      <c r="AX73" s="578">
        <v>1.8323659465212477E-3</v>
      </c>
      <c r="AY73" s="578">
        <v>0</v>
      </c>
      <c r="AZ73" s="578">
        <v>3.6168817957818114E-4</v>
      </c>
      <c r="BA73" s="578">
        <v>5.5532417048452032E-4</v>
      </c>
      <c r="BB73" s="578">
        <v>1.1332648652477245E-3</v>
      </c>
      <c r="BC73" s="578">
        <v>0</v>
      </c>
      <c r="BD73" s="578">
        <v>0</v>
      </c>
      <c r="BE73" s="578">
        <v>9.8216103509523242E-3</v>
      </c>
      <c r="BF73" s="578">
        <v>0</v>
      </c>
      <c r="BG73" s="578">
        <v>2.9165120593692022E-2</v>
      </c>
      <c r="BH73" s="578">
        <v>1.4428626394767218E-4</v>
      </c>
      <c r="BI73" s="578">
        <v>8.67443751694226E-3</v>
      </c>
      <c r="BJ73" s="578">
        <v>1.5422616813951283E-3</v>
      </c>
      <c r="BK73" s="578">
        <v>0</v>
      </c>
      <c r="BL73" s="578">
        <v>0</v>
      </c>
      <c r="BM73" s="578">
        <v>3.4396132610602344E-3</v>
      </c>
      <c r="BN73" s="578">
        <v>0</v>
      </c>
      <c r="BO73" s="578">
        <v>1.0720390956239557E-3</v>
      </c>
      <c r="BP73" s="578">
        <v>0</v>
      </c>
      <c r="BQ73" s="578">
        <v>0</v>
      </c>
      <c r="BR73" s="578">
        <v>4.6749810632327998E-2</v>
      </c>
      <c r="BS73" s="578">
        <v>3.0346864663099225E-5</v>
      </c>
      <c r="BT73" s="578">
        <v>0</v>
      </c>
      <c r="BU73" s="578">
        <v>4.3508527671423598E-4</v>
      </c>
      <c r="BV73" s="578">
        <v>1.684409109284463E-3</v>
      </c>
      <c r="BW73" s="578">
        <v>0</v>
      </c>
      <c r="BX73" s="578">
        <v>0</v>
      </c>
      <c r="BY73" s="578">
        <v>0</v>
      </c>
      <c r="BZ73" s="578">
        <v>0</v>
      </c>
      <c r="CA73" s="578">
        <v>0</v>
      </c>
      <c r="CB73" s="578">
        <v>0</v>
      </c>
      <c r="CC73" s="578">
        <v>0</v>
      </c>
      <c r="CD73" s="578">
        <v>0</v>
      </c>
      <c r="CE73" s="578">
        <v>0</v>
      </c>
      <c r="CF73" s="578">
        <v>1.5790304752881731E-3</v>
      </c>
      <c r="CG73" s="578">
        <v>0</v>
      </c>
      <c r="CH73" s="578">
        <v>0</v>
      </c>
      <c r="CI73" s="578">
        <v>8.7049518740517817E-4</v>
      </c>
      <c r="CJ73" s="578">
        <v>2.9160338468214365E-3</v>
      </c>
      <c r="CK73" s="578">
        <v>4.6900057490393052E-4</v>
      </c>
      <c r="CL73" s="578">
        <v>0</v>
      </c>
      <c r="CM73" s="578">
        <v>4.2738086758316117E-5</v>
      </c>
      <c r="CN73" s="578">
        <v>2.6775376302585873E-3</v>
      </c>
      <c r="CO73" s="578">
        <v>5.1247010591048861E-4</v>
      </c>
      <c r="CP73" s="578">
        <v>0</v>
      </c>
      <c r="CQ73" s="578">
        <v>2.5482576288462762E-4</v>
      </c>
      <c r="CR73" s="578">
        <v>1.8580884914644059E-4</v>
      </c>
      <c r="CS73" s="578">
        <v>0</v>
      </c>
      <c r="CT73" s="578">
        <v>5.832434166399347E-5</v>
      </c>
      <c r="CU73" s="578">
        <v>8.8676781194073164E-5</v>
      </c>
      <c r="CV73" s="578">
        <v>3.0976439320253017E-5</v>
      </c>
      <c r="CW73" s="578">
        <v>4.6812826714519778E-4</v>
      </c>
      <c r="CX73" s="578">
        <v>1.4277351836781313E-5</v>
      </c>
      <c r="CY73" s="578">
        <v>2.2346368715083797E-3</v>
      </c>
      <c r="CZ73" s="578">
        <v>3.5206258890469419E-3</v>
      </c>
      <c r="DA73" s="578">
        <v>5.6327771947484529E-3</v>
      </c>
      <c r="DB73" s="578">
        <v>2.0035739427086154E-3</v>
      </c>
      <c r="DC73" s="578">
        <v>0.15083393763596809</v>
      </c>
      <c r="DD73" s="578">
        <v>9.6618357487922703E-4</v>
      </c>
      <c r="DE73" s="578">
        <v>4.297890126665092E-3</v>
      </c>
      <c r="DF73" s="578">
        <v>7.5684958862528955E-3</v>
      </c>
      <c r="DG73" s="578">
        <v>1.2685054162994198E-4</v>
      </c>
      <c r="DH73" s="578">
        <v>2.186200881276832E-3</v>
      </c>
      <c r="DI73" s="578">
        <v>9.9350907404954303E-4</v>
      </c>
      <c r="DJ73" s="578">
        <v>3.3544956453676898E-4</v>
      </c>
      <c r="DK73" s="578">
        <v>1.1142330467219273E-2</v>
      </c>
      <c r="DL73" s="578">
        <v>3.7120274740536855E-4</v>
      </c>
      <c r="DM73" s="578">
        <v>2.2621875353466802E-4</v>
      </c>
      <c r="DN73" s="578">
        <v>7.4275810844268386E-5</v>
      </c>
      <c r="DO73" s="578">
        <v>0</v>
      </c>
      <c r="DP73" s="578">
        <v>4.2944785276073623E-3</v>
      </c>
      <c r="DQ73" s="578">
        <v>0</v>
      </c>
      <c r="DR73" s="578">
        <v>2.3341969862182341E-5</v>
      </c>
      <c r="DS73" s="578">
        <v>2.7561629084569335E-4</v>
      </c>
      <c r="DT73" s="578">
        <v>1.2326061127349861E-2</v>
      </c>
      <c r="DU73" s="578">
        <v>1.0813479424130462E-2</v>
      </c>
      <c r="DV73" s="578">
        <v>3.2940997605442865E-4</v>
      </c>
      <c r="DW73" s="578">
        <v>5.5631416578162144E-3</v>
      </c>
      <c r="DX73" s="578">
        <v>1.123457773800695E-2</v>
      </c>
      <c r="DY73" s="578">
        <v>3.1620053437890308E-5</v>
      </c>
      <c r="DZ73" s="578">
        <v>3.4911743852552193E-3</v>
      </c>
      <c r="EA73" s="578">
        <v>3.7796074817530432E-3</v>
      </c>
      <c r="EB73" s="578">
        <v>1.9915130903687362E-3</v>
      </c>
      <c r="EC73" s="578">
        <v>5.1989834458250633E-5</v>
      </c>
      <c r="ED73" s="578">
        <v>6.7841991479045867E-5</v>
      </c>
      <c r="EE73" s="578">
        <v>0</v>
      </c>
      <c r="EF73" s="578">
        <v>0</v>
      </c>
      <c r="EG73" s="578">
        <v>0</v>
      </c>
      <c r="EH73" s="578">
        <v>0</v>
      </c>
      <c r="EI73" s="578">
        <v>1.0677996583041093E-4</v>
      </c>
      <c r="EJ73" s="578">
        <v>1.8873401714963103E-5</v>
      </c>
      <c r="EK73" s="578">
        <v>1.4107744641889917E-4</v>
      </c>
      <c r="EL73" s="578">
        <v>8.9522843245501472E-6</v>
      </c>
      <c r="EM73" s="578">
        <v>0</v>
      </c>
      <c r="EN73" s="578">
        <v>0</v>
      </c>
      <c r="EO73" s="578">
        <v>0</v>
      </c>
      <c r="EP73" s="578">
        <v>0</v>
      </c>
      <c r="EQ73" s="578">
        <v>3.389382420629137E-6</v>
      </c>
      <c r="ER73" s="578">
        <v>0</v>
      </c>
      <c r="ES73" s="578">
        <v>1.3608126773309019E-5</v>
      </c>
      <c r="ET73" s="578">
        <v>2.1200729835124573E-5</v>
      </c>
      <c r="EU73" s="578">
        <v>2.346784318787182E-5</v>
      </c>
      <c r="EV73" s="578">
        <v>2.6405130139569975E-4</v>
      </c>
      <c r="EW73" s="578">
        <v>0</v>
      </c>
      <c r="EX73" s="578">
        <v>3.8546043248660526E-5</v>
      </c>
      <c r="EY73" s="578">
        <v>0</v>
      </c>
      <c r="EZ73" s="578">
        <v>0</v>
      </c>
      <c r="FA73" s="578">
        <v>0</v>
      </c>
      <c r="FB73" s="578">
        <v>0</v>
      </c>
      <c r="FC73" s="578">
        <v>0</v>
      </c>
      <c r="FD73" s="578">
        <v>0</v>
      </c>
      <c r="FE73" s="578">
        <v>0</v>
      </c>
      <c r="FF73" s="578">
        <v>0</v>
      </c>
      <c r="FG73" s="578">
        <v>0</v>
      </c>
      <c r="FH73" s="578">
        <v>1.6257519102584946E-5</v>
      </c>
      <c r="FI73" s="578">
        <v>5.8723009436787616E-6</v>
      </c>
      <c r="FJ73" s="578">
        <v>1.1390364890339262E-4</v>
      </c>
      <c r="FK73" s="578">
        <v>3.5894520950503187E-4</v>
      </c>
      <c r="FL73" s="578">
        <v>4.5739675901725041E-4</v>
      </c>
      <c r="FM73" s="578">
        <v>3.303175592619995E-3</v>
      </c>
      <c r="FN73" s="578">
        <v>1.2382455386741621E-3</v>
      </c>
      <c r="FO73" s="578">
        <v>3.2282773327893457E-4</v>
      </c>
      <c r="FP73" s="578">
        <v>4.3172722402546248E-3</v>
      </c>
      <c r="FQ73" s="578">
        <v>2.5602920959330317E-4</v>
      </c>
      <c r="FR73" s="578">
        <v>2.5447015345250631E-4</v>
      </c>
      <c r="FS73" s="578">
        <v>2.2985928126927174E-4</v>
      </c>
      <c r="FT73" s="578">
        <v>0</v>
      </c>
      <c r="FU73" s="578">
        <v>0</v>
      </c>
      <c r="FV73" s="578">
        <v>2.0945917640651837E-5</v>
      </c>
      <c r="FW73" s="578">
        <v>7.177903696458739E-3</v>
      </c>
      <c r="FX73" s="578">
        <v>1.9620373796149922E-4</v>
      </c>
      <c r="FY73" s="578">
        <v>8.0329672977901304E-6</v>
      </c>
      <c r="FZ73" s="578">
        <v>7.5795965922133724E-4</v>
      </c>
      <c r="GA73" s="578">
        <v>4.3373352261867225E-4</v>
      </c>
      <c r="GB73" s="578">
        <v>1.2734707738457402E-4</v>
      </c>
      <c r="GC73" s="578">
        <v>5.5774245684312807E-4</v>
      </c>
      <c r="GD73" s="578">
        <v>6.0455227865829697E-5</v>
      </c>
      <c r="GE73" s="578">
        <v>0</v>
      </c>
      <c r="GF73" s="578">
        <v>1.2842965557501459E-3</v>
      </c>
      <c r="GG73" s="579">
        <v>1.1458838891733505E-3</v>
      </c>
      <c r="GH73" s="572"/>
    </row>
    <row r="74" spans="1:190">
      <c r="A74" s="572" t="s">
        <v>9305</v>
      </c>
      <c r="B74" s="577" t="s">
        <v>364</v>
      </c>
      <c r="C74" s="573" t="s">
        <v>9074</v>
      </c>
      <c r="D74" s="578">
        <v>0</v>
      </c>
      <c r="E74" s="578">
        <v>0</v>
      </c>
      <c r="F74" s="578">
        <v>0</v>
      </c>
      <c r="G74" s="578">
        <v>0</v>
      </c>
      <c r="H74" s="578">
        <v>0</v>
      </c>
      <c r="I74" s="578">
        <v>0</v>
      </c>
      <c r="J74" s="578">
        <v>0</v>
      </c>
      <c r="K74" s="578">
        <v>0</v>
      </c>
      <c r="L74" s="578">
        <v>0</v>
      </c>
      <c r="M74" s="578">
        <v>0</v>
      </c>
      <c r="N74" s="578">
        <v>0</v>
      </c>
      <c r="O74" s="578">
        <v>0</v>
      </c>
      <c r="P74" s="578">
        <v>0</v>
      </c>
      <c r="Q74" s="578">
        <v>0</v>
      </c>
      <c r="R74" s="578">
        <v>0</v>
      </c>
      <c r="S74" s="578">
        <v>0</v>
      </c>
      <c r="T74" s="578">
        <v>0</v>
      </c>
      <c r="U74" s="578">
        <v>0</v>
      </c>
      <c r="V74" s="578">
        <v>0</v>
      </c>
      <c r="W74" s="578">
        <v>0</v>
      </c>
      <c r="X74" s="578">
        <v>0</v>
      </c>
      <c r="Y74" s="578">
        <v>0</v>
      </c>
      <c r="Z74" s="578">
        <v>0</v>
      </c>
      <c r="AA74" s="578">
        <v>0</v>
      </c>
      <c r="AB74" s="578">
        <v>0</v>
      </c>
      <c r="AC74" s="578">
        <v>0</v>
      </c>
      <c r="AD74" s="578">
        <v>0</v>
      </c>
      <c r="AE74" s="578">
        <v>0</v>
      </c>
      <c r="AF74" s="578">
        <v>0</v>
      </c>
      <c r="AG74" s="578">
        <v>0</v>
      </c>
      <c r="AH74" s="578">
        <v>0</v>
      </c>
      <c r="AI74" s="578">
        <v>0</v>
      </c>
      <c r="AJ74" s="578">
        <v>0</v>
      </c>
      <c r="AK74" s="578">
        <v>0</v>
      </c>
      <c r="AL74" s="578">
        <v>0</v>
      </c>
      <c r="AM74" s="578">
        <v>0</v>
      </c>
      <c r="AN74" s="578">
        <v>0</v>
      </c>
      <c r="AO74" s="578">
        <v>0</v>
      </c>
      <c r="AP74" s="578">
        <v>0</v>
      </c>
      <c r="AQ74" s="578">
        <v>0</v>
      </c>
      <c r="AR74" s="578">
        <v>0</v>
      </c>
      <c r="AS74" s="578">
        <v>0</v>
      </c>
      <c r="AT74" s="578">
        <v>0</v>
      </c>
      <c r="AU74" s="578">
        <v>0</v>
      </c>
      <c r="AV74" s="578">
        <v>0</v>
      </c>
      <c r="AW74" s="578">
        <v>0</v>
      </c>
      <c r="AX74" s="578">
        <v>0</v>
      </c>
      <c r="AY74" s="578">
        <v>0</v>
      </c>
      <c r="AZ74" s="578">
        <v>0</v>
      </c>
      <c r="BA74" s="578">
        <v>0</v>
      </c>
      <c r="BB74" s="578">
        <v>0</v>
      </c>
      <c r="BC74" s="578">
        <v>0</v>
      </c>
      <c r="BD74" s="578">
        <v>0</v>
      </c>
      <c r="BE74" s="578">
        <v>0</v>
      </c>
      <c r="BF74" s="578">
        <v>0</v>
      </c>
      <c r="BG74" s="578">
        <v>0</v>
      </c>
      <c r="BH74" s="578">
        <v>8.932006815808278E-5</v>
      </c>
      <c r="BI74" s="578">
        <v>0</v>
      </c>
      <c r="BJ74" s="578">
        <v>4.1236943352810916E-6</v>
      </c>
      <c r="BK74" s="578">
        <v>0</v>
      </c>
      <c r="BL74" s="578">
        <v>3.8057543005023594E-5</v>
      </c>
      <c r="BM74" s="578">
        <v>0</v>
      </c>
      <c r="BN74" s="578">
        <v>0</v>
      </c>
      <c r="BO74" s="578">
        <v>0</v>
      </c>
      <c r="BP74" s="578">
        <v>0</v>
      </c>
      <c r="BQ74" s="578">
        <v>0</v>
      </c>
      <c r="BR74" s="578">
        <v>0</v>
      </c>
      <c r="BS74" s="578">
        <v>9.6806498275286521E-2</v>
      </c>
      <c r="BT74" s="578">
        <v>0</v>
      </c>
      <c r="BU74" s="578">
        <v>1.8273581621997912E-3</v>
      </c>
      <c r="BV74" s="578">
        <v>1.1453981943134349E-3</v>
      </c>
      <c r="BW74" s="578">
        <v>0</v>
      </c>
      <c r="BX74" s="578">
        <v>0</v>
      </c>
      <c r="BY74" s="578">
        <v>0</v>
      </c>
      <c r="BZ74" s="578">
        <v>0</v>
      </c>
      <c r="CA74" s="578">
        <v>0</v>
      </c>
      <c r="CB74" s="578">
        <v>1.6753536857781086E-4</v>
      </c>
      <c r="CC74" s="578">
        <v>0</v>
      </c>
      <c r="CD74" s="578">
        <v>0</v>
      </c>
      <c r="CE74" s="578">
        <v>0</v>
      </c>
      <c r="CF74" s="578">
        <v>0</v>
      </c>
      <c r="CG74" s="578">
        <v>0</v>
      </c>
      <c r="CH74" s="578">
        <v>1.1572332866582575E-5</v>
      </c>
      <c r="CI74" s="578">
        <v>0</v>
      </c>
      <c r="CJ74" s="578">
        <v>0</v>
      </c>
      <c r="CK74" s="578">
        <v>7.0602237082312128E-5</v>
      </c>
      <c r="CL74" s="578">
        <v>0</v>
      </c>
      <c r="CM74" s="578">
        <v>0</v>
      </c>
      <c r="CN74" s="578">
        <v>0</v>
      </c>
      <c r="CO74" s="578">
        <v>0</v>
      </c>
      <c r="CP74" s="578">
        <v>0</v>
      </c>
      <c r="CQ74" s="578">
        <v>0</v>
      </c>
      <c r="CR74" s="578">
        <v>0</v>
      </c>
      <c r="CS74" s="578">
        <v>0</v>
      </c>
      <c r="CT74" s="578">
        <v>0</v>
      </c>
      <c r="CU74" s="578">
        <v>0</v>
      </c>
      <c r="CV74" s="578">
        <v>0</v>
      </c>
      <c r="CW74" s="578">
        <v>0</v>
      </c>
      <c r="CX74" s="578">
        <v>0</v>
      </c>
      <c r="CY74" s="578">
        <v>0</v>
      </c>
      <c r="CZ74" s="578">
        <v>0</v>
      </c>
      <c r="DA74" s="578">
        <v>0</v>
      </c>
      <c r="DB74" s="578">
        <v>0</v>
      </c>
      <c r="DC74" s="578">
        <v>0</v>
      </c>
      <c r="DD74" s="578">
        <v>0</v>
      </c>
      <c r="DE74" s="578">
        <v>0</v>
      </c>
      <c r="DF74" s="578">
        <v>0</v>
      </c>
      <c r="DG74" s="578">
        <v>0</v>
      </c>
      <c r="DH74" s="578">
        <v>0</v>
      </c>
      <c r="DI74" s="578">
        <v>0</v>
      </c>
      <c r="DJ74" s="578">
        <v>0</v>
      </c>
      <c r="DK74" s="578">
        <v>4.8318865859580546E-6</v>
      </c>
      <c r="DL74" s="578">
        <v>0</v>
      </c>
      <c r="DM74" s="578">
        <v>0</v>
      </c>
      <c r="DN74" s="578">
        <v>0</v>
      </c>
      <c r="DO74" s="578">
        <v>0</v>
      </c>
      <c r="DP74" s="578">
        <v>0</v>
      </c>
      <c r="DQ74" s="578">
        <v>0</v>
      </c>
      <c r="DR74" s="578">
        <v>0</v>
      </c>
      <c r="DS74" s="578">
        <v>0</v>
      </c>
      <c r="DT74" s="578">
        <v>1.4578428299645016E-5</v>
      </c>
      <c r="DU74" s="578">
        <v>0</v>
      </c>
      <c r="DV74" s="578">
        <v>0</v>
      </c>
      <c r="DW74" s="578">
        <v>0</v>
      </c>
      <c r="DX74" s="578">
        <v>6.1903565277616037E-4</v>
      </c>
      <c r="DY74" s="578">
        <v>0</v>
      </c>
      <c r="DZ74" s="578">
        <v>2.7769403974179121E-2</v>
      </c>
      <c r="EA74" s="578">
        <v>3.5561253903702371E-2</v>
      </c>
      <c r="EB74" s="578">
        <v>3.5851065459503346E-2</v>
      </c>
      <c r="EC74" s="578">
        <v>5.9378507402434957E-2</v>
      </c>
      <c r="ED74" s="578">
        <v>3.9036281897042995E-2</v>
      </c>
      <c r="EE74" s="578">
        <v>0</v>
      </c>
      <c r="EF74" s="578">
        <v>9.6212437061030748E-6</v>
      </c>
      <c r="EG74" s="578">
        <v>0</v>
      </c>
      <c r="EH74" s="578">
        <v>0</v>
      </c>
      <c r="EI74" s="578">
        <v>1.7983994245121841E-4</v>
      </c>
      <c r="EJ74" s="578">
        <v>0</v>
      </c>
      <c r="EK74" s="578">
        <v>0</v>
      </c>
      <c r="EL74" s="578">
        <v>0</v>
      </c>
      <c r="EM74" s="578">
        <v>0</v>
      </c>
      <c r="EN74" s="578">
        <v>0</v>
      </c>
      <c r="EO74" s="578">
        <v>3.5455893852932892E-5</v>
      </c>
      <c r="EP74" s="578">
        <v>1.0166886171915515E-4</v>
      </c>
      <c r="EQ74" s="578">
        <v>0</v>
      </c>
      <c r="ER74" s="578">
        <v>0</v>
      </c>
      <c r="ES74" s="578">
        <v>0</v>
      </c>
      <c r="ET74" s="578">
        <v>0</v>
      </c>
      <c r="EU74" s="578">
        <v>0</v>
      </c>
      <c r="EV74" s="578">
        <v>0</v>
      </c>
      <c r="EW74" s="578">
        <v>0</v>
      </c>
      <c r="EX74" s="578">
        <v>0</v>
      </c>
      <c r="EY74" s="578">
        <v>0</v>
      </c>
      <c r="EZ74" s="578">
        <v>0</v>
      </c>
      <c r="FA74" s="578">
        <v>0</v>
      </c>
      <c r="FB74" s="578">
        <v>0</v>
      </c>
      <c r="FC74" s="578">
        <v>0</v>
      </c>
      <c r="FD74" s="578">
        <v>0</v>
      </c>
      <c r="FE74" s="578">
        <v>0</v>
      </c>
      <c r="FF74" s="578">
        <v>0</v>
      </c>
      <c r="FG74" s="578">
        <v>0</v>
      </c>
      <c r="FH74" s="578">
        <v>0</v>
      </c>
      <c r="FI74" s="578">
        <v>1.4680752359196904E-5</v>
      </c>
      <c r="FJ74" s="578">
        <v>0</v>
      </c>
      <c r="FK74" s="578">
        <v>0</v>
      </c>
      <c r="FL74" s="578">
        <v>0</v>
      </c>
      <c r="FM74" s="578">
        <v>0</v>
      </c>
      <c r="FN74" s="578">
        <v>3.7352806596505642E-5</v>
      </c>
      <c r="FO74" s="578">
        <v>0</v>
      </c>
      <c r="FP74" s="578">
        <v>0</v>
      </c>
      <c r="FQ74" s="578">
        <v>0</v>
      </c>
      <c r="FR74" s="578">
        <v>0</v>
      </c>
      <c r="FS74" s="578">
        <v>0</v>
      </c>
      <c r="FT74" s="578">
        <v>0</v>
      </c>
      <c r="FU74" s="578">
        <v>0</v>
      </c>
      <c r="FV74" s="578">
        <v>0</v>
      </c>
      <c r="FW74" s="578">
        <v>0</v>
      </c>
      <c r="FX74" s="578">
        <v>0</v>
      </c>
      <c r="FY74" s="578">
        <v>0</v>
      </c>
      <c r="FZ74" s="578">
        <v>0</v>
      </c>
      <c r="GA74" s="578">
        <v>0</v>
      </c>
      <c r="GB74" s="578">
        <v>0</v>
      </c>
      <c r="GC74" s="578">
        <v>0</v>
      </c>
      <c r="GD74" s="578">
        <v>0</v>
      </c>
      <c r="GE74" s="578">
        <v>0</v>
      </c>
      <c r="GF74" s="578">
        <v>6.8991137292363216E-4</v>
      </c>
      <c r="GG74" s="579">
        <v>2.0571595899356887E-3</v>
      </c>
      <c r="GH74" s="572"/>
    </row>
    <row r="75" spans="1:190">
      <c r="A75" s="572" t="s">
        <v>9306</v>
      </c>
      <c r="B75" s="577" t="s">
        <v>369</v>
      </c>
      <c r="C75" s="573" t="s">
        <v>6506</v>
      </c>
      <c r="D75" s="578">
        <v>0</v>
      </c>
      <c r="E75" s="578">
        <v>0</v>
      </c>
      <c r="F75" s="578">
        <v>0</v>
      </c>
      <c r="G75" s="578">
        <v>0</v>
      </c>
      <c r="H75" s="578">
        <v>0</v>
      </c>
      <c r="I75" s="578">
        <v>1.4660368138133247E-3</v>
      </c>
      <c r="J75" s="578">
        <v>0</v>
      </c>
      <c r="K75" s="578">
        <v>0</v>
      </c>
      <c r="L75" s="578">
        <v>0</v>
      </c>
      <c r="M75" s="578">
        <v>0</v>
      </c>
      <c r="N75" s="578">
        <v>0</v>
      </c>
      <c r="O75" s="578">
        <v>0</v>
      </c>
      <c r="P75" s="578">
        <v>0</v>
      </c>
      <c r="Q75" s="578">
        <v>0</v>
      </c>
      <c r="R75" s="578">
        <v>0</v>
      </c>
      <c r="S75" s="578">
        <v>0</v>
      </c>
      <c r="T75" s="578">
        <v>0</v>
      </c>
      <c r="U75" s="578">
        <v>0</v>
      </c>
      <c r="V75" s="578">
        <v>0</v>
      </c>
      <c r="W75" s="578">
        <v>0</v>
      </c>
      <c r="X75" s="578">
        <v>0</v>
      </c>
      <c r="Y75" s="578">
        <v>0</v>
      </c>
      <c r="Z75" s="578">
        <v>0</v>
      </c>
      <c r="AA75" s="578">
        <v>8.3783191949196915E-4</v>
      </c>
      <c r="AB75" s="578">
        <v>0</v>
      </c>
      <c r="AC75" s="578">
        <v>0</v>
      </c>
      <c r="AD75" s="578">
        <v>0</v>
      </c>
      <c r="AE75" s="578">
        <v>0</v>
      </c>
      <c r="AF75" s="578">
        <v>0</v>
      </c>
      <c r="AG75" s="578">
        <v>0</v>
      </c>
      <c r="AH75" s="578">
        <v>0</v>
      </c>
      <c r="AI75" s="578">
        <v>0</v>
      </c>
      <c r="AJ75" s="578">
        <v>0</v>
      </c>
      <c r="AK75" s="578">
        <v>0</v>
      </c>
      <c r="AL75" s="578">
        <v>0</v>
      </c>
      <c r="AM75" s="578">
        <v>0</v>
      </c>
      <c r="AN75" s="578">
        <v>0</v>
      </c>
      <c r="AO75" s="578">
        <v>1.7164880007772775E-3</v>
      </c>
      <c r="AP75" s="578">
        <v>0</v>
      </c>
      <c r="AQ75" s="578">
        <v>0</v>
      </c>
      <c r="AR75" s="578">
        <v>0</v>
      </c>
      <c r="AS75" s="578">
        <v>0</v>
      </c>
      <c r="AT75" s="578">
        <v>0</v>
      </c>
      <c r="AU75" s="578">
        <v>0</v>
      </c>
      <c r="AV75" s="578">
        <v>0</v>
      </c>
      <c r="AW75" s="578">
        <v>3.2183661427881779E-4</v>
      </c>
      <c r="AX75" s="578">
        <v>1.6458376765160907E-4</v>
      </c>
      <c r="AY75" s="578">
        <v>0</v>
      </c>
      <c r="AZ75" s="578">
        <v>0</v>
      </c>
      <c r="BA75" s="578">
        <v>0</v>
      </c>
      <c r="BB75" s="578">
        <v>1.1804842346330465E-5</v>
      </c>
      <c r="BC75" s="578">
        <v>0</v>
      </c>
      <c r="BD75" s="578">
        <v>0</v>
      </c>
      <c r="BE75" s="578">
        <v>0</v>
      </c>
      <c r="BF75" s="578">
        <v>0</v>
      </c>
      <c r="BG75" s="578">
        <v>0</v>
      </c>
      <c r="BH75" s="578">
        <v>0</v>
      </c>
      <c r="BI75" s="578">
        <v>0</v>
      </c>
      <c r="BJ75" s="578">
        <v>1.7319516208180586E-4</v>
      </c>
      <c r="BK75" s="578">
        <v>0</v>
      </c>
      <c r="BL75" s="578">
        <v>0</v>
      </c>
      <c r="BM75" s="578">
        <v>5.9540575757367573E-5</v>
      </c>
      <c r="BN75" s="578">
        <v>0</v>
      </c>
      <c r="BO75" s="578">
        <v>0</v>
      </c>
      <c r="BP75" s="578">
        <v>0</v>
      </c>
      <c r="BQ75" s="578">
        <v>0</v>
      </c>
      <c r="BR75" s="578">
        <v>0</v>
      </c>
      <c r="BS75" s="578">
        <v>7.0809350880564857E-5</v>
      </c>
      <c r="BT75" s="578">
        <v>6.3740666545255877E-3</v>
      </c>
      <c r="BU75" s="578">
        <v>0</v>
      </c>
      <c r="BV75" s="578">
        <v>0</v>
      </c>
      <c r="BW75" s="578">
        <v>0</v>
      </c>
      <c r="BX75" s="578">
        <v>0</v>
      </c>
      <c r="BY75" s="578">
        <v>0</v>
      </c>
      <c r="BZ75" s="578">
        <v>0</v>
      </c>
      <c r="CA75" s="578">
        <v>0</v>
      </c>
      <c r="CB75" s="578">
        <v>6.2050136510300319E-6</v>
      </c>
      <c r="CC75" s="578">
        <v>0</v>
      </c>
      <c r="CD75" s="578">
        <v>0</v>
      </c>
      <c r="CE75" s="578">
        <v>0</v>
      </c>
      <c r="CF75" s="578">
        <v>0</v>
      </c>
      <c r="CG75" s="578">
        <v>0</v>
      </c>
      <c r="CH75" s="578">
        <v>0</v>
      </c>
      <c r="CI75" s="578">
        <v>0</v>
      </c>
      <c r="CJ75" s="578">
        <v>1.874593187242352E-3</v>
      </c>
      <c r="CK75" s="578">
        <v>1.7650559270578032E-5</v>
      </c>
      <c r="CL75" s="578">
        <v>4.4959985612804602E-5</v>
      </c>
      <c r="CM75" s="578">
        <v>8.5476173516632235E-5</v>
      </c>
      <c r="CN75" s="578">
        <v>0</v>
      </c>
      <c r="CO75" s="578">
        <v>0</v>
      </c>
      <c r="CP75" s="578">
        <v>0</v>
      </c>
      <c r="CQ75" s="578">
        <v>0</v>
      </c>
      <c r="CR75" s="578">
        <v>0</v>
      </c>
      <c r="CS75" s="578">
        <v>1.07356763476099E-3</v>
      </c>
      <c r="CT75" s="578">
        <v>1.7497302499198042E-4</v>
      </c>
      <c r="CU75" s="578">
        <v>4.8369153378585363E-5</v>
      </c>
      <c r="CV75" s="578">
        <v>8.0538742232657843E-5</v>
      </c>
      <c r="CW75" s="578">
        <v>3.901068892876648E-5</v>
      </c>
      <c r="CX75" s="578">
        <v>0</v>
      </c>
      <c r="CY75" s="578">
        <v>1.5569191317886253E-4</v>
      </c>
      <c r="CZ75" s="578">
        <v>0</v>
      </c>
      <c r="DA75" s="578">
        <v>1.7990619177143347E-3</v>
      </c>
      <c r="DB75" s="578">
        <v>0</v>
      </c>
      <c r="DC75" s="578">
        <v>0</v>
      </c>
      <c r="DD75" s="578">
        <v>0</v>
      </c>
      <c r="DE75" s="578">
        <v>1.2630163374343505E-3</v>
      </c>
      <c r="DF75" s="578">
        <v>4.1516894320632637E-2</v>
      </c>
      <c r="DG75" s="578">
        <v>2.1422431987332441E-3</v>
      </c>
      <c r="DH75" s="578">
        <v>2.265493141219515E-5</v>
      </c>
      <c r="DI75" s="578">
        <v>1.9870181480990858E-4</v>
      </c>
      <c r="DJ75" s="578">
        <v>5.8393072345289414E-4</v>
      </c>
      <c r="DK75" s="578">
        <v>8.721555287654288E-4</v>
      </c>
      <c r="DL75" s="578">
        <v>1.0353273907224565E-3</v>
      </c>
      <c r="DM75" s="578">
        <v>1.4138672095916752E-4</v>
      </c>
      <c r="DN75" s="578">
        <v>0</v>
      </c>
      <c r="DO75" s="578">
        <v>0</v>
      </c>
      <c r="DP75" s="578">
        <v>0</v>
      </c>
      <c r="DQ75" s="578">
        <v>0</v>
      </c>
      <c r="DR75" s="578">
        <v>1.167098493109117E-4</v>
      </c>
      <c r="DS75" s="578">
        <v>6.4096811824579843E-6</v>
      </c>
      <c r="DT75" s="578">
        <v>2.040979961950302E-4</v>
      </c>
      <c r="DU75" s="578">
        <v>7.9627978086380427E-6</v>
      </c>
      <c r="DV75" s="578">
        <v>0</v>
      </c>
      <c r="DW75" s="578">
        <v>0</v>
      </c>
      <c r="DX75" s="578">
        <v>4.2290554496589175E-4</v>
      </c>
      <c r="DY75" s="578">
        <v>7.9050133594725774E-5</v>
      </c>
      <c r="DZ75" s="578">
        <v>5.6518963998632493E-3</v>
      </c>
      <c r="EA75" s="578">
        <v>4.9726991249919314E-3</v>
      </c>
      <c r="EB75" s="578">
        <v>8.425632305406192E-4</v>
      </c>
      <c r="EC75" s="578">
        <v>2.4771627006578244E-4</v>
      </c>
      <c r="ED75" s="578">
        <v>3.8896075114652968E-4</v>
      </c>
      <c r="EE75" s="578">
        <v>0</v>
      </c>
      <c r="EF75" s="578">
        <v>0</v>
      </c>
      <c r="EG75" s="578">
        <v>0</v>
      </c>
      <c r="EH75" s="578">
        <v>0</v>
      </c>
      <c r="EI75" s="578">
        <v>2.079399334592213E-4</v>
      </c>
      <c r="EJ75" s="578">
        <v>3.8645536844924445E-5</v>
      </c>
      <c r="EK75" s="578">
        <v>8.6119565685432423E-5</v>
      </c>
      <c r="EL75" s="578">
        <v>4.4761421622750736E-6</v>
      </c>
      <c r="EM75" s="578">
        <v>0</v>
      </c>
      <c r="EN75" s="578">
        <v>0</v>
      </c>
      <c r="EO75" s="578">
        <v>0</v>
      </c>
      <c r="EP75" s="578">
        <v>0</v>
      </c>
      <c r="EQ75" s="578">
        <v>0</v>
      </c>
      <c r="ER75" s="578">
        <v>0</v>
      </c>
      <c r="ES75" s="578">
        <v>6.8040633866545097E-6</v>
      </c>
      <c r="ET75" s="578">
        <v>2.2525775449819861E-5</v>
      </c>
      <c r="EU75" s="578">
        <v>5.8669607969679548E-5</v>
      </c>
      <c r="EV75" s="578">
        <v>2.4519049415314977E-4</v>
      </c>
      <c r="EW75" s="578">
        <v>0</v>
      </c>
      <c r="EX75" s="578">
        <v>0</v>
      </c>
      <c r="EY75" s="578">
        <v>0</v>
      </c>
      <c r="EZ75" s="578">
        <v>0</v>
      </c>
      <c r="FA75" s="578">
        <v>0</v>
      </c>
      <c r="FB75" s="578">
        <v>6.7458858528654839E-6</v>
      </c>
      <c r="FC75" s="578">
        <v>0</v>
      </c>
      <c r="FD75" s="578">
        <v>0</v>
      </c>
      <c r="FE75" s="578">
        <v>0</v>
      </c>
      <c r="FF75" s="578">
        <v>0</v>
      </c>
      <c r="FG75" s="578">
        <v>0</v>
      </c>
      <c r="FH75" s="578">
        <v>0</v>
      </c>
      <c r="FI75" s="578">
        <v>5.8723009436787616E-6</v>
      </c>
      <c r="FJ75" s="578">
        <v>6.8342189342035571E-5</v>
      </c>
      <c r="FK75" s="578">
        <v>9.9650511420660401E-5</v>
      </c>
      <c r="FL75" s="578">
        <v>5.2273915316257188E-5</v>
      </c>
      <c r="FM75" s="578">
        <v>2.3302826050229241E-5</v>
      </c>
      <c r="FN75" s="578">
        <v>0</v>
      </c>
      <c r="FO75" s="578">
        <v>1.7131655784434258E-4</v>
      </c>
      <c r="FP75" s="578">
        <v>2.2059055242176914E-4</v>
      </c>
      <c r="FQ75" s="578">
        <v>1.0686436574329175E-3</v>
      </c>
      <c r="FR75" s="578">
        <v>7.330608090283209E-4</v>
      </c>
      <c r="FS75" s="578">
        <v>1.6818971800190615E-4</v>
      </c>
      <c r="FT75" s="578">
        <v>0</v>
      </c>
      <c r="FU75" s="578">
        <v>0</v>
      </c>
      <c r="FV75" s="578">
        <v>0</v>
      </c>
      <c r="FW75" s="578">
        <v>0</v>
      </c>
      <c r="FX75" s="578">
        <v>0</v>
      </c>
      <c r="FY75" s="578">
        <v>3.5702076879067248E-6</v>
      </c>
      <c r="FZ75" s="578">
        <v>1.0568123248571788E-3</v>
      </c>
      <c r="GA75" s="578">
        <v>1.1713255582583354E-3</v>
      </c>
      <c r="GB75" s="578">
        <v>0</v>
      </c>
      <c r="GC75" s="578">
        <v>1.7351987546230653E-5</v>
      </c>
      <c r="GD75" s="578">
        <v>1.8808293113813684E-4</v>
      </c>
      <c r="GE75" s="578">
        <v>0</v>
      </c>
      <c r="GF75" s="578">
        <v>1.1516212917263705E-3</v>
      </c>
      <c r="GG75" s="579">
        <v>4.5245498217953164E-4</v>
      </c>
      <c r="GH75" s="572"/>
    </row>
    <row r="76" spans="1:190">
      <c r="A76" s="572" t="s">
        <v>9307</v>
      </c>
      <c r="B76" s="577" t="s">
        <v>9425</v>
      </c>
      <c r="C76" s="573" t="s">
        <v>9522</v>
      </c>
      <c r="D76" s="578">
        <v>0</v>
      </c>
      <c r="E76" s="578">
        <v>0</v>
      </c>
      <c r="F76" s="578">
        <v>0</v>
      </c>
      <c r="G76" s="578">
        <v>0</v>
      </c>
      <c r="H76" s="578">
        <v>0</v>
      </c>
      <c r="I76" s="578">
        <v>0</v>
      </c>
      <c r="J76" s="578">
        <v>0</v>
      </c>
      <c r="K76" s="578">
        <v>0</v>
      </c>
      <c r="L76" s="578">
        <v>0</v>
      </c>
      <c r="M76" s="578">
        <v>0</v>
      </c>
      <c r="N76" s="578">
        <v>0</v>
      </c>
      <c r="O76" s="578">
        <v>0</v>
      </c>
      <c r="P76" s="578">
        <v>0</v>
      </c>
      <c r="Q76" s="578">
        <v>0</v>
      </c>
      <c r="R76" s="578">
        <v>0</v>
      </c>
      <c r="S76" s="578">
        <v>0</v>
      </c>
      <c r="T76" s="578">
        <v>0</v>
      </c>
      <c r="U76" s="578">
        <v>0</v>
      </c>
      <c r="V76" s="578">
        <v>0</v>
      </c>
      <c r="W76" s="578">
        <v>0</v>
      </c>
      <c r="X76" s="578">
        <v>0</v>
      </c>
      <c r="Y76" s="578">
        <v>0</v>
      </c>
      <c r="Z76" s="578">
        <v>0</v>
      </c>
      <c r="AA76" s="578">
        <v>0</v>
      </c>
      <c r="AB76" s="578">
        <v>0</v>
      </c>
      <c r="AC76" s="578">
        <v>0</v>
      </c>
      <c r="AD76" s="578">
        <v>0</v>
      </c>
      <c r="AE76" s="578">
        <v>0</v>
      </c>
      <c r="AF76" s="578">
        <v>0</v>
      </c>
      <c r="AG76" s="578">
        <v>0</v>
      </c>
      <c r="AH76" s="578">
        <v>0</v>
      </c>
      <c r="AI76" s="578">
        <v>0</v>
      </c>
      <c r="AJ76" s="578">
        <v>0</v>
      </c>
      <c r="AK76" s="578">
        <v>0</v>
      </c>
      <c r="AL76" s="578">
        <v>0</v>
      </c>
      <c r="AM76" s="578">
        <v>0</v>
      </c>
      <c r="AN76" s="578">
        <v>1.2939958592132506E-4</v>
      </c>
      <c r="AO76" s="578">
        <v>0</v>
      </c>
      <c r="AP76" s="578">
        <v>0</v>
      </c>
      <c r="AQ76" s="578">
        <v>0</v>
      </c>
      <c r="AR76" s="578">
        <v>0</v>
      </c>
      <c r="AS76" s="578">
        <v>0</v>
      </c>
      <c r="AT76" s="578">
        <v>0</v>
      </c>
      <c r="AU76" s="578">
        <v>0</v>
      </c>
      <c r="AV76" s="578">
        <v>0</v>
      </c>
      <c r="AW76" s="578">
        <v>0</v>
      </c>
      <c r="AX76" s="578">
        <v>0</v>
      </c>
      <c r="AY76" s="578">
        <v>0</v>
      </c>
      <c r="AZ76" s="578">
        <v>0</v>
      </c>
      <c r="BA76" s="578">
        <v>0</v>
      </c>
      <c r="BB76" s="578">
        <v>0</v>
      </c>
      <c r="BC76" s="578">
        <v>0</v>
      </c>
      <c r="BD76" s="578">
        <v>0</v>
      </c>
      <c r="BE76" s="578">
        <v>0</v>
      </c>
      <c r="BF76" s="578">
        <v>0</v>
      </c>
      <c r="BG76" s="578">
        <v>0</v>
      </c>
      <c r="BH76" s="578">
        <v>0</v>
      </c>
      <c r="BI76" s="578">
        <v>0</v>
      </c>
      <c r="BJ76" s="578">
        <v>0</v>
      </c>
      <c r="BK76" s="578">
        <v>0</v>
      </c>
      <c r="BL76" s="578">
        <v>0</v>
      </c>
      <c r="BM76" s="578">
        <v>0</v>
      </c>
      <c r="BN76" s="578">
        <v>0</v>
      </c>
      <c r="BO76" s="578">
        <v>0</v>
      </c>
      <c r="BP76" s="578">
        <v>0</v>
      </c>
      <c r="BQ76" s="578">
        <v>0</v>
      </c>
      <c r="BR76" s="578">
        <v>0</v>
      </c>
      <c r="BS76" s="578">
        <v>1.7803493935684878E-3</v>
      </c>
      <c r="BT76" s="578">
        <v>4.7350209433618647E-3</v>
      </c>
      <c r="BU76" s="578">
        <v>3.7098271261167187E-2</v>
      </c>
      <c r="BV76" s="578">
        <v>8.0851637245654229E-4</v>
      </c>
      <c r="BW76" s="578">
        <v>0</v>
      </c>
      <c r="BX76" s="578">
        <v>0</v>
      </c>
      <c r="BY76" s="578">
        <v>0</v>
      </c>
      <c r="BZ76" s="578">
        <v>0</v>
      </c>
      <c r="CA76" s="578">
        <v>0</v>
      </c>
      <c r="CB76" s="578">
        <v>5.5224621494167291E-4</v>
      </c>
      <c r="CC76" s="578">
        <v>0</v>
      </c>
      <c r="CD76" s="578">
        <v>0</v>
      </c>
      <c r="CE76" s="578">
        <v>0</v>
      </c>
      <c r="CF76" s="578">
        <v>0</v>
      </c>
      <c r="CG76" s="578">
        <v>0</v>
      </c>
      <c r="CH76" s="578">
        <v>0</v>
      </c>
      <c r="CI76" s="578">
        <v>4.9742582137438757E-5</v>
      </c>
      <c r="CJ76" s="578">
        <v>0</v>
      </c>
      <c r="CK76" s="578">
        <v>1.7650559270578029E-4</v>
      </c>
      <c r="CL76" s="578">
        <v>5.0205317267631804E-4</v>
      </c>
      <c r="CM76" s="578">
        <v>1.662036707267849E-4</v>
      </c>
      <c r="CN76" s="578">
        <v>0</v>
      </c>
      <c r="CO76" s="578">
        <v>0</v>
      </c>
      <c r="CP76" s="578">
        <v>1.4449600758246377E-2</v>
      </c>
      <c r="CQ76" s="578">
        <v>0</v>
      </c>
      <c r="CR76" s="578">
        <v>0</v>
      </c>
      <c r="CS76" s="578">
        <v>0</v>
      </c>
      <c r="CT76" s="578">
        <v>5.5116502872473829E-3</v>
      </c>
      <c r="CU76" s="578">
        <v>5.6430678941682924E-5</v>
      </c>
      <c r="CV76" s="578">
        <v>2.4781151456202414E-4</v>
      </c>
      <c r="CW76" s="578">
        <v>7.8021377857532959E-5</v>
      </c>
      <c r="CX76" s="578">
        <v>1.4991219428620381E-4</v>
      </c>
      <c r="CY76" s="578">
        <v>0</v>
      </c>
      <c r="CZ76" s="578">
        <v>0</v>
      </c>
      <c r="DA76" s="578">
        <v>2.1631577820136645E-3</v>
      </c>
      <c r="DB76" s="578">
        <v>1.6245194130069855E-4</v>
      </c>
      <c r="DC76" s="578">
        <v>0</v>
      </c>
      <c r="DD76" s="578">
        <v>0</v>
      </c>
      <c r="DE76" s="578">
        <v>0</v>
      </c>
      <c r="DF76" s="578">
        <v>0</v>
      </c>
      <c r="DG76" s="578">
        <v>3.105651191629614E-4</v>
      </c>
      <c r="DH76" s="578">
        <v>0</v>
      </c>
      <c r="DI76" s="578">
        <v>0</v>
      </c>
      <c r="DJ76" s="578">
        <v>0</v>
      </c>
      <c r="DK76" s="578">
        <v>0</v>
      </c>
      <c r="DL76" s="578">
        <v>0</v>
      </c>
      <c r="DM76" s="578">
        <v>0</v>
      </c>
      <c r="DN76" s="578">
        <v>0</v>
      </c>
      <c r="DO76" s="578">
        <v>0</v>
      </c>
      <c r="DP76" s="578">
        <v>0</v>
      </c>
      <c r="DQ76" s="578">
        <v>0</v>
      </c>
      <c r="DR76" s="578">
        <v>0</v>
      </c>
      <c r="DS76" s="578">
        <v>0</v>
      </c>
      <c r="DT76" s="578">
        <v>0</v>
      </c>
      <c r="DU76" s="578">
        <v>0</v>
      </c>
      <c r="DV76" s="578">
        <v>0</v>
      </c>
      <c r="DW76" s="578">
        <v>0</v>
      </c>
      <c r="DX76" s="578">
        <v>0</v>
      </c>
      <c r="DY76" s="578">
        <v>0</v>
      </c>
      <c r="DZ76" s="578">
        <v>4.3803881215865054E-3</v>
      </c>
      <c r="EA76" s="578">
        <v>3.3500054534972498E-3</v>
      </c>
      <c r="EB76" s="578">
        <v>1.4687409041469431E-2</v>
      </c>
      <c r="EC76" s="578">
        <v>1.8991580705043319E-3</v>
      </c>
      <c r="ED76" s="578">
        <v>7.4535734638311729E-3</v>
      </c>
      <c r="EE76" s="578">
        <v>0</v>
      </c>
      <c r="EF76" s="578">
        <v>4.4899137295147688E-5</v>
      </c>
      <c r="EG76" s="578">
        <v>0</v>
      </c>
      <c r="EH76" s="578">
        <v>0</v>
      </c>
      <c r="EI76" s="578">
        <v>0</v>
      </c>
      <c r="EJ76" s="578">
        <v>0</v>
      </c>
      <c r="EK76" s="578">
        <v>0</v>
      </c>
      <c r="EL76" s="578">
        <v>0</v>
      </c>
      <c r="EM76" s="578">
        <v>0</v>
      </c>
      <c r="EN76" s="578">
        <v>0</v>
      </c>
      <c r="EO76" s="578">
        <v>0</v>
      </c>
      <c r="EP76" s="578">
        <v>0</v>
      </c>
      <c r="EQ76" s="578">
        <v>0</v>
      </c>
      <c r="ER76" s="578">
        <v>0</v>
      </c>
      <c r="ES76" s="578">
        <v>0</v>
      </c>
      <c r="ET76" s="578">
        <v>0</v>
      </c>
      <c r="EU76" s="578">
        <v>0</v>
      </c>
      <c r="EV76" s="578">
        <v>0</v>
      </c>
      <c r="EW76" s="578">
        <v>0</v>
      </c>
      <c r="EX76" s="578">
        <v>0</v>
      </c>
      <c r="EY76" s="578">
        <v>0</v>
      </c>
      <c r="EZ76" s="578">
        <v>0</v>
      </c>
      <c r="FA76" s="578">
        <v>0</v>
      </c>
      <c r="FB76" s="578">
        <v>0</v>
      </c>
      <c r="FC76" s="578">
        <v>0</v>
      </c>
      <c r="FD76" s="578">
        <v>0</v>
      </c>
      <c r="FE76" s="578">
        <v>0</v>
      </c>
      <c r="FF76" s="578">
        <v>0</v>
      </c>
      <c r="FG76" s="578">
        <v>0</v>
      </c>
      <c r="FH76" s="578">
        <v>0</v>
      </c>
      <c r="FI76" s="578">
        <v>0</v>
      </c>
      <c r="FJ76" s="578">
        <v>0</v>
      </c>
      <c r="FK76" s="578">
        <v>0</v>
      </c>
      <c r="FL76" s="578">
        <v>0</v>
      </c>
      <c r="FM76" s="578">
        <v>0</v>
      </c>
      <c r="FN76" s="578">
        <v>1.3073482308776976E-5</v>
      </c>
      <c r="FO76" s="578">
        <v>4.0105899379744937E-5</v>
      </c>
      <c r="FP76" s="578">
        <v>0</v>
      </c>
      <c r="FQ76" s="578">
        <v>0</v>
      </c>
      <c r="FR76" s="578">
        <v>7.0037656913533846E-6</v>
      </c>
      <c r="FS76" s="578">
        <v>0</v>
      </c>
      <c r="FT76" s="578">
        <v>0</v>
      </c>
      <c r="FU76" s="578">
        <v>0</v>
      </c>
      <c r="FV76" s="578">
        <v>0</v>
      </c>
      <c r="FW76" s="578">
        <v>0</v>
      </c>
      <c r="FX76" s="578">
        <v>0</v>
      </c>
      <c r="FY76" s="578">
        <v>0</v>
      </c>
      <c r="FZ76" s="578">
        <v>0</v>
      </c>
      <c r="GA76" s="578">
        <v>0</v>
      </c>
      <c r="GB76" s="578">
        <v>0</v>
      </c>
      <c r="GC76" s="578">
        <v>0</v>
      </c>
      <c r="GD76" s="578">
        <v>0</v>
      </c>
      <c r="GE76" s="578">
        <v>0</v>
      </c>
      <c r="GF76" s="578">
        <v>2.9719259141325691E-4</v>
      </c>
      <c r="GG76" s="579">
        <v>3.7663084776310589E-4</v>
      </c>
      <c r="GH76" s="572"/>
    </row>
    <row r="77" spans="1:190">
      <c r="A77" s="572" t="s">
        <v>9308</v>
      </c>
      <c r="B77" s="577" t="s">
        <v>376</v>
      </c>
      <c r="C77" s="573" t="s">
        <v>379</v>
      </c>
      <c r="D77" s="578">
        <v>2.4100687315897528E-3</v>
      </c>
      <c r="E77" s="578">
        <v>1.1405759908753922E-3</v>
      </c>
      <c r="F77" s="578">
        <v>2.8046854745574961E-3</v>
      </c>
      <c r="G77" s="578">
        <v>1.6778523489932886E-3</v>
      </c>
      <c r="H77" s="578">
        <v>0</v>
      </c>
      <c r="I77" s="578">
        <v>6.5157191725036647E-3</v>
      </c>
      <c r="J77" s="578">
        <v>1.4495321232424422E-3</v>
      </c>
      <c r="K77" s="578">
        <v>1.7406131220915775E-3</v>
      </c>
      <c r="L77" s="578">
        <v>0</v>
      </c>
      <c r="M77" s="578">
        <v>0</v>
      </c>
      <c r="N77" s="578">
        <v>0</v>
      </c>
      <c r="O77" s="578">
        <v>4.3794341771043183E-5</v>
      </c>
      <c r="P77" s="578">
        <v>0</v>
      </c>
      <c r="Q77" s="578">
        <v>0</v>
      </c>
      <c r="R77" s="578">
        <v>0</v>
      </c>
      <c r="S77" s="578">
        <v>0</v>
      </c>
      <c r="T77" s="578">
        <v>3.2803771121528132E-6</v>
      </c>
      <c r="U77" s="578">
        <v>0</v>
      </c>
      <c r="V77" s="578">
        <v>0</v>
      </c>
      <c r="W77" s="578">
        <v>1.4706423030258465E-4</v>
      </c>
      <c r="X77" s="578">
        <v>0</v>
      </c>
      <c r="Y77" s="578">
        <v>8.7899430926960116E-4</v>
      </c>
      <c r="Z77" s="578">
        <v>2.6841530289324855E-5</v>
      </c>
      <c r="AA77" s="578">
        <v>3.4750983024382814E-4</v>
      </c>
      <c r="AB77" s="578">
        <v>0</v>
      </c>
      <c r="AC77" s="578">
        <v>2.2458322536062884E-3</v>
      </c>
      <c r="AD77" s="578">
        <v>0</v>
      </c>
      <c r="AE77" s="578">
        <v>0</v>
      </c>
      <c r="AF77" s="578">
        <v>0</v>
      </c>
      <c r="AG77" s="578">
        <v>0</v>
      </c>
      <c r="AH77" s="578">
        <v>0</v>
      </c>
      <c r="AI77" s="578">
        <v>0</v>
      </c>
      <c r="AJ77" s="578">
        <v>0</v>
      </c>
      <c r="AK77" s="578">
        <v>0</v>
      </c>
      <c r="AL77" s="578">
        <v>0</v>
      </c>
      <c r="AM77" s="578">
        <v>0</v>
      </c>
      <c r="AN77" s="578">
        <v>1.2939958592132506E-4</v>
      </c>
      <c r="AO77" s="578">
        <v>1.5545551705152703E-3</v>
      </c>
      <c r="AP77" s="578">
        <v>4.764930114358323E-4</v>
      </c>
      <c r="AQ77" s="578">
        <v>6.2070677811801702E-4</v>
      </c>
      <c r="AR77" s="578">
        <v>2.2786573631329767E-3</v>
      </c>
      <c r="AS77" s="578">
        <v>0</v>
      </c>
      <c r="AT77" s="578">
        <v>8.2892964459641482E-5</v>
      </c>
      <c r="AU77" s="578">
        <v>1.6360988858166587E-5</v>
      </c>
      <c r="AV77" s="578">
        <v>4.1938769396680847E-3</v>
      </c>
      <c r="AW77" s="578">
        <v>9.8696561712170779E-3</v>
      </c>
      <c r="AX77" s="578">
        <v>1.8279770460505381E-2</v>
      </c>
      <c r="AY77" s="578">
        <v>0</v>
      </c>
      <c r="AZ77" s="578">
        <v>3.8994506860772659E-4</v>
      </c>
      <c r="BA77" s="578">
        <v>1.8048035540746911E-3</v>
      </c>
      <c r="BB77" s="578">
        <v>5.0760822089221001E-4</v>
      </c>
      <c r="BC77" s="578">
        <v>3.0704043722558263E-4</v>
      </c>
      <c r="BD77" s="578">
        <v>1.1177486059190998E-4</v>
      </c>
      <c r="BE77" s="578">
        <v>1.1338027674616157E-3</v>
      </c>
      <c r="BF77" s="578">
        <v>8.3622398414271554E-4</v>
      </c>
      <c r="BG77" s="578">
        <v>0</v>
      </c>
      <c r="BH77" s="578">
        <v>4.1224646842192051E-4</v>
      </c>
      <c r="BI77" s="578">
        <v>2.6023312550826783E-3</v>
      </c>
      <c r="BJ77" s="578">
        <v>4.8659593156316882E-4</v>
      </c>
      <c r="BK77" s="578">
        <v>0</v>
      </c>
      <c r="BL77" s="578">
        <v>1.7125894352260618E-3</v>
      </c>
      <c r="BM77" s="578">
        <v>1.282412400927917E-4</v>
      </c>
      <c r="BN77" s="578">
        <v>1.9753086419753085E-4</v>
      </c>
      <c r="BO77" s="578">
        <v>3.1871432572604092E-4</v>
      </c>
      <c r="BP77" s="578">
        <v>0</v>
      </c>
      <c r="BQ77" s="578">
        <v>8.3458521115005842E-5</v>
      </c>
      <c r="BR77" s="578">
        <v>1.0572583828534241E-2</v>
      </c>
      <c r="BS77" s="578">
        <v>1.3372851694872392E-2</v>
      </c>
      <c r="BT77" s="578">
        <v>1.9304316153706064E-2</v>
      </c>
      <c r="BU77" s="578">
        <v>7.3993502726534405E-2</v>
      </c>
      <c r="BV77" s="578">
        <v>2.9948793963077751E-2</v>
      </c>
      <c r="BW77" s="578">
        <v>1.2872591318888477E-2</v>
      </c>
      <c r="BX77" s="578">
        <v>0</v>
      </c>
      <c r="BY77" s="578">
        <v>3.1780668344952881E-4</v>
      </c>
      <c r="BZ77" s="578">
        <v>3.0904906705812884E-4</v>
      </c>
      <c r="CA77" s="578">
        <v>7.6675332494974551E-4</v>
      </c>
      <c r="CB77" s="578">
        <v>1.5040953090096797E-2</v>
      </c>
      <c r="CC77" s="578">
        <v>0</v>
      </c>
      <c r="CD77" s="578">
        <v>1.2857944518091396E-2</v>
      </c>
      <c r="CE77" s="578">
        <v>0</v>
      </c>
      <c r="CF77" s="578">
        <v>0</v>
      </c>
      <c r="CG77" s="578">
        <v>2.5181233951396672E-3</v>
      </c>
      <c r="CH77" s="578">
        <v>4.9298138011641766E-3</v>
      </c>
      <c r="CI77" s="578">
        <v>1.2933071355734076E-3</v>
      </c>
      <c r="CJ77" s="578">
        <v>1.7530917769581255E-3</v>
      </c>
      <c r="CK77" s="578">
        <v>2.5164654502909819E-3</v>
      </c>
      <c r="CL77" s="578">
        <v>7.0886910649521921E-4</v>
      </c>
      <c r="CM77" s="578">
        <v>1.0732008452643826E-3</v>
      </c>
      <c r="CN77" s="578">
        <v>3.8595137012736397E-4</v>
      </c>
      <c r="CO77" s="578">
        <v>2.5623505295524428E-3</v>
      </c>
      <c r="CP77" s="578">
        <v>4.9178715451952395E-3</v>
      </c>
      <c r="CQ77" s="578">
        <v>5.7335796649041215E-4</v>
      </c>
      <c r="CR77" s="578">
        <v>1.3238880501683893E-3</v>
      </c>
      <c r="CS77" s="578">
        <v>5.6503559724262629E-3</v>
      </c>
      <c r="CT77" s="578">
        <v>3.0328657665276604E-3</v>
      </c>
      <c r="CU77" s="578">
        <v>2.474888347870951E-3</v>
      </c>
      <c r="CV77" s="578">
        <v>8.4689585101571738E-3</v>
      </c>
      <c r="CW77" s="578">
        <v>2.5356947803698215E-3</v>
      </c>
      <c r="CX77" s="578">
        <v>2.7983609600091375E-3</v>
      </c>
      <c r="CY77" s="578">
        <v>5.8613426137924722E-4</v>
      </c>
      <c r="CZ77" s="578">
        <v>2.1337126600284495E-4</v>
      </c>
      <c r="DA77" s="578">
        <v>1.0494527853333619E-3</v>
      </c>
      <c r="DB77" s="578">
        <v>6.4980776520279422E-4</v>
      </c>
      <c r="DC77" s="578">
        <v>2.1754894851341551E-3</v>
      </c>
      <c r="DD77" s="578">
        <v>4.8309178743961351E-4</v>
      </c>
      <c r="DE77" s="578">
        <v>5.9243644029294707E-3</v>
      </c>
      <c r="DF77" s="578">
        <v>2.9255531591980189E-3</v>
      </c>
      <c r="DG77" s="578">
        <v>4.4977265321030288E-3</v>
      </c>
      <c r="DH77" s="578">
        <v>1.6651374587963435E-3</v>
      </c>
      <c r="DI77" s="578">
        <v>3.3116969134984766E-5</v>
      </c>
      <c r="DJ77" s="578">
        <v>2.8575333275354395E-3</v>
      </c>
      <c r="DK77" s="578">
        <v>1.1178569616613959E-2</v>
      </c>
      <c r="DL77" s="578">
        <v>8.5098861139870207E-4</v>
      </c>
      <c r="DM77" s="578">
        <v>2.9267051238547675E-3</v>
      </c>
      <c r="DN77" s="578">
        <v>1.3287117273252456E-3</v>
      </c>
      <c r="DO77" s="578">
        <v>0</v>
      </c>
      <c r="DP77" s="578">
        <v>6.1349693251533746E-4</v>
      </c>
      <c r="DQ77" s="578">
        <v>1.0243560346389933E-4</v>
      </c>
      <c r="DR77" s="578">
        <v>1.7173020684319864E-3</v>
      </c>
      <c r="DS77" s="578">
        <v>8.1402951017216403E-4</v>
      </c>
      <c r="DT77" s="578">
        <v>3.2364110825211932E-3</v>
      </c>
      <c r="DU77" s="578">
        <v>1.6721875398139889E-4</v>
      </c>
      <c r="DV77" s="578">
        <v>1.0135691570905498E-4</v>
      </c>
      <c r="DW77" s="578">
        <v>1.4211298234966875E-2</v>
      </c>
      <c r="DX77" s="578">
        <v>1.7958162996377723E-3</v>
      </c>
      <c r="DY77" s="578">
        <v>0</v>
      </c>
      <c r="DZ77" s="578">
        <v>2.9977281262683507E-3</v>
      </c>
      <c r="EA77" s="578">
        <v>7.5926037221788166E-3</v>
      </c>
      <c r="EB77" s="578">
        <v>1.7770424498674878E-3</v>
      </c>
      <c r="EC77" s="578">
        <v>3.6025897054011323E-3</v>
      </c>
      <c r="ED77" s="578">
        <v>4.9479425785384119E-3</v>
      </c>
      <c r="EE77" s="578">
        <v>3.8481321807749881E-5</v>
      </c>
      <c r="EF77" s="578">
        <v>2.8863731118309226E-5</v>
      </c>
      <c r="EG77" s="578">
        <v>0</v>
      </c>
      <c r="EH77" s="578">
        <v>4.680511182108626E-3</v>
      </c>
      <c r="EI77" s="578">
        <v>0</v>
      </c>
      <c r="EJ77" s="578">
        <v>7.2797406614857684E-5</v>
      </c>
      <c r="EK77" s="578">
        <v>5.552445682350248E-5</v>
      </c>
      <c r="EL77" s="578">
        <v>2.9840947748500491E-6</v>
      </c>
      <c r="EM77" s="578">
        <v>0</v>
      </c>
      <c r="EN77" s="578">
        <v>0</v>
      </c>
      <c r="EO77" s="578">
        <v>0</v>
      </c>
      <c r="EP77" s="578">
        <v>0</v>
      </c>
      <c r="EQ77" s="578">
        <v>0</v>
      </c>
      <c r="ER77" s="578">
        <v>0</v>
      </c>
      <c r="ES77" s="578">
        <v>0</v>
      </c>
      <c r="ET77" s="578">
        <v>0</v>
      </c>
      <c r="EU77" s="578">
        <v>0</v>
      </c>
      <c r="EV77" s="578">
        <v>1.8860807242549982E-5</v>
      </c>
      <c r="EW77" s="578">
        <v>9.7227083576401035E-6</v>
      </c>
      <c r="EX77" s="578">
        <v>0</v>
      </c>
      <c r="EY77" s="578">
        <v>0</v>
      </c>
      <c r="EZ77" s="578">
        <v>0</v>
      </c>
      <c r="FA77" s="578">
        <v>0</v>
      </c>
      <c r="FB77" s="578">
        <v>0</v>
      </c>
      <c r="FC77" s="578">
        <v>0</v>
      </c>
      <c r="FD77" s="578">
        <v>0</v>
      </c>
      <c r="FE77" s="578">
        <v>0</v>
      </c>
      <c r="FF77" s="578">
        <v>0</v>
      </c>
      <c r="FG77" s="578">
        <v>0</v>
      </c>
      <c r="FH77" s="578">
        <v>3.2515038205169893E-5</v>
      </c>
      <c r="FI77" s="578">
        <v>1.1744601887357523E-5</v>
      </c>
      <c r="FJ77" s="578">
        <v>6.7203152853001645E-5</v>
      </c>
      <c r="FK77" s="578">
        <v>9.9548827225333196E-4</v>
      </c>
      <c r="FL77" s="578">
        <v>1.097752221641401E-3</v>
      </c>
      <c r="FM77" s="578">
        <v>5.3596499915527251E-4</v>
      </c>
      <c r="FN77" s="578">
        <v>0</v>
      </c>
      <c r="FO77" s="578">
        <v>0</v>
      </c>
      <c r="FP77" s="578">
        <v>0</v>
      </c>
      <c r="FQ77" s="578">
        <v>0</v>
      </c>
      <c r="FR77" s="578">
        <v>0</v>
      </c>
      <c r="FS77" s="578">
        <v>0</v>
      </c>
      <c r="FT77" s="578">
        <v>0</v>
      </c>
      <c r="FU77" s="578">
        <v>0</v>
      </c>
      <c r="FV77" s="578">
        <v>0</v>
      </c>
      <c r="FW77" s="578">
        <v>2.5057997138538393E-4</v>
      </c>
      <c r="FX77" s="578">
        <v>7.8481495184599688E-5</v>
      </c>
      <c r="FY77" s="578">
        <v>1.7851038439533624E-6</v>
      </c>
      <c r="FZ77" s="578">
        <v>3.8980782474240197E-5</v>
      </c>
      <c r="GA77" s="578">
        <v>7.9231924094183066E-5</v>
      </c>
      <c r="GB77" s="578">
        <v>4.2449025794858009E-5</v>
      </c>
      <c r="GC77" s="578">
        <v>4.8337679593071103E-4</v>
      </c>
      <c r="GD77" s="578">
        <v>5.8104191226602988E-4</v>
      </c>
      <c r="GE77" s="578">
        <v>4.9938736865555271E-3</v>
      </c>
      <c r="GF77" s="578">
        <v>1.2789895451891949E-3</v>
      </c>
      <c r="GG77" s="579">
        <v>1.4788529723317374E-3</v>
      </c>
      <c r="GH77" s="572"/>
    </row>
    <row r="78" spans="1:190">
      <c r="A78" s="572" t="s">
        <v>9309</v>
      </c>
      <c r="B78" s="577" t="s">
        <v>380</v>
      </c>
      <c r="C78" s="573" t="s">
        <v>9075</v>
      </c>
      <c r="D78" s="578">
        <v>0</v>
      </c>
      <c r="E78" s="578">
        <v>0</v>
      </c>
      <c r="F78" s="578">
        <v>0</v>
      </c>
      <c r="G78" s="578">
        <v>0</v>
      </c>
      <c r="H78" s="578">
        <v>0</v>
      </c>
      <c r="I78" s="578">
        <v>0</v>
      </c>
      <c r="J78" s="578">
        <v>0</v>
      </c>
      <c r="K78" s="578">
        <v>0</v>
      </c>
      <c r="L78" s="578">
        <v>0</v>
      </c>
      <c r="M78" s="578">
        <v>0</v>
      </c>
      <c r="N78" s="578">
        <v>0</v>
      </c>
      <c r="O78" s="578">
        <v>0</v>
      </c>
      <c r="P78" s="578">
        <v>0</v>
      </c>
      <c r="Q78" s="578">
        <v>0</v>
      </c>
      <c r="R78" s="578">
        <v>0</v>
      </c>
      <c r="S78" s="578">
        <v>0</v>
      </c>
      <c r="T78" s="578">
        <v>0</v>
      </c>
      <c r="U78" s="578">
        <v>0</v>
      </c>
      <c r="V78" s="578">
        <v>0</v>
      </c>
      <c r="W78" s="578">
        <v>0</v>
      </c>
      <c r="X78" s="578">
        <v>0</v>
      </c>
      <c r="Y78" s="578">
        <v>0</v>
      </c>
      <c r="Z78" s="578">
        <v>0</v>
      </c>
      <c r="AA78" s="578">
        <v>0</v>
      </c>
      <c r="AB78" s="578">
        <v>0</v>
      </c>
      <c r="AC78" s="578">
        <v>0</v>
      </c>
      <c r="AD78" s="578">
        <v>0</v>
      </c>
      <c r="AE78" s="578">
        <v>0</v>
      </c>
      <c r="AF78" s="578">
        <v>0</v>
      </c>
      <c r="AG78" s="578">
        <v>0</v>
      </c>
      <c r="AH78" s="578">
        <v>0</v>
      </c>
      <c r="AI78" s="578">
        <v>0</v>
      </c>
      <c r="AJ78" s="578">
        <v>0</v>
      </c>
      <c r="AK78" s="578">
        <v>0</v>
      </c>
      <c r="AL78" s="578">
        <v>0</v>
      </c>
      <c r="AM78" s="578">
        <v>0</v>
      </c>
      <c r="AN78" s="578">
        <v>0</v>
      </c>
      <c r="AO78" s="578">
        <v>0</v>
      </c>
      <c r="AP78" s="578">
        <v>0</v>
      </c>
      <c r="AQ78" s="578">
        <v>0</v>
      </c>
      <c r="AR78" s="578">
        <v>0</v>
      </c>
      <c r="AS78" s="578">
        <v>0</v>
      </c>
      <c r="AT78" s="578">
        <v>0</v>
      </c>
      <c r="AU78" s="578">
        <v>0</v>
      </c>
      <c r="AV78" s="578">
        <v>0</v>
      </c>
      <c r="AW78" s="578">
        <v>0</v>
      </c>
      <c r="AX78" s="578">
        <v>0</v>
      </c>
      <c r="AY78" s="578">
        <v>0</v>
      </c>
      <c r="AZ78" s="578">
        <v>0</v>
      </c>
      <c r="BA78" s="578">
        <v>0</v>
      </c>
      <c r="BB78" s="578">
        <v>0</v>
      </c>
      <c r="BC78" s="578">
        <v>0</v>
      </c>
      <c r="BD78" s="578">
        <v>0</v>
      </c>
      <c r="BE78" s="578">
        <v>0</v>
      </c>
      <c r="BF78" s="578">
        <v>0</v>
      </c>
      <c r="BG78" s="578">
        <v>0</v>
      </c>
      <c r="BH78" s="578">
        <v>0</v>
      </c>
      <c r="BI78" s="578">
        <v>0</v>
      </c>
      <c r="BJ78" s="578">
        <v>8.2473886705621832E-6</v>
      </c>
      <c r="BK78" s="578">
        <v>0</v>
      </c>
      <c r="BL78" s="578">
        <v>0</v>
      </c>
      <c r="BM78" s="578">
        <v>0</v>
      </c>
      <c r="BN78" s="578">
        <v>0</v>
      </c>
      <c r="BO78" s="578">
        <v>0</v>
      </c>
      <c r="BP78" s="578">
        <v>0</v>
      </c>
      <c r="BQ78" s="578">
        <v>0</v>
      </c>
      <c r="BR78" s="578">
        <v>0</v>
      </c>
      <c r="BS78" s="578">
        <v>0</v>
      </c>
      <c r="BT78" s="578">
        <v>0</v>
      </c>
      <c r="BU78" s="578">
        <v>0</v>
      </c>
      <c r="BV78" s="578">
        <v>0</v>
      </c>
      <c r="BW78" s="578">
        <v>0.44194882739301855</v>
      </c>
      <c r="BX78" s="578">
        <v>0</v>
      </c>
      <c r="BY78" s="578">
        <v>0.8306528299809316</v>
      </c>
      <c r="BZ78" s="578">
        <v>4.5971048724896659E-3</v>
      </c>
      <c r="CA78" s="578">
        <v>0</v>
      </c>
      <c r="CB78" s="578">
        <v>0.19479399354678581</v>
      </c>
      <c r="CC78" s="578">
        <v>1.7355958096900916E-2</v>
      </c>
      <c r="CD78" s="578">
        <v>0</v>
      </c>
      <c r="CE78" s="578">
        <v>0</v>
      </c>
      <c r="CF78" s="578">
        <v>0</v>
      </c>
      <c r="CG78" s="578">
        <v>7.093305338421598E-6</v>
      </c>
      <c r="CH78" s="578">
        <v>0</v>
      </c>
      <c r="CI78" s="578">
        <v>0</v>
      </c>
      <c r="CJ78" s="578">
        <v>0</v>
      </c>
      <c r="CK78" s="578">
        <v>1.2607542336127165E-5</v>
      </c>
      <c r="CL78" s="578">
        <v>0</v>
      </c>
      <c r="CM78" s="578">
        <v>0</v>
      </c>
      <c r="CN78" s="578">
        <v>0</v>
      </c>
      <c r="CO78" s="578">
        <v>0</v>
      </c>
      <c r="CP78" s="578">
        <v>0</v>
      </c>
      <c r="CQ78" s="578">
        <v>0</v>
      </c>
      <c r="CR78" s="578">
        <v>0</v>
      </c>
      <c r="CS78" s="578">
        <v>0</v>
      </c>
      <c r="CT78" s="578">
        <v>0</v>
      </c>
      <c r="CU78" s="578">
        <v>0</v>
      </c>
      <c r="CV78" s="578">
        <v>0</v>
      </c>
      <c r="CW78" s="578">
        <v>0</v>
      </c>
      <c r="CX78" s="578">
        <v>0</v>
      </c>
      <c r="CY78" s="578">
        <v>0</v>
      </c>
      <c r="CZ78" s="578">
        <v>0</v>
      </c>
      <c r="DA78" s="578">
        <v>0</v>
      </c>
      <c r="DB78" s="578">
        <v>0</v>
      </c>
      <c r="DC78" s="578">
        <v>0</v>
      </c>
      <c r="DD78" s="578">
        <v>0</v>
      </c>
      <c r="DE78" s="578">
        <v>0</v>
      </c>
      <c r="DF78" s="578">
        <v>0</v>
      </c>
      <c r="DG78" s="578">
        <v>0</v>
      </c>
      <c r="DH78" s="578">
        <v>0</v>
      </c>
      <c r="DI78" s="578">
        <v>0</v>
      </c>
      <c r="DJ78" s="578">
        <v>0</v>
      </c>
      <c r="DK78" s="578">
        <v>0</v>
      </c>
      <c r="DL78" s="578">
        <v>0</v>
      </c>
      <c r="DM78" s="578">
        <v>0</v>
      </c>
      <c r="DN78" s="578">
        <v>0</v>
      </c>
      <c r="DO78" s="578">
        <v>0</v>
      </c>
      <c r="DP78" s="578">
        <v>0</v>
      </c>
      <c r="DQ78" s="578">
        <v>0</v>
      </c>
      <c r="DR78" s="578">
        <v>0</v>
      </c>
      <c r="DS78" s="578">
        <v>3.3009858089658623E-4</v>
      </c>
      <c r="DT78" s="578">
        <v>0</v>
      </c>
      <c r="DU78" s="578">
        <v>0</v>
      </c>
      <c r="DV78" s="578">
        <v>0</v>
      </c>
      <c r="DW78" s="578">
        <v>0</v>
      </c>
      <c r="DX78" s="578">
        <v>0</v>
      </c>
      <c r="DY78" s="578">
        <v>0</v>
      </c>
      <c r="DZ78" s="578">
        <v>0</v>
      </c>
      <c r="EA78" s="578">
        <v>0</v>
      </c>
      <c r="EB78" s="578">
        <v>0</v>
      </c>
      <c r="EC78" s="578">
        <v>0</v>
      </c>
      <c r="ED78" s="578">
        <v>0</v>
      </c>
      <c r="EE78" s="578">
        <v>0</v>
      </c>
      <c r="EF78" s="578">
        <v>0</v>
      </c>
      <c r="EG78" s="578">
        <v>0</v>
      </c>
      <c r="EH78" s="578">
        <v>0</v>
      </c>
      <c r="EI78" s="578">
        <v>0</v>
      </c>
      <c r="EJ78" s="578">
        <v>0</v>
      </c>
      <c r="EK78" s="578">
        <v>0</v>
      </c>
      <c r="EL78" s="578">
        <v>0</v>
      </c>
      <c r="EM78" s="578">
        <v>0</v>
      </c>
      <c r="EN78" s="578">
        <v>0</v>
      </c>
      <c r="EO78" s="578">
        <v>0</v>
      </c>
      <c r="EP78" s="578">
        <v>0</v>
      </c>
      <c r="EQ78" s="578">
        <v>0</v>
      </c>
      <c r="ER78" s="578">
        <v>0</v>
      </c>
      <c r="ES78" s="578">
        <v>0</v>
      </c>
      <c r="ET78" s="578">
        <v>0</v>
      </c>
      <c r="EU78" s="578">
        <v>0</v>
      </c>
      <c r="EV78" s="578">
        <v>0</v>
      </c>
      <c r="EW78" s="578">
        <v>0</v>
      </c>
      <c r="EX78" s="578">
        <v>0</v>
      </c>
      <c r="EY78" s="578">
        <v>0</v>
      </c>
      <c r="EZ78" s="578">
        <v>0</v>
      </c>
      <c r="FA78" s="578">
        <v>0</v>
      </c>
      <c r="FB78" s="578">
        <v>0</v>
      </c>
      <c r="FC78" s="578">
        <v>0</v>
      </c>
      <c r="FD78" s="578">
        <v>0</v>
      </c>
      <c r="FE78" s="578">
        <v>0</v>
      </c>
      <c r="FF78" s="578">
        <v>0</v>
      </c>
      <c r="FG78" s="578">
        <v>0</v>
      </c>
      <c r="FH78" s="578">
        <v>0</v>
      </c>
      <c r="FI78" s="578">
        <v>0</v>
      </c>
      <c r="FJ78" s="578">
        <v>0</v>
      </c>
      <c r="FK78" s="578">
        <v>0</v>
      </c>
      <c r="FL78" s="578">
        <v>0</v>
      </c>
      <c r="FM78" s="578">
        <v>0</v>
      </c>
      <c r="FN78" s="578">
        <v>0</v>
      </c>
      <c r="FO78" s="578">
        <v>0</v>
      </c>
      <c r="FP78" s="578">
        <v>0</v>
      </c>
      <c r="FQ78" s="578">
        <v>0</v>
      </c>
      <c r="FR78" s="578">
        <v>0</v>
      </c>
      <c r="FS78" s="578">
        <v>0</v>
      </c>
      <c r="FT78" s="578">
        <v>0</v>
      </c>
      <c r="FU78" s="578">
        <v>0</v>
      </c>
      <c r="FV78" s="578">
        <v>0</v>
      </c>
      <c r="FW78" s="578">
        <v>0</v>
      </c>
      <c r="FX78" s="578">
        <v>0</v>
      </c>
      <c r="FY78" s="578">
        <v>0</v>
      </c>
      <c r="FZ78" s="578">
        <v>0</v>
      </c>
      <c r="GA78" s="578">
        <v>0</v>
      </c>
      <c r="GB78" s="578">
        <v>0</v>
      </c>
      <c r="GC78" s="578">
        <v>0</v>
      </c>
      <c r="GD78" s="578">
        <v>3.3586237703238719E-6</v>
      </c>
      <c r="GE78" s="578">
        <v>0</v>
      </c>
      <c r="GF78" s="578">
        <v>0</v>
      </c>
      <c r="GG78" s="579">
        <v>2.8019892515567562E-2</v>
      </c>
      <c r="GH78" s="572"/>
    </row>
    <row r="79" spans="1:190">
      <c r="A79" s="572" t="s">
        <v>9310</v>
      </c>
      <c r="B79" s="577" t="s">
        <v>386</v>
      </c>
      <c r="C79" s="573" t="s">
        <v>388</v>
      </c>
      <c r="D79" s="578">
        <v>0</v>
      </c>
      <c r="E79" s="578">
        <v>0</v>
      </c>
      <c r="F79" s="578">
        <v>0</v>
      </c>
      <c r="G79" s="578">
        <v>0</v>
      </c>
      <c r="H79" s="578">
        <v>0</v>
      </c>
      <c r="I79" s="578">
        <v>0</v>
      </c>
      <c r="J79" s="578">
        <v>0</v>
      </c>
      <c r="K79" s="578">
        <v>0</v>
      </c>
      <c r="L79" s="578">
        <v>0</v>
      </c>
      <c r="M79" s="578">
        <v>0</v>
      </c>
      <c r="N79" s="578">
        <v>0</v>
      </c>
      <c r="O79" s="578">
        <v>0</v>
      </c>
      <c r="P79" s="578">
        <v>0</v>
      </c>
      <c r="Q79" s="578">
        <v>0</v>
      </c>
      <c r="R79" s="578">
        <v>0</v>
      </c>
      <c r="S79" s="578">
        <v>0</v>
      </c>
      <c r="T79" s="578">
        <v>0</v>
      </c>
      <c r="U79" s="578">
        <v>0</v>
      </c>
      <c r="V79" s="578">
        <v>0</v>
      </c>
      <c r="W79" s="578">
        <v>0</v>
      </c>
      <c r="X79" s="578">
        <v>0</v>
      </c>
      <c r="Y79" s="578">
        <v>0</v>
      </c>
      <c r="Z79" s="578">
        <v>0</v>
      </c>
      <c r="AA79" s="578">
        <v>0</v>
      </c>
      <c r="AB79" s="578">
        <v>0</v>
      </c>
      <c r="AC79" s="578">
        <v>0</v>
      </c>
      <c r="AD79" s="578">
        <v>0</v>
      </c>
      <c r="AE79" s="578">
        <v>0</v>
      </c>
      <c r="AF79" s="578">
        <v>0</v>
      </c>
      <c r="AG79" s="578">
        <v>0</v>
      </c>
      <c r="AH79" s="578">
        <v>0</v>
      </c>
      <c r="AI79" s="578">
        <v>0</v>
      </c>
      <c r="AJ79" s="578">
        <v>0</v>
      </c>
      <c r="AK79" s="578">
        <v>0</v>
      </c>
      <c r="AL79" s="578">
        <v>0</v>
      </c>
      <c r="AM79" s="578">
        <v>0</v>
      </c>
      <c r="AN79" s="578">
        <v>0</v>
      </c>
      <c r="AO79" s="578">
        <v>0</v>
      </c>
      <c r="AP79" s="578">
        <v>0</v>
      </c>
      <c r="AQ79" s="578">
        <v>0</v>
      </c>
      <c r="AR79" s="578">
        <v>0</v>
      </c>
      <c r="AS79" s="578">
        <v>0</v>
      </c>
      <c r="AT79" s="578">
        <v>0</v>
      </c>
      <c r="AU79" s="578">
        <v>0</v>
      </c>
      <c r="AV79" s="578">
        <v>0</v>
      </c>
      <c r="AW79" s="578">
        <v>0</v>
      </c>
      <c r="AX79" s="578">
        <v>6.5833507060643627E-5</v>
      </c>
      <c r="AY79" s="578">
        <v>0</v>
      </c>
      <c r="AZ79" s="578">
        <v>0</v>
      </c>
      <c r="BA79" s="578">
        <v>0</v>
      </c>
      <c r="BB79" s="578">
        <v>0</v>
      </c>
      <c r="BC79" s="578">
        <v>0</v>
      </c>
      <c r="BD79" s="578">
        <v>0</v>
      </c>
      <c r="BE79" s="578">
        <v>0</v>
      </c>
      <c r="BF79" s="578">
        <v>0</v>
      </c>
      <c r="BG79" s="578">
        <v>0</v>
      </c>
      <c r="BH79" s="578">
        <v>0</v>
      </c>
      <c r="BI79" s="578">
        <v>0</v>
      </c>
      <c r="BJ79" s="578">
        <v>0</v>
      </c>
      <c r="BK79" s="578">
        <v>0</v>
      </c>
      <c r="BL79" s="578">
        <v>0</v>
      </c>
      <c r="BM79" s="578">
        <v>0</v>
      </c>
      <c r="BN79" s="578">
        <v>0</v>
      </c>
      <c r="BO79" s="578">
        <v>0</v>
      </c>
      <c r="BP79" s="578">
        <v>0</v>
      </c>
      <c r="BQ79" s="578">
        <v>0</v>
      </c>
      <c r="BR79" s="578">
        <v>0</v>
      </c>
      <c r="BS79" s="578">
        <v>0</v>
      </c>
      <c r="BT79" s="578">
        <v>0</v>
      </c>
      <c r="BU79" s="578">
        <v>-8.7017055342847205E-5</v>
      </c>
      <c r="BV79" s="578">
        <v>0</v>
      </c>
      <c r="BW79" s="578">
        <v>1.2813997590896338E-2</v>
      </c>
      <c r="BX79" s="578">
        <v>0</v>
      </c>
      <c r="BY79" s="578">
        <v>-5.7130130576005843E-3</v>
      </c>
      <c r="BZ79" s="578">
        <v>-5.6070330737689085E-3</v>
      </c>
      <c r="CA79" s="578">
        <v>-8.6475349429403821E-3</v>
      </c>
      <c r="CB79" s="578">
        <v>-7.3033010672623484E-3</v>
      </c>
      <c r="CC79" s="578">
        <v>-4.0757311217808814E-3</v>
      </c>
      <c r="CD79" s="578">
        <v>0</v>
      </c>
      <c r="CE79" s="578">
        <v>0</v>
      </c>
      <c r="CF79" s="578">
        <v>0</v>
      </c>
      <c r="CG79" s="578">
        <v>0</v>
      </c>
      <c r="CH79" s="578">
        <v>-3.7031465173064239E-4</v>
      </c>
      <c r="CI79" s="578">
        <v>-5.9691098564926509E-4</v>
      </c>
      <c r="CJ79" s="578">
        <v>-6.2486439574745069E-4</v>
      </c>
      <c r="CK79" s="578">
        <v>-1.5708997750814447E-3</v>
      </c>
      <c r="CL79" s="578">
        <v>-1.1839462878038546E-4</v>
      </c>
      <c r="CM79" s="578">
        <v>-1.7095234703326447E-4</v>
      </c>
      <c r="CN79" s="578">
        <v>-3.8595137012736397E-4</v>
      </c>
      <c r="CO79" s="578">
        <v>-1.7082336863682952E-4</v>
      </c>
      <c r="CP79" s="578">
        <v>-1.1892307554744852E-3</v>
      </c>
      <c r="CQ79" s="578">
        <v>-2.5482576288462762E-4</v>
      </c>
      <c r="CR79" s="578">
        <v>-7.0258971083497854E-4</v>
      </c>
      <c r="CS79" s="578">
        <v>-2.2601423889705052E-4</v>
      </c>
      <c r="CT79" s="578">
        <v>-9.3318946662389551E-4</v>
      </c>
      <c r="CU79" s="578">
        <v>-8.3033713299904873E-4</v>
      </c>
      <c r="CV79" s="578">
        <v>-1.2204717092179687E-3</v>
      </c>
      <c r="CW79" s="578">
        <v>-7.4120308964656313E-4</v>
      </c>
      <c r="CX79" s="578">
        <v>-3.997658514298768E-4</v>
      </c>
      <c r="CY79" s="578">
        <v>-5.3118417437494274E-4</v>
      </c>
      <c r="CZ79" s="578">
        <v>-1.7780938833570414E-5</v>
      </c>
      <c r="DA79" s="578">
        <v>-3.8551326808164313E-4</v>
      </c>
      <c r="DB79" s="578">
        <v>0</v>
      </c>
      <c r="DC79" s="578">
        <v>0</v>
      </c>
      <c r="DD79" s="578">
        <v>-4.8309178743961351E-4</v>
      </c>
      <c r="DE79" s="578">
        <v>0</v>
      </c>
      <c r="DF79" s="578">
        <v>0</v>
      </c>
      <c r="DG79" s="578">
        <v>-1.2356992417399519E-4</v>
      </c>
      <c r="DH79" s="578">
        <v>-4.3044369683170787E-4</v>
      </c>
      <c r="DI79" s="578">
        <v>0</v>
      </c>
      <c r="DJ79" s="578">
        <v>0</v>
      </c>
      <c r="DK79" s="578">
        <v>-8.0934100314797406E-4</v>
      </c>
      <c r="DL79" s="578">
        <v>-1.01007550314386E-5</v>
      </c>
      <c r="DM79" s="578">
        <v>-1.5128379142630925E-3</v>
      </c>
      <c r="DN79" s="578">
        <v>-1.6505735743170752E-5</v>
      </c>
      <c r="DO79" s="578">
        <v>0</v>
      </c>
      <c r="DP79" s="578">
        <v>-4.8203330411919368E-4</v>
      </c>
      <c r="DQ79" s="578">
        <v>-7.1704922424729531E-4</v>
      </c>
      <c r="DR79" s="578">
        <v>-1.7673205752795202E-4</v>
      </c>
      <c r="DS79" s="578">
        <v>-1.2627071929442229E-3</v>
      </c>
      <c r="DT79" s="578">
        <v>-9.1844098287763591E-4</v>
      </c>
      <c r="DU79" s="578">
        <v>-1.2740476493820868E-4</v>
      </c>
      <c r="DV79" s="578">
        <v>-1.3936575909995059E-4</v>
      </c>
      <c r="DW79" s="578">
        <v>0</v>
      </c>
      <c r="DX79" s="578">
        <v>-1.8387197607212686E-5</v>
      </c>
      <c r="DY79" s="578">
        <v>0</v>
      </c>
      <c r="DZ79" s="578">
        <v>0</v>
      </c>
      <c r="EA79" s="578">
        <v>0</v>
      </c>
      <c r="EB79" s="578">
        <v>-4.0979211667202845E-4</v>
      </c>
      <c r="EC79" s="578">
        <v>-9.4804992247398215E-5</v>
      </c>
      <c r="ED79" s="578">
        <v>-8.1410389774855046E-5</v>
      </c>
      <c r="EE79" s="578">
        <v>0</v>
      </c>
      <c r="EF79" s="578">
        <v>0</v>
      </c>
      <c r="EG79" s="578">
        <v>0</v>
      </c>
      <c r="EH79" s="578">
        <v>0</v>
      </c>
      <c r="EI79" s="578">
        <v>0</v>
      </c>
      <c r="EJ79" s="578">
        <v>0</v>
      </c>
      <c r="EK79" s="578">
        <v>0</v>
      </c>
      <c r="EL79" s="578">
        <v>0</v>
      </c>
      <c r="EM79" s="578">
        <v>0</v>
      </c>
      <c r="EN79" s="578">
        <v>0</v>
      </c>
      <c r="EO79" s="578">
        <v>0</v>
      </c>
      <c r="EP79" s="578">
        <v>0</v>
      </c>
      <c r="EQ79" s="578">
        <v>0</v>
      </c>
      <c r="ER79" s="578">
        <v>0</v>
      </c>
      <c r="ES79" s="578">
        <v>0</v>
      </c>
      <c r="ET79" s="578">
        <v>0</v>
      </c>
      <c r="EU79" s="578">
        <v>0</v>
      </c>
      <c r="EV79" s="578">
        <v>0</v>
      </c>
      <c r="EW79" s="578">
        <v>0</v>
      </c>
      <c r="EX79" s="578">
        <v>0</v>
      </c>
      <c r="EY79" s="578">
        <v>0</v>
      </c>
      <c r="EZ79" s="578">
        <v>0</v>
      </c>
      <c r="FA79" s="578">
        <v>0</v>
      </c>
      <c r="FB79" s="578">
        <v>0</v>
      </c>
      <c r="FC79" s="578">
        <v>0</v>
      </c>
      <c r="FD79" s="578">
        <v>0</v>
      </c>
      <c r="FE79" s="578">
        <v>0</v>
      </c>
      <c r="FF79" s="578">
        <v>0</v>
      </c>
      <c r="FG79" s="578">
        <v>0</v>
      </c>
      <c r="FH79" s="578">
        <v>0</v>
      </c>
      <c r="FI79" s="578">
        <v>0</v>
      </c>
      <c r="FJ79" s="578">
        <v>0</v>
      </c>
      <c r="FK79" s="578">
        <v>0</v>
      </c>
      <c r="FL79" s="578">
        <v>0</v>
      </c>
      <c r="FM79" s="578">
        <v>0</v>
      </c>
      <c r="FN79" s="578">
        <v>0</v>
      </c>
      <c r="FO79" s="578">
        <v>0</v>
      </c>
      <c r="FP79" s="578">
        <v>0</v>
      </c>
      <c r="FQ79" s="578">
        <v>0</v>
      </c>
      <c r="FR79" s="578">
        <v>0</v>
      </c>
      <c r="FS79" s="578">
        <v>0</v>
      </c>
      <c r="FT79" s="578">
        <v>0</v>
      </c>
      <c r="FU79" s="578">
        <v>0</v>
      </c>
      <c r="FV79" s="578">
        <v>0</v>
      </c>
      <c r="FW79" s="578">
        <v>0</v>
      </c>
      <c r="FX79" s="578">
        <v>0</v>
      </c>
      <c r="FY79" s="578">
        <v>0</v>
      </c>
      <c r="FZ79" s="578">
        <v>0</v>
      </c>
      <c r="GA79" s="578">
        <v>0</v>
      </c>
      <c r="GB79" s="578">
        <v>0</v>
      </c>
      <c r="GC79" s="578">
        <v>0</v>
      </c>
      <c r="GD79" s="578">
        <v>0</v>
      </c>
      <c r="GE79" s="578">
        <v>0</v>
      </c>
      <c r="GF79" s="578">
        <v>0</v>
      </c>
      <c r="GG79" s="579">
        <v>-1.2536393787739448E-4</v>
      </c>
      <c r="GH79" s="572"/>
    </row>
    <row r="80" spans="1:190">
      <c r="A80" s="572" t="s">
        <v>9311</v>
      </c>
      <c r="B80" s="577" t="s">
        <v>389</v>
      </c>
      <c r="C80" s="573" t="s">
        <v>6543</v>
      </c>
      <c r="D80" s="578">
        <v>0</v>
      </c>
      <c r="E80" s="578">
        <v>0</v>
      </c>
      <c r="F80" s="578">
        <v>0</v>
      </c>
      <c r="G80" s="578">
        <v>0</v>
      </c>
      <c r="H80" s="578">
        <v>0</v>
      </c>
      <c r="I80" s="578">
        <v>0</v>
      </c>
      <c r="J80" s="578">
        <v>0</v>
      </c>
      <c r="K80" s="578">
        <v>0</v>
      </c>
      <c r="L80" s="578">
        <v>0</v>
      </c>
      <c r="M80" s="578">
        <v>0</v>
      </c>
      <c r="N80" s="578">
        <v>0</v>
      </c>
      <c r="O80" s="578">
        <v>0</v>
      </c>
      <c r="P80" s="578">
        <v>0</v>
      </c>
      <c r="Q80" s="578">
        <v>0</v>
      </c>
      <c r="R80" s="578">
        <v>6.2178508846306036E-4</v>
      </c>
      <c r="S80" s="578">
        <v>0</v>
      </c>
      <c r="T80" s="578">
        <v>0</v>
      </c>
      <c r="U80" s="578">
        <v>0</v>
      </c>
      <c r="V80" s="578">
        <v>0</v>
      </c>
      <c r="W80" s="578">
        <v>0</v>
      </c>
      <c r="X80" s="578">
        <v>0</v>
      </c>
      <c r="Y80" s="578">
        <v>0</v>
      </c>
      <c r="Z80" s="578">
        <v>0</v>
      </c>
      <c r="AA80" s="578">
        <v>0</v>
      </c>
      <c r="AB80" s="578">
        <v>0</v>
      </c>
      <c r="AC80" s="578">
        <v>0</v>
      </c>
      <c r="AD80" s="578">
        <v>0</v>
      </c>
      <c r="AE80" s="578">
        <v>0</v>
      </c>
      <c r="AF80" s="578">
        <v>0</v>
      </c>
      <c r="AG80" s="578">
        <v>0</v>
      </c>
      <c r="AH80" s="578">
        <v>0</v>
      </c>
      <c r="AI80" s="578">
        <v>0</v>
      </c>
      <c r="AJ80" s="578">
        <v>0</v>
      </c>
      <c r="AK80" s="578">
        <v>0</v>
      </c>
      <c r="AL80" s="578">
        <v>0</v>
      </c>
      <c r="AM80" s="578">
        <v>0</v>
      </c>
      <c r="AN80" s="578">
        <v>3.0193236714975844E-4</v>
      </c>
      <c r="AO80" s="578">
        <v>3.5625222657641609E-4</v>
      </c>
      <c r="AP80" s="578">
        <v>0</v>
      </c>
      <c r="AQ80" s="578">
        <v>0</v>
      </c>
      <c r="AR80" s="578">
        <v>0</v>
      </c>
      <c r="AS80" s="578">
        <v>0</v>
      </c>
      <c r="AT80" s="578">
        <v>0</v>
      </c>
      <c r="AU80" s="578">
        <v>0</v>
      </c>
      <c r="AV80" s="578">
        <v>0</v>
      </c>
      <c r="AW80" s="578">
        <v>0</v>
      </c>
      <c r="AX80" s="578">
        <v>0</v>
      </c>
      <c r="AY80" s="578">
        <v>0</v>
      </c>
      <c r="AZ80" s="578">
        <v>0</v>
      </c>
      <c r="BA80" s="578">
        <v>0</v>
      </c>
      <c r="BB80" s="578">
        <v>0</v>
      </c>
      <c r="BC80" s="578">
        <v>0</v>
      </c>
      <c r="BD80" s="578">
        <v>0</v>
      </c>
      <c r="BE80" s="578">
        <v>0</v>
      </c>
      <c r="BF80" s="578">
        <v>0</v>
      </c>
      <c r="BG80" s="578">
        <v>0</v>
      </c>
      <c r="BH80" s="578">
        <v>0</v>
      </c>
      <c r="BI80" s="578">
        <v>0</v>
      </c>
      <c r="BJ80" s="578">
        <v>0</v>
      </c>
      <c r="BK80" s="578">
        <v>0</v>
      </c>
      <c r="BL80" s="578">
        <v>0</v>
      </c>
      <c r="BM80" s="578">
        <v>0</v>
      </c>
      <c r="BN80" s="578">
        <v>0</v>
      </c>
      <c r="BO80" s="578">
        <v>0</v>
      </c>
      <c r="BP80" s="578">
        <v>0</v>
      </c>
      <c r="BQ80" s="578">
        <v>0</v>
      </c>
      <c r="BR80" s="578">
        <v>0</v>
      </c>
      <c r="BS80" s="578">
        <v>8.0823816219387605E-3</v>
      </c>
      <c r="BT80" s="578">
        <v>0</v>
      </c>
      <c r="BU80" s="578">
        <v>0</v>
      </c>
      <c r="BV80" s="578">
        <v>2.3918609351839377E-3</v>
      </c>
      <c r="BW80" s="578">
        <v>0</v>
      </c>
      <c r="BX80" s="578">
        <v>0</v>
      </c>
      <c r="BY80" s="578">
        <v>1.2812363931193602E-3</v>
      </c>
      <c r="BZ80" s="578">
        <v>0.52834145506923247</v>
      </c>
      <c r="CA80" s="578">
        <v>0.43919285492525328</v>
      </c>
      <c r="CB80" s="578">
        <v>4.1890047158103745E-2</v>
      </c>
      <c r="CC80" s="578">
        <v>0.18135093845482322</v>
      </c>
      <c r="CD80" s="578">
        <v>0</v>
      </c>
      <c r="CE80" s="578">
        <v>0</v>
      </c>
      <c r="CF80" s="578">
        <v>7.8951523764408656E-4</v>
      </c>
      <c r="CG80" s="578">
        <v>0</v>
      </c>
      <c r="CH80" s="578">
        <v>0.18136160068508211</v>
      </c>
      <c r="CI80" s="578">
        <v>1.4723804312681872E-2</v>
      </c>
      <c r="CJ80" s="578">
        <v>5.1855066174875245E-2</v>
      </c>
      <c r="CK80" s="578">
        <v>3.7129212179894497E-2</v>
      </c>
      <c r="CL80" s="578">
        <v>1.2650241285256122E-2</v>
      </c>
      <c r="CM80" s="578">
        <v>3.5121209962722888E-2</v>
      </c>
      <c r="CN80" s="578">
        <v>1.7416055576997297E-2</v>
      </c>
      <c r="CO80" s="578">
        <v>3.928937478647079E-3</v>
      </c>
      <c r="CP80" s="578">
        <v>5.6197859384640149E-2</v>
      </c>
      <c r="CQ80" s="578">
        <v>3.2362871886347712E-2</v>
      </c>
      <c r="CR80" s="578">
        <v>1.6011496922540936E-2</v>
      </c>
      <c r="CS80" s="578">
        <v>1.4577918408859759E-2</v>
      </c>
      <c r="CT80" s="578">
        <v>2.0471843924061706E-2</v>
      </c>
      <c r="CU80" s="578">
        <v>2.0629443915966657E-2</v>
      </c>
      <c r="CV80" s="578">
        <v>3.4582096857130463E-2</v>
      </c>
      <c r="CW80" s="578">
        <v>6.9829133182491999E-3</v>
      </c>
      <c r="CX80" s="578">
        <v>1.8039434045773191E-2</v>
      </c>
      <c r="CY80" s="578">
        <v>5.5865921787709492E-4</v>
      </c>
      <c r="CZ80" s="578">
        <v>3.5206258890469419E-3</v>
      </c>
      <c r="DA80" s="578">
        <v>6.7036473838641281E-3</v>
      </c>
      <c r="DB80" s="578">
        <v>5.4692153571235178E-3</v>
      </c>
      <c r="DC80" s="578">
        <v>0</v>
      </c>
      <c r="DD80" s="578">
        <v>8.6956521739130436E-3</v>
      </c>
      <c r="DE80" s="578">
        <v>0</v>
      </c>
      <c r="DF80" s="578">
        <v>9.9848230689352185E-4</v>
      </c>
      <c r="DG80" s="578">
        <v>1.1362965328247647E-2</v>
      </c>
      <c r="DH80" s="578">
        <v>5.1539968962743968E-3</v>
      </c>
      <c r="DI80" s="578">
        <v>2.3181878394489336E-4</v>
      </c>
      <c r="DJ80" s="578">
        <v>1.1181652151225633E-4</v>
      </c>
      <c r="DK80" s="578">
        <v>4.348697927362249E-3</v>
      </c>
      <c r="DL80" s="578">
        <v>2.272669882073685E-4</v>
      </c>
      <c r="DM80" s="578">
        <v>1.7390566677977603E-3</v>
      </c>
      <c r="DN80" s="578">
        <v>1.9806882891804903E-4</v>
      </c>
      <c r="DO80" s="578">
        <v>0</v>
      </c>
      <c r="DP80" s="578">
        <v>2.6073619631901839E-2</v>
      </c>
      <c r="DQ80" s="578">
        <v>2.6002883956220598E-4</v>
      </c>
      <c r="DR80" s="578">
        <v>9.3834718845973008E-3</v>
      </c>
      <c r="DS80" s="578">
        <v>4.1464227569320701E-2</v>
      </c>
      <c r="DT80" s="578">
        <v>3.904103098644935E-2</v>
      </c>
      <c r="DU80" s="578">
        <v>1.3616384252771053E-3</v>
      </c>
      <c r="DV80" s="578">
        <v>2.4883122806572996E-2</v>
      </c>
      <c r="DW80" s="578">
        <v>5.4788516326977864E-3</v>
      </c>
      <c r="DX80" s="578">
        <v>7.0484257494315289E-4</v>
      </c>
      <c r="DY80" s="578">
        <v>0</v>
      </c>
      <c r="DZ80" s="578">
        <v>1.6671073439286744E-2</v>
      </c>
      <c r="EA80" s="578">
        <v>1.4464010257026665E-2</v>
      </c>
      <c r="EB80" s="578">
        <v>3.688129050048256E-3</v>
      </c>
      <c r="EC80" s="578">
        <v>1.3829295965894668E-2</v>
      </c>
      <c r="ED80" s="578">
        <v>1.908621360277157E-2</v>
      </c>
      <c r="EE80" s="578">
        <v>0</v>
      </c>
      <c r="EF80" s="578">
        <v>0</v>
      </c>
      <c r="EG80" s="578">
        <v>0</v>
      </c>
      <c r="EH80" s="578">
        <v>5.3248136315228966E-6</v>
      </c>
      <c r="EI80" s="578">
        <v>0</v>
      </c>
      <c r="EJ80" s="578">
        <v>0</v>
      </c>
      <c r="EK80" s="578">
        <v>0</v>
      </c>
      <c r="EL80" s="578">
        <v>0</v>
      </c>
      <c r="EM80" s="578">
        <v>0</v>
      </c>
      <c r="EN80" s="578">
        <v>0</v>
      </c>
      <c r="EO80" s="578">
        <v>0</v>
      </c>
      <c r="EP80" s="578">
        <v>0</v>
      </c>
      <c r="EQ80" s="578">
        <v>0</v>
      </c>
      <c r="ER80" s="578">
        <v>0</v>
      </c>
      <c r="ES80" s="578">
        <v>0</v>
      </c>
      <c r="ET80" s="578">
        <v>0</v>
      </c>
      <c r="EU80" s="578">
        <v>0</v>
      </c>
      <c r="EV80" s="578">
        <v>0</v>
      </c>
      <c r="EW80" s="578">
        <v>0</v>
      </c>
      <c r="EX80" s="578">
        <v>0</v>
      </c>
      <c r="EY80" s="578">
        <v>0</v>
      </c>
      <c r="EZ80" s="578">
        <v>0</v>
      </c>
      <c r="FA80" s="578">
        <v>0</v>
      </c>
      <c r="FB80" s="578">
        <v>0</v>
      </c>
      <c r="FC80" s="578">
        <v>0</v>
      </c>
      <c r="FD80" s="578">
        <v>0</v>
      </c>
      <c r="FE80" s="578">
        <v>0</v>
      </c>
      <c r="FF80" s="578">
        <v>0</v>
      </c>
      <c r="FG80" s="578">
        <v>0</v>
      </c>
      <c r="FH80" s="578">
        <v>0</v>
      </c>
      <c r="FI80" s="578">
        <v>2.9361504718393808E-6</v>
      </c>
      <c r="FJ80" s="578">
        <v>0</v>
      </c>
      <c r="FK80" s="578">
        <v>0</v>
      </c>
      <c r="FL80" s="578">
        <v>0</v>
      </c>
      <c r="FM80" s="578">
        <v>0</v>
      </c>
      <c r="FN80" s="578">
        <v>0</v>
      </c>
      <c r="FO80" s="578">
        <v>0</v>
      </c>
      <c r="FP80" s="578">
        <v>0</v>
      </c>
      <c r="FQ80" s="578">
        <v>0</v>
      </c>
      <c r="FR80" s="578">
        <v>0</v>
      </c>
      <c r="FS80" s="578">
        <v>0</v>
      </c>
      <c r="FT80" s="578">
        <v>0</v>
      </c>
      <c r="FU80" s="578">
        <v>0</v>
      </c>
      <c r="FV80" s="578">
        <v>0</v>
      </c>
      <c r="FW80" s="578">
        <v>1.6166449766798963E-5</v>
      </c>
      <c r="FX80" s="578">
        <v>0</v>
      </c>
      <c r="FY80" s="578">
        <v>0</v>
      </c>
      <c r="FZ80" s="578">
        <v>0</v>
      </c>
      <c r="GA80" s="578">
        <v>0</v>
      </c>
      <c r="GB80" s="578">
        <v>0</v>
      </c>
      <c r="GC80" s="578">
        <v>0</v>
      </c>
      <c r="GD80" s="578">
        <v>2.3510366392267105E-5</v>
      </c>
      <c r="GE80" s="578">
        <v>0</v>
      </c>
      <c r="GF80" s="578">
        <v>1.5814891471634029E-3</v>
      </c>
      <c r="GG80" s="579">
        <v>1.440363368554679E-2</v>
      </c>
      <c r="GH80" s="572"/>
    </row>
    <row r="81" spans="1:190">
      <c r="A81" s="572" t="s">
        <v>9312</v>
      </c>
      <c r="B81" s="577" t="s">
        <v>396</v>
      </c>
      <c r="C81" s="573" t="s">
        <v>6597</v>
      </c>
      <c r="D81" s="578">
        <v>0</v>
      </c>
      <c r="E81" s="578">
        <v>0</v>
      </c>
      <c r="F81" s="578">
        <v>0</v>
      </c>
      <c r="G81" s="578">
        <v>0</v>
      </c>
      <c r="H81" s="578">
        <v>0</v>
      </c>
      <c r="I81" s="578">
        <v>0</v>
      </c>
      <c r="J81" s="578">
        <v>0</v>
      </c>
      <c r="K81" s="578">
        <v>0</v>
      </c>
      <c r="L81" s="578">
        <v>0</v>
      </c>
      <c r="M81" s="578">
        <v>0</v>
      </c>
      <c r="N81" s="578">
        <v>0</v>
      </c>
      <c r="O81" s="578">
        <v>0</v>
      </c>
      <c r="P81" s="578">
        <v>0</v>
      </c>
      <c r="Q81" s="578">
        <v>0</v>
      </c>
      <c r="R81" s="578">
        <v>0</v>
      </c>
      <c r="S81" s="578">
        <v>0</v>
      </c>
      <c r="T81" s="578">
        <v>0</v>
      </c>
      <c r="U81" s="578">
        <v>0</v>
      </c>
      <c r="V81" s="578">
        <v>0</v>
      </c>
      <c r="W81" s="578">
        <v>0</v>
      </c>
      <c r="X81" s="578">
        <v>0</v>
      </c>
      <c r="Y81" s="578">
        <v>0</v>
      </c>
      <c r="Z81" s="578">
        <v>0</v>
      </c>
      <c r="AA81" s="578">
        <v>0</v>
      </c>
      <c r="AB81" s="578">
        <v>0</v>
      </c>
      <c r="AC81" s="578">
        <v>0</v>
      </c>
      <c r="AD81" s="578">
        <v>0</v>
      </c>
      <c r="AE81" s="578">
        <v>0</v>
      </c>
      <c r="AF81" s="578">
        <v>0</v>
      </c>
      <c r="AG81" s="578">
        <v>0</v>
      </c>
      <c r="AH81" s="578">
        <v>0</v>
      </c>
      <c r="AI81" s="578">
        <v>0</v>
      </c>
      <c r="AJ81" s="578">
        <v>0</v>
      </c>
      <c r="AK81" s="578">
        <v>0</v>
      </c>
      <c r="AL81" s="578">
        <v>3.566333808844508E-4</v>
      </c>
      <c r="AM81" s="578">
        <v>0</v>
      </c>
      <c r="AN81" s="578">
        <v>0</v>
      </c>
      <c r="AO81" s="578">
        <v>1.0039835476244453E-3</v>
      </c>
      <c r="AP81" s="578">
        <v>0</v>
      </c>
      <c r="AQ81" s="578">
        <v>0</v>
      </c>
      <c r="AR81" s="578">
        <v>0</v>
      </c>
      <c r="AS81" s="578">
        <v>0</v>
      </c>
      <c r="AT81" s="578">
        <v>0</v>
      </c>
      <c r="AU81" s="578">
        <v>0</v>
      </c>
      <c r="AV81" s="578">
        <v>0</v>
      </c>
      <c r="AW81" s="578">
        <v>0</v>
      </c>
      <c r="AX81" s="578">
        <v>0</v>
      </c>
      <c r="AY81" s="578">
        <v>0</v>
      </c>
      <c r="AZ81" s="578">
        <v>0</v>
      </c>
      <c r="BA81" s="578">
        <v>0</v>
      </c>
      <c r="BB81" s="578">
        <v>0</v>
      </c>
      <c r="BC81" s="578">
        <v>0</v>
      </c>
      <c r="BD81" s="578">
        <v>0</v>
      </c>
      <c r="BE81" s="578">
        <v>0</v>
      </c>
      <c r="BF81" s="578">
        <v>0</v>
      </c>
      <c r="BG81" s="578">
        <v>0</v>
      </c>
      <c r="BH81" s="578">
        <v>0</v>
      </c>
      <c r="BI81" s="578">
        <v>0</v>
      </c>
      <c r="BJ81" s="578">
        <v>0</v>
      </c>
      <c r="BK81" s="578">
        <v>0</v>
      </c>
      <c r="BL81" s="578">
        <v>0</v>
      </c>
      <c r="BM81" s="578">
        <v>0</v>
      </c>
      <c r="BN81" s="578">
        <v>0</v>
      </c>
      <c r="BO81" s="578">
        <v>0</v>
      </c>
      <c r="BP81" s="578">
        <v>0</v>
      </c>
      <c r="BQ81" s="578">
        <v>0</v>
      </c>
      <c r="BR81" s="578">
        <v>0</v>
      </c>
      <c r="BS81" s="578">
        <v>1.3150308020676331E-4</v>
      </c>
      <c r="BT81" s="578">
        <v>0</v>
      </c>
      <c r="BU81" s="578">
        <v>0</v>
      </c>
      <c r="BV81" s="578">
        <v>0</v>
      </c>
      <c r="BW81" s="578">
        <v>0</v>
      </c>
      <c r="BX81" s="578">
        <v>0</v>
      </c>
      <c r="BY81" s="578">
        <v>0</v>
      </c>
      <c r="BZ81" s="578">
        <v>9.5623092587789255E-2</v>
      </c>
      <c r="CA81" s="578">
        <v>0</v>
      </c>
      <c r="CB81" s="578">
        <v>4.0953090096798215E-4</v>
      </c>
      <c r="CC81" s="578">
        <v>2.6189436927106066E-3</v>
      </c>
      <c r="CD81" s="578">
        <v>0</v>
      </c>
      <c r="CE81" s="578">
        <v>0</v>
      </c>
      <c r="CF81" s="578">
        <v>0</v>
      </c>
      <c r="CG81" s="578">
        <v>0</v>
      </c>
      <c r="CH81" s="578">
        <v>1.8897619571129343E-2</v>
      </c>
      <c r="CI81" s="578">
        <v>1.840475539085234E-3</v>
      </c>
      <c r="CJ81" s="578">
        <v>7.663267520069429E-3</v>
      </c>
      <c r="CK81" s="578">
        <v>7.9099720616861834E-3</v>
      </c>
      <c r="CL81" s="578">
        <v>2.1798099691274764E-2</v>
      </c>
      <c r="CM81" s="578">
        <v>3.129377685970036E-3</v>
      </c>
      <c r="CN81" s="578">
        <v>6.356136626785025E-3</v>
      </c>
      <c r="CO81" s="578">
        <v>4.9538776904680558E-3</v>
      </c>
      <c r="CP81" s="578">
        <v>6.8671369940180799E-3</v>
      </c>
      <c r="CQ81" s="578">
        <v>7.0077084793272598E-3</v>
      </c>
      <c r="CR81" s="578">
        <v>7.6297758680757173E-3</v>
      </c>
      <c r="CS81" s="578">
        <v>4.9158096960108489E-3</v>
      </c>
      <c r="CT81" s="578">
        <v>8.194570003791082E-3</v>
      </c>
      <c r="CU81" s="578">
        <v>1.1124905277074633E-2</v>
      </c>
      <c r="CV81" s="578">
        <v>2.4409434184359375E-3</v>
      </c>
      <c r="CW81" s="578">
        <v>6.6318171178903016E-3</v>
      </c>
      <c r="CX81" s="578">
        <v>5.5681672163447127E-3</v>
      </c>
      <c r="CY81" s="578">
        <v>3.7549226119608023E-4</v>
      </c>
      <c r="CZ81" s="578">
        <v>5.2098150782361307E-3</v>
      </c>
      <c r="DA81" s="578">
        <v>8.5669615129254034E-5</v>
      </c>
      <c r="DB81" s="578">
        <v>1.083012942004657E-4</v>
      </c>
      <c r="DC81" s="578">
        <v>0</v>
      </c>
      <c r="DD81" s="578">
        <v>1.9323671497584541E-3</v>
      </c>
      <c r="DE81" s="578">
        <v>0</v>
      </c>
      <c r="DF81" s="578">
        <v>4.992411534467609E-5</v>
      </c>
      <c r="DG81" s="578">
        <v>5.0521508821580342E-4</v>
      </c>
      <c r="DH81" s="578">
        <v>5.6637328530487875E-5</v>
      </c>
      <c r="DI81" s="578">
        <v>1.9870181480990858E-4</v>
      </c>
      <c r="DJ81" s="578">
        <v>0</v>
      </c>
      <c r="DK81" s="578">
        <v>1.1838122135597233E-4</v>
      </c>
      <c r="DL81" s="578">
        <v>1.212090603772632E-4</v>
      </c>
      <c r="DM81" s="578">
        <v>0</v>
      </c>
      <c r="DN81" s="578">
        <v>0</v>
      </c>
      <c r="DO81" s="578">
        <v>0</v>
      </c>
      <c r="DP81" s="578">
        <v>1.3146362839614373E-4</v>
      </c>
      <c r="DQ81" s="578">
        <v>2.0487120692779865E-4</v>
      </c>
      <c r="DR81" s="578">
        <v>4.3816211998439422E-3</v>
      </c>
      <c r="DS81" s="578">
        <v>6.1372697322035199E-3</v>
      </c>
      <c r="DT81" s="578">
        <v>2.0774260326994146E-3</v>
      </c>
      <c r="DU81" s="578">
        <v>0</v>
      </c>
      <c r="DV81" s="578">
        <v>1.5963714224176159E-3</v>
      </c>
      <c r="DW81" s="578">
        <v>3.5401810549739545E-3</v>
      </c>
      <c r="DX81" s="578">
        <v>2.451626347628358E-5</v>
      </c>
      <c r="DY81" s="578">
        <v>0</v>
      </c>
      <c r="DZ81" s="578">
        <v>4.0317759181384442E-3</v>
      </c>
      <c r="EA81" s="578">
        <v>4.480771413880375E-3</v>
      </c>
      <c r="EB81" s="578">
        <v>2.0834290791549859E-3</v>
      </c>
      <c r="EC81" s="578">
        <v>4.3579714178239503E-3</v>
      </c>
      <c r="ED81" s="578">
        <v>1.0198912719016563E-2</v>
      </c>
      <c r="EE81" s="578">
        <v>0</v>
      </c>
      <c r="EF81" s="578">
        <v>0</v>
      </c>
      <c r="EG81" s="578">
        <v>0</v>
      </c>
      <c r="EH81" s="578">
        <v>0</v>
      </c>
      <c r="EI81" s="578">
        <v>0</v>
      </c>
      <c r="EJ81" s="578">
        <v>0</v>
      </c>
      <c r="EK81" s="578">
        <v>0</v>
      </c>
      <c r="EL81" s="578">
        <v>0</v>
      </c>
      <c r="EM81" s="578">
        <v>0</v>
      </c>
      <c r="EN81" s="578">
        <v>0</v>
      </c>
      <c r="EO81" s="578">
        <v>0</v>
      </c>
      <c r="EP81" s="578">
        <v>0</v>
      </c>
      <c r="EQ81" s="578">
        <v>0</v>
      </c>
      <c r="ER81" s="578">
        <v>0</v>
      </c>
      <c r="ES81" s="578">
        <v>0</v>
      </c>
      <c r="ET81" s="578">
        <v>0</v>
      </c>
      <c r="EU81" s="578">
        <v>0</v>
      </c>
      <c r="EV81" s="578">
        <v>0</v>
      </c>
      <c r="EW81" s="578">
        <v>0</v>
      </c>
      <c r="EX81" s="578">
        <v>0</v>
      </c>
      <c r="EY81" s="578">
        <v>0</v>
      </c>
      <c r="EZ81" s="578">
        <v>0</v>
      </c>
      <c r="FA81" s="578">
        <v>0</v>
      </c>
      <c r="FB81" s="578">
        <v>0</v>
      </c>
      <c r="FC81" s="578">
        <v>0</v>
      </c>
      <c r="FD81" s="578">
        <v>0</v>
      </c>
      <c r="FE81" s="578">
        <v>0</v>
      </c>
      <c r="FF81" s="578">
        <v>0</v>
      </c>
      <c r="FG81" s="578">
        <v>0</v>
      </c>
      <c r="FH81" s="578">
        <v>0</v>
      </c>
      <c r="FI81" s="578">
        <v>2.9361504718393808E-6</v>
      </c>
      <c r="FJ81" s="578">
        <v>0</v>
      </c>
      <c r="FK81" s="578">
        <v>0</v>
      </c>
      <c r="FL81" s="578">
        <v>0</v>
      </c>
      <c r="FM81" s="578">
        <v>0</v>
      </c>
      <c r="FN81" s="578">
        <v>0</v>
      </c>
      <c r="FO81" s="578">
        <v>0</v>
      </c>
      <c r="FP81" s="578">
        <v>0</v>
      </c>
      <c r="FQ81" s="578">
        <v>0</v>
      </c>
      <c r="FR81" s="578">
        <v>0</v>
      </c>
      <c r="FS81" s="578">
        <v>0</v>
      </c>
      <c r="FT81" s="578">
        <v>0</v>
      </c>
      <c r="FU81" s="578">
        <v>0</v>
      </c>
      <c r="FV81" s="578">
        <v>0</v>
      </c>
      <c r="FW81" s="578">
        <v>0</v>
      </c>
      <c r="FX81" s="578">
        <v>0</v>
      </c>
      <c r="FY81" s="578">
        <v>0</v>
      </c>
      <c r="FZ81" s="578">
        <v>0</v>
      </c>
      <c r="GA81" s="578">
        <v>0</v>
      </c>
      <c r="GB81" s="578">
        <v>0</v>
      </c>
      <c r="GC81" s="578">
        <v>0</v>
      </c>
      <c r="GD81" s="578">
        <v>0</v>
      </c>
      <c r="GE81" s="578">
        <v>0</v>
      </c>
      <c r="GF81" s="578">
        <v>1.0826301544340073E-3</v>
      </c>
      <c r="GG81" s="579">
        <v>1.5311392830312158E-3</v>
      </c>
      <c r="GH81" s="572"/>
    </row>
    <row r="82" spans="1:190">
      <c r="A82" s="572" t="s">
        <v>9313</v>
      </c>
      <c r="B82" s="577" t="s">
        <v>399</v>
      </c>
      <c r="C82" s="573" t="s">
        <v>9523</v>
      </c>
      <c r="D82" s="578">
        <v>0</v>
      </c>
      <c r="E82" s="578">
        <v>0</v>
      </c>
      <c r="F82" s="578">
        <v>1.178439275024158E-4</v>
      </c>
      <c r="G82" s="578">
        <v>0</v>
      </c>
      <c r="H82" s="578">
        <v>0</v>
      </c>
      <c r="I82" s="578">
        <v>0</v>
      </c>
      <c r="J82" s="578">
        <v>0</v>
      </c>
      <c r="K82" s="578">
        <v>0</v>
      </c>
      <c r="L82" s="578">
        <v>0</v>
      </c>
      <c r="M82" s="578">
        <v>0</v>
      </c>
      <c r="N82" s="578">
        <v>0</v>
      </c>
      <c r="O82" s="578">
        <v>8.7588683542086365E-5</v>
      </c>
      <c r="P82" s="578">
        <v>0</v>
      </c>
      <c r="Q82" s="578">
        <v>0</v>
      </c>
      <c r="R82" s="578">
        <v>0</v>
      </c>
      <c r="S82" s="578">
        <v>0</v>
      </c>
      <c r="T82" s="578">
        <v>0</v>
      </c>
      <c r="U82" s="578">
        <v>0</v>
      </c>
      <c r="V82" s="578">
        <v>0</v>
      </c>
      <c r="W82" s="578">
        <v>0</v>
      </c>
      <c r="X82" s="578">
        <v>0</v>
      </c>
      <c r="Y82" s="578">
        <v>0</v>
      </c>
      <c r="Z82" s="578">
        <v>0</v>
      </c>
      <c r="AA82" s="578">
        <v>0</v>
      </c>
      <c r="AB82" s="578">
        <v>0</v>
      </c>
      <c r="AC82" s="578">
        <v>0</v>
      </c>
      <c r="AD82" s="578">
        <v>0</v>
      </c>
      <c r="AE82" s="578">
        <v>0</v>
      </c>
      <c r="AF82" s="578">
        <v>0</v>
      </c>
      <c r="AG82" s="578">
        <v>0</v>
      </c>
      <c r="AH82" s="578">
        <v>0</v>
      </c>
      <c r="AI82" s="578">
        <v>2.0046775810223855E-4</v>
      </c>
      <c r="AJ82" s="578">
        <v>0</v>
      </c>
      <c r="AK82" s="578">
        <v>0</v>
      </c>
      <c r="AL82" s="578">
        <v>0</v>
      </c>
      <c r="AM82" s="578">
        <v>0</v>
      </c>
      <c r="AN82" s="578">
        <v>8.1953071083505863E-4</v>
      </c>
      <c r="AO82" s="578">
        <v>9.4244907212488252E-3</v>
      </c>
      <c r="AP82" s="578">
        <v>0</v>
      </c>
      <c r="AQ82" s="578">
        <v>0</v>
      </c>
      <c r="AR82" s="578">
        <v>0</v>
      </c>
      <c r="AS82" s="578">
        <v>0</v>
      </c>
      <c r="AT82" s="578">
        <v>0</v>
      </c>
      <c r="AU82" s="578">
        <v>0</v>
      </c>
      <c r="AV82" s="578">
        <v>0</v>
      </c>
      <c r="AW82" s="578">
        <v>0</v>
      </c>
      <c r="AX82" s="578">
        <v>0</v>
      </c>
      <c r="AY82" s="578">
        <v>0</v>
      </c>
      <c r="AZ82" s="578">
        <v>0</v>
      </c>
      <c r="BA82" s="578">
        <v>0</v>
      </c>
      <c r="BB82" s="578">
        <v>0</v>
      </c>
      <c r="BC82" s="578">
        <v>0</v>
      </c>
      <c r="BD82" s="578">
        <v>0</v>
      </c>
      <c r="BE82" s="578">
        <v>0</v>
      </c>
      <c r="BF82" s="578">
        <v>0</v>
      </c>
      <c r="BG82" s="578">
        <v>0</v>
      </c>
      <c r="BH82" s="578">
        <v>0</v>
      </c>
      <c r="BI82" s="578">
        <v>0</v>
      </c>
      <c r="BJ82" s="578">
        <v>0</v>
      </c>
      <c r="BK82" s="578">
        <v>0</v>
      </c>
      <c r="BL82" s="578">
        <v>0</v>
      </c>
      <c r="BM82" s="578">
        <v>1.43355386246585E-3</v>
      </c>
      <c r="BN82" s="578">
        <v>6.91358024691358E-4</v>
      </c>
      <c r="BO82" s="578">
        <v>5.9300180604784578E-3</v>
      </c>
      <c r="BP82" s="578">
        <v>0</v>
      </c>
      <c r="BQ82" s="578">
        <v>0</v>
      </c>
      <c r="BR82" s="578">
        <v>0</v>
      </c>
      <c r="BS82" s="578">
        <v>4.3497172683775558E-3</v>
      </c>
      <c r="BT82" s="578">
        <v>0</v>
      </c>
      <c r="BU82" s="578">
        <v>0</v>
      </c>
      <c r="BV82" s="578">
        <v>1.0106454655706778E-3</v>
      </c>
      <c r="BW82" s="578">
        <v>0</v>
      </c>
      <c r="BX82" s="578">
        <v>0</v>
      </c>
      <c r="BY82" s="578">
        <v>0</v>
      </c>
      <c r="BZ82" s="578">
        <v>3.3106881308602051E-2</v>
      </c>
      <c r="CA82" s="578">
        <v>0.18428265444042688</v>
      </c>
      <c r="CB82" s="578">
        <v>2.6743608835939439E-3</v>
      </c>
      <c r="CC82" s="578">
        <v>0.42964316892186816</v>
      </c>
      <c r="CD82" s="578">
        <v>2.5211655917826265E-4</v>
      </c>
      <c r="CE82" s="578">
        <v>0</v>
      </c>
      <c r="CF82" s="578">
        <v>1.7369335228169904E-3</v>
      </c>
      <c r="CG82" s="578">
        <v>0</v>
      </c>
      <c r="CH82" s="578">
        <v>5.5084304444933058E-3</v>
      </c>
      <c r="CI82" s="578">
        <v>9.2695301813117123E-2</v>
      </c>
      <c r="CJ82" s="578">
        <v>4.9954436971143414E-2</v>
      </c>
      <c r="CK82" s="578">
        <v>6.3794164220803459E-2</v>
      </c>
      <c r="CL82" s="578">
        <v>2.1489374456733507E-2</v>
      </c>
      <c r="CM82" s="578">
        <v>1.5138780065056865E-2</v>
      </c>
      <c r="CN82" s="578">
        <v>1.5269201080663836E-2</v>
      </c>
      <c r="CO82" s="578">
        <v>3.4164673727365906E-3</v>
      </c>
      <c r="CP82" s="578">
        <v>6.2948755778499069E-3</v>
      </c>
      <c r="CQ82" s="578">
        <v>1.7200738994712365E-2</v>
      </c>
      <c r="CR82" s="578">
        <v>1.7079897805132971E-2</v>
      </c>
      <c r="CS82" s="578">
        <v>2.1471352695219798E-2</v>
      </c>
      <c r="CT82" s="578">
        <v>4.1118660873115394E-2</v>
      </c>
      <c r="CU82" s="578">
        <v>1.6235912484078487E-2</v>
      </c>
      <c r="CV82" s="578">
        <v>2.5128087576589245E-2</v>
      </c>
      <c r="CW82" s="578">
        <v>1.8491066552235313E-2</v>
      </c>
      <c r="CX82" s="578">
        <v>1.4541482845761768E-2</v>
      </c>
      <c r="CY82" s="578">
        <v>3.7366059162927006E-3</v>
      </c>
      <c r="CZ82" s="578">
        <v>8.8549075391180648E-3</v>
      </c>
      <c r="DA82" s="578">
        <v>1.0130431989034289E-2</v>
      </c>
      <c r="DB82" s="578">
        <v>4.3320517680186279E-4</v>
      </c>
      <c r="DC82" s="578">
        <v>7.2516316171138508E-4</v>
      </c>
      <c r="DD82" s="578">
        <v>4.8309178743961351E-4</v>
      </c>
      <c r="DE82" s="578">
        <v>8.1778036236756504E-4</v>
      </c>
      <c r="DF82" s="578">
        <v>4.0438533429187637E-3</v>
      </c>
      <c r="DG82" s="578">
        <v>2.4745697470206527E-2</v>
      </c>
      <c r="DH82" s="578">
        <v>2.4761840033529298E-2</v>
      </c>
      <c r="DI82" s="578">
        <v>2.384421777718903E-3</v>
      </c>
      <c r="DJ82" s="578">
        <v>4.7708382511896033E-3</v>
      </c>
      <c r="DK82" s="578">
        <v>1.0364396726880026E-2</v>
      </c>
      <c r="DL82" s="578">
        <v>1.861064114542562E-3</v>
      </c>
      <c r="DM82" s="578">
        <v>8.4125098970704668E-3</v>
      </c>
      <c r="DN82" s="578">
        <v>3.9448708426178094E-3</v>
      </c>
      <c r="DO82" s="578">
        <v>0</v>
      </c>
      <c r="DP82" s="578">
        <v>3.0872042068361086E-2</v>
      </c>
      <c r="DQ82" s="578">
        <v>1.1110323144930619E-3</v>
      </c>
      <c r="DR82" s="578">
        <v>5.1585753395422974E-3</v>
      </c>
      <c r="DS82" s="578">
        <v>4.6085607701872909E-3</v>
      </c>
      <c r="DT82" s="578">
        <v>8.5356697694421568E-3</v>
      </c>
      <c r="DU82" s="578">
        <v>3.9813989043190215E-5</v>
      </c>
      <c r="DV82" s="578">
        <v>7.9311786542335515E-3</v>
      </c>
      <c r="DW82" s="578">
        <v>4.8551054468214229E-3</v>
      </c>
      <c r="DX82" s="578">
        <v>2.5742076650097758E-3</v>
      </c>
      <c r="DY82" s="578">
        <v>0</v>
      </c>
      <c r="DZ82" s="578">
        <v>1.128358339662806E-3</v>
      </c>
      <c r="EA82" s="578">
        <v>2.2926947621941312E-3</v>
      </c>
      <c r="EB82" s="578">
        <v>8.3720146452808796E-3</v>
      </c>
      <c r="EC82" s="578">
        <v>2.2569704605993508E-3</v>
      </c>
      <c r="ED82" s="578">
        <v>4.1564526779495434E-3</v>
      </c>
      <c r="EE82" s="578">
        <v>0</v>
      </c>
      <c r="EF82" s="578">
        <v>0</v>
      </c>
      <c r="EG82" s="578">
        <v>0</v>
      </c>
      <c r="EH82" s="578">
        <v>0</v>
      </c>
      <c r="EI82" s="578">
        <v>0</v>
      </c>
      <c r="EJ82" s="578">
        <v>0</v>
      </c>
      <c r="EK82" s="578">
        <v>0</v>
      </c>
      <c r="EL82" s="578">
        <v>0</v>
      </c>
      <c r="EM82" s="578">
        <v>0</v>
      </c>
      <c r="EN82" s="578">
        <v>0</v>
      </c>
      <c r="EO82" s="578">
        <v>0</v>
      </c>
      <c r="EP82" s="578">
        <v>0</v>
      </c>
      <c r="EQ82" s="578">
        <v>0</v>
      </c>
      <c r="ER82" s="578">
        <v>0</v>
      </c>
      <c r="ES82" s="578">
        <v>0</v>
      </c>
      <c r="ET82" s="578">
        <v>0</v>
      </c>
      <c r="EU82" s="578">
        <v>0</v>
      </c>
      <c r="EV82" s="578">
        <v>0</v>
      </c>
      <c r="EW82" s="578">
        <v>0</v>
      </c>
      <c r="EX82" s="578">
        <v>0</v>
      </c>
      <c r="EY82" s="578">
        <v>0</v>
      </c>
      <c r="EZ82" s="578">
        <v>0</v>
      </c>
      <c r="FA82" s="578">
        <v>1.2863632392766665E-2</v>
      </c>
      <c r="FB82" s="578">
        <v>0</v>
      </c>
      <c r="FC82" s="578">
        <v>0</v>
      </c>
      <c r="FD82" s="578">
        <v>0</v>
      </c>
      <c r="FE82" s="578">
        <v>0</v>
      </c>
      <c r="FF82" s="578">
        <v>0</v>
      </c>
      <c r="FG82" s="578">
        <v>0</v>
      </c>
      <c r="FH82" s="578">
        <v>0</v>
      </c>
      <c r="FI82" s="578">
        <v>0</v>
      </c>
      <c r="FJ82" s="578">
        <v>0</v>
      </c>
      <c r="FK82" s="578">
        <v>0</v>
      </c>
      <c r="FL82" s="578">
        <v>0</v>
      </c>
      <c r="FM82" s="578">
        <v>0</v>
      </c>
      <c r="FN82" s="578">
        <v>0</v>
      </c>
      <c r="FO82" s="578">
        <v>0</v>
      </c>
      <c r="FP82" s="578">
        <v>0</v>
      </c>
      <c r="FQ82" s="578">
        <v>0</v>
      </c>
      <c r="FR82" s="578">
        <v>0</v>
      </c>
      <c r="FS82" s="578">
        <v>0</v>
      </c>
      <c r="FT82" s="578">
        <v>0</v>
      </c>
      <c r="FU82" s="578">
        <v>0</v>
      </c>
      <c r="FV82" s="578">
        <v>0</v>
      </c>
      <c r="FW82" s="578">
        <v>4.6882704323716992E-4</v>
      </c>
      <c r="FX82" s="578">
        <v>0</v>
      </c>
      <c r="FY82" s="578">
        <v>0</v>
      </c>
      <c r="FZ82" s="578">
        <v>0</v>
      </c>
      <c r="GA82" s="578">
        <v>0</v>
      </c>
      <c r="GB82" s="578">
        <v>0</v>
      </c>
      <c r="GC82" s="578">
        <v>0</v>
      </c>
      <c r="GD82" s="578">
        <v>4.3662109014210334E-5</v>
      </c>
      <c r="GE82" s="578">
        <v>0</v>
      </c>
      <c r="GF82" s="578">
        <v>7.5890251021599531E-4</v>
      </c>
      <c r="GG82" s="579">
        <v>8.2864176849192523E-3</v>
      </c>
      <c r="GH82" s="572"/>
    </row>
    <row r="83" spans="1:190">
      <c r="A83" s="572" t="s">
        <v>9314</v>
      </c>
      <c r="B83" s="577" t="s">
        <v>404</v>
      </c>
      <c r="C83" s="573" t="s">
        <v>9077</v>
      </c>
      <c r="D83" s="578">
        <v>0</v>
      </c>
      <c r="E83" s="578">
        <v>0</v>
      </c>
      <c r="F83" s="578">
        <v>0</v>
      </c>
      <c r="G83" s="578">
        <v>0</v>
      </c>
      <c r="H83" s="578">
        <v>0</v>
      </c>
      <c r="I83" s="578">
        <v>0</v>
      </c>
      <c r="J83" s="578">
        <v>0</v>
      </c>
      <c r="K83" s="578">
        <v>0</v>
      </c>
      <c r="L83" s="578">
        <v>0</v>
      </c>
      <c r="M83" s="578">
        <v>0</v>
      </c>
      <c r="N83" s="578">
        <v>0</v>
      </c>
      <c r="O83" s="578">
        <v>2.1897170885521591E-4</v>
      </c>
      <c r="P83" s="578">
        <v>0</v>
      </c>
      <c r="Q83" s="578">
        <v>0</v>
      </c>
      <c r="R83" s="578">
        <v>5.6525917133005484E-5</v>
      </c>
      <c r="S83" s="578">
        <v>1.8674136321195146E-3</v>
      </c>
      <c r="T83" s="578">
        <v>0</v>
      </c>
      <c r="U83" s="578">
        <v>0</v>
      </c>
      <c r="V83" s="578">
        <v>0</v>
      </c>
      <c r="W83" s="578">
        <v>0</v>
      </c>
      <c r="X83" s="578">
        <v>0</v>
      </c>
      <c r="Y83" s="578">
        <v>0</v>
      </c>
      <c r="Z83" s="578">
        <v>0</v>
      </c>
      <c r="AA83" s="578">
        <v>0</v>
      </c>
      <c r="AB83" s="578">
        <v>0</v>
      </c>
      <c r="AC83" s="578">
        <v>0</v>
      </c>
      <c r="AD83" s="578">
        <v>0</v>
      </c>
      <c r="AE83" s="578">
        <v>0</v>
      </c>
      <c r="AF83" s="578">
        <v>0</v>
      </c>
      <c r="AG83" s="578">
        <v>0</v>
      </c>
      <c r="AH83" s="578">
        <v>0</v>
      </c>
      <c r="AI83" s="578">
        <v>0</v>
      </c>
      <c r="AJ83" s="578">
        <v>0</v>
      </c>
      <c r="AK83" s="578">
        <v>0</v>
      </c>
      <c r="AL83" s="578">
        <v>0</v>
      </c>
      <c r="AM83" s="578">
        <v>0</v>
      </c>
      <c r="AN83" s="578">
        <v>0</v>
      </c>
      <c r="AO83" s="578">
        <v>2.9147909447161318E-4</v>
      </c>
      <c r="AP83" s="578">
        <v>0</v>
      </c>
      <c r="AQ83" s="578">
        <v>0</v>
      </c>
      <c r="AR83" s="578">
        <v>0</v>
      </c>
      <c r="AS83" s="578">
        <v>0</v>
      </c>
      <c r="AT83" s="578">
        <v>0</v>
      </c>
      <c r="AU83" s="578">
        <v>0</v>
      </c>
      <c r="AV83" s="578">
        <v>0</v>
      </c>
      <c r="AW83" s="578">
        <v>0</v>
      </c>
      <c r="AX83" s="578">
        <v>0</v>
      </c>
      <c r="AY83" s="578">
        <v>0</v>
      </c>
      <c r="AZ83" s="578">
        <v>0</v>
      </c>
      <c r="BA83" s="578">
        <v>0</v>
      </c>
      <c r="BB83" s="578">
        <v>0</v>
      </c>
      <c r="BC83" s="578">
        <v>0</v>
      </c>
      <c r="BD83" s="578">
        <v>0</v>
      </c>
      <c r="BE83" s="578">
        <v>0</v>
      </c>
      <c r="BF83" s="578">
        <v>0</v>
      </c>
      <c r="BG83" s="578">
        <v>0</v>
      </c>
      <c r="BH83" s="578">
        <v>0</v>
      </c>
      <c r="BI83" s="578">
        <v>0</v>
      </c>
      <c r="BJ83" s="578">
        <v>0</v>
      </c>
      <c r="BK83" s="578">
        <v>0</v>
      </c>
      <c r="BL83" s="578">
        <v>0</v>
      </c>
      <c r="BM83" s="578">
        <v>0</v>
      </c>
      <c r="BN83" s="578">
        <v>0</v>
      </c>
      <c r="BO83" s="578">
        <v>0</v>
      </c>
      <c r="BP83" s="578">
        <v>0</v>
      </c>
      <c r="BQ83" s="578">
        <v>1.6691704223001168E-4</v>
      </c>
      <c r="BR83" s="578">
        <v>0</v>
      </c>
      <c r="BS83" s="578">
        <v>1.1127183709803049E-4</v>
      </c>
      <c r="BT83" s="578">
        <v>2.1853942815516299E-3</v>
      </c>
      <c r="BU83" s="578">
        <v>0</v>
      </c>
      <c r="BV83" s="578">
        <v>4.0425818622827114E-4</v>
      </c>
      <c r="BW83" s="578">
        <v>0</v>
      </c>
      <c r="BX83" s="578">
        <v>0</v>
      </c>
      <c r="BY83" s="578">
        <v>0</v>
      </c>
      <c r="BZ83" s="578">
        <v>0</v>
      </c>
      <c r="CA83" s="578">
        <v>0</v>
      </c>
      <c r="CB83" s="578">
        <v>3.4251675353685778E-3</v>
      </c>
      <c r="CC83" s="578">
        <v>0</v>
      </c>
      <c r="CD83" s="578">
        <v>0</v>
      </c>
      <c r="CE83" s="578">
        <v>0</v>
      </c>
      <c r="CF83" s="578">
        <v>0</v>
      </c>
      <c r="CG83" s="578">
        <v>0</v>
      </c>
      <c r="CH83" s="578">
        <v>2.6708944256072582E-2</v>
      </c>
      <c r="CI83" s="578">
        <v>2.2384161961847441E-4</v>
      </c>
      <c r="CJ83" s="578">
        <v>1.7357344326318072E-5</v>
      </c>
      <c r="CK83" s="578">
        <v>8.7672849405428296E-3</v>
      </c>
      <c r="CL83" s="578">
        <v>7.2761742049575875E-2</v>
      </c>
      <c r="CM83" s="578">
        <v>3.6194410807987271E-2</v>
      </c>
      <c r="CN83" s="578">
        <v>1.3882188344268622E-2</v>
      </c>
      <c r="CO83" s="578">
        <v>3.1089853091902972E-2</v>
      </c>
      <c r="CP83" s="578">
        <v>2.360578341693715E-2</v>
      </c>
      <c r="CQ83" s="578">
        <v>2.6119640695674334E-2</v>
      </c>
      <c r="CR83" s="578">
        <v>2.7743583788177911E-2</v>
      </c>
      <c r="CS83" s="578">
        <v>2.3392473725844729E-2</v>
      </c>
      <c r="CT83" s="578">
        <v>2.58960076988131E-2</v>
      </c>
      <c r="CU83" s="578">
        <v>2.2572271576673169E-2</v>
      </c>
      <c r="CV83" s="578">
        <v>1.8938995000402695E-2</v>
      </c>
      <c r="CW83" s="578">
        <v>7.2949988296793318E-3</v>
      </c>
      <c r="CX83" s="578">
        <v>3.3730243714395855E-2</v>
      </c>
      <c r="CY83" s="578">
        <v>3.8465060903013098E-3</v>
      </c>
      <c r="CZ83" s="578">
        <v>7.805832147937411E-3</v>
      </c>
      <c r="DA83" s="578">
        <v>7.2819172859865926E-4</v>
      </c>
      <c r="DB83" s="578">
        <v>2.8699842963123409E-3</v>
      </c>
      <c r="DC83" s="578">
        <v>1.4503263234227702E-3</v>
      </c>
      <c r="DD83" s="578">
        <v>1.932367149758454E-2</v>
      </c>
      <c r="DE83" s="578">
        <v>0</v>
      </c>
      <c r="DF83" s="578">
        <v>4.293473919642144E-4</v>
      </c>
      <c r="DG83" s="578">
        <v>9.1693257893712375E-3</v>
      </c>
      <c r="DH83" s="578">
        <v>1.1100916391975624E-3</v>
      </c>
      <c r="DI83" s="578">
        <v>3.9740362961981717E-4</v>
      </c>
      <c r="DJ83" s="578">
        <v>3.3420715874218835E-3</v>
      </c>
      <c r="DK83" s="578">
        <v>2.2395794325915583E-3</v>
      </c>
      <c r="DL83" s="578">
        <v>2.7019519709098257E-4</v>
      </c>
      <c r="DM83" s="578">
        <v>1.9794140934283451E-4</v>
      </c>
      <c r="DN83" s="578">
        <v>1.9559296855657343E-3</v>
      </c>
      <c r="DO83" s="578">
        <v>0</v>
      </c>
      <c r="DP83" s="578">
        <v>4.6012269938650307E-4</v>
      </c>
      <c r="DQ83" s="578">
        <v>0</v>
      </c>
      <c r="DR83" s="578">
        <v>1.9713960832174571E-2</v>
      </c>
      <c r="DS83" s="578">
        <v>4.5188252336328789E-2</v>
      </c>
      <c r="DT83" s="578">
        <v>1.0583938945542281E-2</v>
      </c>
      <c r="DU83" s="578">
        <v>3.5912218116957574E-3</v>
      </c>
      <c r="DV83" s="578">
        <v>3.3169050665788243E-2</v>
      </c>
      <c r="DW83" s="578">
        <v>1.0283383064448154E-2</v>
      </c>
      <c r="DX83" s="578">
        <v>7.2322977255036562E-4</v>
      </c>
      <c r="DY83" s="578">
        <v>0</v>
      </c>
      <c r="DZ83" s="578">
        <v>3.8903100964493765E-4</v>
      </c>
      <c r="EA83" s="578">
        <v>1.2910320020122291E-4</v>
      </c>
      <c r="EB83" s="578">
        <v>2.6042863489437323E-4</v>
      </c>
      <c r="EC83" s="578">
        <v>1.0703789447286895E-3</v>
      </c>
      <c r="ED83" s="578">
        <v>1.0031569140034917E-2</v>
      </c>
      <c r="EE83" s="578">
        <v>0</v>
      </c>
      <c r="EF83" s="578">
        <v>0</v>
      </c>
      <c r="EG83" s="578">
        <v>0</v>
      </c>
      <c r="EH83" s="578">
        <v>2.6624068157614482E-5</v>
      </c>
      <c r="EI83" s="578">
        <v>0</v>
      </c>
      <c r="EJ83" s="578">
        <v>0</v>
      </c>
      <c r="EK83" s="578">
        <v>0</v>
      </c>
      <c r="EL83" s="578">
        <v>0</v>
      </c>
      <c r="EM83" s="578">
        <v>0</v>
      </c>
      <c r="EN83" s="578">
        <v>0</v>
      </c>
      <c r="EO83" s="578">
        <v>0</v>
      </c>
      <c r="EP83" s="578">
        <v>0</v>
      </c>
      <c r="EQ83" s="578">
        <v>0</v>
      </c>
      <c r="ER83" s="578">
        <v>0</v>
      </c>
      <c r="ES83" s="578">
        <v>0</v>
      </c>
      <c r="ET83" s="578">
        <v>0</v>
      </c>
      <c r="EU83" s="578">
        <v>0</v>
      </c>
      <c r="EV83" s="578">
        <v>1.8860807242549982E-5</v>
      </c>
      <c r="EW83" s="578">
        <v>0</v>
      </c>
      <c r="EX83" s="578">
        <v>0</v>
      </c>
      <c r="EY83" s="578">
        <v>0</v>
      </c>
      <c r="EZ83" s="578">
        <v>0</v>
      </c>
      <c r="FA83" s="578">
        <v>0</v>
      </c>
      <c r="FB83" s="578">
        <v>0</v>
      </c>
      <c r="FC83" s="578">
        <v>0</v>
      </c>
      <c r="FD83" s="578">
        <v>0</v>
      </c>
      <c r="FE83" s="578">
        <v>0</v>
      </c>
      <c r="FF83" s="578">
        <v>0</v>
      </c>
      <c r="FG83" s="578">
        <v>0</v>
      </c>
      <c r="FH83" s="578">
        <v>0</v>
      </c>
      <c r="FI83" s="578">
        <v>5.8723009436787616E-6</v>
      </c>
      <c r="FJ83" s="578">
        <v>1.1390364890339261E-6</v>
      </c>
      <c r="FK83" s="578">
        <v>0</v>
      </c>
      <c r="FL83" s="578">
        <v>0</v>
      </c>
      <c r="FM83" s="578">
        <v>0</v>
      </c>
      <c r="FN83" s="578">
        <v>0</v>
      </c>
      <c r="FO83" s="578">
        <v>0</v>
      </c>
      <c r="FP83" s="578">
        <v>0</v>
      </c>
      <c r="FQ83" s="578">
        <v>5.5658523824631125E-6</v>
      </c>
      <c r="FR83" s="578">
        <v>7.0037656913533846E-6</v>
      </c>
      <c r="FS83" s="578">
        <v>5.6063239333968717E-6</v>
      </c>
      <c r="FT83" s="578">
        <v>0</v>
      </c>
      <c r="FU83" s="578">
        <v>0</v>
      </c>
      <c r="FV83" s="578">
        <v>0</v>
      </c>
      <c r="FW83" s="578">
        <v>0</v>
      </c>
      <c r="FX83" s="578">
        <v>0</v>
      </c>
      <c r="FY83" s="578">
        <v>0</v>
      </c>
      <c r="FZ83" s="578">
        <v>2.1655990263466776E-5</v>
      </c>
      <c r="GA83" s="578">
        <v>2.4504718792015381E-5</v>
      </c>
      <c r="GB83" s="578">
        <v>0</v>
      </c>
      <c r="GC83" s="578">
        <v>2.478855363747236E-6</v>
      </c>
      <c r="GD83" s="578">
        <v>2.3510366392267105E-5</v>
      </c>
      <c r="GE83" s="578">
        <v>1.8564586195373706E-5</v>
      </c>
      <c r="GF83" s="578">
        <v>8.3850766863026059E-4</v>
      </c>
      <c r="GG83" s="579">
        <v>3.2880568620430955E-3</v>
      </c>
      <c r="GH83" s="572"/>
    </row>
    <row r="84" spans="1:190">
      <c r="A84" s="572" t="s">
        <v>9315</v>
      </c>
      <c r="B84" s="577" t="s">
        <v>9426</v>
      </c>
      <c r="C84" s="573" t="s">
        <v>412</v>
      </c>
      <c r="D84" s="578">
        <v>0</v>
      </c>
      <c r="E84" s="578">
        <v>0</v>
      </c>
      <c r="F84" s="578">
        <v>0</v>
      </c>
      <c r="G84" s="578">
        <v>0</v>
      </c>
      <c r="H84" s="578">
        <v>0</v>
      </c>
      <c r="I84" s="578">
        <v>0</v>
      </c>
      <c r="J84" s="578">
        <v>0</v>
      </c>
      <c r="K84" s="578">
        <v>0</v>
      </c>
      <c r="L84" s="578">
        <v>0</v>
      </c>
      <c r="M84" s="578">
        <v>0</v>
      </c>
      <c r="N84" s="578">
        <v>0</v>
      </c>
      <c r="O84" s="578">
        <v>0</v>
      </c>
      <c r="P84" s="578">
        <v>0</v>
      </c>
      <c r="Q84" s="578">
        <v>0</v>
      </c>
      <c r="R84" s="578">
        <v>0</v>
      </c>
      <c r="S84" s="578">
        <v>0</v>
      </c>
      <c r="T84" s="578">
        <v>0</v>
      </c>
      <c r="U84" s="578">
        <v>0</v>
      </c>
      <c r="V84" s="578">
        <v>0</v>
      </c>
      <c r="W84" s="578">
        <v>0</v>
      </c>
      <c r="X84" s="578">
        <v>0</v>
      </c>
      <c r="Y84" s="578">
        <v>0</v>
      </c>
      <c r="Z84" s="578">
        <v>0</v>
      </c>
      <c r="AA84" s="578">
        <v>0</v>
      </c>
      <c r="AB84" s="578">
        <v>0</v>
      </c>
      <c r="AC84" s="578">
        <v>0</v>
      </c>
      <c r="AD84" s="578">
        <v>0</v>
      </c>
      <c r="AE84" s="578">
        <v>0</v>
      </c>
      <c r="AF84" s="578">
        <v>0</v>
      </c>
      <c r="AG84" s="578">
        <v>0</v>
      </c>
      <c r="AH84" s="578">
        <v>0</v>
      </c>
      <c r="AI84" s="578">
        <v>0</v>
      </c>
      <c r="AJ84" s="578">
        <v>0</v>
      </c>
      <c r="AK84" s="578">
        <v>0</v>
      </c>
      <c r="AL84" s="578">
        <v>0</v>
      </c>
      <c r="AM84" s="578">
        <v>0</v>
      </c>
      <c r="AN84" s="578">
        <v>8.6266390614216703E-5</v>
      </c>
      <c r="AO84" s="578">
        <v>1.5448392006995498E-2</v>
      </c>
      <c r="AP84" s="578">
        <v>0</v>
      </c>
      <c r="AQ84" s="578">
        <v>0</v>
      </c>
      <c r="AR84" s="578">
        <v>0</v>
      </c>
      <c r="AS84" s="578">
        <v>0</v>
      </c>
      <c r="AT84" s="578">
        <v>0</v>
      </c>
      <c r="AU84" s="578">
        <v>0</v>
      </c>
      <c r="AV84" s="578">
        <v>0</v>
      </c>
      <c r="AW84" s="578">
        <v>0</v>
      </c>
      <c r="AX84" s="578">
        <v>2.4138952588902666E-4</v>
      </c>
      <c r="AY84" s="578">
        <v>0</v>
      </c>
      <c r="AZ84" s="578">
        <v>0</v>
      </c>
      <c r="BA84" s="578">
        <v>0</v>
      </c>
      <c r="BB84" s="578">
        <v>0</v>
      </c>
      <c r="BC84" s="578">
        <v>0</v>
      </c>
      <c r="BD84" s="578">
        <v>0</v>
      </c>
      <c r="BE84" s="578">
        <v>0</v>
      </c>
      <c r="BF84" s="578">
        <v>0</v>
      </c>
      <c r="BG84" s="578">
        <v>0</v>
      </c>
      <c r="BH84" s="578">
        <v>2.7483097894794702E-5</v>
      </c>
      <c r="BI84" s="578">
        <v>0</v>
      </c>
      <c r="BJ84" s="578">
        <v>2.8865860346967641E-5</v>
      </c>
      <c r="BK84" s="578">
        <v>0</v>
      </c>
      <c r="BL84" s="578">
        <v>0</v>
      </c>
      <c r="BM84" s="578">
        <v>5.9540575757367573E-5</v>
      </c>
      <c r="BN84" s="578">
        <v>0</v>
      </c>
      <c r="BO84" s="578">
        <v>0</v>
      </c>
      <c r="BP84" s="578">
        <v>0</v>
      </c>
      <c r="BQ84" s="578">
        <v>0</v>
      </c>
      <c r="BR84" s="578">
        <v>6.4011607438148779E-5</v>
      </c>
      <c r="BS84" s="578">
        <v>3.1459583034079528E-3</v>
      </c>
      <c r="BT84" s="578">
        <v>1.0926971407758149E-3</v>
      </c>
      <c r="BU84" s="578">
        <v>6.9613644274277764E-4</v>
      </c>
      <c r="BV84" s="578">
        <v>3.1666891254547905E-3</v>
      </c>
      <c r="BW84" s="578">
        <v>3.831128368716809E-5</v>
      </c>
      <c r="BX84" s="578">
        <v>0</v>
      </c>
      <c r="BY84" s="578">
        <v>0</v>
      </c>
      <c r="BZ84" s="578">
        <v>0</v>
      </c>
      <c r="CA84" s="578">
        <v>0</v>
      </c>
      <c r="CB84" s="578">
        <v>3.9091586001489202E-4</v>
      </c>
      <c r="CC84" s="578">
        <v>0</v>
      </c>
      <c r="CD84" s="578">
        <v>0</v>
      </c>
      <c r="CE84" s="578">
        <v>0</v>
      </c>
      <c r="CF84" s="578">
        <v>7.8951523764408658E-5</v>
      </c>
      <c r="CG84" s="578">
        <v>7.9445019790321892E-4</v>
      </c>
      <c r="CH84" s="578">
        <v>9.6733130431763736E-2</v>
      </c>
      <c r="CI84" s="578">
        <v>0.10513094734747681</v>
      </c>
      <c r="CJ84" s="578">
        <v>3.3820785419830766E-2</v>
      </c>
      <c r="CK84" s="578">
        <v>7.5609952898221838E-2</v>
      </c>
      <c r="CL84" s="578">
        <v>2.5490813176273115E-2</v>
      </c>
      <c r="CM84" s="578">
        <v>2.7114941709998338E-2</v>
      </c>
      <c r="CN84" s="578">
        <v>4.6591566962562718E-2</v>
      </c>
      <c r="CO84" s="578">
        <v>1.0591048855483429E-2</v>
      </c>
      <c r="CP84" s="578">
        <v>1.5549415667444584E-2</v>
      </c>
      <c r="CQ84" s="578">
        <v>2.083200611581831E-2</v>
      </c>
      <c r="CR84" s="578">
        <v>2.5296132853327141E-2</v>
      </c>
      <c r="CS84" s="578">
        <v>2.0962820657701435E-2</v>
      </c>
      <c r="CT84" s="578">
        <v>1.9334519261613836E-2</v>
      </c>
      <c r="CU84" s="578">
        <v>1.3841639391838512E-2</v>
      </c>
      <c r="CV84" s="578">
        <v>1.9434618029526743E-2</v>
      </c>
      <c r="CW84" s="578">
        <v>7.1389560739642663E-3</v>
      </c>
      <c r="CX84" s="578">
        <v>2.0837795005782329E-2</v>
      </c>
      <c r="CY84" s="578">
        <v>3.0222547852367434E-4</v>
      </c>
      <c r="CZ84" s="578">
        <v>1.0899715504978662E-2</v>
      </c>
      <c r="DA84" s="578">
        <v>5.3329335417960635E-3</v>
      </c>
      <c r="DB84" s="578">
        <v>6.4439270049277088E-3</v>
      </c>
      <c r="DC84" s="578">
        <v>0</v>
      </c>
      <c r="DD84" s="578">
        <v>0</v>
      </c>
      <c r="DE84" s="578">
        <v>8.1778036236756504E-5</v>
      </c>
      <c r="DF84" s="578">
        <v>4.712836488537423E-3</v>
      </c>
      <c r="DG84" s="578">
        <v>8.715507041298599E-3</v>
      </c>
      <c r="DH84" s="578">
        <v>2.4399361130934175E-2</v>
      </c>
      <c r="DI84" s="578">
        <v>9.9350907404954292E-5</v>
      </c>
      <c r="DJ84" s="578">
        <v>0</v>
      </c>
      <c r="DK84" s="578">
        <v>9.5937108164197166E-3</v>
      </c>
      <c r="DL84" s="578">
        <v>6.881139365167546E-3</v>
      </c>
      <c r="DM84" s="578">
        <v>1.4138672095916751E-5</v>
      </c>
      <c r="DN84" s="578">
        <v>6.849880333415862E-4</v>
      </c>
      <c r="DO84" s="578">
        <v>0</v>
      </c>
      <c r="DP84" s="578">
        <v>4.4697633654688868E-3</v>
      </c>
      <c r="DQ84" s="578">
        <v>7.469919391059736E-3</v>
      </c>
      <c r="DR84" s="578">
        <v>9.1934015585766731E-3</v>
      </c>
      <c r="DS84" s="578">
        <v>3.6621713435973695E-2</v>
      </c>
      <c r="DT84" s="578">
        <v>2.7771905910823753E-2</v>
      </c>
      <c r="DU84" s="578">
        <v>0</v>
      </c>
      <c r="DV84" s="578">
        <v>3.8997073319058904E-2</v>
      </c>
      <c r="DW84" s="578">
        <v>1.6858005023685498E-5</v>
      </c>
      <c r="DX84" s="578">
        <v>2.7274343117365484E-3</v>
      </c>
      <c r="DY84" s="578">
        <v>0</v>
      </c>
      <c r="DZ84" s="578">
        <v>2.8798399415274603E-4</v>
      </c>
      <c r="EA84" s="578">
        <v>2.3149539346426179E-4</v>
      </c>
      <c r="EB84" s="578">
        <v>6.8554008303077659E-4</v>
      </c>
      <c r="EC84" s="578">
        <v>3.9145287121506361E-4</v>
      </c>
      <c r="ED84" s="578">
        <v>9.0455988638727823E-5</v>
      </c>
      <c r="EE84" s="578">
        <v>0</v>
      </c>
      <c r="EF84" s="578">
        <v>0</v>
      </c>
      <c r="EG84" s="578">
        <v>0</v>
      </c>
      <c r="EH84" s="578">
        <v>0</v>
      </c>
      <c r="EI84" s="578">
        <v>0</v>
      </c>
      <c r="EJ84" s="578">
        <v>0</v>
      </c>
      <c r="EK84" s="578">
        <v>0</v>
      </c>
      <c r="EL84" s="578">
        <v>0</v>
      </c>
      <c r="EM84" s="578">
        <v>0</v>
      </c>
      <c r="EN84" s="578">
        <v>0</v>
      </c>
      <c r="EO84" s="578">
        <v>0</v>
      </c>
      <c r="EP84" s="578">
        <v>0</v>
      </c>
      <c r="EQ84" s="578">
        <v>0</v>
      </c>
      <c r="ER84" s="578">
        <v>0</v>
      </c>
      <c r="ES84" s="578">
        <v>0</v>
      </c>
      <c r="ET84" s="578">
        <v>0</v>
      </c>
      <c r="EU84" s="578">
        <v>0</v>
      </c>
      <c r="EV84" s="578">
        <v>0</v>
      </c>
      <c r="EW84" s="578">
        <v>0</v>
      </c>
      <c r="EX84" s="578">
        <v>0</v>
      </c>
      <c r="EY84" s="578">
        <v>0</v>
      </c>
      <c r="EZ84" s="578">
        <v>0</v>
      </c>
      <c r="FA84" s="578">
        <v>0</v>
      </c>
      <c r="FB84" s="578">
        <v>0</v>
      </c>
      <c r="FC84" s="578">
        <v>0</v>
      </c>
      <c r="FD84" s="578">
        <v>0</v>
      </c>
      <c r="FE84" s="578">
        <v>0</v>
      </c>
      <c r="FF84" s="578">
        <v>0</v>
      </c>
      <c r="FG84" s="578">
        <v>0</v>
      </c>
      <c r="FH84" s="578">
        <v>0</v>
      </c>
      <c r="FI84" s="578">
        <v>8.5148363683342046E-5</v>
      </c>
      <c r="FJ84" s="578">
        <v>0</v>
      </c>
      <c r="FK84" s="578">
        <v>0</v>
      </c>
      <c r="FL84" s="578">
        <v>0</v>
      </c>
      <c r="FM84" s="578">
        <v>0</v>
      </c>
      <c r="FN84" s="578">
        <v>0</v>
      </c>
      <c r="FO84" s="578">
        <v>0</v>
      </c>
      <c r="FP84" s="578">
        <v>0</v>
      </c>
      <c r="FQ84" s="578">
        <v>0</v>
      </c>
      <c r="FR84" s="578">
        <v>0</v>
      </c>
      <c r="FS84" s="578">
        <v>0</v>
      </c>
      <c r="FT84" s="578">
        <v>0</v>
      </c>
      <c r="FU84" s="578">
        <v>0</v>
      </c>
      <c r="FV84" s="578">
        <v>0</v>
      </c>
      <c r="FW84" s="578">
        <v>0</v>
      </c>
      <c r="FX84" s="578">
        <v>9.3336921058827487E-4</v>
      </c>
      <c r="FY84" s="578">
        <v>0</v>
      </c>
      <c r="FZ84" s="578">
        <v>0</v>
      </c>
      <c r="GA84" s="578">
        <v>0</v>
      </c>
      <c r="GB84" s="578">
        <v>0</v>
      </c>
      <c r="GC84" s="578">
        <v>0</v>
      </c>
      <c r="GD84" s="578">
        <v>0</v>
      </c>
      <c r="GE84" s="578">
        <v>0</v>
      </c>
      <c r="GF84" s="578">
        <v>6.4745528843602399E-4</v>
      </c>
      <c r="GG84" s="579">
        <v>3.4969967585054195E-3</v>
      </c>
      <c r="GH84" s="572"/>
    </row>
    <row r="85" spans="1:190">
      <c r="A85" s="572" t="s">
        <v>9316</v>
      </c>
      <c r="B85" s="577" t="s">
        <v>413</v>
      </c>
      <c r="C85" s="573" t="s">
        <v>9078</v>
      </c>
      <c r="D85" s="578">
        <v>0</v>
      </c>
      <c r="E85" s="578">
        <v>0</v>
      </c>
      <c r="F85" s="578">
        <v>0</v>
      </c>
      <c r="G85" s="578">
        <v>0</v>
      </c>
      <c r="H85" s="578">
        <v>0</v>
      </c>
      <c r="I85" s="578">
        <v>0</v>
      </c>
      <c r="J85" s="578">
        <v>0</v>
      </c>
      <c r="K85" s="578">
        <v>0</v>
      </c>
      <c r="L85" s="578">
        <v>0</v>
      </c>
      <c r="M85" s="578">
        <v>0</v>
      </c>
      <c r="N85" s="578">
        <v>0</v>
      </c>
      <c r="O85" s="578">
        <v>0</v>
      </c>
      <c r="P85" s="578">
        <v>0</v>
      </c>
      <c r="Q85" s="578">
        <v>0</v>
      </c>
      <c r="R85" s="578">
        <v>0</v>
      </c>
      <c r="S85" s="578">
        <v>0</v>
      </c>
      <c r="T85" s="578">
        <v>0</v>
      </c>
      <c r="U85" s="578">
        <v>0</v>
      </c>
      <c r="V85" s="578">
        <v>0</v>
      </c>
      <c r="W85" s="578">
        <v>0</v>
      </c>
      <c r="X85" s="578">
        <v>0</v>
      </c>
      <c r="Y85" s="578">
        <v>0</v>
      </c>
      <c r="Z85" s="578">
        <v>0</v>
      </c>
      <c r="AA85" s="578">
        <v>0</v>
      </c>
      <c r="AB85" s="578">
        <v>0</v>
      </c>
      <c r="AC85" s="578">
        <v>0</v>
      </c>
      <c r="AD85" s="578">
        <v>0</v>
      </c>
      <c r="AE85" s="578">
        <v>0</v>
      </c>
      <c r="AF85" s="578">
        <v>0</v>
      </c>
      <c r="AG85" s="578">
        <v>0</v>
      </c>
      <c r="AH85" s="578">
        <v>0</v>
      </c>
      <c r="AI85" s="578">
        <v>0</v>
      </c>
      <c r="AJ85" s="578">
        <v>0</v>
      </c>
      <c r="AK85" s="578">
        <v>0</v>
      </c>
      <c r="AL85" s="578">
        <v>0</v>
      </c>
      <c r="AM85" s="578">
        <v>0</v>
      </c>
      <c r="AN85" s="578">
        <v>4.3133195307108351E-5</v>
      </c>
      <c r="AO85" s="578">
        <v>2.590925284192117E-4</v>
      </c>
      <c r="AP85" s="578">
        <v>0</v>
      </c>
      <c r="AQ85" s="578">
        <v>0</v>
      </c>
      <c r="AR85" s="578">
        <v>7.3200391976292517E-4</v>
      </c>
      <c r="AS85" s="578">
        <v>0</v>
      </c>
      <c r="AT85" s="578">
        <v>0</v>
      </c>
      <c r="AU85" s="578">
        <v>2.4541483287249881E-5</v>
      </c>
      <c r="AV85" s="578">
        <v>0</v>
      </c>
      <c r="AW85" s="578">
        <v>1.6091830713940889E-3</v>
      </c>
      <c r="AX85" s="578">
        <v>3.7305654001031391E-2</v>
      </c>
      <c r="AY85" s="578">
        <v>0</v>
      </c>
      <c r="AZ85" s="578">
        <v>3.3343129054863574E-4</v>
      </c>
      <c r="BA85" s="578">
        <v>0</v>
      </c>
      <c r="BB85" s="578">
        <v>2.4790168927293975E-4</v>
      </c>
      <c r="BC85" s="578">
        <v>0</v>
      </c>
      <c r="BD85" s="578">
        <v>0</v>
      </c>
      <c r="BE85" s="578">
        <v>0</v>
      </c>
      <c r="BF85" s="578">
        <v>0</v>
      </c>
      <c r="BG85" s="578">
        <v>0</v>
      </c>
      <c r="BH85" s="578">
        <v>5.0156653658000325E-4</v>
      </c>
      <c r="BI85" s="578">
        <v>0</v>
      </c>
      <c r="BJ85" s="578">
        <v>1.1360777893699407E-2</v>
      </c>
      <c r="BK85" s="578">
        <v>0</v>
      </c>
      <c r="BL85" s="578">
        <v>0</v>
      </c>
      <c r="BM85" s="578">
        <v>5.8395564685110506E-4</v>
      </c>
      <c r="BN85" s="578">
        <v>0</v>
      </c>
      <c r="BO85" s="578">
        <v>0</v>
      </c>
      <c r="BP85" s="578">
        <v>0</v>
      </c>
      <c r="BQ85" s="578">
        <v>0</v>
      </c>
      <c r="BR85" s="578">
        <v>4.5554927293482549E-3</v>
      </c>
      <c r="BS85" s="578">
        <v>0</v>
      </c>
      <c r="BT85" s="578">
        <v>3.1870333272627935E-2</v>
      </c>
      <c r="BU85" s="578">
        <v>2.755540085856828E-2</v>
      </c>
      <c r="BV85" s="578">
        <v>8.1525400889368004E-3</v>
      </c>
      <c r="BW85" s="578">
        <v>6.8565929775417003E-3</v>
      </c>
      <c r="BX85" s="578">
        <v>0</v>
      </c>
      <c r="BY85" s="578">
        <v>0</v>
      </c>
      <c r="BZ85" s="578">
        <v>2.0915999359826932E-3</v>
      </c>
      <c r="CA85" s="578">
        <v>3.7608544987565738E-2</v>
      </c>
      <c r="CB85" s="578">
        <v>1.5760734673616282E-3</v>
      </c>
      <c r="CC85" s="578">
        <v>0</v>
      </c>
      <c r="CD85" s="578">
        <v>0.10327832854854058</v>
      </c>
      <c r="CE85" s="578">
        <v>0</v>
      </c>
      <c r="CF85" s="578">
        <v>0.41678509395231328</v>
      </c>
      <c r="CG85" s="578">
        <v>0.5441274525103208</v>
      </c>
      <c r="CH85" s="578">
        <v>2.5343408977815838E-3</v>
      </c>
      <c r="CI85" s="578">
        <v>2.9845549282463254E-4</v>
      </c>
      <c r="CJ85" s="578">
        <v>5.5456715122586247E-3</v>
      </c>
      <c r="CK85" s="578">
        <v>3.1909689652737855E-2</v>
      </c>
      <c r="CL85" s="578">
        <v>0</v>
      </c>
      <c r="CM85" s="578">
        <v>0</v>
      </c>
      <c r="CN85" s="578">
        <v>2.4121960632960248E-5</v>
      </c>
      <c r="CO85" s="578">
        <v>0</v>
      </c>
      <c r="CP85" s="578">
        <v>5.2040022532793264E-3</v>
      </c>
      <c r="CQ85" s="578">
        <v>0</v>
      </c>
      <c r="CR85" s="578">
        <v>0</v>
      </c>
      <c r="CS85" s="578">
        <v>3.2772064640072323E-3</v>
      </c>
      <c r="CT85" s="578">
        <v>2.2746493248957454E-3</v>
      </c>
      <c r="CU85" s="578">
        <v>1.8299663028231463E-3</v>
      </c>
      <c r="CV85" s="578">
        <v>6.1952878640506033E-6</v>
      </c>
      <c r="CW85" s="578">
        <v>2.2236092689396896E-3</v>
      </c>
      <c r="CX85" s="578">
        <v>2.2700989420482288E-3</v>
      </c>
      <c r="CY85" s="578">
        <v>9.1583478340507378E-6</v>
      </c>
      <c r="CZ85" s="578">
        <v>0</v>
      </c>
      <c r="DA85" s="578">
        <v>6.16821228930629E-3</v>
      </c>
      <c r="DB85" s="578">
        <v>6.1948340282666381E-2</v>
      </c>
      <c r="DC85" s="578">
        <v>1.1602610587382161E-2</v>
      </c>
      <c r="DD85" s="578">
        <v>0</v>
      </c>
      <c r="DE85" s="578">
        <v>2.063532447707489E-2</v>
      </c>
      <c r="DF85" s="578">
        <v>2.0139388130042336E-2</v>
      </c>
      <c r="DG85" s="578">
        <v>9.6668861035231653E-3</v>
      </c>
      <c r="DH85" s="578">
        <v>1.0534543106670744E-3</v>
      </c>
      <c r="DI85" s="578">
        <v>4.9675453702477152E-4</v>
      </c>
      <c r="DJ85" s="578">
        <v>1.5902794170632012E-3</v>
      </c>
      <c r="DK85" s="578">
        <v>9.9568270933544645E-2</v>
      </c>
      <c r="DL85" s="578">
        <v>1.4444079694957198E-3</v>
      </c>
      <c r="DM85" s="578">
        <v>1.9794140934283451E-4</v>
      </c>
      <c r="DN85" s="578">
        <v>9.0781546587439139E-5</v>
      </c>
      <c r="DO85" s="578">
        <v>0</v>
      </c>
      <c r="DP85" s="578">
        <v>0</v>
      </c>
      <c r="DQ85" s="578">
        <v>0</v>
      </c>
      <c r="DR85" s="578">
        <v>5.2586123532373649E-3</v>
      </c>
      <c r="DS85" s="578">
        <v>2.7882113143692233E-4</v>
      </c>
      <c r="DT85" s="578">
        <v>5.1024499048757551E-4</v>
      </c>
      <c r="DU85" s="578">
        <v>0</v>
      </c>
      <c r="DV85" s="578">
        <v>1.6470498802721432E-4</v>
      </c>
      <c r="DW85" s="578">
        <v>6.4228999140241742E-3</v>
      </c>
      <c r="DX85" s="578">
        <v>2.4191422985222821E-2</v>
      </c>
      <c r="DY85" s="578">
        <v>0</v>
      </c>
      <c r="DZ85" s="578">
        <v>0</v>
      </c>
      <c r="EA85" s="578">
        <v>1.8697704856728836E-4</v>
      </c>
      <c r="EB85" s="578">
        <v>0</v>
      </c>
      <c r="EC85" s="578">
        <v>0</v>
      </c>
      <c r="ED85" s="578">
        <v>0</v>
      </c>
      <c r="EE85" s="578">
        <v>1.2827107269249962E-6</v>
      </c>
      <c r="EF85" s="578">
        <v>0</v>
      </c>
      <c r="EG85" s="578">
        <v>0</v>
      </c>
      <c r="EH85" s="578">
        <v>1.5974440894568691E-5</v>
      </c>
      <c r="EI85" s="578">
        <v>0</v>
      </c>
      <c r="EJ85" s="578">
        <v>0</v>
      </c>
      <c r="EK85" s="578">
        <v>0</v>
      </c>
      <c r="EL85" s="578">
        <v>0</v>
      </c>
      <c r="EM85" s="578">
        <v>0</v>
      </c>
      <c r="EN85" s="578">
        <v>0</v>
      </c>
      <c r="EO85" s="578">
        <v>0</v>
      </c>
      <c r="EP85" s="578">
        <v>0</v>
      </c>
      <c r="EQ85" s="578">
        <v>0</v>
      </c>
      <c r="ER85" s="578">
        <v>0</v>
      </c>
      <c r="ES85" s="578">
        <v>0</v>
      </c>
      <c r="ET85" s="578">
        <v>0</v>
      </c>
      <c r="EU85" s="578">
        <v>0</v>
      </c>
      <c r="EV85" s="578">
        <v>0</v>
      </c>
      <c r="EW85" s="578">
        <v>0</v>
      </c>
      <c r="EX85" s="578">
        <v>0</v>
      </c>
      <c r="EY85" s="578">
        <v>0</v>
      </c>
      <c r="EZ85" s="578">
        <v>0</v>
      </c>
      <c r="FA85" s="578">
        <v>0</v>
      </c>
      <c r="FB85" s="578">
        <v>0</v>
      </c>
      <c r="FC85" s="578">
        <v>0</v>
      </c>
      <c r="FD85" s="578">
        <v>0</v>
      </c>
      <c r="FE85" s="578">
        <v>0</v>
      </c>
      <c r="FF85" s="578">
        <v>0</v>
      </c>
      <c r="FG85" s="578">
        <v>0</v>
      </c>
      <c r="FH85" s="578">
        <v>2.9263534384652901E-4</v>
      </c>
      <c r="FI85" s="578">
        <v>1.1744601887357523E-5</v>
      </c>
      <c r="FJ85" s="578">
        <v>0</v>
      </c>
      <c r="FK85" s="578">
        <v>0</v>
      </c>
      <c r="FL85" s="578">
        <v>0</v>
      </c>
      <c r="FM85" s="578">
        <v>0</v>
      </c>
      <c r="FN85" s="578">
        <v>1.1205841978951694E-4</v>
      </c>
      <c r="FO85" s="578">
        <v>0</v>
      </c>
      <c r="FP85" s="578">
        <v>0</v>
      </c>
      <c r="FQ85" s="578">
        <v>0</v>
      </c>
      <c r="FR85" s="578">
        <v>0</v>
      </c>
      <c r="FS85" s="578">
        <v>0</v>
      </c>
      <c r="FT85" s="578">
        <v>0</v>
      </c>
      <c r="FU85" s="578">
        <v>0</v>
      </c>
      <c r="FV85" s="578">
        <v>0</v>
      </c>
      <c r="FW85" s="578">
        <v>0</v>
      </c>
      <c r="FX85" s="578">
        <v>0</v>
      </c>
      <c r="FY85" s="578">
        <v>0</v>
      </c>
      <c r="FZ85" s="578">
        <v>0</v>
      </c>
      <c r="GA85" s="578">
        <v>0</v>
      </c>
      <c r="GB85" s="578">
        <v>0</v>
      </c>
      <c r="GC85" s="578">
        <v>0</v>
      </c>
      <c r="GD85" s="578">
        <v>3.3586237703238719E-6</v>
      </c>
      <c r="GE85" s="578">
        <v>0</v>
      </c>
      <c r="GF85" s="578">
        <v>1.6610943055776681E-3</v>
      </c>
      <c r="GG85" s="579">
        <v>5.4969417256874814E-3</v>
      </c>
      <c r="GH85" s="572"/>
    </row>
    <row r="86" spans="1:190">
      <c r="A86" s="572" t="s">
        <v>9317</v>
      </c>
      <c r="B86" s="577" t="s">
        <v>419</v>
      </c>
      <c r="C86" s="573" t="s">
        <v>421</v>
      </c>
      <c r="D86" s="578">
        <v>0</v>
      </c>
      <c r="E86" s="578">
        <v>0</v>
      </c>
      <c r="F86" s="578">
        <v>0</v>
      </c>
      <c r="G86" s="578">
        <v>0</v>
      </c>
      <c r="H86" s="578">
        <v>0</v>
      </c>
      <c r="I86" s="578">
        <v>0</v>
      </c>
      <c r="J86" s="578">
        <v>0</v>
      </c>
      <c r="K86" s="578">
        <v>0</v>
      </c>
      <c r="L86" s="578">
        <v>0</v>
      </c>
      <c r="M86" s="578">
        <v>0</v>
      </c>
      <c r="N86" s="578">
        <v>0</v>
      </c>
      <c r="O86" s="578">
        <v>0</v>
      </c>
      <c r="P86" s="578">
        <v>0</v>
      </c>
      <c r="Q86" s="578">
        <v>0</v>
      </c>
      <c r="R86" s="578">
        <v>0</v>
      </c>
      <c r="S86" s="578">
        <v>0</v>
      </c>
      <c r="T86" s="578">
        <v>0</v>
      </c>
      <c r="U86" s="578">
        <v>0</v>
      </c>
      <c r="V86" s="578">
        <v>0</v>
      </c>
      <c r="W86" s="578">
        <v>0</v>
      </c>
      <c r="X86" s="578">
        <v>0</v>
      </c>
      <c r="Y86" s="578">
        <v>0</v>
      </c>
      <c r="Z86" s="578">
        <v>0</v>
      </c>
      <c r="AA86" s="578">
        <v>0</v>
      </c>
      <c r="AB86" s="578">
        <v>0</v>
      </c>
      <c r="AC86" s="578">
        <v>0</v>
      </c>
      <c r="AD86" s="578">
        <v>0</v>
      </c>
      <c r="AE86" s="578">
        <v>0</v>
      </c>
      <c r="AF86" s="578">
        <v>0</v>
      </c>
      <c r="AG86" s="578">
        <v>0</v>
      </c>
      <c r="AH86" s="578">
        <v>0</v>
      </c>
      <c r="AI86" s="578">
        <v>0</v>
      </c>
      <c r="AJ86" s="578">
        <v>0</v>
      </c>
      <c r="AK86" s="578">
        <v>0</v>
      </c>
      <c r="AL86" s="578">
        <v>0</v>
      </c>
      <c r="AM86" s="578">
        <v>0</v>
      </c>
      <c r="AN86" s="578">
        <v>0</v>
      </c>
      <c r="AO86" s="578">
        <v>0</v>
      </c>
      <c r="AP86" s="578">
        <v>0</v>
      </c>
      <c r="AQ86" s="578">
        <v>0</v>
      </c>
      <c r="AR86" s="578">
        <v>0</v>
      </c>
      <c r="AS86" s="578">
        <v>0</v>
      </c>
      <c r="AT86" s="578">
        <v>0</v>
      </c>
      <c r="AU86" s="578">
        <v>-6.2171757661033038E-4</v>
      </c>
      <c r="AV86" s="578">
        <v>0</v>
      </c>
      <c r="AW86" s="578">
        <v>0</v>
      </c>
      <c r="AX86" s="578">
        <v>2.3041727471225271E-4</v>
      </c>
      <c r="AY86" s="578">
        <v>0</v>
      </c>
      <c r="AZ86" s="578">
        <v>0</v>
      </c>
      <c r="BA86" s="578">
        <v>0</v>
      </c>
      <c r="BB86" s="578">
        <v>0</v>
      </c>
      <c r="BC86" s="578">
        <v>0</v>
      </c>
      <c r="BD86" s="578">
        <v>0</v>
      </c>
      <c r="BE86" s="578">
        <v>0</v>
      </c>
      <c r="BF86" s="578">
        <v>0</v>
      </c>
      <c r="BG86" s="578">
        <v>0</v>
      </c>
      <c r="BH86" s="578">
        <v>0</v>
      </c>
      <c r="BI86" s="578">
        <v>0</v>
      </c>
      <c r="BJ86" s="578">
        <v>0</v>
      </c>
      <c r="BK86" s="578">
        <v>0</v>
      </c>
      <c r="BL86" s="578">
        <v>0</v>
      </c>
      <c r="BM86" s="578">
        <v>-9.1600885780565501E-6</v>
      </c>
      <c r="BN86" s="578">
        <v>0</v>
      </c>
      <c r="BO86" s="578">
        <v>-2.8974029611458262E-5</v>
      </c>
      <c r="BP86" s="578">
        <v>0</v>
      </c>
      <c r="BQ86" s="578">
        <v>0</v>
      </c>
      <c r="BR86" s="578">
        <v>0</v>
      </c>
      <c r="BS86" s="578">
        <v>0</v>
      </c>
      <c r="BT86" s="578">
        <v>0</v>
      </c>
      <c r="BU86" s="578">
        <v>-1.1602274045712959E-4</v>
      </c>
      <c r="BV86" s="578">
        <v>0</v>
      </c>
      <c r="BW86" s="578">
        <v>0</v>
      </c>
      <c r="BX86" s="578">
        <v>0</v>
      </c>
      <c r="BY86" s="578">
        <v>0</v>
      </c>
      <c r="BZ86" s="578">
        <v>-3.620289071252366E-3</v>
      </c>
      <c r="CA86" s="578">
        <v>-1.2544021676069457E-5</v>
      </c>
      <c r="CB86" s="578">
        <v>1.2410027302060064E-5</v>
      </c>
      <c r="CC86" s="578">
        <v>-2.4006983849847227E-4</v>
      </c>
      <c r="CD86" s="578">
        <v>0.12652184874633007</v>
      </c>
      <c r="CE86" s="578">
        <v>0</v>
      </c>
      <c r="CF86" s="578">
        <v>1.3263855992420654E-2</v>
      </c>
      <c r="CG86" s="578">
        <v>1.8428407269219311E-2</v>
      </c>
      <c r="CH86" s="578">
        <v>-1.1572332866582575E-5</v>
      </c>
      <c r="CI86" s="578">
        <v>-3.7058223692391871E-3</v>
      </c>
      <c r="CJ86" s="578">
        <v>-2.3866348448687352E-3</v>
      </c>
      <c r="CK86" s="578">
        <v>-3.8125208024448547E-3</v>
      </c>
      <c r="CL86" s="578">
        <v>-1.0041063453526362E-4</v>
      </c>
      <c r="CM86" s="578">
        <v>-8.5476173516632235E-4</v>
      </c>
      <c r="CN86" s="578">
        <v>-1.2060980316480124E-5</v>
      </c>
      <c r="CO86" s="578">
        <v>0</v>
      </c>
      <c r="CP86" s="578">
        <v>-2.9507229271171437E-3</v>
      </c>
      <c r="CQ86" s="578">
        <v>-6.3706440721156905E-5</v>
      </c>
      <c r="CR86" s="578">
        <v>-1.0742074091278597E-4</v>
      </c>
      <c r="CS86" s="578">
        <v>-5.650355972426263E-5</v>
      </c>
      <c r="CT86" s="578">
        <v>0</v>
      </c>
      <c r="CU86" s="578">
        <v>-9.6738306757170725E-5</v>
      </c>
      <c r="CV86" s="578">
        <v>-6.1952878640506034E-5</v>
      </c>
      <c r="CW86" s="578">
        <v>-7.8021377857532959E-5</v>
      </c>
      <c r="CX86" s="578">
        <v>-4.99707314287346E-5</v>
      </c>
      <c r="CY86" s="578">
        <v>-3.3885886985987726E-4</v>
      </c>
      <c r="CZ86" s="578">
        <v>-3.5561877667140828E-5</v>
      </c>
      <c r="DA86" s="578">
        <v>-6.4252211346940526E-5</v>
      </c>
      <c r="DB86" s="578">
        <v>-5.4150647100232849E-5</v>
      </c>
      <c r="DC86" s="578">
        <v>-7.2516316171138508E-4</v>
      </c>
      <c r="DD86" s="578">
        <v>-2.4154589371980675E-3</v>
      </c>
      <c r="DE86" s="578">
        <v>-2.382921111454377E-2</v>
      </c>
      <c r="DF86" s="578">
        <v>-6.4901349948078924E-4</v>
      </c>
      <c r="DG86" s="578">
        <v>-7.6219678893163414E-4</v>
      </c>
      <c r="DH86" s="578">
        <v>-1.4725705417926847E-4</v>
      </c>
      <c r="DI86" s="578">
        <v>-6.6233938269969533E-5</v>
      </c>
      <c r="DJ86" s="578">
        <v>-4.9696231783225039E-5</v>
      </c>
      <c r="DK86" s="578">
        <v>-2.2226678295407049E-4</v>
      </c>
      <c r="DL86" s="578">
        <v>-2.5251887578596501E-6</v>
      </c>
      <c r="DM86" s="578">
        <v>-7.0693360479583763E-4</v>
      </c>
      <c r="DN86" s="578">
        <v>-1.5680448956012215E-4</v>
      </c>
      <c r="DO86" s="578">
        <v>0</v>
      </c>
      <c r="DP86" s="578">
        <v>-2.8483786152497806E-4</v>
      </c>
      <c r="DQ86" s="578">
        <v>-1.0409033244293155E-2</v>
      </c>
      <c r="DR86" s="578">
        <v>-5.001850684753359E-5</v>
      </c>
      <c r="DS86" s="578">
        <v>-3.5253246503518914E-5</v>
      </c>
      <c r="DT86" s="578">
        <v>0</v>
      </c>
      <c r="DU86" s="578">
        <v>-1.5129315836412283E-4</v>
      </c>
      <c r="DV86" s="578">
        <v>0</v>
      </c>
      <c r="DW86" s="578">
        <v>-3.3716010047370996E-5</v>
      </c>
      <c r="DX86" s="578">
        <v>-1.0419411977420521E-4</v>
      </c>
      <c r="DY86" s="578">
        <v>0</v>
      </c>
      <c r="DZ86" s="578">
        <v>0</v>
      </c>
      <c r="EA86" s="578">
        <v>0</v>
      </c>
      <c r="EB86" s="578">
        <v>0</v>
      </c>
      <c r="EC86" s="578">
        <v>-3.0582255563676845E-6</v>
      </c>
      <c r="ED86" s="578">
        <v>-9.045598863872782E-6</v>
      </c>
      <c r="EE86" s="578">
        <v>0</v>
      </c>
      <c r="EF86" s="578">
        <v>0</v>
      </c>
      <c r="EG86" s="578">
        <v>0</v>
      </c>
      <c r="EH86" s="578">
        <v>0</v>
      </c>
      <c r="EI86" s="578">
        <v>0</v>
      </c>
      <c r="EJ86" s="578">
        <v>0</v>
      </c>
      <c r="EK86" s="578">
        <v>0</v>
      </c>
      <c r="EL86" s="578">
        <v>0</v>
      </c>
      <c r="EM86" s="578">
        <v>0</v>
      </c>
      <c r="EN86" s="578">
        <v>0</v>
      </c>
      <c r="EO86" s="578">
        <v>0</v>
      </c>
      <c r="EP86" s="578">
        <v>0</v>
      </c>
      <c r="EQ86" s="578">
        <v>0</v>
      </c>
      <c r="ER86" s="578">
        <v>0</v>
      </c>
      <c r="ES86" s="578">
        <v>0</v>
      </c>
      <c r="ET86" s="578">
        <v>0</v>
      </c>
      <c r="EU86" s="578">
        <v>0</v>
      </c>
      <c r="EV86" s="578">
        <v>0</v>
      </c>
      <c r="EW86" s="578">
        <v>0</v>
      </c>
      <c r="EX86" s="578">
        <v>0</v>
      </c>
      <c r="EY86" s="578">
        <v>0</v>
      </c>
      <c r="EZ86" s="578">
        <v>0</v>
      </c>
      <c r="FA86" s="578">
        <v>0</v>
      </c>
      <c r="FB86" s="578">
        <v>0</v>
      </c>
      <c r="FC86" s="578">
        <v>0</v>
      </c>
      <c r="FD86" s="578">
        <v>0</v>
      </c>
      <c r="FE86" s="578">
        <v>0</v>
      </c>
      <c r="FF86" s="578">
        <v>0</v>
      </c>
      <c r="FG86" s="578">
        <v>0</v>
      </c>
      <c r="FH86" s="578">
        <v>0</v>
      </c>
      <c r="FI86" s="578">
        <v>0</v>
      </c>
      <c r="FJ86" s="578">
        <v>0</v>
      </c>
      <c r="FK86" s="578">
        <v>0</v>
      </c>
      <c r="FL86" s="578">
        <v>0</v>
      </c>
      <c r="FM86" s="578">
        <v>0</v>
      </c>
      <c r="FN86" s="578">
        <v>0</v>
      </c>
      <c r="FO86" s="578">
        <v>0</v>
      </c>
      <c r="FP86" s="578">
        <v>0</v>
      </c>
      <c r="FQ86" s="578">
        <v>0</v>
      </c>
      <c r="FR86" s="578">
        <v>0</v>
      </c>
      <c r="FS86" s="578">
        <v>0</v>
      </c>
      <c r="FT86" s="578">
        <v>0</v>
      </c>
      <c r="FU86" s="578">
        <v>0</v>
      </c>
      <c r="FV86" s="578">
        <v>0</v>
      </c>
      <c r="FW86" s="578">
        <v>0</v>
      </c>
      <c r="FX86" s="578">
        <v>0</v>
      </c>
      <c r="FY86" s="578">
        <v>0</v>
      </c>
      <c r="FZ86" s="578">
        <v>0</v>
      </c>
      <c r="GA86" s="578">
        <v>0</v>
      </c>
      <c r="GB86" s="578">
        <v>0</v>
      </c>
      <c r="GC86" s="578">
        <v>0</v>
      </c>
      <c r="GD86" s="578">
        <v>0</v>
      </c>
      <c r="GE86" s="578">
        <v>0</v>
      </c>
      <c r="GF86" s="578">
        <v>0</v>
      </c>
      <c r="GG86" s="579">
        <v>1.880972433999891E-4</v>
      </c>
      <c r="GH86" s="572"/>
    </row>
    <row r="87" spans="1:190">
      <c r="A87" s="572" t="s">
        <v>9318</v>
      </c>
      <c r="B87" s="577" t="s">
        <v>422</v>
      </c>
      <c r="C87" s="573" t="s">
        <v>423</v>
      </c>
      <c r="D87" s="578">
        <v>0</v>
      </c>
      <c r="E87" s="578">
        <v>0</v>
      </c>
      <c r="F87" s="578">
        <v>0</v>
      </c>
      <c r="G87" s="578">
        <v>0</v>
      </c>
      <c r="H87" s="578">
        <v>0</v>
      </c>
      <c r="I87" s="578">
        <v>0</v>
      </c>
      <c r="J87" s="578">
        <v>0</v>
      </c>
      <c r="K87" s="578">
        <v>0</v>
      </c>
      <c r="L87" s="578">
        <v>0</v>
      </c>
      <c r="M87" s="578">
        <v>0</v>
      </c>
      <c r="N87" s="578">
        <v>0</v>
      </c>
      <c r="O87" s="578">
        <v>0</v>
      </c>
      <c r="P87" s="578">
        <v>0</v>
      </c>
      <c r="Q87" s="578">
        <v>0</v>
      </c>
      <c r="R87" s="578">
        <v>0</v>
      </c>
      <c r="S87" s="578">
        <v>9.3370681605975728E-4</v>
      </c>
      <c r="T87" s="578">
        <v>0</v>
      </c>
      <c r="U87" s="578">
        <v>0</v>
      </c>
      <c r="V87" s="578">
        <v>0</v>
      </c>
      <c r="W87" s="578">
        <v>0</v>
      </c>
      <c r="X87" s="578">
        <v>0</v>
      </c>
      <c r="Y87" s="578">
        <v>0</v>
      </c>
      <c r="Z87" s="578">
        <v>0</v>
      </c>
      <c r="AA87" s="578">
        <v>0</v>
      </c>
      <c r="AB87" s="578">
        <v>0</v>
      </c>
      <c r="AC87" s="578">
        <v>0</v>
      </c>
      <c r="AD87" s="578">
        <v>0</v>
      </c>
      <c r="AE87" s="578">
        <v>0</v>
      </c>
      <c r="AF87" s="578">
        <v>0</v>
      </c>
      <c r="AG87" s="578">
        <v>0</v>
      </c>
      <c r="AH87" s="578">
        <v>0</v>
      </c>
      <c r="AI87" s="578">
        <v>0</v>
      </c>
      <c r="AJ87" s="578">
        <v>0</v>
      </c>
      <c r="AK87" s="578">
        <v>0</v>
      </c>
      <c r="AL87" s="578">
        <v>0</v>
      </c>
      <c r="AM87" s="578">
        <v>0</v>
      </c>
      <c r="AN87" s="578">
        <v>0</v>
      </c>
      <c r="AO87" s="578">
        <v>0</v>
      </c>
      <c r="AP87" s="578">
        <v>0</v>
      </c>
      <c r="AQ87" s="578">
        <v>0</v>
      </c>
      <c r="AR87" s="578">
        <v>0</v>
      </c>
      <c r="AS87" s="578">
        <v>0</v>
      </c>
      <c r="AT87" s="578">
        <v>0</v>
      </c>
      <c r="AU87" s="578">
        <v>0</v>
      </c>
      <c r="AV87" s="578">
        <v>0</v>
      </c>
      <c r="AW87" s="578">
        <v>0</v>
      </c>
      <c r="AX87" s="578">
        <v>0</v>
      </c>
      <c r="AY87" s="578">
        <v>0</v>
      </c>
      <c r="AZ87" s="578">
        <v>0</v>
      </c>
      <c r="BA87" s="578">
        <v>0</v>
      </c>
      <c r="BB87" s="578">
        <v>0</v>
      </c>
      <c r="BC87" s="578">
        <v>0</v>
      </c>
      <c r="BD87" s="578">
        <v>0</v>
      </c>
      <c r="BE87" s="578">
        <v>0</v>
      </c>
      <c r="BF87" s="578">
        <v>0</v>
      </c>
      <c r="BG87" s="578">
        <v>0</v>
      </c>
      <c r="BH87" s="578">
        <v>0</v>
      </c>
      <c r="BI87" s="578">
        <v>0</v>
      </c>
      <c r="BJ87" s="578">
        <v>7.0102803699778564E-5</v>
      </c>
      <c r="BK87" s="578">
        <v>0</v>
      </c>
      <c r="BL87" s="578">
        <v>0</v>
      </c>
      <c r="BM87" s="578">
        <v>0</v>
      </c>
      <c r="BN87" s="578">
        <v>0</v>
      </c>
      <c r="BO87" s="578">
        <v>0</v>
      </c>
      <c r="BP87" s="578">
        <v>0</v>
      </c>
      <c r="BQ87" s="578">
        <v>0</v>
      </c>
      <c r="BR87" s="578">
        <v>0</v>
      </c>
      <c r="BS87" s="578">
        <v>0</v>
      </c>
      <c r="BT87" s="578">
        <v>0</v>
      </c>
      <c r="BU87" s="578">
        <v>0</v>
      </c>
      <c r="BV87" s="578">
        <v>0</v>
      </c>
      <c r="BW87" s="578">
        <v>0</v>
      </c>
      <c r="BX87" s="578">
        <v>0</v>
      </c>
      <c r="BY87" s="578">
        <v>0</v>
      </c>
      <c r="BZ87" s="578">
        <v>0</v>
      </c>
      <c r="CA87" s="578">
        <v>0</v>
      </c>
      <c r="CB87" s="578">
        <v>6.2050136510300319E-6</v>
      </c>
      <c r="CC87" s="578">
        <v>0</v>
      </c>
      <c r="CD87" s="578">
        <v>0</v>
      </c>
      <c r="CE87" s="578">
        <v>0</v>
      </c>
      <c r="CF87" s="578">
        <v>5.0371072161692718E-2</v>
      </c>
      <c r="CG87" s="578">
        <v>1.6314602278369675E-4</v>
      </c>
      <c r="CH87" s="578">
        <v>0</v>
      </c>
      <c r="CI87" s="578">
        <v>0</v>
      </c>
      <c r="CJ87" s="578">
        <v>1.8025602082881318E-2</v>
      </c>
      <c r="CK87" s="578">
        <v>2.0676369431248549E-4</v>
      </c>
      <c r="CL87" s="578">
        <v>8.2651440218205804E-3</v>
      </c>
      <c r="CM87" s="578">
        <v>3.7989410451836551E-3</v>
      </c>
      <c r="CN87" s="578">
        <v>1.9285507526051716E-2</v>
      </c>
      <c r="CO87" s="578">
        <v>1.0420225486846601E-2</v>
      </c>
      <c r="CP87" s="578">
        <v>3.6571081126997329E-3</v>
      </c>
      <c r="CQ87" s="578">
        <v>1.2104223737019813E-3</v>
      </c>
      <c r="CR87" s="578">
        <v>1.794216699570317E-3</v>
      </c>
      <c r="CS87" s="578">
        <v>1.1300711944852526E-3</v>
      </c>
      <c r="CT87" s="578">
        <v>4.9284068706074479E-3</v>
      </c>
      <c r="CU87" s="578">
        <v>5.6350063686051947E-3</v>
      </c>
      <c r="CV87" s="578">
        <v>2.7011455087260629E-3</v>
      </c>
      <c r="CW87" s="578">
        <v>5.1884216275259422E-3</v>
      </c>
      <c r="CX87" s="578">
        <v>1.5833583186990477E-2</v>
      </c>
      <c r="CY87" s="578">
        <v>3.7640809597948529E-3</v>
      </c>
      <c r="CZ87" s="578">
        <v>8.3036984352773818E-3</v>
      </c>
      <c r="DA87" s="578">
        <v>8.9953095885716733E-4</v>
      </c>
      <c r="DB87" s="578">
        <v>2.4909297666107109E-3</v>
      </c>
      <c r="DC87" s="578">
        <v>0</v>
      </c>
      <c r="DD87" s="578">
        <v>1.0628019323671498E-2</v>
      </c>
      <c r="DE87" s="578">
        <v>3.2029730859396296E-3</v>
      </c>
      <c r="DF87" s="578">
        <v>2.1876747344037065E-2</v>
      </c>
      <c r="DG87" s="578">
        <v>2.406551611767356E-2</v>
      </c>
      <c r="DH87" s="578">
        <v>1.0353303655373184E-2</v>
      </c>
      <c r="DI87" s="578">
        <v>3.7753344813882634E-3</v>
      </c>
      <c r="DJ87" s="578">
        <v>4.5720533240567037E-3</v>
      </c>
      <c r="DK87" s="578">
        <v>1.3944824687074945E-2</v>
      </c>
      <c r="DL87" s="578">
        <v>5.1617383399409106E-2</v>
      </c>
      <c r="DM87" s="578">
        <v>1.340346114692908E-2</v>
      </c>
      <c r="DN87" s="578">
        <v>1.3790542213419164E-2</v>
      </c>
      <c r="DO87" s="578">
        <v>0</v>
      </c>
      <c r="DP87" s="578">
        <v>3.2427695004382121E-3</v>
      </c>
      <c r="DQ87" s="578">
        <v>9.3373992388246698E-3</v>
      </c>
      <c r="DR87" s="578">
        <v>9.7202631640373599E-3</v>
      </c>
      <c r="DS87" s="578">
        <v>3.717615085825631E-3</v>
      </c>
      <c r="DT87" s="578">
        <v>5.6272733236629761E-3</v>
      </c>
      <c r="DU87" s="578">
        <v>2.1818065995668238E-3</v>
      </c>
      <c r="DV87" s="578">
        <v>6.4615033764522543E-4</v>
      </c>
      <c r="DW87" s="578">
        <v>1.8543805526054046E-4</v>
      </c>
      <c r="DX87" s="578">
        <v>1.7774291020305596E-4</v>
      </c>
      <c r="DY87" s="578">
        <v>0</v>
      </c>
      <c r="DZ87" s="578">
        <v>5.232551285570655E-3</v>
      </c>
      <c r="EA87" s="578">
        <v>6.6955590725048027E-3</v>
      </c>
      <c r="EB87" s="578">
        <v>8.0043506901358828E-3</v>
      </c>
      <c r="EC87" s="578">
        <v>3.2723013453134224E-3</v>
      </c>
      <c r="ED87" s="578">
        <v>1.9411855161870991E-2</v>
      </c>
      <c r="EE87" s="578">
        <v>0</v>
      </c>
      <c r="EF87" s="578">
        <v>0</v>
      </c>
      <c r="EG87" s="578">
        <v>0</v>
      </c>
      <c r="EH87" s="578">
        <v>0</v>
      </c>
      <c r="EI87" s="578">
        <v>5.6199982016005753E-6</v>
      </c>
      <c r="EJ87" s="578">
        <v>0</v>
      </c>
      <c r="EK87" s="578">
        <v>0</v>
      </c>
      <c r="EL87" s="578">
        <v>0</v>
      </c>
      <c r="EM87" s="578">
        <v>0</v>
      </c>
      <c r="EN87" s="578">
        <v>0</v>
      </c>
      <c r="EO87" s="578">
        <v>0</v>
      </c>
      <c r="EP87" s="578">
        <v>0</v>
      </c>
      <c r="EQ87" s="578">
        <v>0</v>
      </c>
      <c r="ER87" s="578">
        <v>0</v>
      </c>
      <c r="ES87" s="578">
        <v>0</v>
      </c>
      <c r="ET87" s="578">
        <v>0</v>
      </c>
      <c r="EU87" s="578">
        <v>0</v>
      </c>
      <c r="EV87" s="578">
        <v>0</v>
      </c>
      <c r="EW87" s="578">
        <v>0</v>
      </c>
      <c r="EX87" s="578">
        <v>0</v>
      </c>
      <c r="EY87" s="578">
        <v>0</v>
      </c>
      <c r="EZ87" s="578">
        <v>0</v>
      </c>
      <c r="FA87" s="578">
        <v>0</v>
      </c>
      <c r="FB87" s="578">
        <v>0</v>
      </c>
      <c r="FC87" s="578">
        <v>0</v>
      </c>
      <c r="FD87" s="578">
        <v>0</v>
      </c>
      <c r="FE87" s="578">
        <v>0</v>
      </c>
      <c r="FF87" s="578">
        <v>0</v>
      </c>
      <c r="FG87" s="578">
        <v>0</v>
      </c>
      <c r="FH87" s="578">
        <v>3.2515038205169893E-5</v>
      </c>
      <c r="FI87" s="578">
        <v>3.9344416322647705E-4</v>
      </c>
      <c r="FJ87" s="578">
        <v>0</v>
      </c>
      <c r="FK87" s="578">
        <v>0</v>
      </c>
      <c r="FL87" s="578">
        <v>0</v>
      </c>
      <c r="FM87" s="578">
        <v>0</v>
      </c>
      <c r="FN87" s="578">
        <v>1.680876296842754E-4</v>
      </c>
      <c r="FO87" s="578">
        <v>0</v>
      </c>
      <c r="FP87" s="578">
        <v>0</v>
      </c>
      <c r="FQ87" s="578">
        <v>0</v>
      </c>
      <c r="FR87" s="578">
        <v>0</v>
      </c>
      <c r="FS87" s="578">
        <v>0</v>
      </c>
      <c r="FT87" s="578">
        <v>0</v>
      </c>
      <c r="FU87" s="578">
        <v>0</v>
      </c>
      <c r="FV87" s="578">
        <v>0</v>
      </c>
      <c r="FW87" s="578">
        <v>6.3857476578855902E-4</v>
      </c>
      <c r="FX87" s="578">
        <v>3.021537564607088E-3</v>
      </c>
      <c r="FY87" s="578">
        <v>3.6594628801043931E-5</v>
      </c>
      <c r="FZ87" s="578">
        <v>0</v>
      </c>
      <c r="GA87" s="578">
        <v>0</v>
      </c>
      <c r="GB87" s="578">
        <v>0</v>
      </c>
      <c r="GC87" s="578">
        <v>0</v>
      </c>
      <c r="GD87" s="578">
        <v>0</v>
      </c>
      <c r="GE87" s="578">
        <v>0</v>
      </c>
      <c r="GF87" s="578">
        <v>1.5708751260415008E-3</v>
      </c>
      <c r="GG87" s="579">
        <v>2.3996516094070388E-3</v>
      </c>
      <c r="GH87" s="572"/>
    </row>
    <row r="88" spans="1:190">
      <c r="A88" s="572" t="s">
        <v>9319</v>
      </c>
      <c r="B88" s="577" t="s">
        <v>9427</v>
      </c>
      <c r="C88" s="573" t="s">
        <v>430</v>
      </c>
      <c r="D88" s="578">
        <v>0</v>
      </c>
      <c r="E88" s="578">
        <v>0</v>
      </c>
      <c r="F88" s="578">
        <v>0</v>
      </c>
      <c r="G88" s="578">
        <v>0</v>
      </c>
      <c r="H88" s="578">
        <v>0</v>
      </c>
      <c r="I88" s="578">
        <v>0</v>
      </c>
      <c r="J88" s="578">
        <v>0</v>
      </c>
      <c r="K88" s="578">
        <v>0</v>
      </c>
      <c r="L88" s="578">
        <v>0</v>
      </c>
      <c r="M88" s="578">
        <v>0</v>
      </c>
      <c r="N88" s="578">
        <v>0</v>
      </c>
      <c r="O88" s="578">
        <v>0</v>
      </c>
      <c r="P88" s="578">
        <v>0</v>
      </c>
      <c r="Q88" s="578">
        <v>0</v>
      </c>
      <c r="R88" s="578">
        <v>0</v>
      </c>
      <c r="S88" s="578">
        <v>0</v>
      </c>
      <c r="T88" s="578">
        <v>4.9861732104722757E-4</v>
      </c>
      <c r="U88" s="578">
        <v>8.0333575609196277E-4</v>
      </c>
      <c r="V88" s="578">
        <v>0</v>
      </c>
      <c r="W88" s="578">
        <v>3.422307192666397E-3</v>
      </c>
      <c r="X88" s="578">
        <v>0</v>
      </c>
      <c r="Y88" s="578">
        <v>2.8036887450840728E-4</v>
      </c>
      <c r="Z88" s="578">
        <v>1.7178579385167907E-3</v>
      </c>
      <c r="AA88" s="578">
        <v>8.0784134510106347E-3</v>
      </c>
      <c r="AB88" s="578">
        <v>1.2140532862027387E-3</v>
      </c>
      <c r="AC88" s="578">
        <v>0</v>
      </c>
      <c r="AD88" s="578">
        <v>0</v>
      </c>
      <c r="AE88" s="578">
        <v>0</v>
      </c>
      <c r="AF88" s="578">
        <v>0</v>
      </c>
      <c r="AG88" s="578">
        <v>0</v>
      </c>
      <c r="AH88" s="578">
        <v>0</v>
      </c>
      <c r="AI88" s="578">
        <v>0</v>
      </c>
      <c r="AJ88" s="578">
        <v>0</v>
      </c>
      <c r="AK88" s="578">
        <v>0</v>
      </c>
      <c r="AL88" s="578">
        <v>0</v>
      </c>
      <c r="AM88" s="578">
        <v>0</v>
      </c>
      <c r="AN88" s="578">
        <v>2.113526570048309E-3</v>
      </c>
      <c r="AO88" s="578">
        <v>6.606859474689899E-3</v>
      </c>
      <c r="AP88" s="578">
        <v>0</v>
      </c>
      <c r="AQ88" s="578">
        <v>0</v>
      </c>
      <c r="AR88" s="578">
        <v>0</v>
      </c>
      <c r="AS88" s="578">
        <v>2.5917417682747246E-4</v>
      </c>
      <c r="AT88" s="578">
        <v>2.4867889337892445E-4</v>
      </c>
      <c r="AU88" s="578">
        <v>2.5195922841576546E-3</v>
      </c>
      <c r="AV88" s="578">
        <v>0</v>
      </c>
      <c r="AW88" s="578">
        <v>0</v>
      </c>
      <c r="AX88" s="578">
        <v>7.0222407531353209E-4</v>
      </c>
      <c r="AY88" s="578">
        <v>0</v>
      </c>
      <c r="AZ88" s="578">
        <v>0</v>
      </c>
      <c r="BA88" s="578">
        <v>0</v>
      </c>
      <c r="BB88" s="578">
        <v>0</v>
      </c>
      <c r="BC88" s="578">
        <v>0</v>
      </c>
      <c r="BD88" s="578">
        <v>0</v>
      </c>
      <c r="BE88" s="578">
        <v>1.0846596134539916E-3</v>
      </c>
      <c r="BF88" s="578">
        <v>2.6325569871159563E-4</v>
      </c>
      <c r="BG88" s="578">
        <v>0</v>
      </c>
      <c r="BH88" s="578">
        <v>5.4966195789589401E-4</v>
      </c>
      <c r="BI88" s="578">
        <v>0</v>
      </c>
      <c r="BJ88" s="578">
        <v>6.4742001063913136E-3</v>
      </c>
      <c r="BK88" s="578">
        <v>0</v>
      </c>
      <c r="BL88" s="578">
        <v>0</v>
      </c>
      <c r="BM88" s="578">
        <v>1.8915582913686774E-3</v>
      </c>
      <c r="BN88" s="578">
        <v>3.0617283950617282E-3</v>
      </c>
      <c r="BO88" s="578">
        <v>1.2748573029041637E-3</v>
      </c>
      <c r="BP88" s="578">
        <v>7.2632190586868097E-5</v>
      </c>
      <c r="BQ88" s="578">
        <v>1.6413509152617815E-3</v>
      </c>
      <c r="BR88" s="578">
        <v>6.9345908057994517E-4</v>
      </c>
      <c r="BS88" s="578">
        <v>2.6300616041352663E-4</v>
      </c>
      <c r="BT88" s="578">
        <v>1.4569295210344199E-3</v>
      </c>
      <c r="BU88" s="578">
        <v>3.9447731755424065E-3</v>
      </c>
      <c r="BV88" s="578">
        <v>3.3014418541975473E-3</v>
      </c>
      <c r="BW88" s="578">
        <v>0</v>
      </c>
      <c r="BX88" s="578">
        <v>0</v>
      </c>
      <c r="BY88" s="578">
        <v>0</v>
      </c>
      <c r="BZ88" s="578">
        <v>0</v>
      </c>
      <c r="CA88" s="578">
        <v>3.8384706328772537E-3</v>
      </c>
      <c r="CB88" s="578">
        <v>6.8255150161330354E-5</v>
      </c>
      <c r="CC88" s="578">
        <v>0</v>
      </c>
      <c r="CD88" s="578">
        <v>1.333777925975325E-3</v>
      </c>
      <c r="CE88" s="578">
        <v>0</v>
      </c>
      <c r="CF88" s="578">
        <v>1.7606189799463129E-2</v>
      </c>
      <c r="CG88" s="578">
        <v>5.217126076409085E-2</v>
      </c>
      <c r="CH88" s="578">
        <v>9.1074259660004868E-3</v>
      </c>
      <c r="CI88" s="578">
        <v>0.14390529012361031</v>
      </c>
      <c r="CJ88" s="578">
        <v>6.9116945107398561E-2</v>
      </c>
      <c r="CK88" s="578">
        <v>3.8475697701392884E-2</v>
      </c>
      <c r="CL88" s="578">
        <v>3.2700896202379884E-2</v>
      </c>
      <c r="CM88" s="578">
        <v>3.410499323313626E-2</v>
      </c>
      <c r="CN88" s="578">
        <v>7.4175028946352759E-3</v>
      </c>
      <c r="CO88" s="578">
        <v>3.8435257943286644E-2</v>
      </c>
      <c r="CP88" s="578">
        <v>4.5548432093135548E-2</v>
      </c>
      <c r="CQ88" s="578">
        <v>1.1594572211250558E-2</v>
      </c>
      <c r="CR88" s="578">
        <v>8.1552665195679941E-3</v>
      </c>
      <c r="CS88" s="578">
        <v>1.7742117753418465E-2</v>
      </c>
      <c r="CT88" s="578">
        <v>8.3403808579510658E-3</v>
      </c>
      <c r="CU88" s="578">
        <v>1.4712284152653047E-2</v>
      </c>
      <c r="CV88" s="578">
        <v>1.4955424903818156E-2</v>
      </c>
      <c r="CW88" s="578">
        <v>1.6774596239369586E-2</v>
      </c>
      <c r="CX88" s="578">
        <v>1.1050670321668737E-2</v>
      </c>
      <c r="CY88" s="578">
        <v>3.2328967854199104E-3</v>
      </c>
      <c r="CZ88" s="578">
        <v>7.7524893314366997E-3</v>
      </c>
      <c r="DA88" s="578">
        <v>2.5165449444218373E-2</v>
      </c>
      <c r="DB88" s="578">
        <v>1.7436508366274975E-2</v>
      </c>
      <c r="DC88" s="578">
        <v>1.6678752719361856E-2</v>
      </c>
      <c r="DD88" s="578">
        <v>9.1304347826086957E-2</v>
      </c>
      <c r="DE88" s="578">
        <v>3.6709251821832917E-3</v>
      </c>
      <c r="DF88" s="578">
        <v>3.0942966690630243E-2</v>
      </c>
      <c r="DG88" s="578">
        <v>3.3740056995260601E-2</v>
      </c>
      <c r="DH88" s="578">
        <v>2.8567868510778083E-2</v>
      </c>
      <c r="DI88" s="578">
        <v>1.4008477944098556E-2</v>
      </c>
      <c r="DJ88" s="578">
        <v>1.9816372423560984E-2</v>
      </c>
      <c r="DK88" s="578">
        <v>3.0003599755506538E-2</v>
      </c>
      <c r="DL88" s="578">
        <v>5.1210828009393703E-3</v>
      </c>
      <c r="DM88" s="578">
        <v>6.1361836896278703E-3</v>
      </c>
      <c r="DN88" s="578">
        <v>1.2065692828257819E-2</v>
      </c>
      <c r="DO88" s="578">
        <v>0</v>
      </c>
      <c r="DP88" s="578">
        <v>6.5512708150744963E-3</v>
      </c>
      <c r="DQ88" s="578">
        <v>8.5100347493085595E-4</v>
      </c>
      <c r="DR88" s="578">
        <v>1.8957014095215229E-2</v>
      </c>
      <c r="DS88" s="578">
        <v>1.5620393041650108E-2</v>
      </c>
      <c r="DT88" s="578">
        <v>1.7720079598218516E-2</v>
      </c>
      <c r="DU88" s="578">
        <v>1.5208943814498662E-2</v>
      </c>
      <c r="DV88" s="578">
        <v>5.5746303639980233E-3</v>
      </c>
      <c r="DW88" s="578">
        <v>2.0785920194204218E-2</v>
      </c>
      <c r="DX88" s="578">
        <v>1.5941700325453396E-2</v>
      </c>
      <c r="DY88" s="578">
        <v>0</v>
      </c>
      <c r="DZ88" s="578">
        <v>9.9194486874834738E-4</v>
      </c>
      <c r="EA88" s="578">
        <v>1.555916154149221E-3</v>
      </c>
      <c r="EB88" s="578">
        <v>1.1949078542212417E-3</v>
      </c>
      <c r="EC88" s="578">
        <v>7.7067284020465642E-4</v>
      </c>
      <c r="ED88" s="578">
        <v>7.28170708541759E-4</v>
      </c>
      <c r="EE88" s="578">
        <v>2.4628045956959926E-4</v>
      </c>
      <c r="EF88" s="578">
        <v>0</v>
      </c>
      <c r="EG88" s="578">
        <v>0</v>
      </c>
      <c r="EH88" s="578">
        <v>2.1831735889243876E-4</v>
      </c>
      <c r="EI88" s="578">
        <v>0</v>
      </c>
      <c r="EJ88" s="578">
        <v>1.6177201469968375E-5</v>
      </c>
      <c r="EK88" s="578">
        <v>1.0198369620643313E-5</v>
      </c>
      <c r="EL88" s="578">
        <v>0</v>
      </c>
      <c r="EM88" s="578">
        <v>0</v>
      </c>
      <c r="EN88" s="578">
        <v>0</v>
      </c>
      <c r="EO88" s="578">
        <v>0</v>
      </c>
      <c r="EP88" s="578">
        <v>0</v>
      </c>
      <c r="EQ88" s="578">
        <v>0</v>
      </c>
      <c r="ER88" s="578">
        <v>0</v>
      </c>
      <c r="ES88" s="578">
        <v>0</v>
      </c>
      <c r="ET88" s="578">
        <v>0</v>
      </c>
      <c r="EU88" s="578">
        <v>7.0403529563615463E-5</v>
      </c>
      <c r="EV88" s="578">
        <v>3.0177291588079971E-4</v>
      </c>
      <c r="EW88" s="578">
        <v>0</v>
      </c>
      <c r="EX88" s="578">
        <v>0</v>
      </c>
      <c r="EY88" s="578">
        <v>0</v>
      </c>
      <c r="EZ88" s="578">
        <v>0</v>
      </c>
      <c r="FA88" s="578">
        <v>1.9655805014414258E-4</v>
      </c>
      <c r="FB88" s="578">
        <v>0</v>
      </c>
      <c r="FC88" s="578">
        <v>0</v>
      </c>
      <c r="FD88" s="578">
        <v>0</v>
      </c>
      <c r="FE88" s="578">
        <v>0</v>
      </c>
      <c r="FF88" s="578">
        <v>0</v>
      </c>
      <c r="FG88" s="578">
        <v>0</v>
      </c>
      <c r="FH88" s="578">
        <v>5.3649813038530319E-4</v>
      </c>
      <c r="FI88" s="578">
        <v>1.4093522264829029E-4</v>
      </c>
      <c r="FJ88" s="578">
        <v>2.8475912225848155E-5</v>
      </c>
      <c r="FK88" s="578">
        <v>0</v>
      </c>
      <c r="FL88" s="578">
        <v>0</v>
      </c>
      <c r="FM88" s="578">
        <v>0</v>
      </c>
      <c r="FN88" s="578">
        <v>4.6691008245632059E-5</v>
      </c>
      <c r="FO88" s="578">
        <v>1.7215828659675697E-3</v>
      </c>
      <c r="FP88" s="578">
        <v>0</v>
      </c>
      <c r="FQ88" s="578">
        <v>1.4192923575280937E-4</v>
      </c>
      <c r="FR88" s="578">
        <v>3.6886499307794491E-4</v>
      </c>
      <c r="FS88" s="578">
        <v>2.0743398553568426E-4</v>
      </c>
      <c r="FT88" s="578">
        <v>0</v>
      </c>
      <c r="FU88" s="578">
        <v>0</v>
      </c>
      <c r="FV88" s="578">
        <v>0</v>
      </c>
      <c r="FW88" s="578">
        <v>5.3349284230436579E-4</v>
      </c>
      <c r="FX88" s="578">
        <v>0</v>
      </c>
      <c r="FY88" s="578">
        <v>0</v>
      </c>
      <c r="FZ88" s="578">
        <v>6.4534850985130995E-4</v>
      </c>
      <c r="GA88" s="578">
        <v>3.348978234908769E-4</v>
      </c>
      <c r="GB88" s="578">
        <v>7.3578311377753877E-4</v>
      </c>
      <c r="GC88" s="578">
        <v>0</v>
      </c>
      <c r="GD88" s="578">
        <v>3.593727434246543E-4</v>
      </c>
      <c r="GE88" s="578">
        <v>9.4679389596405894E-4</v>
      </c>
      <c r="GF88" s="578">
        <v>5.6785013002175872E-4</v>
      </c>
      <c r="GG88" s="579">
        <v>4.5596127085972245E-3</v>
      </c>
      <c r="GH88" s="572"/>
    </row>
    <row r="89" spans="1:190">
      <c r="A89" s="572" t="s">
        <v>9320</v>
      </c>
      <c r="B89" s="577" t="s">
        <v>431</v>
      </c>
      <c r="C89" s="573" t="s">
        <v>432</v>
      </c>
      <c r="D89" s="578">
        <v>0</v>
      </c>
      <c r="E89" s="578">
        <v>0</v>
      </c>
      <c r="F89" s="578">
        <v>0</v>
      </c>
      <c r="G89" s="578">
        <v>0</v>
      </c>
      <c r="H89" s="578">
        <v>0</v>
      </c>
      <c r="I89" s="578">
        <v>0</v>
      </c>
      <c r="J89" s="578">
        <v>0</v>
      </c>
      <c r="K89" s="578">
        <v>0</v>
      </c>
      <c r="L89" s="578">
        <v>1.5060240963855423E-4</v>
      </c>
      <c r="M89" s="578">
        <v>0</v>
      </c>
      <c r="N89" s="578">
        <v>0</v>
      </c>
      <c r="O89" s="578">
        <v>1.9707453796969431E-4</v>
      </c>
      <c r="P89" s="578">
        <v>0</v>
      </c>
      <c r="Q89" s="578">
        <v>0</v>
      </c>
      <c r="R89" s="578">
        <v>0</v>
      </c>
      <c r="S89" s="578">
        <v>0</v>
      </c>
      <c r="T89" s="578">
        <v>0</v>
      </c>
      <c r="U89" s="578">
        <v>0</v>
      </c>
      <c r="V89" s="578">
        <v>0</v>
      </c>
      <c r="W89" s="578">
        <v>0</v>
      </c>
      <c r="X89" s="578">
        <v>0</v>
      </c>
      <c r="Y89" s="578">
        <v>0</v>
      </c>
      <c r="Z89" s="578">
        <v>0</v>
      </c>
      <c r="AA89" s="578">
        <v>0</v>
      </c>
      <c r="AB89" s="578">
        <v>0</v>
      </c>
      <c r="AC89" s="578">
        <v>0</v>
      </c>
      <c r="AD89" s="578">
        <v>0</v>
      </c>
      <c r="AE89" s="578">
        <v>0</v>
      </c>
      <c r="AF89" s="578">
        <v>0</v>
      </c>
      <c r="AG89" s="578">
        <v>0</v>
      </c>
      <c r="AH89" s="578">
        <v>0</v>
      </c>
      <c r="AI89" s="578">
        <v>0</v>
      </c>
      <c r="AJ89" s="578">
        <v>0</v>
      </c>
      <c r="AK89" s="578">
        <v>0</v>
      </c>
      <c r="AL89" s="578">
        <v>0</v>
      </c>
      <c r="AM89" s="578">
        <v>0</v>
      </c>
      <c r="AN89" s="578">
        <v>0</v>
      </c>
      <c r="AO89" s="578">
        <v>0</v>
      </c>
      <c r="AP89" s="578">
        <v>0</v>
      </c>
      <c r="AQ89" s="578">
        <v>0</v>
      </c>
      <c r="AR89" s="578">
        <v>0</v>
      </c>
      <c r="AS89" s="578">
        <v>0</v>
      </c>
      <c r="AT89" s="578">
        <v>0</v>
      </c>
      <c r="AU89" s="578">
        <v>0</v>
      </c>
      <c r="AV89" s="578">
        <v>0</v>
      </c>
      <c r="AW89" s="578">
        <v>0</v>
      </c>
      <c r="AX89" s="578">
        <v>0</v>
      </c>
      <c r="AY89" s="578">
        <v>0</v>
      </c>
      <c r="AZ89" s="578">
        <v>0</v>
      </c>
      <c r="BA89" s="578">
        <v>0</v>
      </c>
      <c r="BB89" s="578">
        <v>0</v>
      </c>
      <c r="BC89" s="578">
        <v>0</v>
      </c>
      <c r="BD89" s="578">
        <v>0</v>
      </c>
      <c r="BE89" s="578">
        <v>0</v>
      </c>
      <c r="BF89" s="578">
        <v>0</v>
      </c>
      <c r="BG89" s="578">
        <v>0</v>
      </c>
      <c r="BH89" s="578">
        <v>0</v>
      </c>
      <c r="BI89" s="578">
        <v>0</v>
      </c>
      <c r="BJ89" s="578">
        <v>0</v>
      </c>
      <c r="BK89" s="578">
        <v>0</v>
      </c>
      <c r="BL89" s="578">
        <v>0</v>
      </c>
      <c r="BM89" s="578">
        <v>0</v>
      </c>
      <c r="BN89" s="578">
        <v>0</v>
      </c>
      <c r="BO89" s="578">
        <v>0</v>
      </c>
      <c r="BP89" s="578">
        <v>0</v>
      </c>
      <c r="BQ89" s="578">
        <v>0</v>
      </c>
      <c r="BR89" s="578">
        <v>0</v>
      </c>
      <c r="BS89" s="578">
        <v>0</v>
      </c>
      <c r="BT89" s="578">
        <v>0</v>
      </c>
      <c r="BU89" s="578">
        <v>0</v>
      </c>
      <c r="BV89" s="578">
        <v>0</v>
      </c>
      <c r="BW89" s="578">
        <v>0</v>
      </c>
      <c r="BX89" s="578">
        <v>0</v>
      </c>
      <c r="BY89" s="578">
        <v>0</v>
      </c>
      <c r="BZ89" s="578">
        <v>0</v>
      </c>
      <c r="CA89" s="578">
        <v>0</v>
      </c>
      <c r="CB89" s="578">
        <v>0</v>
      </c>
      <c r="CC89" s="578">
        <v>0</v>
      </c>
      <c r="CD89" s="578">
        <v>0</v>
      </c>
      <c r="CE89" s="578">
        <v>0</v>
      </c>
      <c r="CF89" s="578">
        <v>0</v>
      </c>
      <c r="CG89" s="578">
        <v>0</v>
      </c>
      <c r="CH89" s="578">
        <v>3.5295615243076853E-2</v>
      </c>
      <c r="CI89" s="578">
        <v>0</v>
      </c>
      <c r="CJ89" s="578">
        <v>0</v>
      </c>
      <c r="CK89" s="578">
        <v>0</v>
      </c>
      <c r="CL89" s="578">
        <v>0</v>
      </c>
      <c r="CM89" s="578">
        <v>0</v>
      </c>
      <c r="CN89" s="578">
        <v>0</v>
      </c>
      <c r="CO89" s="578">
        <v>0</v>
      </c>
      <c r="CP89" s="578">
        <v>0</v>
      </c>
      <c r="CQ89" s="578">
        <v>0</v>
      </c>
      <c r="CR89" s="578">
        <v>0</v>
      </c>
      <c r="CS89" s="578">
        <v>0</v>
      </c>
      <c r="CT89" s="578">
        <v>0</v>
      </c>
      <c r="CU89" s="578">
        <v>0</v>
      </c>
      <c r="CV89" s="578">
        <v>0</v>
      </c>
      <c r="CW89" s="578">
        <v>0</v>
      </c>
      <c r="CX89" s="578">
        <v>0</v>
      </c>
      <c r="CY89" s="578">
        <v>0</v>
      </c>
      <c r="CZ89" s="578">
        <v>0</v>
      </c>
      <c r="DA89" s="578">
        <v>0</v>
      </c>
      <c r="DB89" s="578">
        <v>0</v>
      </c>
      <c r="DC89" s="578">
        <v>0</v>
      </c>
      <c r="DD89" s="578">
        <v>0</v>
      </c>
      <c r="DE89" s="578">
        <v>0</v>
      </c>
      <c r="DF89" s="578">
        <v>0</v>
      </c>
      <c r="DG89" s="578">
        <v>0</v>
      </c>
      <c r="DH89" s="578">
        <v>0</v>
      </c>
      <c r="DI89" s="578">
        <v>0</v>
      </c>
      <c r="DJ89" s="578">
        <v>0</v>
      </c>
      <c r="DK89" s="578">
        <v>0</v>
      </c>
      <c r="DL89" s="578">
        <v>0</v>
      </c>
      <c r="DM89" s="578">
        <v>0</v>
      </c>
      <c r="DN89" s="578">
        <v>0</v>
      </c>
      <c r="DO89" s="578">
        <v>0</v>
      </c>
      <c r="DP89" s="578">
        <v>0</v>
      </c>
      <c r="DQ89" s="578">
        <v>0</v>
      </c>
      <c r="DR89" s="578">
        <v>0</v>
      </c>
      <c r="DS89" s="578">
        <v>0</v>
      </c>
      <c r="DT89" s="578">
        <v>0</v>
      </c>
      <c r="DU89" s="578">
        <v>0</v>
      </c>
      <c r="DV89" s="578">
        <v>0</v>
      </c>
      <c r="DW89" s="578">
        <v>0</v>
      </c>
      <c r="DX89" s="578">
        <v>2.3290450302469401E-4</v>
      </c>
      <c r="DY89" s="578">
        <v>0</v>
      </c>
      <c r="DZ89" s="578">
        <v>1.2661191041171607E-2</v>
      </c>
      <c r="EA89" s="578">
        <v>6.3024620870645268E-2</v>
      </c>
      <c r="EB89" s="578">
        <v>4.0366438408627844E-2</v>
      </c>
      <c r="EC89" s="578">
        <v>2.7184566970552347E-2</v>
      </c>
      <c r="ED89" s="578">
        <v>5.6932999249215292E-2</v>
      </c>
      <c r="EE89" s="578">
        <v>0</v>
      </c>
      <c r="EF89" s="578">
        <v>0</v>
      </c>
      <c r="EG89" s="578">
        <v>0</v>
      </c>
      <c r="EH89" s="578">
        <v>0</v>
      </c>
      <c r="EI89" s="578">
        <v>0</v>
      </c>
      <c r="EJ89" s="578">
        <v>0</v>
      </c>
      <c r="EK89" s="578">
        <v>0</v>
      </c>
      <c r="EL89" s="578">
        <v>0</v>
      </c>
      <c r="EM89" s="578">
        <v>0</v>
      </c>
      <c r="EN89" s="578">
        <v>0</v>
      </c>
      <c r="EO89" s="578">
        <v>0</v>
      </c>
      <c r="EP89" s="578">
        <v>0</v>
      </c>
      <c r="EQ89" s="578">
        <v>0</v>
      </c>
      <c r="ER89" s="578">
        <v>0</v>
      </c>
      <c r="ES89" s="578">
        <v>0</v>
      </c>
      <c r="ET89" s="578">
        <v>0</v>
      </c>
      <c r="EU89" s="578">
        <v>0</v>
      </c>
      <c r="EV89" s="578">
        <v>0</v>
      </c>
      <c r="EW89" s="578">
        <v>0</v>
      </c>
      <c r="EX89" s="578">
        <v>0</v>
      </c>
      <c r="EY89" s="578">
        <v>0</v>
      </c>
      <c r="EZ89" s="578">
        <v>0</v>
      </c>
      <c r="FA89" s="578">
        <v>0</v>
      </c>
      <c r="FB89" s="578">
        <v>0</v>
      </c>
      <c r="FC89" s="578">
        <v>0</v>
      </c>
      <c r="FD89" s="578">
        <v>0</v>
      </c>
      <c r="FE89" s="578">
        <v>0</v>
      </c>
      <c r="FF89" s="578">
        <v>0</v>
      </c>
      <c r="FG89" s="578">
        <v>0</v>
      </c>
      <c r="FH89" s="578">
        <v>0</v>
      </c>
      <c r="FI89" s="578">
        <v>5.8723009436787616E-6</v>
      </c>
      <c r="FJ89" s="578">
        <v>0</v>
      </c>
      <c r="FK89" s="578">
        <v>0</v>
      </c>
      <c r="FL89" s="578">
        <v>0</v>
      </c>
      <c r="FM89" s="578">
        <v>0</v>
      </c>
      <c r="FN89" s="578">
        <v>0</v>
      </c>
      <c r="FO89" s="578">
        <v>0</v>
      </c>
      <c r="FP89" s="578">
        <v>0</v>
      </c>
      <c r="FQ89" s="578">
        <v>0</v>
      </c>
      <c r="FR89" s="578">
        <v>0</v>
      </c>
      <c r="FS89" s="578">
        <v>0</v>
      </c>
      <c r="FT89" s="578">
        <v>0</v>
      </c>
      <c r="FU89" s="578">
        <v>0</v>
      </c>
      <c r="FV89" s="578">
        <v>0</v>
      </c>
      <c r="FW89" s="578">
        <v>0</v>
      </c>
      <c r="FX89" s="578">
        <v>0</v>
      </c>
      <c r="FY89" s="578">
        <v>0</v>
      </c>
      <c r="FZ89" s="578">
        <v>0</v>
      </c>
      <c r="GA89" s="578">
        <v>0</v>
      </c>
      <c r="GB89" s="578">
        <v>0</v>
      </c>
      <c r="GC89" s="578">
        <v>0</v>
      </c>
      <c r="GD89" s="578">
        <v>0</v>
      </c>
      <c r="GE89" s="578">
        <v>0</v>
      </c>
      <c r="GF89" s="578">
        <v>0</v>
      </c>
      <c r="GG89" s="579">
        <v>1.8211396454674981E-3</v>
      </c>
      <c r="GH89" s="572"/>
    </row>
    <row r="90" spans="1:190">
      <c r="A90" s="572" t="s">
        <v>9321</v>
      </c>
      <c r="B90" s="577" t="s">
        <v>434</v>
      </c>
      <c r="C90" s="573" t="s">
        <v>435</v>
      </c>
      <c r="D90" s="578">
        <v>0</v>
      </c>
      <c r="E90" s="578">
        <v>0</v>
      </c>
      <c r="F90" s="578">
        <v>0</v>
      </c>
      <c r="G90" s="578">
        <v>0</v>
      </c>
      <c r="H90" s="578">
        <v>0</v>
      </c>
      <c r="I90" s="578">
        <v>0</v>
      </c>
      <c r="J90" s="578">
        <v>0</v>
      </c>
      <c r="K90" s="578">
        <v>0</v>
      </c>
      <c r="L90" s="578">
        <v>0</v>
      </c>
      <c r="M90" s="578">
        <v>0</v>
      </c>
      <c r="N90" s="578">
        <v>0</v>
      </c>
      <c r="O90" s="578">
        <v>0</v>
      </c>
      <c r="P90" s="578">
        <v>0</v>
      </c>
      <c r="Q90" s="578">
        <v>0</v>
      </c>
      <c r="R90" s="578">
        <v>0</v>
      </c>
      <c r="S90" s="578">
        <v>0</v>
      </c>
      <c r="T90" s="578">
        <v>0</v>
      </c>
      <c r="U90" s="578">
        <v>0</v>
      </c>
      <c r="V90" s="578">
        <v>0</v>
      </c>
      <c r="W90" s="578">
        <v>0</v>
      </c>
      <c r="X90" s="578">
        <v>0</v>
      </c>
      <c r="Y90" s="578">
        <v>0</v>
      </c>
      <c r="Z90" s="578">
        <v>0</v>
      </c>
      <c r="AA90" s="578">
        <v>0</v>
      </c>
      <c r="AB90" s="578">
        <v>0</v>
      </c>
      <c r="AC90" s="578">
        <v>0</v>
      </c>
      <c r="AD90" s="578">
        <v>0</v>
      </c>
      <c r="AE90" s="578">
        <v>0</v>
      </c>
      <c r="AF90" s="578">
        <v>0</v>
      </c>
      <c r="AG90" s="578">
        <v>0</v>
      </c>
      <c r="AH90" s="578">
        <v>0</v>
      </c>
      <c r="AI90" s="578">
        <v>0</v>
      </c>
      <c r="AJ90" s="578">
        <v>0</v>
      </c>
      <c r="AK90" s="578">
        <v>0</v>
      </c>
      <c r="AL90" s="578">
        <v>0</v>
      </c>
      <c r="AM90" s="578">
        <v>0</v>
      </c>
      <c r="AN90" s="578">
        <v>1.2939958592132506E-4</v>
      </c>
      <c r="AO90" s="578">
        <v>6.4773132104802933E-4</v>
      </c>
      <c r="AP90" s="578">
        <v>0</v>
      </c>
      <c r="AQ90" s="578">
        <v>0</v>
      </c>
      <c r="AR90" s="578">
        <v>0</v>
      </c>
      <c r="AS90" s="578">
        <v>0</v>
      </c>
      <c r="AT90" s="578">
        <v>0</v>
      </c>
      <c r="AU90" s="578">
        <v>0</v>
      </c>
      <c r="AV90" s="578">
        <v>0</v>
      </c>
      <c r="AW90" s="578">
        <v>0</v>
      </c>
      <c r="AX90" s="578">
        <v>0</v>
      </c>
      <c r="AY90" s="578">
        <v>0</v>
      </c>
      <c r="AZ90" s="578">
        <v>0</v>
      </c>
      <c r="BA90" s="578">
        <v>0</v>
      </c>
      <c r="BB90" s="578">
        <v>0</v>
      </c>
      <c r="BC90" s="578">
        <v>0</v>
      </c>
      <c r="BD90" s="578">
        <v>0</v>
      </c>
      <c r="BE90" s="578">
        <v>0</v>
      </c>
      <c r="BF90" s="578">
        <v>0</v>
      </c>
      <c r="BG90" s="578">
        <v>0</v>
      </c>
      <c r="BH90" s="578">
        <v>0</v>
      </c>
      <c r="BI90" s="578">
        <v>0</v>
      </c>
      <c r="BJ90" s="578">
        <v>0</v>
      </c>
      <c r="BK90" s="578">
        <v>0</v>
      </c>
      <c r="BL90" s="578">
        <v>0</v>
      </c>
      <c r="BM90" s="578">
        <v>0</v>
      </c>
      <c r="BN90" s="578">
        <v>0</v>
      </c>
      <c r="BO90" s="578">
        <v>0</v>
      </c>
      <c r="BP90" s="578">
        <v>0</v>
      </c>
      <c r="BQ90" s="578">
        <v>0</v>
      </c>
      <c r="BR90" s="578">
        <v>0</v>
      </c>
      <c r="BS90" s="578">
        <v>1.6184994486986252E-4</v>
      </c>
      <c r="BT90" s="578">
        <v>0</v>
      </c>
      <c r="BU90" s="578">
        <v>0</v>
      </c>
      <c r="BV90" s="578">
        <v>0</v>
      </c>
      <c r="BW90" s="578">
        <v>0</v>
      </c>
      <c r="BX90" s="578">
        <v>0</v>
      </c>
      <c r="BY90" s="578">
        <v>0</v>
      </c>
      <c r="BZ90" s="578">
        <v>0</v>
      </c>
      <c r="CA90" s="578">
        <v>0</v>
      </c>
      <c r="CB90" s="578">
        <v>1.8615040953090098E-5</v>
      </c>
      <c r="CC90" s="578">
        <v>0</v>
      </c>
      <c r="CD90" s="578">
        <v>0</v>
      </c>
      <c r="CE90" s="578">
        <v>0</v>
      </c>
      <c r="CF90" s="578">
        <v>0</v>
      </c>
      <c r="CG90" s="578">
        <v>0</v>
      </c>
      <c r="CH90" s="578">
        <v>3.7031465173064239E-4</v>
      </c>
      <c r="CI90" s="578">
        <v>0</v>
      </c>
      <c r="CJ90" s="578">
        <v>1.7964851377739205E-3</v>
      </c>
      <c r="CK90" s="578">
        <v>1.1422433356531212E-3</v>
      </c>
      <c r="CL90" s="578">
        <v>0</v>
      </c>
      <c r="CM90" s="578">
        <v>0</v>
      </c>
      <c r="CN90" s="578">
        <v>0</v>
      </c>
      <c r="CO90" s="578">
        <v>3.4164673727365904E-4</v>
      </c>
      <c r="CP90" s="578">
        <v>9.3886638590090932E-4</v>
      </c>
      <c r="CQ90" s="578">
        <v>0</v>
      </c>
      <c r="CR90" s="578">
        <v>0</v>
      </c>
      <c r="CS90" s="578">
        <v>1.1300711944852526E-4</v>
      </c>
      <c r="CT90" s="578">
        <v>2.6245953748797062E-4</v>
      </c>
      <c r="CU90" s="578">
        <v>0</v>
      </c>
      <c r="CV90" s="578">
        <v>1.0531989368886026E-4</v>
      </c>
      <c r="CW90" s="578">
        <v>0</v>
      </c>
      <c r="CX90" s="578">
        <v>1.7132822204137576E-4</v>
      </c>
      <c r="CY90" s="578">
        <v>0</v>
      </c>
      <c r="CZ90" s="578">
        <v>0</v>
      </c>
      <c r="DA90" s="578">
        <v>0</v>
      </c>
      <c r="DB90" s="578">
        <v>0</v>
      </c>
      <c r="DC90" s="578">
        <v>0</v>
      </c>
      <c r="DD90" s="578">
        <v>0</v>
      </c>
      <c r="DE90" s="578">
        <v>0</v>
      </c>
      <c r="DF90" s="578">
        <v>3.9939292275740873E-5</v>
      </c>
      <c r="DG90" s="578">
        <v>0</v>
      </c>
      <c r="DH90" s="578">
        <v>0</v>
      </c>
      <c r="DI90" s="578">
        <v>0</v>
      </c>
      <c r="DJ90" s="578">
        <v>0</v>
      </c>
      <c r="DK90" s="578">
        <v>0</v>
      </c>
      <c r="DL90" s="578">
        <v>1.464609479558597E-4</v>
      </c>
      <c r="DM90" s="578">
        <v>0</v>
      </c>
      <c r="DN90" s="578">
        <v>0</v>
      </c>
      <c r="DO90" s="578">
        <v>0</v>
      </c>
      <c r="DP90" s="578">
        <v>0</v>
      </c>
      <c r="DQ90" s="578">
        <v>0</v>
      </c>
      <c r="DR90" s="578">
        <v>0</v>
      </c>
      <c r="DS90" s="578">
        <v>3.8682425936133937E-3</v>
      </c>
      <c r="DT90" s="578">
        <v>1.5380241856125491E-2</v>
      </c>
      <c r="DU90" s="578">
        <v>0</v>
      </c>
      <c r="DV90" s="578">
        <v>0</v>
      </c>
      <c r="DW90" s="578">
        <v>0</v>
      </c>
      <c r="DX90" s="578">
        <v>1.0419411977420521E-2</v>
      </c>
      <c r="DY90" s="578">
        <v>0</v>
      </c>
      <c r="DZ90" s="578">
        <v>4.157579452426223E-2</v>
      </c>
      <c r="EA90" s="578">
        <v>5.237360685404438E-2</v>
      </c>
      <c r="EB90" s="578">
        <v>5.811005407724007E-2</v>
      </c>
      <c r="EC90" s="578">
        <v>2.4312893173123089E-3</v>
      </c>
      <c r="ED90" s="578">
        <v>3.9076987091930422E-3</v>
      </c>
      <c r="EE90" s="578">
        <v>0</v>
      </c>
      <c r="EF90" s="578">
        <v>0</v>
      </c>
      <c r="EG90" s="578">
        <v>0</v>
      </c>
      <c r="EH90" s="578">
        <v>0</v>
      </c>
      <c r="EI90" s="578">
        <v>0</v>
      </c>
      <c r="EJ90" s="578">
        <v>0</v>
      </c>
      <c r="EK90" s="578">
        <v>0</v>
      </c>
      <c r="EL90" s="578">
        <v>0</v>
      </c>
      <c r="EM90" s="578">
        <v>0</v>
      </c>
      <c r="EN90" s="578">
        <v>0</v>
      </c>
      <c r="EO90" s="578">
        <v>9.4549050274487717E-5</v>
      </c>
      <c r="EP90" s="578">
        <v>6.5291929544411574E-6</v>
      </c>
      <c r="EQ90" s="578">
        <v>3.0504441785662233E-5</v>
      </c>
      <c r="ER90" s="578">
        <v>0</v>
      </c>
      <c r="ES90" s="578">
        <v>0</v>
      </c>
      <c r="ET90" s="578">
        <v>0</v>
      </c>
      <c r="EU90" s="578">
        <v>0</v>
      </c>
      <c r="EV90" s="578">
        <v>1.9803847604677482E-3</v>
      </c>
      <c r="EW90" s="578">
        <v>2.8195854237156304E-4</v>
      </c>
      <c r="EX90" s="578">
        <v>0</v>
      </c>
      <c r="EY90" s="578">
        <v>0</v>
      </c>
      <c r="EZ90" s="578">
        <v>0</v>
      </c>
      <c r="FA90" s="578">
        <v>0</v>
      </c>
      <c r="FB90" s="578">
        <v>1.3491771705730968E-5</v>
      </c>
      <c r="FC90" s="578">
        <v>0</v>
      </c>
      <c r="FD90" s="578">
        <v>0</v>
      </c>
      <c r="FE90" s="578">
        <v>0</v>
      </c>
      <c r="FF90" s="578">
        <v>0</v>
      </c>
      <c r="FG90" s="578">
        <v>0</v>
      </c>
      <c r="FH90" s="578">
        <v>0</v>
      </c>
      <c r="FI90" s="578">
        <v>2.9361504718393808E-6</v>
      </c>
      <c r="FJ90" s="578">
        <v>0</v>
      </c>
      <c r="FK90" s="578">
        <v>0</v>
      </c>
      <c r="FL90" s="578">
        <v>0</v>
      </c>
      <c r="FM90" s="578">
        <v>0</v>
      </c>
      <c r="FN90" s="578">
        <v>0</v>
      </c>
      <c r="FO90" s="578">
        <v>0</v>
      </c>
      <c r="FP90" s="578">
        <v>0</v>
      </c>
      <c r="FQ90" s="578">
        <v>0</v>
      </c>
      <c r="FR90" s="578">
        <v>0</v>
      </c>
      <c r="FS90" s="578">
        <v>0</v>
      </c>
      <c r="FT90" s="578">
        <v>1.2451168075205054E-4</v>
      </c>
      <c r="FU90" s="578">
        <v>0</v>
      </c>
      <c r="FV90" s="578">
        <v>0</v>
      </c>
      <c r="FW90" s="578">
        <v>3.1524577045257974E-4</v>
      </c>
      <c r="FX90" s="578">
        <v>0</v>
      </c>
      <c r="FY90" s="578">
        <v>0</v>
      </c>
      <c r="FZ90" s="578">
        <v>0</v>
      </c>
      <c r="GA90" s="578">
        <v>0</v>
      </c>
      <c r="GB90" s="578">
        <v>0</v>
      </c>
      <c r="GC90" s="578">
        <v>0</v>
      </c>
      <c r="GD90" s="578">
        <v>0</v>
      </c>
      <c r="GE90" s="578">
        <v>0</v>
      </c>
      <c r="GF90" s="578">
        <v>4.7232393992464048E-4</v>
      </c>
      <c r="GG90" s="579">
        <v>1.8322540158812802E-3</v>
      </c>
      <c r="GH90" s="572"/>
    </row>
    <row r="91" spans="1:190">
      <c r="A91" s="572" t="s">
        <v>9322</v>
      </c>
      <c r="B91" s="577" t="s">
        <v>436</v>
      </c>
      <c r="C91" s="573" t="s">
        <v>9524</v>
      </c>
      <c r="D91" s="578">
        <v>0</v>
      </c>
      <c r="E91" s="578">
        <v>0</v>
      </c>
      <c r="F91" s="578">
        <v>0</v>
      </c>
      <c r="G91" s="578">
        <v>0</v>
      </c>
      <c r="H91" s="578">
        <v>0</v>
      </c>
      <c r="I91" s="578">
        <v>0</v>
      </c>
      <c r="J91" s="578">
        <v>0</v>
      </c>
      <c r="K91" s="578">
        <v>0</v>
      </c>
      <c r="L91" s="578">
        <v>0</v>
      </c>
      <c r="M91" s="578">
        <v>0</v>
      </c>
      <c r="N91" s="578">
        <v>0</v>
      </c>
      <c r="O91" s="578">
        <v>0</v>
      </c>
      <c r="P91" s="578">
        <v>0</v>
      </c>
      <c r="Q91" s="578">
        <v>0</v>
      </c>
      <c r="R91" s="578">
        <v>0</v>
      </c>
      <c r="S91" s="578">
        <v>0</v>
      </c>
      <c r="T91" s="578">
        <v>0</v>
      </c>
      <c r="U91" s="578">
        <v>0</v>
      </c>
      <c r="V91" s="578">
        <v>0</v>
      </c>
      <c r="W91" s="578">
        <v>0</v>
      </c>
      <c r="X91" s="578">
        <v>0</v>
      </c>
      <c r="Y91" s="578">
        <v>0</v>
      </c>
      <c r="Z91" s="578">
        <v>0</v>
      </c>
      <c r="AA91" s="578">
        <v>0</v>
      </c>
      <c r="AB91" s="578">
        <v>0</v>
      </c>
      <c r="AC91" s="578">
        <v>0</v>
      </c>
      <c r="AD91" s="578">
        <v>0</v>
      </c>
      <c r="AE91" s="578">
        <v>0</v>
      </c>
      <c r="AF91" s="578">
        <v>0</v>
      </c>
      <c r="AG91" s="578">
        <v>0</v>
      </c>
      <c r="AH91" s="578">
        <v>0</v>
      </c>
      <c r="AI91" s="578">
        <v>0</v>
      </c>
      <c r="AJ91" s="578">
        <v>0</v>
      </c>
      <c r="AK91" s="578">
        <v>0</v>
      </c>
      <c r="AL91" s="578">
        <v>0</v>
      </c>
      <c r="AM91" s="578">
        <v>0</v>
      </c>
      <c r="AN91" s="578">
        <v>0</v>
      </c>
      <c r="AO91" s="578">
        <v>8.7443728341483949E-4</v>
      </c>
      <c r="AP91" s="578">
        <v>0</v>
      </c>
      <c r="AQ91" s="578">
        <v>0</v>
      </c>
      <c r="AR91" s="578">
        <v>0</v>
      </c>
      <c r="AS91" s="578">
        <v>0</v>
      </c>
      <c r="AT91" s="578">
        <v>0</v>
      </c>
      <c r="AU91" s="578">
        <v>0</v>
      </c>
      <c r="AV91" s="578">
        <v>0</v>
      </c>
      <c r="AW91" s="578">
        <v>0</v>
      </c>
      <c r="AX91" s="578">
        <v>0</v>
      </c>
      <c r="AY91" s="578">
        <v>0</v>
      </c>
      <c r="AZ91" s="578">
        <v>0</v>
      </c>
      <c r="BA91" s="578">
        <v>0</v>
      </c>
      <c r="BB91" s="578">
        <v>0</v>
      </c>
      <c r="BC91" s="578">
        <v>0</v>
      </c>
      <c r="BD91" s="578">
        <v>0</v>
      </c>
      <c r="BE91" s="578">
        <v>0</v>
      </c>
      <c r="BF91" s="578">
        <v>0</v>
      </c>
      <c r="BG91" s="578">
        <v>0</v>
      </c>
      <c r="BH91" s="578">
        <v>0</v>
      </c>
      <c r="BI91" s="578">
        <v>0</v>
      </c>
      <c r="BJ91" s="578">
        <v>0</v>
      </c>
      <c r="BK91" s="578">
        <v>0</v>
      </c>
      <c r="BL91" s="578">
        <v>0</v>
      </c>
      <c r="BM91" s="578">
        <v>4.580044289028275E-6</v>
      </c>
      <c r="BN91" s="578">
        <v>0</v>
      </c>
      <c r="BO91" s="578">
        <v>0</v>
      </c>
      <c r="BP91" s="578">
        <v>0</v>
      </c>
      <c r="BQ91" s="578">
        <v>0</v>
      </c>
      <c r="BR91" s="578">
        <v>0</v>
      </c>
      <c r="BS91" s="578">
        <v>0</v>
      </c>
      <c r="BT91" s="578">
        <v>0</v>
      </c>
      <c r="BU91" s="578">
        <v>0</v>
      </c>
      <c r="BV91" s="578">
        <v>0</v>
      </c>
      <c r="BW91" s="578">
        <v>0</v>
      </c>
      <c r="BX91" s="578">
        <v>0</v>
      </c>
      <c r="BY91" s="578">
        <v>0</v>
      </c>
      <c r="BZ91" s="578">
        <v>0</v>
      </c>
      <c r="CA91" s="578">
        <v>0</v>
      </c>
      <c r="CB91" s="578">
        <v>1.8615040953090098E-5</v>
      </c>
      <c r="CC91" s="578">
        <v>0</v>
      </c>
      <c r="CD91" s="578">
        <v>0</v>
      </c>
      <c r="CE91" s="578">
        <v>0</v>
      </c>
      <c r="CF91" s="578">
        <v>0</v>
      </c>
      <c r="CG91" s="578">
        <v>0</v>
      </c>
      <c r="CH91" s="578">
        <v>2.3144665733165149E-5</v>
      </c>
      <c r="CI91" s="578">
        <v>6.4665356778670379E-4</v>
      </c>
      <c r="CJ91" s="578">
        <v>0.17353872857452809</v>
      </c>
      <c r="CK91" s="578">
        <v>8.0688270951213855E-5</v>
      </c>
      <c r="CL91" s="578">
        <v>3.4619188921859544E-4</v>
      </c>
      <c r="CM91" s="578">
        <v>9.4973526129591381E-6</v>
      </c>
      <c r="CN91" s="578">
        <v>0</v>
      </c>
      <c r="CO91" s="578">
        <v>0</v>
      </c>
      <c r="CP91" s="578">
        <v>3.0401387733934208E-4</v>
      </c>
      <c r="CQ91" s="578">
        <v>1.2741288144231381E-4</v>
      </c>
      <c r="CR91" s="578">
        <v>0</v>
      </c>
      <c r="CS91" s="578">
        <v>1.6951067917278788E-4</v>
      </c>
      <c r="CT91" s="578">
        <v>0</v>
      </c>
      <c r="CU91" s="578">
        <v>5.6430678941682924E-5</v>
      </c>
      <c r="CV91" s="578">
        <v>2.5400680242607473E-4</v>
      </c>
      <c r="CW91" s="578">
        <v>0</v>
      </c>
      <c r="CX91" s="578">
        <v>9.9941462857469201E-5</v>
      </c>
      <c r="CY91" s="578">
        <v>0</v>
      </c>
      <c r="CZ91" s="578">
        <v>0</v>
      </c>
      <c r="DA91" s="578">
        <v>1.4992182647619455E-4</v>
      </c>
      <c r="DB91" s="578">
        <v>0</v>
      </c>
      <c r="DC91" s="578">
        <v>0</v>
      </c>
      <c r="DD91" s="578">
        <v>0</v>
      </c>
      <c r="DE91" s="578">
        <v>0</v>
      </c>
      <c r="DF91" s="578">
        <v>9.9848230689352183E-6</v>
      </c>
      <c r="DG91" s="578">
        <v>2.6244939647574202E-5</v>
      </c>
      <c r="DH91" s="578">
        <v>0</v>
      </c>
      <c r="DI91" s="578">
        <v>0</v>
      </c>
      <c r="DJ91" s="578">
        <v>0</v>
      </c>
      <c r="DK91" s="578">
        <v>0</v>
      </c>
      <c r="DL91" s="578">
        <v>1.01007550314386E-5</v>
      </c>
      <c r="DM91" s="578">
        <v>0</v>
      </c>
      <c r="DN91" s="578">
        <v>0</v>
      </c>
      <c r="DO91" s="578">
        <v>0</v>
      </c>
      <c r="DP91" s="578">
        <v>0</v>
      </c>
      <c r="DQ91" s="578">
        <v>0</v>
      </c>
      <c r="DR91" s="578">
        <v>0</v>
      </c>
      <c r="DS91" s="578">
        <v>5.7687130642121865E-4</v>
      </c>
      <c r="DT91" s="578">
        <v>1.1589850498217786E-3</v>
      </c>
      <c r="DU91" s="578">
        <v>0</v>
      </c>
      <c r="DV91" s="578">
        <v>0</v>
      </c>
      <c r="DW91" s="578">
        <v>0</v>
      </c>
      <c r="DX91" s="578">
        <v>0</v>
      </c>
      <c r="DY91" s="578">
        <v>0</v>
      </c>
      <c r="DZ91" s="578">
        <v>5.2106577655473465E-3</v>
      </c>
      <c r="EA91" s="578">
        <v>9.117357034900157E-3</v>
      </c>
      <c r="EB91" s="578">
        <v>2.243133109671094E-2</v>
      </c>
      <c r="EC91" s="578">
        <v>3.516959389822837E-4</v>
      </c>
      <c r="ED91" s="578">
        <v>2.0352597443713762E-4</v>
      </c>
      <c r="EE91" s="578">
        <v>0</v>
      </c>
      <c r="EF91" s="578">
        <v>0</v>
      </c>
      <c r="EG91" s="578">
        <v>0</v>
      </c>
      <c r="EH91" s="578">
        <v>2.1299254526091586E-5</v>
      </c>
      <c r="EI91" s="578">
        <v>0</v>
      </c>
      <c r="EJ91" s="578">
        <v>0</v>
      </c>
      <c r="EK91" s="578">
        <v>0</v>
      </c>
      <c r="EL91" s="578">
        <v>0</v>
      </c>
      <c r="EM91" s="578">
        <v>0</v>
      </c>
      <c r="EN91" s="578">
        <v>0</v>
      </c>
      <c r="EO91" s="578">
        <v>1.7137015362250898E-4</v>
      </c>
      <c r="EP91" s="578">
        <v>2.5650400892447402E-5</v>
      </c>
      <c r="EQ91" s="578">
        <v>0</v>
      </c>
      <c r="ER91" s="578">
        <v>0</v>
      </c>
      <c r="ES91" s="578">
        <v>0</v>
      </c>
      <c r="ET91" s="578">
        <v>0</v>
      </c>
      <c r="EU91" s="578">
        <v>0</v>
      </c>
      <c r="EV91" s="578">
        <v>0</v>
      </c>
      <c r="EW91" s="578">
        <v>0</v>
      </c>
      <c r="EX91" s="578">
        <v>0</v>
      </c>
      <c r="EY91" s="578">
        <v>0</v>
      </c>
      <c r="EZ91" s="578">
        <v>0</v>
      </c>
      <c r="FA91" s="578">
        <v>0</v>
      </c>
      <c r="FB91" s="578">
        <v>0</v>
      </c>
      <c r="FC91" s="578">
        <v>0</v>
      </c>
      <c r="FD91" s="578">
        <v>0</v>
      </c>
      <c r="FE91" s="578">
        <v>0</v>
      </c>
      <c r="FF91" s="578">
        <v>0</v>
      </c>
      <c r="FG91" s="578">
        <v>0</v>
      </c>
      <c r="FH91" s="578">
        <v>0</v>
      </c>
      <c r="FI91" s="578">
        <v>2.6425354246554429E-5</v>
      </c>
      <c r="FJ91" s="578">
        <v>0</v>
      </c>
      <c r="FK91" s="578">
        <v>0</v>
      </c>
      <c r="FL91" s="578">
        <v>0</v>
      </c>
      <c r="FM91" s="578">
        <v>0</v>
      </c>
      <c r="FN91" s="578">
        <v>0</v>
      </c>
      <c r="FO91" s="578">
        <v>0</v>
      </c>
      <c r="FP91" s="578">
        <v>0</v>
      </c>
      <c r="FQ91" s="578">
        <v>0</v>
      </c>
      <c r="FR91" s="578">
        <v>0</v>
      </c>
      <c r="FS91" s="578">
        <v>0</v>
      </c>
      <c r="FT91" s="578">
        <v>5.1879866980021062E-5</v>
      </c>
      <c r="FU91" s="578">
        <v>0</v>
      </c>
      <c r="FV91" s="578">
        <v>0</v>
      </c>
      <c r="FW91" s="578">
        <v>0</v>
      </c>
      <c r="FX91" s="578">
        <v>2.4105030663841334E-4</v>
      </c>
      <c r="FY91" s="578">
        <v>4.4627596098834063E-5</v>
      </c>
      <c r="FZ91" s="578">
        <v>0</v>
      </c>
      <c r="GA91" s="578">
        <v>0</v>
      </c>
      <c r="GB91" s="578">
        <v>0</v>
      </c>
      <c r="GC91" s="578">
        <v>0</v>
      </c>
      <c r="GD91" s="578">
        <v>2.88841644247853E-4</v>
      </c>
      <c r="GE91" s="578">
        <v>0</v>
      </c>
      <c r="GF91" s="578">
        <v>3.7149073926657113E-5</v>
      </c>
      <c r="GG91" s="579">
        <v>8.8293790645098597E-4</v>
      </c>
      <c r="GH91" s="572"/>
    </row>
    <row r="92" spans="1:190">
      <c r="A92" s="572" t="s">
        <v>9323</v>
      </c>
      <c r="B92" s="577" t="s">
        <v>438</v>
      </c>
      <c r="C92" s="573" t="s">
        <v>6740</v>
      </c>
      <c r="D92" s="578">
        <v>2.7671159510845311E-3</v>
      </c>
      <c r="E92" s="578">
        <v>5.7028799543769604E-3</v>
      </c>
      <c r="F92" s="578">
        <v>1.2727144170260906E-3</v>
      </c>
      <c r="G92" s="578">
        <v>5.5928411633109618E-4</v>
      </c>
      <c r="H92" s="578">
        <v>0</v>
      </c>
      <c r="I92" s="578">
        <v>8.1446489656295808E-4</v>
      </c>
      <c r="J92" s="578">
        <v>1.5461675981252717E-3</v>
      </c>
      <c r="K92" s="578">
        <v>3.5522716777379133E-5</v>
      </c>
      <c r="L92" s="578">
        <v>7.5301204819277112E-4</v>
      </c>
      <c r="M92" s="578">
        <v>7.2700836059614682E-4</v>
      </c>
      <c r="N92" s="578">
        <v>0</v>
      </c>
      <c r="O92" s="578">
        <v>1.5765963037575545E-3</v>
      </c>
      <c r="P92" s="578">
        <v>0</v>
      </c>
      <c r="Q92" s="578">
        <v>0</v>
      </c>
      <c r="R92" s="578">
        <v>2.7302017975241649E-2</v>
      </c>
      <c r="S92" s="578">
        <v>1.8674136321195146E-3</v>
      </c>
      <c r="T92" s="578">
        <v>2.981862794946907E-3</v>
      </c>
      <c r="U92" s="578">
        <v>6.4171225278298457E-3</v>
      </c>
      <c r="V92" s="578">
        <v>2.6112387716732818E-4</v>
      </c>
      <c r="W92" s="578">
        <v>2.3131977891344044E-3</v>
      </c>
      <c r="X92" s="578">
        <v>1.3947179854642236E-2</v>
      </c>
      <c r="Y92" s="578">
        <v>6.815994665413847E-3</v>
      </c>
      <c r="Z92" s="578">
        <v>1.6963847142853308E-3</v>
      </c>
      <c r="AA92" s="578">
        <v>2.7791265602239296E-2</v>
      </c>
      <c r="AB92" s="578">
        <v>4.8008787433309656E-2</v>
      </c>
      <c r="AC92" s="578">
        <v>1.3129480867236762E-3</v>
      </c>
      <c r="AD92" s="578">
        <v>0</v>
      </c>
      <c r="AE92" s="578">
        <v>4.5065344749887338E-4</v>
      </c>
      <c r="AF92" s="578">
        <v>0</v>
      </c>
      <c r="AG92" s="578">
        <v>0</v>
      </c>
      <c r="AH92" s="578">
        <v>0</v>
      </c>
      <c r="AI92" s="578">
        <v>2.6729034413631807E-4</v>
      </c>
      <c r="AJ92" s="578">
        <v>4.5073678127708757E-3</v>
      </c>
      <c r="AK92" s="578">
        <v>4.9887752556747322E-3</v>
      </c>
      <c r="AL92" s="578">
        <v>5.3495007132667619E-4</v>
      </c>
      <c r="AM92" s="578">
        <v>7.461829870278958E-4</v>
      </c>
      <c r="AN92" s="578">
        <v>1.7943409247757072E-2</v>
      </c>
      <c r="AO92" s="578">
        <v>3.6596819639213657E-2</v>
      </c>
      <c r="AP92" s="578">
        <v>1.0324015247776366E-3</v>
      </c>
      <c r="AQ92" s="578">
        <v>3.9932136058925764E-3</v>
      </c>
      <c r="AR92" s="578">
        <v>6.7297134558849572E-4</v>
      </c>
      <c r="AS92" s="578">
        <v>5.8903222006243742E-4</v>
      </c>
      <c r="AT92" s="578">
        <v>4.1032017407522537E-3</v>
      </c>
      <c r="AU92" s="578">
        <v>5.9717609332308043E-4</v>
      </c>
      <c r="AV92" s="578">
        <v>0</v>
      </c>
      <c r="AW92" s="578">
        <v>2.1992168642385882E-3</v>
      </c>
      <c r="AX92" s="578">
        <v>1.4220037525099025E-2</v>
      </c>
      <c r="AY92" s="578">
        <v>3.1715826197272439E-4</v>
      </c>
      <c r="AZ92" s="578">
        <v>8.8726631552772564E-4</v>
      </c>
      <c r="BA92" s="578">
        <v>1.8048035540746911E-3</v>
      </c>
      <c r="BB92" s="578">
        <v>1.2784644261075893E-2</v>
      </c>
      <c r="BC92" s="578">
        <v>1.1872230239389195E-3</v>
      </c>
      <c r="BD92" s="578">
        <v>7.5758516623405654E-4</v>
      </c>
      <c r="BE92" s="578">
        <v>1.3191426625760842E-2</v>
      </c>
      <c r="BF92" s="578">
        <v>1.026697224975223E-2</v>
      </c>
      <c r="BG92" s="578">
        <v>1.5161410018552876E-2</v>
      </c>
      <c r="BH92" s="578">
        <v>2.915956686637718E-2</v>
      </c>
      <c r="BI92" s="578">
        <v>7.1021957169964756E-3</v>
      </c>
      <c r="BJ92" s="578">
        <v>7.9422352897513832E-3</v>
      </c>
      <c r="BK92" s="578">
        <v>3.8584500055120714E-4</v>
      </c>
      <c r="BL92" s="578">
        <v>1.3954432435175318E-3</v>
      </c>
      <c r="BM92" s="578">
        <v>1.866368047779022E-3</v>
      </c>
      <c r="BN92" s="578">
        <v>1.2888888888888889E-2</v>
      </c>
      <c r="BO92" s="578">
        <v>3.1475454167914162E-2</v>
      </c>
      <c r="BP92" s="578">
        <v>3.2684485764090643E-3</v>
      </c>
      <c r="BQ92" s="578">
        <v>1.6246592110387804E-2</v>
      </c>
      <c r="BR92" s="578">
        <v>1.3111710923580809E-2</v>
      </c>
      <c r="BS92" s="578">
        <v>9.296256208462729E-3</v>
      </c>
      <c r="BT92" s="578">
        <v>1.8940083773447459E-2</v>
      </c>
      <c r="BU92" s="578">
        <v>5.2500290056851145E-3</v>
      </c>
      <c r="BV92" s="578">
        <v>1.2228810133405201E-2</v>
      </c>
      <c r="BW92" s="578">
        <v>3.9438086148555382E-5</v>
      </c>
      <c r="BX92" s="578">
        <v>0</v>
      </c>
      <c r="BY92" s="578">
        <v>4.3792259530446881E-5</v>
      </c>
      <c r="BZ92" s="578">
        <v>3.3112400041942373E-5</v>
      </c>
      <c r="CA92" s="578">
        <v>2.9321650667812356E-4</v>
      </c>
      <c r="CB92" s="578">
        <v>6.5400843881856536E-3</v>
      </c>
      <c r="CC92" s="578">
        <v>2.7826276735050197E-4</v>
      </c>
      <c r="CD92" s="578">
        <v>9.4340389886059576E-4</v>
      </c>
      <c r="CE92" s="578">
        <v>0</v>
      </c>
      <c r="CF92" s="578">
        <v>3.8686246644560238E-3</v>
      </c>
      <c r="CG92" s="578">
        <v>1.9293790520506745E-3</v>
      </c>
      <c r="CH92" s="578">
        <v>4.3708701237082384E-2</v>
      </c>
      <c r="CI92" s="578">
        <v>5.9019573706071082E-2</v>
      </c>
      <c r="CJ92" s="578">
        <v>8.7229333911911483E-2</v>
      </c>
      <c r="CK92" s="578">
        <v>4.5185431732679755E-2</v>
      </c>
      <c r="CL92" s="578">
        <v>3.1980037766387914E-2</v>
      </c>
      <c r="CM92" s="578">
        <v>6.0365173207968276E-2</v>
      </c>
      <c r="CN92" s="578">
        <v>1.7428116557313779E-2</v>
      </c>
      <c r="CO92" s="578">
        <v>2.1523744448240519E-2</v>
      </c>
      <c r="CP92" s="578">
        <v>2.4473117125817036E-2</v>
      </c>
      <c r="CQ92" s="578">
        <v>3.1534688156972669E-2</v>
      </c>
      <c r="CR92" s="578">
        <v>3.7048542561839509E-2</v>
      </c>
      <c r="CS92" s="578">
        <v>3.2659057520623799E-2</v>
      </c>
      <c r="CT92" s="578">
        <v>2.7674900119564902E-2</v>
      </c>
      <c r="CU92" s="578">
        <v>3.2552440223787948E-2</v>
      </c>
      <c r="CV92" s="578">
        <v>3.1366742455688205E-2</v>
      </c>
      <c r="CW92" s="578">
        <v>3.0350315986580324E-2</v>
      </c>
      <c r="CX92" s="578">
        <v>3.290929598378093E-2</v>
      </c>
      <c r="CY92" s="578">
        <v>1.564245810055866E-2</v>
      </c>
      <c r="CZ92" s="578">
        <v>7.9783072546230446E-2</v>
      </c>
      <c r="DA92" s="578">
        <v>3.3004219228545115E-2</v>
      </c>
      <c r="DB92" s="578">
        <v>1.7598960307575677E-2</v>
      </c>
      <c r="DC92" s="578">
        <v>2.4655547498187092E-2</v>
      </c>
      <c r="DD92" s="578">
        <v>1.3526570048309179E-2</v>
      </c>
      <c r="DE92" s="578">
        <v>9.5089683246406317E-3</v>
      </c>
      <c r="DF92" s="578">
        <v>2.8496685038741112E-2</v>
      </c>
      <c r="DG92" s="578">
        <v>3.6589820025326368E-2</v>
      </c>
      <c r="DH92" s="578">
        <v>2.6121135918261009E-2</v>
      </c>
      <c r="DI92" s="578">
        <v>1.1657173135514638E-2</v>
      </c>
      <c r="DJ92" s="578">
        <v>2.6252034439488627E-2</v>
      </c>
      <c r="DK92" s="578">
        <v>1.8477134304703598E-2</v>
      </c>
      <c r="DL92" s="578">
        <v>2.1115628393222393E-2</v>
      </c>
      <c r="DM92" s="578">
        <v>4.5031670625494853E-2</v>
      </c>
      <c r="DN92" s="578">
        <v>1.5928034992159775E-2</v>
      </c>
      <c r="DO92" s="578">
        <v>0</v>
      </c>
      <c r="DP92" s="578">
        <v>7.3838737949167401E-3</v>
      </c>
      <c r="DQ92" s="578">
        <v>3.9634698878724126E-3</v>
      </c>
      <c r="DR92" s="578">
        <v>1.0320485246207763E-2</v>
      </c>
      <c r="DS92" s="578">
        <v>3.3384824438832415E-2</v>
      </c>
      <c r="DT92" s="578">
        <v>1.3565227532819687E-2</v>
      </c>
      <c r="DU92" s="578">
        <v>1.2820104471907249E-3</v>
      </c>
      <c r="DV92" s="578">
        <v>9.4135235464784806E-3</v>
      </c>
      <c r="DW92" s="578">
        <v>1.119371533572717E-2</v>
      </c>
      <c r="DX92" s="578">
        <v>2.4497876278676368E-2</v>
      </c>
      <c r="DY92" s="578">
        <v>1.7391029390839672E-4</v>
      </c>
      <c r="DZ92" s="578">
        <v>1.2460781127112092E-2</v>
      </c>
      <c r="EA92" s="578">
        <v>1.1879720335757358E-2</v>
      </c>
      <c r="EB92" s="578">
        <v>5.1756361352390583E-2</v>
      </c>
      <c r="EC92" s="578">
        <v>7.1531895763440141E-3</v>
      </c>
      <c r="ED92" s="578">
        <v>6.0153232444754004E-3</v>
      </c>
      <c r="EE92" s="578">
        <v>3.1554683882354902E-4</v>
      </c>
      <c r="EF92" s="578">
        <v>1.3181103877361214E-3</v>
      </c>
      <c r="EG92" s="578">
        <v>0</v>
      </c>
      <c r="EH92" s="578">
        <v>7.6677316293929714E-4</v>
      </c>
      <c r="EI92" s="578">
        <v>1.5173995144321555E-4</v>
      </c>
      <c r="EJ92" s="578">
        <v>3.8268068810625184E-3</v>
      </c>
      <c r="EK92" s="578">
        <v>1.8510040861467614E-3</v>
      </c>
      <c r="EL92" s="578">
        <v>1.0593536450717674E-4</v>
      </c>
      <c r="EM92" s="578">
        <v>1.2468186334076148E-4</v>
      </c>
      <c r="EN92" s="578">
        <v>4.4046743759762286E-5</v>
      </c>
      <c r="EO92" s="578">
        <v>1.0242813779736169E-4</v>
      </c>
      <c r="EP92" s="578">
        <v>3.4744633936133299E-4</v>
      </c>
      <c r="EQ92" s="578">
        <v>2.5420368154718527E-4</v>
      </c>
      <c r="ER92" s="578">
        <v>4.9019607843137254E-4</v>
      </c>
      <c r="ES92" s="578">
        <v>3.8102754965265259E-4</v>
      </c>
      <c r="ET92" s="578">
        <v>1.4721256779264627E-3</v>
      </c>
      <c r="EU92" s="578">
        <v>2.346784318787182E-5</v>
      </c>
      <c r="EV92" s="578">
        <v>5.3376084496416449E-3</v>
      </c>
      <c r="EW92" s="578">
        <v>2.4695679228405863E-3</v>
      </c>
      <c r="EX92" s="578">
        <v>9.6365108121651311E-5</v>
      </c>
      <c r="EY92" s="578">
        <v>1.0145501336236761E-3</v>
      </c>
      <c r="EZ92" s="578">
        <v>2.6593895571160398E-3</v>
      </c>
      <c r="FA92" s="578">
        <v>2.6753734602952738E-2</v>
      </c>
      <c r="FB92" s="578">
        <v>4.9244966725918026E-4</v>
      </c>
      <c r="FC92" s="578">
        <v>2.1656271656271656E-5</v>
      </c>
      <c r="FD92" s="578">
        <v>7.085568075579393E-4</v>
      </c>
      <c r="FE92" s="578">
        <v>6.296171927468099E-5</v>
      </c>
      <c r="FF92" s="578">
        <v>2.161448853294503E-4</v>
      </c>
      <c r="FG92" s="578">
        <v>3.1315240083507306E-4</v>
      </c>
      <c r="FH92" s="578">
        <v>4.0643797756462365E-4</v>
      </c>
      <c r="FI92" s="578">
        <v>9.9917200556694126E-3</v>
      </c>
      <c r="FJ92" s="578">
        <v>1.5627580629545468E-3</v>
      </c>
      <c r="FK92" s="578">
        <v>1.3523997978518197E-4</v>
      </c>
      <c r="FL92" s="578">
        <v>1.6989022477783587E-4</v>
      </c>
      <c r="FM92" s="578">
        <v>1.2233983676370353E-4</v>
      </c>
      <c r="FN92" s="578">
        <v>2.6707256716501535E-4</v>
      </c>
      <c r="FO92" s="578">
        <v>2.5598456764602633E-4</v>
      </c>
      <c r="FP92" s="578">
        <v>7.8782340150631829E-5</v>
      </c>
      <c r="FQ92" s="578">
        <v>5.732827953937006E-4</v>
      </c>
      <c r="FR92" s="578">
        <v>5.3695536967042609E-4</v>
      </c>
      <c r="FS92" s="578">
        <v>2.2481358972921456E-3</v>
      </c>
      <c r="FT92" s="578">
        <v>3.9428698904816009E-4</v>
      </c>
      <c r="FU92" s="578">
        <v>2.2987717010910587E-3</v>
      </c>
      <c r="FV92" s="578">
        <v>0</v>
      </c>
      <c r="FW92" s="578">
        <v>1.4145643545949091E-3</v>
      </c>
      <c r="FX92" s="578">
        <v>8.049959077506082E-3</v>
      </c>
      <c r="FY92" s="578">
        <v>1.9189866322498646E-4</v>
      </c>
      <c r="FZ92" s="578">
        <v>9.398699774344581E-4</v>
      </c>
      <c r="GA92" s="578">
        <v>2.6350740941013875E-3</v>
      </c>
      <c r="GB92" s="578">
        <v>4.1600045278960846E-3</v>
      </c>
      <c r="GC92" s="578">
        <v>1.3881590036984523E-4</v>
      </c>
      <c r="GD92" s="578">
        <v>4.7155077735347162E-3</v>
      </c>
      <c r="GE92" s="578">
        <v>3.7129172390747411E-4</v>
      </c>
      <c r="GF92" s="578">
        <v>5.3070105609510166E-3</v>
      </c>
      <c r="GG92" s="579">
        <v>7.7306478276462495E-3</v>
      </c>
      <c r="GH92" s="572"/>
    </row>
    <row r="93" spans="1:190">
      <c r="A93" s="572" t="s">
        <v>9324</v>
      </c>
      <c r="B93" s="577" t="s">
        <v>9428</v>
      </c>
      <c r="C93" s="573" t="s">
        <v>9525</v>
      </c>
      <c r="D93" s="578">
        <v>0</v>
      </c>
      <c r="E93" s="578">
        <v>0</v>
      </c>
      <c r="F93" s="578">
        <v>0</v>
      </c>
      <c r="G93" s="578">
        <v>0</v>
      </c>
      <c r="H93" s="578">
        <v>0</v>
      </c>
      <c r="I93" s="578">
        <v>0</v>
      </c>
      <c r="J93" s="578">
        <v>0</v>
      </c>
      <c r="K93" s="578">
        <v>0</v>
      </c>
      <c r="L93" s="578">
        <v>0</v>
      </c>
      <c r="M93" s="578">
        <v>0</v>
      </c>
      <c r="N93" s="578">
        <v>0</v>
      </c>
      <c r="O93" s="578">
        <v>0</v>
      </c>
      <c r="P93" s="578">
        <v>0</v>
      </c>
      <c r="Q93" s="578">
        <v>0</v>
      </c>
      <c r="R93" s="578">
        <v>0</v>
      </c>
      <c r="S93" s="578">
        <v>0</v>
      </c>
      <c r="T93" s="578">
        <v>0</v>
      </c>
      <c r="U93" s="578">
        <v>0</v>
      </c>
      <c r="V93" s="578">
        <v>0</v>
      </c>
      <c r="W93" s="578">
        <v>0</v>
      </c>
      <c r="X93" s="578">
        <v>0</v>
      </c>
      <c r="Y93" s="578">
        <v>0</v>
      </c>
      <c r="Z93" s="578">
        <v>0</v>
      </c>
      <c r="AA93" s="578">
        <v>0</v>
      </c>
      <c r="AB93" s="578">
        <v>0</v>
      </c>
      <c r="AC93" s="578">
        <v>0</v>
      </c>
      <c r="AD93" s="578">
        <v>0</v>
      </c>
      <c r="AE93" s="578">
        <v>0</v>
      </c>
      <c r="AF93" s="578">
        <v>0</v>
      </c>
      <c r="AG93" s="578">
        <v>0</v>
      </c>
      <c r="AH93" s="578">
        <v>0</v>
      </c>
      <c r="AI93" s="578">
        <v>0</v>
      </c>
      <c r="AJ93" s="578">
        <v>0</v>
      </c>
      <c r="AK93" s="578">
        <v>0</v>
      </c>
      <c r="AL93" s="578">
        <v>0</v>
      </c>
      <c r="AM93" s="578">
        <v>0</v>
      </c>
      <c r="AN93" s="578">
        <v>0</v>
      </c>
      <c r="AO93" s="578">
        <v>0</v>
      </c>
      <c r="AP93" s="578">
        <v>0</v>
      </c>
      <c r="AQ93" s="578">
        <v>0</v>
      </c>
      <c r="AR93" s="578">
        <v>0</v>
      </c>
      <c r="AS93" s="578">
        <v>0</v>
      </c>
      <c r="AT93" s="578">
        <v>0</v>
      </c>
      <c r="AU93" s="578">
        <v>0</v>
      </c>
      <c r="AV93" s="578">
        <v>0</v>
      </c>
      <c r="AW93" s="578">
        <v>0</v>
      </c>
      <c r="AX93" s="578">
        <v>0</v>
      </c>
      <c r="AY93" s="578">
        <v>0</v>
      </c>
      <c r="AZ93" s="578">
        <v>0</v>
      </c>
      <c r="BA93" s="578">
        <v>0</v>
      </c>
      <c r="BB93" s="578">
        <v>0</v>
      </c>
      <c r="BC93" s="578">
        <v>0</v>
      </c>
      <c r="BD93" s="578">
        <v>0</v>
      </c>
      <c r="BE93" s="578">
        <v>0</v>
      </c>
      <c r="BF93" s="578">
        <v>0</v>
      </c>
      <c r="BG93" s="578">
        <v>0</v>
      </c>
      <c r="BH93" s="578">
        <v>0</v>
      </c>
      <c r="BI93" s="578">
        <v>0</v>
      </c>
      <c r="BJ93" s="578">
        <v>0</v>
      </c>
      <c r="BK93" s="578">
        <v>0</v>
      </c>
      <c r="BL93" s="578">
        <v>0</v>
      </c>
      <c r="BM93" s="578">
        <v>0</v>
      </c>
      <c r="BN93" s="578">
        <v>0</v>
      </c>
      <c r="BO93" s="578">
        <v>0</v>
      </c>
      <c r="BP93" s="578">
        <v>0</v>
      </c>
      <c r="BQ93" s="578">
        <v>0</v>
      </c>
      <c r="BR93" s="578">
        <v>0</v>
      </c>
      <c r="BS93" s="578">
        <v>0</v>
      </c>
      <c r="BT93" s="578">
        <v>0</v>
      </c>
      <c r="BU93" s="578">
        <v>0</v>
      </c>
      <c r="BV93" s="578">
        <v>0</v>
      </c>
      <c r="BW93" s="578">
        <v>0</v>
      </c>
      <c r="BX93" s="578">
        <v>0</v>
      </c>
      <c r="BY93" s="578">
        <v>0</v>
      </c>
      <c r="BZ93" s="578">
        <v>0</v>
      </c>
      <c r="CA93" s="578">
        <v>0</v>
      </c>
      <c r="CB93" s="578">
        <v>0</v>
      </c>
      <c r="CC93" s="578">
        <v>0</v>
      </c>
      <c r="CD93" s="578">
        <v>0</v>
      </c>
      <c r="CE93" s="578">
        <v>0</v>
      </c>
      <c r="CF93" s="578">
        <v>0</v>
      </c>
      <c r="CG93" s="578">
        <v>0</v>
      </c>
      <c r="CH93" s="578">
        <v>0</v>
      </c>
      <c r="CI93" s="578">
        <v>0</v>
      </c>
      <c r="CJ93" s="578">
        <v>0</v>
      </c>
      <c r="CK93" s="578">
        <v>0</v>
      </c>
      <c r="CL93" s="578">
        <v>0.10559601954260708</v>
      </c>
      <c r="CM93" s="578">
        <v>2.027684782866776E-2</v>
      </c>
      <c r="CN93" s="578">
        <v>1.2664029332304129E-3</v>
      </c>
      <c r="CO93" s="578">
        <v>0</v>
      </c>
      <c r="CP93" s="578">
        <v>3.5766338510510832E-4</v>
      </c>
      <c r="CQ93" s="578">
        <v>3.7459387144040263E-2</v>
      </c>
      <c r="CR93" s="578">
        <v>1.2980490070839623E-2</v>
      </c>
      <c r="CS93" s="578">
        <v>0</v>
      </c>
      <c r="CT93" s="578">
        <v>5.0158933831034383E-3</v>
      </c>
      <c r="CU93" s="578">
        <v>0</v>
      </c>
      <c r="CV93" s="578">
        <v>1.2390575728101207E-5</v>
      </c>
      <c r="CW93" s="578">
        <v>0</v>
      </c>
      <c r="CX93" s="578">
        <v>3.8548849959309548E-4</v>
      </c>
      <c r="CY93" s="578">
        <v>0</v>
      </c>
      <c r="CZ93" s="578">
        <v>0</v>
      </c>
      <c r="DA93" s="578">
        <v>0</v>
      </c>
      <c r="DB93" s="578">
        <v>0</v>
      </c>
      <c r="DC93" s="578">
        <v>0</v>
      </c>
      <c r="DD93" s="578">
        <v>0</v>
      </c>
      <c r="DE93" s="578">
        <v>0</v>
      </c>
      <c r="DF93" s="578">
        <v>0</v>
      </c>
      <c r="DG93" s="578">
        <v>6.4518809966953249E-4</v>
      </c>
      <c r="DH93" s="578">
        <v>0</v>
      </c>
      <c r="DI93" s="578">
        <v>0</v>
      </c>
      <c r="DJ93" s="578">
        <v>0</v>
      </c>
      <c r="DK93" s="578">
        <v>0</v>
      </c>
      <c r="DL93" s="578">
        <v>0</v>
      </c>
      <c r="DM93" s="578">
        <v>0</v>
      </c>
      <c r="DN93" s="578">
        <v>0</v>
      </c>
      <c r="DO93" s="578">
        <v>0</v>
      </c>
      <c r="DP93" s="578">
        <v>0</v>
      </c>
      <c r="DQ93" s="578">
        <v>0</v>
      </c>
      <c r="DR93" s="578">
        <v>0</v>
      </c>
      <c r="DS93" s="578">
        <v>0</v>
      </c>
      <c r="DT93" s="578">
        <v>3.7539452871585915E-3</v>
      </c>
      <c r="DU93" s="578">
        <v>0</v>
      </c>
      <c r="DV93" s="578">
        <v>2.3312090613082643E-3</v>
      </c>
      <c r="DW93" s="578">
        <v>0</v>
      </c>
      <c r="DX93" s="578">
        <v>0</v>
      </c>
      <c r="DY93" s="578">
        <v>0</v>
      </c>
      <c r="DZ93" s="578">
        <v>1.8188462788594487E-4</v>
      </c>
      <c r="EA93" s="578">
        <v>3.5837267642063606E-4</v>
      </c>
      <c r="EB93" s="578">
        <v>0</v>
      </c>
      <c r="EC93" s="578">
        <v>4.2815157789147582E-4</v>
      </c>
      <c r="ED93" s="578">
        <v>2.5327676818843792E-4</v>
      </c>
      <c r="EE93" s="578">
        <v>0</v>
      </c>
      <c r="EF93" s="578">
        <v>0</v>
      </c>
      <c r="EG93" s="578">
        <v>0</v>
      </c>
      <c r="EH93" s="578">
        <v>0</v>
      </c>
      <c r="EI93" s="578">
        <v>0</v>
      </c>
      <c r="EJ93" s="578">
        <v>0</v>
      </c>
      <c r="EK93" s="578">
        <v>0</v>
      </c>
      <c r="EL93" s="578">
        <v>0</v>
      </c>
      <c r="EM93" s="578">
        <v>0</v>
      </c>
      <c r="EN93" s="578">
        <v>0</v>
      </c>
      <c r="EO93" s="578">
        <v>0</v>
      </c>
      <c r="EP93" s="578">
        <v>0</v>
      </c>
      <c r="EQ93" s="578">
        <v>0</v>
      </c>
      <c r="ER93" s="578">
        <v>0</v>
      </c>
      <c r="ES93" s="578">
        <v>0</v>
      </c>
      <c r="ET93" s="578">
        <v>0</v>
      </c>
      <c r="EU93" s="578">
        <v>0</v>
      </c>
      <c r="EV93" s="578">
        <v>0</v>
      </c>
      <c r="EW93" s="578">
        <v>0</v>
      </c>
      <c r="EX93" s="578">
        <v>0</v>
      </c>
      <c r="EY93" s="578">
        <v>0</v>
      </c>
      <c r="EZ93" s="578">
        <v>0</v>
      </c>
      <c r="FA93" s="578">
        <v>0</v>
      </c>
      <c r="FB93" s="578">
        <v>0</v>
      </c>
      <c r="FC93" s="578">
        <v>0</v>
      </c>
      <c r="FD93" s="578">
        <v>0</v>
      </c>
      <c r="FE93" s="578">
        <v>0</v>
      </c>
      <c r="FF93" s="578">
        <v>0</v>
      </c>
      <c r="FG93" s="578">
        <v>0</v>
      </c>
      <c r="FH93" s="578">
        <v>0</v>
      </c>
      <c r="FI93" s="578">
        <v>4.6097562407878282E-4</v>
      </c>
      <c r="FJ93" s="578">
        <v>0</v>
      </c>
      <c r="FK93" s="578">
        <v>0</v>
      </c>
      <c r="FL93" s="578">
        <v>0</v>
      </c>
      <c r="FM93" s="578">
        <v>0</v>
      </c>
      <c r="FN93" s="578">
        <v>0</v>
      </c>
      <c r="FO93" s="578">
        <v>0</v>
      </c>
      <c r="FP93" s="578">
        <v>0</v>
      </c>
      <c r="FQ93" s="578">
        <v>0</v>
      </c>
      <c r="FR93" s="578">
        <v>0</v>
      </c>
      <c r="FS93" s="578">
        <v>0</v>
      </c>
      <c r="FT93" s="578">
        <v>0</v>
      </c>
      <c r="FU93" s="578">
        <v>0</v>
      </c>
      <c r="FV93" s="578">
        <v>0</v>
      </c>
      <c r="FW93" s="578">
        <v>0</v>
      </c>
      <c r="FX93" s="578">
        <v>3.140941553709372E-2</v>
      </c>
      <c r="FY93" s="578">
        <v>0</v>
      </c>
      <c r="FZ93" s="578">
        <v>0</v>
      </c>
      <c r="GA93" s="578">
        <v>0</v>
      </c>
      <c r="GB93" s="578">
        <v>0</v>
      </c>
      <c r="GC93" s="578">
        <v>0</v>
      </c>
      <c r="GD93" s="578">
        <v>0</v>
      </c>
      <c r="GE93" s="578">
        <v>0</v>
      </c>
      <c r="GF93" s="578">
        <v>0</v>
      </c>
      <c r="GG93" s="579">
        <v>2.3943126046817118E-3</v>
      </c>
      <c r="GH93" s="572"/>
    </row>
    <row r="94" spans="1:190">
      <c r="A94" s="572" t="s">
        <v>9325</v>
      </c>
      <c r="B94" s="577" t="s">
        <v>9429</v>
      </c>
      <c r="C94" s="573" t="s">
        <v>9526</v>
      </c>
      <c r="D94" s="578">
        <v>0</v>
      </c>
      <c r="E94" s="578">
        <v>0</v>
      </c>
      <c r="F94" s="578">
        <v>0</v>
      </c>
      <c r="G94" s="578">
        <v>0</v>
      </c>
      <c r="H94" s="578">
        <v>0</v>
      </c>
      <c r="I94" s="578">
        <v>0</v>
      </c>
      <c r="J94" s="578">
        <v>0</v>
      </c>
      <c r="K94" s="578">
        <v>0</v>
      </c>
      <c r="L94" s="578">
        <v>0</v>
      </c>
      <c r="M94" s="578">
        <v>0</v>
      </c>
      <c r="N94" s="578">
        <v>0</v>
      </c>
      <c r="O94" s="578">
        <v>0</v>
      </c>
      <c r="P94" s="578">
        <v>0</v>
      </c>
      <c r="Q94" s="578">
        <v>0</v>
      </c>
      <c r="R94" s="578">
        <v>0</v>
      </c>
      <c r="S94" s="578">
        <v>0</v>
      </c>
      <c r="T94" s="578">
        <v>0</v>
      </c>
      <c r="U94" s="578">
        <v>0</v>
      </c>
      <c r="V94" s="578">
        <v>0</v>
      </c>
      <c r="W94" s="578">
        <v>0</v>
      </c>
      <c r="X94" s="578">
        <v>0</v>
      </c>
      <c r="Y94" s="578">
        <v>0</v>
      </c>
      <c r="Z94" s="578">
        <v>0</v>
      </c>
      <c r="AA94" s="578">
        <v>0</v>
      </c>
      <c r="AB94" s="578">
        <v>0</v>
      </c>
      <c r="AC94" s="578">
        <v>0</v>
      </c>
      <c r="AD94" s="578">
        <v>0</v>
      </c>
      <c r="AE94" s="578">
        <v>0</v>
      </c>
      <c r="AF94" s="578">
        <v>0</v>
      </c>
      <c r="AG94" s="578">
        <v>0</v>
      </c>
      <c r="AH94" s="578">
        <v>0</v>
      </c>
      <c r="AI94" s="578">
        <v>0</v>
      </c>
      <c r="AJ94" s="578">
        <v>0</v>
      </c>
      <c r="AK94" s="578">
        <v>0</v>
      </c>
      <c r="AL94" s="578">
        <v>0</v>
      </c>
      <c r="AM94" s="578">
        <v>0</v>
      </c>
      <c r="AN94" s="578">
        <v>0</v>
      </c>
      <c r="AO94" s="578">
        <v>0</v>
      </c>
      <c r="AP94" s="578">
        <v>0</v>
      </c>
      <c r="AQ94" s="578">
        <v>0</v>
      </c>
      <c r="AR94" s="578">
        <v>0</v>
      </c>
      <c r="AS94" s="578">
        <v>0</v>
      </c>
      <c r="AT94" s="578">
        <v>0</v>
      </c>
      <c r="AU94" s="578">
        <v>0</v>
      </c>
      <c r="AV94" s="578">
        <v>0</v>
      </c>
      <c r="AW94" s="578">
        <v>0</v>
      </c>
      <c r="AX94" s="578">
        <v>0</v>
      </c>
      <c r="AY94" s="578">
        <v>0</v>
      </c>
      <c r="AZ94" s="578">
        <v>0</v>
      </c>
      <c r="BA94" s="578">
        <v>0</v>
      </c>
      <c r="BB94" s="578">
        <v>0</v>
      </c>
      <c r="BC94" s="578">
        <v>0</v>
      </c>
      <c r="BD94" s="578">
        <v>0</v>
      </c>
      <c r="BE94" s="578">
        <v>0</v>
      </c>
      <c r="BF94" s="578">
        <v>0</v>
      </c>
      <c r="BG94" s="578">
        <v>0</v>
      </c>
      <c r="BH94" s="578">
        <v>0</v>
      </c>
      <c r="BI94" s="578">
        <v>0</v>
      </c>
      <c r="BJ94" s="578">
        <v>0</v>
      </c>
      <c r="BK94" s="578">
        <v>0</v>
      </c>
      <c r="BL94" s="578">
        <v>0</v>
      </c>
      <c r="BM94" s="578">
        <v>3.4350332167712059E-5</v>
      </c>
      <c r="BN94" s="578">
        <v>0</v>
      </c>
      <c r="BO94" s="578">
        <v>0</v>
      </c>
      <c r="BP94" s="578">
        <v>0</v>
      </c>
      <c r="BQ94" s="578">
        <v>0</v>
      </c>
      <c r="BR94" s="578">
        <v>0</v>
      </c>
      <c r="BS94" s="578">
        <v>0</v>
      </c>
      <c r="BT94" s="578">
        <v>0</v>
      </c>
      <c r="BU94" s="578">
        <v>0</v>
      </c>
      <c r="BV94" s="578">
        <v>0</v>
      </c>
      <c r="BW94" s="578">
        <v>0</v>
      </c>
      <c r="BX94" s="578">
        <v>0</v>
      </c>
      <c r="BY94" s="578">
        <v>0</v>
      </c>
      <c r="BZ94" s="578">
        <v>0</v>
      </c>
      <c r="CA94" s="578">
        <v>0</v>
      </c>
      <c r="CB94" s="578">
        <v>0</v>
      </c>
      <c r="CC94" s="578">
        <v>0</v>
      </c>
      <c r="CD94" s="578">
        <v>0</v>
      </c>
      <c r="CE94" s="578">
        <v>0</v>
      </c>
      <c r="CF94" s="578">
        <v>0</v>
      </c>
      <c r="CG94" s="578">
        <v>0</v>
      </c>
      <c r="CH94" s="578">
        <v>0</v>
      </c>
      <c r="CI94" s="578">
        <v>0</v>
      </c>
      <c r="CJ94" s="578">
        <v>3.731829030158386E-4</v>
      </c>
      <c r="CK94" s="578">
        <v>1.0086033868901732E-5</v>
      </c>
      <c r="CL94" s="578">
        <v>8.9110691484578734E-3</v>
      </c>
      <c r="CM94" s="578">
        <v>0.10250967542797446</v>
      </c>
      <c r="CN94" s="578">
        <v>8.9854303357776912E-3</v>
      </c>
      <c r="CO94" s="578">
        <v>2.1694567816877348E-2</v>
      </c>
      <c r="CP94" s="578">
        <v>1.7525505870150308E-3</v>
      </c>
      <c r="CQ94" s="578">
        <v>7.5810664458176719E-3</v>
      </c>
      <c r="CR94" s="578">
        <v>7.3075136453373589E-3</v>
      </c>
      <c r="CS94" s="578">
        <v>0</v>
      </c>
      <c r="CT94" s="578">
        <v>5.4824881164153858E-3</v>
      </c>
      <c r="CU94" s="578">
        <v>1.8210986247037389E-2</v>
      </c>
      <c r="CV94" s="578">
        <v>1.9453203893118893E-3</v>
      </c>
      <c r="CW94" s="578">
        <v>7.2559881407505654E-3</v>
      </c>
      <c r="CX94" s="578">
        <v>6.403392298796419E-3</v>
      </c>
      <c r="CY94" s="578">
        <v>0</v>
      </c>
      <c r="CZ94" s="578">
        <v>2.7560455192034141E-3</v>
      </c>
      <c r="DA94" s="578">
        <v>5.4400205607076308E-3</v>
      </c>
      <c r="DB94" s="578">
        <v>3.9529972383169978E-3</v>
      </c>
      <c r="DC94" s="578">
        <v>0</v>
      </c>
      <c r="DD94" s="578">
        <v>0</v>
      </c>
      <c r="DE94" s="578">
        <v>0</v>
      </c>
      <c r="DF94" s="578">
        <v>0</v>
      </c>
      <c r="DG94" s="578">
        <v>6.8783612659684059E-4</v>
      </c>
      <c r="DH94" s="578">
        <v>4.474348953908542E-3</v>
      </c>
      <c r="DI94" s="578">
        <v>1.3909127036693602E-3</v>
      </c>
      <c r="DJ94" s="578">
        <v>0</v>
      </c>
      <c r="DK94" s="578">
        <v>0</v>
      </c>
      <c r="DL94" s="578">
        <v>0</v>
      </c>
      <c r="DM94" s="578">
        <v>0</v>
      </c>
      <c r="DN94" s="578">
        <v>0</v>
      </c>
      <c r="DO94" s="578">
        <v>0</v>
      </c>
      <c r="DP94" s="578">
        <v>6.5731814198071863E-5</v>
      </c>
      <c r="DQ94" s="578">
        <v>0</v>
      </c>
      <c r="DR94" s="578">
        <v>1.2571318054346776E-3</v>
      </c>
      <c r="DS94" s="578">
        <v>6.9192508364633943E-3</v>
      </c>
      <c r="DT94" s="578">
        <v>3.1999650117720811E-3</v>
      </c>
      <c r="DU94" s="578">
        <v>0</v>
      </c>
      <c r="DV94" s="578">
        <v>3.4334655196442371E-3</v>
      </c>
      <c r="DW94" s="578">
        <v>0</v>
      </c>
      <c r="DX94" s="578">
        <v>5.5161592821638054E-5</v>
      </c>
      <c r="DY94" s="578">
        <v>0</v>
      </c>
      <c r="DZ94" s="578">
        <v>2.1371443776598523E-3</v>
      </c>
      <c r="EA94" s="578">
        <v>3.5325306675748408E-3</v>
      </c>
      <c r="EB94" s="578">
        <v>0</v>
      </c>
      <c r="EC94" s="578">
        <v>2.9878863685712277E-3</v>
      </c>
      <c r="ED94" s="578">
        <v>4.4911398359128362E-3</v>
      </c>
      <c r="EE94" s="578">
        <v>0</v>
      </c>
      <c r="EF94" s="578">
        <v>0</v>
      </c>
      <c r="EG94" s="578">
        <v>0</v>
      </c>
      <c r="EH94" s="578">
        <v>0</v>
      </c>
      <c r="EI94" s="578">
        <v>0</v>
      </c>
      <c r="EJ94" s="578">
        <v>0</v>
      </c>
      <c r="EK94" s="578">
        <v>0</v>
      </c>
      <c r="EL94" s="578">
        <v>0</v>
      </c>
      <c r="EM94" s="578">
        <v>0</v>
      </c>
      <c r="EN94" s="578">
        <v>0</v>
      </c>
      <c r="EO94" s="578">
        <v>0</v>
      </c>
      <c r="EP94" s="578">
        <v>0</v>
      </c>
      <c r="EQ94" s="578">
        <v>0</v>
      </c>
      <c r="ER94" s="578">
        <v>0</v>
      </c>
      <c r="ES94" s="578">
        <v>0</v>
      </c>
      <c r="ET94" s="578">
        <v>0</v>
      </c>
      <c r="EU94" s="578">
        <v>0</v>
      </c>
      <c r="EV94" s="578">
        <v>0</v>
      </c>
      <c r="EW94" s="578">
        <v>0</v>
      </c>
      <c r="EX94" s="578">
        <v>0</v>
      </c>
      <c r="EY94" s="578">
        <v>0</v>
      </c>
      <c r="EZ94" s="578">
        <v>0</v>
      </c>
      <c r="FA94" s="578">
        <v>0</v>
      </c>
      <c r="FB94" s="578">
        <v>0</v>
      </c>
      <c r="FC94" s="578">
        <v>0</v>
      </c>
      <c r="FD94" s="578">
        <v>0</v>
      </c>
      <c r="FE94" s="578">
        <v>0</v>
      </c>
      <c r="FF94" s="578">
        <v>0</v>
      </c>
      <c r="FG94" s="578">
        <v>0</v>
      </c>
      <c r="FH94" s="578">
        <v>0</v>
      </c>
      <c r="FI94" s="578">
        <v>2.9361504718393808E-6</v>
      </c>
      <c r="FJ94" s="578">
        <v>0</v>
      </c>
      <c r="FK94" s="578">
        <v>0</v>
      </c>
      <c r="FL94" s="578">
        <v>0</v>
      </c>
      <c r="FM94" s="578">
        <v>0</v>
      </c>
      <c r="FN94" s="578">
        <v>0</v>
      </c>
      <c r="FO94" s="578">
        <v>0</v>
      </c>
      <c r="FP94" s="578">
        <v>0</v>
      </c>
      <c r="FQ94" s="578">
        <v>0</v>
      </c>
      <c r="FR94" s="578">
        <v>0</v>
      </c>
      <c r="FS94" s="578">
        <v>0</v>
      </c>
      <c r="FT94" s="578">
        <v>0</v>
      </c>
      <c r="FU94" s="578">
        <v>0</v>
      </c>
      <c r="FV94" s="578">
        <v>0</v>
      </c>
      <c r="FW94" s="578">
        <v>8.0832248833994816E-6</v>
      </c>
      <c r="FX94" s="578">
        <v>1.9480228269034565E-3</v>
      </c>
      <c r="FY94" s="578">
        <v>0</v>
      </c>
      <c r="FZ94" s="578">
        <v>0</v>
      </c>
      <c r="GA94" s="578">
        <v>0</v>
      </c>
      <c r="GB94" s="578">
        <v>0</v>
      </c>
      <c r="GC94" s="578">
        <v>0</v>
      </c>
      <c r="GD94" s="578">
        <v>0</v>
      </c>
      <c r="GE94" s="578">
        <v>0</v>
      </c>
      <c r="GF94" s="578">
        <v>0</v>
      </c>
      <c r="GG94" s="579">
        <v>1.167188571490762E-3</v>
      </c>
      <c r="GH94" s="572"/>
    </row>
    <row r="95" spans="1:190">
      <c r="A95" s="572" t="s">
        <v>9326</v>
      </c>
      <c r="B95" s="577" t="s">
        <v>9430</v>
      </c>
      <c r="C95" s="573" t="s">
        <v>456</v>
      </c>
      <c r="D95" s="578">
        <v>0</v>
      </c>
      <c r="E95" s="578">
        <v>0</v>
      </c>
      <c r="F95" s="578">
        <v>0</v>
      </c>
      <c r="G95" s="578">
        <v>0</v>
      </c>
      <c r="H95" s="578">
        <v>0</v>
      </c>
      <c r="I95" s="578">
        <v>0</v>
      </c>
      <c r="J95" s="578">
        <v>0</v>
      </c>
      <c r="K95" s="578">
        <v>0</v>
      </c>
      <c r="L95" s="578">
        <v>0</v>
      </c>
      <c r="M95" s="578">
        <v>0</v>
      </c>
      <c r="N95" s="578">
        <v>0</v>
      </c>
      <c r="O95" s="578">
        <v>0</v>
      </c>
      <c r="P95" s="578">
        <v>0</v>
      </c>
      <c r="Q95" s="578">
        <v>0</v>
      </c>
      <c r="R95" s="578">
        <v>0</v>
      </c>
      <c r="S95" s="578">
        <v>0</v>
      </c>
      <c r="T95" s="578">
        <v>0</v>
      </c>
      <c r="U95" s="578">
        <v>0</v>
      </c>
      <c r="V95" s="578">
        <v>0</v>
      </c>
      <c r="W95" s="578">
        <v>0</v>
      </c>
      <c r="X95" s="578">
        <v>0</v>
      </c>
      <c r="Y95" s="578">
        <v>0</v>
      </c>
      <c r="Z95" s="578">
        <v>0</v>
      </c>
      <c r="AA95" s="578">
        <v>0</v>
      </c>
      <c r="AB95" s="578">
        <v>0</v>
      </c>
      <c r="AC95" s="578">
        <v>0</v>
      </c>
      <c r="AD95" s="578">
        <v>0</v>
      </c>
      <c r="AE95" s="578">
        <v>0</v>
      </c>
      <c r="AF95" s="578">
        <v>0</v>
      </c>
      <c r="AG95" s="578">
        <v>0</v>
      </c>
      <c r="AH95" s="578">
        <v>0</v>
      </c>
      <c r="AI95" s="578">
        <v>0</v>
      </c>
      <c r="AJ95" s="578">
        <v>0</v>
      </c>
      <c r="AK95" s="578">
        <v>0</v>
      </c>
      <c r="AL95" s="578">
        <v>0</v>
      </c>
      <c r="AM95" s="578">
        <v>0</v>
      </c>
      <c r="AN95" s="578">
        <v>0</v>
      </c>
      <c r="AO95" s="578">
        <v>0</v>
      </c>
      <c r="AP95" s="578">
        <v>0</v>
      </c>
      <c r="AQ95" s="578">
        <v>0</v>
      </c>
      <c r="AR95" s="578">
        <v>0</v>
      </c>
      <c r="AS95" s="578">
        <v>0</v>
      </c>
      <c r="AT95" s="578">
        <v>0</v>
      </c>
      <c r="AU95" s="578">
        <v>0</v>
      </c>
      <c r="AV95" s="578">
        <v>0</v>
      </c>
      <c r="AW95" s="578">
        <v>0</v>
      </c>
      <c r="AX95" s="578">
        <v>0</v>
      </c>
      <c r="AY95" s="578">
        <v>0</v>
      </c>
      <c r="AZ95" s="578">
        <v>0</v>
      </c>
      <c r="BA95" s="578">
        <v>0</v>
      </c>
      <c r="BB95" s="578">
        <v>0</v>
      </c>
      <c r="BC95" s="578">
        <v>0</v>
      </c>
      <c r="BD95" s="578">
        <v>0</v>
      </c>
      <c r="BE95" s="578">
        <v>0</v>
      </c>
      <c r="BF95" s="578">
        <v>0</v>
      </c>
      <c r="BG95" s="578">
        <v>0</v>
      </c>
      <c r="BH95" s="578">
        <v>0</v>
      </c>
      <c r="BI95" s="578">
        <v>0</v>
      </c>
      <c r="BJ95" s="578">
        <v>0</v>
      </c>
      <c r="BK95" s="578">
        <v>0</v>
      </c>
      <c r="BL95" s="578">
        <v>0</v>
      </c>
      <c r="BM95" s="578">
        <v>0</v>
      </c>
      <c r="BN95" s="578">
        <v>0</v>
      </c>
      <c r="BO95" s="578">
        <v>0</v>
      </c>
      <c r="BP95" s="578">
        <v>0</v>
      </c>
      <c r="BQ95" s="578">
        <v>0</v>
      </c>
      <c r="BR95" s="578">
        <v>0</v>
      </c>
      <c r="BS95" s="578">
        <v>0</v>
      </c>
      <c r="BT95" s="578">
        <v>0</v>
      </c>
      <c r="BU95" s="578">
        <v>0</v>
      </c>
      <c r="BV95" s="578">
        <v>0</v>
      </c>
      <c r="BW95" s="578">
        <v>0</v>
      </c>
      <c r="BX95" s="578">
        <v>0</v>
      </c>
      <c r="BY95" s="578">
        <v>0</v>
      </c>
      <c r="BZ95" s="578">
        <v>0</v>
      </c>
      <c r="CA95" s="578">
        <v>0</v>
      </c>
      <c r="CB95" s="578">
        <v>0</v>
      </c>
      <c r="CC95" s="578">
        <v>0</v>
      </c>
      <c r="CD95" s="578">
        <v>0</v>
      </c>
      <c r="CE95" s="578">
        <v>0</v>
      </c>
      <c r="CF95" s="578">
        <v>0</v>
      </c>
      <c r="CG95" s="578">
        <v>0</v>
      </c>
      <c r="CH95" s="578">
        <v>0</v>
      </c>
      <c r="CI95" s="578">
        <v>0</v>
      </c>
      <c r="CJ95" s="578">
        <v>0</v>
      </c>
      <c r="CK95" s="578">
        <v>0</v>
      </c>
      <c r="CL95" s="578">
        <v>0</v>
      </c>
      <c r="CM95" s="578">
        <v>0</v>
      </c>
      <c r="CN95" s="578">
        <v>0.13624083365495948</v>
      </c>
      <c r="CO95" s="578">
        <v>0</v>
      </c>
      <c r="CP95" s="578">
        <v>0</v>
      </c>
      <c r="CQ95" s="578">
        <v>0</v>
      </c>
      <c r="CR95" s="578">
        <v>0</v>
      </c>
      <c r="CS95" s="578">
        <v>0</v>
      </c>
      <c r="CT95" s="578">
        <v>0</v>
      </c>
      <c r="CU95" s="578">
        <v>0</v>
      </c>
      <c r="CV95" s="578">
        <v>0</v>
      </c>
      <c r="CW95" s="578">
        <v>0</v>
      </c>
      <c r="CX95" s="578">
        <v>0</v>
      </c>
      <c r="CY95" s="578">
        <v>0</v>
      </c>
      <c r="CZ95" s="578">
        <v>0</v>
      </c>
      <c r="DA95" s="578">
        <v>0</v>
      </c>
      <c r="DB95" s="578">
        <v>0</v>
      </c>
      <c r="DC95" s="578">
        <v>0</v>
      </c>
      <c r="DD95" s="578">
        <v>0</v>
      </c>
      <c r="DE95" s="578">
        <v>0</v>
      </c>
      <c r="DF95" s="578">
        <v>0</v>
      </c>
      <c r="DG95" s="578">
        <v>0</v>
      </c>
      <c r="DH95" s="578">
        <v>0</v>
      </c>
      <c r="DI95" s="578">
        <v>0</v>
      </c>
      <c r="DJ95" s="578">
        <v>0</v>
      </c>
      <c r="DK95" s="578">
        <v>0</v>
      </c>
      <c r="DL95" s="578">
        <v>0</v>
      </c>
      <c r="DM95" s="578">
        <v>0</v>
      </c>
      <c r="DN95" s="578">
        <v>0</v>
      </c>
      <c r="DO95" s="578">
        <v>0</v>
      </c>
      <c r="DP95" s="578">
        <v>0</v>
      </c>
      <c r="DQ95" s="578">
        <v>0</v>
      </c>
      <c r="DR95" s="578">
        <v>0</v>
      </c>
      <c r="DS95" s="578">
        <v>3.8970861589344547E-3</v>
      </c>
      <c r="DT95" s="578">
        <v>0</v>
      </c>
      <c r="DU95" s="578">
        <v>0</v>
      </c>
      <c r="DV95" s="578">
        <v>0</v>
      </c>
      <c r="DW95" s="578">
        <v>0</v>
      </c>
      <c r="DX95" s="578">
        <v>0</v>
      </c>
      <c r="DY95" s="578">
        <v>0</v>
      </c>
      <c r="DZ95" s="578">
        <v>1.0593095457431419E-3</v>
      </c>
      <c r="EA95" s="578">
        <v>4.2359205169470206E-3</v>
      </c>
      <c r="EB95" s="578">
        <v>0</v>
      </c>
      <c r="EC95" s="578">
        <v>9.449916969176145E-4</v>
      </c>
      <c r="ED95" s="578">
        <v>2.1076245352823586E-3</v>
      </c>
      <c r="EE95" s="578">
        <v>0</v>
      </c>
      <c r="EF95" s="578">
        <v>0</v>
      </c>
      <c r="EG95" s="578">
        <v>0</v>
      </c>
      <c r="EH95" s="578">
        <v>0</v>
      </c>
      <c r="EI95" s="578">
        <v>0</v>
      </c>
      <c r="EJ95" s="578">
        <v>0</v>
      </c>
      <c r="EK95" s="578">
        <v>0</v>
      </c>
      <c r="EL95" s="578">
        <v>0</v>
      </c>
      <c r="EM95" s="578">
        <v>0</v>
      </c>
      <c r="EN95" s="578">
        <v>0</v>
      </c>
      <c r="EO95" s="578">
        <v>0</v>
      </c>
      <c r="EP95" s="578">
        <v>0</v>
      </c>
      <c r="EQ95" s="578">
        <v>0</v>
      </c>
      <c r="ER95" s="578">
        <v>0</v>
      </c>
      <c r="ES95" s="578">
        <v>0</v>
      </c>
      <c r="ET95" s="578">
        <v>0</v>
      </c>
      <c r="EU95" s="578">
        <v>0</v>
      </c>
      <c r="EV95" s="578">
        <v>0</v>
      </c>
      <c r="EW95" s="578">
        <v>0</v>
      </c>
      <c r="EX95" s="578">
        <v>0</v>
      </c>
      <c r="EY95" s="578">
        <v>0</v>
      </c>
      <c r="EZ95" s="578">
        <v>0</v>
      </c>
      <c r="FA95" s="578">
        <v>0</v>
      </c>
      <c r="FB95" s="578">
        <v>0</v>
      </c>
      <c r="FC95" s="578">
        <v>0</v>
      </c>
      <c r="FD95" s="578">
        <v>0</v>
      </c>
      <c r="FE95" s="578">
        <v>0</v>
      </c>
      <c r="FF95" s="578">
        <v>0</v>
      </c>
      <c r="FG95" s="578">
        <v>0</v>
      </c>
      <c r="FH95" s="578">
        <v>0</v>
      </c>
      <c r="FI95" s="578">
        <v>0</v>
      </c>
      <c r="FJ95" s="578">
        <v>0</v>
      </c>
      <c r="FK95" s="578">
        <v>0</v>
      </c>
      <c r="FL95" s="578">
        <v>0</v>
      </c>
      <c r="FM95" s="578">
        <v>0</v>
      </c>
      <c r="FN95" s="578">
        <v>0</v>
      </c>
      <c r="FO95" s="578">
        <v>0</v>
      </c>
      <c r="FP95" s="578">
        <v>0</v>
      </c>
      <c r="FQ95" s="578">
        <v>0</v>
      </c>
      <c r="FR95" s="578">
        <v>0</v>
      </c>
      <c r="FS95" s="578">
        <v>0</v>
      </c>
      <c r="FT95" s="578">
        <v>0</v>
      </c>
      <c r="FU95" s="578">
        <v>0</v>
      </c>
      <c r="FV95" s="578">
        <v>0</v>
      </c>
      <c r="FW95" s="578">
        <v>0</v>
      </c>
      <c r="FX95" s="578">
        <v>1.6141961813146772E-2</v>
      </c>
      <c r="FY95" s="578">
        <v>0</v>
      </c>
      <c r="FZ95" s="578">
        <v>0</v>
      </c>
      <c r="GA95" s="578">
        <v>0</v>
      </c>
      <c r="GB95" s="578">
        <v>0</v>
      </c>
      <c r="GC95" s="578">
        <v>0</v>
      </c>
      <c r="GD95" s="578">
        <v>0</v>
      </c>
      <c r="GE95" s="578">
        <v>0</v>
      </c>
      <c r="GF95" s="578">
        <v>0</v>
      </c>
      <c r="GG95" s="579">
        <v>5.5387040366879981E-4</v>
      </c>
      <c r="GH95" s="572"/>
    </row>
    <row r="96" spans="1:190">
      <c r="A96" s="572" t="s">
        <v>9327</v>
      </c>
      <c r="B96" s="577" t="s">
        <v>9431</v>
      </c>
      <c r="C96" s="573" t="s">
        <v>458</v>
      </c>
      <c r="D96" s="578">
        <v>0</v>
      </c>
      <c r="E96" s="578">
        <v>0</v>
      </c>
      <c r="F96" s="578">
        <v>0</v>
      </c>
      <c r="G96" s="578">
        <v>0</v>
      </c>
      <c r="H96" s="578">
        <v>0</v>
      </c>
      <c r="I96" s="578">
        <v>0</v>
      </c>
      <c r="J96" s="578">
        <v>0</v>
      </c>
      <c r="K96" s="578">
        <v>0</v>
      </c>
      <c r="L96" s="578">
        <v>0</v>
      </c>
      <c r="M96" s="578">
        <v>0</v>
      </c>
      <c r="N96" s="578">
        <v>0</v>
      </c>
      <c r="O96" s="578">
        <v>0</v>
      </c>
      <c r="P96" s="578">
        <v>0</v>
      </c>
      <c r="Q96" s="578">
        <v>0</v>
      </c>
      <c r="R96" s="578">
        <v>0</v>
      </c>
      <c r="S96" s="578">
        <v>0</v>
      </c>
      <c r="T96" s="578">
        <v>0</v>
      </c>
      <c r="U96" s="578">
        <v>0</v>
      </c>
      <c r="V96" s="578">
        <v>0</v>
      </c>
      <c r="W96" s="578">
        <v>0</v>
      </c>
      <c r="X96" s="578">
        <v>0</v>
      </c>
      <c r="Y96" s="578">
        <v>0</v>
      </c>
      <c r="Z96" s="578">
        <v>0</v>
      </c>
      <c r="AA96" s="578">
        <v>0</v>
      </c>
      <c r="AB96" s="578">
        <v>0</v>
      </c>
      <c r="AC96" s="578">
        <v>0</v>
      </c>
      <c r="AD96" s="578">
        <v>0</v>
      </c>
      <c r="AE96" s="578">
        <v>0</v>
      </c>
      <c r="AF96" s="578">
        <v>0</v>
      </c>
      <c r="AG96" s="578">
        <v>0</v>
      </c>
      <c r="AH96" s="578">
        <v>0</v>
      </c>
      <c r="AI96" s="578">
        <v>0</v>
      </c>
      <c r="AJ96" s="578">
        <v>0</v>
      </c>
      <c r="AK96" s="578">
        <v>0</v>
      </c>
      <c r="AL96" s="578">
        <v>0</v>
      </c>
      <c r="AM96" s="578">
        <v>0</v>
      </c>
      <c r="AN96" s="578">
        <v>0</v>
      </c>
      <c r="AO96" s="578">
        <v>0</v>
      </c>
      <c r="AP96" s="578">
        <v>0</v>
      </c>
      <c r="AQ96" s="578">
        <v>0</v>
      </c>
      <c r="AR96" s="578">
        <v>0</v>
      </c>
      <c r="AS96" s="578">
        <v>0</v>
      </c>
      <c r="AT96" s="578">
        <v>0</v>
      </c>
      <c r="AU96" s="578">
        <v>0</v>
      </c>
      <c r="AV96" s="578">
        <v>0</v>
      </c>
      <c r="AW96" s="578">
        <v>0</v>
      </c>
      <c r="AX96" s="578">
        <v>0</v>
      </c>
      <c r="AY96" s="578">
        <v>0</v>
      </c>
      <c r="AZ96" s="578">
        <v>0</v>
      </c>
      <c r="BA96" s="578">
        <v>0</v>
      </c>
      <c r="BB96" s="578">
        <v>0</v>
      </c>
      <c r="BC96" s="578">
        <v>0</v>
      </c>
      <c r="BD96" s="578">
        <v>0</v>
      </c>
      <c r="BE96" s="578">
        <v>0</v>
      </c>
      <c r="BF96" s="578">
        <v>0</v>
      </c>
      <c r="BG96" s="578">
        <v>0</v>
      </c>
      <c r="BH96" s="578">
        <v>0</v>
      </c>
      <c r="BI96" s="578">
        <v>0</v>
      </c>
      <c r="BJ96" s="578">
        <v>0</v>
      </c>
      <c r="BK96" s="578">
        <v>0</v>
      </c>
      <c r="BL96" s="578">
        <v>0</v>
      </c>
      <c r="BM96" s="578">
        <v>0</v>
      </c>
      <c r="BN96" s="578">
        <v>0</v>
      </c>
      <c r="BO96" s="578">
        <v>0</v>
      </c>
      <c r="BP96" s="578">
        <v>0</v>
      </c>
      <c r="BQ96" s="578">
        <v>0</v>
      </c>
      <c r="BR96" s="578">
        <v>0</v>
      </c>
      <c r="BS96" s="578">
        <v>0</v>
      </c>
      <c r="BT96" s="578">
        <v>0</v>
      </c>
      <c r="BU96" s="578">
        <v>0</v>
      </c>
      <c r="BV96" s="578">
        <v>0</v>
      </c>
      <c r="BW96" s="578">
        <v>0</v>
      </c>
      <c r="BX96" s="578">
        <v>0</v>
      </c>
      <c r="BY96" s="578">
        <v>0</v>
      </c>
      <c r="BZ96" s="578">
        <v>0</v>
      </c>
      <c r="CA96" s="578">
        <v>0</v>
      </c>
      <c r="CB96" s="578">
        <v>0</v>
      </c>
      <c r="CC96" s="578">
        <v>0</v>
      </c>
      <c r="CD96" s="578">
        <v>0</v>
      </c>
      <c r="CE96" s="578">
        <v>0</v>
      </c>
      <c r="CF96" s="578">
        <v>0</v>
      </c>
      <c r="CG96" s="578">
        <v>0</v>
      </c>
      <c r="CH96" s="578">
        <v>0</v>
      </c>
      <c r="CI96" s="578">
        <v>0</v>
      </c>
      <c r="CJ96" s="578">
        <v>0</v>
      </c>
      <c r="CK96" s="578">
        <v>0</v>
      </c>
      <c r="CL96" s="578">
        <v>0</v>
      </c>
      <c r="CM96" s="578">
        <v>0</v>
      </c>
      <c r="CN96" s="578">
        <v>0</v>
      </c>
      <c r="CO96" s="578">
        <v>0.10864366245302358</v>
      </c>
      <c r="CP96" s="578">
        <v>7.7791786260361065E-4</v>
      </c>
      <c r="CQ96" s="578">
        <v>0</v>
      </c>
      <c r="CR96" s="578">
        <v>0</v>
      </c>
      <c r="CS96" s="578">
        <v>0</v>
      </c>
      <c r="CT96" s="578">
        <v>7.2905427079991833E-4</v>
      </c>
      <c r="CU96" s="578">
        <v>5.0787611047514627E-4</v>
      </c>
      <c r="CV96" s="578">
        <v>0</v>
      </c>
      <c r="CW96" s="578">
        <v>6.0466567839588051E-3</v>
      </c>
      <c r="CX96" s="578">
        <v>2.2772376179666194E-3</v>
      </c>
      <c r="CY96" s="578">
        <v>0</v>
      </c>
      <c r="CZ96" s="578">
        <v>2.6120199146514936E-2</v>
      </c>
      <c r="DA96" s="578">
        <v>0</v>
      </c>
      <c r="DB96" s="578">
        <v>7.0395841230302698E-4</v>
      </c>
      <c r="DC96" s="578">
        <v>0</v>
      </c>
      <c r="DD96" s="578">
        <v>0</v>
      </c>
      <c r="DE96" s="578">
        <v>0</v>
      </c>
      <c r="DF96" s="578">
        <v>0</v>
      </c>
      <c r="DG96" s="578">
        <v>5.467695759911292E-6</v>
      </c>
      <c r="DH96" s="578">
        <v>1.0307993792548794E-2</v>
      </c>
      <c r="DI96" s="578">
        <v>0</v>
      </c>
      <c r="DJ96" s="578">
        <v>0</v>
      </c>
      <c r="DK96" s="578">
        <v>0</v>
      </c>
      <c r="DL96" s="578">
        <v>0</v>
      </c>
      <c r="DM96" s="578">
        <v>0</v>
      </c>
      <c r="DN96" s="578">
        <v>8.2528678715853762E-5</v>
      </c>
      <c r="DO96" s="578">
        <v>0</v>
      </c>
      <c r="DP96" s="578">
        <v>7.668711656441718E-4</v>
      </c>
      <c r="DQ96" s="578">
        <v>0</v>
      </c>
      <c r="DR96" s="578">
        <v>0</v>
      </c>
      <c r="DS96" s="578">
        <v>7.6595690130372917E-4</v>
      </c>
      <c r="DT96" s="578">
        <v>2.368994598692315E-3</v>
      </c>
      <c r="DU96" s="578">
        <v>0</v>
      </c>
      <c r="DV96" s="578">
        <v>0</v>
      </c>
      <c r="DW96" s="578">
        <v>0</v>
      </c>
      <c r="DX96" s="578">
        <v>0</v>
      </c>
      <c r="DY96" s="578">
        <v>0</v>
      </c>
      <c r="DZ96" s="578">
        <v>6.9554028997125211E-4</v>
      </c>
      <c r="EA96" s="578">
        <v>7.1385166042296881E-3</v>
      </c>
      <c r="EB96" s="578">
        <v>0</v>
      </c>
      <c r="EC96" s="578">
        <v>4.7708318679335877E-4</v>
      </c>
      <c r="ED96" s="578">
        <v>2.2613997159681956E-4</v>
      </c>
      <c r="EE96" s="578">
        <v>0</v>
      </c>
      <c r="EF96" s="578">
        <v>0</v>
      </c>
      <c r="EG96" s="578">
        <v>0</v>
      </c>
      <c r="EH96" s="578">
        <v>0</v>
      </c>
      <c r="EI96" s="578">
        <v>0</v>
      </c>
      <c r="EJ96" s="578">
        <v>0</v>
      </c>
      <c r="EK96" s="578">
        <v>0</v>
      </c>
      <c r="EL96" s="578">
        <v>0</v>
      </c>
      <c r="EM96" s="578">
        <v>0</v>
      </c>
      <c r="EN96" s="578">
        <v>0</v>
      </c>
      <c r="EO96" s="578">
        <v>0</v>
      </c>
      <c r="EP96" s="578">
        <v>0</v>
      </c>
      <c r="EQ96" s="578">
        <v>0</v>
      </c>
      <c r="ER96" s="578">
        <v>0</v>
      </c>
      <c r="ES96" s="578">
        <v>0</v>
      </c>
      <c r="ET96" s="578">
        <v>0</v>
      </c>
      <c r="EU96" s="578">
        <v>0</v>
      </c>
      <c r="EV96" s="578">
        <v>0</v>
      </c>
      <c r="EW96" s="578">
        <v>0</v>
      </c>
      <c r="EX96" s="578">
        <v>0</v>
      </c>
      <c r="EY96" s="578">
        <v>0</v>
      </c>
      <c r="EZ96" s="578">
        <v>0</v>
      </c>
      <c r="FA96" s="578">
        <v>0</v>
      </c>
      <c r="FB96" s="578">
        <v>0</v>
      </c>
      <c r="FC96" s="578">
        <v>0</v>
      </c>
      <c r="FD96" s="578">
        <v>0</v>
      </c>
      <c r="FE96" s="578">
        <v>0</v>
      </c>
      <c r="FF96" s="578">
        <v>0</v>
      </c>
      <c r="FG96" s="578">
        <v>0</v>
      </c>
      <c r="FH96" s="578">
        <v>0</v>
      </c>
      <c r="FI96" s="578">
        <v>0</v>
      </c>
      <c r="FJ96" s="578">
        <v>0</v>
      </c>
      <c r="FK96" s="578">
        <v>0</v>
      </c>
      <c r="FL96" s="578">
        <v>0</v>
      </c>
      <c r="FM96" s="578">
        <v>0</v>
      </c>
      <c r="FN96" s="578">
        <v>0</v>
      </c>
      <c r="FO96" s="578">
        <v>0</v>
      </c>
      <c r="FP96" s="578">
        <v>0</v>
      </c>
      <c r="FQ96" s="578">
        <v>0</v>
      </c>
      <c r="FR96" s="578">
        <v>0</v>
      </c>
      <c r="FS96" s="578">
        <v>0</v>
      </c>
      <c r="FT96" s="578">
        <v>0</v>
      </c>
      <c r="FU96" s="578">
        <v>0</v>
      </c>
      <c r="FV96" s="578">
        <v>0</v>
      </c>
      <c r="FW96" s="578">
        <v>0</v>
      </c>
      <c r="FX96" s="578">
        <v>1.3619342325070354E-2</v>
      </c>
      <c r="FY96" s="578">
        <v>0</v>
      </c>
      <c r="FZ96" s="578">
        <v>0</v>
      </c>
      <c r="GA96" s="578">
        <v>0</v>
      </c>
      <c r="GB96" s="578">
        <v>0</v>
      </c>
      <c r="GC96" s="578">
        <v>0</v>
      </c>
      <c r="GD96" s="578">
        <v>0</v>
      </c>
      <c r="GE96" s="578">
        <v>0</v>
      </c>
      <c r="GF96" s="578">
        <v>0</v>
      </c>
      <c r="GG96" s="579">
        <v>3.3307175632618158E-4</v>
      </c>
      <c r="GH96" s="572"/>
    </row>
    <row r="97" spans="1:190">
      <c r="A97" s="572" t="s">
        <v>9328</v>
      </c>
      <c r="B97" s="577" t="s">
        <v>9432</v>
      </c>
      <c r="C97" s="573" t="s">
        <v>9527</v>
      </c>
      <c r="D97" s="578">
        <v>0</v>
      </c>
      <c r="E97" s="578">
        <v>0</v>
      </c>
      <c r="F97" s="578">
        <v>0</v>
      </c>
      <c r="G97" s="578">
        <v>0</v>
      </c>
      <c r="H97" s="578">
        <v>0</v>
      </c>
      <c r="I97" s="578">
        <v>0</v>
      </c>
      <c r="J97" s="578">
        <v>0</v>
      </c>
      <c r="K97" s="578">
        <v>0</v>
      </c>
      <c r="L97" s="578">
        <v>0</v>
      </c>
      <c r="M97" s="578">
        <v>0</v>
      </c>
      <c r="N97" s="578">
        <v>0</v>
      </c>
      <c r="O97" s="578">
        <v>0</v>
      </c>
      <c r="P97" s="578">
        <v>0</v>
      </c>
      <c r="Q97" s="578">
        <v>0</v>
      </c>
      <c r="R97" s="578">
        <v>2.3740885195862303E-3</v>
      </c>
      <c r="S97" s="578">
        <v>0</v>
      </c>
      <c r="T97" s="578">
        <v>0</v>
      </c>
      <c r="U97" s="578">
        <v>0</v>
      </c>
      <c r="V97" s="578">
        <v>0</v>
      </c>
      <c r="W97" s="578">
        <v>0</v>
      </c>
      <c r="X97" s="578">
        <v>0</v>
      </c>
      <c r="Y97" s="578">
        <v>0</v>
      </c>
      <c r="Z97" s="578">
        <v>0</v>
      </c>
      <c r="AA97" s="578">
        <v>0</v>
      </c>
      <c r="AB97" s="578">
        <v>0</v>
      </c>
      <c r="AC97" s="578">
        <v>0</v>
      </c>
      <c r="AD97" s="578">
        <v>0</v>
      </c>
      <c r="AE97" s="578">
        <v>0</v>
      </c>
      <c r="AF97" s="578">
        <v>0</v>
      </c>
      <c r="AG97" s="578">
        <v>0</v>
      </c>
      <c r="AH97" s="578">
        <v>0</v>
      </c>
      <c r="AI97" s="578">
        <v>0</v>
      </c>
      <c r="AJ97" s="578">
        <v>0</v>
      </c>
      <c r="AK97" s="578">
        <v>0</v>
      </c>
      <c r="AL97" s="578">
        <v>0</v>
      </c>
      <c r="AM97" s="578">
        <v>1.721960739295144E-4</v>
      </c>
      <c r="AN97" s="578">
        <v>0</v>
      </c>
      <c r="AO97" s="578">
        <v>8.1614146452051693E-3</v>
      </c>
      <c r="AP97" s="578">
        <v>0</v>
      </c>
      <c r="AQ97" s="578">
        <v>0</v>
      </c>
      <c r="AR97" s="578">
        <v>0</v>
      </c>
      <c r="AS97" s="578">
        <v>0</v>
      </c>
      <c r="AT97" s="578">
        <v>0</v>
      </c>
      <c r="AU97" s="578">
        <v>0</v>
      </c>
      <c r="AV97" s="578">
        <v>0</v>
      </c>
      <c r="AW97" s="578">
        <v>0</v>
      </c>
      <c r="AX97" s="578">
        <v>0</v>
      </c>
      <c r="AY97" s="578">
        <v>0</v>
      </c>
      <c r="AZ97" s="578">
        <v>0</v>
      </c>
      <c r="BA97" s="578">
        <v>0</v>
      </c>
      <c r="BB97" s="578">
        <v>0</v>
      </c>
      <c r="BC97" s="578">
        <v>0</v>
      </c>
      <c r="BD97" s="578">
        <v>0</v>
      </c>
      <c r="BE97" s="578">
        <v>0</v>
      </c>
      <c r="BF97" s="578">
        <v>0</v>
      </c>
      <c r="BG97" s="578">
        <v>0</v>
      </c>
      <c r="BH97" s="578">
        <v>0</v>
      </c>
      <c r="BI97" s="578">
        <v>0</v>
      </c>
      <c r="BJ97" s="578">
        <v>2.7216382612855203E-4</v>
      </c>
      <c r="BK97" s="578">
        <v>0</v>
      </c>
      <c r="BL97" s="578">
        <v>0</v>
      </c>
      <c r="BM97" s="578">
        <v>4.5571440675831336E-4</v>
      </c>
      <c r="BN97" s="578">
        <v>0</v>
      </c>
      <c r="BO97" s="578">
        <v>0</v>
      </c>
      <c r="BP97" s="578">
        <v>0</v>
      </c>
      <c r="BQ97" s="578">
        <v>0</v>
      </c>
      <c r="BR97" s="578">
        <v>1.3869181611598903E-3</v>
      </c>
      <c r="BS97" s="578">
        <v>3.5404675440282429E-4</v>
      </c>
      <c r="BT97" s="578">
        <v>5.0992533236204696E-3</v>
      </c>
      <c r="BU97" s="578">
        <v>2.0594036431140503E-3</v>
      </c>
      <c r="BV97" s="578">
        <v>1.2464627408705026E-3</v>
      </c>
      <c r="BW97" s="578">
        <v>0</v>
      </c>
      <c r="BX97" s="578">
        <v>0</v>
      </c>
      <c r="BY97" s="578">
        <v>0</v>
      </c>
      <c r="BZ97" s="578">
        <v>0</v>
      </c>
      <c r="CA97" s="578">
        <v>0</v>
      </c>
      <c r="CB97" s="578">
        <v>1.0424422933730455E-3</v>
      </c>
      <c r="CC97" s="578">
        <v>0</v>
      </c>
      <c r="CD97" s="578">
        <v>0</v>
      </c>
      <c r="CE97" s="578">
        <v>0</v>
      </c>
      <c r="CF97" s="578">
        <v>0</v>
      </c>
      <c r="CG97" s="578">
        <v>0</v>
      </c>
      <c r="CH97" s="578">
        <v>2.1640262460509412E-3</v>
      </c>
      <c r="CI97" s="578">
        <v>0</v>
      </c>
      <c r="CJ97" s="578">
        <v>2.0742026469950099E-3</v>
      </c>
      <c r="CK97" s="578">
        <v>9.0270003126670503E-4</v>
      </c>
      <c r="CL97" s="578">
        <v>4.7588646104966582E-2</v>
      </c>
      <c r="CM97" s="578">
        <v>2.5676092789135029E-2</v>
      </c>
      <c r="CN97" s="578">
        <v>6.8639038981088377E-2</v>
      </c>
      <c r="CO97" s="578">
        <v>2.5965152032798085E-2</v>
      </c>
      <c r="CP97" s="578">
        <v>0.13897010828258985</v>
      </c>
      <c r="CQ97" s="578">
        <v>2.0003822386443271E-2</v>
      </c>
      <c r="CR97" s="578">
        <v>8.3468818952502615E-3</v>
      </c>
      <c r="CS97" s="578">
        <v>1.2091761780992203E-2</v>
      </c>
      <c r="CT97" s="578">
        <v>5.9403341984777348E-2</v>
      </c>
      <c r="CU97" s="578">
        <v>1.8759169985328023E-2</v>
      </c>
      <c r="CV97" s="578">
        <v>2.2643777143104955E-2</v>
      </c>
      <c r="CW97" s="578">
        <v>2.1924007177966762E-2</v>
      </c>
      <c r="CX97" s="578">
        <v>5.255493211119202E-2</v>
      </c>
      <c r="CY97" s="578">
        <v>5.9620844399670301E-3</v>
      </c>
      <c r="CZ97" s="578">
        <v>8.6237553342816495E-3</v>
      </c>
      <c r="DA97" s="578">
        <v>4.8189158510205396E-3</v>
      </c>
      <c r="DB97" s="578">
        <v>1.083012942004657E-4</v>
      </c>
      <c r="DC97" s="578">
        <v>3.6258158085569255E-3</v>
      </c>
      <c r="DD97" s="578">
        <v>5.7971014492753624E-3</v>
      </c>
      <c r="DE97" s="578">
        <v>1.7264252094426372E-3</v>
      </c>
      <c r="DF97" s="578">
        <v>2.5760843517852864E-3</v>
      </c>
      <c r="DG97" s="578">
        <v>1.6979382412828526E-2</v>
      </c>
      <c r="DH97" s="578">
        <v>6.0601941527622027E-3</v>
      </c>
      <c r="DI97" s="578">
        <v>4.9675453702477152E-4</v>
      </c>
      <c r="DJ97" s="578">
        <v>3.1432866602889836E-3</v>
      </c>
      <c r="DK97" s="578">
        <v>1.3529282440682551E-4</v>
      </c>
      <c r="DL97" s="578">
        <v>1.4671346683164566E-3</v>
      </c>
      <c r="DM97" s="578">
        <v>3.2801719262526862E-3</v>
      </c>
      <c r="DN97" s="578">
        <v>2.8059750763390279E-4</v>
      </c>
      <c r="DO97" s="578">
        <v>0</v>
      </c>
      <c r="DP97" s="578">
        <v>2.6292725679228745E-4</v>
      </c>
      <c r="DQ97" s="578">
        <v>0</v>
      </c>
      <c r="DR97" s="578">
        <v>9.6569063886971507E-3</v>
      </c>
      <c r="DS97" s="578">
        <v>1.7991975079159561E-2</v>
      </c>
      <c r="DT97" s="578">
        <v>7.9015081384075977E-3</v>
      </c>
      <c r="DU97" s="578">
        <v>1.4651547967893998E-3</v>
      </c>
      <c r="DV97" s="578">
        <v>1.5038832368331031E-2</v>
      </c>
      <c r="DW97" s="578">
        <v>0</v>
      </c>
      <c r="DX97" s="578">
        <v>4.2903461083496265E-4</v>
      </c>
      <c r="DY97" s="578">
        <v>0</v>
      </c>
      <c r="DZ97" s="578">
        <v>2.1388284945847221E-4</v>
      </c>
      <c r="EA97" s="578">
        <v>8.013302081455216E-4</v>
      </c>
      <c r="EB97" s="578">
        <v>7.4681740888827609E-4</v>
      </c>
      <c r="EC97" s="578">
        <v>7.6455638909192112E-5</v>
      </c>
      <c r="ED97" s="578">
        <v>1.3568398295809174E-5</v>
      </c>
      <c r="EE97" s="578">
        <v>0</v>
      </c>
      <c r="EF97" s="578">
        <v>0</v>
      </c>
      <c r="EG97" s="578">
        <v>0</v>
      </c>
      <c r="EH97" s="578">
        <v>1.1315228966986156E-2</v>
      </c>
      <c r="EI97" s="578">
        <v>0</v>
      </c>
      <c r="EJ97" s="578">
        <v>3.594933659992972E-6</v>
      </c>
      <c r="EK97" s="578">
        <v>4.5326087202859167E-6</v>
      </c>
      <c r="EL97" s="578">
        <v>0</v>
      </c>
      <c r="EM97" s="578">
        <v>0</v>
      </c>
      <c r="EN97" s="578">
        <v>0</v>
      </c>
      <c r="EO97" s="578">
        <v>0</v>
      </c>
      <c r="EP97" s="578">
        <v>0</v>
      </c>
      <c r="EQ97" s="578">
        <v>2.5759306396781442E-4</v>
      </c>
      <c r="ER97" s="578">
        <v>0</v>
      </c>
      <c r="ES97" s="578">
        <v>1.3608126773309019E-5</v>
      </c>
      <c r="ET97" s="578">
        <v>2.6500912293905716E-6</v>
      </c>
      <c r="EU97" s="578">
        <v>1.173392159393591E-5</v>
      </c>
      <c r="EV97" s="578">
        <v>0</v>
      </c>
      <c r="EW97" s="578">
        <v>9.7227083576401035E-6</v>
      </c>
      <c r="EX97" s="578">
        <v>7.7092086497321051E-5</v>
      </c>
      <c r="EY97" s="578">
        <v>2.4745125210333564E-5</v>
      </c>
      <c r="EZ97" s="578">
        <v>1.3036223319196272E-4</v>
      </c>
      <c r="FA97" s="578">
        <v>2.1839783349349175E-5</v>
      </c>
      <c r="FB97" s="578">
        <v>3.5753195020187065E-4</v>
      </c>
      <c r="FC97" s="578">
        <v>4.3312543312543313E-5</v>
      </c>
      <c r="FD97" s="578">
        <v>0</v>
      </c>
      <c r="FE97" s="578">
        <v>0</v>
      </c>
      <c r="FF97" s="578">
        <v>0</v>
      </c>
      <c r="FG97" s="578">
        <v>0</v>
      </c>
      <c r="FH97" s="578">
        <v>0</v>
      </c>
      <c r="FI97" s="578">
        <v>4.139972165293527E-4</v>
      </c>
      <c r="FJ97" s="578">
        <v>5.4673751473628458E-5</v>
      </c>
      <c r="FK97" s="578">
        <v>0</v>
      </c>
      <c r="FL97" s="578">
        <v>0</v>
      </c>
      <c r="FM97" s="578">
        <v>0</v>
      </c>
      <c r="FN97" s="578">
        <v>0</v>
      </c>
      <c r="FO97" s="578">
        <v>0</v>
      </c>
      <c r="FP97" s="578">
        <v>0</v>
      </c>
      <c r="FQ97" s="578">
        <v>0</v>
      </c>
      <c r="FR97" s="578">
        <v>0</v>
      </c>
      <c r="FS97" s="578">
        <v>0</v>
      </c>
      <c r="FT97" s="578">
        <v>5.1879866980021065E-6</v>
      </c>
      <c r="FU97" s="578">
        <v>0</v>
      </c>
      <c r="FV97" s="578">
        <v>0</v>
      </c>
      <c r="FW97" s="578">
        <v>1.5358127278459015E-3</v>
      </c>
      <c r="FX97" s="578">
        <v>3.7432870292511744E-2</v>
      </c>
      <c r="FY97" s="578">
        <v>1.0085836718336497E-4</v>
      </c>
      <c r="FZ97" s="578">
        <v>0</v>
      </c>
      <c r="GA97" s="578">
        <v>0</v>
      </c>
      <c r="GB97" s="578">
        <v>0</v>
      </c>
      <c r="GC97" s="578">
        <v>0</v>
      </c>
      <c r="GD97" s="578">
        <v>5.373798032518195E-5</v>
      </c>
      <c r="GE97" s="578">
        <v>0</v>
      </c>
      <c r="GF97" s="578">
        <v>0</v>
      </c>
      <c r="GG97" s="579">
        <v>3.2579992921711811E-3</v>
      </c>
      <c r="GH97" s="572"/>
    </row>
    <row r="98" spans="1:190">
      <c r="A98" s="572" t="s">
        <v>9329</v>
      </c>
      <c r="B98" s="577" t="s">
        <v>9433</v>
      </c>
      <c r="C98" s="573" t="s">
        <v>9528</v>
      </c>
      <c r="D98" s="578">
        <v>0</v>
      </c>
      <c r="E98" s="578">
        <v>0</v>
      </c>
      <c r="F98" s="578">
        <v>0</v>
      </c>
      <c r="G98" s="578">
        <v>0</v>
      </c>
      <c r="H98" s="578">
        <v>0</v>
      </c>
      <c r="I98" s="578">
        <v>0</v>
      </c>
      <c r="J98" s="578">
        <v>0</v>
      </c>
      <c r="K98" s="578">
        <v>0</v>
      </c>
      <c r="L98" s="578">
        <v>0</v>
      </c>
      <c r="M98" s="578">
        <v>0</v>
      </c>
      <c r="N98" s="578">
        <v>0</v>
      </c>
      <c r="O98" s="578">
        <v>0</v>
      </c>
      <c r="P98" s="578">
        <v>0</v>
      </c>
      <c r="Q98" s="578">
        <v>0</v>
      </c>
      <c r="R98" s="578">
        <v>0</v>
      </c>
      <c r="S98" s="578">
        <v>0</v>
      </c>
      <c r="T98" s="578">
        <v>0</v>
      </c>
      <c r="U98" s="578">
        <v>0</v>
      </c>
      <c r="V98" s="578">
        <v>0</v>
      </c>
      <c r="W98" s="578">
        <v>0</v>
      </c>
      <c r="X98" s="578">
        <v>0</v>
      </c>
      <c r="Y98" s="578">
        <v>0</v>
      </c>
      <c r="Z98" s="578">
        <v>0</v>
      </c>
      <c r="AA98" s="578">
        <v>0</v>
      </c>
      <c r="AB98" s="578">
        <v>0</v>
      </c>
      <c r="AC98" s="578">
        <v>0</v>
      </c>
      <c r="AD98" s="578">
        <v>0</v>
      </c>
      <c r="AE98" s="578">
        <v>0</v>
      </c>
      <c r="AF98" s="578">
        <v>0</v>
      </c>
      <c r="AG98" s="578">
        <v>0</v>
      </c>
      <c r="AH98" s="578">
        <v>0</v>
      </c>
      <c r="AI98" s="578">
        <v>0</v>
      </c>
      <c r="AJ98" s="578">
        <v>0</v>
      </c>
      <c r="AK98" s="578">
        <v>0</v>
      </c>
      <c r="AL98" s="578">
        <v>0</v>
      </c>
      <c r="AM98" s="578">
        <v>0</v>
      </c>
      <c r="AN98" s="578">
        <v>0</v>
      </c>
      <c r="AO98" s="578">
        <v>0</v>
      </c>
      <c r="AP98" s="578">
        <v>0</v>
      </c>
      <c r="AQ98" s="578">
        <v>0</v>
      </c>
      <c r="AR98" s="578">
        <v>0</v>
      </c>
      <c r="AS98" s="578">
        <v>0</v>
      </c>
      <c r="AT98" s="578">
        <v>0</v>
      </c>
      <c r="AU98" s="578">
        <v>0</v>
      </c>
      <c r="AV98" s="578">
        <v>0</v>
      </c>
      <c r="AW98" s="578">
        <v>0</v>
      </c>
      <c r="AX98" s="578">
        <v>0</v>
      </c>
      <c r="AY98" s="578">
        <v>0</v>
      </c>
      <c r="AZ98" s="578">
        <v>0</v>
      </c>
      <c r="BA98" s="578">
        <v>0</v>
      </c>
      <c r="BB98" s="578">
        <v>0</v>
      </c>
      <c r="BC98" s="578">
        <v>0</v>
      </c>
      <c r="BD98" s="578">
        <v>0</v>
      </c>
      <c r="BE98" s="578">
        <v>0</v>
      </c>
      <c r="BF98" s="578">
        <v>0</v>
      </c>
      <c r="BG98" s="578">
        <v>0</v>
      </c>
      <c r="BH98" s="578">
        <v>0</v>
      </c>
      <c r="BI98" s="578">
        <v>0</v>
      </c>
      <c r="BJ98" s="578">
        <v>0</v>
      </c>
      <c r="BK98" s="578">
        <v>0</v>
      </c>
      <c r="BL98" s="578">
        <v>0</v>
      </c>
      <c r="BM98" s="578">
        <v>0</v>
      </c>
      <c r="BN98" s="578">
        <v>0</v>
      </c>
      <c r="BO98" s="578">
        <v>0</v>
      </c>
      <c r="BP98" s="578">
        <v>0</v>
      </c>
      <c r="BQ98" s="578">
        <v>0</v>
      </c>
      <c r="BR98" s="578">
        <v>0</v>
      </c>
      <c r="BS98" s="578">
        <v>0</v>
      </c>
      <c r="BT98" s="578">
        <v>0</v>
      </c>
      <c r="BU98" s="578">
        <v>0</v>
      </c>
      <c r="BV98" s="578">
        <v>0</v>
      </c>
      <c r="BW98" s="578">
        <v>0</v>
      </c>
      <c r="BX98" s="578">
        <v>0</v>
      </c>
      <c r="BY98" s="578">
        <v>0</v>
      </c>
      <c r="BZ98" s="578">
        <v>0</v>
      </c>
      <c r="CA98" s="578">
        <v>0</v>
      </c>
      <c r="CB98" s="578">
        <v>0</v>
      </c>
      <c r="CC98" s="578">
        <v>0</v>
      </c>
      <c r="CD98" s="578">
        <v>0</v>
      </c>
      <c r="CE98" s="578">
        <v>0</v>
      </c>
      <c r="CF98" s="578">
        <v>0</v>
      </c>
      <c r="CG98" s="578">
        <v>0</v>
      </c>
      <c r="CH98" s="578">
        <v>0</v>
      </c>
      <c r="CI98" s="578">
        <v>0</v>
      </c>
      <c r="CJ98" s="578">
        <v>0</v>
      </c>
      <c r="CK98" s="578">
        <v>0</v>
      </c>
      <c r="CL98" s="578">
        <v>0</v>
      </c>
      <c r="CM98" s="578">
        <v>0</v>
      </c>
      <c r="CN98" s="578">
        <v>0</v>
      </c>
      <c r="CO98" s="578">
        <v>0</v>
      </c>
      <c r="CP98" s="578">
        <v>0</v>
      </c>
      <c r="CQ98" s="578">
        <v>8.3519143785436706E-2</v>
      </c>
      <c r="CR98" s="578">
        <v>0</v>
      </c>
      <c r="CS98" s="578">
        <v>0</v>
      </c>
      <c r="CT98" s="578">
        <v>0</v>
      </c>
      <c r="CU98" s="578">
        <v>0</v>
      </c>
      <c r="CV98" s="578">
        <v>0</v>
      </c>
      <c r="CW98" s="578">
        <v>0</v>
      </c>
      <c r="CX98" s="578">
        <v>0</v>
      </c>
      <c r="CY98" s="578">
        <v>0</v>
      </c>
      <c r="CZ98" s="578">
        <v>0</v>
      </c>
      <c r="DA98" s="578">
        <v>0</v>
      </c>
      <c r="DB98" s="578">
        <v>0</v>
      </c>
      <c r="DC98" s="578">
        <v>0</v>
      </c>
      <c r="DD98" s="578">
        <v>0</v>
      </c>
      <c r="DE98" s="578">
        <v>0</v>
      </c>
      <c r="DF98" s="578">
        <v>0</v>
      </c>
      <c r="DG98" s="578">
        <v>0</v>
      </c>
      <c r="DH98" s="578">
        <v>0</v>
      </c>
      <c r="DI98" s="578">
        <v>0</v>
      </c>
      <c r="DJ98" s="578">
        <v>0</v>
      </c>
      <c r="DK98" s="578">
        <v>0</v>
      </c>
      <c r="DL98" s="578">
        <v>0</v>
      </c>
      <c r="DM98" s="578">
        <v>0</v>
      </c>
      <c r="DN98" s="578">
        <v>0</v>
      </c>
      <c r="DO98" s="578">
        <v>0</v>
      </c>
      <c r="DP98" s="578">
        <v>0</v>
      </c>
      <c r="DQ98" s="578">
        <v>0</v>
      </c>
      <c r="DR98" s="578">
        <v>0</v>
      </c>
      <c r="DS98" s="578">
        <v>0</v>
      </c>
      <c r="DT98" s="578">
        <v>0</v>
      </c>
      <c r="DU98" s="578">
        <v>0</v>
      </c>
      <c r="DV98" s="578">
        <v>0</v>
      </c>
      <c r="DW98" s="578">
        <v>0</v>
      </c>
      <c r="DX98" s="578">
        <v>0</v>
      </c>
      <c r="DY98" s="578">
        <v>0</v>
      </c>
      <c r="DZ98" s="578">
        <v>0</v>
      </c>
      <c r="EA98" s="578">
        <v>0</v>
      </c>
      <c r="EB98" s="578">
        <v>0</v>
      </c>
      <c r="EC98" s="578">
        <v>0</v>
      </c>
      <c r="ED98" s="578">
        <v>0</v>
      </c>
      <c r="EE98" s="578">
        <v>0</v>
      </c>
      <c r="EF98" s="578">
        <v>0</v>
      </c>
      <c r="EG98" s="578">
        <v>0</v>
      </c>
      <c r="EH98" s="578">
        <v>0</v>
      </c>
      <c r="EI98" s="578">
        <v>0</v>
      </c>
      <c r="EJ98" s="578">
        <v>0</v>
      </c>
      <c r="EK98" s="578">
        <v>0</v>
      </c>
      <c r="EL98" s="578">
        <v>0</v>
      </c>
      <c r="EM98" s="578">
        <v>0</v>
      </c>
      <c r="EN98" s="578">
        <v>0</v>
      </c>
      <c r="EO98" s="578">
        <v>0</v>
      </c>
      <c r="EP98" s="578">
        <v>0</v>
      </c>
      <c r="EQ98" s="578">
        <v>0</v>
      </c>
      <c r="ER98" s="578">
        <v>0</v>
      </c>
      <c r="ES98" s="578">
        <v>0</v>
      </c>
      <c r="ET98" s="578">
        <v>0</v>
      </c>
      <c r="EU98" s="578">
        <v>0</v>
      </c>
      <c r="EV98" s="578">
        <v>0</v>
      </c>
      <c r="EW98" s="578">
        <v>0</v>
      </c>
      <c r="EX98" s="578">
        <v>0</v>
      </c>
      <c r="EY98" s="578">
        <v>0</v>
      </c>
      <c r="EZ98" s="578">
        <v>0</v>
      </c>
      <c r="FA98" s="578">
        <v>0</v>
      </c>
      <c r="FB98" s="578">
        <v>0</v>
      </c>
      <c r="FC98" s="578">
        <v>0</v>
      </c>
      <c r="FD98" s="578">
        <v>0</v>
      </c>
      <c r="FE98" s="578">
        <v>0</v>
      </c>
      <c r="FF98" s="578">
        <v>0</v>
      </c>
      <c r="FG98" s="578">
        <v>0</v>
      </c>
      <c r="FH98" s="578">
        <v>0</v>
      </c>
      <c r="FI98" s="578">
        <v>0</v>
      </c>
      <c r="FJ98" s="578">
        <v>0</v>
      </c>
      <c r="FK98" s="578">
        <v>0</v>
      </c>
      <c r="FL98" s="578">
        <v>0</v>
      </c>
      <c r="FM98" s="578">
        <v>0</v>
      </c>
      <c r="FN98" s="578">
        <v>0</v>
      </c>
      <c r="FO98" s="578">
        <v>0</v>
      </c>
      <c r="FP98" s="578">
        <v>0</v>
      </c>
      <c r="FQ98" s="578">
        <v>0</v>
      </c>
      <c r="FR98" s="578">
        <v>0</v>
      </c>
      <c r="FS98" s="578">
        <v>0</v>
      </c>
      <c r="FT98" s="578">
        <v>0</v>
      </c>
      <c r="FU98" s="578">
        <v>0</v>
      </c>
      <c r="FV98" s="578">
        <v>0</v>
      </c>
      <c r="FW98" s="578">
        <v>0</v>
      </c>
      <c r="FX98" s="578">
        <v>8.722657607659794E-3</v>
      </c>
      <c r="FY98" s="578">
        <v>0</v>
      </c>
      <c r="FZ98" s="578">
        <v>0</v>
      </c>
      <c r="GA98" s="578">
        <v>0</v>
      </c>
      <c r="GB98" s="578">
        <v>0</v>
      </c>
      <c r="GC98" s="578">
        <v>0</v>
      </c>
      <c r="GD98" s="578">
        <v>0</v>
      </c>
      <c r="GE98" s="578">
        <v>0</v>
      </c>
      <c r="GF98" s="578">
        <v>0</v>
      </c>
      <c r="GG98" s="579">
        <v>1.1353085528904909E-4</v>
      </c>
      <c r="GH98" s="572"/>
    </row>
    <row r="99" spans="1:190">
      <c r="A99" s="572" t="s">
        <v>9330</v>
      </c>
      <c r="B99" s="577" t="s">
        <v>9434</v>
      </c>
      <c r="C99" s="573" t="s">
        <v>9529</v>
      </c>
      <c r="D99" s="578">
        <v>0</v>
      </c>
      <c r="E99" s="578">
        <v>0</v>
      </c>
      <c r="F99" s="578">
        <v>0</v>
      </c>
      <c r="G99" s="578">
        <v>0</v>
      </c>
      <c r="H99" s="578">
        <v>0</v>
      </c>
      <c r="I99" s="578">
        <v>0</v>
      </c>
      <c r="J99" s="578">
        <v>0</v>
      </c>
      <c r="K99" s="578">
        <v>0</v>
      </c>
      <c r="L99" s="578">
        <v>0</v>
      </c>
      <c r="M99" s="578">
        <v>0</v>
      </c>
      <c r="N99" s="578">
        <v>0</v>
      </c>
      <c r="O99" s="578">
        <v>0</v>
      </c>
      <c r="P99" s="578">
        <v>0</v>
      </c>
      <c r="Q99" s="578">
        <v>0</v>
      </c>
      <c r="R99" s="578">
        <v>0</v>
      </c>
      <c r="S99" s="578">
        <v>0</v>
      </c>
      <c r="T99" s="578">
        <v>0</v>
      </c>
      <c r="U99" s="578">
        <v>0</v>
      </c>
      <c r="V99" s="578">
        <v>0</v>
      </c>
      <c r="W99" s="578">
        <v>0</v>
      </c>
      <c r="X99" s="578">
        <v>0</v>
      </c>
      <c r="Y99" s="578">
        <v>0</v>
      </c>
      <c r="Z99" s="578">
        <v>0</v>
      </c>
      <c r="AA99" s="578">
        <v>0</v>
      </c>
      <c r="AB99" s="578">
        <v>0</v>
      </c>
      <c r="AC99" s="578">
        <v>0</v>
      </c>
      <c r="AD99" s="578">
        <v>0</v>
      </c>
      <c r="AE99" s="578">
        <v>0</v>
      </c>
      <c r="AF99" s="578">
        <v>0</v>
      </c>
      <c r="AG99" s="578">
        <v>0</v>
      </c>
      <c r="AH99" s="578">
        <v>0</v>
      </c>
      <c r="AI99" s="578">
        <v>0</v>
      </c>
      <c r="AJ99" s="578">
        <v>0</v>
      </c>
      <c r="AK99" s="578">
        <v>0</v>
      </c>
      <c r="AL99" s="578">
        <v>0</v>
      </c>
      <c r="AM99" s="578">
        <v>0</v>
      </c>
      <c r="AN99" s="578">
        <v>0</v>
      </c>
      <c r="AO99" s="578">
        <v>0</v>
      </c>
      <c r="AP99" s="578">
        <v>0</v>
      </c>
      <c r="AQ99" s="578">
        <v>0</v>
      </c>
      <c r="AR99" s="578">
        <v>0</v>
      </c>
      <c r="AS99" s="578">
        <v>0</v>
      </c>
      <c r="AT99" s="578">
        <v>0</v>
      </c>
      <c r="AU99" s="578">
        <v>0</v>
      </c>
      <c r="AV99" s="578">
        <v>0</v>
      </c>
      <c r="AW99" s="578">
        <v>0</v>
      </c>
      <c r="AX99" s="578">
        <v>0</v>
      </c>
      <c r="AY99" s="578">
        <v>0</v>
      </c>
      <c r="AZ99" s="578">
        <v>0</v>
      </c>
      <c r="BA99" s="578">
        <v>0</v>
      </c>
      <c r="BB99" s="578">
        <v>0</v>
      </c>
      <c r="BC99" s="578">
        <v>0</v>
      </c>
      <c r="BD99" s="578">
        <v>0</v>
      </c>
      <c r="BE99" s="578">
        <v>0</v>
      </c>
      <c r="BF99" s="578">
        <v>0</v>
      </c>
      <c r="BG99" s="578">
        <v>0</v>
      </c>
      <c r="BH99" s="578">
        <v>0</v>
      </c>
      <c r="BI99" s="578">
        <v>0</v>
      </c>
      <c r="BJ99" s="578">
        <v>0</v>
      </c>
      <c r="BK99" s="578">
        <v>0</v>
      </c>
      <c r="BL99" s="578">
        <v>0</v>
      </c>
      <c r="BM99" s="578">
        <v>0</v>
      </c>
      <c r="BN99" s="578">
        <v>0</v>
      </c>
      <c r="BO99" s="578">
        <v>0</v>
      </c>
      <c r="BP99" s="578">
        <v>0</v>
      </c>
      <c r="BQ99" s="578">
        <v>0</v>
      </c>
      <c r="BR99" s="578">
        <v>0</v>
      </c>
      <c r="BS99" s="578">
        <v>0</v>
      </c>
      <c r="BT99" s="578">
        <v>0</v>
      </c>
      <c r="BU99" s="578">
        <v>0</v>
      </c>
      <c r="BV99" s="578">
        <v>0</v>
      </c>
      <c r="BW99" s="578">
        <v>0</v>
      </c>
      <c r="BX99" s="578">
        <v>0</v>
      </c>
      <c r="BY99" s="578">
        <v>0</v>
      </c>
      <c r="BZ99" s="578">
        <v>0</v>
      </c>
      <c r="CA99" s="578">
        <v>0</v>
      </c>
      <c r="CB99" s="578">
        <v>0</v>
      </c>
      <c r="CC99" s="578">
        <v>0</v>
      </c>
      <c r="CD99" s="578">
        <v>0</v>
      </c>
      <c r="CE99" s="578">
        <v>0</v>
      </c>
      <c r="CF99" s="578">
        <v>0</v>
      </c>
      <c r="CG99" s="578">
        <v>0</v>
      </c>
      <c r="CH99" s="578">
        <v>0</v>
      </c>
      <c r="CI99" s="578">
        <v>0</v>
      </c>
      <c r="CJ99" s="578">
        <v>0</v>
      </c>
      <c r="CK99" s="578">
        <v>0</v>
      </c>
      <c r="CL99" s="578">
        <v>0</v>
      </c>
      <c r="CM99" s="578">
        <v>0</v>
      </c>
      <c r="CN99" s="578">
        <v>0</v>
      </c>
      <c r="CO99" s="578">
        <v>0</v>
      </c>
      <c r="CP99" s="578">
        <v>0</v>
      </c>
      <c r="CQ99" s="578">
        <v>0</v>
      </c>
      <c r="CR99" s="578">
        <v>0.22833875275810012</v>
      </c>
      <c r="CS99" s="578">
        <v>0</v>
      </c>
      <c r="CT99" s="578">
        <v>0</v>
      </c>
      <c r="CU99" s="578">
        <v>0</v>
      </c>
      <c r="CV99" s="578">
        <v>0</v>
      </c>
      <c r="CW99" s="578">
        <v>0</v>
      </c>
      <c r="CX99" s="578">
        <v>0</v>
      </c>
      <c r="CY99" s="578">
        <v>0</v>
      </c>
      <c r="CZ99" s="578">
        <v>0</v>
      </c>
      <c r="DA99" s="578">
        <v>0</v>
      </c>
      <c r="DB99" s="578">
        <v>0</v>
      </c>
      <c r="DC99" s="578">
        <v>0</v>
      </c>
      <c r="DD99" s="578">
        <v>0</v>
      </c>
      <c r="DE99" s="578">
        <v>0</v>
      </c>
      <c r="DF99" s="578">
        <v>0</v>
      </c>
      <c r="DG99" s="578">
        <v>0</v>
      </c>
      <c r="DH99" s="578">
        <v>0</v>
      </c>
      <c r="DI99" s="578">
        <v>0</v>
      </c>
      <c r="DJ99" s="578">
        <v>0</v>
      </c>
      <c r="DK99" s="578">
        <v>0</v>
      </c>
      <c r="DL99" s="578">
        <v>0</v>
      </c>
      <c r="DM99" s="578">
        <v>0</v>
      </c>
      <c r="DN99" s="578">
        <v>0</v>
      </c>
      <c r="DO99" s="578">
        <v>0</v>
      </c>
      <c r="DP99" s="578">
        <v>0</v>
      </c>
      <c r="DQ99" s="578">
        <v>0</v>
      </c>
      <c r="DR99" s="578">
        <v>0</v>
      </c>
      <c r="DS99" s="578">
        <v>0</v>
      </c>
      <c r="DT99" s="578">
        <v>0</v>
      </c>
      <c r="DU99" s="578">
        <v>0</v>
      </c>
      <c r="DV99" s="578">
        <v>0</v>
      </c>
      <c r="DW99" s="578">
        <v>0</v>
      </c>
      <c r="DX99" s="578">
        <v>0</v>
      </c>
      <c r="DY99" s="578">
        <v>0</v>
      </c>
      <c r="DZ99" s="578">
        <v>0</v>
      </c>
      <c r="EA99" s="578">
        <v>0</v>
      </c>
      <c r="EB99" s="578">
        <v>0</v>
      </c>
      <c r="EC99" s="578">
        <v>0</v>
      </c>
      <c r="ED99" s="578">
        <v>0</v>
      </c>
      <c r="EE99" s="578">
        <v>0</v>
      </c>
      <c r="EF99" s="578">
        <v>0</v>
      </c>
      <c r="EG99" s="578">
        <v>0</v>
      </c>
      <c r="EH99" s="578">
        <v>0</v>
      </c>
      <c r="EI99" s="578">
        <v>0</v>
      </c>
      <c r="EJ99" s="578">
        <v>0</v>
      </c>
      <c r="EK99" s="578">
        <v>0</v>
      </c>
      <c r="EL99" s="578">
        <v>0</v>
      </c>
      <c r="EM99" s="578">
        <v>0</v>
      </c>
      <c r="EN99" s="578">
        <v>0</v>
      </c>
      <c r="EO99" s="578">
        <v>0</v>
      </c>
      <c r="EP99" s="578">
        <v>0</v>
      </c>
      <c r="EQ99" s="578">
        <v>0</v>
      </c>
      <c r="ER99" s="578">
        <v>0</v>
      </c>
      <c r="ES99" s="578">
        <v>0</v>
      </c>
      <c r="ET99" s="578">
        <v>0</v>
      </c>
      <c r="EU99" s="578">
        <v>0</v>
      </c>
      <c r="EV99" s="578">
        <v>0</v>
      </c>
      <c r="EW99" s="578">
        <v>0</v>
      </c>
      <c r="EX99" s="578">
        <v>0</v>
      </c>
      <c r="EY99" s="578">
        <v>0</v>
      </c>
      <c r="EZ99" s="578">
        <v>0</v>
      </c>
      <c r="FA99" s="578">
        <v>0</v>
      </c>
      <c r="FB99" s="578">
        <v>0</v>
      </c>
      <c r="FC99" s="578">
        <v>0</v>
      </c>
      <c r="FD99" s="578">
        <v>0</v>
      </c>
      <c r="FE99" s="578">
        <v>0</v>
      </c>
      <c r="FF99" s="578">
        <v>0</v>
      </c>
      <c r="FG99" s="578">
        <v>0</v>
      </c>
      <c r="FH99" s="578">
        <v>0</v>
      </c>
      <c r="FI99" s="578">
        <v>0</v>
      </c>
      <c r="FJ99" s="578">
        <v>0</v>
      </c>
      <c r="FK99" s="578">
        <v>0</v>
      </c>
      <c r="FL99" s="578">
        <v>0</v>
      </c>
      <c r="FM99" s="578">
        <v>0</v>
      </c>
      <c r="FN99" s="578">
        <v>0</v>
      </c>
      <c r="FO99" s="578">
        <v>0</v>
      </c>
      <c r="FP99" s="578">
        <v>0</v>
      </c>
      <c r="FQ99" s="578">
        <v>0</v>
      </c>
      <c r="FR99" s="578">
        <v>0</v>
      </c>
      <c r="FS99" s="578">
        <v>0</v>
      </c>
      <c r="FT99" s="578">
        <v>0</v>
      </c>
      <c r="FU99" s="578">
        <v>0</v>
      </c>
      <c r="FV99" s="578">
        <v>0</v>
      </c>
      <c r="FW99" s="578">
        <v>0</v>
      </c>
      <c r="FX99" s="578">
        <v>2.0349130537149776E-2</v>
      </c>
      <c r="FY99" s="578">
        <v>0</v>
      </c>
      <c r="FZ99" s="578">
        <v>0</v>
      </c>
      <c r="GA99" s="578">
        <v>0</v>
      </c>
      <c r="GB99" s="578">
        <v>0</v>
      </c>
      <c r="GC99" s="578">
        <v>0</v>
      </c>
      <c r="GD99" s="578">
        <v>0</v>
      </c>
      <c r="GE99" s="578">
        <v>0</v>
      </c>
      <c r="GF99" s="578">
        <v>0</v>
      </c>
      <c r="GG99" s="579">
        <v>2.2051372930198777E-3</v>
      </c>
      <c r="GH99" s="572"/>
    </row>
    <row r="100" spans="1:190">
      <c r="A100" s="572" t="s">
        <v>9331</v>
      </c>
      <c r="B100" s="577" t="s">
        <v>9435</v>
      </c>
      <c r="C100" s="573" t="s">
        <v>469</v>
      </c>
      <c r="D100" s="578">
        <v>0</v>
      </c>
      <c r="E100" s="578">
        <v>0</v>
      </c>
      <c r="F100" s="578">
        <v>0</v>
      </c>
      <c r="G100" s="578">
        <v>0</v>
      </c>
      <c r="H100" s="578">
        <v>0</v>
      </c>
      <c r="I100" s="578">
        <v>0</v>
      </c>
      <c r="J100" s="578">
        <v>0</v>
      </c>
      <c r="K100" s="578">
        <v>0</v>
      </c>
      <c r="L100" s="578">
        <v>0</v>
      </c>
      <c r="M100" s="578">
        <v>0</v>
      </c>
      <c r="N100" s="578">
        <v>0</v>
      </c>
      <c r="O100" s="578">
        <v>0</v>
      </c>
      <c r="P100" s="578">
        <v>0</v>
      </c>
      <c r="Q100" s="578">
        <v>0</v>
      </c>
      <c r="R100" s="578">
        <v>0</v>
      </c>
      <c r="S100" s="578">
        <v>0</v>
      </c>
      <c r="T100" s="578">
        <v>0</v>
      </c>
      <c r="U100" s="578">
        <v>0</v>
      </c>
      <c r="V100" s="578">
        <v>0</v>
      </c>
      <c r="W100" s="578">
        <v>0</v>
      </c>
      <c r="X100" s="578">
        <v>0</v>
      </c>
      <c r="Y100" s="578">
        <v>0</v>
      </c>
      <c r="Z100" s="578">
        <v>0</v>
      </c>
      <c r="AA100" s="578">
        <v>0</v>
      </c>
      <c r="AB100" s="578">
        <v>0</v>
      </c>
      <c r="AC100" s="578">
        <v>0</v>
      </c>
      <c r="AD100" s="578">
        <v>0</v>
      </c>
      <c r="AE100" s="578">
        <v>0</v>
      </c>
      <c r="AF100" s="578">
        <v>0</v>
      </c>
      <c r="AG100" s="578">
        <v>0</v>
      </c>
      <c r="AH100" s="578">
        <v>0</v>
      </c>
      <c r="AI100" s="578">
        <v>0</v>
      </c>
      <c r="AJ100" s="578">
        <v>0</v>
      </c>
      <c r="AK100" s="578">
        <v>0</v>
      </c>
      <c r="AL100" s="578">
        <v>0</v>
      </c>
      <c r="AM100" s="578">
        <v>0</v>
      </c>
      <c r="AN100" s="578">
        <v>0</v>
      </c>
      <c r="AO100" s="578">
        <v>0</v>
      </c>
      <c r="AP100" s="578">
        <v>0</v>
      </c>
      <c r="AQ100" s="578">
        <v>0</v>
      </c>
      <c r="AR100" s="578">
        <v>0</v>
      </c>
      <c r="AS100" s="578">
        <v>0</v>
      </c>
      <c r="AT100" s="578">
        <v>0</v>
      </c>
      <c r="AU100" s="578">
        <v>0</v>
      </c>
      <c r="AV100" s="578">
        <v>0</v>
      </c>
      <c r="AW100" s="578">
        <v>0</v>
      </c>
      <c r="AX100" s="578">
        <v>0</v>
      </c>
      <c r="AY100" s="578">
        <v>0</v>
      </c>
      <c r="AZ100" s="578">
        <v>0</v>
      </c>
      <c r="BA100" s="578">
        <v>0</v>
      </c>
      <c r="BB100" s="578">
        <v>0</v>
      </c>
      <c r="BC100" s="578">
        <v>0</v>
      </c>
      <c r="BD100" s="578">
        <v>0</v>
      </c>
      <c r="BE100" s="578">
        <v>0</v>
      </c>
      <c r="BF100" s="578">
        <v>0</v>
      </c>
      <c r="BG100" s="578">
        <v>0</v>
      </c>
      <c r="BH100" s="578">
        <v>0</v>
      </c>
      <c r="BI100" s="578">
        <v>0</v>
      </c>
      <c r="BJ100" s="578">
        <v>0</v>
      </c>
      <c r="BK100" s="578">
        <v>0</v>
      </c>
      <c r="BL100" s="578">
        <v>0</v>
      </c>
      <c r="BM100" s="578">
        <v>0</v>
      </c>
      <c r="BN100" s="578">
        <v>0</v>
      </c>
      <c r="BO100" s="578">
        <v>0</v>
      </c>
      <c r="BP100" s="578">
        <v>0</v>
      </c>
      <c r="BQ100" s="578">
        <v>0</v>
      </c>
      <c r="BR100" s="578">
        <v>0</v>
      </c>
      <c r="BS100" s="578">
        <v>0</v>
      </c>
      <c r="BT100" s="578">
        <v>0</v>
      </c>
      <c r="BU100" s="578">
        <v>0</v>
      </c>
      <c r="BV100" s="578">
        <v>0</v>
      </c>
      <c r="BW100" s="578">
        <v>0</v>
      </c>
      <c r="BX100" s="578">
        <v>0</v>
      </c>
      <c r="BY100" s="578">
        <v>0</v>
      </c>
      <c r="BZ100" s="578">
        <v>0</v>
      </c>
      <c r="CA100" s="578">
        <v>0</v>
      </c>
      <c r="CB100" s="578">
        <v>0</v>
      </c>
      <c r="CC100" s="578">
        <v>0</v>
      </c>
      <c r="CD100" s="578">
        <v>0</v>
      </c>
      <c r="CE100" s="578">
        <v>0</v>
      </c>
      <c r="CF100" s="578">
        <v>0</v>
      </c>
      <c r="CG100" s="578">
        <v>0</v>
      </c>
      <c r="CH100" s="578">
        <v>0</v>
      </c>
      <c r="CI100" s="578">
        <v>0</v>
      </c>
      <c r="CJ100" s="578">
        <v>0</v>
      </c>
      <c r="CK100" s="578">
        <v>0</v>
      </c>
      <c r="CL100" s="578">
        <v>0</v>
      </c>
      <c r="CM100" s="578">
        <v>0</v>
      </c>
      <c r="CN100" s="578">
        <v>0</v>
      </c>
      <c r="CO100" s="578">
        <v>0</v>
      </c>
      <c r="CP100" s="578">
        <v>0</v>
      </c>
      <c r="CQ100" s="578">
        <v>0</v>
      </c>
      <c r="CR100" s="578">
        <v>0</v>
      </c>
      <c r="CS100" s="578">
        <v>0.15199457565826646</v>
      </c>
      <c r="CT100" s="578">
        <v>0</v>
      </c>
      <c r="CU100" s="578">
        <v>0</v>
      </c>
      <c r="CV100" s="578">
        <v>0</v>
      </c>
      <c r="CW100" s="578">
        <v>0</v>
      </c>
      <c r="CX100" s="578">
        <v>0</v>
      </c>
      <c r="CY100" s="578">
        <v>0</v>
      </c>
      <c r="CZ100" s="578">
        <v>0</v>
      </c>
      <c r="DA100" s="578">
        <v>0</v>
      </c>
      <c r="DB100" s="578">
        <v>0</v>
      </c>
      <c r="DC100" s="578">
        <v>0</v>
      </c>
      <c r="DD100" s="578">
        <v>0</v>
      </c>
      <c r="DE100" s="578">
        <v>0</v>
      </c>
      <c r="DF100" s="578">
        <v>0</v>
      </c>
      <c r="DG100" s="578">
        <v>0</v>
      </c>
      <c r="DH100" s="578">
        <v>0</v>
      </c>
      <c r="DI100" s="578">
        <v>0</v>
      </c>
      <c r="DJ100" s="578">
        <v>0</v>
      </c>
      <c r="DK100" s="578">
        <v>0</v>
      </c>
      <c r="DL100" s="578">
        <v>0</v>
      </c>
      <c r="DM100" s="578">
        <v>0</v>
      </c>
      <c r="DN100" s="578">
        <v>0</v>
      </c>
      <c r="DO100" s="578">
        <v>0</v>
      </c>
      <c r="DP100" s="578">
        <v>0</v>
      </c>
      <c r="DQ100" s="578">
        <v>0</v>
      </c>
      <c r="DR100" s="578">
        <v>0</v>
      </c>
      <c r="DS100" s="578">
        <v>0</v>
      </c>
      <c r="DT100" s="578">
        <v>0</v>
      </c>
      <c r="DU100" s="578">
        <v>0</v>
      </c>
      <c r="DV100" s="578">
        <v>0</v>
      </c>
      <c r="DW100" s="578">
        <v>0</v>
      </c>
      <c r="DX100" s="578">
        <v>0</v>
      </c>
      <c r="DY100" s="578">
        <v>0</v>
      </c>
      <c r="DZ100" s="578">
        <v>0</v>
      </c>
      <c r="EA100" s="578">
        <v>0</v>
      </c>
      <c r="EB100" s="578">
        <v>0</v>
      </c>
      <c r="EC100" s="578">
        <v>0</v>
      </c>
      <c r="ED100" s="578">
        <v>0</v>
      </c>
      <c r="EE100" s="578">
        <v>0</v>
      </c>
      <c r="EF100" s="578">
        <v>0</v>
      </c>
      <c r="EG100" s="578">
        <v>0</v>
      </c>
      <c r="EH100" s="578">
        <v>0</v>
      </c>
      <c r="EI100" s="578">
        <v>0</v>
      </c>
      <c r="EJ100" s="578">
        <v>0</v>
      </c>
      <c r="EK100" s="578">
        <v>0</v>
      </c>
      <c r="EL100" s="578">
        <v>0</v>
      </c>
      <c r="EM100" s="578">
        <v>0</v>
      </c>
      <c r="EN100" s="578">
        <v>0</v>
      </c>
      <c r="EO100" s="578">
        <v>0</v>
      </c>
      <c r="EP100" s="578">
        <v>0</v>
      </c>
      <c r="EQ100" s="578">
        <v>0</v>
      </c>
      <c r="ER100" s="578">
        <v>0</v>
      </c>
      <c r="ES100" s="578">
        <v>0</v>
      </c>
      <c r="ET100" s="578">
        <v>0</v>
      </c>
      <c r="EU100" s="578">
        <v>0</v>
      </c>
      <c r="EV100" s="578">
        <v>0</v>
      </c>
      <c r="EW100" s="578">
        <v>0</v>
      </c>
      <c r="EX100" s="578">
        <v>0</v>
      </c>
      <c r="EY100" s="578">
        <v>0</v>
      </c>
      <c r="EZ100" s="578">
        <v>0</v>
      </c>
      <c r="FA100" s="578">
        <v>0</v>
      </c>
      <c r="FB100" s="578">
        <v>0</v>
      </c>
      <c r="FC100" s="578">
        <v>0</v>
      </c>
      <c r="FD100" s="578">
        <v>0</v>
      </c>
      <c r="FE100" s="578">
        <v>0</v>
      </c>
      <c r="FF100" s="578">
        <v>0</v>
      </c>
      <c r="FG100" s="578">
        <v>0</v>
      </c>
      <c r="FH100" s="578">
        <v>0</v>
      </c>
      <c r="FI100" s="578">
        <v>0</v>
      </c>
      <c r="FJ100" s="578">
        <v>0</v>
      </c>
      <c r="FK100" s="578">
        <v>0</v>
      </c>
      <c r="FL100" s="578">
        <v>0</v>
      </c>
      <c r="FM100" s="578">
        <v>0</v>
      </c>
      <c r="FN100" s="578">
        <v>0</v>
      </c>
      <c r="FO100" s="578">
        <v>0</v>
      </c>
      <c r="FP100" s="578">
        <v>0</v>
      </c>
      <c r="FQ100" s="578">
        <v>0</v>
      </c>
      <c r="FR100" s="578">
        <v>0</v>
      </c>
      <c r="FS100" s="578">
        <v>0</v>
      </c>
      <c r="FT100" s="578">
        <v>0</v>
      </c>
      <c r="FU100" s="578">
        <v>0</v>
      </c>
      <c r="FV100" s="578">
        <v>0</v>
      </c>
      <c r="FW100" s="578">
        <v>0</v>
      </c>
      <c r="FX100" s="578">
        <v>6.951218144921687E-3</v>
      </c>
      <c r="FY100" s="578">
        <v>0</v>
      </c>
      <c r="FZ100" s="578">
        <v>0</v>
      </c>
      <c r="GA100" s="578">
        <v>0</v>
      </c>
      <c r="GB100" s="578">
        <v>0</v>
      </c>
      <c r="GC100" s="578">
        <v>0</v>
      </c>
      <c r="GD100" s="578">
        <v>0</v>
      </c>
      <c r="GE100" s="578">
        <v>0</v>
      </c>
      <c r="GF100" s="578">
        <v>0</v>
      </c>
      <c r="GG100" s="579">
        <v>1.3270506937471937E-4</v>
      </c>
      <c r="GH100" s="572"/>
    </row>
    <row r="101" spans="1:190">
      <c r="A101" s="572" t="s">
        <v>9332</v>
      </c>
      <c r="B101" s="577" t="s">
        <v>9436</v>
      </c>
      <c r="C101" s="573" t="s">
        <v>9530</v>
      </c>
      <c r="D101" s="578">
        <v>0</v>
      </c>
      <c r="E101" s="578">
        <v>0</v>
      </c>
      <c r="F101" s="578">
        <v>0</v>
      </c>
      <c r="G101" s="578">
        <v>0</v>
      </c>
      <c r="H101" s="578">
        <v>0</v>
      </c>
      <c r="I101" s="578">
        <v>0</v>
      </c>
      <c r="J101" s="578">
        <v>0</v>
      </c>
      <c r="K101" s="578">
        <v>0</v>
      </c>
      <c r="L101" s="578">
        <v>0</v>
      </c>
      <c r="M101" s="578">
        <v>0</v>
      </c>
      <c r="N101" s="578">
        <v>0</v>
      </c>
      <c r="O101" s="578">
        <v>0</v>
      </c>
      <c r="P101" s="578">
        <v>0</v>
      </c>
      <c r="Q101" s="578">
        <v>0</v>
      </c>
      <c r="R101" s="578">
        <v>0</v>
      </c>
      <c r="S101" s="578">
        <v>0</v>
      </c>
      <c r="T101" s="578">
        <v>0</v>
      </c>
      <c r="U101" s="578">
        <v>0</v>
      </c>
      <c r="V101" s="578">
        <v>0</v>
      </c>
      <c r="W101" s="578">
        <v>0</v>
      </c>
      <c r="X101" s="578">
        <v>0</v>
      </c>
      <c r="Y101" s="578">
        <v>0</v>
      </c>
      <c r="Z101" s="578">
        <v>0</v>
      </c>
      <c r="AA101" s="578">
        <v>0</v>
      </c>
      <c r="AB101" s="578">
        <v>0</v>
      </c>
      <c r="AC101" s="578">
        <v>0</v>
      </c>
      <c r="AD101" s="578">
        <v>0</v>
      </c>
      <c r="AE101" s="578">
        <v>0</v>
      </c>
      <c r="AF101" s="578">
        <v>0</v>
      </c>
      <c r="AG101" s="578">
        <v>0</v>
      </c>
      <c r="AH101" s="578">
        <v>0</v>
      </c>
      <c r="AI101" s="578">
        <v>0</v>
      </c>
      <c r="AJ101" s="578">
        <v>0</v>
      </c>
      <c r="AK101" s="578">
        <v>0</v>
      </c>
      <c r="AL101" s="578">
        <v>0</v>
      </c>
      <c r="AM101" s="578">
        <v>0</v>
      </c>
      <c r="AN101" s="578">
        <v>0</v>
      </c>
      <c r="AO101" s="578">
        <v>0</v>
      </c>
      <c r="AP101" s="578">
        <v>0</v>
      </c>
      <c r="AQ101" s="578">
        <v>0</v>
      </c>
      <c r="AR101" s="578">
        <v>0</v>
      </c>
      <c r="AS101" s="578">
        <v>0</v>
      </c>
      <c r="AT101" s="578">
        <v>0</v>
      </c>
      <c r="AU101" s="578">
        <v>0</v>
      </c>
      <c r="AV101" s="578">
        <v>0</v>
      </c>
      <c r="AW101" s="578">
        <v>0</v>
      </c>
      <c r="AX101" s="578">
        <v>0</v>
      </c>
      <c r="AY101" s="578">
        <v>0</v>
      </c>
      <c r="AZ101" s="578">
        <v>0</v>
      </c>
      <c r="BA101" s="578">
        <v>0</v>
      </c>
      <c r="BB101" s="578">
        <v>0</v>
      </c>
      <c r="BC101" s="578">
        <v>0</v>
      </c>
      <c r="BD101" s="578">
        <v>0</v>
      </c>
      <c r="BE101" s="578">
        <v>0</v>
      </c>
      <c r="BF101" s="578">
        <v>0</v>
      </c>
      <c r="BG101" s="578">
        <v>0</v>
      </c>
      <c r="BH101" s="578">
        <v>0</v>
      </c>
      <c r="BI101" s="578">
        <v>0</v>
      </c>
      <c r="BJ101" s="578">
        <v>0</v>
      </c>
      <c r="BK101" s="578">
        <v>0</v>
      </c>
      <c r="BL101" s="578">
        <v>0</v>
      </c>
      <c r="BM101" s="578">
        <v>0</v>
      </c>
      <c r="BN101" s="578">
        <v>0</v>
      </c>
      <c r="BO101" s="578">
        <v>0</v>
      </c>
      <c r="BP101" s="578">
        <v>0</v>
      </c>
      <c r="BQ101" s="578">
        <v>0</v>
      </c>
      <c r="BR101" s="578">
        <v>0</v>
      </c>
      <c r="BS101" s="578">
        <v>0</v>
      </c>
      <c r="BT101" s="578">
        <v>0</v>
      </c>
      <c r="BU101" s="578">
        <v>0</v>
      </c>
      <c r="BV101" s="578">
        <v>0</v>
      </c>
      <c r="BW101" s="578">
        <v>0</v>
      </c>
      <c r="BX101" s="578">
        <v>0</v>
      </c>
      <c r="BY101" s="578">
        <v>0</v>
      </c>
      <c r="BZ101" s="578">
        <v>0</v>
      </c>
      <c r="CA101" s="578">
        <v>0</v>
      </c>
      <c r="CB101" s="578">
        <v>0</v>
      </c>
      <c r="CC101" s="578">
        <v>0</v>
      </c>
      <c r="CD101" s="578">
        <v>0</v>
      </c>
      <c r="CE101" s="578">
        <v>0</v>
      </c>
      <c r="CF101" s="578">
        <v>0</v>
      </c>
      <c r="CG101" s="578">
        <v>0</v>
      </c>
      <c r="CH101" s="578">
        <v>0</v>
      </c>
      <c r="CI101" s="578">
        <v>0</v>
      </c>
      <c r="CJ101" s="578">
        <v>0</v>
      </c>
      <c r="CK101" s="578">
        <v>2.521508467225433E-6</v>
      </c>
      <c r="CL101" s="578">
        <v>0</v>
      </c>
      <c r="CM101" s="578">
        <v>0</v>
      </c>
      <c r="CN101" s="578">
        <v>0</v>
      </c>
      <c r="CO101" s="578">
        <v>0</v>
      </c>
      <c r="CP101" s="578">
        <v>0</v>
      </c>
      <c r="CQ101" s="578">
        <v>0</v>
      </c>
      <c r="CR101" s="578">
        <v>0</v>
      </c>
      <c r="CS101" s="578">
        <v>0</v>
      </c>
      <c r="CT101" s="578">
        <v>8.1391618792102882E-2</v>
      </c>
      <c r="CU101" s="578">
        <v>0</v>
      </c>
      <c r="CV101" s="578">
        <v>0</v>
      </c>
      <c r="CW101" s="578">
        <v>0</v>
      </c>
      <c r="CX101" s="578">
        <v>0</v>
      </c>
      <c r="CY101" s="578">
        <v>0</v>
      </c>
      <c r="CZ101" s="578">
        <v>0</v>
      </c>
      <c r="DA101" s="578">
        <v>0</v>
      </c>
      <c r="DB101" s="578">
        <v>0</v>
      </c>
      <c r="DC101" s="578">
        <v>0</v>
      </c>
      <c r="DD101" s="578">
        <v>0</v>
      </c>
      <c r="DE101" s="578">
        <v>0</v>
      </c>
      <c r="DF101" s="578">
        <v>9.9848230689352183E-6</v>
      </c>
      <c r="DG101" s="578">
        <v>0</v>
      </c>
      <c r="DH101" s="578">
        <v>0</v>
      </c>
      <c r="DI101" s="578">
        <v>0</v>
      </c>
      <c r="DJ101" s="578">
        <v>0</v>
      </c>
      <c r="DK101" s="578">
        <v>0</v>
      </c>
      <c r="DL101" s="578">
        <v>0</v>
      </c>
      <c r="DM101" s="578">
        <v>0</v>
      </c>
      <c r="DN101" s="578">
        <v>0</v>
      </c>
      <c r="DO101" s="578">
        <v>0</v>
      </c>
      <c r="DP101" s="578">
        <v>0</v>
      </c>
      <c r="DQ101" s="578">
        <v>0</v>
      </c>
      <c r="DR101" s="578">
        <v>0</v>
      </c>
      <c r="DS101" s="578">
        <v>0</v>
      </c>
      <c r="DT101" s="578">
        <v>0</v>
      </c>
      <c r="DU101" s="578">
        <v>0</v>
      </c>
      <c r="DV101" s="578">
        <v>0</v>
      </c>
      <c r="DW101" s="578">
        <v>0</v>
      </c>
      <c r="DX101" s="578">
        <v>0</v>
      </c>
      <c r="DY101" s="578">
        <v>0</v>
      </c>
      <c r="DZ101" s="578">
        <v>0</v>
      </c>
      <c r="EA101" s="578">
        <v>0</v>
      </c>
      <c r="EB101" s="578">
        <v>0</v>
      </c>
      <c r="EC101" s="578">
        <v>0</v>
      </c>
      <c r="ED101" s="578">
        <v>0</v>
      </c>
      <c r="EE101" s="578">
        <v>0</v>
      </c>
      <c r="EF101" s="578">
        <v>0</v>
      </c>
      <c r="EG101" s="578">
        <v>0</v>
      </c>
      <c r="EH101" s="578">
        <v>0</v>
      </c>
      <c r="EI101" s="578">
        <v>0</v>
      </c>
      <c r="EJ101" s="578">
        <v>0</v>
      </c>
      <c r="EK101" s="578">
        <v>0</v>
      </c>
      <c r="EL101" s="578">
        <v>0</v>
      </c>
      <c r="EM101" s="578">
        <v>0</v>
      </c>
      <c r="EN101" s="578">
        <v>0</v>
      </c>
      <c r="EO101" s="578">
        <v>0</v>
      </c>
      <c r="EP101" s="578">
        <v>0</v>
      </c>
      <c r="EQ101" s="578">
        <v>0</v>
      </c>
      <c r="ER101" s="578">
        <v>0</v>
      </c>
      <c r="ES101" s="578">
        <v>0</v>
      </c>
      <c r="ET101" s="578">
        <v>0</v>
      </c>
      <c r="EU101" s="578">
        <v>0</v>
      </c>
      <c r="EV101" s="578">
        <v>0</v>
      </c>
      <c r="EW101" s="578">
        <v>0</v>
      </c>
      <c r="EX101" s="578">
        <v>0</v>
      </c>
      <c r="EY101" s="578">
        <v>0</v>
      </c>
      <c r="EZ101" s="578">
        <v>0</v>
      </c>
      <c r="FA101" s="578">
        <v>0</v>
      </c>
      <c r="FB101" s="578">
        <v>0</v>
      </c>
      <c r="FC101" s="578">
        <v>0</v>
      </c>
      <c r="FD101" s="578">
        <v>0</v>
      </c>
      <c r="FE101" s="578">
        <v>0</v>
      </c>
      <c r="FF101" s="578">
        <v>0</v>
      </c>
      <c r="FG101" s="578">
        <v>0</v>
      </c>
      <c r="FH101" s="578">
        <v>0</v>
      </c>
      <c r="FI101" s="578">
        <v>0</v>
      </c>
      <c r="FJ101" s="578">
        <v>0</v>
      </c>
      <c r="FK101" s="578">
        <v>0</v>
      </c>
      <c r="FL101" s="578">
        <v>0</v>
      </c>
      <c r="FM101" s="578">
        <v>0</v>
      </c>
      <c r="FN101" s="578">
        <v>0</v>
      </c>
      <c r="FO101" s="578">
        <v>0</v>
      </c>
      <c r="FP101" s="578">
        <v>0</v>
      </c>
      <c r="FQ101" s="578">
        <v>0</v>
      </c>
      <c r="FR101" s="578">
        <v>0</v>
      </c>
      <c r="FS101" s="578">
        <v>0</v>
      </c>
      <c r="FT101" s="578">
        <v>0</v>
      </c>
      <c r="FU101" s="578">
        <v>0</v>
      </c>
      <c r="FV101" s="578">
        <v>0</v>
      </c>
      <c r="FW101" s="578">
        <v>0</v>
      </c>
      <c r="FX101" s="578">
        <v>2.1602031549561064E-2</v>
      </c>
      <c r="FY101" s="578">
        <v>0</v>
      </c>
      <c r="FZ101" s="578">
        <v>0</v>
      </c>
      <c r="GA101" s="578">
        <v>0</v>
      </c>
      <c r="GB101" s="578">
        <v>0</v>
      </c>
      <c r="GC101" s="578">
        <v>0</v>
      </c>
      <c r="GD101" s="578">
        <v>0</v>
      </c>
      <c r="GE101" s="578">
        <v>0</v>
      </c>
      <c r="GF101" s="578">
        <v>0</v>
      </c>
      <c r="GG101" s="579">
        <v>2.6951706546122893E-4</v>
      </c>
      <c r="GH101" s="572"/>
    </row>
    <row r="102" spans="1:190">
      <c r="A102" s="572" t="s">
        <v>9333</v>
      </c>
      <c r="B102" s="577" t="s">
        <v>9437</v>
      </c>
      <c r="C102" s="573" t="s">
        <v>9531</v>
      </c>
      <c r="D102" s="578">
        <v>0</v>
      </c>
      <c r="E102" s="578">
        <v>0</v>
      </c>
      <c r="F102" s="578">
        <v>0</v>
      </c>
      <c r="G102" s="578">
        <v>0</v>
      </c>
      <c r="H102" s="578">
        <v>0</v>
      </c>
      <c r="I102" s="578">
        <v>0</v>
      </c>
      <c r="J102" s="578">
        <v>0</v>
      </c>
      <c r="K102" s="578">
        <v>0</v>
      </c>
      <c r="L102" s="578">
        <v>0</v>
      </c>
      <c r="M102" s="578">
        <v>0</v>
      </c>
      <c r="N102" s="578">
        <v>0</v>
      </c>
      <c r="O102" s="578">
        <v>0</v>
      </c>
      <c r="P102" s="578">
        <v>0</v>
      </c>
      <c r="Q102" s="578">
        <v>0</v>
      </c>
      <c r="R102" s="578">
        <v>0</v>
      </c>
      <c r="S102" s="578">
        <v>0</v>
      </c>
      <c r="T102" s="578">
        <v>0</v>
      </c>
      <c r="U102" s="578">
        <v>0</v>
      </c>
      <c r="V102" s="578">
        <v>0</v>
      </c>
      <c r="W102" s="578">
        <v>0</v>
      </c>
      <c r="X102" s="578">
        <v>0</v>
      </c>
      <c r="Y102" s="578">
        <v>0</v>
      </c>
      <c r="Z102" s="578">
        <v>0</v>
      </c>
      <c r="AA102" s="578">
        <v>0</v>
      </c>
      <c r="AB102" s="578">
        <v>0</v>
      </c>
      <c r="AC102" s="578">
        <v>0</v>
      </c>
      <c r="AD102" s="578">
        <v>0</v>
      </c>
      <c r="AE102" s="578">
        <v>0</v>
      </c>
      <c r="AF102" s="578">
        <v>0</v>
      </c>
      <c r="AG102" s="578">
        <v>0</v>
      </c>
      <c r="AH102" s="578">
        <v>0</v>
      </c>
      <c r="AI102" s="578">
        <v>0</v>
      </c>
      <c r="AJ102" s="578">
        <v>0</v>
      </c>
      <c r="AK102" s="578">
        <v>0</v>
      </c>
      <c r="AL102" s="578">
        <v>0</v>
      </c>
      <c r="AM102" s="578">
        <v>0</v>
      </c>
      <c r="AN102" s="578">
        <v>0</v>
      </c>
      <c r="AO102" s="578">
        <v>0</v>
      </c>
      <c r="AP102" s="578">
        <v>0</v>
      </c>
      <c r="AQ102" s="578">
        <v>0</v>
      </c>
      <c r="AR102" s="578">
        <v>0</v>
      </c>
      <c r="AS102" s="578">
        <v>0</v>
      </c>
      <c r="AT102" s="578">
        <v>0</v>
      </c>
      <c r="AU102" s="578">
        <v>0</v>
      </c>
      <c r="AV102" s="578">
        <v>0</v>
      </c>
      <c r="AW102" s="578">
        <v>0</v>
      </c>
      <c r="AX102" s="578">
        <v>0</v>
      </c>
      <c r="AY102" s="578">
        <v>0</v>
      </c>
      <c r="AZ102" s="578">
        <v>0</v>
      </c>
      <c r="BA102" s="578">
        <v>0</v>
      </c>
      <c r="BB102" s="578">
        <v>0</v>
      </c>
      <c r="BC102" s="578">
        <v>0</v>
      </c>
      <c r="BD102" s="578">
        <v>0</v>
      </c>
      <c r="BE102" s="578">
        <v>0</v>
      </c>
      <c r="BF102" s="578">
        <v>0</v>
      </c>
      <c r="BG102" s="578">
        <v>0</v>
      </c>
      <c r="BH102" s="578">
        <v>0</v>
      </c>
      <c r="BI102" s="578">
        <v>0</v>
      </c>
      <c r="BJ102" s="578">
        <v>0</v>
      </c>
      <c r="BK102" s="578">
        <v>0</v>
      </c>
      <c r="BL102" s="578">
        <v>0</v>
      </c>
      <c r="BM102" s="578">
        <v>0</v>
      </c>
      <c r="BN102" s="578">
        <v>0</v>
      </c>
      <c r="BO102" s="578">
        <v>0</v>
      </c>
      <c r="BP102" s="578">
        <v>0</v>
      </c>
      <c r="BQ102" s="578">
        <v>0</v>
      </c>
      <c r="BR102" s="578">
        <v>0</v>
      </c>
      <c r="BS102" s="578">
        <v>0</v>
      </c>
      <c r="BT102" s="578">
        <v>0</v>
      </c>
      <c r="BU102" s="578">
        <v>0</v>
      </c>
      <c r="BV102" s="578">
        <v>0</v>
      </c>
      <c r="BW102" s="578">
        <v>0</v>
      </c>
      <c r="BX102" s="578">
        <v>0</v>
      </c>
      <c r="BY102" s="578">
        <v>0</v>
      </c>
      <c r="BZ102" s="578">
        <v>0</v>
      </c>
      <c r="CA102" s="578">
        <v>0</v>
      </c>
      <c r="CB102" s="578">
        <v>0</v>
      </c>
      <c r="CC102" s="578">
        <v>0</v>
      </c>
      <c r="CD102" s="578">
        <v>0</v>
      </c>
      <c r="CE102" s="578">
        <v>0</v>
      </c>
      <c r="CF102" s="578">
        <v>0</v>
      </c>
      <c r="CG102" s="578">
        <v>0</v>
      </c>
      <c r="CH102" s="578">
        <v>0</v>
      </c>
      <c r="CI102" s="578">
        <v>0</v>
      </c>
      <c r="CJ102" s="578">
        <v>0</v>
      </c>
      <c r="CK102" s="578">
        <v>0</v>
      </c>
      <c r="CL102" s="578">
        <v>0</v>
      </c>
      <c r="CM102" s="578">
        <v>0</v>
      </c>
      <c r="CN102" s="578">
        <v>0</v>
      </c>
      <c r="CO102" s="578">
        <v>0</v>
      </c>
      <c r="CP102" s="578">
        <v>0</v>
      </c>
      <c r="CQ102" s="578">
        <v>0</v>
      </c>
      <c r="CR102" s="578">
        <v>0</v>
      </c>
      <c r="CS102" s="578">
        <v>0</v>
      </c>
      <c r="CT102" s="578">
        <v>0</v>
      </c>
      <c r="CU102" s="578">
        <v>9.8826241878012991E-2</v>
      </c>
      <c r="CV102" s="578">
        <v>0</v>
      </c>
      <c r="CW102" s="578">
        <v>0</v>
      </c>
      <c r="CX102" s="578">
        <v>0</v>
      </c>
      <c r="CY102" s="578">
        <v>0</v>
      </c>
      <c r="CZ102" s="578">
        <v>0</v>
      </c>
      <c r="DA102" s="578">
        <v>0</v>
      </c>
      <c r="DB102" s="578">
        <v>0</v>
      </c>
      <c r="DC102" s="578">
        <v>0</v>
      </c>
      <c r="DD102" s="578">
        <v>0</v>
      </c>
      <c r="DE102" s="578">
        <v>0</v>
      </c>
      <c r="DF102" s="578">
        <v>0</v>
      </c>
      <c r="DG102" s="578">
        <v>0</v>
      </c>
      <c r="DH102" s="578">
        <v>0</v>
      </c>
      <c r="DI102" s="578">
        <v>0</v>
      </c>
      <c r="DJ102" s="578">
        <v>0</v>
      </c>
      <c r="DK102" s="578">
        <v>0</v>
      </c>
      <c r="DL102" s="578">
        <v>0</v>
      </c>
      <c r="DM102" s="578">
        <v>0</v>
      </c>
      <c r="DN102" s="578">
        <v>0</v>
      </c>
      <c r="DO102" s="578">
        <v>0</v>
      </c>
      <c r="DP102" s="578">
        <v>0</v>
      </c>
      <c r="DQ102" s="578">
        <v>0</v>
      </c>
      <c r="DR102" s="578">
        <v>0</v>
      </c>
      <c r="DS102" s="578">
        <v>1.6729267886215339E-3</v>
      </c>
      <c r="DT102" s="578">
        <v>0</v>
      </c>
      <c r="DU102" s="578">
        <v>0</v>
      </c>
      <c r="DV102" s="578">
        <v>0</v>
      </c>
      <c r="DW102" s="578">
        <v>0</v>
      </c>
      <c r="DX102" s="578">
        <v>0</v>
      </c>
      <c r="DY102" s="578">
        <v>0</v>
      </c>
      <c r="DZ102" s="578">
        <v>0</v>
      </c>
      <c r="EA102" s="578">
        <v>0</v>
      </c>
      <c r="EB102" s="578">
        <v>0</v>
      </c>
      <c r="EC102" s="578">
        <v>0</v>
      </c>
      <c r="ED102" s="578">
        <v>0</v>
      </c>
      <c r="EE102" s="578">
        <v>0</v>
      </c>
      <c r="EF102" s="578">
        <v>0</v>
      </c>
      <c r="EG102" s="578">
        <v>0</v>
      </c>
      <c r="EH102" s="578">
        <v>0</v>
      </c>
      <c r="EI102" s="578">
        <v>0</v>
      </c>
      <c r="EJ102" s="578">
        <v>0</v>
      </c>
      <c r="EK102" s="578">
        <v>0</v>
      </c>
      <c r="EL102" s="578">
        <v>0</v>
      </c>
      <c r="EM102" s="578">
        <v>0</v>
      </c>
      <c r="EN102" s="578">
        <v>0</v>
      </c>
      <c r="EO102" s="578">
        <v>0</v>
      </c>
      <c r="EP102" s="578">
        <v>0</v>
      </c>
      <c r="EQ102" s="578">
        <v>0</v>
      </c>
      <c r="ER102" s="578">
        <v>0</v>
      </c>
      <c r="ES102" s="578">
        <v>0</v>
      </c>
      <c r="ET102" s="578">
        <v>0</v>
      </c>
      <c r="EU102" s="578">
        <v>0</v>
      </c>
      <c r="EV102" s="578">
        <v>0</v>
      </c>
      <c r="EW102" s="578">
        <v>0</v>
      </c>
      <c r="EX102" s="578">
        <v>0</v>
      </c>
      <c r="EY102" s="578">
        <v>0</v>
      </c>
      <c r="EZ102" s="578">
        <v>0</v>
      </c>
      <c r="FA102" s="578">
        <v>0</v>
      </c>
      <c r="FB102" s="578">
        <v>0</v>
      </c>
      <c r="FC102" s="578">
        <v>0</v>
      </c>
      <c r="FD102" s="578">
        <v>0</v>
      </c>
      <c r="FE102" s="578">
        <v>0</v>
      </c>
      <c r="FF102" s="578">
        <v>0</v>
      </c>
      <c r="FG102" s="578">
        <v>0</v>
      </c>
      <c r="FH102" s="578">
        <v>0</v>
      </c>
      <c r="FI102" s="578">
        <v>0</v>
      </c>
      <c r="FJ102" s="578">
        <v>0</v>
      </c>
      <c r="FK102" s="578">
        <v>0</v>
      </c>
      <c r="FL102" s="578">
        <v>0</v>
      </c>
      <c r="FM102" s="578">
        <v>0</v>
      </c>
      <c r="FN102" s="578">
        <v>0</v>
      </c>
      <c r="FO102" s="578">
        <v>0</v>
      </c>
      <c r="FP102" s="578">
        <v>0</v>
      </c>
      <c r="FQ102" s="578">
        <v>0</v>
      </c>
      <c r="FR102" s="578">
        <v>0</v>
      </c>
      <c r="FS102" s="578">
        <v>0</v>
      </c>
      <c r="FT102" s="578">
        <v>0</v>
      </c>
      <c r="FU102" s="578">
        <v>0</v>
      </c>
      <c r="FV102" s="578">
        <v>0</v>
      </c>
      <c r="FW102" s="578">
        <v>0</v>
      </c>
      <c r="FX102" s="578">
        <v>6.7550144069601871E-3</v>
      </c>
      <c r="FY102" s="578">
        <v>0</v>
      </c>
      <c r="FZ102" s="578">
        <v>0</v>
      </c>
      <c r="GA102" s="578">
        <v>0</v>
      </c>
      <c r="GB102" s="578">
        <v>0</v>
      </c>
      <c r="GC102" s="578">
        <v>0</v>
      </c>
      <c r="GD102" s="578">
        <v>0</v>
      </c>
      <c r="GE102" s="578">
        <v>0</v>
      </c>
      <c r="GF102" s="578">
        <v>0</v>
      </c>
      <c r="GG102" s="579">
        <v>3.8992702299252654E-4</v>
      </c>
      <c r="GH102" s="572"/>
    </row>
    <row r="103" spans="1:190">
      <c r="A103" s="572" t="s">
        <v>9334</v>
      </c>
      <c r="B103" s="577" t="s">
        <v>9438</v>
      </c>
      <c r="C103" s="573" t="s">
        <v>484</v>
      </c>
      <c r="D103" s="578">
        <v>0</v>
      </c>
      <c r="E103" s="578">
        <v>0</v>
      </c>
      <c r="F103" s="578">
        <v>0</v>
      </c>
      <c r="G103" s="578">
        <v>0</v>
      </c>
      <c r="H103" s="578">
        <v>0</v>
      </c>
      <c r="I103" s="578">
        <v>0</v>
      </c>
      <c r="J103" s="578">
        <v>0</v>
      </c>
      <c r="K103" s="578">
        <v>0</v>
      </c>
      <c r="L103" s="578">
        <v>0</v>
      </c>
      <c r="M103" s="578">
        <v>3.6350418029807341E-4</v>
      </c>
      <c r="N103" s="578">
        <v>0</v>
      </c>
      <c r="O103" s="578">
        <v>0</v>
      </c>
      <c r="P103" s="578">
        <v>0</v>
      </c>
      <c r="Q103" s="578">
        <v>0</v>
      </c>
      <c r="R103" s="578">
        <v>3.052399525182296E-3</v>
      </c>
      <c r="S103" s="578">
        <v>9.3370681605975728E-4</v>
      </c>
      <c r="T103" s="578">
        <v>0</v>
      </c>
      <c r="U103" s="578">
        <v>0</v>
      </c>
      <c r="V103" s="578">
        <v>0</v>
      </c>
      <c r="W103" s="578">
        <v>0</v>
      </c>
      <c r="X103" s="578">
        <v>0</v>
      </c>
      <c r="Y103" s="578">
        <v>0</v>
      </c>
      <c r="Z103" s="578">
        <v>0</v>
      </c>
      <c r="AA103" s="578">
        <v>0</v>
      </c>
      <c r="AB103" s="578">
        <v>0</v>
      </c>
      <c r="AC103" s="578">
        <v>0</v>
      </c>
      <c r="AD103" s="578">
        <v>0</v>
      </c>
      <c r="AE103" s="578">
        <v>0</v>
      </c>
      <c r="AF103" s="578">
        <v>0</v>
      </c>
      <c r="AG103" s="578">
        <v>0</v>
      </c>
      <c r="AH103" s="578">
        <v>0</v>
      </c>
      <c r="AI103" s="578">
        <v>0</v>
      </c>
      <c r="AJ103" s="578">
        <v>0</v>
      </c>
      <c r="AK103" s="578">
        <v>0</v>
      </c>
      <c r="AL103" s="578">
        <v>0</v>
      </c>
      <c r="AM103" s="578">
        <v>0</v>
      </c>
      <c r="AN103" s="578">
        <v>8.6266390614216703E-5</v>
      </c>
      <c r="AO103" s="578">
        <v>3.5625222657641609E-4</v>
      </c>
      <c r="AP103" s="578">
        <v>0</v>
      </c>
      <c r="AQ103" s="578">
        <v>0</v>
      </c>
      <c r="AR103" s="578">
        <v>0</v>
      </c>
      <c r="AS103" s="578">
        <v>0</v>
      </c>
      <c r="AT103" s="578">
        <v>0</v>
      </c>
      <c r="AU103" s="578">
        <v>0</v>
      </c>
      <c r="AV103" s="578">
        <v>0</v>
      </c>
      <c r="AW103" s="578">
        <v>0</v>
      </c>
      <c r="AX103" s="578">
        <v>0</v>
      </c>
      <c r="AY103" s="578">
        <v>0</v>
      </c>
      <c r="AZ103" s="578">
        <v>0</v>
      </c>
      <c r="BA103" s="578">
        <v>0</v>
      </c>
      <c r="BB103" s="578">
        <v>0</v>
      </c>
      <c r="BC103" s="578">
        <v>0</v>
      </c>
      <c r="BD103" s="578">
        <v>0</v>
      </c>
      <c r="BE103" s="578">
        <v>0</v>
      </c>
      <c r="BF103" s="578">
        <v>0</v>
      </c>
      <c r="BG103" s="578">
        <v>0</v>
      </c>
      <c r="BH103" s="578">
        <v>0</v>
      </c>
      <c r="BI103" s="578">
        <v>0</v>
      </c>
      <c r="BJ103" s="578">
        <v>0</v>
      </c>
      <c r="BK103" s="578">
        <v>0</v>
      </c>
      <c r="BL103" s="578">
        <v>1.2685847668341198E-5</v>
      </c>
      <c r="BM103" s="578">
        <v>3.26557157807716E-3</v>
      </c>
      <c r="BN103" s="578">
        <v>0</v>
      </c>
      <c r="BO103" s="578">
        <v>0</v>
      </c>
      <c r="BP103" s="578">
        <v>0</v>
      </c>
      <c r="BQ103" s="578">
        <v>0</v>
      </c>
      <c r="BR103" s="578">
        <v>6.4011607438148788E-4</v>
      </c>
      <c r="BS103" s="578">
        <v>7.2832475191438137E-4</v>
      </c>
      <c r="BT103" s="578">
        <v>4.5529047532325622E-3</v>
      </c>
      <c r="BU103" s="578">
        <v>2.1754263835711799E-3</v>
      </c>
      <c r="BV103" s="578">
        <v>1.9876027489556664E-3</v>
      </c>
      <c r="BW103" s="578">
        <v>0</v>
      </c>
      <c r="BX103" s="578">
        <v>0</v>
      </c>
      <c r="BY103" s="578">
        <v>1.2512074151556252E-6</v>
      </c>
      <c r="BZ103" s="578">
        <v>0</v>
      </c>
      <c r="CA103" s="578">
        <v>0</v>
      </c>
      <c r="CB103" s="578">
        <v>9.3075204765450488E-4</v>
      </c>
      <c r="CC103" s="578">
        <v>3.7647315582714974E-4</v>
      </c>
      <c r="CD103" s="578">
        <v>5.6929545620898021E-5</v>
      </c>
      <c r="CE103" s="578">
        <v>0</v>
      </c>
      <c r="CF103" s="578">
        <v>0</v>
      </c>
      <c r="CG103" s="578">
        <v>2.9082551887528549E-4</v>
      </c>
      <c r="CH103" s="578">
        <v>4.6289331466330298E-5</v>
      </c>
      <c r="CI103" s="578">
        <v>4.9742582137438757E-5</v>
      </c>
      <c r="CJ103" s="578">
        <v>0</v>
      </c>
      <c r="CK103" s="578">
        <v>8.8757098046335239E-4</v>
      </c>
      <c r="CL103" s="578">
        <v>4.8257051224410275E-4</v>
      </c>
      <c r="CM103" s="578">
        <v>2.3743381532397843E-3</v>
      </c>
      <c r="CN103" s="578">
        <v>5.1379776148205323E-3</v>
      </c>
      <c r="CO103" s="578">
        <v>2.0498804236419544E-3</v>
      </c>
      <c r="CP103" s="578">
        <v>3.5945170203063388E-3</v>
      </c>
      <c r="CQ103" s="578">
        <v>1.2104223737019813E-3</v>
      </c>
      <c r="CR103" s="578">
        <v>4.4419927999070954E-4</v>
      </c>
      <c r="CS103" s="578">
        <v>1.2430783139337777E-3</v>
      </c>
      <c r="CT103" s="578">
        <v>2.7120818873756962E-3</v>
      </c>
      <c r="CU103" s="578">
        <v>3.2165486996759266E-3</v>
      </c>
      <c r="CV103" s="578">
        <v>0.15182172439642408</v>
      </c>
      <c r="CW103" s="578">
        <v>3.1598658032300849E-3</v>
      </c>
      <c r="CX103" s="578">
        <v>3.4194257649091246E-3</v>
      </c>
      <c r="CY103" s="578">
        <v>1.1905852184265959E-3</v>
      </c>
      <c r="CZ103" s="578">
        <v>2.5248933143669984E-3</v>
      </c>
      <c r="DA103" s="578">
        <v>1.434966053415005E-3</v>
      </c>
      <c r="DB103" s="578">
        <v>0</v>
      </c>
      <c r="DC103" s="578">
        <v>7.2516316171138508E-4</v>
      </c>
      <c r="DD103" s="578">
        <v>4.3478260869565218E-3</v>
      </c>
      <c r="DE103" s="578">
        <v>3.0530466861722425E-3</v>
      </c>
      <c r="DF103" s="578">
        <v>2.3664030673376467E-3</v>
      </c>
      <c r="DG103" s="578">
        <v>2.1389625812772975E-3</v>
      </c>
      <c r="DH103" s="578">
        <v>1.12141910490366E-3</v>
      </c>
      <c r="DI103" s="578">
        <v>1.0928599814544974E-3</v>
      </c>
      <c r="DJ103" s="578">
        <v>3.5284324566089778E-3</v>
      </c>
      <c r="DK103" s="578">
        <v>5.1942780799049085E-4</v>
      </c>
      <c r="DL103" s="578">
        <v>3.9392944622610538E-4</v>
      </c>
      <c r="DM103" s="578">
        <v>3.5346680239791881E-4</v>
      </c>
      <c r="DN103" s="578">
        <v>9.1606833374597674E-4</v>
      </c>
      <c r="DO103" s="578">
        <v>0</v>
      </c>
      <c r="DP103" s="578">
        <v>3.7248028045574057E-4</v>
      </c>
      <c r="DQ103" s="578">
        <v>6.9341023883254932E-4</v>
      </c>
      <c r="DR103" s="578">
        <v>9.036676903787735E-4</v>
      </c>
      <c r="DS103" s="578">
        <v>4.9034061045803582E-4</v>
      </c>
      <c r="DT103" s="578">
        <v>7.8723512818083081E-4</v>
      </c>
      <c r="DU103" s="578">
        <v>2.3888393425914131E-4</v>
      </c>
      <c r="DV103" s="578">
        <v>2.9013417121716988E-3</v>
      </c>
      <c r="DW103" s="578">
        <v>1.6858005023685498E-5</v>
      </c>
      <c r="DX103" s="578">
        <v>1.16452251512347E-4</v>
      </c>
      <c r="DY103" s="578">
        <v>0</v>
      </c>
      <c r="DZ103" s="578">
        <v>1.8525286173568457E-5</v>
      </c>
      <c r="EA103" s="578">
        <v>3.5614675917578738E-5</v>
      </c>
      <c r="EB103" s="578">
        <v>1.1872481884890544E-4</v>
      </c>
      <c r="EC103" s="578">
        <v>1.6208595448748728E-4</v>
      </c>
      <c r="ED103" s="578">
        <v>9.045598863872782E-6</v>
      </c>
      <c r="EE103" s="578">
        <v>0</v>
      </c>
      <c r="EF103" s="578">
        <v>3.2070812353676917E-5</v>
      </c>
      <c r="EG103" s="578">
        <v>0</v>
      </c>
      <c r="EH103" s="578">
        <v>2.7689030883919062E-4</v>
      </c>
      <c r="EI103" s="578">
        <v>0</v>
      </c>
      <c r="EJ103" s="578">
        <v>3.594933659992972E-6</v>
      </c>
      <c r="EK103" s="578">
        <v>2.8328804501786982E-6</v>
      </c>
      <c r="EL103" s="578">
        <v>0</v>
      </c>
      <c r="EM103" s="578">
        <v>0</v>
      </c>
      <c r="EN103" s="578">
        <v>0</v>
      </c>
      <c r="EO103" s="578">
        <v>0</v>
      </c>
      <c r="EP103" s="578">
        <v>0</v>
      </c>
      <c r="EQ103" s="578">
        <v>2.0336294523774824E-5</v>
      </c>
      <c r="ER103" s="578">
        <v>0</v>
      </c>
      <c r="ES103" s="578">
        <v>1.3608126773309019E-5</v>
      </c>
      <c r="ET103" s="578">
        <v>1.7225592991038717E-5</v>
      </c>
      <c r="EU103" s="578">
        <v>0</v>
      </c>
      <c r="EV103" s="578">
        <v>4.3379856657864955E-4</v>
      </c>
      <c r="EW103" s="578">
        <v>1.4584062536460157E-4</v>
      </c>
      <c r="EX103" s="578">
        <v>3.8546043248660526E-5</v>
      </c>
      <c r="EY103" s="578">
        <v>1.2372562605166782E-4</v>
      </c>
      <c r="EZ103" s="578">
        <v>8.6908155461308488E-5</v>
      </c>
      <c r="FA103" s="578">
        <v>1.747182667947934E-4</v>
      </c>
      <c r="FB103" s="578">
        <v>1.3154477413087693E-4</v>
      </c>
      <c r="FC103" s="578">
        <v>4.3312543312543313E-5</v>
      </c>
      <c r="FD103" s="578">
        <v>2.4602666929095112E-6</v>
      </c>
      <c r="FE103" s="578">
        <v>0</v>
      </c>
      <c r="FF103" s="578">
        <v>0</v>
      </c>
      <c r="FG103" s="578">
        <v>0</v>
      </c>
      <c r="FH103" s="578">
        <v>0</v>
      </c>
      <c r="FI103" s="578">
        <v>3.5233805662072571E-5</v>
      </c>
      <c r="FJ103" s="578">
        <v>5.6951824451696309E-6</v>
      </c>
      <c r="FK103" s="578">
        <v>0</v>
      </c>
      <c r="FL103" s="578">
        <v>0</v>
      </c>
      <c r="FM103" s="578">
        <v>0</v>
      </c>
      <c r="FN103" s="578">
        <v>0</v>
      </c>
      <c r="FO103" s="578">
        <v>0</v>
      </c>
      <c r="FP103" s="578">
        <v>0</v>
      </c>
      <c r="FQ103" s="578">
        <v>0</v>
      </c>
      <c r="FR103" s="578">
        <v>0</v>
      </c>
      <c r="FS103" s="578">
        <v>0</v>
      </c>
      <c r="FT103" s="578">
        <v>0</v>
      </c>
      <c r="FU103" s="578">
        <v>4.4603033006244426E-4</v>
      </c>
      <c r="FV103" s="578">
        <v>0</v>
      </c>
      <c r="FW103" s="578">
        <v>9.4573731135773928E-4</v>
      </c>
      <c r="FX103" s="578">
        <v>3.8049510611819312E-2</v>
      </c>
      <c r="FY103" s="578">
        <v>0</v>
      </c>
      <c r="FZ103" s="578">
        <v>0</v>
      </c>
      <c r="GA103" s="578">
        <v>0</v>
      </c>
      <c r="GB103" s="578">
        <v>0</v>
      </c>
      <c r="GC103" s="578">
        <v>7.4365660912417085E-6</v>
      </c>
      <c r="GD103" s="578">
        <v>5.373798032518195E-5</v>
      </c>
      <c r="GE103" s="578">
        <v>0</v>
      </c>
      <c r="GF103" s="578">
        <v>0</v>
      </c>
      <c r="GG103" s="579">
        <v>1.2559751933412754E-3</v>
      </c>
      <c r="GH103" s="572"/>
    </row>
    <row r="104" spans="1:190">
      <c r="A104" s="572" t="s">
        <v>9335</v>
      </c>
      <c r="B104" s="577" t="s">
        <v>9439</v>
      </c>
      <c r="C104" s="573" t="s">
        <v>487</v>
      </c>
      <c r="D104" s="578">
        <v>0</v>
      </c>
      <c r="E104" s="578">
        <v>0</v>
      </c>
      <c r="F104" s="578">
        <v>0</v>
      </c>
      <c r="G104" s="578">
        <v>0</v>
      </c>
      <c r="H104" s="578">
        <v>0</v>
      </c>
      <c r="I104" s="578">
        <v>0</v>
      </c>
      <c r="J104" s="578">
        <v>0</v>
      </c>
      <c r="K104" s="578">
        <v>0</v>
      </c>
      <c r="L104" s="578">
        <v>0</v>
      </c>
      <c r="M104" s="578">
        <v>0</v>
      </c>
      <c r="N104" s="578">
        <v>0</v>
      </c>
      <c r="O104" s="578">
        <v>0</v>
      </c>
      <c r="P104" s="578">
        <v>0</v>
      </c>
      <c r="Q104" s="578">
        <v>0</v>
      </c>
      <c r="R104" s="578">
        <v>0</v>
      </c>
      <c r="S104" s="578">
        <v>0</v>
      </c>
      <c r="T104" s="578">
        <v>0</v>
      </c>
      <c r="U104" s="578">
        <v>0</v>
      </c>
      <c r="V104" s="578">
        <v>0</v>
      </c>
      <c r="W104" s="578">
        <v>0</v>
      </c>
      <c r="X104" s="578">
        <v>0</v>
      </c>
      <c r="Y104" s="578">
        <v>0</v>
      </c>
      <c r="Z104" s="578">
        <v>0</v>
      </c>
      <c r="AA104" s="578">
        <v>0</v>
      </c>
      <c r="AB104" s="578">
        <v>0</v>
      </c>
      <c r="AC104" s="578">
        <v>0</v>
      </c>
      <c r="AD104" s="578">
        <v>0</v>
      </c>
      <c r="AE104" s="578">
        <v>0</v>
      </c>
      <c r="AF104" s="578">
        <v>0</v>
      </c>
      <c r="AG104" s="578">
        <v>0</v>
      </c>
      <c r="AH104" s="578">
        <v>0</v>
      </c>
      <c r="AI104" s="578">
        <v>0</v>
      </c>
      <c r="AJ104" s="578">
        <v>0</v>
      </c>
      <c r="AK104" s="578">
        <v>0</v>
      </c>
      <c r="AL104" s="578">
        <v>0</v>
      </c>
      <c r="AM104" s="578">
        <v>0</v>
      </c>
      <c r="AN104" s="578">
        <v>0</v>
      </c>
      <c r="AO104" s="578">
        <v>0</v>
      </c>
      <c r="AP104" s="578">
        <v>0</v>
      </c>
      <c r="AQ104" s="578">
        <v>0</v>
      </c>
      <c r="AR104" s="578">
        <v>0</v>
      </c>
      <c r="AS104" s="578">
        <v>0</v>
      </c>
      <c r="AT104" s="578">
        <v>0</v>
      </c>
      <c r="AU104" s="578">
        <v>0</v>
      </c>
      <c r="AV104" s="578">
        <v>0</v>
      </c>
      <c r="AW104" s="578">
        <v>0</v>
      </c>
      <c r="AX104" s="578">
        <v>0</v>
      </c>
      <c r="AY104" s="578">
        <v>0</v>
      </c>
      <c r="AZ104" s="578">
        <v>0</v>
      </c>
      <c r="BA104" s="578">
        <v>0</v>
      </c>
      <c r="BB104" s="578">
        <v>0</v>
      </c>
      <c r="BC104" s="578">
        <v>0</v>
      </c>
      <c r="BD104" s="578">
        <v>0</v>
      </c>
      <c r="BE104" s="578">
        <v>0</v>
      </c>
      <c r="BF104" s="578">
        <v>0</v>
      </c>
      <c r="BG104" s="578">
        <v>0</v>
      </c>
      <c r="BH104" s="578">
        <v>0</v>
      </c>
      <c r="BI104" s="578">
        <v>0</v>
      </c>
      <c r="BJ104" s="578">
        <v>0</v>
      </c>
      <c r="BK104" s="578">
        <v>0</v>
      </c>
      <c r="BL104" s="578">
        <v>0</v>
      </c>
      <c r="BM104" s="578">
        <v>0</v>
      </c>
      <c r="BN104" s="578">
        <v>0</v>
      </c>
      <c r="BO104" s="578">
        <v>0</v>
      </c>
      <c r="BP104" s="578">
        <v>0</v>
      </c>
      <c r="BQ104" s="578">
        <v>0</v>
      </c>
      <c r="BR104" s="578">
        <v>0</v>
      </c>
      <c r="BS104" s="578">
        <v>0</v>
      </c>
      <c r="BT104" s="578">
        <v>0</v>
      </c>
      <c r="BU104" s="578">
        <v>0</v>
      </c>
      <c r="BV104" s="578">
        <v>0</v>
      </c>
      <c r="BW104" s="578">
        <v>0</v>
      </c>
      <c r="BX104" s="578">
        <v>0</v>
      </c>
      <c r="BY104" s="578">
        <v>0</v>
      </c>
      <c r="BZ104" s="578">
        <v>0</v>
      </c>
      <c r="CA104" s="578">
        <v>0</v>
      </c>
      <c r="CB104" s="578">
        <v>0</v>
      </c>
      <c r="CC104" s="578">
        <v>0</v>
      </c>
      <c r="CD104" s="578">
        <v>0</v>
      </c>
      <c r="CE104" s="578">
        <v>0</v>
      </c>
      <c r="CF104" s="578">
        <v>0</v>
      </c>
      <c r="CG104" s="578">
        <v>0</v>
      </c>
      <c r="CH104" s="578">
        <v>0</v>
      </c>
      <c r="CI104" s="578">
        <v>0</v>
      </c>
      <c r="CJ104" s="578">
        <v>0</v>
      </c>
      <c r="CK104" s="578">
        <v>0</v>
      </c>
      <c r="CL104" s="578">
        <v>0</v>
      </c>
      <c r="CM104" s="578">
        <v>0</v>
      </c>
      <c r="CN104" s="578">
        <v>0</v>
      </c>
      <c r="CO104" s="578">
        <v>0</v>
      </c>
      <c r="CP104" s="578">
        <v>0</v>
      </c>
      <c r="CQ104" s="578">
        <v>0</v>
      </c>
      <c r="CR104" s="578">
        <v>0</v>
      </c>
      <c r="CS104" s="578">
        <v>0</v>
      </c>
      <c r="CT104" s="578">
        <v>0</v>
      </c>
      <c r="CU104" s="578">
        <v>0</v>
      </c>
      <c r="CV104" s="578">
        <v>0</v>
      </c>
      <c r="CW104" s="578">
        <v>0.12163532807989388</v>
      </c>
      <c r="CX104" s="578">
        <v>0</v>
      </c>
      <c r="CY104" s="578">
        <v>0</v>
      </c>
      <c r="CZ104" s="578">
        <v>0</v>
      </c>
      <c r="DA104" s="578">
        <v>0</v>
      </c>
      <c r="DB104" s="578">
        <v>0</v>
      </c>
      <c r="DC104" s="578">
        <v>0</v>
      </c>
      <c r="DD104" s="578">
        <v>0</v>
      </c>
      <c r="DE104" s="578">
        <v>0</v>
      </c>
      <c r="DF104" s="578">
        <v>0</v>
      </c>
      <c r="DG104" s="578">
        <v>0</v>
      </c>
      <c r="DH104" s="578">
        <v>0</v>
      </c>
      <c r="DI104" s="578">
        <v>0</v>
      </c>
      <c r="DJ104" s="578">
        <v>0</v>
      </c>
      <c r="DK104" s="578">
        <v>0</v>
      </c>
      <c r="DL104" s="578">
        <v>0</v>
      </c>
      <c r="DM104" s="578">
        <v>0</v>
      </c>
      <c r="DN104" s="578">
        <v>0</v>
      </c>
      <c r="DO104" s="578">
        <v>0</v>
      </c>
      <c r="DP104" s="578">
        <v>0</v>
      </c>
      <c r="DQ104" s="578">
        <v>0</v>
      </c>
      <c r="DR104" s="578">
        <v>0</v>
      </c>
      <c r="DS104" s="578">
        <v>0</v>
      </c>
      <c r="DT104" s="578">
        <v>0</v>
      </c>
      <c r="DU104" s="578">
        <v>0</v>
      </c>
      <c r="DV104" s="578">
        <v>0</v>
      </c>
      <c r="DW104" s="578">
        <v>0</v>
      </c>
      <c r="DX104" s="578">
        <v>0</v>
      </c>
      <c r="DY104" s="578">
        <v>0</v>
      </c>
      <c r="DZ104" s="578">
        <v>0</v>
      </c>
      <c r="EA104" s="578">
        <v>0</v>
      </c>
      <c r="EB104" s="578">
        <v>0</v>
      </c>
      <c r="EC104" s="578">
        <v>0</v>
      </c>
      <c r="ED104" s="578">
        <v>0</v>
      </c>
      <c r="EE104" s="578">
        <v>0</v>
      </c>
      <c r="EF104" s="578">
        <v>0</v>
      </c>
      <c r="EG104" s="578">
        <v>0</v>
      </c>
      <c r="EH104" s="578">
        <v>0</v>
      </c>
      <c r="EI104" s="578">
        <v>0</v>
      </c>
      <c r="EJ104" s="578">
        <v>0</v>
      </c>
      <c r="EK104" s="578">
        <v>0</v>
      </c>
      <c r="EL104" s="578">
        <v>0</v>
      </c>
      <c r="EM104" s="578">
        <v>0</v>
      </c>
      <c r="EN104" s="578">
        <v>0</v>
      </c>
      <c r="EO104" s="578">
        <v>0</v>
      </c>
      <c r="EP104" s="578">
        <v>0</v>
      </c>
      <c r="EQ104" s="578">
        <v>0</v>
      </c>
      <c r="ER104" s="578">
        <v>0</v>
      </c>
      <c r="ES104" s="578">
        <v>0</v>
      </c>
      <c r="ET104" s="578">
        <v>0</v>
      </c>
      <c r="EU104" s="578">
        <v>0</v>
      </c>
      <c r="EV104" s="578">
        <v>0</v>
      </c>
      <c r="EW104" s="578">
        <v>0</v>
      </c>
      <c r="EX104" s="578">
        <v>0</v>
      </c>
      <c r="EY104" s="578">
        <v>0</v>
      </c>
      <c r="EZ104" s="578">
        <v>0</v>
      </c>
      <c r="FA104" s="578">
        <v>0</v>
      </c>
      <c r="FB104" s="578">
        <v>0</v>
      </c>
      <c r="FC104" s="578">
        <v>0</v>
      </c>
      <c r="FD104" s="578">
        <v>0</v>
      </c>
      <c r="FE104" s="578">
        <v>0</v>
      </c>
      <c r="FF104" s="578">
        <v>0</v>
      </c>
      <c r="FG104" s="578">
        <v>0</v>
      </c>
      <c r="FH104" s="578">
        <v>0</v>
      </c>
      <c r="FI104" s="578">
        <v>0</v>
      </c>
      <c r="FJ104" s="578">
        <v>0</v>
      </c>
      <c r="FK104" s="578">
        <v>0</v>
      </c>
      <c r="FL104" s="578">
        <v>0</v>
      </c>
      <c r="FM104" s="578">
        <v>0</v>
      </c>
      <c r="FN104" s="578">
        <v>0</v>
      </c>
      <c r="FO104" s="578">
        <v>0</v>
      </c>
      <c r="FP104" s="578">
        <v>0</v>
      </c>
      <c r="FQ104" s="578">
        <v>0</v>
      </c>
      <c r="FR104" s="578">
        <v>0</v>
      </c>
      <c r="FS104" s="578">
        <v>0</v>
      </c>
      <c r="FT104" s="578">
        <v>0</v>
      </c>
      <c r="FU104" s="578">
        <v>0</v>
      </c>
      <c r="FV104" s="578">
        <v>0</v>
      </c>
      <c r="FW104" s="578">
        <v>0</v>
      </c>
      <c r="FX104" s="578">
        <v>8.1284405726906814E-5</v>
      </c>
      <c r="FY104" s="578">
        <v>0</v>
      </c>
      <c r="FZ104" s="578">
        <v>0</v>
      </c>
      <c r="GA104" s="578">
        <v>0</v>
      </c>
      <c r="GB104" s="578">
        <v>0</v>
      </c>
      <c r="GC104" s="578">
        <v>0</v>
      </c>
      <c r="GD104" s="578">
        <v>0</v>
      </c>
      <c r="GE104" s="578">
        <v>0</v>
      </c>
      <c r="GF104" s="578">
        <v>0</v>
      </c>
      <c r="GG104" s="579">
        <v>8.077811476252261E-5</v>
      </c>
      <c r="GH104" s="572"/>
    </row>
    <row r="105" spans="1:190">
      <c r="A105" s="572" t="s">
        <v>9336</v>
      </c>
      <c r="B105" s="577" t="s">
        <v>9440</v>
      </c>
      <c r="C105" s="573" t="s">
        <v>9532</v>
      </c>
      <c r="D105" s="578">
        <v>0</v>
      </c>
      <c r="E105" s="578">
        <v>0</v>
      </c>
      <c r="F105" s="578">
        <v>0</v>
      </c>
      <c r="G105" s="578">
        <v>0</v>
      </c>
      <c r="H105" s="578">
        <v>0</v>
      </c>
      <c r="I105" s="578">
        <v>0</v>
      </c>
      <c r="J105" s="578">
        <v>0</v>
      </c>
      <c r="K105" s="578">
        <v>0</v>
      </c>
      <c r="L105" s="578">
        <v>0</v>
      </c>
      <c r="M105" s="578">
        <v>0</v>
      </c>
      <c r="N105" s="578">
        <v>0</v>
      </c>
      <c r="O105" s="578">
        <v>0</v>
      </c>
      <c r="P105" s="578">
        <v>0</v>
      </c>
      <c r="Q105" s="578">
        <v>0</v>
      </c>
      <c r="R105" s="578">
        <v>0</v>
      </c>
      <c r="S105" s="578">
        <v>0</v>
      </c>
      <c r="T105" s="578">
        <v>0</v>
      </c>
      <c r="U105" s="578">
        <v>0</v>
      </c>
      <c r="V105" s="578">
        <v>0</v>
      </c>
      <c r="W105" s="578">
        <v>0</v>
      </c>
      <c r="X105" s="578">
        <v>0</v>
      </c>
      <c r="Y105" s="578">
        <v>0</v>
      </c>
      <c r="Z105" s="578">
        <v>0</v>
      </c>
      <c r="AA105" s="578">
        <v>0</v>
      </c>
      <c r="AB105" s="578">
        <v>0</v>
      </c>
      <c r="AC105" s="578">
        <v>0</v>
      </c>
      <c r="AD105" s="578">
        <v>0</v>
      </c>
      <c r="AE105" s="578">
        <v>0</v>
      </c>
      <c r="AF105" s="578">
        <v>0</v>
      </c>
      <c r="AG105" s="578">
        <v>0</v>
      </c>
      <c r="AH105" s="578">
        <v>0</v>
      </c>
      <c r="AI105" s="578">
        <v>0</v>
      </c>
      <c r="AJ105" s="578">
        <v>0</v>
      </c>
      <c r="AK105" s="578">
        <v>0</v>
      </c>
      <c r="AL105" s="578">
        <v>0</v>
      </c>
      <c r="AM105" s="578">
        <v>0</v>
      </c>
      <c r="AN105" s="578">
        <v>0</v>
      </c>
      <c r="AO105" s="578">
        <v>0</v>
      </c>
      <c r="AP105" s="578">
        <v>0</v>
      </c>
      <c r="AQ105" s="578">
        <v>0</v>
      </c>
      <c r="AR105" s="578">
        <v>0</v>
      </c>
      <c r="AS105" s="578">
        <v>0</v>
      </c>
      <c r="AT105" s="578">
        <v>0</v>
      </c>
      <c r="AU105" s="578">
        <v>0</v>
      </c>
      <c r="AV105" s="578">
        <v>0</v>
      </c>
      <c r="AW105" s="578">
        <v>0</v>
      </c>
      <c r="AX105" s="578">
        <v>0</v>
      </c>
      <c r="AY105" s="578">
        <v>0</v>
      </c>
      <c r="AZ105" s="578">
        <v>0</v>
      </c>
      <c r="BA105" s="578">
        <v>0</v>
      </c>
      <c r="BB105" s="578">
        <v>0</v>
      </c>
      <c r="BC105" s="578">
        <v>0</v>
      </c>
      <c r="BD105" s="578">
        <v>0</v>
      </c>
      <c r="BE105" s="578">
        <v>0</v>
      </c>
      <c r="BF105" s="578">
        <v>0</v>
      </c>
      <c r="BG105" s="578">
        <v>0</v>
      </c>
      <c r="BH105" s="578">
        <v>0</v>
      </c>
      <c r="BI105" s="578">
        <v>0</v>
      </c>
      <c r="BJ105" s="578">
        <v>0</v>
      </c>
      <c r="BK105" s="578">
        <v>0</v>
      </c>
      <c r="BL105" s="578">
        <v>0</v>
      </c>
      <c r="BM105" s="578">
        <v>0</v>
      </c>
      <c r="BN105" s="578">
        <v>0</v>
      </c>
      <c r="BO105" s="578">
        <v>0</v>
      </c>
      <c r="BP105" s="578">
        <v>0</v>
      </c>
      <c r="BQ105" s="578">
        <v>0</v>
      </c>
      <c r="BR105" s="578">
        <v>0</v>
      </c>
      <c r="BS105" s="578">
        <v>0</v>
      </c>
      <c r="BT105" s="578">
        <v>0</v>
      </c>
      <c r="BU105" s="578">
        <v>0</v>
      </c>
      <c r="BV105" s="578">
        <v>0</v>
      </c>
      <c r="BW105" s="578">
        <v>0</v>
      </c>
      <c r="BX105" s="578">
        <v>0</v>
      </c>
      <c r="BY105" s="578">
        <v>0</v>
      </c>
      <c r="BZ105" s="578">
        <v>0</v>
      </c>
      <c r="CA105" s="578">
        <v>0</v>
      </c>
      <c r="CB105" s="578">
        <v>0</v>
      </c>
      <c r="CC105" s="578">
        <v>0</v>
      </c>
      <c r="CD105" s="578">
        <v>0</v>
      </c>
      <c r="CE105" s="578">
        <v>0</v>
      </c>
      <c r="CF105" s="578">
        <v>0</v>
      </c>
      <c r="CG105" s="578">
        <v>0</v>
      </c>
      <c r="CH105" s="578">
        <v>0</v>
      </c>
      <c r="CI105" s="578">
        <v>0</v>
      </c>
      <c r="CJ105" s="578">
        <v>6.9429377305272287E-5</v>
      </c>
      <c r="CK105" s="578">
        <v>0</v>
      </c>
      <c r="CL105" s="578">
        <v>1.7474447741510056E-3</v>
      </c>
      <c r="CM105" s="578">
        <v>1.4720896550086664E-4</v>
      </c>
      <c r="CN105" s="578">
        <v>3.0273060594365108E-3</v>
      </c>
      <c r="CO105" s="578">
        <v>1.1957635804578067E-3</v>
      </c>
      <c r="CP105" s="578">
        <v>5.2040022532793264E-3</v>
      </c>
      <c r="CQ105" s="578">
        <v>8.9189017009619668E-4</v>
      </c>
      <c r="CR105" s="578">
        <v>7.3742887004993611E-4</v>
      </c>
      <c r="CS105" s="578">
        <v>6.2153915696688887E-4</v>
      </c>
      <c r="CT105" s="578">
        <v>5.5991367997433733E-3</v>
      </c>
      <c r="CU105" s="578">
        <v>4.6595617754703897E-3</v>
      </c>
      <c r="CV105" s="578">
        <v>5.5138061990050373E-4</v>
      </c>
      <c r="CW105" s="578">
        <v>2.0675665132246237E-3</v>
      </c>
      <c r="CX105" s="578">
        <v>0.10306106423380591</v>
      </c>
      <c r="CY105" s="578">
        <v>1.8316695668101476E-5</v>
      </c>
      <c r="CZ105" s="578">
        <v>5.6899004267425325E-4</v>
      </c>
      <c r="DA105" s="578">
        <v>7.4960913238097276E-4</v>
      </c>
      <c r="DB105" s="578">
        <v>2.166025884009314E-4</v>
      </c>
      <c r="DC105" s="578">
        <v>0</v>
      </c>
      <c r="DD105" s="578">
        <v>0</v>
      </c>
      <c r="DE105" s="578">
        <v>0</v>
      </c>
      <c r="DF105" s="578">
        <v>0</v>
      </c>
      <c r="DG105" s="578">
        <v>7.3267123182811311E-5</v>
      </c>
      <c r="DH105" s="578">
        <v>2.0389438270975634E-4</v>
      </c>
      <c r="DI105" s="578">
        <v>1.3246787653993907E-4</v>
      </c>
      <c r="DJ105" s="578">
        <v>0</v>
      </c>
      <c r="DK105" s="578">
        <v>0</v>
      </c>
      <c r="DL105" s="578">
        <v>2.5251887578596501E-6</v>
      </c>
      <c r="DM105" s="578">
        <v>0</v>
      </c>
      <c r="DN105" s="578">
        <v>0</v>
      </c>
      <c r="DO105" s="578">
        <v>0</v>
      </c>
      <c r="DP105" s="578">
        <v>0</v>
      </c>
      <c r="DQ105" s="578">
        <v>0</v>
      </c>
      <c r="DR105" s="578">
        <v>8.0029610956053736E-5</v>
      </c>
      <c r="DS105" s="578">
        <v>6.5058264001948546E-4</v>
      </c>
      <c r="DT105" s="578">
        <v>1.4578428299645015E-4</v>
      </c>
      <c r="DU105" s="578">
        <v>0</v>
      </c>
      <c r="DV105" s="578">
        <v>7.2216802442701664E-4</v>
      </c>
      <c r="DW105" s="578">
        <v>0</v>
      </c>
      <c r="DX105" s="578">
        <v>6.129065869070895E-6</v>
      </c>
      <c r="DY105" s="578">
        <v>0</v>
      </c>
      <c r="DZ105" s="578">
        <v>0</v>
      </c>
      <c r="EA105" s="578">
        <v>0</v>
      </c>
      <c r="EB105" s="578">
        <v>0</v>
      </c>
      <c r="EC105" s="578">
        <v>0</v>
      </c>
      <c r="ED105" s="578">
        <v>0</v>
      </c>
      <c r="EE105" s="578">
        <v>0</v>
      </c>
      <c r="EF105" s="578">
        <v>0</v>
      </c>
      <c r="EG105" s="578">
        <v>0</v>
      </c>
      <c r="EH105" s="578">
        <v>0</v>
      </c>
      <c r="EI105" s="578">
        <v>0</v>
      </c>
      <c r="EJ105" s="578">
        <v>0</v>
      </c>
      <c r="EK105" s="578">
        <v>0</v>
      </c>
      <c r="EL105" s="578">
        <v>0</v>
      </c>
      <c r="EM105" s="578">
        <v>0</v>
      </c>
      <c r="EN105" s="578">
        <v>0</v>
      </c>
      <c r="EO105" s="578">
        <v>0</v>
      </c>
      <c r="EP105" s="578">
        <v>0</v>
      </c>
      <c r="EQ105" s="578">
        <v>0</v>
      </c>
      <c r="ER105" s="578">
        <v>0</v>
      </c>
      <c r="ES105" s="578">
        <v>0</v>
      </c>
      <c r="ET105" s="578">
        <v>0</v>
      </c>
      <c r="EU105" s="578">
        <v>0</v>
      </c>
      <c r="EV105" s="578">
        <v>0</v>
      </c>
      <c r="EW105" s="578">
        <v>0</v>
      </c>
      <c r="EX105" s="578">
        <v>0</v>
      </c>
      <c r="EY105" s="578">
        <v>0</v>
      </c>
      <c r="EZ105" s="578">
        <v>0</v>
      </c>
      <c r="FA105" s="578">
        <v>0</v>
      </c>
      <c r="FB105" s="578">
        <v>0</v>
      </c>
      <c r="FC105" s="578">
        <v>0</v>
      </c>
      <c r="FD105" s="578">
        <v>0</v>
      </c>
      <c r="FE105" s="578">
        <v>0</v>
      </c>
      <c r="FF105" s="578">
        <v>0</v>
      </c>
      <c r="FG105" s="578">
        <v>0</v>
      </c>
      <c r="FH105" s="578">
        <v>0</v>
      </c>
      <c r="FI105" s="578">
        <v>0</v>
      </c>
      <c r="FJ105" s="578">
        <v>0</v>
      </c>
      <c r="FK105" s="578">
        <v>0</v>
      </c>
      <c r="FL105" s="578">
        <v>0</v>
      </c>
      <c r="FM105" s="578">
        <v>0</v>
      </c>
      <c r="FN105" s="578">
        <v>0</v>
      </c>
      <c r="FO105" s="578">
        <v>0</v>
      </c>
      <c r="FP105" s="578">
        <v>0</v>
      </c>
      <c r="FQ105" s="578">
        <v>0</v>
      </c>
      <c r="FR105" s="578">
        <v>0</v>
      </c>
      <c r="FS105" s="578">
        <v>0</v>
      </c>
      <c r="FT105" s="578">
        <v>0</v>
      </c>
      <c r="FU105" s="578">
        <v>0</v>
      </c>
      <c r="FV105" s="578">
        <v>0</v>
      </c>
      <c r="FW105" s="578">
        <v>0</v>
      </c>
      <c r="FX105" s="578">
        <v>1.6004619196573724E-2</v>
      </c>
      <c r="FY105" s="578">
        <v>7.1404153758134496E-6</v>
      </c>
      <c r="FZ105" s="578">
        <v>0</v>
      </c>
      <c r="GA105" s="578">
        <v>0</v>
      </c>
      <c r="GB105" s="578">
        <v>0</v>
      </c>
      <c r="GC105" s="578">
        <v>0</v>
      </c>
      <c r="GD105" s="578">
        <v>0</v>
      </c>
      <c r="GE105" s="578">
        <v>0</v>
      </c>
      <c r="GF105" s="578">
        <v>0</v>
      </c>
      <c r="GG105" s="579">
        <v>6.1241977760375819E-4</v>
      </c>
      <c r="GH105" s="572"/>
    </row>
    <row r="106" spans="1:190">
      <c r="A106" s="572" t="s">
        <v>9337</v>
      </c>
      <c r="B106" s="577" t="s">
        <v>493</v>
      </c>
      <c r="C106" s="573" t="s">
        <v>9533</v>
      </c>
      <c r="D106" s="578">
        <v>0</v>
      </c>
      <c r="E106" s="578">
        <v>0</v>
      </c>
      <c r="F106" s="578">
        <v>0</v>
      </c>
      <c r="G106" s="578">
        <v>0</v>
      </c>
      <c r="H106" s="578">
        <v>0</v>
      </c>
      <c r="I106" s="578">
        <v>0</v>
      </c>
      <c r="J106" s="578">
        <v>0</v>
      </c>
      <c r="K106" s="578">
        <v>0</v>
      </c>
      <c r="L106" s="578">
        <v>0</v>
      </c>
      <c r="M106" s="578">
        <v>0</v>
      </c>
      <c r="N106" s="578">
        <v>0</v>
      </c>
      <c r="O106" s="578">
        <v>0</v>
      </c>
      <c r="P106" s="578">
        <v>0</v>
      </c>
      <c r="Q106" s="578">
        <v>0</v>
      </c>
      <c r="R106" s="578">
        <v>0</v>
      </c>
      <c r="S106" s="578">
        <v>0</v>
      </c>
      <c r="T106" s="578">
        <v>0</v>
      </c>
      <c r="U106" s="578">
        <v>0</v>
      </c>
      <c r="V106" s="578">
        <v>0</v>
      </c>
      <c r="W106" s="578">
        <v>0</v>
      </c>
      <c r="X106" s="578">
        <v>0</v>
      </c>
      <c r="Y106" s="578">
        <v>0</v>
      </c>
      <c r="Z106" s="578">
        <v>0</v>
      </c>
      <c r="AA106" s="578">
        <v>0</v>
      </c>
      <c r="AB106" s="578">
        <v>0</v>
      </c>
      <c r="AC106" s="578">
        <v>0</v>
      </c>
      <c r="AD106" s="578">
        <v>0</v>
      </c>
      <c r="AE106" s="578">
        <v>0</v>
      </c>
      <c r="AF106" s="578">
        <v>0</v>
      </c>
      <c r="AG106" s="578">
        <v>0</v>
      </c>
      <c r="AH106" s="578">
        <v>0</v>
      </c>
      <c r="AI106" s="578">
        <v>0</v>
      </c>
      <c r="AJ106" s="578">
        <v>0</v>
      </c>
      <c r="AK106" s="578">
        <v>0</v>
      </c>
      <c r="AL106" s="578">
        <v>0</v>
      </c>
      <c r="AM106" s="578">
        <v>0</v>
      </c>
      <c r="AN106" s="578">
        <v>0</v>
      </c>
      <c r="AO106" s="578">
        <v>0</v>
      </c>
      <c r="AP106" s="578">
        <v>0</v>
      </c>
      <c r="AQ106" s="578">
        <v>0</v>
      </c>
      <c r="AR106" s="578">
        <v>0</v>
      </c>
      <c r="AS106" s="578">
        <v>0</v>
      </c>
      <c r="AT106" s="578">
        <v>0</v>
      </c>
      <c r="AU106" s="578">
        <v>0</v>
      </c>
      <c r="AV106" s="578">
        <v>0</v>
      </c>
      <c r="AW106" s="578">
        <v>0</v>
      </c>
      <c r="AX106" s="578">
        <v>0</v>
      </c>
      <c r="AY106" s="578">
        <v>0</v>
      </c>
      <c r="AZ106" s="578">
        <v>0</v>
      </c>
      <c r="BA106" s="578">
        <v>0</v>
      </c>
      <c r="BB106" s="578">
        <v>0</v>
      </c>
      <c r="BC106" s="578">
        <v>0</v>
      </c>
      <c r="BD106" s="578">
        <v>0</v>
      </c>
      <c r="BE106" s="578">
        <v>0</v>
      </c>
      <c r="BF106" s="578">
        <v>0</v>
      </c>
      <c r="BG106" s="578">
        <v>0</v>
      </c>
      <c r="BH106" s="578">
        <v>0</v>
      </c>
      <c r="BI106" s="578">
        <v>0</v>
      </c>
      <c r="BJ106" s="578">
        <v>0</v>
      </c>
      <c r="BK106" s="578">
        <v>0</v>
      </c>
      <c r="BL106" s="578">
        <v>0</v>
      </c>
      <c r="BM106" s="578">
        <v>0</v>
      </c>
      <c r="BN106" s="578">
        <v>0</v>
      </c>
      <c r="BO106" s="578">
        <v>0</v>
      </c>
      <c r="BP106" s="578">
        <v>0</v>
      </c>
      <c r="BQ106" s="578">
        <v>0</v>
      </c>
      <c r="BR106" s="578">
        <v>0</v>
      </c>
      <c r="BS106" s="578">
        <v>0</v>
      </c>
      <c r="BT106" s="578">
        <v>0</v>
      </c>
      <c r="BU106" s="578">
        <v>0</v>
      </c>
      <c r="BV106" s="578">
        <v>0</v>
      </c>
      <c r="BW106" s="578">
        <v>0</v>
      </c>
      <c r="BX106" s="578">
        <v>0</v>
      </c>
      <c r="BY106" s="578">
        <v>0</v>
      </c>
      <c r="BZ106" s="578">
        <v>0</v>
      </c>
      <c r="CA106" s="578">
        <v>0</v>
      </c>
      <c r="CB106" s="578">
        <v>0</v>
      </c>
      <c r="CC106" s="578">
        <v>0</v>
      </c>
      <c r="CD106" s="578">
        <v>0</v>
      </c>
      <c r="CE106" s="578">
        <v>0</v>
      </c>
      <c r="CF106" s="578">
        <v>0</v>
      </c>
      <c r="CG106" s="578">
        <v>0</v>
      </c>
      <c r="CH106" s="578">
        <v>0</v>
      </c>
      <c r="CI106" s="578">
        <v>0</v>
      </c>
      <c r="CJ106" s="578">
        <v>0</v>
      </c>
      <c r="CK106" s="578">
        <v>0</v>
      </c>
      <c r="CL106" s="578">
        <v>0</v>
      </c>
      <c r="CM106" s="578">
        <v>0</v>
      </c>
      <c r="CN106" s="578">
        <v>0</v>
      </c>
      <c r="CO106" s="578">
        <v>0</v>
      </c>
      <c r="CP106" s="578">
        <v>0</v>
      </c>
      <c r="CQ106" s="578">
        <v>0</v>
      </c>
      <c r="CR106" s="578">
        <v>0</v>
      </c>
      <c r="CS106" s="578">
        <v>0</v>
      </c>
      <c r="CT106" s="578">
        <v>0</v>
      </c>
      <c r="CU106" s="578">
        <v>0</v>
      </c>
      <c r="CV106" s="578">
        <v>0</v>
      </c>
      <c r="CW106" s="578">
        <v>0</v>
      </c>
      <c r="CX106" s="578">
        <v>0</v>
      </c>
      <c r="CY106" s="578">
        <v>0.20370913087279055</v>
      </c>
      <c r="CZ106" s="578">
        <v>0</v>
      </c>
      <c r="DA106" s="578">
        <v>0</v>
      </c>
      <c r="DB106" s="578">
        <v>0</v>
      </c>
      <c r="DC106" s="578">
        <v>0</v>
      </c>
      <c r="DD106" s="578">
        <v>0</v>
      </c>
      <c r="DE106" s="578">
        <v>0</v>
      </c>
      <c r="DF106" s="578">
        <v>0</v>
      </c>
      <c r="DG106" s="578">
        <v>0</v>
      </c>
      <c r="DH106" s="578">
        <v>0</v>
      </c>
      <c r="DI106" s="578">
        <v>0</v>
      </c>
      <c r="DJ106" s="578">
        <v>0</v>
      </c>
      <c r="DK106" s="578">
        <v>0</v>
      </c>
      <c r="DL106" s="578">
        <v>0</v>
      </c>
      <c r="DM106" s="578">
        <v>0</v>
      </c>
      <c r="DN106" s="578">
        <v>0</v>
      </c>
      <c r="DO106" s="578">
        <v>0</v>
      </c>
      <c r="DP106" s="578">
        <v>0</v>
      </c>
      <c r="DQ106" s="578">
        <v>0</v>
      </c>
      <c r="DR106" s="578">
        <v>0</v>
      </c>
      <c r="DS106" s="578">
        <v>0</v>
      </c>
      <c r="DT106" s="578">
        <v>0</v>
      </c>
      <c r="DU106" s="578">
        <v>0</v>
      </c>
      <c r="DV106" s="578">
        <v>0</v>
      </c>
      <c r="DW106" s="578">
        <v>0</v>
      </c>
      <c r="DX106" s="578">
        <v>0</v>
      </c>
      <c r="DY106" s="578">
        <v>0</v>
      </c>
      <c r="DZ106" s="578">
        <v>0</v>
      </c>
      <c r="EA106" s="578">
        <v>0</v>
      </c>
      <c r="EB106" s="578">
        <v>0</v>
      </c>
      <c r="EC106" s="578">
        <v>0</v>
      </c>
      <c r="ED106" s="578">
        <v>0</v>
      </c>
      <c r="EE106" s="578">
        <v>0</v>
      </c>
      <c r="EF106" s="578">
        <v>0</v>
      </c>
      <c r="EG106" s="578">
        <v>0</v>
      </c>
      <c r="EH106" s="578">
        <v>0</v>
      </c>
      <c r="EI106" s="578">
        <v>0</v>
      </c>
      <c r="EJ106" s="578">
        <v>0</v>
      </c>
      <c r="EK106" s="578">
        <v>0</v>
      </c>
      <c r="EL106" s="578">
        <v>0</v>
      </c>
      <c r="EM106" s="578">
        <v>0</v>
      </c>
      <c r="EN106" s="578">
        <v>0</v>
      </c>
      <c r="EO106" s="578">
        <v>0</v>
      </c>
      <c r="EP106" s="578">
        <v>0</v>
      </c>
      <c r="EQ106" s="578">
        <v>0</v>
      </c>
      <c r="ER106" s="578">
        <v>0</v>
      </c>
      <c r="ES106" s="578">
        <v>0</v>
      </c>
      <c r="ET106" s="578">
        <v>0</v>
      </c>
      <c r="EU106" s="578">
        <v>0</v>
      </c>
      <c r="EV106" s="578">
        <v>0</v>
      </c>
      <c r="EW106" s="578">
        <v>0</v>
      </c>
      <c r="EX106" s="578">
        <v>0</v>
      </c>
      <c r="EY106" s="578">
        <v>0</v>
      </c>
      <c r="EZ106" s="578">
        <v>0</v>
      </c>
      <c r="FA106" s="578">
        <v>0</v>
      </c>
      <c r="FB106" s="578">
        <v>0</v>
      </c>
      <c r="FC106" s="578">
        <v>0</v>
      </c>
      <c r="FD106" s="578">
        <v>0</v>
      </c>
      <c r="FE106" s="578">
        <v>2.0987239758226999E-5</v>
      </c>
      <c r="FF106" s="578">
        <v>0</v>
      </c>
      <c r="FG106" s="578">
        <v>5.2192066805845514E-5</v>
      </c>
      <c r="FH106" s="578">
        <v>0</v>
      </c>
      <c r="FI106" s="578">
        <v>0</v>
      </c>
      <c r="FJ106" s="578">
        <v>0</v>
      </c>
      <c r="FK106" s="578">
        <v>0</v>
      </c>
      <c r="FL106" s="578">
        <v>0</v>
      </c>
      <c r="FM106" s="578">
        <v>0</v>
      </c>
      <c r="FN106" s="578">
        <v>0</v>
      </c>
      <c r="FO106" s="578">
        <v>0</v>
      </c>
      <c r="FP106" s="578">
        <v>0</v>
      </c>
      <c r="FQ106" s="578">
        <v>0</v>
      </c>
      <c r="FR106" s="578">
        <v>0</v>
      </c>
      <c r="FS106" s="578">
        <v>0</v>
      </c>
      <c r="FT106" s="578">
        <v>2.1789544131608847E-3</v>
      </c>
      <c r="FU106" s="578">
        <v>0</v>
      </c>
      <c r="FV106" s="578">
        <v>0</v>
      </c>
      <c r="FW106" s="578">
        <v>0</v>
      </c>
      <c r="FX106" s="578">
        <v>2.2070117610126356E-2</v>
      </c>
      <c r="FY106" s="578">
        <v>0</v>
      </c>
      <c r="FZ106" s="578">
        <v>0</v>
      </c>
      <c r="GA106" s="578">
        <v>0</v>
      </c>
      <c r="GB106" s="578">
        <v>0</v>
      </c>
      <c r="GC106" s="578">
        <v>0</v>
      </c>
      <c r="GD106" s="578">
        <v>1.1755183196133552E-4</v>
      </c>
      <c r="GE106" s="578">
        <v>2.4709464226042401E-2</v>
      </c>
      <c r="GF106" s="578">
        <v>0</v>
      </c>
      <c r="GG106" s="579">
        <v>8.1894685462290562E-4</v>
      </c>
      <c r="GH106" s="572"/>
    </row>
    <row r="107" spans="1:190">
      <c r="A107" s="572" t="s">
        <v>575</v>
      </c>
      <c r="B107" s="577" t="s">
        <v>498</v>
      </c>
      <c r="C107" s="573" t="s">
        <v>9534</v>
      </c>
      <c r="D107" s="578">
        <v>0</v>
      </c>
      <c r="E107" s="578">
        <v>0</v>
      </c>
      <c r="F107" s="578">
        <v>0</v>
      </c>
      <c r="G107" s="578">
        <v>0</v>
      </c>
      <c r="H107" s="578">
        <v>0</v>
      </c>
      <c r="I107" s="578">
        <v>0</v>
      </c>
      <c r="J107" s="578">
        <v>0</v>
      </c>
      <c r="K107" s="578">
        <v>0</v>
      </c>
      <c r="L107" s="578">
        <v>0</v>
      </c>
      <c r="M107" s="578">
        <v>0</v>
      </c>
      <c r="N107" s="578">
        <v>0</v>
      </c>
      <c r="O107" s="578">
        <v>0</v>
      </c>
      <c r="P107" s="578">
        <v>0</v>
      </c>
      <c r="Q107" s="578">
        <v>0</v>
      </c>
      <c r="R107" s="578">
        <v>0</v>
      </c>
      <c r="S107" s="578">
        <v>0</v>
      </c>
      <c r="T107" s="578">
        <v>0</v>
      </c>
      <c r="U107" s="578">
        <v>0</v>
      </c>
      <c r="V107" s="578">
        <v>0</v>
      </c>
      <c r="W107" s="578">
        <v>0</v>
      </c>
      <c r="X107" s="578">
        <v>0</v>
      </c>
      <c r="Y107" s="578">
        <v>0</v>
      </c>
      <c r="Z107" s="578">
        <v>0</v>
      </c>
      <c r="AA107" s="578">
        <v>0</v>
      </c>
      <c r="AB107" s="578">
        <v>0</v>
      </c>
      <c r="AC107" s="578">
        <v>0</v>
      </c>
      <c r="AD107" s="578">
        <v>0</v>
      </c>
      <c r="AE107" s="578">
        <v>0</v>
      </c>
      <c r="AF107" s="578">
        <v>0</v>
      </c>
      <c r="AG107" s="578">
        <v>0</v>
      </c>
      <c r="AH107" s="578">
        <v>0</v>
      </c>
      <c r="AI107" s="578">
        <v>0</v>
      </c>
      <c r="AJ107" s="578">
        <v>0</v>
      </c>
      <c r="AK107" s="578">
        <v>0</v>
      </c>
      <c r="AL107" s="578">
        <v>0</v>
      </c>
      <c r="AM107" s="578">
        <v>0</v>
      </c>
      <c r="AN107" s="578">
        <v>0</v>
      </c>
      <c r="AO107" s="578">
        <v>0</v>
      </c>
      <c r="AP107" s="578">
        <v>0</v>
      </c>
      <c r="AQ107" s="578">
        <v>0</v>
      </c>
      <c r="AR107" s="578">
        <v>0</v>
      </c>
      <c r="AS107" s="578">
        <v>0</v>
      </c>
      <c r="AT107" s="578">
        <v>0</v>
      </c>
      <c r="AU107" s="578">
        <v>0</v>
      </c>
      <c r="AV107" s="578">
        <v>0</v>
      </c>
      <c r="AW107" s="578">
        <v>0</v>
      </c>
      <c r="AX107" s="578">
        <v>0</v>
      </c>
      <c r="AY107" s="578">
        <v>0</v>
      </c>
      <c r="AZ107" s="578">
        <v>0</v>
      </c>
      <c r="BA107" s="578">
        <v>0</v>
      </c>
      <c r="BB107" s="578">
        <v>0</v>
      </c>
      <c r="BC107" s="578">
        <v>0</v>
      </c>
      <c r="BD107" s="578">
        <v>0</v>
      </c>
      <c r="BE107" s="578">
        <v>0</v>
      </c>
      <c r="BF107" s="578">
        <v>0</v>
      </c>
      <c r="BG107" s="578">
        <v>0</v>
      </c>
      <c r="BH107" s="578">
        <v>0</v>
      </c>
      <c r="BI107" s="578">
        <v>0</v>
      </c>
      <c r="BJ107" s="578">
        <v>0</v>
      </c>
      <c r="BK107" s="578">
        <v>0</v>
      </c>
      <c r="BL107" s="578">
        <v>0</v>
      </c>
      <c r="BM107" s="578">
        <v>0</v>
      </c>
      <c r="BN107" s="578">
        <v>0</v>
      </c>
      <c r="BO107" s="578">
        <v>0</v>
      </c>
      <c r="BP107" s="578">
        <v>0</v>
      </c>
      <c r="BQ107" s="578">
        <v>0</v>
      </c>
      <c r="BR107" s="578">
        <v>0</v>
      </c>
      <c r="BS107" s="578">
        <v>0</v>
      </c>
      <c r="BT107" s="578">
        <v>0</v>
      </c>
      <c r="BU107" s="578">
        <v>0</v>
      </c>
      <c r="BV107" s="578">
        <v>0</v>
      </c>
      <c r="BW107" s="578">
        <v>0</v>
      </c>
      <c r="BX107" s="578">
        <v>0</v>
      </c>
      <c r="BY107" s="578">
        <v>0</v>
      </c>
      <c r="BZ107" s="578">
        <v>0</v>
      </c>
      <c r="CA107" s="578">
        <v>0</v>
      </c>
      <c r="CB107" s="578">
        <v>0</v>
      </c>
      <c r="CC107" s="578">
        <v>0</v>
      </c>
      <c r="CD107" s="578">
        <v>0</v>
      </c>
      <c r="CE107" s="578">
        <v>0</v>
      </c>
      <c r="CF107" s="578">
        <v>0</v>
      </c>
      <c r="CG107" s="578">
        <v>0</v>
      </c>
      <c r="CH107" s="578">
        <v>0</v>
      </c>
      <c r="CI107" s="578">
        <v>0</v>
      </c>
      <c r="CJ107" s="578">
        <v>0</v>
      </c>
      <c r="CK107" s="578">
        <v>0</v>
      </c>
      <c r="CL107" s="578">
        <v>0</v>
      </c>
      <c r="CM107" s="578">
        <v>0</v>
      </c>
      <c r="CN107" s="578">
        <v>0</v>
      </c>
      <c r="CO107" s="578">
        <v>0</v>
      </c>
      <c r="CP107" s="578">
        <v>0</v>
      </c>
      <c r="CQ107" s="578">
        <v>0</v>
      </c>
      <c r="CR107" s="578">
        <v>0</v>
      </c>
      <c r="CS107" s="578">
        <v>0</v>
      </c>
      <c r="CT107" s="578">
        <v>0</v>
      </c>
      <c r="CU107" s="578">
        <v>0</v>
      </c>
      <c r="CV107" s="578">
        <v>0</v>
      </c>
      <c r="CW107" s="578">
        <v>0</v>
      </c>
      <c r="CX107" s="578">
        <v>0</v>
      </c>
      <c r="CY107" s="578">
        <v>0</v>
      </c>
      <c r="CZ107" s="578">
        <v>0.13554409672830725</v>
      </c>
      <c r="DA107" s="578">
        <v>0</v>
      </c>
      <c r="DB107" s="578">
        <v>0</v>
      </c>
      <c r="DC107" s="578">
        <v>0</v>
      </c>
      <c r="DD107" s="578">
        <v>0</v>
      </c>
      <c r="DE107" s="578">
        <v>0</v>
      </c>
      <c r="DF107" s="578">
        <v>0</v>
      </c>
      <c r="DG107" s="578">
        <v>0</v>
      </c>
      <c r="DH107" s="578">
        <v>0</v>
      </c>
      <c r="DI107" s="578">
        <v>0</v>
      </c>
      <c r="DJ107" s="578">
        <v>0</v>
      </c>
      <c r="DK107" s="578">
        <v>0</v>
      </c>
      <c r="DL107" s="578">
        <v>0</v>
      </c>
      <c r="DM107" s="578">
        <v>0</v>
      </c>
      <c r="DN107" s="578">
        <v>0</v>
      </c>
      <c r="DO107" s="578">
        <v>0</v>
      </c>
      <c r="DP107" s="578">
        <v>0</v>
      </c>
      <c r="DQ107" s="578">
        <v>0</v>
      </c>
      <c r="DR107" s="578">
        <v>0</v>
      </c>
      <c r="DS107" s="578">
        <v>0</v>
      </c>
      <c r="DT107" s="578">
        <v>0</v>
      </c>
      <c r="DU107" s="578">
        <v>0</v>
      </c>
      <c r="DV107" s="578">
        <v>0</v>
      </c>
      <c r="DW107" s="578">
        <v>0</v>
      </c>
      <c r="DX107" s="578">
        <v>0</v>
      </c>
      <c r="DY107" s="578">
        <v>0</v>
      </c>
      <c r="DZ107" s="578">
        <v>0</v>
      </c>
      <c r="EA107" s="578">
        <v>0</v>
      </c>
      <c r="EB107" s="578">
        <v>0</v>
      </c>
      <c r="EC107" s="578">
        <v>0</v>
      </c>
      <c r="ED107" s="578">
        <v>0</v>
      </c>
      <c r="EE107" s="578">
        <v>0</v>
      </c>
      <c r="EF107" s="578">
        <v>0</v>
      </c>
      <c r="EG107" s="578">
        <v>0</v>
      </c>
      <c r="EH107" s="578">
        <v>0</v>
      </c>
      <c r="EI107" s="578">
        <v>0</v>
      </c>
      <c r="EJ107" s="578">
        <v>0</v>
      </c>
      <c r="EK107" s="578">
        <v>0</v>
      </c>
      <c r="EL107" s="578">
        <v>0</v>
      </c>
      <c r="EM107" s="578">
        <v>0</v>
      </c>
      <c r="EN107" s="578">
        <v>0</v>
      </c>
      <c r="EO107" s="578">
        <v>0</v>
      </c>
      <c r="EP107" s="578">
        <v>0</v>
      </c>
      <c r="EQ107" s="578">
        <v>0</v>
      </c>
      <c r="ER107" s="578">
        <v>0</v>
      </c>
      <c r="ES107" s="578">
        <v>0</v>
      </c>
      <c r="ET107" s="578">
        <v>0</v>
      </c>
      <c r="EU107" s="578">
        <v>0</v>
      </c>
      <c r="EV107" s="578">
        <v>0</v>
      </c>
      <c r="EW107" s="578">
        <v>0</v>
      </c>
      <c r="EX107" s="578">
        <v>0</v>
      </c>
      <c r="EY107" s="578">
        <v>0</v>
      </c>
      <c r="EZ107" s="578">
        <v>0</v>
      </c>
      <c r="FA107" s="578">
        <v>0</v>
      </c>
      <c r="FB107" s="578">
        <v>0</v>
      </c>
      <c r="FC107" s="578">
        <v>0</v>
      </c>
      <c r="FD107" s="578">
        <v>0</v>
      </c>
      <c r="FE107" s="578">
        <v>0</v>
      </c>
      <c r="FF107" s="578">
        <v>0</v>
      </c>
      <c r="FG107" s="578">
        <v>0</v>
      </c>
      <c r="FH107" s="578">
        <v>0</v>
      </c>
      <c r="FI107" s="578">
        <v>0</v>
      </c>
      <c r="FJ107" s="578">
        <v>0</v>
      </c>
      <c r="FK107" s="578">
        <v>0</v>
      </c>
      <c r="FL107" s="578">
        <v>0</v>
      </c>
      <c r="FM107" s="578">
        <v>0</v>
      </c>
      <c r="FN107" s="578">
        <v>0</v>
      </c>
      <c r="FO107" s="578">
        <v>0</v>
      </c>
      <c r="FP107" s="578">
        <v>0</v>
      </c>
      <c r="FQ107" s="578">
        <v>0</v>
      </c>
      <c r="FR107" s="578">
        <v>0</v>
      </c>
      <c r="FS107" s="578">
        <v>0</v>
      </c>
      <c r="FT107" s="578">
        <v>0</v>
      </c>
      <c r="FU107" s="578">
        <v>0</v>
      </c>
      <c r="FV107" s="578">
        <v>0</v>
      </c>
      <c r="FW107" s="578">
        <v>0</v>
      </c>
      <c r="FX107" s="578">
        <v>4.930319643918245E-3</v>
      </c>
      <c r="FY107" s="578">
        <v>0</v>
      </c>
      <c r="FZ107" s="578">
        <v>0</v>
      </c>
      <c r="GA107" s="578">
        <v>0</v>
      </c>
      <c r="GB107" s="578">
        <v>0</v>
      </c>
      <c r="GC107" s="578">
        <v>2.446630244018522E-3</v>
      </c>
      <c r="GD107" s="578">
        <v>0</v>
      </c>
      <c r="GE107" s="578">
        <v>0</v>
      </c>
      <c r="GF107" s="578">
        <v>0</v>
      </c>
      <c r="GG107" s="579">
        <v>2.6615451921595072E-4</v>
      </c>
      <c r="GH107" s="572"/>
    </row>
    <row r="108" spans="1:190">
      <c r="A108" s="572" t="s">
        <v>5359</v>
      </c>
      <c r="B108" s="577" t="s">
        <v>9441</v>
      </c>
      <c r="C108" s="573" t="s">
        <v>9535</v>
      </c>
      <c r="D108" s="578">
        <v>0</v>
      </c>
      <c r="E108" s="578">
        <v>0</v>
      </c>
      <c r="F108" s="578">
        <v>0</v>
      </c>
      <c r="G108" s="578">
        <v>0</v>
      </c>
      <c r="H108" s="578">
        <v>0</v>
      </c>
      <c r="I108" s="578">
        <v>0</v>
      </c>
      <c r="J108" s="578">
        <v>0</v>
      </c>
      <c r="K108" s="578">
        <v>0</v>
      </c>
      <c r="L108" s="578">
        <v>0</v>
      </c>
      <c r="M108" s="578">
        <v>0</v>
      </c>
      <c r="N108" s="578">
        <v>0</v>
      </c>
      <c r="O108" s="578">
        <v>2.1897170885521591E-5</v>
      </c>
      <c r="P108" s="578">
        <v>0</v>
      </c>
      <c r="Q108" s="578">
        <v>0</v>
      </c>
      <c r="R108" s="578">
        <v>0</v>
      </c>
      <c r="S108" s="578">
        <v>0</v>
      </c>
      <c r="T108" s="578">
        <v>0</v>
      </c>
      <c r="U108" s="578">
        <v>0</v>
      </c>
      <c r="V108" s="578">
        <v>0</v>
      </c>
      <c r="W108" s="578">
        <v>0</v>
      </c>
      <c r="X108" s="578">
        <v>0</v>
      </c>
      <c r="Y108" s="578">
        <v>0</v>
      </c>
      <c r="Z108" s="578">
        <v>0</v>
      </c>
      <c r="AA108" s="578">
        <v>0</v>
      </c>
      <c r="AB108" s="578">
        <v>0</v>
      </c>
      <c r="AC108" s="578">
        <v>0</v>
      </c>
      <c r="AD108" s="578">
        <v>0</v>
      </c>
      <c r="AE108" s="578">
        <v>0</v>
      </c>
      <c r="AF108" s="578">
        <v>0</v>
      </c>
      <c r="AG108" s="578">
        <v>0</v>
      </c>
      <c r="AH108" s="578">
        <v>0</v>
      </c>
      <c r="AI108" s="578">
        <v>0</v>
      </c>
      <c r="AJ108" s="578">
        <v>0</v>
      </c>
      <c r="AK108" s="578">
        <v>0</v>
      </c>
      <c r="AL108" s="578">
        <v>0</v>
      </c>
      <c r="AM108" s="578">
        <v>0</v>
      </c>
      <c r="AN108" s="578">
        <v>0</v>
      </c>
      <c r="AO108" s="578">
        <v>0</v>
      </c>
      <c r="AP108" s="578">
        <v>0</v>
      </c>
      <c r="AQ108" s="578">
        <v>0</v>
      </c>
      <c r="AR108" s="578">
        <v>0</v>
      </c>
      <c r="AS108" s="578">
        <v>0</v>
      </c>
      <c r="AT108" s="578">
        <v>0</v>
      </c>
      <c r="AU108" s="578">
        <v>0</v>
      </c>
      <c r="AV108" s="578">
        <v>0</v>
      </c>
      <c r="AW108" s="578">
        <v>0</v>
      </c>
      <c r="AX108" s="578">
        <v>4.3889004707095756E-5</v>
      </c>
      <c r="AY108" s="578">
        <v>0</v>
      </c>
      <c r="AZ108" s="578">
        <v>0</v>
      </c>
      <c r="BA108" s="578">
        <v>0</v>
      </c>
      <c r="BB108" s="578">
        <v>0</v>
      </c>
      <c r="BC108" s="578">
        <v>0</v>
      </c>
      <c r="BD108" s="578">
        <v>0</v>
      </c>
      <c r="BE108" s="578">
        <v>0</v>
      </c>
      <c r="BF108" s="578">
        <v>0</v>
      </c>
      <c r="BG108" s="578">
        <v>0</v>
      </c>
      <c r="BH108" s="578">
        <v>0</v>
      </c>
      <c r="BI108" s="578">
        <v>0</v>
      </c>
      <c r="BJ108" s="578">
        <v>0</v>
      </c>
      <c r="BK108" s="578">
        <v>0</v>
      </c>
      <c r="BL108" s="578">
        <v>0</v>
      </c>
      <c r="BM108" s="578">
        <v>0</v>
      </c>
      <c r="BN108" s="578">
        <v>0</v>
      </c>
      <c r="BO108" s="578">
        <v>0</v>
      </c>
      <c r="BP108" s="578">
        <v>0</v>
      </c>
      <c r="BQ108" s="578">
        <v>0</v>
      </c>
      <c r="BR108" s="578">
        <v>0</v>
      </c>
      <c r="BS108" s="578">
        <v>0</v>
      </c>
      <c r="BT108" s="578">
        <v>0</v>
      </c>
      <c r="BU108" s="578">
        <v>0</v>
      </c>
      <c r="BV108" s="578">
        <v>0</v>
      </c>
      <c r="BW108" s="578">
        <v>0</v>
      </c>
      <c r="BX108" s="578">
        <v>0</v>
      </c>
      <c r="BY108" s="578">
        <v>0</v>
      </c>
      <c r="BZ108" s="578">
        <v>0</v>
      </c>
      <c r="CA108" s="578">
        <v>0</v>
      </c>
      <c r="CB108" s="578">
        <v>0</v>
      </c>
      <c r="CC108" s="578">
        <v>0</v>
      </c>
      <c r="CD108" s="578">
        <v>0</v>
      </c>
      <c r="CE108" s="578">
        <v>0</v>
      </c>
      <c r="CF108" s="578">
        <v>0</v>
      </c>
      <c r="CG108" s="578">
        <v>0</v>
      </c>
      <c r="CH108" s="578">
        <v>6.9433997199495448E-5</v>
      </c>
      <c r="CI108" s="578">
        <v>0</v>
      </c>
      <c r="CJ108" s="578">
        <v>6.0750705142113258E-5</v>
      </c>
      <c r="CK108" s="578">
        <v>2.521508467225433E-6</v>
      </c>
      <c r="CL108" s="578">
        <v>1.7324581122800707E-3</v>
      </c>
      <c r="CM108" s="578">
        <v>2.3221027138685089E-3</v>
      </c>
      <c r="CN108" s="578">
        <v>5.1259166345040521E-3</v>
      </c>
      <c r="CO108" s="578">
        <v>5.2955244277417147E-3</v>
      </c>
      <c r="CP108" s="578">
        <v>1.7972585101531694E-3</v>
      </c>
      <c r="CQ108" s="578">
        <v>4.5231572912021404E-3</v>
      </c>
      <c r="CR108" s="578">
        <v>4.5958657531064914E-3</v>
      </c>
      <c r="CS108" s="578">
        <v>2.0341281500734546E-3</v>
      </c>
      <c r="CT108" s="578">
        <v>4.2285147706395262E-3</v>
      </c>
      <c r="CU108" s="578">
        <v>2.0379536623510632E-2</v>
      </c>
      <c r="CV108" s="578">
        <v>3.8101020363911211E-3</v>
      </c>
      <c r="CW108" s="578">
        <v>2.1845985800109228E-3</v>
      </c>
      <c r="CX108" s="578">
        <v>4.1047386530746275E-3</v>
      </c>
      <c r="CY108" s="578">
        <v>2.8207711328876272E-3</v>
      </c>
      <c r="CZ108" s="578">
        <v>1.0668563300142249E-3</v>
      </c>
      <c r="DA108" s="578">
        <v>7.496091323809728E-3</v>
      </c>
      <c r="DB108" s="578">
        <v>3.2490388260139711E-4</v>
      </c>
      <c r="DC108" s="578">
        <v>0</v>
      </c>
      <c r="DD108" s="578">
        <v>9.6618357487922703E-4</v>
      </c>
      <c r="DE108" s="578">
        <v>0</v>
      </c>
      <c r="DF108" s="578">
        <v>0</v>
      </c>
      <c r="DG108" s="578">
        <v>9.3497597494483092E-4</v>
      </c>
      <c r="DH108" s="578">
        <v>0</v>
      </c>
      <c r="DI108" s="578">
        <v>2.9805272221486288E-4</v>
      </c>
      <c r="DJ108" s="578">
        <v>6.0877883934450669E-4</v>
      </c>
      <c r="DK108" s="578">
        <v>0</v>
      </c>
      <c r="DL108" s="578">
        <v>0</v>
      </c>
      <c r="DM108" s="578">
        <v>2.8135957470874335E-3</v>
      </c>
      <c r="DN108" s="578">
        <v>0</v>
      </c>
      <c r="DO108" s="578">
        <v>0</v>
      </c>
      <c r="DP108" s="578">
        <v>2.1910604732690623E-4</v>
      </c>
      <c r="DQ108" s="578">
        <v>0</v>
      </c>
      <c r="DR108" s="578">
        <v>4.1682089039611321E-4</v>
      </c>
      <c r="DS108" s="578">
        <v>8.2043919135462199E-4</v>
      </c>
      <c r="DT108" s="578">
        <v>0</v>
      </c>
      <c r="DU108" s="578">
        <v>9.3164734361065107E-4</v>
      </c>
      <c r="DV108" s="578">
        <v>3.8008843390895614E-5</v>
      </c>
      <c r="DW108" s="578">
        <v>0</v>
      </c>
      <c r="DX108" s="578">
        <v>3.0645329345354478E-5</v>
      </c>
      <c r="DY108" s="578">
        <v>3.1620053437890308E-5</v>
      </c>
      <c r="DZ108" s="578">
        <v>1.3978170476419837E-4</v>
      </c>
      <c r="EA108" s="578">
        <v>7.1451943559642335E-4</v>
      </c>
      <c r="EB108" s="578">
        <v>0</v>
      </c>
      <c r="EC108" s="578">
        <v>4.5873383345515263E-5</v>
      </c>
      <c r="ED108" s="578">
        <v>0</v>
      </c>
      <c r="EE108" s="578">
        <v>0</v>
      </c>
      <c r="EF108" s="578">
        <v>0</v>
      </c>
      <c r="EG108" s="578">
        <v>0</v>
      </c>
      <c r="EH108" s="578">
        <v>1.0117145899893504E-4</v>
      </c>
      <c r="EI108" s="578">
        <v>2.8099991008002876E-5</v>
      </c>
      <c r="EJ108" s="578">
        <v>1.7902769626765001E-3</v>
      </c>
      <c r="EK108" s="578">
        <v>2.9801902335879906E-4</v>
      </c>
      <c r="EL108" s="578">
        <v>1.9396616036525321E-5</v>
      </c>
      <c r="EM108" s="578">
        <v>0</v>
      </c>
      <c r="EN108" s="578">
        <v>0</v>
      </c>
      <c r="EO108" s="578">
        <v>0</v>
      </c>
      <c r="EP108" s="578">
        <v>0</v>
      </c>
      <c r="EQ108" s="578">
        <v>0</v>
      </c>
      <c r="ER108" s="578">
        <v>0</v>
      </c>
      <c r="ES108" s="578">
        <v>0</v>
      </c>
      <c r="ET108" s="578">
        <v>2.6500912293905716E-6</v>
      </c>
      <c r="EU108" s="578">
        <v>0</v>
      </c>
      <c r="EV108" s="578">
        <v>3.7721614485099963E-5</v>
      </c>
      <c r="EW108" s="578">
        <v>1.9445416715280207E-5</v>
      </c>
      <c r="EX108" s="578">
        <v>1.9273021624330263E-5</v>
      </c>
      <c r="EY108" s="578">
        <v>9.8980500841334257E-5</v>
      </c>
      <c r="EZ108" s="578">
        <v>9.5598971007439332E-5</v>
      </c>
      <c r="FA108" s="578">
        <v>1.5287848344544422E-4</v>
      </c>
      <c r="FB108" s="578">
        <v>1.0118828779298225E-5</v>
      </c>
      <c r="FC108" s="578">
        <v>6.4968814968814972E-5</v>
      </c>
      <c r="FD108" s="578">
        <v>1.722186685036658E-5</v>
      </c>
      <c r="FE108" s="578">
        <v>0</v>
      </c>
      <c r="FF108" s="578">
        <v>0</v>
      </c>
      <c r="FG108" s="578">
        <v>1.0438413361169103E-4</v>
      </c>
      <c r="FH108" s="578">
        <v>0</v>
      </c>
      <c r="FI108" s="578">
        <v>6.2246390002994876E-4</v>
      </c>
      <c r="FJ108" s="578">
        <v>7.9732554232374836E-6</v>
      </c>
      <c r="FK108" s="578">
        <v>0</v>
      </c>
      <c r="FL108" s="578">
        <v>0</v>
      </c>
      <c r="FM108" s="578">
        <v>0</v>
      </c>
      <c r="FN108" s="578">
        <v>0</v>
      </c>
      <c r="FO108" s="578">
        <v>3.7234118930331103E-4</v>
      </c>
      <c r="FP108" s="578">
        <v>0</v>
      </c>
      <c r="FQ108" s="578">
        <v>0</v>
      </c>
      <c r="FR108" s="578">
        <v>0</v>
      </c>
      <c r="FS108" s="578">
        <v>0</v>
      </c>
      <c r="FT108" s="578">
        <v>5.1879866980021065E-6</v>
      </c>
      <c r="FU108" s="578">
        <v>0</v>
      </c>
      <c r="FV108" s="578">
        <v>0</v>
      </c>
      <c r="FW108" s="578">
        <v>0</v>
      </c>
      <c r="FX108" s="578">
        <v>1.594856098572758E-3</v>
      </c>
      <c r="FY108" s="578">
        <v>1.9457631899091649E-4</v>
      </c>
      <c r="FZ108" s="578">
        <v>3.8980782474240197E-5</v>
      </c>
      <c r="GA108" s="578">
        <v>0</v>
      </c>
      <c r="GB108" s="578">
        <v>9.4331168433017789E-6</v>
      </c>
      <c r="GC108" s="578">
        <v>2.478855363747236E-6</v>
      </c>
      <c r="GD108" s="578">
        <v>1.7128981228651749E-4</v>
      </c>
      <c r="GE108" s="578">
        <v>0</v>
      </c>
      <c r="GF108" s="578">
        <v>0</v>
      </c>
      <c r="GG108" s="579">
        <v>3.8825858401586176E-4</v>
      </c>
      <c r="GH108" s="572"/>
    </row>
    <row r="109" spans="1:190">
      <c r="A109" s="572" t="s">
        <v>5361</v>
      </c>
      <c r="B109" s="577" t="s">
        <v>9442</v>
      </c>
      <c r="C109" s="573" t="s">
        <v>505</v>
      </c>
      <c r="D109" s="578">
        <v>0</v>
      </c>
      <c r="E109" s="578">
        <v>0</v>
      </c>
      <c r="F109" s="578">
        <v>0</v>
      </c>
      <c r="G109" s="578">
        <v>0</v>
      </c>
      <c r="H109" s="578">
        <v>0</v>
      </c>
      <c r="I109" s="578">
        <v>0</v>
      </c>
      <c r="J109" s="578">
        <v>0</v>
      </c>
      <c r="K109" s="578">
        <v>5.6481119676032822E-3</v>
      </c>
      <c r="L109" s="578">
        <v>0</v>
      </c>
      <c r="M109" s="578">
        <v>0</v>
      </c>
      <c r="N109" s="578">
        <v>0</v>
      </c>
      <c r="O109" s="578">
        <v>0</v>
      </c>
      <c r="P109" s="578">
        <v>0</v>
      </c>
      <c r="Q109" s="578">
        <v>0</v>
      </c>
      <c r="R109" s="578">
        <v>0</v>
      </c>
      <c r="S109" s="578">
        <v>0</v>
      </c>
      <c r="T109" s="578">
        <v>0</v>
      </c>
      <c r="U109" s="578">
        <v>0</v>
      </c>
      <c r="V109" s="578">
        <v>0</v>
      </c>
      <c r="W109" s="578">
        <v>0</v>
      </c>
      <c r="X109" s="578">
        <v>0</v>
      </c>
      <c r="Y109" s="578">
        <v>0</v>
      </c>
      <c r="Z109" s="578">
        <v>0</v>
      </c>
      <c r="AA109" s="578">
        <v>0</v>
      </c>
      <c r="AB109" s="578">
        <v>0</v>
      </c>
      <c r="AC109" s="578">
        <v>0</v>
      </c>
      <c r="AD109" s="578">
        <v>0</v>
      </c>
      <c r="AE109" s="578">
        <v>0</v>
      </c>
      <c r="AF109" s="578">
        <v>0</v>
      </c>
      <c r="AG109" s="578">
        <v>0</v>
      </c>
      <c r="AH109" s="578">
        <v>0</v>
      </c>
      <c r="AI109" s="578">
        <v>0</v>
      </c>
      <c r="AJ109" s="578">
        <v>0</v>
      </c>
      <c r="AK109" s="578">
        <v>0</v>
      </c>
      <c r="AL109" s="578">
        <v>0</v>
      </c>
      <c r="AM109" s="578">
        <v>0</v>
      </c>
      <c r="AN109" s="578">
        <v>0</v>
      </c>
      <c r="AO109" s="578">
        <v>0</v>
      </c>
      <c r="AP109" s="578">
        <v>0</v>
      </c>
      <c r="AQ109" s="578">
        <v>0</v>
      </c>
      <c r="AR109" s="578">
        <v>0</v>
      </c>
      <c r="AS109" s="578">
        <v>0</v>
      </c>
      <c r="AT109" s="578">
        <v>0</v>
      </c>
      <c r="AU109" s="578">
        <v>0</v>
      </c>
      <c r="AV109" s="578">
        <v>0</v>
      </c>
      <c r="AW109" s="578">
        <v>0</v>
      </c>
      <c r="AX109" s="578">
        <v>0</v>
      </c>
      <c r="AY109" s="578">
        <v>0</v>
      </c>
      <c r="AZ109" s="578">
        <v>0</v>
      </c>
      <c r="BA109" s="578">
        <v>0</v>
      </c>
      <c r="BB109" s="578">
        <v>0</v>
      </c>
      <c r="BC109" s="578">
        <v>0</v>
      </c>
      <c r="BD109" s="578">
        <v>0</v>
      </c>
      <c r="BE109" s="578">
        <v>0</v>
      </c>
      <c r="BF109" s="578">
        <v>0</v>
      </c>
      <c r="BG109" s="578">
        <v>0</v>
      </c>
      <c r="BH109" s="578">
        <v>0</v>
      </c>
      <c r="BI109" s="578">
        <v>0</v>
      </c>
      <c r="BJ109" s="578">
        <v>0</v>
      </c>
      <c r="BK109" s="578">
        <v>0</v>
      </c>
      <c r="BL109" s="578">
        <v>0</v>
      </c>
      <c r="BM109" s="578">
        <v>0</v>
      </c>
      <c r="BN109" s="578">
        <v>0</v>
      </c>
      <c r="BO109" s="578">
        <v>0</v>
      </c>
      <c r="BP109" s="578">
        <v>0</v>
      </c>
      <c r="BQ109" s="578">
        <v>0</v>
      </c>
      <c r="BR109" s="578">
        <v>0</v>
      </c>
      <c r="BS109" s="578">
        <v>0</v>
      </c>
      <c r="BT109" s="578">
        <v>0</v>
      </c>
      <c r="BU109" s="578">
        <v>0</v>
      </c>
      <c r="BV109" s="578">
        <v>0</v>
      </c>
      <c r="BW109" s="578">
        <v>0</v>
      </c>
      <c r="BX109" s="578">
        <v>0</v>
      </c>
      <c r="BY109" s="578">
        <v>0</v>
      </c>
      <c r="BZ109" s="578">
        <v>0</v>
      </c>
      <c r="CA109" s="578">
        <v>0</v>
      </c>
      <c r="CB109" s="578">
        <v>0</v>
      </c>
      <c r="CC109" s="578">
        <v>0</v>
      </c>
      <c r="CD109" s="578">
        <v>0</v>
      </c>
      <c r="CE109" s="578">
        <v>0</v>
      </c>
      <c r="CF109" s="578">
        <v>0</v>
      </c>
      <c r="CG109" s="578">
        <v>0</v>
      </c>
      <c r="CH109" s="578">
        <v>0</v>
      </c>
      <c r="CI109" s="578">
        <v>0</v>
      </c>
      <c r="CJ109" s="578">
        <v>0</v>
      </c>
      <c r="CK109" s="578">
        <v>0</v>
      </c>
      <c r="CL109" s="578">
        <v>0</v>
      </c>
      <c r="CM109" s="578">
        <v>0</v>
      </c>
      <c r="CN109" s="578">
        <v>0</v>
      </c>
      <c r="CO109" s="578">
        <v>0</v>
      </c>
      <c r="CP109" s="578">
        <v>0</v>
      </c>
      <c r="CQ109" s="578">
        <v>0</v>
      </c>
      <c r="CR109" s="578">
        <v>0</v>
      </c>
      <c r="CS109" s="578">
        <v>0</v>
      </c>
      <c r="CT109" s="578">
        <v>0</v>
      </c>
      <c r="CU109" s="578">
        <v>0</v>
      </c>
      <c r="CV109" s="578">
        <v>0</v>
      </c>
      <c r="CW109" s="578">
        <v>0</v>
      </c>
      <c r="CX109" s="578">
        <v>0</v>
      </c>
      <c r="CY109" s="578">
        <v>0</v>
      </c>
      <c r="CZ109" s="578">
        <v>0</v>
      </c>
      <c r="DA109" s="578">
        <v>0</v>
      </c>
      <c r="DB109" s="578">
        <v>6.952943087669898E-2</v>
      </c>
      <c r="DC109" s="578">
        <v>0</v>
      </c>
      <c r="DD109" s="578">
        <v>0</v>
      </c>
      <c r="DE109" s="578">
        <v>0</v>
      </c>
      <c r="DF109" s="578">
        <v>0</v>
      </c>
      <c r="DG109" s="578">
        <v>0</v>
      </c>
      <c r="DH109" s="578">
        <v>0</v>
      </c>
      <c r="DI109" s="578">
        <v>0</v>
      </c>
      <c r="DJ109" s="578">
        <v>0</v>
      </c>
      <c r="DK109" s="578">
        <v>0</v>
      </c>
      <c r="DL109" s="578">
        <v>0</v>
      </c>
      <c r="DM109" s="578">
        <v>0</v>
      </c>
      <c r="DN109" s="578">
        <v>0</v>
      </c>
      <c r="DO109" s="578">
        <v>0</v>
      </c>
      <c r="DP109" s="578">
        <v>0</v>
      </c>
      <c r="DQ109" s="578">
        <v>0</v>
      </c>
      <c r="DR109" s="578">
        <v>0</v>
      </c>
      <c r="DS109" s="578">
        <v>0</v>
      </c>
      <c r="DT109" s="578">
        <v>0</v>
      </c>
      <c r="DU109" s="578">
        <v>0</v>
      </c>
      <c r="DV109" s="578">
        <v>0</v>
      </c>
      <c r="DW109" s="578">
        <v>0</v>
      </c>
      <c r="DX109" s="578">
        <v>0</v>
      </c>
      <c r="DY109" s="578">
        <v>0</v>
      </c>
      <c r="DZ109" s="578">
        <v>0</v>
      </c>
      <c r="EA109" s="578">
        <v>0</v>
      </c>
      <c r="EB109" s="578">
        <v>0</v>
      </c>
      <c r="EC109" s="578">
        <v>0</v>
      </c>
      <c r="ED109" s="578">
        <v>0</v>
      </c>
      <c r="EE109" s="578">
        <v>0</v>
      </c>
      <c r="EF109" s="578">
        <v>0</v>
      </c>
      <c r="EG109" s="578">
        <v>0</v>
      </c>
      <c r="EH109" s="578">
        <v>0</v>
      </c>
      <c r="EI109" s="578">
        <v>0</v>
      </c>
      <c r="EJ109" s="578">
        <v>0</v>
      </c>
      <c r="EK109" s="578">
        <v>0</v>
      </c>
      <c r="EL109" s="578">
        <v>0</v>
      </c>
      <c r="EM109" s="578">
        <v>0</v>
      </c>
      <c r="EN109" s="578">
        <v>0</v>
      </c>
      <c r="EO109" s="578">
        <v>0</v>
      </c>
      <c r="EP109" s="578">
        <v>0</v>
      </c>
      <c r="EQ109" s="578">
        <v>0</v>
      </c>
      <c r="ER109" s="578">
        <v>0</v>
      </c>
      <c r="ES109" s="578">
        <v>0</v>
      </c>
      <c r="ET109" s="578">
        <v>0</v>
      </c>
      <c r="EU109" s="578">
        <v>0</v>
      </c>
      <c r="EV109" s="578">
        <v>0</v>
      </c>
      <c r="EW109" s="578">
        <v>0</v>
      </c>
      <c r="EX109" s="578">
        <v>0</v>
      </c>
      <c r="EY109" s="578">
        <v>0</v>
      </c>
      <c r="EZ109" s="578">
        <v>0</v>
      </c>
      <c r="FA109" s="578">
        <v>0</v>
      </c>
      <c r="FB109" s="578">
        <v>9.1069459013684028E-5</v>
      </c>
      <c r="FC109" s="578">
        <v>0</v>
      </c>
      <c r="FD109" s="578">
        <v>0</v>
      </c>
      <c r="FE109" s="578">
        <v>0</v>
      </c>
      <c r="FF109" s="578">
        <v>0</v>
      </c>
      <c r="FG109" s="578">
        <v>0</v>
      </c>
      <c r="FH109" s="578">
        <v>0</v>
      </c>
      <c r="FI109" s="578">
        <v>3.993164641701558E-4</v>
      </c>
      <c r="FJ109" s="578">
        <v>5.8090860940730235E-5</v>
      </c>
      <c r="FK109" s="578">
        <v>0</v>
      </c>
      <c r="FL109" s="578">
        <v>0</v>
      </c>
      <c r="FM109" s="578">
        <v>0</v>
      </c>
      <c r="FN109" s="578">
        <v>0</v>
      </c>
      <c r="FO109" s="578">
        <v>1.355727939403452E-2</v>
      </c>
      <c r="FP109" s="578">
        <v>5.7983802350865029E-3</v>
      </c>
      <c r="FQ109" s="578">
        <v>2.8636310507772714E-3</v>
      </c>
      <c r="FR109" s="578">
        <v>2.2248629012865916E-3</v>
      </c>
      <c r="FS109" s="578">
        <v>0</v>
      </c>
      <c r="FT109" s="578">
        <v>0</v>
      </c>
      <c r="FU109" s="578">
        <v>0</v>
      </c>
      <c r="FV109" s="578">
        <v>0</v>
      </c>
      <c r="FW109" s="578">
        <v>0</v>
      </c>
      <c r="FX109" s="578">
        <v>6.0346663975872549E-3</v>
      </c>
      <c r="FY109" s="578">
        <v>2.6776557659300436E-6</v>
      </c>
      <c r="FZ109" s="578">
        <v>0</v>
      </c>
      <c r="GA109" s="578">
        <v>0</v>
      </c>
      <c r="GB109" s="578">
        <v>0</v>
      </c>
      <c r="GC109" s="578">
        <v>1.2394276818736181E-5</v>
      </c>
      <c r="GD109" s="578">
        <v>0</v>
      </c>
      <c r="GE109" s="578">
        <v>0</v>
      </c>
      <c r="GF109" s="578">
        <v>0</v>
      </c>
      <c r="GG109" s="579">
        <v>8.6114552658654944E-4</v>
      </c>
      <c r="GH109" s="572"/>
    </row>
    <row r="110" spans="1:190">
      <c r="A110" s="572" t="s">
        <v>5363</v>
      </c>
      <c r="B110" s="577" t="s">
        <v>9443</v>
      </c>
      <c r="C110" s="573" t="s">
        <v>9536</v>
      </c>
      <c r="D110" s="578">
        <v>0</v>
      </c>
      <c r="E110" s="578">
        <v>0</v>
      </c>
      <c r="F110" s="578">
        <v>0</v>
      </c>
      <c r="G110" s="578">
        <v>0</v>
      </c>
      <c r="H110" s="578">
        <v>0</v>
      </c>
      <c r="I110" s="578">
        <v>0</v>
      </c>
      <c r="J110" s="578">
        <v>0</v>
      </c>
      <c r="K110" s="578">
        <v>0</v>
      </c>
      <c r="L110" s="578">
        <v>0</v>
      </c>
      <c r="M110" s="578">
        <v>0</v>
      </c>
      <c r="N110" s="578">
        <v>0</v>
      </c>
      <c r="O110" s="578">
        <v>0</v>
      </c>
      <c r="P110" s="578">
        <v>0</v>
      </c>
      <c r="Q110" s="578">
        <v>0</v>
      </c>
      <c r="R110" s="578">
        <v>0</v>
      </c>
      <c r="S110" s="578">
        <v>0</v>
      </c>
      <c r="T110" s="578">
        <v>0</v>
      </c>
      <c r="U110" s="578">
        <v>0</v>
      </c>
      <c r="V110" s="578">
        <v>0</v>
      </c>
      <c r="W110" s="578">
        <v>0</v>
      </c>
      <c r="X110" s="578">
        <v>0</v>
      </c>
      <c r="Y110" s="578">
        <v>0</v>
      </c>
      <c r="Z110" s="578">
        <v>0</v>
      </c>
      <c r="AA110" s="578">
        <v>0</v>
      </c>
      <c r="AB110" s="578">
        <v>0</v>
      </c>
      <c r="AC110" s="578">
        <v>0</v>
      </c>
      <c r="AD110" s="578">
        <v>0</v>
      </c>
      <c r="AE110" s="578">
        <v>0</v>
      </c>
      <c r="AF110" s="578">
        <v>0</v>
      </c>
      <c r="AG110" s="578">
        <v>0</v>
      </c>
      <c r="AH110" s="578">
        <v>0</v>
      </c>
      <c r="AI110" s="578">
        <v>0</v>
      </c>
      <c r="AJ110" s="578">
        <v>0</v>
      </c>
      <c r="AK110" s="578">
        <v>0</v>
      </c>
      <c r="AL110" s="578">
        <v>0</v>
      </c>
      <c r="AM110" s="578">
        <v>0</v>
      </c>
      <c r="AN110" s="578">
        <v>0</v>
      </c>
      <c r="AO110" s="578">
        <v>0</v>
      </c>
      <c r="AP110" s="578">
        <v>0</v>
      </c>
      <c r="AQ110" s="578">
        <v>0</v>
      </c>
      <c r="AR110" s="578">
        <v>0</v>
      </c>
      <c r="AS110" s="578">
        <v>0</v>
      </c>
      <c r="AT110" s="578">
        <v>0</v>
      </c>
      <c r="AU110" s="578">
        <v>0</v>
      </c>
      <c r="AV110" s="578">
        <v>0</v>
      </c>
      <c r="AW110" s="578">
        <v>0</v>
      </c>
      <c r="AX110" s="578">
        <v>0</v>
      </c>
      <c r="AY110" s="578">
        <v>0</v>
      </c>
      <c r="AZ110" s="578">
        <v>0</v>
      </c>
      <c r="BA110" s="578">
        <v>0</v>
      </c>
      <c r="BB110" s="578">
        <v>0</v>
      </c>
      <c r="BC110" s="578">
        <v>0</v>
      </c>
      <c r="BD110" s="578">
        <v>0</v>
      </c>
      <c r="BE110" s="578">
        <v>0</v>
      </c>
      <c r="BF110" s="578">
        <v>0</v>
      </c>
      <c r="BG110" s="578">
        <v>0</v>
      </c>
      <c r="BH110" s="578">
        <v>0</v>
      </c>
      <c r="BI110" s="578">
        <v>0</v>
      </c>
      <c r="BJ110" s="578">
        <v>0</v>
      </c>
      <c r="BK110" s="578">
        <v>0</v>
      </c>
      <c r="BL110" s="578">
        <v>0</v>
      </c>
      <c r="BM110" s="578">
        <v>0</v>
      </c>
      <c r="BN110" s="578">
        <v>0</v>
      </c>
      <c r="BO110" s="578">
        <v>0</v>
      </c>
      <c r="BP110" s="578">
        <v>0</v>
      </c>
      <c r="BQ110" s="578">
        <v>0</v>
      </c>
      <c r="BR110" s="578">
        <v>0</v>
      </c>
      <c r="BS110" s="578">
        <v>0</v>
      </c>
      <c r="BT110" s="578">
        <v>0</v>
      </c>
      <c r="BU110" s="578">
        <v>0</v>
      </c>
      <c r="BV110" s="578">
        <v>0</v>
      </c>
      <c r="BW110" s="578">
        <v>0</v>
      </c>
      <c r="BX110" s="578">
        <v>0</v>
      </c>
      <c r="BY110" s="578">
        <v>0</v>
      </c>
      <c r="BZ110" s="578">
        <v>0</v>
      </c>
      <c r="CA110" s="578">
        <v>0</v>
      </c>
      <c r="CB110" s="578">
        <v>0</v>
      </c>
      <c r="CC110" s="578">
        <v>0</v>
      </c>
      <c r="CD110" s="578">
        <v>0</v>
      </c>
      <c r="CE110" s="578">
        <v>0</v>
      </c>
      <c r="CF110" s="578">
        <v>0</v>
      </c>
      <c r="CG110" s="578">
        <v>0</v>
      </c>
      <c r="CH110" s="578">
        <v>0</v>
      </c>
      <c r="CI110" s="578">
        <v>0</v>
      </c>
      <c r="CJ110" s="578">
        <v>0</v>
      </c>
      <c r="CK110" s="578">
        <v>0</v>
      </c>
      <c r="CL110" s="578">
        <v>0</v>
      </c>
      <c r="CM110" s="578">
        <v>0</v>
      </c>
      <c r="CN110" s="578">
        <v>0</v>
      </c>
      <c r="CO110" s="578">
        <v>0</v>
      </c>
      <c r="CP110" s="578">
        <v>0</v>
      </c>
      <c r="CQ110" s="578">
        <v>0</v>
      </c>
      <c r="CR110" s="578">
        <v>0</v>
      </c>
      <c r="CS110" s="578">
        <v>0</v>
      </c>
      <c r="CT110" s="578">
        <v>1.1664868332798694E-4</v>
      </c>
      <c r="CU110" s="578">
        <v>1.4510746013575608E-4</v>
      </c>
      <c r="CV110" s="578">
        <v>0</v>
      </c>
      <c r="CW110" s="578">
        <v>2.7307482250136535E-4</v>
      </c>
      <c r="CX110" s="578">
        <v>3.2124041632757954E-4</v>
      </c>
      <c r="CY110" s="578">
        <v>9.1583478340507375E-5</v>
      </c>
      <c r="CZ110" s="578">
        <v>0</v>
      </c>
      <c r="DA110" s="578">
        <v>3.8551326808164313E-4</v>
      </c>
      <c r="DB110" s="578">
        <v>7.5810905940325985E-4</v>
      </c>
      <c r="DC110" s="578">
        <v>2.8281363306744016E-2</v>
      </c>
      <c r="DD110" s="578">
        <v>1.9323671497584541E-3</v>
      </c>
      <c r="DE110" s="578">
        <v>1.2721027859051011E-4</v>
      </c>
      <c r="DF110" s="578">
        <v>0</v>
      </c>
      <c r="DG110" s="578">
        <v>0</v>
      </c>
      <c r="DH110" s="578">
        <v>0</v>
      </c>
      <c r="DI110" s="578">
        <v>2.9805272221486288E-4</v>
      </c>
      <c r="DJ110" s="578">
        <v>0</v>
      </c>
      <c r="DK110" s="578">
        <v>0</v>
      </c>
      <c r="DL110" s="578">
        <v>0</v>
      </c>
      <c r="DM110" s="578">
        <v>1.0604004071937563E-3</v>
      </c>
      <c r="DN110" s="578">
        <v>2.9710324337707354E-4</v>
      </c>
      <c r="DO110" s="578">
        <v>0</v>
      </c>
      <c r="DP110" s="578">
        <v>0</v>
      </c>
      <c r="DQ110" s="578">
        <v>0</v>
      </c>
      <c r="DR110" s="578">
        <v>0</v>
      </c>
      <c r="DS110" s="578">
        <v>0</v>
      </c>
      <c r="DT110" s="578">
        <v>1.4578428299645016E-5</v>
      </c>
      <c r="DU110" s="578">
        <v>0</v>
      </c>
      <c r="DV110" s="578">
        <v>0</v>
      </c>
      <c r="DW110" s="578">
        <v>0</v>
      </c>
      <c r="DX110" s="578">
        <v>2.7580796410819029E-4</v>
      </c>
      <c r="DY110" s="578">
        <v>0</v>
      </c>
      <c r="DZ110" s="578">
        <v>0</v>
      </c>
      <c r="EA110" s="578">
        <v>0</v>
      </c>
      <c r="EB110" s="578">
        <v>0</v>
      </c>
      <c r="EC110" s="578">
        <v>0</v>
      </c>
      <c r="ED110" s="578">
        <v>0</v>
      </c>
      <c r="EE110" s="578">
        <v>0</v>
      </c>
      <c r="EF110" s="578">
        <v>0</v>
      </c>
      <c r="EG110" s="578">
        <v>0</v>
      </c>
      <c r="EH110" s="578">
        <v>0</v>
      </c>
      <c r="EI110" s="578">
        <v>0</v>
      </c>
      <c r="EJ110" s="578">
        <v>0</v>
      </c>
      <c r="EK110" s="578">
        <v>0</v>
      </c>
      <c r="EL110" s="578">
        <v>0</v>
      </c>
      <c r="EM110" s="578">
        <v>0</v>
      </c>
      <c r="EN110" s="578">
        <v>0</v>
      </c>
      <c r="EO110" s="578">
        <v>0</v>
      </c>
      <c r="EP110" s="578">
        <v>0</v>
      </c>
      <c r="EQ110" s="578">
        <v>0</v>
      </c>
      <c r="ER110" s="578">
        <v>0</v>
      </c>
      <c r="ES110" s="578">
        <v>0</v>
      </c>
      <c r="ET110" s="578">
        <v>0</v>
      </c>
      <c r="EU110" s="578">
        <v>0</v>
      </c>
      <c r="EV110" s="578">
        <v>0</v>
      </c>
      <c r="EW110" s="578">
        <v>0</v>
      </c>
      <c r="EX110" s="578">
        <v>0</v>
      </c>
      <c r="EY110" s="578">
        <v>0</v>
      </c>
      <c r="EZ110" s="578">
        <v>0</v>
      </c>
      <c r="FA110" s="578">
        <v>0</v>
      </c>
      <c r="FB110" s="578">
        <v>0</v>
      </c>
      <c r="FC110" s="578">
        <v>0</v>
      </c>
      <c r="FD110" s="578">
        <v>0</v>
      </c>
      <c r="FE110" s="578">
        <v>0</v>
      </c>
      <c r="FF110" s="578">
        <v>0</v>
      </c>
      <c r="FG110" s="578">
        <v>0</v>
      </c>
      <c r="FH110" s="578">
        <v>2.2760526743618924E-4</v>
      </c>
      <c r="FI110" s="578">
        <v>1.3799907217645091E-4</v>
      </c>
      <c r="FJ110" s="578">
        <v>9.3400992100781946E-5</v>
      </c>
      <c r="FK110" s="578">
        <v>0</v>
      </c>
      <c r="FL110" s="578">
        <v>0</v>
      </c>
      <c r="FM110" s="578">
        <v>0</v>
      </c>
      <c r="FN110" s="578">
        <v>0</v>
      </c>
      <c r="FO110" s="578">
        <v>0</v>
      </c>
      <c r="FP110" s="578">
        <v>0</v>
      </c>
      <c r="FQ110" s="578">
        <v>0</v>
      </c>
      <c r="FR110" s="578">
        <v>0</v>
      </c>
      <c r="FS110" s="578">
        <v>0</v>
      </c>
      <c r="FT110" s="578">
        <v>5.1879866980021065E-6</v>
      </c>
      <c r="FU110" s="578">
        <v>0</v>
      </c>
      <c r="FV110" s="578">
        <v>0</v>
      </c>
      <c r="FW110" s="578">
        <v>0</v>
      </c>
      <c r="FX110" s="578">
        <v>3.024340475149395E-3</v>
      </c>
      <c r="FY110" s="578">
        <v>3.5702076879067248E-6</v>
      </c>
      <c r="FZ110" s="578">
        <v>0</v>
      </c>
      <c r="GA110" s="578">
        <v>0</v>
      </c>
      <c r="GB110" s="578">
        <v>0</v>
      </c>
      <c r="GC110" s="578">
        <v>0</v>
      </c>
      <c r="GD110" s="578">
        <v>7.7248346717449052E-5</v>
      </c>
      <c r="GE110" s="578">
        <v>0</v>
      </c>
      <c r="GF110" s="578">
        <v>0</v>
      </c>
      <c r="GG110" s="579">
        <v>4.1171940285696306E-5</v>
      </c>
      <c r="GH110" s="572"/>
    </row>
    <row r="111" spans="1:190">
      <c r="A111" s="572" t="s">
        <v>5365</v>
      </c>
      <c r="B111" s="577" t="s">
        <v>9444</v>
      </c>
      <c r="C111" s="573" t="s">
        <v>509</v>
      </c>
      <c r="D111" s="578">
        <v>0</v>
      </c>
      <c r="E111" s="578">
        <v>0</v>
      </c>
      <c r="F111" s="578">
        <v>0</v>
      </c>
      <c r="G111" s="578">
        <v>0</v>
      </c>
      <c r="H111" s="578">
        <v>0</v>
      </c>
      <c r="I111" s="578">
        <v>0</v>
      </c>
      <c r="J111" s="578">
        <v>0</v>
      </c>
      <c r="K111" s="578">
        <v>0</v>
      </c>
      <c r="L111" s="578">
        <v>0</v>
      </c>
      <c r="M111" s="578">
        <v>0</v>
      </c>
      <c r="N111" s="578">
        <v>0</v>
      </c>
      <c r="O111" s="578">
        <v>0</v>
      </c>
      <c r="P111" s="578">
        <v>0</v>
      </c>
      <c r="Q111" s="578">
        <v>0</v>
      </c>
      <c r="R111" s="578">
        <v>0</v>
      </c>
      <c r="S111" s="578">
        <v>0</v>
      </c>
      <c r="T111" s="578">
        <v>0</v>
      </c>
      <c r="U111" s="578">
        <v>0</v>
      </c>
      <c r="V111" s="578">
        <v>0</v>
      </c>
      <c r="W111" s="578">
        <v>0</v>
      </c>
      <c r="X111" s="578">
        <v>0</v>
      </c>
      <c r="Y111" s="578">
        <v>0</v>
      </c>
      <c r="Z111" s="578">
        <v>0</v>
      </c>
      <c r="AA111" s="578">
        <v>0</v>
      </c>
      <c r="AB111" s="578">
        <v>0</v>
      </c>
      <c r="AC111" s="578">
        <v>0</v>
      </c>
      <c r="AD111" s="578">
        <v>0</v>
      </c>
      <c r="AE111" s="578">
        <v>0</v>
      </c>
      <c r="AF111" s="578">
        <v>0</v>
      </c>
      <c r="AG111" s="578">
        <v>0</v>
      </c>
      <c r="AH111" s="578">
        <v>0</v>
      </c>
      <c r="AI111" s="578">
        <v>0</v>
      </c>
      <c r="AJ111" s="578">
        <v>0</v>
      </c>
      <c r="AK111" s="578">
        <v>0</v>
      </c>
      <c r="AL111" s="578">
        <v>0</v>
      </c>
      <c r="AM111" s="578">
        <v>0</v>
      </c>
      <c r="AN111" s="578">
        <v>0</v>
      </c>
      <c r="AO111" s="578">
        <v>0</v>
      </c>
      <c r="AP111" s="578">
        <v>0</v>
      </c>
      <c r="AQ111" s="578">
        <v>0</v>
      </c>
      <c r="AR111" s="578">
        <v>0</v>
      </c>
      <c r="AS111" s="578">
        <v>0</v>
      </c>
      <c r="AT111" s="578">
        <v>0</v>
      </c>
      <c r="AU111" s="578">
        <v>0</v>
      </c>
      <c r="AV111" s="578">
        <v>0</v>
      </c>
      <c r="AW111" s="578">
        <v>0</v>
      </c>
      <c r="AX111" s="578">
        <v>0</v>
      </c>
      <c r="AY111" s="578">
        <v>0</v>
      </c>
      <c r="AZ111" s="578">
        <v>0</v>
      </c>
      <c r="BA111" s="578">
        <v>0</v>
      </c>
      <c r="BB111" s="578">
        <v>0</v>
      </c>
      <c r="BC111" s="578">
        <v>0</v>
      </c>
      <c r="BD111" s="578">
        <v>0</v>
      </c>
      <c r="BE111" s="578">
        <v>0</v>
      </c>
      <c r="BF111" s="578">
        <v>0</v>
      </c>
      <c r="BG111" s="578">
        <v>0</v>
      </c>
      <c r="BH111" s="578">
        <v>0</v>
      </c>
      <c r="BI111" s="578">
        <v>0</v>
      </c>
      <c r="BJ111" s="578">
        <v>0</v>
      </c>
      <c r="BK111" s="578">
        <v>0</v>
      </c>
      <c r="BL111" s="578">
        <v>0</v>
      </c>
      <c r="BM111" s="578">
        <v>0</v>
      </c>
      <c r="BN111" s="578">
        <v>0</v>
      </c>
      <c r="BO111" s="578">
        <v>0</v>
      </c>
      <c r="BP111" s="578">
        <v>0</v>
      </c>
      <c r="BQ111" s="578">
        <v>0</v>
      </c>
      <c r="BR111" s="578">
        <v>0</v>
      </c>
      <c r="BS111" s="578">
        <v>0</v>
      </c>
      <c r="BT111" s="578">
        <v>0</v>
      </c>
      <c r="BU111" s="578">
        <v>0</v>
      </c>
      <c r="BV111" s="578">
        <v>0</v>
      </c>
      <c r="BW111" s="578">
        <v>0</v>
      </c>
      <c r="BX111" s="578">
        <v>0</v>
      </c>
      <c r="BY111" s="578">
        <v>0</v>
      </c>
      <c r="BZ111" s="578">
        <v>0</v>
      </c>
      <c r="CA111" s="578">
        <v>0</v>
      </c>
      <c r="CB111" s="578">
        <v>0</v>
      </c>
      <c r="CC111" s="578">
        <v>0</v>
      </c>
      <c r="CD111" s="578">
        <v>0</v>
      </c>
      <c r="CE111" s="578">
        <v>0</v>
      </c>
      <c r="CF111" s="578">
        <v>0</v>
      </c>
      <c r="CG111" s="578">
        <v>0</v>
      </c>
      <c r="CH111" s="578">
        <v>0</v>
      </c>
      <c r="CI111" s="578">
        <v>0</v>
      </c>
      <c r="CJ111" s="578">
        <v>0</v>
      </c>
      <c r="CK111" s="578">
        <v>0</v>
      </c>
      <c r="CL111" s="578">
        <v>0</v>
      </c>
      <c r="CM111" s="578">
        <v>0</v>
      </c>
      <c r="CN111" s="578">
        <v>0</v>
      </c>
      <c r="CO111" s="578">
        <v>0</v>
      </c>
      <c r="CP111" s="578">
        <v>0</v>
      </c>
      <c r="CQ111" s="578">
        <v>0</v>
      </c>
      <c r="CR111" s="578">
        <v>0</v>
      </c>
      <c r="CS111" s="578">
        <v>0</v>
      </c>
      <c r="CT111" s="578">
        <v>0</v>
      </c>
      <c r="CU111" s="578">
        <v>0</v>
      </c>
      <c r="CV111" s="578">
        <v>0</v>
      </c>
      <c r="CW111" s="578">
        <v>0</v>
      </c>
      <c r="CX111" s="578">
        <v>0</v>
      </c>
      <c r="CY111" s="578">
        <v>0</v>
      </c>
      <c r="CZ111" s="578">
        <v>0</v>
      </c>
      <c r="DA111" s="578">
        <v>0</v>
      </c>
      <c r="DB111" s="578">
        <v>0</v>
      </c>
      <c r="DC111" s="578">
        <v>0</v>
      </c>
      <c r="DD111" s="578">
        <v>8.9371980676328497E-2</v>
      </c>
      <c r="DE111" s="578">
        <v>0</v>
      </c>
      <c r="DF111" s="578">
        <v>0</v>
      </c>
      <c r="DG111" s="578">
        <v>0</v>
      </c>
      <c r="DH111" s="578">
        <v>0</v>
      </c>
      <c r="DI111" s="578">
        <v>0</v>
      </c>
      <c r="DJ111" s="578">
        <v>0</v>
      </c>
      <c r="DK111" s="578">
        <v>0</v>
      </c>
      <c r="DL111" s="578">
        <v>0</v>
      </c>
      <c r="DM111" s="578">
        <v>0</v>
      </c>
      <c r="DN111" s="578">
        <v>0</v>
      </c>
      <c r="DO111" s="578">
        <v>0</v>
      </c>
      <c r="DP111" s="578">
        <v>0</v>
      </c>
      <c r="DQ111" s="578">
        <v>0</v>
      </c>
      <c r="DR111" s="578">
        <v>0</v>
      </c>
      <c r="DS111" s="578">
        <v>0</v>
      </c>
      <c r="DT111" s="578">
        <v>0</v>
      </c>
      <c r="DU111" s="578">
        <v>0</v>
      </c>
      <c r="DV111" s="578">
        <v>0</v>
      </c>
      <c r="DW111" s="578">
        <v>0</v>
      </c>
      <c r="DX111" s="578">
        <v>0</v>
      </c>
      <c r="DY111" s="578">
        <v>0</v>
      </c>
      <c r="DZ111" s="578">
        <v>0</v>
      </c>
      <c r="EA111" s="578">
        <v>0</v>
      </c>
      <c r="EB111" s="578">
        <v>0</v>
      </c>
      <c r="EC111" s="578">
        <v>0</v>
      </c>
      <c r="ED111" s="578">
        <v>0</v>
      </c>
      <c r="EE111" s="578">
        <v>0</v>
      </c>
      <c r="EF111" s="578">
        <v>0</v>
      </c>
      <c r="EG111" s="578">
        <v>0</v>
      </c>
      <c r="EH111" s="578">
        <v>0</v>
      </c>
      <c r="EI111" s="578">
        <v>0</v>
      </c>
      <c r="EJ111" s="578">
        <v>0</v>
      </c>
      <c r="EK111" s="578">
        <v>0</v>
      </c>
      <c r="EL111" s="578">
        <v>0</v>
      </c>
      <c r="EM111" s="578">
        <v>0</v>
      </c>
      <c r="EN111" s="578">
        <v>0</v>
      </c>
      <c r="EO111" s="578">
        <v>0</v>
      </c>
      <c r="EP111" s="578">
        <v>0</v>
      </c>
      <c r="EQ111" s="578">
        <v>0</v>
      </c>
      <c r="ER111" s="578">
        <v>0</v>
      </c>
      <c r="ES111" s="578">
        <v>0</v>
      </c>
      <c r="ET111" s="578">
        <v>0</v>
      </c>
      <c r="EU111" s="578">
        <v>0</v>
      </c>
      <c r="EV111" s="578">
        <v>0</v>
      </c>
      <c r="EW111" s="578">
        <v>0</v>
      </c>
      <c r="EX111" s="578">
        <v>0</v>
      </c>
      <c r="EY111" s="578">
        <v>0</v>
      </c>
      <c r="EZ111" s="578">
        <v>0</v>
      </c>
      <c r="FA111" s="578">
        <v>0</v>
      </c>
      <c r="FB111" s="578">
        <v>0</v>
      </c>
      <c r="FC111" s="578">
        <v>0</v>
      </c>
      <c r="FD111" s="578">
        <v>0</v>
      </c>
      <c r="FE111" s="578">
        <v>0</v>
      </c>
      <c r="FF111" s="578">
        <v>0</v>
      </c>
      <c r="FG111" s="578">
        <v>0</v>
      </c>
      <c r="FH111" s="578">
        <v>0</v>
      </c>
      <c r="FI111" s="578">
        <v>7.4578221984720272E-3</v>
      </c>
      <c r="FJ111" s="578">
        <v>6.1507970407832018E-5</v>
      </c>
      <c r="FK111" s="578">
        <v>0</v>
      </c>
      <c r="FL111" s="578">
        <v>0</v>
      </c>
      <c r="FM111" s="578">
        <v>0</v>
      </c>
      <c r="FN111" s="578">
        <v>0</v>
      </c>
      <c r="FO111" s="578">
        <v>0</v>
      </c>
      <c r="FP111" s="578">
        <v>0</v>
      </c>
      <c r="FQ111" s="578">
        <v>0</v>
      </c>
      <c r="FR111" s="578">
        <v>0</v>
      </c>
      <c r="FS111" s="578">
        <v>0</v>
      </c>
      <c r="FT111" s="578">
        <v>0</v>
      </c>
      <c r="FU111" s="578">
        <v>0</v>
      </c>
      <c r="FV111" s="578">
        <v>0</v>
      </c>
      <c r="FW111" s="578">
        <v>0</v>
      </c>
      <c r="FX111" s="578">
        <v>5.9982285605372624E-4</v>
      </c>
      <c r="FY111" s="578">
        <v>0</v>
      </c>
      <c r="FZ111" s="578">
        <v>0</v>
      </c>
      <c r="GA111" s="578">
        <v>0</v>
      </c>
      <c r="GB111" s="578">
        <v>0</v>
      </c>
      <c r="GC111" s="578">
        <v>0</v>
      </c>
      <c r="GD111" s="578">
        <v>0</v>
      </c>
      <c r="GE111" s="578">
        <v>0</v>
      </c>
      <c r="GF111" s="578">
        <v>0</v>
      </c>
      <c r="GG111" s="579">
        <v>7.6825197802424583E-5</v>
      </c>
      <c r="GH111" s="572"/>
    </row>
    <row r="112" spans="1:190">
      <c r="A112" s="572" t="s">
        <v>5367</v>
      </c>
      <c r="B112" s="577" t="s">
        <v>516</v>
      </c>
      <c r="C112" s="573" t="s">
        <v>9084</v>
      </c>
      <c r="D112" s="578">
        <v>0</v>
      </c>
      <c r="E112" s="578">
        <v>0</v>
      </c>
      <c r="F112" s="578">
        <v>0</v>
      </c>
      <c r="G112" s="578">
        <v>0</v>
      </c>
      <c r="H112" s="578">
        <v>0</v>
      </c>
      <c r="I112" s="578">
        <v>0</v>
      </c>
      <c r="J112" s="578">
        <v>0</v>
      </c>
      <c r="K112" s="578">
        <v>0</v>
      </c>
      <c r="L112" s="578">
        <v>0</v>
      </c>
      <c r="M112" s="578">
        <v>0</v>
      </c>
      <c r="N112" s="578">
        <v>0</v>
      </c>
      <c r="O112" s="578">
        <v>0</v>
      </c>
      <c r="P112" s="578">
        <v>0</v>
      </c>
      <c r="Q112" s="578">
        <v>0</v>
      </c>
      <c r="R112" s="578">
        <v>0</v>
      </c>
      <c r="S112" s="578">
        <v>0</v>
      </c>
      <c r="T112" s="578">
        <v>0</v>
      </c>
      <c r="U112" s="578">
        <v>0</v>
      </c>
      <c r="V112" s="578">
        <v>0</v>
      </c>
      <c r="W112" s="578">
        <v>0</v>
      </c>
      <c r="X112" s="578">
        <v>0</v>
      </c>
      <c r="Y112" s="578">
        <v>0</v>
      </c>
      <c r="Z112" s="578">
        <v>0</v>
      </c>
      <c r="AA112" s="578">
        <v>0</v>
      </c>
      <c r="AB112" s="578">
        <v>0</v>
      </c>
      <c r="AC112" s="578">
        <v>0</v>
      </c>
      <c r="AD112" s="578">
        <v>0</v>
      </c>
      <c r="AE112" s="578">
        <v>0</v>
      </c>
      <c r="AF112" s="578">
        <v>0</v>
      </c>
      <c r="AG112" s="578">
        <v>0</v>
      </c>
      <c r="AH112" s="578">
        <v>0</v>
      </c>
      <c r="AI112" s="578">
        <v>0</v>
      </c>
      <c r="AJ112" s="578">
        <v>0</v>
      </c>
      <c r="AK112" s="578">
        <v>0</v>
      </c>
      <c r="AL112" s="578">
        <v>0</v>
      </c>
      <c r="AM112" s="578">
        <v>0</v>
      </c>
      <c r="AN112" s="578">
        <v>0</v>
      </c>
      <c r="AO112" s="578">
        <v>0</v>
      </c>
      <c r="AP112" s="578">
        <v>0</v>
      </c>
      <c r="AQ112" s="578">
        <v>0</v>
      </c>
      <c r="AR112" s="578">
        <v>0</v>
      </c>
      <c r="AS112" s="578">
        <v>0</v>
      </c>
      <c r="AT112" s="578">
        <v>0</v>
      </c>
      <c r="AU112" s="578">
        <v>0</v>
      </c>
      <c r="AV112" s="578">
        <v>0</v>
      </c>
      <c r="AW112" s="578">
        <v>0</v>
      </c>
      <c r="AX112" s="578">
        <v>0</v>
      </c>
      <c r="AY112" s="578">
        <v>0</v>
      </c>
      <c r="AZ112" s="578">
        <v>0</v>
      </c>
      <c r="BA112" s="578">
        <v>0</v>
      </c>
      <c r="BB112" s="578">
        <v>0</v>
      </c>
      <c r="BC112" s="578">
        <v>0</v>
      </c>
      <c r="BD112" s="578">
        <v>0</v>
      </c>
      <c r="BE112" s="578">
        <v>0</v>
      </c>
      <c r="BF112" s="578">
        <v>0</v>
      </c>
      <c r="BG112" s="578">
        <v>0</v>
      </c>
      <c r="BH112" s="578">
        <v>0</v>
      </c>
      <c r="BI112" s="578">
        <v>0</v>
      </c>
      <c r="BJ112" s="578">
        <v>0</v>
      </c>
      <c r="BK112" s="578">
        <v>0</v>
      </c>
      <c r="BL112" s="578">
        <v>0</v>
      </c>
      <c r="BM112" s="578">
        <v>0</v>
      </c>
      <c r="BN112" s="578">
        <v>0</v>
      </c>
      <c r="BO112" s="578">
        <v>0</v>
      </c>
      <c r="BP112" s="578">
        <v>0</v>
      </c>
      <c r="BQ112" s="578">
        <v>0</v>
      </c>
      <c r="BR112" s="578">
        <v>0</v>
      </c>
      <c r="BS112" s="578">
        <v>0</v>
      </c>
      <c r="BT112" s="578">
        <v>0</v>
      </c>
      <c r="BU112" s="578">
        <v>0</v>
      </c>
      <c r="BV112" s="578">
        <v>0</v>
      </c>
      <c r="BW112" s="578">
        <v>0</v>
      </c>
      <c r="BX112" s="578">
        <v>0</v>
      </c>
      <c r="BY112" s="578">
        <v>0</v>
      </c>
      <c r="BZ112" s="578">
        <v>0</v>
      </c>
      <c r="CA112" s="578">
        <v>0</v>
      </c>
      <c r="CB112" s="578">
        <v>0</v>
      </c>
      <c r="CC112" s="578">
        <v>0</v>
      </c>
      <c r="CD112" s="578">
        <v>0</v>
      </c>
      <c r="CE112" s="578">
        <v>0</v>
      </c>
      <c r="CF112" s="578">
        <v>0</v>
      </c>
      <c r="CG112" s="578">
        <v>0</v>
      </c>
      <c r="CH112" s="578">
        <v>0</v>
      </c>
      <c r="CI112" s="578">
        <v>0</v>
      </c>
      <c r="CJ112" s="578">
        <v>3.9748318507268387E-3</v>
      </c>
      <c r="CK112" s="578">
        <v>5.295167781173409E-5</v>
      </c>
      <c r="CL112" s="578">
        <v>6.5941312232113426E-5</v>
      </c>
      <c r="CM112" s="578">
        <v>1.8994705225918276E-5</v>
      </c>
      <c r="CN112" s="578">
        <v>4.3540138942493242E-3</v>
      </c>
      <c r="CO112" s="578">
        <v>1.0249402118209772E-3</v>
      </c>
      <c r="CP112" s="578">
        <v>1.7972585101531694E-3</v>
      </c>
      <c r="CQ112" s="578">
        <v>6.3706440721156905E-4</v>
      </c>
      <c r="CR112" s="578">
        <v>8.7097898037394034E-6</v>
      </c>
      <c r="CS112" s="578">
        <v>9.7186122725731721E-3</v>
      </c>
      <c r="CT112" s="578">
        <v>1.2831355166078562E-3</v>
      </c>
      <c r="CU112" s="578">
        <v>9.7544459313480484E-4</v>
      </c>
      <c r="CV112" s="578">
        <v>7.5582511941417354E-4</v>
      </c>
      <c r="CW112" s="578">
        <v>1.5214168682218929E-3</v>
      </c>
      <c r="CX112" s="578">
        <v>3.4436972630316531E-2</v>
      </c>
      <c r="CY112" s="578">
        <v>9.4065390603535123E-2</v>
      </c>
      <c r="CZ112" s="578">
        <v>0.15368065433854908</v>
      </c>
      <c r="DA112" s="578">
        <v>8.7682851084791499E-2</v>
      </c>
      <c r="DB112" s="578">
        <v>4.9818595332214222E-2</v>
      </c>
      <c r="DC112" s="578">
        <v>3.1907179115300943E-2</v>
      </c>
      <c r="DD112" s="578">
        <v>2.6086956521739129E-2</v>
      </c>
      <c r="DE112" s="578">
        <v>0.13940883566249296</v>
      </c>
      <c r="DF112" s="578">
        <v>5.0363447559709243E-2</v>
      </c>
      <c r="DG112" s="578">
        <v>4.1526055757374281E-2</v>
      </c>
      <c r="DH112" s="578">
        <v>0.17392190845142216</v>
      </c>
      <c r="DI112" s="578">
        <v>0.26874420453040138</v>
      </c>
      <c r="DJ112" s="578">
        <v>0.2106250543552535</v>
      </c>
      <c r="DK112" s="578">
        <v>3.543947216470935E-2</v>
      </c>
      <c r="DL112" s="578">
        <v>0.1939673240574733</v>
      </c>
      <c r="DM112" s="578">
        <v>0.19427949326999208</v>
      </c>
      <c r="DN112" s="578">
        <v>0.29637699100437404</v>
      </c>
      <c r="DO112" s="578">
        <v>0</v>
      </c>
      <c r="DP112" s="578">
        <v>0</v>
      </c>
      <c r="DQ112" s="578">
        <v>0</v>
      </c>
      <c r="DR112" s="578">
        <v>1.2788064917352755E-2</v>
      </c>
      <c r="DS112" s="578">
        <v>0</v>
      </c>
      <c r="DT112" s="578">
        <v>1.2391664054698262E-3</v>
      </c>
      <c r="DU112" s="578">
        <v>6.2109822907376738E-3</v>
      </c>
      <c r="DV112" s="578">
        <v>5.7013265086343422E-4</v>
      </c>
      <c r="DW112" s="578">
        <v>4.3156492860634875E-3</v>
      </c>
      <c r="DX112" s="578">
        <v>8.1516576058642898E-4</v>
      </c>
      <c r="DY112" s="578">
        <v>0</v>
      </c>
      <c r="DZ112" s="578">
        <v>0</v>
      </c>
      <c r="EA112" s="578">
        <v>0</v>
      </c>
      <c r="EB112" s="578">
        <v>0</v>
      </c>
      <c r="EC112" s="578">
        <v>0</v>
      </c>
      <c r="ED112" s="578">
        <v>0</v>
      </c>
      <c r="EE112" s="578">
        <v>0</v>
      </c>
      <c r="EF112" s="578">
        <v>0</v>
      </c>
      <c r="EG112" s="578">
        <v>0</v>
      </c>
      <c r="EH112" s="578">
        <v>0</v>
      </c>
      <c r="EI112" s="578">
        <v>0</v>
      </c>
      <c r="EJ112" s="578">
        <v>0</v>
      </c>
      <c r="EK112" s="578">
        <v>0</v>
      </c>
      <c r="EL112" s="578">
        <v>0</v>
      </c>
      <c r="EM112" s="578">
        <v>0</v>
      </c>
      <c r="EN112" s="578">
        <v>0</v>
      </c>
      <c r="EO112" s="578">
        <v>0</v>
      </c>
      <c r="EP112" s="578">
        <v>0</v>
      </c>
      <c r="EQ112" s="578">
        <v>0</v>
      </c>
      <c r="ER112" s="578">
        <v>0</v>
      </c>
      <c r="ES112" s="578">
        <v>0</v>
      </c>
      <c r="ET112" s="578">
        <v>0</v>
      </c>
      <c r="EU112" s="578">
        <v>0</v>
      </c>
      <c r="EV112" s="578">
        <v>0</v>
      </c>
      <c r="EW112" s="578">
        <v>0</v>
      </c>
      <c r="EX112" s="578">
        <v>0</v>
      </c>
      <c r="EY112" s="578">
        <v>0</v>
      </c>
      <c r="EZ112" s="578">
        <v>0</v>
      </c>
      <c r="FA112" s="578">
        <v>0</v>
      </c>
      <c r="FB112" s="578">
        <v>3.3729429264327419E-6</v>
      </c>
      <c r="FC112" s="578">
        <v>0</v>
      </c>
      <c r="FD112" s="578">
        <v>0</v>
      </c>
      <c r="FE112" s="578">
        <v>0</v>
      </c>
      <c r="FF112" s="578">
        <v>0</v>
      </c>
      <c r="FG112" s="578">
        <v>0</v>
      </c>
      <c r="FH112" s="578">
        <v>0</v>
      </c>
      <c r="FI112" s="578">
        <v>0</v>
      </c>
      <c r="FJ112" s="578">
        <v>0</v>
      </c>
      <c r="FK112" s="578">
        <v>0</v>
      </c>
      <c r="FL112" s="578">
        <v>0</v>
      </c>
      <c r="FM112" s="578">
        <v>0</v>
      </c>
      <c r="FN112" s="578">
        <v>6.536741154388488E-5</v>
      </c>
      <c r="FO112" s="578">
        <v>0</v>
      </c>
      <c r="FP112" s="578">
        <v>0</v>
      </c>
      <c r="FQ112" s="578">
        <v>0</v>
      </c>
      <c r="FR112" s="578">
        <v>0</v>
      </c>
      <c r="FS112" s="578">
        <v>0</v>
      </c>
      <c r="FT112" s="578">
        <v>0</v>
      </c>
      <c r="FU112" s="578">
        <v>0</v>
      </c>
      <c r="FV112" s="578">
        <v>0</v>
      </c>
      <c r="FW112" s="578">
        <v>0</v>
      </c>
      <c r="FX112" s="578">
        <v>3.5849225836108216E-2</v>
      </c>
      <c r="FY112" s="578">
        <v>0</v>
      </c>
      <c r="FZ112" s="578">
        <v>0</v>
      </c>
      <c r="GA112" s="578">
        <v>0</v>
      </c>
      <c r="GB112" s="578">
        <v>0</v>
      </c>
      <c r="GC112" s="578">
        <v>0</v>
      </c>
      <c r="GD112" s="578">
        <v>0</v>
      </c>
      <c r="GE112" s="578">
        <v>0</v>
      </c>
      <c r="GF112" s="578">
        <v>0</v>
      </c>
      <c r="GG112" s="579">
        <v>7.7970260306255579E-3</v>
      </c>
      <c r="GH112" s="572"/>
    </row>
    <row r="113" spans="1:190">
      <c r="A113" s="572" t="s">
        <v>5369</v>
      </c>
      <c r="B113" s="577" t="s">
        <v>9445</v>
      </c>
      <c r="C113" s="573" t="s">
        <v>6900</v>
      </c>
      <c r="D113" s="578">
        <v>0</v>
      </c>
      <c r="E113" s="578">
        <v>0</v>
      </c>
      <c r="F113" s="578">
        <v>0</v>
      </c>
      <c r="G113" s="578">
        <v>0</v>
      </c>
      <c r="H113" s="578">
        <v>0</v>
      </c>
      <c r="I113" s="578">
        <v>0</v>
      </c>
      <c r="J113" s="578">
        <v>0</v>
      </c>
      <c r="K113" s="578">
        <v>0</v>
      </c>
      <c r="L113" s="578">
        <v>0</v>
      </c>
      <c r="M113" s="578">
        <v>0</v>
      </c>
      <c r="N113" s="578">
        <v>0</v>
      </c>
      <c r="O113" s="578">
        <v>0</v>
      </c>
      <c r="P113" s="578">
        <v>0</v>
      </c>
      <c r="Q113" s="578">
        <v>0</v>
      </c>
      <c r="R113" s="578">
        <v>0</v>
      </c>
      <c r="S113" s="578">
        <v>0</v>
      </c>
      <c r="T113" s="578">
        <v>0</v>
      </c>
      <c r="U113" s="578">
        <v>0</v>
      </c>
      <c r="V113" s="578">
        <v>0</v>
      </c>
      <c r="W113" s="578">
        <v>0</v>
      </c>
      <c r="X113" s="578">
        <v>0</v>
      </c>
      <c r="Y113" s="578">
        <v>0</v>
      </c>
      <c r="Z113" s="578">
        <v>0</v>
      </c>
      <c r="AA113" s="578">
        <v>4.7604086334770977E-6</v>
      </c>
      <c r="AB113" s="578">
        <v>0</v>
      </c>
      <c r="AC113" s="578">
        <v>0</v>
      </c>
      <c r="AD113" s="578">
        <v>0</v>
      </c>
      <c r="AE113" s="578">
        <v>0</v>
      </c>
      <c r="AF113" s="578">
        <v>0</v>
      </c>
      <c r="AG113" s="578">
        <v>0</v>
      </c>
      <c r="AH113" s="578">
        <v>0</v>
      </c>
      <c r="AI113" s="578">
        <v>0</v>
      </c>
      <c r="AJ113" s="578">
        <v>0</v>
      </c>
      <c r="AK113" s="578">
        <v>0</v>
      </c>
      <c r="AL113" s="578">
        <v>0</v>
      </c>
      <c r="AM113" s="578">
        <v>0</v>
      </c>
      <c r="AN113" s="578">
        <v>0</v>
      </c>
      <c r="AO113" s="578">
        <v>0</v>
      </c>
      <c r="AP113" s="578">
        <v>0</v>
      </c>
      <c r="AQ113" s="578">
        <v>0</v>
      </c>
      <c r="AR113" s="578">
        <v>0</v>
      </c>
      <c r="AS113" s="578">
        <v>0</v>
      </c>
      <c r="AT113" s="578">
        <v>8.2892964459641482E-5</v>
      </c>
      <c r="AU113" s="578">
        <v>8.6713240948282911E-4</v>
      </c>
      <c r="AV113" s="578">
        <v>0</v>
      </c>
      <c r="AW113" s="578">
        <v>0</v>
      </c>
      <c r="AX113" s="578">
        <v>1.0972251176773939E-5</v>
      </c>
      <c r="AY113" s="578">
        <v>0</v>
      </c>
      <c r="AZ113" s="578">
        <v>0</v>
      </c>
      <c r="BA113" s="578">
        <v>0</v>
      </c>
      <c r="BB113" s="578">
        <v>0</v>
      </c>
      <c r="BC113" s="578">
        <v>0</v>
      </c>
      <c r="BD113" s="578">
        <v>0</v>
      </c>
      <c r="BE113" s="578">
        <v>1.4040901145035489E-5</v>
      </c>
      <c r="BF113" s="578">
        <v>0</v>
      </c>
      <c r="BG113" s="578">
        <v>7.4211502782931357E-6</v>
      </c>
      <c r="BH113" s="578">
        <v>0</v>
      </c>
      <c r="BI113" s="578">
        <v>0</v>
      </c>
      <c r="BJ113" s="578">
        <v>4.1236943352810916E-6</v>
      </c>
      <c r="BK113" s="578">
        <v>0</v>
      </c>
      <c r="BL113" s="578">
        <v>0</v>
      </c>
      <c r="BM113" s="578">
        <v>0</v>
      </c>
      <c r="BN113" s="578">
        <v>0</v>
      </c>
      <c r="BO113" s="578">
        <v>0</v>
      </c>
      <c r="BP113" s="578">
        <v>0</v>
      </c>
      <c r="BQ113" s="578">
        <v>0</v>
      </c>
      <c r="BR113" s="578">
        <v>0</v>
      </c>
      <c r="BS113" s="578">
        <v>0</v>
      </c>
      <c r="BT113" s="578">
        <v>0</v>
      </c>
      <c r="BU113" s="578">
        <v>0</v>
      </c>
      <c r="BV113" s="578">
        <v>0</v>
      </c>
      <c r="BW113" s="578">
        <v>0</v>
      </c>
      <c r="BX113" s="578">
        <v>0</v>
      </c>
      <c r="BY113" s="578">
        <v>1.2512074151556252E-6</v>
      </c>
      <c r="BZ113" s="578">
        <v>0</v>
      </c>
      <c r="CA113" s="578">
        <v>0</v>
      </c>
      <c r="CB113" s="578">
        <v>0</v>
      </c>
      <c r="CC113" s="578">
        <v>0</v>
      </c>
      <c r="CD113" s="578">
        <v>0</v>
      </c>
      <c r="CE113" s="578">
        <v>0</v>
      </c>
      <c r="CF113" s="578">
        <v>8.684667614084952E-4</v>
      </c>
      <c r="CG113" s="578">
        <v>0</v>
      </c>
      <c r="CH113" s="578">
        <v>1.1572332866582575E-5</v>
      </c>
      <c r="CI113" s="578">
        <v>0</v>
      </c>
      <c r="CJ113" s="578">
        <v>3.470600998047299E-2</v>
      </c>
      <c r="CK113" s="578">
        <v>6.3037711680635823E-5</v>
      </c>
      <c r="CL113" s="578">
        <v>3.3719989209603452E-4</v>
      </c>
      <c r="CM113" s="578">
        <v>3.3240734145356981E-5</v>
      </c>
      <c r="CN113" s="578">
        <v>2.5979351601698186E-2</v>
      </c>
      <c r="CO113" s="578">
        <v>2.0669627605056373E-2</v>
      </c>
      <c r="CP113" s="578">
        <v>8.5839212425225999E-4</v>
      </c>
      <c r="CQ113" s="578">
        <v>8.9189017009619668E-4</v>
      </c>
      <c r="CR113" s="578">
        <v>2.9119730577168738E-3</v>
      </c>
      <c r="CS113" s="578">
        <v>4.5202847779410104E-4</v>
      </c>
      <c r="CT113" s="578">
        <v>7.582164416319151E-4</v>
      </c>
      <c r="CU113" s="578">
        <v>2.9827644583460972E-4</v>
      </c>
      <c r="CV113" s="578">
        <v>5.3279475630835186E-3</v>
      </c>
      <c r="CW113" s="578">
        <v>1.2249356323632676E-2</v>
      </c>
      <c r="CX113" s="578">
        <v>5.21837209634357E-3</v>
      </c>
      <c r="CY113" s="578">
        <v>4.529718838721495E-2</v>
      </c>
      <c r="CZ113" s="578">
        <v>2.2795163584637269E-2</v>
      </c>
      <c r="DA113" s="578">
        <v>4.0693067186395662E-2</v>
      </c>
      <c r="DB113" s="578">
        <v>5.0955758921319108E-2</v>
      </c>
      <c r="DC113" s="578">
        <v>4.6410442349528645E-2</v>
      </c>
      <c r="DD113" s="578">
        <v>1.1111111111111112E-2</v>
      </c>
      <c r="DE113" s="578">
        <v>0.20660312210369455</v>
      </c>
      <c r="DF113" s="578">
        <v>0.22109393721543255</v>
      </c>
      <c r="DG113" s="578">
        <v>1.9148964090361327E-2</v>
      </c>
      <c r="DH113" s="578">
        <v>2.3311924423148809E-2</v>
      </c>
      <c r="DI113" s="578">
        <v>0.16757186382302292</v>
      </c>
      <c r="DJ113" s="578">
        <v>8.9316552572401203E-2</v>
      </c>
      <c r="DK113" s="578">
        <v>1.1985494676468953E-2</v>
      </c>
      <c r="DL113" s="578">
        <v>0.10569177546021565</v>
      </c>
      <c r="DM113" s="578">
        <v>0.11501809750028277</v>
      </c>
      <c r="DN113" s="578">
        <v>8.9196995956094746E-2</v>
      </c>
      <c r="DO113" s="578">
        <v>0</v>
      </c>
      <c r="DP113" s="578">
        <v>4.8203330411919368E-4</v>
      </c>
      <c r="DQ113" s="578">
        <v>0</v>
      </c>
      <c r="DR113" s="578">
        <v>9.4568323613070174E-3</v>
      </c>
      <c r="DS113" s="578">
        <v>5.4161805991769971E-4</v>
      </c>
      <c r="DT113" s="578">
        <v>6.2687241688473561E-4</v>
      </c>
      <c r="DU113" s="578">
        <v>7.007262071601478E-4</v>
      </c>
      <c r="DV113" s="578">
        <v>1.1275956872632367E-3</v>
      </c>
      <c r="DW113" s="578">
        <v>5.5631416578162142E-4</v>
      </c>
      <c r="DX113" s="578">
        <v>7.8452043124107456E-4</v>
      </c>
      <c r="DY113" s="578">
        <v>0</v>
      </c>
      <c r="DZ113" s="578">
        <v>6.8543558842203297E-4</v>
      </c>
      <c r="EA113" s="578">
        <v>4.1179469029700412E-4</v>
      </c>
      <c r="EB113" s="578">
        <v>1.761723118403113E-4</v>
      </c>
      <c r="EC113" s="578">
        <v>4.8931608901882951E-5</v>
      </c>
      <c r="ED113" s="578">
        <v>9.045598863872782E-6</v>
      </c>
      <c r="EE113" s="578">
        <v>5.1308429076999846E-6</v>
      </c>
      <c r="EF113" s="578">
        <v>3.2070812353676919E-6</v>
      </c>
      <c r="EG113" s="578">
        <v>0</v>
      </c>
      <c r="EH113" s="578">
        <v>2.6624068157614482E-5</v>
      </c>
      <c r="EI113" s="578">
        <v>0</v>
      </c>
      <c r="EJ113" s="578">
        <v>1.2582267809975401E-5</v>
      </c>
      <c r="EK113" s="578">
        <v>3.7960598032394556E-5</v>
      </c>
      <c r="EL113" s="578">
        <v>6.4158037659276052E-5</v>
      </c>
      <c r="EM113" s="578">
        <v>1.5832617567080821E-5</v>
      </c>
      <c r="EN113" s="578">
        <v>0</v>
      </c>
      <c r="EO113" s="578">
        <v>0</v>
      </c>
      <c r="EP113" s="578">
        <v>0</v>
      </c>
      <c r="EQ113" s="578">
        <v>1.0168147261887412E-5</v>
      </c>
      <c r="ER113" s="578">
        <v>0</v>
      </c>
      <c r="ES113" s="578">
        <v>0</v>
      </c>
      <c r="ET113" s="578">
        <v>0</v>
      </c>
      <c r="EU113" s="578">
        <v>0</v>
      </c>
      <c r="EV113" s="578">
        <v>0</v>
      </c>
      <c r="EW113" s="578">
        <v>0</v>
      </c>
      <c r="EX113" s="578">
        <v>0</v>
      </c>
      <c r="EY113" s="578">
        <v>0</v>
      </c>
      <c r="EZ113" s="578">
        <v>0</v>
      </c>
      <c r="FA113" s="578">
        <v>0</v>
      </c>
      <c r="FB113" s="578">
        <v>2.023765755859645E-5</v>
      </c>
      <c r="FC113" s="578">
        <v>2.1656271656271656E-5</v>
      </c>
      <c r="FD113" s="578">
        <v>2.7554986960586528E-4</v>
      </c>
      <c r="FE113" s="578">
        <v>3.3999328408327737E-3</v>
      </c>
      <c r="FF113" s="578">
        <v>1.1110605509040165E-3</v>
      </c>
      <c r="FG113" s="578">
        <v>3.6534446764091859E-4</v>
      </c>
      <c r="FH113" s="578">
        <v>1.9509022923101934E-3</v>
      </c>
      <c r="FI113" s="578">
        <v>6.1629798403908601E-3</v>
      </c>
      <c r="FJ113" s="578">
        <v>2.038875315370728E-4</v>
      </c>
      <c r="FK113" s="578">
        <v>3.6606310317793619E-5</v>
      </c>
      <c r="FL113" s="578">
        <v>0</v>
      </c>
      <c r="FM113" s="578">
        <v>1.7477119537671932E-5</v>
      </c>
      <c r="FN113" s="578">
        <v>5.1248050650405741E-3</v>
      </c>
      <c r="FO113" s="578">
        <v>1.485403680731294E-6</v>
      </c>
      <c r="FP113" s="578">
        <v>0</v>
      </c>
      <c r="FQ113" s="578">
        <v>1.9480483338620893E-5</v>
      </c>
      <c r="FR113" s="578">
        <v>0</v>
      </c>
      <c r="FS113" s="578">
        <v>0</v>
      </c>
      <c r="FT113" s="578">
        <v>1.0375973396004213E-5</v>
      </c>
      <c r="FU113" s="578">
        <v>0</v>
      </c>
      <c r="FV113" s="578">
        <v>0</v>
      </c>
      <c r="FW113" s="578">
        <v>1.5358127278459013E-4</v>
      </c>
      <c r="FX113" s="578">
        <v>9.4951397531196399E-2</v>
      </c>
      <c r="FY113" s="578">
        <v>3.4809524957090566E-5</v>
      </c>
      <c r="FZ113" s="578">
        <v>0</v>
      </c>
      <c r="GA113" s="578">
        <v>0</v>
      </c>
      <c r="GB113" s="578">
        <v>4.7165584216508895E-6</v>
      </c>
      <c r="GC113" s="578">
        <v>0</v>
      </c>
      <c r="GD113" s="578">
        <v>8.3965594258096805E-5</v>
      </c>
      <c r="GE113" s="578">
        <v>3.5978168046634243E-2</v>
      </c>
      <c r="GF113" s="578">
        <v>0</v>
      </c>
      <c r="GG113" s="579">
        <v>5.9043745237890135E-3</v>
      </c>
      <c r="GH113" s="572"/>
    </row>
    <row r="114" spans="1:190">
      <c r="A114" s="572" t="s">
        <v>5371</v>
      </c>
      <c r="B114" s="577" t="s">
        <v>529</v>
      </c>
      <c r="C114" s="573" t="s">
        <v>9085</v>
      </c>
      <c r="D114" s="578">
        <v>0</v>
      </c>
      <c r="E114" s="578">
        <v>0</v>
      </c>
      <c r="F114" s="578">
        <v>0</v>
      </c>
      <c r="G114" s="578">
        <v>0</v>
      </c>
      <c r="H114" s="578">
        <v>0</v>
      </c>
      <c r="I114" s="578">
        <v>0</v>
      </c>
      <c r="J114" s="578">
        <v>4.8317737441414742E-5</v>
      </c>
      <c r="K114" s="578">
        <v>0</v>
      </c>
      <c r="L114" s="578">
        <v>0</v>
      </c>
      <c r="M114" s="578">
        <v>0</v>
      </c>
      <c r="N114" s="578">
        <v>0</v>
      </c>
      <c r="O114" s="578">
        <v>6.5691512656564771E-4</v>
      </c>
      <c r="P114" s="578">
        <v>0</v>
      </c>
      <c r="Q114" s="578">
        <v>0</v>
      </c>
      <c r="R114" s="578">
        <v>0</v>
      </c>
      <c r="S114" s="578">
        <v>9.3370681605975728E-4</v>
      </c>
      <c r="T114" s="578">
        <v>0</v>
      </c>
      <c r="U114" s="578">
        <v>0</v>
      </c>
      <c r="V114" s="578">
        <v>0</v>
      </c>
      <c r="W114" s="578">
        <v>0</v>
      </c>
      <c r="X114" s="578">
        <v>0</v>
      </c>
      <c r="Y114" s="578">
        <v>0</v>
      </c>
      <c r="Z114" s="578">
        <v>0</v>
      </c>
      <c r="AA114" s="578">
        <v>0</v>
      </c>
      <c r="AB114" s="578">
        <v>0</v>
      </c>
      <c r="AC114" s="578">
        <v>0</v>
      </c>
      <c r="AD114" s="578">
        <v>0</v>
      </c>
      <c r="AE114" s="578">
        <v>0</v>
      </c>
      <c r="AF114" s="578">
        <v>0</v>
      </c>
      <c r="AG114" s="578">
        <v>0</v>
      </c>
      <c r="AH114" s="578">
        <v>0</v>
      </c>
      <c r="AI114" s="578">
        <v>0</v>
      </c>
      <c r="AJ114" s="578">
        <v>0</v>
      </c>
      <c r="AK114" s="578">
        <v>0</v>
      </c>
      <c r="AL114" s="578">
        <v>0</v>
      </c>
      <c r="AM114" s="578">
        <v>0</v>
      </c>
      <c r="AN114" s="578">
        <v>4.3133195307108351E-5</v>
      </c>
      <c r="AO114" s="578">
        <v>9.7159698157204394E-5</v>
      </c>
      <c r="AP114" s="578">
        <v>0</v>
      </c>
      <c r="AQ114" s="578">
        <v>0</v>
      </c>
      <c r="AR114" s="578">
        <v>0</v>
      </c>
      <c r="AS114" s="578">
        <v>0</v>
      </c>
      <c r="AT114" s="578">
        <v>0</v>
      </c>
      <c r="AU114" s="578">
        <v>0</v>
      </c>
      <c r="AV114" s="578">
        <v>0</v>
      </c>
      <c r="AW114" s="578">
        <v>0</v>
      </c>
      <c r="AX114" s="578">
        <v>0</v>
      </c>
      <c r="AY114" s="578">
        <v>0</v>
      </c>
      <c r="AZ114" s="578">
        <v>0</v>
      </c>
      <c r="BA114" s="578">
        <v>0</v>
      </c>
      <c r="BB114" s="578">
        <v>0</v>
      </c>
      <c r="BC114" s="578">
        <v>0</v>
      </c>
      <c r="BD114" s="578">
        <v>0</v>
      </c>
      <c r="BE114" s="578">
        <v>0</v>
      </c>
      <c r="BF114" s="578">
        <v>0</v>
      </c>
      <c r="BG114" s="578">
        <v>0</v>
      </c>
      <c r="BH114" s="578">
        <v>0</v>
      </c>
      <c r="BI114" s="578">
        <v>0</v>
      </c>
      <c r="BJ114" s="578">
        <v>0</v>
      </c>
      <c r="BK114" s="578">
        <v>0</v>
      </c>
      <c r="BL114" s="578">
        <v>0</v>
      </c>
      <c r="BM114" s="578">
        <v>4.580044289028275E-6</v>
      </c>
      <c r="BN114" s="578">
        <v>0</v>
      </c>
      <c r="BO114" s="578">
        <v>0</v>
      </c>
      <c r="BP114" s="578">
        <v>0</v>
      </c>
      <c r="BQ114" s="578">
        <v>0</v>
      </c>
      <c r="BR114" s="578">
        <v>0</v>
      </c>
      <c r="BS114" s="578">
        <v>1.0115621554366407E-5</v>
      </c>
      <c r="BT114" s="578">
        <v>0</v>
      </c>
      <c r="BU114" s="578">
        <v>0</v>
      </c>
      <c r="BV114" s="578">
        <v>0</v>
      </c>
      <c r="BW114" s="578">
        <v>0</v>
      </c>
      <c r="BX114" s="578">
        <v>0</v>
      </c>
      <c r="BY114" s="578">
        <v>0</v>
      </c>
      <c r="BZ114" s="578">
        <v>0</v>
      </c>
      <c r="CA114" s="578">
        <v>0</v>
      </c>
      <c r="CB114" s="578">
        <v>0</v>
      </c>
      <c r="CC114" s="578">
        <v>0</v>
      </c>
      <c r="CD114" s="578">
        <v>0</v>
      </c>
      <c r="CE114" s="578">
        <v>0</v>
      </c>
      <c r="CF114" s="578">
        <v>7.8951523764408658E-5</v>
      </c>
      <c r="CG114" s="578">
        <v>0</v>
      </c>
      <c r="CH114" s="578">
        <v>0</v>
      </c>
      <c r="CI114" s="578">
        <v>2.9348123461088865E-3</v>
      </c>
      <c r="CJ114" s="578">
        <v>1.388587546105446E-3</v>
      </c>
      <c r="CK114" s="578">
        <v>0</v>
      </c>
      <c r="CL114" s="578">
        <v>2.2935587327278722E-2</v>
      </c>
      <c r="CM114" s="578">
        <v>2.015338224469929E-2</v>
      </c>
      <c r="CN114" s="578">
        <v>1.7681397143959859E-2</v>
      </c>
      <c r="CO114" s="578">
        <v>6.0300649128800822E-2</v>
      </c>
      <c r="CP114" s="578">
        <v>2.5304684496186415E-3</v>
      </c>
      <c r="CQ114" s="578">
        <v>5.5424603427406509E-3</v>
      </c>
      <c r="CR114" s="578">
        <v>4.0006967831842993E-3</v>
      </c>
      <c r="CS114" s="578">
        <v>3.0285908012204769E-2</v>
      </c>
      <c r="CT114" s="578">
        <v>2.3300574494765389E-2</v>
      </c>
      <c r="CU114" s="578">
        <v>1.9436338132628218E-2</v>
      </c>
      <c r="CV114" s="578">
        <v>1.3381821786349302E-2</v>
      </c>
      <c r="CW114" s="578">
        <v>1.2600452523991574E-2</v>
      </c>
      <c r="CX114" s="578">
        <v>5.0370497280164475E-2</v>
      </c>
      <c r="CY114" s="578">
        <v>1.3242970968037365E-2</v>
      </c>
      <c r="CZ114" s="578">
        <v>2.4377667140825034E-2</v>
      </c>
      <c r="DA114" s="578">
        <v>7.3675869011158466E-3</v>
      </c>
      <c r="DB114" s="578">
        <v>7.3644880056316676E-3</v>
      </c>
      <c r="DC114" s="578">
        <v>3.6258158085569255E-3</v>
      </c>
      <c r="DD114" s="578">
        <v>0</v>
      </c>
      <c r="DE114" s="578">
        <v>0</v>
      </c>
      <c r="DF114" s="578">
        <v>1.2081635913411615E-3</v>
      </c>
      <c r="DG114" s="578">
        <v>0.19146011534650975</v>
      </c>
      <c r="DH114" s="578">
        <v>1.5597920277296361E-2</v>
      </c>
      <c r="DI114" s="578">
        <v>1.5035103987283084E-2</v>
      </c>
      <c r="DJ114" s="578">
        <v>6.435662015927642E-3</v>
      </c>
      <c r="DK114" s="578">
        <v>1.2852818318648425E-3</v>
      </c>
      <c r="DL114" s="578">
        <v>5.1968384636751595E-3</v>
      </c>
      <c r="DM114" s="578">
        <v>1.2201674018776157E-2</v>
      </c>
      <c r="DN114" s="578">
        <v>6.313443921762813E-3</v>
      </c>
      <c r="DO114" s="578">
        <v>0</v>
      </c>
      <c r="DP114" s="578">
        <v>6.2445223488168276E-3</v>
      </c>
      <c r="DQ114" s="578">
        <v>2.2126090348202256E-2</v>
      </c>
      <c r="DR114" s="578">
        <v>2.6676536985351246E-2</v>
      </c>
      <c r="DS114" s="578">
        <v>1.85047495737562E-2</v>
      </c>
      <c r="DT114" s="578">
        <v>1.5015781148634366E-2</v>
      </c>
      <c r="DU114" s="578">
        <v>1.6323735507707989E-3</v>
      </c>
      <c r="DV114" s="578">
        <v>5.0805153999163803E-3</v>
      </c>
      <c r="DW114" s="578">
        <v>0</v>
      </c>
      <c r="DX114" s="578">
        <v>7.9677856297921638E-5</v>
      </c>
      <c r="DY114" s="578">
        <v>0</v>
      </c>
      <c r="DZ114" s="578">
        <v>1.1822500812586417E-3</v>
      </c>
      <c r="EA114" s="578">
        <v>3.6705375367554584E-3</v>
      </c>
      <c r="EB114" s="578">
        <v>3.688129050048256E-3</v>
      </c>
      <c r="EC114" s="578">
        <v>1.7645961460241539E-3</v>
      </c>
      <c r="ED114" s="578">
        <v>4.473048638185091E-3</v>
      </c>
      <c r="EE114" s="578">
        <v>0</v>
      </c>
      <c r="EF114" s="578">
        <v>0</v>
      </c>
      <c r="EG114" s="578">
        <v>0</v>
      </c>
      <c r="EH114" s="578">
        <v>0</v>
      </c>
      <c r="EI114" s="578">
        <v>0</v>
      </c>
      <c r="EJ114" s="578">
        <v>8.9873341499824299E-7</v>
      </c>
      <c r="EK114" s="578">
        <v>5.6657609003573959E-7</v>
      </c>
      <c r="EL114" s="578">
        <v>0</v>
      </c>
      <c r="EM114" s="578">
        <v>0</v>
      </c>
      <c r="EN114" s="578">
        <v>0</v>
      </c>
      <c r="EO114" s="578">
        <v>0</v>
      </c>
      <c r="EP114" s="578">
        <v>0</v>
      </c>
      <c r="EQ114" s="578">
        <v>6.4398265991953604E-5</v>
      </c>
      <c r="ER114" s="578">
        <v>0</v>
      </c>
      <c r="ES114" s="578">
        <v>0</v>
      </c>
      <c r="ET114" s="578">
        <v>0</v>
      </c>
      <c r="EU114" s="578">
        <v>0</v>
      </c>
      <c r="EV114" s="578">
        <v>0</v>
      </c>
      <c r="EW114" s="578">
        <v>0</v>
      </c>
      <c r="EX114" s="578">
        <v>0</v>
      </c>
      <c r="EY114" s="578">
        <v>0</v>
      </c>
      <c r="EZ114" s="578">
        <v>1.7381631092261696E-5</v>
      </c>
      <c r="FA114" s="578">
        <v>0</v>
      </c>
      <c r="FB114" s="578">
        <v>0</v>
      </c>
      <c r="FC114" s="578">
        <v>0</v>
      </c>
      <c r="FD114" s="578">
        <v>2.4602666929095112E-6</v>
      </c>
      <c r="FE114" s="578">
        <v>0</v>
      </c>
      <c r="FF114" s="578">
        <v>0</v>
      </c>
      <c r="FG114" s="578">
        <v>0</v>
      </c>
      <c r="FH114" s="578">
        <v>0</v>
      </c>
      <c r="FI114" s="578">
        <v>2.9361504718393808E-6</v>
      </c>
      <c r="FJ114" s="578">
        <v>0</v>
      </c>
      <c r="FK114" s="578">
        <v>0</v>
      </c>
      <c r="FL114" s="578">
        <v>0</v>
      </c>
      <c r="FM114" s="578">
        <v>0</v>
      </c>
      <c r="FN114" s="578">
        <v>0</v>
      </c>
      <c r="FO114" s="578">
        <v>0</v>
      </c>
      <c r="FP114" s="578">
        <v>0</v>
      </c>
      <c r="FQ114" s="578">
        <v>0</v>
      </c>
      <c r="FR114" s="578">
        <v>0</v>
      </c>
      <c r="FS114" s="578">
        <v>0</v>
      </c>
      <c r="FT114" s="578">
        <v>0</v>
      </c>
      <c r="FU114" s="578">
        <v>0</v>
      </c>
      <c r="FV114" s="578">
        <v>0</v>
      </c>
      <c r="FW114" s="578">
        <v>1.1656010281862052E-2</v>
      </c>
      <c r="FX114" s="578">
        <v>2.9332458825244132E-2</v>
      </c>
      <c r="FY114" s="578">
        <v>0</v>
      </c>
      <c r="FZ114" s="578">
        <v>0</v>
      </c>
      <c r="GA114" s="578">
        <v>0</v>
      </c>
      <c r="GB114" s="578">
        <v>0</v>
      </c>
      <c r="GC114" s="578">
        <v>0</v>
      </c>
      <c r="GD114" s="578">
        <v>1.3434495081295488E-5</v>
      </c>
      <c r="GE114" s="578">
        <v>0</v>
      </c>
      <c r="GF114" s="578">
        <v>7.4298147853314226E-5</v>
      </c>
      <c r="GG114" s="579">
        <v>6.6267572641009534E-3</v>
      </c>
      <c r="GH114" s="572"/>
    </row>
    <row r="115" spans="1:190">
      <c r="A115" s="572" t="s">
        <v>5373</v>
      </c>
      <c r="B115" s="577" t="s">
        <v>9446</v>
      </c>
      <c r="C115" s="573" t="s">
        <v>9086</v>
      </c>
      <c r="D115" s="578">
        <v>0</v>
      </c>
      <c r="E115" s="578">
        <v>0</v>
      </c>
      <c r="F115" s="578">
        <v>0</v>
      </c>
      <c r="G115" s="578">
        <v>0</v>
      </c>
      <c r="H115" s="578">
        <v>0</v>
      </c>
      <c r="I115" s="578">
        <v>0</v>
      </c>
      <c r="J115" s="578">
        <v>0</v>
      </c>
      <c r="K115" s="578">
        <v>0</v>
      </c>
      <c r="L115" s="578">
        <v>0</v>
      </c>
      <c r="M115" s="578">
        <v>0</v>
      </c>
      <c r="N115" s="578">
        <v>0</v>
      </c>
      <c r="O115" s="578">
        <v>0</v>
      </c>
      <c r="P115" s="578">
        <v>0</v>
      </c>
      <c r="Q115" s="578">
        <v>0</v>
      </c>
      <c r="R115" s="578">
        <v>0</v>
      </c>
      <c r="S115" s="578">
        <v>0</v>
      </c>
      <c r="T115" s="578">
        <v>0</v>
      </c>
      <c r="U115" s="578">
        <v>0</v>
      </c>
      <c r="V115" s="578">
        <v>0</v>
      </c>
      <c r="W115" s="578">
        <v>0</v>
      </c>
      <c r="X115" s="578">
        <v>0</v>
      </c>
      <c r="Y115" s="578">
        <v>0</v>
      </c>
      <c r="Z115" s="578">
        <v>0</v>
      </c>
      <c r="AA115" s="578">
        <v>0</v>
      </c>
      <c r="AB115" s="578">
        <v>0</v>
      </c>
      <c r="AC115" s="578">
        <v>0</v>
      </c>
      <c r="AD115" s="578">
        <v>0</v>
      </c>
      <c r="AE115" s="578">
        <v>0</v>
      </c>
      <c r="AF115" s="578">
        <v>0</v>
      </c>
      <c r="AG115" s="578">
        <v>0</v>
      </c>
      <c r="AH115" s="578">
        <v>0</v>
      </c>
      <c r="AI115" s="578">
        <v>0</v>
      </c>
      <c r="AJ115" s="578">
        <v>0</v>
      </c>
      <c r="AK115" s="578">
        <v>0</v>
      </c>
      <c r="AL115" s="578">
        <v>0</v>
      </c>
      <c r="AM115" s="578">
        <v>0</v>
      </c>
      <c r="AN115" s="578">
        <v>0</v>
      </c>
      <c r="AO115" s="578">
        <v>0</v>
      </c>
      <c r="AP115" s="578">
        <v>0</v>
      </c>
      <c r="AQ115" s="578">
        <v>0</v>
      </c>
      <c r="AR115" s="578">
        <v>0</v>
      </c>
      <c r="AS115" s="578">
        <v>0</v>
      </c>
      <c r="AT115" s="578">
        <v>0</v>
      </c>
      <c r="AU115" s="578">
        <v>0</v>
      </c>
      <c r="AV115" s="578">
        <v>0</v>
      </c>
      <c r="AW115" s="578">
        <v>0</v>
      </c>
      <c r="AX115" s="578">
        <v>0</v>
      </c>
      <c r="AY115" s="578">
        <v>0</v>
      </c>
      <c r="AZ115" s="578">
        <v>0</v>
      </c>
      <c r="BA115" s="578">
        <v>0</v>
      </c>
      <c r="BB115" s="578">
        <v>0</v>
      </c>
      <c r="BC115" s="578">
        <v>0</v>
      </c>
      <c r="BD115" s="578">
        <v>0</v>
      </c>
      <c r="BE115" s="578">
        <v>0</v>
      </c>
      <c r="BF115" s="578">
        <v>0</v>
      </c>
      <c r="BG115" s="578">
        <v>0</v>
      </c>
      <c r="BH115" s="578">
        <v>0</v>
      </c>
      <c r="BI115" s="578">
        <v>0</v>
      </c>
      <c r="BJ115" s="578">
        <v>0</v>
      </c>
      <c r="BK115" s="578">
        <v>0</v>
      </c>
      <c r="BL115" s="578">
        <v>0</v>
      </c>
      <c r="BM115" s="578">
        <v>2.2900221445141375E-6</v>
      </c>
      <c r="BN115" s="578">
        <v>0</v>
      </c>
      <c r="BO115" s="578">
        <v>0</v>
      </c>
      <c r="BP115" s="578">
        <v>0</v>
      </c>
      <c r="BQ115" s="578">
        <v>0</v>
      </c>
      <c r="BR115" s="578">
        <v>0</v>
      </c>
      <c r="BS115" s="578">
        <v>0</v>
      </c>
      <c r="BT115" s="578">
        <v>0</v>
      </c>
      <c r="BU115" s="578">
        <v>0</v>
      </c>
      <c r="BV115" s="578">
        <v>0</v>
      </c>
      <c r="BW115" s="578">
        <v>0</v>
      </c>
      <c r="BX115" s="578">
        <v>0</v>
      </c>
      <c r="BY115" s="578">
        <v>0</v>
      </c>
      <c r="BZ115" s="578">
        <v>0</v>
      </c>
      <c r="CA115" s="578">
        <v>0</v>
      </c>
      <c r="CB115" s="578">
        <v>0</v>
      </c>
      <c r="CC115" s="578">
        <v>0</v>
      </c>
      <c r="CD115" s="578">
        <v>0</v>
      </c>
      <c r="CE115" s="578">
        <v>0</v>
      </c>
      <c r="CF115" s="578">
        <v>0</v>
      </c>
      <c r="CG115" s="578">
        <v>0</v>
      </c>
      <c r="CH115" s="578">
        <v>0</v>
      </c>
      <c r="CI115" s="578">
        <v>0</v>
      </c>
      <c r="CJ115" s="578">
        <v>0</v>
      </c>
      <c r="CK115" s="578">
        <v>0</v>
      </c>
      <c r="CL115" s="578">
        <v>0</v>
      </c>
      <c r="CM115" s="578">
        <v>0</v>
      </c>
      <c r="CN115" s="578">
        <v>0</v>
      </c>
      <c r="CO115" s="578">
        <v>0</v>
      </c>
      <c r="CP115" s="578">
        <v>0</v>
      </c>
      <c r="CQ115" s="578">
        <v>0</v>
      </c>
      <c r="CR115" s="578">
        <v>0</v>
      </c>
      <c r="CS115" s="578">
        <v>0</v>
      </c>
      <c r="CT115" s="578">
        <v>0</v>
      </c>
      <c r="CU115" s="578">
        <v>0</v>
      </c>
      <c r="CV115" s="578">
        <v>0</v>
      </c>
      <c r="CW115" s="578">
        <v>0</v>
      </c>
      <c r="CX115" s="578">
        <v>0</v>
      </c>
      <c r="CY115" s="578">
        <v>0</v>
      </c>
      <c r="CZ115" s="578">
        <v>0</v>
      </c>
      <c r="DA115" s="578">
        <v>0</v>
      </c>
      <c r="DB115" s="578">
        <v>0</v>
      </c>
      <c r="DC115" s="578">
        <v>0</v>
      </c>
      <c r="DD115" s="578">
        <v>0</v>
      </c>
      <c r="DE115" s="578">
        <v>0</v>
      </c>
      <c r="DF115" s="578">
        <v>0</v>
      </c>
      <c r="DG115" s="578">
        <v>0</v>
      </c>
      <c r="DH115" s="578">
        <v>7.7208006252761072E-2</v>
      </c>
      <c r="DI115" s="578">
        <v>0</v>
      </c>
      <c r="DJ115" s="578">
        <v>0</v>
      </c>
      <c r="DK115" s="578">
        <v>0</v>
      </c>
      <c r="DL115" s="578">
        <v>0</v>
      </c>
      <c r="DM115" s="578">
        <v>0</v>
      </c>
      <c r="DN115" s="578">
        <v>0</v>
      </c>
      <c r="DO115" s="578">
        <v>0</v>
      </c>
      <c r="DP115" s="578">
        <v>0</v>
      </c>
      <c r="DQ115" s="578">
        <v>0</v>
      </c>
      <c r="DR115" s="578">
        <v>0</v>
      </c>
      <c r="DS115" s="578">
        <v>1.0896458010178574E-4</v>
      </c>
      <c r="DT115" s="578">
        <v>4.9931116926284179E-3</v>
      </c>
      <c r="DU115" s="578">
        <v>0</v>
      </c>
      <c r="DV115" s="578">
        <v>0</v>
      </c>
      <c r="DW115" s="578">
        <v>0</v>
      </c>
      <c r="DX115" s="578">
        <v>6.129065869070895E-6</v>
      </c>
      <c r="DY115" s="578">
        <v>0</v>
      </c>
      <c r="DZ115" s="578">
        <v>4.5471156971486218E-3</v>
      </c>
      <c r="EA115" s="578">
        <v>2.2904688449492823E-3</v>
      </c>
      <c r="EB115" s="578">
        <v>0</v>
      </c>
      <c r="EC115" s="578">
        <v>0</v>
      </c>
      <c r="ED115" s="578">
        <v>0</v>
      </c>
      <c r="EE115" s="578">
        <v>0</v>
      </c>
      <c r="EF115" s="578">
        <v>0</v>
      </c>
      <c r="EG115" s="578">
        <v>0</v>
      </c>
      <c r="EH115" s="578">
        <v>0</v>
      </c>
      <c r="EI115" s="578">
        <v>0</v>
      </c>
      <c r="EJ115" s="578">
        <v>0</v>
      </c>
      <c r="EK115" s="578">
        <v>0</v>
      </c>
      <c r="EL115" s="578">
        <v>0</v>
      </c>
      <c r="EM115" s="578">
        <v>0</v>
      </c>
      <c r="EN115" s="578">
        <v>0</v>
      </c>
      <c r="EO115" s="578">
        <v>0</v>
      </c>
      <c r="EP115" s="578">
        <v>0</v>
      </c>
      <c r="EQ115" s="578">
        <v>0</v>
      </c>
      <c r="ER115" s="578">
        <v>0</v>
      </c>
      <c r="ES115" s="578">
        <v>3.6741942287934354E-4</v>
      </c>
      <c r="ET115" s="578">
        <v>0</v>
      </c>
      <c r="EU115" s="578">
        <v>0</v>
      </c>
      <c r="EV115" s="578">
        <v>0</v>
      </c>
      <c r="EW115" s="578">
        <v>0</v>
      </c>
      <c r="EX115" s="578">
        <v>0</v>
      </c>
      <c r="EY115" s="578">
        <v>0</v>
      </c>
      <c r="EZ115" s="578">
        <v>0</v>
      </c>
      <c r="FA115" s="578">
        <v>0</v>
      </c>
      <c r="FB115" s="578">
        <v>1.6864714632163711E-5</v>
      </c>
      <c r="FC115" s="578">
        <v>0</v>
      </c>
      <c r="FD115" s="578">
        <v>0</v>
      </c>
      <c r="FE115" s="578">
        <v>0</v>
      </c>
      <c r="FF115" s="578">
        <v>0</v>
      </c>
      <c r="FG115" s="578">
        <v>0</v>
      </c>
      <c r="FH115" s="578">
        <v>2.6012030564135914E-4</v>
      </c>
      <c r="FI115" s="578">
        <v>5.3144323540292788E-4</v>
      </c>
      <c r="FJ115" s="578">
        <v>5.2737389442270781E-4</v>
      </c>
      <c r="FK115" s="578">
        <v>0</v>
      </c>
      <c r="FL115" s="578">
        <v>0</v>
      </c>
      <c r="FM115" s="578">
        <v>0</v>
      </c>
      <c r="FN115" s="578">
        <v>0</v>
      </c>
      <c r="FO115" s="578">
        <v>0</v>
      </c>
      <c r="FP115" s="578">
        <v>0</v>
      </c>
      <c r="FQ115" s="578">
        <v>0</v>
      </c>
      <c r="FR115" s="578">
        <v>0</v>
      </c>
      <c r="FS115" s="578">
        <v>0</v>
      </c>
      <c r="FT115" s="578">
        <v>1.1413570735604634E-4</v>
      </c>
      <c r="FU115" s="578">
        <v>0</v>
      </c>
      <c r="FV115" s="578">
        <v>0</v>
      </c>
      <c r="FW115" s="578">
        <v>0</v>
      </c>
      <c r="FX115" s="578">
        <v>1.514692857062774E-2</v>
      </c>
      <c r="FY115" s="578">
        <v>2.5884005737323754E-5</v>
      </c>
      <c r="FZ115" s="578">
        <v>0</v>
      </c>
      <c r="GA115" s="578">
        <v>0</v>
      </c>
      <c r="GB115" s="578">
        <v>0</v>
      </c>
      <c r="GC115" s="578">
        <v>1.239427681873618E-4</v>
      </c>
      <c r="GD115" s="578">
        <v>1.3434495081295488E-5</v>
      </c>
      <c r="GE115" s="578">
        <v>0</v>
      </c>
      <c r="GF115" s="578">
        <v>0</v>
      </c>
      <c r="GG115" s="579">
        <v>4.4904109935035608E-4</v>
      </c>
      <c r="GH115" s="572"/>
    </row>
    <row r="116" spans="1:190">
      <c r="A116" s="572" t="s">
        <v>5375</v>
      </c>
      <c r="B116" s="577" t="s">
        <v>9447</v>
      </c>
      <c r="C116" s="573" t="s">
        <v>539</v>
      </c>
      <c r="D116" s="578">
        <v>0</v>
      </c>
      <c r="E116" s="578">
        <v>0</v>
      </c>
      <c r="F116" s="578">
        <v>0</v>
      </c>
      <c r="G116" s="578">
        <v>0</v>
      </c>
      <c r="H116" s="578">
        <v>0</v>
      </c>
      <c r="I116" s="578">
        <v>0</v>
      </c>
      <c r="J116" s="578">
        <v>0</v>
      </c>
      <c r="K116" s="578">
        <v>0</v>
      </c>
      <c r="L116" s="578">
        <v>0</v>
      </c>
      <c r="M116" s="578">
        <v>0</v>
      </c>
      <c r="N116" s="578">
        <v>0</v>
      </c>
      <c r="O116" s="578">
        <v>0</v>
      </c>
      <c r="P116" s="578">
        <v>0</v>
      </c>
      <c r="Q116" s="578">
        <v>0</v>
      </c>
      <c r="R116" s="578">
        <v>0</v>
      </c>
      <c r="S116" s="578">
        <v>0</v>
      </c>
      <c r="T116" s="578">
        <v>0</v>
      </c>
      <c r="U116" s="578">
        <v>0</v>
      </c>
      <c r="V116" s="578">
        <v>0</v>
      </c>
      <c r="W116" s="578">
        <v>0</v>
      </c>
      <c r="X116" s="578">
        <v>0</v>
      </c>
      <c r="Y116" s="578">
        <v>0</v>
      </c>
      <c r="Z116" s="578">
        <v>0</v>
      </c>
      <c r="AA116" s="578">
        <v>0</v>
      </c>
      <c r="AB116" s="578">
        <v>0</v>
      </c>
      <c r="AC116" s="578">
        <v>0</v>
      </c>
      <c r="AD116" s="578">
        <v>0</v>
      </c>
      <c r="AE116" s="578">
        <v>0</v>
      </c>
      <c r="AF116" s="578">
        <v>0</v>
      </c>
      <c r="AG116" s="578">
        <v>0</v>
      </c>
      <c r="AH116" s="578">
        <v>0</v>
      </c>
      <c r="AI116" s="578">
        <v>0</v>
      </c>
      <c r="AJ116" s="578">
        <v>0</v>
      </c>
      <c r="AK116" s="578">
        <v>0</v>
      </c>
      <c r="AL116" s="578">
        <v>0</v>
      </c>
      <c r="AM116" s="578">
        <v>0</v>
      </c>
      <c r="AN116" s="578">
        <v>0</v>
      </c>
      <c r="AO116" s="578">
        <v>0</v>
      </c>
      <c r="AP116" s="578">
        <v>0</v>
      </c>
      <c r="AQ116" s="578">
        <v>0</v>
      </c>
      <c r="AR116" s="578">
        <v>0</v>
      </c>
      <c r="AS116" s="578">
        <v>0</v>
      </c>
      <c r="AT116" s="578">
        <v>0</v>
      </c>
      <c r="AU116" s="578">
        <v>0</v>
      </c>
      <c r="AV116" s="578">
        <v>0</v>
      </c>
      <c r="AW116" s="578">
        <v>0</v>
      </c>
      <c r="AX116" s="578">
        <v>0</v>
      </c>
      <c r="AY116" s="578">
        <v>0</v>
      </c>
      <c r="AZ116" s="578">
        <v>0</v>
      </c>
      <c r="BA116" s="578">
        <v>0</v>
      </c>
      <c r="BB116" s="578">
        <v>0</v>
      </c>
      <c r="BC116" s="578">
        <v>0</v>
      </c>
      <c r="BD116" s="578">
        <v>0</v>
      </c>
      <c r="BE116" s="578">
        <v>0</v>
      </c>
      <c r="BF116" s="578">
        <v>0</v>
      </c>
      <c r="BG116" s="578">
        <v>0</v>
      </c>
      <c r="BH116" s="578">
        <v>0</v>
      </c>
      <c r="BI116" s="578">
        <v>0</v>
      </c>
      <c r="BJ116" s="578">
        <v>0</v>
      </c>
      <c r="BK116" s="578">
        <v>0</v>
      </c>
      <c r="BL116" s="578">
        <v>0</v>
      </c>
      <c r="BM116" s="578">
        <v>0</v>
      </c>
      <c r="BN116" s="578">
        <v>0</v>
      </c>
      <c r="BO116" s="578">
        <v>0</v>
      </c>
      <c r="BP116" s="578">
        <v>0</v>
      </c>
      <c r="BQ116" s="578">
        <v>0</v>
      </c>
      <c r="BR116" s="578">
        <v>0</v>
      </c>
      <c r="BS116" s="578">
        <v>0</v>
      </c>
      <c r="BT116" s="578">
        <v>0</v>
      </c>
      <c r="BU116" s="578">
        <v>0</v>
      </c>
      <c r="BV116" s="578">
        <v>0</v>
      </c>
      <c r="BW116" s="578">
        <v>0</v>
      </c>
      <c r="BX116" s="578">
        <v>0</v>
      </c>
      <c r="BY116" s="578">
        <v>0</v>
      </c>
      <c r="BZ116" s="578">
        <v>0</v>
      </c>
      <c r="CA116" s="578">
        <v>0</v>
      </c>
      <c r="CB116" s="578">
        <v>0</v>
      </c>
      <c r="CC116" s="578">
        <v>0</v>
      </c>
      <c r="CD116" s="578">
        <v>0</v>
      </c>
      <c r="CE116" s="578">
        <v>0</v>
      </c>
      <c r="CF116" s="578">
        <v>0</v>
      </c>
      <c r="CG116" s="578">
        <v>0</v>
      </c>
      <c r="CH116" s="578">
        <v>0</v>
      </c>
      <c r="CI116" s="578">
        <v>0</v>
      </c>
      <c r="CJ116" s="578">
        <v>0</v>
      </c>
      <c r="CK116" s="578">
        <v>0</v>
      </c>
      <c r="CL116" s="578">
        <v>0</v>
      </c>
      <c r="CM116" s="578">
        <v>2.9964147493886078E-3</v>
      </c>
      <c r="CN116" s="578">
        <v>1.8091470474720185E-4</v>
      </c>
      <c r="CO116" s="578">
        <v>0</v>
      </c>
      <c r="CP116" s="578">
        <v>1.7883169255255415E-5</v>
      </c>
      <c r="CQ116" s="578">
        <v>0</v>
      </c>
      <c r="CR116" s="578">
        <v>0</v>
      </c>
      <c r="CS116" s="578">
        <v>0</v>
      </c>
      <c r="CT116" s="578">
        <v>3.9952174039835529E-3</v>
      </c>
      <c r="CU116" s="578">
        <v>2.2733502087935119E-3</v>
      </c>
      <c r="CV116" s="578">
        <v>9.0017532664655262E-3</v>
      </c>
      <c r="CW116" s="578">
        <v>1.7164703128657252E-3</v>
      </c>
      <c r="CX116" s="578">
        <v>4.4973658285861137E-4</v>
      </c>
      <c r="CY116" s="578">
        <v>6.3650517446652627E-3</v>
      </c>
      <c r="CZ116" s="578">
        <v>0</v>
      </c>
      <c r="DA116" s="578">
        <v>1.2850442269388106E-3</v>
      </c>
      <c r="DB116" s="578">
        <v>0</v>
      </c>
      <c r="DC116" s="578">
        <v>0</v>
      </c>
      <c r="DD116" s="578">
        <v>0</v>
      </c>
      <c r="DE116" s="578">
        <v>3.7708761153615496E-4</v>
      </c>
      <c r="DF116" s="578">
        <v>0</v>
      </c>
      <c r="DG116" s="578">
        <v>0</v>
      </c>
      <c r="DH116" s="578">
        <v>0</v>
      </c>
      <c r="DI116" s="578">
        <v>5.0834547622201617E-2</v>
      </c>
      <c r="DJ116" s="578">
        <v>0</v>
      </c>
      <c r="DK116" s="578">
        <v>0</v>
      </c>
      <c r="DL116" s="578">
        <v>0</v>
      </c>
      <c r="DM116" s="578">
        <v>0</v>
      </c>
      <c r="DN116" s="578">
        <v>1.6505735743170752E-5</v>
      </c>
      <c r="DO116" s="578">
        <v>0</v>
      </c>
      <c r="DP116" s="578">
        <v>0</v>
      </c>
      <c r="DQ116" s="578">
        <v>0</v>
      </c>
      <c r="DR116" s="578">
        <v>0</v>
      </c>
      <c r="DS116" s="578">
        <v>1.4902508749214814E-3</v>
      </c>
      <c r="DT116" s="578">
        <v>0</v>
      </c>
      <c r="DU116" s="578">
        <v>0</v>
      </c>
      <c r="DV116" s="578">
        <v>0</v>
      </c>
      <c r="DW116" s="578">
        <v>0</v>
      </c>
      <c r="DX116" s="578">
        <v>0</v>
      </c>
      <c r="DY116" s="578">
        <v>0</v>
      </c>
      <c r="DZ116" s="578">
        <v>0</v>
      </c>
      <c r="EA116" s="578">
        <v>0</v>
      </c>
      <c r="EB116" s="578">
        <v>0</v>
      </c>
      <c r="EC116" s="578">
        <v>0</v>
      </c>
      <c r="ED116" s="578">
        <v>0</v>
      </c>
      <c r="EE116" s="578">
        <v>0</v>
      </c>
      <c r="EF116" s="578">
        <v>0</v>
      </c>
      <c r="EG116" s="578">
        <v>0</v>
      </c>
      <c r="EH116" s="578">
        <v>0</v>
      </c>
      <c r="EI116" s="578">
        <v>0</v>
      </c>
      <c r="EJ116" s="578">
        <v>0</v>
      </c>
      <c r="EK116" s="578">
        <v>0</v>
      </c>
      <c r="EL116" s="578">
        <v>0</v>
      </c>
      <c r="EM116" s="578">
        <v>0</v>
      </c>
      <c r="EN116" s="578">
        <v>0</v>
      </c>
      <c r="EO116" s="578">
        <v>0</v>
      </c>
      <c r="EP116" s="578">
        <v>0</v>
      </c>
      <c r="EQ116" s="578">
        <v>0</v>
      </c>
      <c r="ER116" s="578">
        <v>0</v>
      </c>
      <c r="ES116" s="578">
        <v>0</v>
      </c>
      <c r="ET116" s="578">
        <v>0</v>
      </c>
      <c r="EU116" s="578">
        <v>0</v>
      </c>
      <c r="EV116" s="578">
        <v>0</v>
      </c>
      <c r="EW116" s="578">
        <v>0</v>
      </c>
      <c r="EX116" s="578">
        <v>0</v>
      </c>
      <c r="EY116" s="578">
        <v>0</v>
      </c>
      <c r="EZ116" s="578">
        <v>0</v>
      </c>
      <c r="FA116" s="578">
        <v>0</v>
      </c>
      <c r="FB116" s="578">
        <v>0</v>
      </c>
      <c r="FC116" s="578">
        <v>0</v>
      </c>
      <c r="FD116" s="578">
        <v>0</v>
      </c>
      <c r="FE116" s="578">
        <v>0</v>
      </c>
      <c r="FF116" s="578">
        <v>0</v>
      </c>
      <c r="FG116" s="578">
        <v>0</v>
      </c>
      <c r="FH116" s="578">
        <v>0</v>
      </c>
      <c r="FI116" s="578">
        <v>2.2637720137881627E-3</v>
      </c>
      <c r="FJ116" s="578">
        <v>0</v>
      </c>
      <c r="FK116" s="578">
        <v>0</v>
      </c>
      <c r="FL116" s="578">
        <v>0</v>
      </c>
      <c r="FM116" s="578">
        <v>0</v>
      </c>
      <c r="FN116" s="578">
        <v>0</v>
      </c>
      <c r="FO116" s="578">
        <v>6.2386954590714345E-5</v>
      </c>
      <c r="FP116" s="578">
        <v>0</v>
      </c>
      <c r="FQ116" s="578">
        <v>0</v>
      </c>
      <c r="FR116" s="578">
        <v>0</v>
      </c>
      <c r="FS116" s="578">
        <v>0</v>
      </c>
      <c r="FT116" s="578">
        <v>0</v>
      </c>
      <c r="FU116" s="578">
        <v>0</v>
      </c>
      <c r="FV116" s="578">
        <v>0</v>
      </c>
      <c r="FW116" s="578">
        <v>0</v>
      </c>
      <c r="FX116" s="578">
        <v>5.361967867433543E-3</v>
      </c>
      <c r="FY116" s="578">
        <v>0</v>
      </c>
      <c r="FZ116" s="578">
        <v>0</v>
      </c>
      <c r="GA116" s="578">
        <v>0</v>
      </c>
      <c r="GB116" s="578">
        <v>0</v>
      </c>
      <c r="GC116" s="578">
        <v>0</v>
      </c>
      <c r="GD116" s="578">
        <v>0</v>
      </c>
      <c r="GE116" s="578">
        <v>0</v>
      </c>
      <c r="GF116" s="578">
        <v>0</v>
      </c>
      <c r="GG116" s="579">
        <v>2.1245645245929445E-4</v>
      </c>
      <c r="GH116" s="572"/>
    </row>
    <row r="117" spans="1:190">
      <c r="A117" s="572" t="s">
        <v>5377</v>
      </c>
      <c r="B117" s="577" t="s">
        <v>9448</v>
      </c>
      <c r="C117" s="573" t="s">
        <v>541</v>
      </c>
      <c r="D117" s="578">
        <v>0</v>
      </c>
      <c r="E117" s="578">
        <v>0</v>
      </c>
      <c r="F117" s="578">
        <v>0</v>
      </c>
      <c r="G117" s="578">
        <v>0</v>
      </c>
      <c r="H117" s="578">
        <v>0</v>
      </c>
      <c r="I117" s="578">
        <v>0</v>
      </c>
      <c r="J117" s="578">
        <v>0</v>
      </c>
      <c r="K117" s="578">
        <v>0</v>
      </c>
      <c r="L117" s="578">
        <v>0</v>
      </c>
      <c r="M117" s="578">
        <v>0</v>
      </c>
      <c r="N117" s="578">
        <v>0</v>
      </c>
      <c r="O117" s="578">
        <v>0</v>
      </c>
      <c r="P117" s="578">
        <v>0</v>
      </c>
      <c r="Q117" s="578">
        <v>0</v>
      </c>
      <c r="R117" s="578">
        <v>0</v>
      </c>
      <c r="S117" s="578">
        <v>0</v>
      </c>
      <c r="T117" s="578">
        <v>0</v>
      </c>
      <c r="U117" s="578">
        <v>0</v>
      </c>
      <c r="V117" s="578">
        <v>0</v>
      </c>
      <c r="W117" s="578">
        <v>0</v>
      </c>
      <c r="X117" s="578">
        <v>0</v>
      </c>
      <c r="Y117" s="578">
        <v>0</v>
      </c>
      <c r="Z117" s="578">
        <v>0</v>
      </c>
      <c r="AA117" s="578">
        <v>0</v>
      </c>
      <c r="AB117" s="578">
        <v>0</v>
      </c>
      <c r="AC117" s="578">
        <v>0</v>
      </c>
      <c r="AD117" s="578">
        <v>0</v>
      </c>
      <c r="AE117" s="578">
        <v>0</v>
      </c>
      <c r="AF117" s="578">
        <v>0</v>
      </c>
      <c r="AG117" s="578">
        <v>0</v>
      </c>
      <c r="AH117" s="578">
        <v>0</v>
      </c>
      <c r="AI117" s="578">
        <v>0</v>
      </c>
      <c r="AJ117" s="578">
        <v>0</v>
      </c>
      <c r="AK117" s="578">
        <v>0</v>
      </c>
      <c r="AL117" s="578">
        <v>0</v>
      </c>
      <c r="AM117" s="578">
        <v>0</v>
      </c>
      <c r="AN117" s="578">
        <v>0</v>
      </c>
      <c r="AO117" s="578">
        <v>0</v>
      </c>
      <c r="AP117" s="578">
        <v>0</v>
      </c>
      <c r="AQ117" s="578">
        <v>0</v>
      </c>
      <c r="AR117" s="578">
        <v>0</v>
      </c>
      <c r="AS117" s="578">
        <v>0</v>
      </c>
      <c r="AT117" s="578">
        <v>0</v>
      </c>
      <c r="AU117" s="578">
        <v>0</v>
      </c>
      <c r="AV117" s="578">
        <v>0</v>
      </c>
      <c r="AW117" s="578">
        <v>0</v>
      </c>
      <c r="AX117" s="578">
        <v>0</v>
      </c>
      <c r="AY117" s="578">
        <v>0</v>
      </c>
      <c r="AZ117" s="578">
        <v>0</v>
      </c>
      <c r="BA117" s="578">
        <v>0</v>
      </c>
      <c r="BB117" s="578">
        <v>0</v>
      </c>
      <c r="BC117" s="578">
        <v>0</v>
      </c>
      <c r="BD117" s="578">
        <v>0</v>
      </c>
      <c r="BE117" s="578">
        <v>0</v>
      </c>
      <c r="BF117" s="578">
        <v>0</v>
      </c>
      <c r="BG117" s="578">
        <v>0</v>
      </c>
      <c r="BH117" s="578">
        <v>0</v>
      </c>
      <c r="BI117" s="578">
        <v>0</v>
      </c>
      <c r="BJ117" s="578">
        <v>0</v>
      </c>
      <c r="BK117" s="578">
        <v>0</v>
      </c>
      <c r="BL117" s="578">
        <v>0</v>
      </c>
      <c r="BM117" s="578">
        <v>0</v>
      </c>
      <c r="BN117" s="578">
        <v>0</v>
      </c>
      <c r="BO117" s="578">
        <v>0</v>
      </c>
      <c r="BP117" s="578">
        <v>0</v>
      </c>
      <c r="BQ117" s="578">
        <v>0</v>
      </c>
      <c r="BR117" s="578">
        <v>0</v>
      </c>
      <c r="BS117" s="578">
        <v>0</v>
      </c>
      <c r="BT117" s="578">
        <v>0</v>
      </c>
      <c r="BU117" s="578">
        <v>0</v>
      </c>
      <c r="BV117" s="578">
        <v>0</v>
      </c>
      <c r="BW117" s="578">
        <v>0</v>
      </c>
      <c r="BX117" s="578">
        <v>0</v>
      </c>
      <c r="BY117" s="578">
        <v>0</v>
      </c>
      <c r="BZ117" s="578">
        <v>0</v>
      </c>
      <c r="CA117" s="578">
        <v>0</v>
      </c>
      <c r="CB117" s="578">
        <v>0</v>
      </c>
      <c r="CC117" s="578">
        <v>0</v>
      </c>
      <c r="CD117" s="578">
        <v>0</v>
      </c>
      <c r="CE117" s="578">
        <v>0</v>
      </c>
      <c r="CF117" s="578">
        <v>0</v>
      </c>
      <c r="CG117" s="578">
        <v>0</v>
      </c>
      <c r="CH117" s="578">
        <v>0</v>
      </c>
      <c r="CI117" s="578">
        <v>0</v>
      </c>
      <c r="CJ117" s="578">
        <v>0</v>
      </c>
      <c r="CK117" s="578">
        <v>0</v>
      </c>
      <c r="CL117" s="578">
        <v>5.0804783742469206E-4</v>
      </c>
      <c r="CM117" s="578">
        <v>2.7542322577581499E-4</v>
      </c>
      <c r="CN117" s="578">
        <v>3.4976842917792359E-4</v>
      </c>
      <c r="CO117" s="578">
        <v>3.4164673727365904E-4</v>
      </c>
      <c r="CP117" s="578">
        <v>8.0474261648649369E-4</v>
      </c>
      <c r="CQ117" s="578">
        <v>0</v>
      </c>
      <c r="CR117" s="578">
        <v>4.0645685750783884E-5</v>
      </c>
      <c r="CS117" s="578">
        <v>7.9104983613967675E-4</v>
      </c>
      <c r="CT117" s="578">
        <v>2.0413519582397713E-4</v>
      </c>
      <c r="CU117" s="578">
        <v>9.6738306757170728E-4</v>
      </c>
      <c r="CV117" s="578">
        <v>2.4781151456202413E-5</v>
      </c>
      <c r="CW117" s="578">
        <v>3.9010688928766481E-4</v>
      </c>
      <c r="CX117" s="578">
        <v>9.2802786939078541E-5</v>
      </c>
      <c r="CY117" s="578">
        <v>0</v>
      </c>
      <c r="CZ117" s="578">
        <v>5.3342816500711239E-5</v>
      </c>
      <c r="DA117" s="578">
        <v>7.1748302670750254E-3</v>
      </c>
      <c r="DB117" s="578">
        <v>4.3320517680186279E-4</v>
      </c>
      <c r="DC117" s="578">
        <v>0</v>
      </c>
      <c r="DD117" s="578">
        <v>0</v>
      </c>
      <c r="DE117" s="578">
        <v>0</v>
      </c>
      <c r="DF117" s="578">
        <v>0</v>
      </c>
      <c r="DG117" s="578">
        <v>2.1947330780283927E-3</v>
      </c>
      <c r="DH117" s="578">
        <v>0</v>
      </c>
      <c r="DI117" s="578">
        <v>3.0467611604185984E-3</v>
      </c>
      <c r="DJ117" s="578">
        <v>1.8611238802817776E-2</v>
      </c>
      <c r="DK117" s="578">
        <v>0</v>
      </c>
      <c r="DL117" s="578">
        <v>9.3684502916593015E-4</v>
      </c>
      <c r="DM117" s="578">
        <v>0</v>
      </c>
      <c r="DN117" s="578">
        <v>3.136089791202443E-4</v>
      </c>
      <c r="DO117" s="578">
        <v>0</v>
      </c>
      <c r="DP117" s="578">
        <v>0</v>
      </c>
      <c r="DQ117" s="578">
        <v>0</v>
      </c>
      <c r="DR117" s="578">
        <v>3.3345671231689056E-6</v>
      </c>
      <c r="DS117" s="578">
        <v>6.025100311510506E-4</v>
      </c>
      <c r="DT117" s="578">
        <v>6.8518613008331571E-4</v>
      </c>
      <c r="DU117" s="578">
        <v>0</v>
      </c>
      <c r="DV117" s="578">
        <v>0</v>
      </c>
      <c r="DW117" s="578">
        <v>0</v>
      </c>
      <c r="DX117" s="578">
        <v>0</v>
      </c>
      <c r="DY117" s="578">
        <v>0</v>
      </c>
      <c r="DZ117" s="578">
        <v>8.7574080093232718E-5</v>
      </c>
      <c r="EA117" s="578">
        <v>2.1591397275032108E-4</v>
      </c>
      <c r="EB117" s="578">
        <v>4.2128161527030962E-5</v>
      </c>
      <c r="EC117" s="578">
        <v>4.1591867566600506E-4</v>
      </c>
      <c r="ED117" s="578">
        <v>7.1460231024594986E-4</v>
      </c>
      <c r="EE117" s="578">
        <v>0</v>
      </c>
      <c r="EF117" s="578">
        <v>0</v>
      </c>
      <c r="EG117" s="578">
        <v>0</v>
      </c>
      <c r="EH117" s="578">
        <v>0</v>
      </c>
      <c r="EI117" s="578">
        <v>0</v>
      </c>
      <c r="EJ117" s="578">
        <v>0</v>
      </c>
      <c r="EK117" s="578">
        <v>0</v>
      </c>
      <c r="EL117" s="578">
        <v>0</v>
      </c>
      <c r="EM117" s="578">
        <v>0</v>
      </c>
      <c r="EN117" s="578">
        <v>0</v>
      </c>
      <c r="EO117" s="578">
        <v>0</v>
      </c>
      <c r="EP117" s="578">
        <v>0</v>
      </c>
      <c r="EQ117" s="578">
        <v>1.6946912103145687E-5</v>
      </c>
      <c r="ER117" s="578">
        <v>0</v>
      </c>
      <c r="ES117" s="578">
        <v>0</v>
      </c>
      <c r="ET117" s="578">
        <v>0</v>
      </c>
      <c r="EU117" s="578">
        <v>0</v>
      </c>
      <c r="EV117" s="578">
        <v>0</v>
      </c>
      <c r="EW117" s="578">
        <v>0</v>
      </c>
      <c r="EX117" s="578">
        <v>0</v>
      </c>
      <c r="EY117" s="578">
        <v>0</v>
      </c>
      <c r="EZ117" s="578">
        <v>0</v>
      </c>
      <c r="FA117" s="578">
        <v>0</v>
      </c>
      <c r="FB117" s="578">
        <v>0</v>
      </c>
      <c r="FC117" s="578">
        <v>0</v>
      </c>
      <c r="FD117" s="578">
        <v>0</v>
      </c>
      <c r="FE117" s="578">
        <v>0</v>
      </c>
      <c r="FF117" s="578">
        <v>7.5840310641912386E-6</v>
      </c>
      <c r="FG117" s="578">
        <v>0</v>
      </c>
      <c r="FH117" s="578">
        <v>0</v>
      </c>
      <c r="FI117" s="578">
        <v>4.3161411936038895E-4</v>
      </c>
      <c r="FJ117" s="578">
        <v>1.2529401379373189E-5</v>
      </c>
      <c r="FK117" s="578">
        <v>0</v>
      </c>
      <c r="FL117" s="578">
        <v>0</v>
      </c>
      <c r="FM117" s="578">
        <v>0</v>
      </c>
      <c r="FN117" s="578">
        <v>0</v>
      </c>
      <c r="FO117" s="578">
        <v>0</v>
      </c>
      <c r="FP117" s="578">
        <v>0</v>
      </c>
      <c r="FQ117" s="578">
        <v>0</v>
      </c>
      <c r="FR117" s="578">
        <v>0</v>
      </c>
      <c r="FS117" s="578">
        <v>0</v>
      </c>
      <c r="FT117" s="578">
        <v>0</v>
      </c>
      <c r="FU117" s="578">
        <v>0</v>
      </c>
      <c r="FV117" s="578">
        <v>0</v>
      </c>
      <c r="FW117" s="578">
        <v>8.0832248833994816E-6</v>
      </c>
      <c r="FX117" s="578">
        <v>3.9801329700761269E-4</v>
      </c>
      <c r="FY117" s="578">
        <v>5.2660563396624188E-5</v>
      </c>
      <c r="FZ117" s="578">
        <v>0</v>
      </c>
      <c r="GA117" s="578">
        <v>0</v>
      </c>
      <c r="GB117" s="578">
        <v>0</v>
      </c>
      <c r="GC117" s="578">
        <v>0</v>
      </c>
      <c r="GD117" s="578">
        <v>0</v>
      </c>
      <c r="GE117" s="578">
        <v>0</v>
      </c>
      <c r="GF117" s="578">
        <v>0</v>
      </c>
      <c r="GG117" s="579">
        <v>1.580140052361262E-4</v>
      </c>
      <c r="GH117" s="572"/>
    </row>
    <row r="118" spans="1:190">
      <c r="A118" s="572" t="s">
        <v>5379</v>
      </c>
      <c r="B118" s="577" t="s">
        <v>9449</v>
      </c>
      <c r="C118" s="573" t="s">
        <v>9088</v>
      </c>
      <c r="D118" s="578">
        <v>0</v>
      </c>
      <c r="E118" s="578">
        <v>0</v>
      </c>
      <c r="F118" s="578">
        <v>0</v>
      </c>
      <c r="G118" s="578">
        <v>0</v>
      </c>
      <c r="H118" s="578">
        <v>0</v>
      </c>
      <c r="I118" s="578">
        <v>1.6289297931259162E-4</v>
      </c>
      <c r="J118" s="578">
        <v>4.8317737441414742E-5</v>
      </c>
      <c r="K118" s="578">
        <v>0</v>
      </c>
      <c r="L118" s="578">
        <v>0</v>
      </c>
      <c r="M118" s="578">
        <v>0</v>
      </c>
      <c r="N118" s="578">
        <v>0</v>
      </c>
      <c r="O118" s="578">
        <v>7.6640098099325568E-4</v>
      </c>
      <c r="P118" s="578">
        <v>0</v>
      </c>
      <c r="Q118" s="578">
        <v>0</v>
      </c>
      <c r="R118" s="578">
        <v>0</v>
      </c>
      <c r="S118" s="578">
        <v>1.8674136321195146E-3</v>
      </c>
      <c r="T118" s="578">
        <v>0</v>
      </c>
      <c r="U118" s="578">
        <v>0</v>
      </c>
      <c r="V118" s="578">
        <v>0</v>
      </c>
      <c r="W118" s="578">
        <v>0</v>
      </c>
      <c r="X118" s="578">
        <v>0</v>
      </c>
      <c r="Y118" s="578">
        <v>0</v>
      </c>
      <c r="Z118" s="578">
        <v>0</v>
      </c>
      <c r="AA118" s="578">
        <v>4.7604086334770977E-6</v>
      </c>
      <c r="AB118" s="578">
        <v>0</v>
      </c>
      <c r="AC118" s="578">
        <v>0</v>
      </c>
      <c r="AD118" s="578">
        <v>0</v>
      </c>
      <c r="AE118" s="578">
        <v>0</v>
      </c>
      <c r="AF118" s="578">
        <v>0</v>
      </c>
      <c r="AG118" s="578">
        <v>0</v>
      </c>
      <c r="AH118" s="578">
        <v>0</v>
      </c>
      <c r="AI118" s="578">
        <v>0</v>
      </c>
      <c r="AJ118" s="578">
        <v>0</v>
      </c>
      <c r="AK118" s="578">
        <v>0</v>
      </c>
      <c r="AL118" s="578">
        <v>0</v>
      </c>
      <c r="AM118" s="578">
        <v>0</v>
      </c>
      <c r="AN118" s="578">
        <v>0</v>
      </c>
      <c r="AO118" s="578">
        <v>7.1250445315283219E-4</v>
      </c>
      <c r="AP118" s="578">
        <v>0</v>
      </c>
      <c r="AQ118" s="578">
        <v>0</v>
      </c>
      <c r="AR118" s="578">
        <v>0</v>
      </c>
      <c r="AS118" s="578">
        <v>0</v>
      </c>
      <c r="AT118" s="578">
        <v>0</v>
      </c>
      <c r="AU118" s="578">
        <v>1.6360988858166587E-5</v>
      </c>
      <c r="AV118" s="578">
        <v>0</v>
      </c>
      <c r="AW118" s="578">
        <v>0</v>
      </c>
      <c r="AX118" s="578">
        <v>4.3889004707095756E-5</v>
      </c>
      <c r="AY118" s="578">
        <v>0</v>
      </c>
      <c r="AZ118" s="578">
        <v>0</v>
      </c>
      <c r="BA118" s="578">
        <v>0</v>
      </c>
      <c r="BB118" s="578">
        <v>0</v>
      </c>
      <c r="BC118" s="578">
        <v>0</v>
      </c>
      <c r="BD118" s="578">
        <v>0</v>
      </c>
      <c r="BE118" s="578">
        <v>3.5102252862588722E-6</v>
      </c>
      <c r="BF118" s="578">
        <v>0</v>
      </c>
      <c r="BG118" s="578">
        <v>0</v>
      </c>
      <c r="BH118" s="578">
        <v>0</v>
      </c>
      <c r="BI118" s="578">
        <v>0</v>
      </c>
      <c r="BJ118" s="578">
        <v>0</v>
      </c>
      <c r="BK118" s="578">
        <v>0</v>
      </c>
      <c r="BL118" s="578">
        <v>0</v>
      </c>
      <c r="BM118" s="578">
        <v>2.0610199300627238E-5</v>
      </c>
      <c r="BN118" s="578">
        <v>0</v>
      </c>
      <c r="BO118" s="578">
        <v>0</v>
      </c>
      <c r="BP118" s="578">
        <v>0</v>
      </c>
      <c r="BQ118" s="578">
        <v>0</v>
      </c>
      <c r="BR118" s="578">
        <v>0</v>
      </c>
      <c r="BS118" s="578">
        <v>0</v>
      </c>
      <c r="BT118" s="578">
        <v>0</v>
      </c>
      <c r="BU118" s="578">
        <v>0</v>
      </c>
      <c r="BV118" s="578">
        <v>2.3581727529982483E-4</v>
      </c>
      <c r="BW118" s="578">
        <v>0</v>
      </c>
      <c r="BX118" s="578">
        <v>0</v>
      </c>
      <c r="BY118" s="578">
        <v>0</v>
      </c>
      <c r="BZ118" s="578">
        <v>0</v>
      </c>
      <c r="CA118" s="578">
        <v>0</v>
      </c>
      <c r="CB118" s="578">
        <v>0</v>
      </c>
      <c r="CC118" s="578">
        <v>0</v>
      </c>
      <c r="CD118" s="578">
        <v>0</v>
      </c>
      <c r="CE118" s="578">
        <v>0</v>
      </c>
      <c r="CF118" s="578">
        <v>0</v>
      </c>
      <c r="CG118" s="578">
        <v>0</v>
      </c>
      <c r="CH118" s="578">
        <v>0</v>
      </c>
      <c r="CI118" s="578">
        <v>0</v>
      </c>
      <c r="CJ118" s="578">
        <v>1.3104794966370145E-3</v>
      </c>
      <c r="CK118" s="578">
        <v>2.4710782978809245E-4</v>
      </c>
      <c r="CL118" s="578">
        <v>2.0981326619308816E-3</v>
      </c>
      <c r="CM118" s="578">
        <v>3.4665337037300851E-4</v>
      </c>
      <c r="CN118" s="578">
        <v>2.5207448861443459E-3</v>
      </c>
      <c r="CO118" s="578">
        <v>6.8329347454731807E-4</v>
      </c>
      <c r="CP118" s="578">
        <v>8.5839212425225999E-4</v>
      </c>
      <c r="CQ118" s="578">
        <v>2.739376951009747E-3</v>
      </c>
      <c r="CR118" s="578">
        <v>1.7187318546045755E-3</v>
      </c>
      <c r="CS118" s="578">
        <v>1.7516103514521415E-3</v>
      </c>
      <c r="CT118" s="578">
        <v>1.2248111749438629E-3</v>
      </c>
      <c r="CU118" s="578">
        <v>1.1447366299598535E-3</v>
      </c>
      <c r="CV118" s="578">
        <v>2.6020209029012532E-4</v>
      </c>
      <c r="CW118" s="578">
        <v>2.5356947803698215E-3</v>
      </c>
      <c r="CX118" s="578">
        <v>7.8525435102297229E-4</v>
      </c>
      <c r="CY118" s="578">
        <v>1.9873614799890099E-3</v>
      </c>
      <c r="CZ118" s="578">
        <v>5.7432432432432436E-3</v>
      </c>
      <c r="DA118" s="578">
        <v>4.7546636396735989E-3</v>
      </c>
      <c r="DB118" s="578">
        <v>2.3284778253100124E-3</v>
      </c>
      <c r="DC118" s="578">
        <v>4.3509789702683103E-3</v>
      </c>
      <c r="DD118" s="578">
        <v>8.6956521739130436E-3</v>
      </c>
      <c r="DE118" s="578">
        <v>5.1270285496210953E-2</v>
      </c>
      <c r="DF118" s="578">
        <v>1.1991772505791197E-2</v>
      </c>
      <c r="DG118" s="578">
        <v>8.1534279171797189E-3</v>
      </c>
      <c r="DH118" s="578">
        <v>1.060250790090733E-2</v>
      </c>
      <c r="DI118" s="578">
        <v>1.7551993641541925E-3</v>
      </c>
      <c r="DJ118" s="578">
        <v>5.031743468051535E-3</v>
      </c>
      <c r="DK118" s="578">
        <v>7.8085703172375134E-2</v>
      </c>
      <c r="DL118" s="578">
        <v>2.3451427994242571E-2</v>
      </c>
      <c r="DM118" s="578">
        <v>7.4652188666440447E-3</v>
      </c>
      <c r="DN118" s="578">
        <v>2.6079062474209788E-3</v>
      </c>
      <c r="DO118" s="578">
        <v>0</v>
      </c>
      <c r="DP118" s="578">
        <v>7.3400525854513581E-3</v>
      </c>
      <c r="DQ118" s="578">
        <v>1.7390413603448139E-2</v>
      </c>
      <c r="DR118" s="578">
        <v>3.3312325560457367E-3</v>
      </c>
      <c r="DS118" s="578">
        <v>2.121604471393593E-3</v>
      </c>
      <c r="DT118" s="578">
        <v>1.049646837574441E-3</v>
      </c>
      <c r="DU118" s="578">
        <v>1.5925595617276085E-5</v>
      </c>
      <c r="DV118" s="578">
        <v>1.4405351645149438E-2</v>
      </c>
      <c r="DW118" s="578">
        <v>5.310271582460932E-3</v>
      </c>
      <c r="DX118" s="578">
        <v>1.7222675092089215E-3</v>
      </c>
      <c r="DY118" s="578">
        <v>0</v>
      </c>
      <c r="DZ118" s="578">
        <v>3.7555807424597873E-3</v>
      </c>
      <c r="EA118" s="578">
        <v>5.7206073192610845E-3</v>
      </c>
      <c r="EB118" s="578">
        <v>3.7149378801109119E-3</v>
      </c>
      <c r="EC118" s="578">
        <v>1.2263484481034414E-3</v>
      </c>
      <c r="ED118" s="578">
        <v>1.7865057756148745E-3</v>
      </c>
      <c r="EE118" s="578">
        <v>3.8481321807749885E-6</v>
      </c>
      <c r="EF118" s="578">
        <v>0</v>
      </c>
      <c r="EG118" s="578">
        <v>0</v>
      </c>
      <c r="EH118" s="578">
        <v>2.0234291799787007E-4</v>
      </c>
      <c r="EI118" s="578">
        <v>0</v>
      </c>
      <c r="EJ118" s="578">
        <v>2.5883522351949399E-4</v>
      </c>
      <c r="EK118" s="578">
        <v>1.8017119663136521E-4</v>
      </c>
      <c r="EL118" s="578">
        <v>4.4761421622750736E-6</v>
      </c>
      <c r="EM118" s="578">
        <v>0</v>
      </c>
      <c r="EN118" s="578">
        <v>4.7434954818205533E-5</v>
      </c>
      <c r="EO118" s="578">
        <v>1.7727946926466446E-5</v>
      </c>
      <c r="EP118" s="578">
        <v>0</v>
      </c>
      <c r="EQ118" s="578">
        <v>3.45717006904172E-4</v>
      </c>
      <c r="ER118" s="578">
        <v>0</v>
      </c>
      <c r="ES118" s="578">
        <v>1.9051377482632629E-4</v>
      </c>
      <c r="ET118" s="578">
        <v>0</v>
      </c>
      <c r="EU118" s="578">
        <v>0</v>
      </c>
      <c r="EV118" s="578">
        <v>6.6012825348924929E-4</v>
      </c>
      <c r="EW118" s="578">
        <v>9.7227083576401045E-5</v>
      </c>
      <c r="EX118" s="578">
        <v>3.8546043248660526E-5</v>
      </c>
      <c r="EY118" s="578">
        <v>9.8980500841334257E-5</v>
      </c>
      <c r="EZ118" s="578">
        <v>1.7381631092261696E-5</v>
      </c>
      <c r="FA118" s="578">
        <v>1.9655805014414258E-4</v>
      </c>
      <c r="FB118" s="578">
        <v>4.2499080873052545E-4</v>
      </c>
      <c r="FC118" s="578">
        <v>0</v>
      </c>
      <c r="FD118" s="578">
        <v>0</v>
      </c>
      <c r="FE118" s="578">
        <v>8.8146406984553397E-4</v>
      </c>
      <c r="FF118" s="578">
        <v>3.0336124256764954E-5</v>
      </c>
      <c r="FG118" s="578">
        <v>0</v>
      </c>
      <c r="FH118" s="578">
        <v>2.7637782474394405E-4</v>
      </c>
      <c r="FI118" s="578">
        <v>9.2195124815756563E-4</v>
      </c>
      <c r="FJ118" s="578">
        <v>1.2529401379373189E-4</v>
      </c>
      <c r="FK118" s="578">
        <v>6.1213885586977102E-4</v>
      </c>
      <c r="FL118" s="578">
        <v>1.1761630946157867E-4</v>
      </c>
      <c r="FM118" s="578">
        <v>9.029845094463831E-4</v>
      </c>
      <c r="FN118" s="578">
        <v>0</v>
      </c>
      <c r="FO118" s="578">
        <v>3.4164284656819763E-5</v>
      </c>
      <c r="FP118" s="578">
        <v>1.5756468030126366E-4</v>
      </c>
      <c r="FQ118" s="578">
        <v>2.7829261912315563E-6</v>
      </c>
      <c r="FR118" s="578">
        <v>7.0037656913533846E-6</v>
      </c>
      <c r="FS118" s="578">
        <v>0</v>
      </c>
      <c r="FT118" s="578">
        <v>5.1879866980021065E-6</v>
      </c>
      <c r="FU118" s="578">
        <v>1.3724010155767515E-4</v>
      </c>
      <c r="FV118" s="578">
        <v>0</v>
      </c>
      <c r="FW118" s="578">
        <v>5.4885096958282474E-3</v>
      </c>
      <c r="FX118" s="578">
        <v>7.338019799760071E-3</v>
      </c>
      <c r="FY118" s="578">
        <v>9.0147744119644798E-5</v>
      </c>
      <c r="FZ118" s="578">
        <v>9.5286357159253828E-5</v>
      </c>
      <c r="GA118" s="578">
        <v>4.2474845906159999E-5</v>
      </c>
      <c r="GB118" s="578">
        <v>2.3582792108254448E-5</v>
      </c>
      <c r="GC118" s="578">
        <v>6.1971384093680905E-4</v>
      </c>
      <c r="GD118" s="578">
        <v>7.7248346717449052E-5</v>
      </c>
      <c r="GE118" s="578">
        <v>0</v>
      </c>
      <c r="GF118" s="578">
        <v>1.0826301544340073E-3</v>
      </c>
      <c r="GG118" s="579">
        <v>2.2268269997165195E-3</v>
      </c>
      <c r="GH118" s="572"/>
    </row>
    <row r="119" spans="1:190">
      <c r="A119" s="572" t="s">
        <v>5693</v>
      </c>
      <c r="B119" s="577" t="s">
        <v>547</v>
      </c>
      <c r="C119" s="573" t="s">
        <v>9537</v>
      </c>
      <c r="D119" s="578">
        <v>0</v>
      </c>
      <c r="E119" s="578">
        <v>0</v>
      </c>
      <c r="F119" s="578">
        <v>0</v>
      </c>
      <c r="G119" s="578">
        <v>0</v>
      </c>
      <c r="H119" s="578">
        <v>0</v>
      </c>
      <c r="I119" s="578">
        <v>0</v>
      </c>
      <c r="J119" s="578">
        <v>0</v>
      </c>
      <c r="K119" s="578">
        <v>7.1045433554758265E-5</v>
      </c>
      <c r="L119" s="578">
        <v>0</v>
      </c>
      <c r="M119" s="578">
        <v>0</v>
      </c>
      <c r="N119" s="578">
        <v>0</v>
      </c>
      <c r="O119" s="578">
        <v>4.3794341771043183E-5</v>
      </c>
      <c r="P119" s="578">
        <v>0</v>
      </c>
      <c r="Q119" s="578">
        <v>0</v>
      </c>
      <c r="R119" s="578">
        <v>0</v>
      </c>
      <c r="S119" s="578">
        <v>0</v>
      </c>
      <c r="T119" s="578">
        <v>2.6243016897222505E-5</v>
      </c>
      <c r="U119" s="578">
        <v>1.9127041811713402E-5</v>
      </c>
      <c r="V119" s="578">
        <v>7.4606822047808049E-6</v>
      </c>
      <c r="W119" s="578">
        <v>1.2255352525215388E-5</v>
      </c>
      <c r="X119" s="578">
        <v>2.559115569659126E-5</v>
      </c>
      <c r="Y119" s="578">
        <v>1.1366305723313809E-5</v>
      </c>
      <c r="Z119" s="578">
        <v>8.0524590867974557E-6</v>
      </c>
      <c r="AA119" s="578">
        <v>9.5208172669541955E-5</v>
      </c>
      <c r="AB119" s="578">
        <v>8.2588658925356376E-6</v>
      </c>
      <c r="AC119" s="578">
        <v>0</v>
      </c>
      <c r="AD119" s="578">
        <v>0</v>
      </c>
      <c r="AE119" s="578">
        <v>0</v>
      </c>
      <c r="AF119" s="578">
        <v>0</v>
      </c>
      <c r="AG119" s="578">
        <v>0</v>
      </c>
      <c r="AH119" s="578">
        <v>0</v>
      </c>
      <c r="AI119" s="578">
        <v>0</v>
      </c>
      <c r="AJ119" s="578">
        <v>0</v>
      </c>
      <c r="AK119" s="578">
        <v>0</v>
      </c>
      <c r="AL119" s="578">
        <v>0</v>
      </c>
      <c r="AM119" s="578">
        <v>0</v>
      </c>
      <c r="AN119" s="578">
        <v>0</v>
      </c>
      <c r="AO119" s="578">
        <v>0</v>
      </c>
      <c r="AP119" s="578">
        <v>0</v>
      </c>
      <c r="AQ119" s="578">
        <v>0</v>
      </c>
      <c r="AR119" s="578">
        <v>0</v>
      </c>
      <c r="AS119" s="578">
        <v>0</v>
      </c>
      <c r="AT119" s="578">
        <v>0</v>
      </c>
      <c r="AU119" s="578">
        <v>0</v>
      </c>
      <c r="AV119" s="578">
        <v>0</v>
      </c>
      <c r="AW119" s="578">
        <v>0</v>
      </c>
      <c r="AX119" s="578">
        <v>0</v>
      </c>
      <c r="AY119" s="578">
        <v>0</v>
      </c>
      <c r="AZ119" s="578">
        <v>0</v>
      </c>
      <c r="BA119" s="578">
        <v>0</v>
      </c>
      <c r="BB119" s="578">
        <v>0</v>
      </c>
      <c r="BC119" s="578">
        <v>0</v>
      </c>
      <c r="BD119" s="578">
        <v>0</v>
      </c>
      <c r="BE119" s="578">
        <v>1.1583743444654278E-4</v>
      </c>
      <c r="BF119" s="578">
        <v>0</v>
      </c>
      <c r="BG119" s="578">
        <v>0</v>
      </c>
      <c r="BH119" s="578">
        <v>6.8707744736986755E-6</v>
      </c>
      <c r="BI119" s="578">
        <v>1.0843046896177825E-4</v>
      </c>
      <c r="BJ119" s="578">
        <v>4.1236943352810916E-6</v>
      </c>
      <c r="BK119" s="578">
        <v>0</v>
      </c>
      <c r="BL119" s="578">
        <v>0</v>
      </c>
      <c r="BM119" s="578">
        <v>2.2900221445141375E-6</v>
      </c>
      <c r="BN119" s="578">
        <v>9.8765432098765426E-5</v>
      </c>
      <c r="BO119" s="578">
        <v>0</v>
      </c>
      <c r="BP119" s="578">
        <v>0</v>
      </c>
      <c r="BQ119" s="578">
        <v>5.5639014076670561E-5</v>
      </c>
      <c r="BR119" s="578">
        <v>1.0668601239691463E-5</v>
      </c>
      <c r="BS119" s="578">
        <v>1.0115621554366407E-5</v>
      </c>
      <c r="BT119" s="578">
        <v>0</v>
      </c>
      <c r="BU119" s="578">
        <v>0</v>
      </c>
      <c r="BV119" s="578">
        <v>0</v>
      </c>
      <c r="BW119" s="578">
        <v>0</v>
      </c>
      <c r="BX119" s="578">
        <v>0</v>
      </c>
      <c r="BY119" s="578">
        <v>1.2512074151556252E-6</v>
      </c>
      <c r="BZ119" s="578">
        <v>0</v>
      </c>
      <c r="CA119" s="578">
        <v>0</v>
      </c>
      <c r="CB119" s="578">
        <v>0</v>
      </c>
      <c r="CC119" s="578">
        <v>0</v>
      </c>
      <c r="CD119" s="578">
        <v>0</v>
      </c>
      <c r="CE119" s="578">
        <v>0</v>
      </c>
      <c r="CF119" s="578">
        <v>0</v>
      </c>
      <c r="CG119" s="578">
        <v>0</v>
      </c>
      <c r="CH119" s="578">
        <v>1.5044032726557348E-4</v>
      </c>
      <c r="CI119" s="578">
        <v>7.4613873206158136E-5</v>
      </c>
      <c r="CJ119" s="578">
        <v>2.6036016489477111E-5</v>
      </c>
      <c r="CK119" s="578">
        <v>1.5129050803352597E-5</v>
      </c>
      <c r="CL119" s="578">
        <v>3.2970656116056713E-5</v>
      </c>
      <c r="CM119" s="578">
        <v>3.7989410451836553E-5</v>
      </c>
      <c r="CN119" s="578">
        <v>5.8133925125434197E-3</v>
      </c>
      <c r="CO119" s="578">
        <v>0</v>
      </c>
      <c r="CP119" s="578">
        <v>5.3649507765766249E-5</v>
      </c>
      <c r="CQ119" s="578">
        <v>0</v>
      </c>
      <c r="CR119" s="578">
        <v>2.0322842875391942E-5</v>
      </c>
      <c r="CS119" s="578">
        <v>1.1300711944852526E-4</v>
      </c>
      <c r="CT119" s="578">
        <v>2.9162170831996735E-5</v>
      </c>
      <c r="CU119" s="578">
        <v>3.224610225239024E-5</v>
      </c>
      <c r="CV119" s="578">
        <v>0</v>
      </c>
      <c r="CW119" s="578">
        <v>0</v>
      </c>
      <c r="CX119" s="578">
        <v>2.141602775517197E-5</v>
      </c>
      <c r="CY119" s="578">
        <v>9.1583478340507378E-6</v>
      </c>
      <c r="CZ119" s="578">
        <v>0</v>
      </c>
      <c r="DA119" s="578">
        <v>0</v>
      </c>
      <c r="DB119" s="578">
        <v>5.4150647100232849E-5</v>
      </c>
      <c r="DC119" s="578">
        <v>0</v>
      </c>
      <c r="DD119" s="578">
        <v>0</v>
      </c>
      <c r="DE119" s="578">
        <v>4.0889018118378252E-5</v>
      </c>
      <c r="DF119" s="578">
        <v>3.9939292275740873E-5</v>
      </c>
      <c r="DG119" s="578">
        <v>4.8115722687219369E-5</v>
      </c>
      <c r="DH119" s="578">
        <v>0</v>
      </c>
      <c r="DI119" s="578">
        <v>3.3116969134984766E-5</v>
      </c>
      <c r="DJ119" s="578">
        <v>9.9392463566450078E-5</v>
      </c>
      <c r="DK119" s="578">
        <v>7.7310185375328874E-5</v>
      </c>
      <c r="DL119" s="578">
        <v>1.7322794878917198E-3</v>
      </c>
      <c r="DM119" s="578">
        <v>0</v>
      </c>
      <c r="DN119" s="578">
        <v>3.0535611124865889E-4</v>
      </c>
      <c r="DO119" s="578">
        <v>0</v>
      </c>
      <c r="DP119" s="578">
        <v>1.3146362839614373E-4</v>
      </c>
      <c r="DQ119" s="578">
        <v>1.5759323609830667E-5</v>
      </c>
      <c r="DR119" s="578">
        <v>1.3338268492675623E-5</v>
      </c>
      <c r="DS119" s="578">
        <v>1.7915058904970067E-3</v>
      </c>
      <c r="DT119" s="578">
        <v>1.435975187515034E-3</v>
      </c>
      <c r="DU119" s="578">
        <v>6.3702382469104342E-5</v>
      </c>
      <c r="DV119" s="578">
        <v>6.3348072318159359E-5</v>
      </c>
      <c r="DW119" s="578">
        <v>2.1915406530791147E-4</v>
      </c>
      <c r="DX119" s="578">
        <v>3.6774395214425372E-5</v>
      </c>
      <c r="DY119" s="578">
        <v>7.9050133594725774E-5</v>
      </c>
      <c r="DZ119" s="578">
        <v>6.6017383454898505E-4</v>
      </c>
      <c r="EA119" s="578">
        <v>1.7006007750643847E-3</v>
      </c>
      <c r="EB119" s="578">
        <v>5.0936777119046526E-4</v>
      </c>
      <c r="EC119" s="578">
        <v>2.7187625196108713E-3</v>
      </c>
      <c r="ED119" s="578">
        <v>2.8765004387115451E-3</v>
      </c>
      <c r="EE119" s="578">
        <v>1.5392528723099954E-5</v>
      </c>
      <c r="EF119" s="578">
        <v>6.4141624707353838E-6</v>
      </c>
      <c r="EG119" s="578">
        <v>0</v>
      </c>
      <c r="EH119" s="578">
        <v>1.0649627263045793E-5</v>
      </c>
      <c r="EI119" s="578">
        <v>1.6859994604801726E-5</v>
      </c>
      <c r="EJ119" s="578">
        <v>3.6039209941429544E-4</v>
      </c>
      <c r="EK119" s="578">
        <v>2.5495924051608282E-4</v>
      </c>
      <c r="EL119" s="578">
        <v>1.8053773387842798E-4</v>
      </c>
      <c r="EM119" s="578">
        <v>9.3016628206599823E-5</v>
      </c>
      <c r="EN119" s="578">
        <v>2.6428046255857368E-4</v>
      </c>
      <c r="EO119" s="578">
        <v>1.0242813779736169E-4</v>
      </c>
      <c r="EP119" s="578">
        <v>0</v>
      </c>
      <c r="EQ119" s="578">
        <v>1.0168147261887411E-4</v>
      </c>
      <c r="ER119" s="578">
        <v>0</v>
      </c>
      <c r="ES119" s="578">
        <v>4.7628443706581573E-5</v>
      </c>
      <c r="ET119" s="578">
        <v>2.3983325625984674E-4</v>
      </c>
      <c r="EU119" s="578">
        <v>2.346784318787182E-5</v>
      </c>
      <c r="EV119" s="578">
        <v>3.7721614485099963E-5</v>
      </c>
      <c r="EW119" s="578">
        <v>2.041768755104422E-4</v>
      </c>
      <c r="EX119" s="578">
        <v>3.8546043248660526E-5</v>
      </c>
      <c r="EY119" s="578">
        <v>2.2270612689300208E-4</v>
      </c>
      <c r="EZ119" s="578">
        <v>2.6072446638392548E-5</v>
      </c>
      <c r="FA119" s="578">
        <v>6.5519350048047522E-5</v>
      </c>
      <c r="FB119" s="578">
        <v>5.0594143896491128E-5</v>
      </c>
      <c r="FC119" s="578">
        <v>0</v>
      </c>
      <c r="FD119" s="578">
        <v>2.4602666929095112E-6</v>
      </c>
      <c r="FE119" s="578">
        <v>2.0987239758226999E-5</v>
      </c>
      <c r="FF119" s="578">
        <v>3.9816163087004003E-4</v>
      </c>
      <c r="FG119" s="578">
        <v>0</v>
      </c>
      <c r="FH119" s="578">
        <v>2.6012030564135914E-4</v>
      </c>
      <c r="FI119" s="578">
        <v>4.6361815950343825E-3</v>
      </c>
      <c r="FJ119" s="578">
        <v>3.1893021692949934E-5</v>
      </c>
      <c r="FK119" s="578">
        <v>3.0505258598161348E-5</v>
      </c>
      <c r="FL119" s="578">
        <v>2.6136957658128594E-5</v>
      </c>
      <c r="FM119" s="578">
        <v>1.165141302511462E-4</v>
      </c>
      <c r="FN119" s="578">
        <v>3.1749885607029797E-4</v>
      </c>
      <c r="FO119" s="578">
        <v>2.673726625316329E-5</v>
      </c>
      <c r="FP119" s="578">
        <v>0</v>
      </c>
      <c r="FQ119" s="578">
        <v>4.45268190597049E-5</v>
      </c>
      <c r="FR119" s="578">
        <v>4.6691771275689231E-6</v>
      </c>
      <c r="FS119" s="578">
        <v>7.2882211134159334E-5</v>
      </c>
      <c r="FT119" s="578">
        <v>6.7443827074027386E-5</v>
      </c>
      <c r="FU119" s="578">
        <v>1.0293007616825636E-4</v>
      </c>
      <c r="FV119" s="578">
        <v>3.1418876460977753E-4</v>
      </c>
      <c r="FW119" s="578">
        <v>4.8499349300396886E-5</v>
      </c>
      <c r="FX119" s="578">
        <v>4.2323949188837688E-4</v>
      </c>
      <c r="FY119" s="578">
        <v>5.355311531860087E-4</v>
      </c>
      <c r="FZ119" s="578">
        <v>1.2993594158080067E-5</v>
      </c>
      <c r="GA119" s="578">
        <v>1.6908255966490614E-4</v>
      </c>
      <c r="GB119" s="578">
        <v>1.4149675264952669E-5</v>
      </c>
      <c r="GC119" s="578">
        <v>1.1402734673237286E-4</v>
      </c>
      <c r="GD119" s="578">
        <v>1.0075871310971616E-5</v>
      </c>
      <c r="GE119" s="578">
        <v>0</v>
      </c>
      <c r="GF119" s="578">
        <v>0</v>
      </c>
      <c r="GG119" s="579">
        <v>2.4903376848617553E-4</v>
      </c>
      <c r="GH119" s="572"/>
    </row>
    <row r="120" spans="1:190">
      <c r="A120" s="572" t="s">
        <v>5695</v>
      </c>
      <c r="B120" s="577" t="s">
        <v>554</v>
      </c>
      <c r="C120" s="573" t="s">
        <v>9538</v>
      </c>
      <c r="D120" s="578">
        <v>0</v>
      </c>
      <c r="E120" s="578">
        <v>0</v>
      </c>
      <c r="F120" s="578">
        <v>0</v>
      </c>
      <c r="G120" s="578">
        <v>0</v>
      </c>
      <c r="H120" s="578">
        <v>0</v>
      </c>
      <c r="I120" s="578">
        <v>0</v>
      </c>
      <c r="J120" s="578">
        <v>0</v>
      </c>
      <c r="K120" s="578">
        <v>0</v>
      </c>
      <c r="L120" s="578">
        <v>0</v>
      </c>
      <c r="M120" s="578">
        <v>0</v>
      </c>
      <c r="N120" s="578">
        <v>0</v>
      </c>
      <c r="O120" s="578">
        <v>0</v>
      </c>
      <c r="P120" s="578">
        <v>0</v>
      </c>
      <c r="Q120" s="578">
        <v>0</v>
      </c>
      <c r="R120" s="578">
        <v>0</v>
      </c>
      <c r="S120" s="578">
        <v>0</v>
      </c>
      <c r="T120" s="578">
        <v>0</v>
      </c>
      <c r="U120" s="578">
        <v>0</v>
      </c>
      <c r="V120" s="578">
        <v>0</v>
      </c>
      <c r="W120" s="578">
        <v>0</v>
      </c>
      <c r="X120" s="578">
        <v>0</v>
      </c>
      <c r="Y120" s="578">
        <v>0</v>
      </c>
      <c r="Z120" s="578">
        <v>0</v>
      </c>
      <c r="AA120" s="578">
        <v>0</v>
      </c>
      <c r="AB120" s="578">
        <v>0</v>
      </c>
      <c r="AC120" s="578">
        <v>0</v>
      </c>
      <c r="AD120" s="578">
        <v>0</v>
      </c>
      <c r="AE120" s="578">
        <v>0</v>
      </c>
      <c r="AF120" s="578">
        <v>0</v>
      </c>
      <c r="AG120" s="578">
        <v>0</v>
      </c>
      <c r="AH120" s="578">
        <v>0</v>
      </c>
      <c r="AI120" s="578">
        <v>0</v>
      </c>
      <c r="AJ120" s="578">
        <v>0</v>
      </c>
      <c r="AK120" s="578">
        <v>0</v>
      </c>
      <c r="AL120" s="578">
        <v>0</v>
      </c>
      <c r="AM120" s="578">
        <v>0</v>
      </c>
      <c r="AN120" s="578">
        <v>0</v>
      </c>
      <c r="AO120" s="578">
        <v>0</v>
      </c>
      <c r="AP120" s="578">
        <v>0</v>
      </c>
      <c r="AQ120" s="578">
        <v>0</v>
      </c>
      <c r="AR120" s="578">
        <v>0</v>
      </c>
      <c r="AS120" s="578">
        <v>0</v>
      </c>
      <c r="AT120" s="578">
        <v>0</v>
      </c>
      <c r="AU120" s="578">
        <v>0</v>
      </c>
      <c r="AV120" s="578">
        <v>0</v>
      </c>
      <c r="AW120" s="578">
        <v>0</v>
      </c>
      <c r="AX120" s="578">
        <v>0</v>
      </c>
      <c r="AY120" s="578">
        <v>0</v>
      </c>
      <c r="AZ120" s="578">
        <v>0</v>
      </c>
      <c r="BA120" s="578">
        <v>0</v>
      </c>
      <c r="BB120" s="578">
        <v>0</v>
      </c>
      <c r="BC120" s="578">
        <v>0</v>
      </c>
      <c r="BD120" s="578">
        <v>0</v>
      </c>
      <c r="BE120" s="578">
        <v>0</v>
      </c>
      <c r="BF120" s="578">
        <v>0</v>
      </c>
      <c r="BG120" s="578">
        <v>0</v>
      </c>
      <c r="BH120" s="578">
        <v>0</v>
      </c>
      <c r="BI120" s="578">
        <v>0</v>
      </c>
      <c r="BJ120" s="578">
        <v>0</v>
      </c>
      <c r="BK120" s="578">
        <v>0</v>
      </c>
      <c r="BL120" s="578">
        <v>0</v>
      </c>
      <c r="BM120" s="578">
        <v>0</v>
      </c>
      <c r="BN120" s="578">
        <v>0</v>
      </c>
      <c r="BO120" s="578">
        <v>0</v>
      </c>
      <c r="BP120" s="578">
        <v>0</v>
      </c>
      <c r="BQ120" s="578">
        <v>0</v>
      </c>
      <c r="BR120" s="578">
        <v>0</v>
      </c>
      <c r="BS120" s="578">
        <v>0</v>
      </c>
      <c r="BT120" s="578">
        <v>0</v>
      </c>
      <c r="BU120" s="578">
        <v>0</v>
      </c>
      <c r="BV120" s="578">
        <v>0</v>
      </c>
      <c r="BW120" s="578">
        <v>0</v>
      </c>
      <c r="BX120" s="578">
        <v>0</v>
      </c>
      <c r="BY120" s="578">
        <v>0</v>
      </c>
      <c r="BZ120" s="578">
        <v>0</v>
      </c>
      <c r="CA120" s="578">
        <v>0</v>
      </c>
      <c r="CB120" s="578">
        <v>0</v>
      </c>
      <c r="CC120" s="578">
        <v>0</v>
      </c>
      <c r="CD120" s="578">
        <v>0</v>
      </c>
      <c r="CE120" s="578">
        <v>0</v>
      </c>
      <c r="CF120" s="578">
        <v>0</v>
      </c>
      <c r="CG120" s="578">
        <v>0</v>
      </c>
      <c r="CH120" s="578">
        <v>0</v>
      </c>
      <c r="CI120" s="578">
        <v>0</v>
      </c>
      <c r="CJ120" s="578">
        <v>0</v>
      </c>
      <c r="CK120" s="578">
        <v>0</v>
      </c>
      <c r="CL120" s="578">
        <v>0</v>
      </c>
      <c r="CM120" s="578">
        <v>3.3240734145356981E-5</v>
      </c>
      <c r="CN120" s="578">
        <v>0</v>
      </c>
      <c r="CO120" s="578">
        <v>0</v>
      </c>
      <c r="CP120" s="578">
        <v>0</v>
      </c>
      <c r="CQ120" s="578">
        <v>0</v>
      </c>
      <c r="CR120" s="578">
        <v>0</v>
      </c>
      <c r="CS120" s="578">
        <v>0</v>
      </c>
      <c r="CT120" s="578">
        <v>1.1664868332798694E-4</v>
      </c>
      <c r="CU120" s="578">
        <v>8.0615255630975602E-5</v>
      </c>
      <c r="CV120" s="578">
        <v>1.6727277232936628E-4</v>
      </c>
      <c r="CW120" s="578">
        <v>3.901068892876648E-5</v>
      </c>
      <c r="CX120" s="578">
        <v>1.2849616653103183E-4</v>
      </c>
      <c r="CY120" s="578">
        <v>5.4950087004304424E-5</v>
      </c>
      <c r="CZ120" s="578">
        <v>0</v>
      </c>
      <c r="DA120" s="578">
        <v>2.1417403782313509E-5</v>
      </c>
      <c r="DB120" s="578">
        <v>0</v>
      </c>
      <c r="DC120" s="578">
        <v>0</v>
      </c>
      <c r="DD120" s="578">
        <v>0</v>
      </c>
      <c r="DE120" s="578">
        <v>0</v>
      </c>
      <c r="DF120" s="578">
        <v>0</v>
      </c>
      <c r="DG120" s="578">
        <v>0</v>
      </c>
      <c r="DH120" s="578">
        <v>0</v>
      </c>
      <c r="DI120" s="578">
        <v>0</v>
      </c>
      <c r="DJ120" s="578">
        <v>0</v>
      </c>
      <c r="DK120" s="578">
        <v>0</v>
      </c>
      <c r="DL120" s="578">
        <v>3.0832554733466327E-3</v>
      </c>
      <c r="DM120" s="578">
        <v>2.1858387060287299E-2</v>
      </c>
      <c r="DN120" s="578">
        <v>0</v>
      </c>
      <c r="DO120" s="578">
        <v>0</v>
      </c>
      <c r="DP120" s="578">
        <v>2.7826468010517091E-3</v>
      </c>
      <c r="DQ120" s="578">
        <v>0</v>
      </c>
      <c r="DR120" s="578">
        <v>0</v>
      </c>
      <c r="DS120" s="578">
        <v>2.6279692848077738E-4</v>
      </c>
      <c r="DT120" s="578">
        <v>2.2013426732463972E-3</v>
      </c>
      <c r="DU120" s="578">
        <v>0</v>
      </c>
      <c r="DV120" s="578">
        <v>2.5339228927263745E-5</v>
      </c>
      <c r="DW120" s="578">
        <v>0</v>
      </c>
      <c r="DX120" s="578">
        <v>0</v>
      </c>
      <c r="DY120" s="578">
        <v>0</v>
      </c>
      <c r="DZ120" s="578">
        <v>2.6103812335482825E-4</v>
      </c>
      <c r="EA120" s="578">
        <v>2.7601373836123519E-4</v>
      </c>
      <c r="EB120" s="578">
        <v>0</v>
      </c>
      <c r="EC120" s="578">
        <v>7.3397413352824424E-5</v>
      </c>
      <c r="ED120" s="578">
        <v>1.8091197727745565E-4</v>
      </c>
      <c r="EE120" s="578">
        <v>0</v>
      </c>
      <c r="EF120" s="578">
        <v>0</v>
      </c>
      <c r="EG120" s="578">
        <v>0</v>
      </c>
      <c r="EH120" s="578">
        <v>0</v>
      </c>
      <c r="EI120" s="578">
        <v>0</v>
      </c>
      <c r="EJ120" s="578">
        <v>0</v>
      </c>
      <c r="EK120" s="578">
        <v>0</v>
      </c>
      <c r="EL120" s="578">
        <v>0</v>
      </c>
      <c r="EM120" s="578">
        <v>0</v>
      </c>
      <c r="EN120" s="578">
        <v>0</v>
      </c>
      <c r="EO120" s="578">
        <v>0</v>
      </c>
      <c r="EP120" s="578">
        <v>0</v>
      </c>
      <c r="EQ120" s="578">
        <v>0</v>
      </c>
      <c r="ER120" s="578">
        <v>0</v>
      </c>
      <c r="ES120" s="578">
        <v>1.1566907757312667E-4</v>
      </c>
      <c r="ET120" s="578">
        <v>0</v>
      </c>
      <c r="EU120" s="578">
        <v>0</v>
      </c>
      <c r="EV120" s="578">
        <v>0</v>
      </c>
      <c r="EW120" s="578">
        <v>0</v>
      </c>
      <c r="EX120" s="578">
        <v>0</v>
      </c>
      <c r="EY120" s="578">
        <v>0</v>
      </c>
      <c r="EZ120" s="578">
        <v>0</v>
      </c>
      <c r="FA120" s="578">
        <v>0</v>
      </c>
      <c r="FB120" s="578">
        <v>0</v>
      </c>
      <c r="FC120" s="578">
        <v>0</v>
      </c>
      <c r="FD120" s="578">
        <v>0</v>
      </c>
      <c r="FE120" s="578">
        <v>4.1974479516453998E-5</v>
      </c>
      <c r="FF120" s="578">
        <v>0</v>
      </c>
      <c r="FG120" s="578">
        <v>0</v>
      </c>
      <c r="FH120" s="578">
        <v>1.6257519102584946E-5</v>
      </c>
      <c r="FI120" s="578">
        <v>5.8723009436787614E-5</v>
      </c>
      <c r="FJ120" s="578">
        <v>0</v>
      </c>
      <c r="FK120" s="578">
        <v>0</v>
      </c>
      <c r="FL120" s="578">
        <v>0</v>
      </c>
      <c r="FM120" s="578">
        <v>0</v>
      </c>
      <c r="FN120" s="578">
        <v>0</v>
      </c>
      <c r="FO120" s="578">
        <v>0</v>
      </c>
      <c r="FP120" s="578">
        <v>0</v>
      </c>
      <c r="FQ120" s="578">
        <v>0</v>
      </c>
      <c r="FR120" s="578">
        <v>0</v>
      </c>
      <c r="FS120" s="578">
        <v>0</v>
      </c>
      <c r="FT120" s="578">
        <v>2.0751946792008426E-5</v>
      </c>
      <c r="FU120" s="578">
        <v>0</v>
      </c>
      <c r="FV120" s="578">
        <v>0</v>
      </c>
      <c r="FW120" s="578">
        <v>0</v>
      </c>
      <c r="FX120" s="578">
        <v>2.082562532934199E-3</v>
      </c>
      <c r="FY120" s="578">
        <v>1.7851038439533624E-6</v>
      </c>
      <c r="FZ120" s="578">
        <v>0</v>
      </c>
      <c r="GA120" s="578">
        <v>0</v>
      </c>
      <c r="GB120" s="578">
        <v>0</v>
      </c>
      <c r="GC120" s="578">
        <v>7.6844516276164314E-5</v>
      </c>
      <c r="GD120" s="578">
        <v>2.0151742621943232E-5</v>
      </c>
      <c r="GE120" s="578">
        <v>0</v>
      </c>
      <c r="GF120" s="578">
        <v>0</v>
      </c>
      <c r="GG120" s="579">
        <v>1.1609768448391795E-4</v>
      </c>
      <c r="GH120" s="572"/>
    </row>
    <row r="121" spans="1:190">
      <c r="A121" s="572" t="s">
        <v>5697</v>
      </c>
      <c r="B121" s="577" t="s">
        <v>9450</v>
      </c>
      <c r="C121" s="573" t="s">
        <v>9090</v>
      </c>
      <c r="D121" s="578">
        <v>0</v>
      </c>
      <c r="E121" s="578">
        <v>0</v>
      </c>
      <c r="F121" s="578">
        <v>0</v>
      </c>
      <c r="G121" s="578">
        <v>0</v>
      </c>
      <c r="H121" s="578">
        <v>0</v>
      </c>
      <c r="I121" s="578">
        <v>0</v>
      </c>
      <c r="J121" s="578">
        <v>0</v>
      </c>
      <c r="K121" s="578">
        <v>0</v>
      </c>
      <c r="L121" s="578">
        <v>0</v>
      </c>
      <c r="M121" s="578">
        <v>0</v>
      </c>
      <c r="N121" s="578">
        <v>0</v>
      </c>
      <c r="O121" s="578">
        <v>0</v>
      </c>
      <c r="P121" s="578">
        <v>0</v>
      </c>
      <c r="Q121" s="578">
        <v>0</v>
      </c>
      <c r="R121" s="578">
        <v>0</v>
      </c>
      <c r="S121" s="578">
        <v>0</v>
      </c>
      <c r="T121" s="578">
        <v>0</v>
      </c>
      <c r="U121" s="578">
        <v>0</v>
      </c>
      <c r="V121" s="578">
        <v>0</v>
      </c>
      <c r="W121" s="578">
        <v>0</v>
      </c>
      <c r="X121" s="578">
        <v>0</v>
      </c>
      <c r="Y121" s="578">
        <v>0</v>
      </c>
      <c r="Z121" s="578">
        <v>0</v>
      </c>
      <c r="AA121" s="578">
        <v>0</v>
      </c>
      <c r="AB121" s="578">
        <v>0</v>
      </c>
      <c r="AC121" s="578">
        <v>0</v>
      </c>
      <c r="AD121" s="578">
        <v>0</v>
      </c>
      <c r="AE121" s="578">
        <v>0</v>
      </c>
      <c r="AF121" s="578">
        <v>0</v>
      </c>
      <c r="AG121" s="578">
        <v>0</v>
      </c>
      <c r="AH121" s="578">
        <v>0</v>
      </c>
      <c r="AI121" s="578">
        <v>0</v>
      </c>
      <c r="AJ121" s="578">
        <v>0</v>
      </c>
      <c r="AK121" s="578">
        <v>0</v>
      </c>
      <c r="AL121" s="578">
        <v>0</v>
      </c>
      <c r="AM121" s="578">
        <v>0</v>
      </c>
      <c r="AN121" s="578">
        <v>0</v>
      </c>
      <c r="AO121" s="578">
        <v>0</v>
      </c>
      <c r="AP121" s="578">
        <v>0</v>
      </c>
      <c r="AQ121" s="578">
        <v>0</v>
      </c>
      <c r="AR121" s="578">
        <v>0</v>
      </c>
      <c r="AS121" s="578">
        <v>0</v>
      </c>
      <c r="AT121" s="578">
        <v>0</v>
      </c>
      <c r="AU121" s="578">
        <v>0</v>
      </c>
      <c r="AV121" s="578">
        <v>0</v>
      </c>
      <c r="AW121" s="578">
        <v>0</v>
      </c>
      <c r="AX121" s="578">
        <v>0</v>
      </c>
      <c r="AY121" s="578">
        <v>0</v>
      </c>
      <c r="AZ121" s="578">
        <v>0</v>
      </c>
      <c r="BA121" s="578">
        <v>0</v>
      </c>
      <c r="BB121" s="578">
        <v>0</v>
      </c>
      <c r="BC121" s="578">
        <v>0</v>
      </c>
      <c r="BD121" s="578">
        <v>0</v>
      </c>
      <c r="BE121" s="578">
        <v>0</v>
      </c>
      <c r="BF121" s="578">
        <v>0</v>
      </c>
      <c r="BG121" s="578">
        <v>0</v>
      </c>
      <c r="BH121" s="578">
        <v>0</v>
      </c>
      <c r="BI121" s="578">
        <v>0</v>
      </c>
      <c r="BJ121" s="578">
        <v>0</v>
      </c>
      <c r="BK121" s="578">
        <v>0</v>
      </c>
      <c r="BL121" s="578">
        <v>0</v>
      </c>
      <c r="BM121" s="578">
        <v>0</v>
      </c>
      <c r="BN121" s="578">
        <v>0</v>
      </c>
      <c r="BO121" s="578">
        <v>0</v>
      </c>
      <c r="BP121" s="578">
        <v>0</v>
      </c>
      <c r="BQ121" s="578">
        <v>0</v>
      </c>
      <c r="BR121" s="578">
        <v>0</v>
      </c>
      <c r="BS121" s="578">
        <v>0</v>
      </c>
      <c r="BT121" s="578">
        <v>0</v>
      </c>
      <c r="BU121" s="578">
        <v>0</v>
      </c>
      <c r="BV121" s="578">
        <v>0</v>
      </c>
      <c r="BW121" s="578">
        <v>0</v>
      </c>
      <c r="BX121" s="578">
        <v>0</v>
      </c>
      <c r="BY121" s="578">
        <v>0</v>
      </c>
      <c r="BZ121" s="578">
        <v>0</v>
      </c>
      <c r="CA121" s="578">
        <v>0</v>
      </c>
      <c r="CB121" s="578">
        <v>0</v>
      </c>
      <c r="CC121" s="578">
        <v>0</v>
      </c>
      <c r="CD121" s="578">
        <v>0</v>
      </c>
      <c r="CE121" s="578">
        <v>0</v>
      </c>
      <c r="CF121" s="578">
        <v>0</v>
      </c>
      <c r="CG121" s="578">
        <v>0</v>
      </c>
      <c r="CH121" s="578">
        <v>0</v>
      </c>
      <c r="CI121" s="578">
        <v>0</v>
      </c>
      <c r="CJ121" s="578">
        <v>0</v>
      </c>
      <c r="CK121" s="578">
        <v>0</v>
      </c>
      <c r="CL121" s="578">
        <v>0</v>
      </c>
      <c r="CM121" s="578">
        <v>0</v>
      </c>
      <c r="CN121" s="578">
        <v>0</v>
      </c>
      <c r="CO121" s="578">
        <v>0</v>
      </c>
      <c r="CP121" s="578">
        <v>0</v>
      </c>
      <c r="CQ121" s="578">
        <v>0</v>
      </c>
      <c r="CR121" s="578">
        <v>0</v>
      </c>
      <c r="CS121" s="578">
        <v>0</v>
      </c>
      <c r="CT121" s="578">
        <v>7.582164416319151E-4</v>
      </c>
      <c r="CU121" s="578">
        <v>5.5624526385373164E-4</v>
      </c>
      <c r="CV121" s="578">
        <v>0</v>
      </c>
      <c r="CW121" s="578">
        <v>0</v>
      </c>
      <c r="CX121" s="578">
        <v>0</v>
      </c>
      <c r="CY121" s="578">
        <v>0</v>
      </c>
      <c r="CZ121" s="578">
        <v>0</v>
      </c>
      <c r="DA121" s="578">
        <v>0</v>
      </c>
      <c r="DB121" s="578">
        <v>0</v>
      </c>
      <c r="DC121" s="578">
        <v>0</v>
      </c>
      <c r="DD121" s="578">
        <v>0</v>
      </c>
      <c r="DE121" s="578">
        <v>0</v>
      </c>
      <c r="DF121" s="578">
        <v>0</v>
      </c>
      <c r="DG121" s="578">
        <v>0</v>
      </c>
      <c r="DH121" s="578">
        <v>0</v>
      </c>
      <c r="DI121" s="578">
        <v>0</v>
      </c>
      <c r="DJ121" s="578">
        <v>0</v>
      </c>
      <c r="DK121" s="578">
        <v>0</v>
      </c>
      <c r="DL121" s="578">
        <v>8.8381606525087756E-5</v>
      </c>
      <c r="DM121" s="578">
        <v>0</v>
      </c>
      <c r="DN121" s="578">
        <v>3.8276801188412972E-2</v>
      </c>
      <c r="DO121" s="578">
        <v>0</v>
      </c>
      <c r="DP121" s="578">
        <v>0</v>
      </c>
      <c r="DQ121" s="578">
        <v>0</v>
      </c>
      <c r="DR121" s="578">
        <v>0</v>
      </c>
      <c r="DS121" s="578">
        <v>0</v>
      </c>
      <c r="DT121" s="578">
        <v>0</v>
      </c>
      <c r="DU121" s="578">
        <v>0</v>
      </c>
      <c r="DV121" s="578">
        <v>0</v>
      </c>
      <c r="DW121" s="578">
        <v>0</v>
      </c>
      <c r="DX121" s="578">
        <v>0</v>
      </c>
      <c r="DY121" s="578">
        <v>0</v>
      </c>
      <c r="DZ121" s="578">
        <v>0</v>
      </c>
      <c r="EA121" s="578">
        <v>0</v>
      </c>
      <c r="EB121" s="578">
        <v>0</v>
      </c>
      <c r="EC121" s="578">
        <v>0</v>
      </c>
      <c r="ED121" s="578">
        <v>0</v>
      </c>
      <c r="EE121" s="578">
        <v>0</v>
      </c>
      <c r="EF121" s="578">
        <v>0</v>
      </c>
      <c r="EG121" s="578">
        <v>0</v>
      </c>
      <c r="EH121" s="578">
        <v>0</v>
      </c>
      <c r="EI121" s="578">
        <v>0</v>
      </c>
      <c r="EJ121" s="578">
        <v>0</v>
      </c>
      <c r="EK121" s="578">
        <v>0</v>
      </c>
      <c r="EL121" s="578">
        <v>0</v>
      </c>
      <c r="EM121" s="578">
        <v>0</v>
      </c>
      <c r="EN121" s="578">
        <v>0</v>
      </c>
      <c r="EO121" s="578">
        <v>0</v>
      </c>
      <c r="EP121" s="578">
        <v>0</v>
      </c>
      <c r="EQ121" s="578">
        <v>0</v>
      </c>
      <c r="ER121" s="578">
        <v>0</v>
      </c>
      <c r="ES121" s="578">
        <v>0</v>
      </c>
      <c r="ET121" s="578">
        <v>0</v>
      </c>
      <c r="EU121" s="578">
        <v>0</v>
      </c>
      <c r="EV121" s="578">
        <v>0</v>
      </c>
      <c r="EW121" s="578">
        <v>0</v>
      </c>
      <c r="EX121" s="578">
        <v>0</v>
      </c>
      <c r="EY121" s="578">
        <v>0</v>
      </c>
      <c r="EZ121" s="578">
        <v>0</v>
      </c>
      <c r="FA121" s="578">
        <v>0</v>
      </c>
      <c r="FB121" s="578">
        <v>0</v>
      </c>
      <c r="FC121" s="578">
        <v>0</v>
      </c>
      <c r="FD121" s="578">
        <v>6.8887467401466319E-5</v>
      </c>
      <c r="FE121" s="578">
        <v>4.1974479516453998E-5</v>
      </c>
      <c r="FF121" s="578">
        <v>0</v>
      </c>
      <c r="FG121" s="578">
        <v>0</v>
      </c>
      <c r="FH121" s="578">
        <v>0</v>
      </c>
      <c r="FI121" s="578">
        <v>0</v>
      </c>
      <c r="FJ121" s="578">
        <v>0</v>
      </c>
      <c r="FK121" s="578">
        <v>0</v>
      </c>
      <c r="FL121" s="578">
        <v>0</v>
      </c>
      <c r="FM121" s="578">
        <v>0</v>
      </c>
      <c r="FN121" s="578">
        <v>0</v>
      </c>
      <c r="FO121" s="578">
        <v>0</v>
      </c>
      <c r="FP121" s="578">
        <v>0</v>
      </c>
      <c r="FQ121" s="578">
        <v>0</v>
      </c>
      <c r="FR121" s="578">
        <v>0</v>
      </c>
      <c r="FS121" s="578">
        <v>0</v>
      </c>
      <c r="FT121" s="578">
        <v>4.1452013717036829E-3</v>
      </c>
      <c r="FU121" s="578">
        <v>0</v>
      </c>
      <c r="FV121" s="578">
        <v>0</v>
      </c>
      <c r="FW121" s="578">
        <v>0</v>
      </c>
      <c r="FX121" s="578">
        <v>3.8455932640453845E-3</v>
      </c>
      <c r="FY121" s="578">
        <v>0</v>
      </c>
      <c r="FZ121" s="578">
        <v>0</v>
      </c>
      <c r="GA121" s="578">
        <v>0</v>
      </c>
      <c r="GB121" s="578">
        <v>0</v>
      </c>
      <c r="GC121" s="578">
        <v>0</v>
      </c>
      <c r="GD121" s="578">
        <v>0</v>
      </c>
      <c r="GE121" s="578">
        <v>0</v>
      </c>
      <c r="GF121" s="578">
        <v>0</v>
      </c>
      <c r="GG121" s="579">
        <v>1.7888232659040993E-4</v>
      </c>
      <c r="GH121" s="572"/>
    </row>
    <row r="122" spans="1:190">
      <c r="A122" s="572" t="s">
        <v>5699</v>
      </c>
      <c r="B122" s="577" t="s">
        <v>9451</v>
      </c>
      <c r="C122" s="573" t="s">
        <v>562</v>
      </c>
      <c r="D122" s="578">
        <v>0</v>
      </c>
      <c r="E122" s="578">
        <v>0</v>
      </c>
      <c r="F122" s="578">
        <v>0</v>
      </c>
      <c r="G122" s="578">
        <v>0</v>
      </c>
      <c r="H122" s="578">
        <v>0</v>
      </c>
      <c r="I122" s="578">
        <v>0</v>
      </c>
      <c r="J122" s="578">
        <v>0</v>
      </c>
      <c r="K122" s="578">
        <v>0</v>
      </c>
      <c r="L122" s="578">
        <v>0</v>
      </c>
      <c r="M122" s="578">
        <v>0</v>
      </c>
      <c r="N122" s="578">
        <v>0</v>
      </c>
      <c r="O122" s="578">
        <v>0</v>
      </c>
      <c r="P122" s="578">
        <v>0</v>
      </c>
      <c r="Q122" s="578">
        <v>0</v>
      </c>
      <c r="R122" s="578">
        <v>0</v>
      </c>
      <c r="S122" s="578">
        <v>0</v>
      </c>
      <c r="T122" s="578">
        <v>0</v>
      </c>
      <c r="U122" s="578">
        <v>0</v>
      </c>
      <c r="V122" s="578">
        <v>0</v>
      </c>
      <c r="W122" s="578">
        <v>0</v>
      </c>
      <c r="X122" s="578">
        <v>0</v>
      </c>
      <c r="Y122" s="578">
        <v>0</v>
      </c>
      <c r="Z122" s="578">
        <v>0</v>
      </c>
      <c r="AA122" s="578">
        <v>0</v>
      </c>
      <c r="AB122" s="578">
        <v>0</v>
      </c>
      <c r="AC122" s="578">
        <v>0</v>
      </c>
      <c r="AD122" s="578">
        <v>0</v>
      </c>
      <c r="AE122" s="578">
        <v>0</v>
      </c>
      <c r="AF122" s="578">
        <v>0</v>
      </c>
      <c r="AG122" s="578">
        <v>0</v>
      </c>
      <c r="AH122" s="578">
        <v>0</v>
      </c>
      <c r="AI122" s="578">
        <v>0</v>
      </c>
      <c r="AJ122" s="578">
        <v>0</v>
      </c>
      <c r="AK122" s="578">
        <v>0</v>
      </c>
      <c r="AL122" s="578">
        <v>0</v>
      </c>
      <c r="AM122" s="578">
        <v>0</v>
      </c>
      <c r="AN122" s="578">
        <v>0</v>
      </c>
      <c r="AO122" s="578">
        <v>0</v>
      </c>
      <c r="AP122" s="578">
        <v>0</v>
      </c>
      <c r="AQ122" s="578">
        <v>0</v>
      </c>
      <c r="AR122" s="578">
        <v>0</v>
      </c>
      <c r="AS122" s="578">
        <v>0</v>
      </c>
      <c r="AT122" s="578">
        <v>0</v>
      </c>
      <c r="AU122" s="578">
        <v>0</v>
      </c>
      <c r="AV122" s="578">
        <v>0</v>
      </c>
      <c r="AW122" s="578">
        <v>0</v>
      </c>
      <c r="AX122" s="578">
        <v>0</v>
      </c>
      <c r="AY122" s="578">
        <v>0</v>
      </c>
      <c r="AZ122" s="578">
        <v>0</v>
      </c>
      <c r="BA122" s="578">
        <v>0</v>
      </c>
      <c r="BB122" s="578">
        <v>0</v>
      </c>
      <c r="BC122" s="578">
        <v>0</v>
      </c>
      <c r="BD122" s="578">
        <v>0</v>
      </c>
      <c r="BE122" s="578">
        <v>0</v>
      </c>
      <c r="BF122" s="578">
        <v>0</v>
      </c>
      <c r="BG122" s="578">
        <v>0</v>
      </c>
      <c r="BH122" s="578">
        <v>0</v>
      </c>
      <c r="BI122" s="578">
        <v>0</v>
      </c>
      <c r="BJ122" s="578">
        <v>0</v>
      </c>
      <c r="BK122" s="578">
        <v>0</v>
      </c>
      <c r="BL122" s="578">
        <v>0</v>
      </c>
      <c r="BM122" s="578">
        <v>0</v>
      </c>
      <c r="BN122" s="578">
        <v>0</v>
      </c>
      <c r="BO122" s="578">
        <v>0</v>
      </c>
      <c r="BP122" s="578">
        <v>0</v>
      </c>
      <c r="BQ122" s="578">
        <v>0</v>
      </c>
      <c r="BR122" s="578">
        <v>0</v>
      </c>
      <c r="BS122" s="578">
        <v>0</v>
      </c>
      <c r="BT122" s="578">
        <v>0</v>
      </c>
      <c r="BU122" s="578">
        <v>0</v>
      </c>
      <c r="BV122" s="578">
        <v>0</v>
      </c>
      <c r="BW122" s="578">
        <v>0</v>
      </c>
      <c r="BX122" s="578">
        <v>0</v>
      </c>
      <c r="BY122" s="578">
        <v>0</v>
      </c>
      <c r="BZ122" s="578">
        <v>0</v>
      </c>
      <c r="CA122" s="578">
        <v>0</v>
      </c>
      <c r="CB122" s="578">
        <v>0</v>
      </c>
      <c r="CC122" s="578">
        <v>0</v>
      </c>
      <c r="CD122" s="578">
        <v>0</v>
      </c>
      <c r="CE122" s="578">
        <v>0</v>
      </c>
      <c r="CF122" s="578">
        <v>0</v>
      </c>
      <c r="CG122" s="578">
        <v>0</v>
      </c>
      <c r="CH122" s="578">
        <v>0</v>
      </c>
      <c r="CI122" s="578">
        <v>0</v>
      </c>
      <c r="CJ122" s="578">
        <v>0</v>
      </c>
      <c r="CK122" s="578">
        <v>0</v>
      </c>
      <c r="CL122" s="578">
        <v>0</v>
      </c>
      <c r="CM122" s="578">
        <v>0</v>
      </c>
      <c r="CN122" s="578">
        <v>0</v>
      </c>
      <c r="CO122" s="578">
        <v>0</v>
      </c>
      <c r="CP122" s="578">
        <v>0</v>
      </c>
      <c r="CQ122" s="578">
        <v>0</v>
      </c>
      <c r="CR122" s="578">
        <v>0</v>
      </c>
      <c r="CS122" s="578">
        <v>0</v>
      </c>
      <c r="CT122" s="578">
        <v>0</v>
      </c>
      <c r="CU122" s="578">
        <v>0</v>
      </c>
      <c r="CV122" s="578">
        <v>0</v>
      </c>
      <c r="CW122" s="578">
        <v>0</v>
      </c>
      <c r="CX122" s="578">
        <v>0</v>
      </c>
      <c r="CY122" s="578">
        <v>0</v>
      </c>
      <c r="CZ122" s="578">
        <v>0</v>
      </c>
      <c r="DA122" s="578">
        <v>0</v>
      </c>
      <c r="DB122" s="578">
        <v>0</v>
      </c>
      <c r="DC122" s="578">
        <v>0</v>
      </c>
      <c r="DD122" s="578">
        <v>0</v>
      </c>
      <c r="DE122" s="578">
        <v>0</v>
      </c>
      <c r="DF122" s="578">
        <v>0</v>
      </c>
      <c r="DG122" s="578">
        <v>0</v>
      </c>
      <c r="DH122" s="578">
        <v>0</v>
      </c>
      <c r="DI122" s="578">
        <v>0</v>
      </c>
      <c r="DJ122" s="578">
        <v>0</v>
      </c>
      <c r="DK122" s="578">
        <v>0</v>
      </c>
      <c r="DL122" s="578">
        <v>0</v>
      </c>
      <c r="DM122" s="578">
        <v>0</v>
      </c>
      <c r="DN122" s="578">
        <v>0</v>
      </c>
      <c r="DO122" s="578">
        <v>0</v>
      </c>
      <c r="DP122" s="578">
        <v>0</v>
      </c>
      <c r="DQ122" s="578">
        <v>0</v>
      </c>
      <c r="DR122" s="578">
        <v>0</v>
      </c>
      <c r="DS122" s="578">
        <v>0</v>
      </c>
      <c r="DT122" s="578">
        <v>0</v>
      </c>
      <c r="DU122" s="578">
        <v>0</v>
      </c>
      <c r="DV122" s="578">
        <v>0</v>
      </c>
      <c r="DW122" s="578">
        <v>0</v>
      </c>
      <c r="DX122" s="578">
        <v>0</v>
      </c>
      <c r="DY122" s="578">
        <v>0</v>
      </c>
      <c r="DZ122" s="578">
        <v>0</v>
      </c>
      <c r="EA122" s="578">
        <v>0</v>
      </c>
      <c r="EB122" s="578">
        <v>0</v>
      </c>
      <c r="EC122" s="578">
        <v>0</v>
      </c>
      <c r="ED122" s="578">
        <v>0</v>
      </c>
      <c r="EE122" s="578">
        <v>0</v>
      </c>
      <c r="EF122" s="578">
        <v>0</v>
      </c>
      <c r="EG122" s="578">
        <v>0</v>
      </c>
      <c r="EH122" s="578">
        <v>0</v>
      </c>
      <c r="EI122" s="578">
        <v>0</v>
      </c>
      <c r="EJ122" s="578">
        <v>0</v>
      </c>
      <c r="EK122" s="578">
        <v>0</v>
      </c>
      <c r="EL122" s="578">
        <v>0</v>
      </c>
      <c r="EM122" s="578">
        <v>0</v>
      </c>
      <c r="EN122" s="578">
        <v>0</v>
      </c>
      <c r="EO122" s="578">
        <v>0</v>
      </c>
      <c r="EP122" s="578">
        <v>0</v>
      </c>
      <c r="EQ122" s="578">
        <v>0</v>
      </c>
      <c r="ER122" s="578">
        <v>0</v>
      </c>
      <c r="ES122" s="578">
        <v>0</v>
      </c>
      <c r="ET122" s="578">
        <v>0</v>
      </c>
      <c r="EU122" s="578">
        <v>0</v>
      </c>
      <c r="EV122" s="578">
        <v>0</v>
      </c>
      <c r="EW122" s="578">
        <v>0</v>
      </c>
      <c r="EX122" s="578">
        <v>0</v>
      </c>
      <c r="EY122" s="578">
        <v>0</v>
      </c>
      <c r="EZ122" s="578">
        <v>0</v>
      </c>
      <c r="FA122" s="578">
        <v>0</v>
      </c>
      <c r="FB122" s="578">
        <v>0</v>
      </c>
      <c r="FC122" s="578">
        <v>0</v>
      </c>
      <c r="FD122" s="578">
        <v>0</v>
      </c>
      <c r="FE122" s="578">
        <v>0</v>
      </c>
      <c r="FF122" s="578">
        <v>0</v>
      </c>
      <c r="FG122" s="578">
        <v>0</v>
      </c>
      <c r="FH122" s="578">
        <v>0</v>
      </c>
      <c r="FI122" s="578">
        <v>0</v>
      </c>
      <c r="FJ122" s="578">
        <v>0</v>
      </c>
      <c r="FK122" s="578">
        <v>0</v>
      </c>
      <c r="FL122" s="578">
        <v>0</v>
      </c>
      <c r="FM122" s="578">
        <v>0</v>
      </c>
      <c r="FN122" s="578">
        <v>0</v>
      </c>
      <c r="FO122" s="578">
        <v>0</v>
      </c>
      <c r="FP122" s="578">
        <v>0</v>
      </c>
      <c r="FQ122" s="578">
        <v>0</v>
      </c>
      <c r="FR122" s="578">
        <v>0</v>
      </c>
      <c r="FS122" s="578">
        <v>0</v>
      </c>
      <c r="FT122" s="578">
        <v>0</v>
      </c>
      <c r="FU122" s="578">
        <v>0</v>
      </c>
      <c r="FV122" s="578">
        <v>0</v>
      </c>
      <c r="FW122" s="578">
        <v>0</v>
      </c>
      <c r="FX122" s="578">
        <v>0</v>
      </c>
      <c r="FY122" s="578">
        <v>0</v>
      </c>
      <c r="FZ122" s="578">
        <v>0</v>
      </c>
      <c r="GA122" s="578">
        <v>0</v>
      </c>
      <c r="GB122" s="578">
        <v>0</v>
      </c>
      <c r="GC122" s="578">
        <v>0</v>
      </c>
      <c r="GD122" s="578">
        <v>0</v>
      </c>
      <c r="GE122" s="578">
        <v>0</v>
      </c>
      <c r="GF122" s="578">
        <v>0</v>
      </c>
      <c r="GG122" s="579">
        <v>0</v>
      </c>
      <c r="GH122" s="572"/>
    </row>
    <row r="123" spans="1:190">
      <c r="A123" s="572" t="s">
        <v>5701</v>
      </c>
      <c r="B123" s="577" t="s">
        <v>9452</v>
      </c>
      <c r="C123" s="573" t="s">
        <v>565</v>
      </c>
      <c r="D123" s="578">
        <v>0</v>
      </c>
      <c r="E123" s="578">
        <v>0</v>
      </c>
      <c r="F123" s="578">
        <v>0</v>
      </c>
      <c r="G123" s="578">
        <v>0</v>
      </c>
      <c r="H123" s="578">
        <v>0</v>
      </c>
      <c r="I123" s="578">
        <v>0</v>
      </c>
      <c r="J123" s="578">
        <v>0</v>
      </c>
      <c r="K123" s="578">
        <v>0</v>
      </c>
      <c r="L123" s="578">
        <v>0</v>
      </c>
      <c r="M123" s="578">
        <v>0</v>
      </c>
      <c r="N123" s="578">
        <v>0</v>
      </c>
      <c r="O123" s="578">
        <v>0</v>
      </c>
      <c r="P123" s="578">
        <v>0</v>
      </c>
      <c r="Q123" s="578">
        <v>0</v>
      </c>
      <c r="R123" s="578">
        <v>0</v>
      </c>
      <c r="S123" s="578">
        <v>0</v>
      </c>
      <c r="T123" s="578">
        <v>0</v>
      </c>
      <c r="U123" s="578">
        <v>0</v>
      </c>
      <c r="V123" s="578">
        <v>0</v>
      </c>
      <c r="W123" s="578">
        <v>0</v>
      </c>
      <c r="X123" s="578">
        <v>0</v>
      </c>
      <c r="Y123" s="578">
        <v>0</v>
      </c>
      <c r="Z123" s="578">
        <v>0</v>
      </c>
      <c r="AA123" s="578">
        <v>0</v>
      </c>
      <c r="AB123" s="578">
        <v>0</v>
      </c>
      <c r="AC123" s="578">
        <v>0</v>
      </c>
      <c r="AD123" s="578">
        <v>0</v>
      </c>
      <c r="AE123" s="578">
        <v>0</v>
      </c>
      <c r="AF123" s="578">
        <v>0</v>
      </c>
      <c r="AG123" s="578">
        <v>0</v>
      </c>
      <c r="AH123" s="578">
        <v>0</v>
      </c>
      <c r="AI123" s="578">
        <v>0</v>
      </c>
      <c r="AJ123" s="578">
        <v>0</v>
      </c>
      <c r="AK123" s="578">
        <v>0</v>
      </c>
      <c r="AL123" s="578">
        <v>0</v>
      </c>
      <c r="AM123" s="578">
        <v>0</v>
      </c>
      <c r="AN123" s="578">
        <v>0</v>
      </c>
      <c r="AO123" s="578">
        <v>0</v>
      </c>
      <c r="AP123" s="578">
        <v>0</v>
      </c>
      <c r="AQ123" s="578">
        <v>0</v>
      </c>
      <c r="AR123" s="578">
        <v>0</v>
      </c>
      <c r="AS123" s="578">
        <v>0</v>
      </c>
      <c r="AT123" s="578">
        <v>0</v>
      </c>
      <c r="AU123" s="578">
        <v>0</v>
      </c>
      <c r="AV123" s="578">
        <v>0</v>
      </c>
      <c r="AW123" s="578">
        <v>0</v>
      </c>
      <c r="AX123" s="578">
        <v>0</v>
      </c>
      <c r="AY123" s="578">
        <v>0</v>
      </c>
      <c r="AZ123" s="578">
        <v>0</v>
      </c>
      <c r="BA123" s="578">
        <v>0</v>
      </c>
      <c r="BB123" s="578">
        <v>0</v>
      </c>
      <c r="BC123" s="578">
        <v>0</v>
      </c>
      <c r="BD123" s="578">
        <v>0</v>
      </c>
      <c r="BE123" s="578">
        <v>0</v>
      </c>
      <c r="BF123" s="578">
        <v>0</v>
      </c>
      <c r="BG123" s="578">
        <v>0</v>
      </c>
      <c r="BH123" s="578">
        <v>0</v>
      </c>
      <c r="BI123" s="578">
        <v>0</v>
      </c>
      <c r="BJ123" s="578">
        <v>0</v>
      </c>
      <c r="BK123" s="578">
        <v>0</v>
      </c>
      <c r="BL123" s="578">
        <v>0</v>
      </c>
      <c r="BM123" s="578">
        <v>0</v>
      </c>
      <c r="BN123" s="578">
        <v>0</v>
      </c>
      <c r="BO123" s="578">
        <v>0</v>
      </c>
      <c r="BP123" s="578">
        <v>0</v>
      </c>
      <c r="BQ123" s="578">
        <v>0</v>
      </c>
      <c r="BR123" s="578">
        <v>0</v>
      </c>
      <c r="BS123" s="578">
        <v>0</v>
      </c>
      <c r="BT123" s="578">
        <v>0</v>
      </c>
      <c r="BU123" s="578">
        <v>0</v>
      </c>
      <c r="BV123" s="578">
        <v>0</v>
      </c>
      <c r="BW123" s="578">
        <v>0</v>
      </c>
      <c r="BX123" s="578">
        <v>0</v>
      </c>
      <c r="BY123" s="578">
        <v>0</v>
      </c>
      <c r="BZ123" s="578">
        <v>0</v>
      </c>
      <c r="CA123" s="578">
        <v>0</v>
      </c>
      <c r="CB123" s="578">
        <v>0</v>
      </c>
      <c r="CC123" s="578">
        <v>0</v>
      </c>
      <c r="CD123" s="578">
        <v>0</v>
      </c>
      <c r="CE123" s="578">
        <v>0</v>
      </c>
      <c r="CF123" s="578">
        <v>0</v>
      </c>
      <c r="CG123" s="578">
        <v>0</v>
      </c>
      <c r="CH123" s="578">
        <v>0</v>
      </c>
      <c r="CI123" s="578">
        <v>0</v>
      </c>
      <c r="CJ123" s="578">
        <v>0</v>
      </c>
      <c r="CK123" s="578">
        <v>0</v>
      </c>
      <c r="CL123" s="578">
        <v>0</v>
      </c>
      <c r="CM123" s="578">
        <v>0</v>
      </c>
      <c r="CN123" s="578">
        <v>0</v>
      </c>
      <c r="CO123" s="578">
        <v>0</v>
      </c>
      <c r="CP123" s="578">
        <v>0</v>
      </c>
      <c r="CQ123" s="578">
        <v>0</v>
      </c>
      <c r="CR123" s="578">
        <v>0</v>
      </c>
      <c r="CS123" s="578">
        <v>0</v>
      </c>
      <c r="CT123" s="578">
        <v>0</v>
      </c>
      <c r="CU123" s="578">
        <v>0</v>
      </c>
      <c r="CV123" s="578">
        <v>0</v>
      </c>
      <c r="CW123" s="578">
        <v>0</v>
      </c>
      <c r="CX123" s="578">
        <v>0</v>
      </c>
      <c r="CY123" s="578">
        <v>0</v>
      </c>
      <c r="CZ123" s="578">
        <v>0</v>
      </c>
      <c r="DA123" s="578">
        <v>0</v>
      </c>
      <c r="DB123" s="578">
        <v>0</v>
      </c>
      <c r="DC123" s="578">
        <v>0</v>
      </c>
      <c r="DD123" s="578">
        <v>0</v>
      </c>
      <c r="DE123" s="578">
        <v>0</v>
      </c>
      <c r="DF123" s="578">
        <v>0</v>
      </c>
      <c r="DG123" s="578">
        <v>0</v>
      </c>
      <c r="DH123" s="578">
        <v>0</v>
      </c>
      <c r="DI123" s="578">
        <v>0</v>
      </c>
      <c r="DJ123" s="578">
        <v>0</v>
      </c>
      <c r="DK123" s="578">
        <v>0</v>
      </c>
      <c r="DL123" s="578">
        <v>0</v>
      </c>
      <c r="DM123" s="578">
        <v>0</v>
      </c>
      <c r="DN123" s="578">
        <v>0</v>
      </c>
      <c r="DO123" s="578">
        <v>0</v>
      </c>
      <c r="DP123" s="578">
        <v>4.5398773006134971E-2</v>
      </c>
      <c r="DQ123" s="578">
        <v>0</v>
      </c>
      <c r="DR123" s="578">
        <v>0</v>
      </c>
      <c r="DS123" s="578">
        <v>0</v>
      </c>
      <c r="DT123" s="578">
        <v>0</v>
      </c>
      <c r="DU123" s="578">
        <v>0</v>
      </c>
      <c r="DV123" s="578">
        <v>0</v>
      </c>
      <c r="DW123" s="578">
        <v>0</v>
      </c>
      <c r="DX123" s="578">
        <v>0</v>
      </c>
      <c r="DY123" s="578">
        <v>0</v>
      </c>
      <c r="DZ123" s="578">
        <v>0</v>
      </c>
      <c r="EA123" s="578">
        <v>0</v>
      </c>
      <c r="EB123" s="578">
        <v>0</v>
      </c>
      <c r="EC123" s="578">
        <v>0</v>
      </c>
      <c r="ED123" s="578">
        <v>0</v>
      </c>
      <c r="EE123" s="578">
        <v>0</v>
      </c>
      <c r="EF123" s="578">
        <v>0</v>
      </c>
      <c r="EG123" s="578">
        <v>0</v>
      </c>
      <c r="EH123" s="578">
        <v>0</v>
      </c>
      <c r="EI123" s="578">
        <v>0</v>
      </c>
      <c r="EJ123" s="578">
        <v>0</v>
      </c>
      <c r="EK123" s="578">
        <v>0</v>
      </c>
      <c r="EL123" s="578">
        <v>0</v>
      </c>
      <c r="EM123" s="578">
        <v>0</v>
      </c>
      <c r="EN123" s="578">
        <v>0</v>
      </c>
      <c r="EO123" s="578">
        <v>0</v>
      </c>
      <c r="EP123" s="578">
        <v>0</v>
      </c>
      <c r="EQ123" s="578">
        <v>0</v>
      </c>
      <c r="ER123" s="578">
        <v>0</v>
      </c>
      <c r="ES123" s="578">
        <v>0</v>
      </c>
      <c r="ET123" s="578">
        <v>0</v>
      </c>
      <c r="EU123" s="578">
        <v>0</v>
      </c>
      <c r="EV123" s="578">
        <v>0</v>
      </c>
      <c r="EW123" s="578">
        <v>0</v>
      </c>
      <c r="EX123" s="578">
        <v>0</v>
      </c>
      <c r="EY123" s="578">
        <v>0</v>
      </c>
      <c r="EZ123" s="578">
        <v>0</v>
      </c>
      <c r="FA123" s="578">
        <v>0</v>
      </c>
      <c r="FB123" s="578">
        <v>0</v>
      </c>
      <c r="FC123" s="578">
        <v>0</v>
      </c>
      <c r="FD123" s="578">
        <v>0</v>
      </c>
      <c r="FE123" s="578">
        <v>0</v>
      </c>
      <c r="FF123" s="578">
        <v>0</v>
      </c>
      <c r="FG123" s="578">
        <v>0</v>
      </c>
      <c r="FH123" s="578">
        <v>0</v>
      </c>
      <c r="FI123" s="578">
        <v>1.0364611165593015E-3</v>
      </c>
      <c r="FJ123" s="578">
        <v>0</v>
      </c>
      <c r="FK123" s="578">
        <v>0</v>
      </c>
      <c r="FL123" s="578">
        <v>0</v>
      </c>
      <c r="FM123" s="578">
        <v>0</v>
      </c>
      <c r="FN123" s="578">
        <v>0</v>
      </c>
      <c r="FO123" s="578">
        <v>0</v>
      </c>
      <c r="FP123" s="578">
        <v>0</v>
      </c>
      <c r="FQ123" s="578">
        <v>0</v>
      </c>
      <c r="FR123" s="578">
        <v>0</v>
      </c>
      <c r="FS123" s="578">
        <v>0</v>
      </c>
      <c r="FT123" s="578">
        <v>0</v>
      </c>
      <c r="FU123" s="578">
        <v>0</v>
      </c>
      <c r="FV123" s="578">
        <v>0</v>
      </c>
      <c r="FW123" s="578">
        <v>6.8788243757729583E-3</v>
      </c>
      <c r="FX123" s="578">
        <v>0</v>
      </c>
      <c r="FY123" s="578">
        <v>0</v>
      </c>
      <c r="FZ123" s="578">
        <v>0</v>
      </c>
      <c r="GA123" s="578">
        <v>0</v>
      </c>
      <c r="GB123" s="578">
        <v>0</v>
      </c>
      <c r="GC123" s="578">
        <v>0</v>
      </c>
      <c r="GD123" s="578">
        <v>0</v>
      </c>
      <c r="GE123" s="578">
        <v>0</v>
      </c>
      <c r="GF123" s="578">
        <v>0</v>
      </c>
      <c r="GG123" s="579">
        <v>8.4089324423903419E-5</v>
      </c>
      <c r="GH123" s="572"/>
    </row>
    <row r="124" spans="1:190">
      <c r="A124" s="572" t="s">
        <v>5703</v>
      </c>
      <c r="B124" s="577" t="s">
        <v>9453</v>
      </c>
      <c r="C124" s="573" t="s">
        <v>567</v>
      </c>
      <c r="D124" s="578">
        <v>0</v>
      </c>
      <c r="E124" s="578">
        <v>0</v>
      </c>
      <c r="F124" s="578">
        <v>0</v>
      </c>
      <c r="G124" s="578">
        <v>0</v>
      </c>
      <c r="H124" s="578">
        <v>0</v>
      </c>
      <c r="I124" s="578">
        <v>0</v>
      </c>
      <c r="J124" s="578">
        <v>0</v>
      </c>
      <c r="K124" s="578">
        <v>0</v>
      </c>
      <c r="L124" s="578">
        <v>0</v>
      </c>
      <c r="M124" s="578">
        <v>0</v>
      </c>
      <c r="N124" s="578">
        <v>0</v>
      </c>
      <c r="O124" s="578">
        <v>0</v>
      </c>
      <c r="P124" s="578">
        <v>0</v>
      </c>
      <c r="Q124" s="578">
        <v>0</v>
      </c>
      <c r="R124" s="578">
        <v>0</v>
      </c>
      <c r="S124" s="578">
        <v>0</v>
      </c>
      <c r="T124" s="578">
        <v>0</v>
      </c>
      <c r="U124" s="578">
        <v>0</v>
      </c>
      <c r="V124" s="578">
        <v>0</v>
      </c>
      <c r="W124" s="578">
        <v>0</v>
      </c>
      <c r="X124" s="578">
        <v>0</v>
      </c>
      <c r="Y124" s="578">
        <v>0</v>
      </c>
      <c r="Z124" s="578">
        <v>0</v>
      </c>
      <c r="AA124" s="578">
        <v>0</v>
      </c>
      <c r="AB124" s="578">
        <v>0</v>
      </c>
      <c r="AC124" s="578">
        <v>0</v>
      </c>
      <c r="AD124" s="578">
        <v>0</v>
      </c>
      <c r="AE124" s="578">
        <v>0</v>
      </c>
      <c r="AF124" s="578">
        <v>0</v>
      </c>
      <c r="AG124" s="578">
        <v>0</v>
      </c>
      <c r="AH124" s="578">
        <v>0</v>
      </c>
      <c r="AI124" s="578">
        <v>0</v>
      </c>
      <c r="AJ124" s="578">
        <v>0</v>
      </c>
      <c r="AK124" s="578">
        <v>0</v>
      </c>
      <c r="AL124" s="578">
        <v>0</v>
      </c>
      <c r="AM124" s="578">
        <v>0</v>
      </c>
      <c r="AN124" s="578">
        <v>0</v>
      </c>
      <c r="AO124" s="578">
        <v>0</v>
      </c>
      <c r="AP124" s="578">
        <v>0</v>
      </c>
      <c r="AQ124" s="578">
        <v>0</v>
      </c>
      <c r="AR124" s="578">
        <v>0</v>
      </c>
      <c r="AS124" s="578">
        <v>0</v>
      </c>
      <c r="AT124" s="578">
        <v>0</v>
      </c>
      <c r="AU124" s="578">
        <v>0</v>
      </c>
      <c r="AV124" s="578">
        <v>0</v>
      </c>
      <c r="AW124" s="578">
        <v>0</v>
      </c>
      <c r="AX124" s="578">
        <v>0</v>
      </c>
      <c r="AY124" s="578">
        <v>0</v>
      </c>
      <c r="AZ124" s="578">
        <v>0</v>
      </c>
      <c r="BA124" s="578">
        <v>0</v>
      </c>
      <c r="BB124" s="578">
        <v>0</v>
      </c>
      <c r="BC124" s="578">
        <v>0</v>
      </c>
      <c r="BD124" s="578">
        <v>0</v>
      </c>
      <c r="BE124" s="578">
        <v>0</v>
      </c>
      <c r="BF124" s="578">
        <v>0</v>
      </c>
      <c r="BG124" s="578">
        <v>0</v>
      </c>
      <c r="BH124" s="578">
        <v>0</v>
      </c>
      <c r="BI124" s="578">
        <v>0</v>
      </c>
      <c r="BJ124" s="578">
        <v>0</v>
      </c>
      <c r="BK124" s="578">
        <v>0</v>
      </c>
      <c r="BL124" s="578">
        <v>0</v>
      </c>
      <c r="BM124" s="578">
        <v>0</v>
      </c>
      <c r="BN124" s="578">
        <v>0</v>
      </c>
      <c r="BO124" s="578">
        <v>0</v>
      </c>
      <c r="BP124" s="578">
        <v>0</v>
      </c>
      <c r="BQ124" s="578">
        <v>0</v>
      </c>
      <c r="BR124" s="578">
        <v>0</v>
      </c>
      <c r="BS124" s="578">
        <v>0</v>
      </c>
      <c r="BT124" s="578">
        <v>0</v>
      </c>
      <c r="BU124" s="578">
        <v>0</v>
      </c>
      <c r="BV124" s="578">
        <v>0</v>
      </c>
      <c r="BW124" s="578">
        <v>0</v>
      </c>
      <c r="BX124" s="578">
        <v>0</v>
      </c>
      <c r="BY124" s="578">
        <v>0</v>
      </c>
      <c r="BZ124" s="578">
        <v>0</v>
      </c>
      <c r="CA124" s="578">
        <v>0</v>
      </c>
      <c r="CB124" s="578">
        <v>0</v>
      </c>
      <c r="CC124" s="578">
        <v>0</v>
      </c>
      <c r="CD124" s="578">
        <v>0</v>
      </c>
      <c r="CE124" s="578">
        <v>0</v>
      </c>
      <c r="CF124" s="578">
        <v>0</v>
      </c>
      <c r="CG124" s="578">
        <v>0</v>
      </c>
      <c r="CH124" s="578">
        <v>0</v>
      </c>
      <c r="CI124" s="578">
        <v>0</v>
      </c>
      <c r="CJ124" s="578">
        <v>0</v>
      </c>
      <c r="CK124" s="578">
        <v>0</v>
      </c>
      <c r="CL124" s="578">
        <v>0</v>
      </c>
      <c r="CM124" s="578">
        <v>0</v>
      </c>
      <c r="CN124" s="578">
        <v>0</v>
      </c>
      <c r="CO124" s="578">
        <v>0</v>
      </c>
      <c r="CP124" s="578">
        <v>0</v>
      </c>
      <c r="CQ124" s="578">
        <v>0</v>
      </c>
      <c r="CR124" s="578">
        <v>0</v>
      </c>
      <c r="CS124" s="578">
        <v>0</v>
      </c>
      <c r="CT124" s="578">
        <v>0</v>
      </c>
      <c r="CU124" s="578">
        <v>0</v>
      </c>
      <c r="CV124" s="578">
        <v>0</v>
      </c>
      <c r="CW124" s="578">
        <v>0</v>
      </c>
      <c r="CX124" s="578">
        <v>0</v>
      </c>
      <c r="CY124" s="578">
        <v>0</v>
      </c>
      <c r="CZ124" s="578">
        <v>0</v>
      </c>
      <c r="DA124" s="578">
        <v>0</v>
      </c>
      <c r="DB124" s="578">
        <v>0</v>
      </c>
      <c r="DC124" s="578">
        <v>0</v>
      </c>
      <c r="DD124" s="578">
        <v>0</v>
      </c>
      <c r="DE124" s="578">
        <v>0</v>
      </c>
      <c r="DF124" s="578">
        <v>0</v>
      </c>
      <c r="DG124" s="578">
        <v>0</v>
      </c>
      <c r="DH124" s="578">
        <v>0</v>
      </c>
      <c r="DI124" s="578">
        <v>0</v>
      </c>
      <c r="DJ124" s="578">
        <v>0</v>
      </c>
      <c r="DK124" s="578">
        <v>0</v>
      </c>
      <c r="DL124" s="578">
        <v>0</v>
      </c>
      <c r="DM124" s="578">
        <v>0</v>
      </c>
      <c r="DN124" s="578">
        <v>0</v>
      </c>
      <c r="DO124" s="578">
        <v>0</v>
      </c>
      <c r="DP124" s="578">
        <v>0</v>
      </c>
      <c r="DQ124" s="578">
        <v>0</v>
      </c>
      <c r="DR124" s="578">
        <v>0</v>
      </c>
      <c r="DS124" s="578">
        <v>0</v>
      </c>
      <c r="DT124" s="578">
        <v>0</v>
      </c>
      <c r="DU124" s="578">
        <v>0</v>
      </c>
      <c r="DV124" s="578">
        <v>0</v>
      </c>
      <c r="DW124" s="578">
        <v>0</v>
      </c>
      <c r="DX124" s="578">
        <v>0</v>
      </c>
      <c r="DY124" s="578">
        <v>0</v>
      </c>
      <c r="DZ124" s="578">
        <v>0</v>
      </c>
      <c r="EA124" s="578">
        <v>0</v>
      </c>
      <c r="EB124" s="578">
        <v>0</v>
      </c>
      <c r="EC124" s="578">
        <v>0</v>
      </c>
      <c r="ED124" s="578">
        <v>0</v>
      </c>
      <c r="EE124" s="578">
        <v>0</v>
      </c>
      <c r="EF124" s="578">
        <v>0</v>
      </c>
      <c r="EG124" s="578">
        <v>0</v>
      </c>
      <c r="EH124" s="578">
        <v>0</v>
      </c>
      <c r="EI124" s="578">
        <v>0</v>
      </c>
      <c r="EJ124" s="578">
        <v>0</v>
      </c>
      <c r="EK124" s="578">
        <v>0</v>
      </c>
      <c r="EL124" s="578">
        <v>0</v>
      </c>
      <c r="EM124" s="578">
        <v>0</v>
      </c>
      <c r="EN124" s="578">
        <v>0</v>
      </c>
      <c r="EO124" s="578">
        <v>0</v>
      </c>
      <c r="EP124" s="578">
        <v>0</v>
      </c>
      <c r="EQ124" s="578">
        <v>0</v>
      </c>
      <c r="ER124" s="578">
        <v>0</v>
      </c>
      <c r="ES124" s="578">
        <v>0</v>
      </c>
      <c r="ET124" s="578">
        <v>0</v>
      </c>
      <c r="EU124" s="578">
        <v>0</v>
      </c>
      <c r="EV124" s="578">
        <v>0</v>
      </c>
      <c r="EW124" s="578">
        <v>0</v>
      </c>
      <c r="EX124" s="578">
        <v>0</v>
      </c>
      <c r="EY124" s="578">
        <v>0</v>
      </c>
      <c r="EZ124" s="578">
        <v>0</v>
      </c>
      <c r="FA124" s="578">
        <v>0</v>
      </c>
      <c r="FB124" s="578">
        <v>0</v>
      </c>
      <c r="FC124" s="578">
        <v>0</v>
      </c>
      <c r="FD124" s="578">
        <v>0</v>
      </c>
      <c r="FE124" s="578">
        <v>0</v>
      </c>
      <c r="FF124" s="578">
        <v>0</v>
      </c>
      <c r="FG124" s="578">
        <v>0</v>
      </c>
      <c r="FH124" s="578">
        <v>0</v>
      </c>
      <c r="FI124" s="578">
        <v>0</v>
      </c>
      <c r="FJ124" s="578">
        <v>0</v>
      </c>
      <c r="FK124" s="578">
        <v>0</v>
      </c>
      <c r="FL124" s="578">
        <v>0</v>
      </c>
      <c r="FM124" s="578">
        <v>0</v>
      </c>
      <c r="FN124" s="578">
        <v>0</v>
      </c>
      <c r="FO124" s="578">
        <v>0</v>
      </c>
      <c r="FP124" s="578">
        <v>0</v>
      </c>
      <c r="FQ124" s="578">
        <v>0</v>
      </c>
      <c r="FR124" s="578">
        <v>0</v>
      </c>
      <c r="FS124" s="578">
        <v>0</v>
      </c>
      <c r="FT124" s="578">
        <v>0</v>
      </c>
      <c r="FU124" s="578">
        <v>0</v>
      </c>
      <c r="FV124" s="578">
        <v>0</v>
      </c>
      <c r="FW124" s="578">
        <v>0</v>
      </c>
      <c r="FX124" s="578">
        <v>0</v>
      </c>
      <c r="FY124" s="578">
        <v>0</v>
      </c>
      <c r="FZ124" s="578">
        <v>0</v>
      </c>
      <c r="GA124" s="578">
        <v>0</v>
      </c>
      <c r="GB124" s="578">
        <v>0</v>
      </c>
      <c r="GC124" s="578">
        <v>0</v>
      </c>
      <c r="GD124" s="578">
        <v>0</v>
      </c>
      <c r="GE124" s="578">
        <v>0</v>
      </c>
      <c r="GF124" s="578">
        <v>0</v>
      </c>
      <c r="GG124" s="579">
        <v>0</v>
      </c>
      <c r="GH124" s="572"/>
    </row>
    <row r="125" spans="1:190">
      <c r="A125" s="572" t="s">
        <v>5705</v>
      </c>
      <c r="B125" s="577" t="s">
        <v>9454</v>
      </c>
      <c r="C125" s="573" t="s">
        <v>9092</v>
      </c>
      <c r="D125" s="578">
        <v>0</v>
      </c>
      <c r="E125" s="578">
        <v>0</v>
      </c>
      <c r="F125" s="578">
        <v>0</v>
      </c>
      <c r="G125" s="578">
        <v>0</v>
      </c>
      <c r="H125" s="578">
        <v>0</v>
      </c>
      <c r="I125" s="578">
        <v>0</v>
      </c>
      <c r="J125" s="578">
        <v>0</v>
      </c>
      <c r="K125" s="578">
        <v>0</v>
      </c>
      <c r="L125" s="578">
        <v>0</v>
      </c>
      <c r="M125" s="578">
        <v>0</v>
      </c>
      <c r="N125" s="578">
        <v>0</v>
      </c>
      <c r="O125" s="578">
        <v>0</v>
      </c>
      <c r="P125" s="578">
        <v>0</v>
      </c>
      <c r="Q125" s="578">
        <v>0</v>
      </c>
      <c r="R125" s="578">
        <v>5.6525917133005484E-5</v>
      </c>
      <c r="S125" s="578">
        <v>0</v>
      </c>
      <c r="T125" s="578">
        <v>0</v>
      </c>
      <c r="U125" s="578">
        <v>0</v>
      </c>
      <c r="V125" s="578">
        <v>0</v>
      </c>
      <c r="W125" s="578">
        <v>0</v>
      </c>
      <c r="X125" s="578">
        <v>0</v>
      </c>
      <c r="Y125" s="578">
        <v>0</v>
      </c>
      <c r="Z125" s="578">
        <v>0</v>
      </c>
      <c r="AA125" s="578">
        <v>4.7604086334770977E-6</v>
      </c>
      <c r="AB125" s="578">
        <v>0</v>
      </c>
      <c r="AC125" s="578">
        <v>0</v>
      </c>
      <c r="AD125" s="578">
        <v>0</v>
      </c>
      <c r="AE125" s="578">
        <v>0</v>
      </c>
      <c r="AF125" s="578">
        <v>0</v>
      </c>
      <c r="AG125" s="578">
        <v>0</v>
      </c>
      <c r="AH125" s="578">
        <v>0</v>
      </c>
      <c r="AI125" s="578">
        <v>0</v>
      </c>
      <c r="AJ125" s="578">
        <v>0</v>
      </c>
      <c r="AK125" s="578">
        <v>0</v>
      </c>
      <c r="AL125" s="578">
        <v>0</v>
      </c>
      <c r="AM125" s="578">
        <v>0</v>
      </c>
      <c r="AN125" s="578">
        <v>0</v>
      </c>
      <c r="AO125" s="578">
        <v>0</v>
      </c>
      <c r="AP125" s="578">
        <v>0</v>
      </c>
      <c r="AQ125" s="578">
        <v>0</v>
      </c>
      <c r="AR125" s="578">
        <v>0</v>
      </c>
      <c r="AS125" s="578">
        <v>0</v>
      </c>
      <c r="AT125" s="578">
        <v>0</v>
      </c>
      <c r="AU125" s="578">
        <v>0</v>
      </c>
      <c r="AV125" s="578">
        <v>0</v>
      </c>
      <c r="AW125" s="578">
        <v>0</v>
      </c>
      <c r="AX125" s="578">
        <v>0</v>
      </c>
      <c r="AY125" s="578">
        <v>0</v>
      </c>
      <c r="AZ125" s="578">
        <v>0</v>
      </c>
      <c r="BA125" s="578">
        <v>0</v>
      </c>
      <c r="BB125" s="578">
        <v>0</v>
      </c>
      <c r="BC125" s="578">
        <v>0</v>
      </c>
      <c r="BD125" s="578">
        <v>0</v>
      </c>
      <c r="BE125" s="578">
        <v>0</v>
      </c>
      <c r="BF125" s="578">
        <v>0</v>
      </c>
      <c r="BG125" s="578">
        <v>0</v>
      </c>
      <c r="BH125" s="578">
        <v>0</v>
      </c>
      <c r="BI125" s="578">
        <v>0</v>
      </c>
      <c r="BJ125" s="578">
        <v>0</v>
      </c>
      <c r="BK125" s="578">
        <v>0</v>
      </c>
      <c r="BL125" s="578">
        <v>0</v>
      </c>
      <c r="BM125" s="578">
        <v>0</v>
      </c>
      <c r="BN125" s="578">
        <v>0</v>
      </c>
      <c r="BO125" s="578">
        <v>0</v>
      </c>
      <c r="BP125" s="578">
        <v>0</v>
      </c>
      <c r="BQ125" s="578">
        <v>0</v>
      </c>
      <c r="BR125" s="578">
        <v>0</v>
      </c>
      <c r="BS125" s="578">
        <v>0</v>
      </c>
      <c r="BT125" s="578">
        <v>0</v>
      </c>
      <c r="BU125" s="578">
        <v>0</v>
      </c>
      <c r="BV125" s="578">
        <v>0</v>
      </c>
      <c r="BW125" s="578">
        <v>0</v>
      </c>
      <c r="BX125" s="578">
        <v>0</v>
      </c>
      <c r="BY125" s="578">
        <v>0</v>
      </c>
      <c r="BZ125" s="578">
        <v>0</v>
      </c>
      <c r="CA125" s="578">
        <v>0</v>
      </c>
      <c r="CB125" s="578">
        <v>0</v>
      </c>
      <c r="CC125" s="578">
        <v>0</v>
      </c>
      <c r="CD125" s="578">
        <v>0</v>
      </c>
      <c r="CE125" s="578">
        <v>0</v>
      </c>
      <c r="CF125" s="578">
        <v>0</v>
      </c>
      <c r="CG125" s="578">
        <v>0</v>
      </c>
      <c r="CH125" s="578">
        <v>0</v>
      </c>
      <c r="CI125" s="578">
        <v>0</v>
      </c>
      <c r="CJ125" s="578">
        <v>0</v>
      </c>
      <c r="CK125" s="578">
        <v>0</v>
      </c>
      <c r="CL125" s="578">
        <v>0</v>
      </c>
      <c r="CM125" s="578">
        <v>0</v>
      </c>
      <c r="CN125" s="578">
        <v>0</v>
      </c>
      <c r="CO125" s="578">
        <v>0</v>
      </c>
      <c r="CP125" s="578">
        <v>0</v>
      </c>
      <c r="CQ125" s="578">
        <v>0</v>
      </c>
      <c r="CR125" s="578">
        <v>3.266171176402276E-3</v>
      </c>
      <c r="CS125" s="578">
        <v>0</v>
      </c>
      <c r="CT125" s="578">
        <v>0</v>
      </c>
      <c r="CU125" s="578">
        <v>0</v>
      </c>
      <c r="CV125" s="578">
        <v>0</v>
      </c>
      <c r="CW125" s="578">
        <v>0</v>
      </c>
      <c r="CX125" s="578">
        <v>0</v>
      </c>
      <c r="CY125" s="578">
        <v>0</v>
      </c>
      <c r="CZ125" s="578">
        <v>0</v>
      </c>
      <c r="DA125" s="578">
        <v>0</v>
      </c>
      <c r="DB125" s="578">
        <v>0</v>
      </c>
      <c r="DC125" s="578">
        <v>0</v>
      </c>
      <c r="DD125" s="578">
        <v>0</v>
      </c>
      <c r="DE125" s="578">
        <v>0</v>
      </c>
      <c r="DF125" s="578">
        <v>0</v>
      </c>
      <c r="DG125" s="578">
        <v>0</v>
      </c>
      <c r="DH125" s="578">
        <v>0</v>
      </c>
      <c r="DI125" s="578">
        <v>0</v>
      </c>
      <c r="DJ125" s="578">
        <v>0</v>
      </c>
      <c r="DK125" s="578">
        <v>0</v>
      </c>
      <c r="DL125" s="578">
        <v>0</v>
      </c>
      <c r="DM125" s="578">
        <v>0</v>
      </c>
      <c r="DN125" s="578">
        <v>0</v>
      </c>
      <c r="DO125" s="578">
        <v>0</v>
      </c>
      <c r="DP125" s="578">
        <v>0.5233128834355828</v>
      </c>
      <c r="DQ125" s="578">
        <v>0.60029627528386487</v>
      </c>
      <c r="DR125" s="578">
        <v>0.40711063093344535</v>
      </c>
      <c r="DS125" s="578">
        <v>0</v>
      </c>
      <c r="DT125" s="578">
        <v>0</v>
      </c>
      <c r="DU125" s="578">
        <v>0</v>
      </c>
      <c r="DV125" s="578">
        <v>0.14119018358271357</v>
      </c>
      <c r="DW125" s="578">
        <v>0</v>
      </c>
      <c r="DX125" s="578">
        <v>6.129065869070895E-6</v>
      </c>
      <c r="DY125" s="578">
        <v>0</v>
      </c>
      <c r="DZ125" s="578">
        <v>1.6841169248698599E-6</v>
      </c>
      <c r="EA125" s="578">
        <v>2.2259172448486711E-6</v>
      </c>
      <c r="EB125" s="578">
        <v>3.8298328660937239E-6</v>
      </c>
      <c r="EC125" s="578">
        <v>0</v>
      </c>
      <c r="ED125" s="578">
        <v>0</v>
      </c>
      <c r="EE125" s="578">
        <v>0</v>
      </c>
      <c r="EF125" s="578">
        <v>0</v>
      </c>
      <c r="EG125" s="578">
        <v>0</v>
      </c>
      <c r="EH125" s="578">
        <v>0</v>
      </c>
      <c r="EI125" s="578">
        <v>0</v>
      </c>
      <c r="EJ125" s="578">
        <v>5.3924004899894579E-6</v>
      </c>
      <c r="EK125" s="578">
        <v>4.5326087202859167E-6</v>
      </c>
      <c r="EL125" s="578">
        <v>0</v>
      </c>
      <c r="EM125" s="578">
        <v>0</v>
      </c>
      <c r="EN125" s="578">
        <v>0</v>
      </c>
      <c r="EO125" s="578">
        <v>0</v>
      </c>
      <c r="EP125" s="578">
        <v>0</v>
      </c>
      <c r="EQ125" s="578">
        <v>0</v>
      </c>
      <c r="ER125" s="578">
        <v>0</v>
      </c>
      <c r="ES125" s="578">
        <v>0</v>
      </c>
      <c r="ET125" s="578">
        <v>0</v>
      </c>
      <c r="EU125" s="578">
        <v>0</v>
      </c>
      <c r="EV125" s="578">
        <v>0</v>
      </c>
      <c r="EW125" s="578">
        <v>0</v>
      </c>
      <c r="EX125" s="578">
        <v>0</v>
      </c>
      <c r="EY125" s="578">
        <v>0</v>
      </c>
      <c r="EZ125" s="578">
        <v>0</v>
      </c>
      <c r="FA125" s="578">
        <v>0</v>
      </c>
      <c r="FB125" s="578">
        <v>0</v>
      </c>
      <c r="FC125" s="578">
        <v>0</v>
      </c>
      <c r="FD125" s="578">
        <v>0</v>
      </c>
      <c r="FE125" s="578">
        <v>0</v>
      </c>
      <c r="FF125" s="578">
        <v>0</v>
      </c>
      <c r="FG125" s="578">
        <v>0</v>
      </c>
      <c r="FH125" s="578">
        <v>0</v>
      </c>
      <c r="FI125" s="578">
        <v>0</v>
      </c>
      <c r="FJ125" s="578">
        <v>1.1390364890339261E-6</v>
      </c>
      <c r="FK125" s="578">
        <v>0</v>
      </c>
      <c r="FL125" s="578">
        <v>0</v>
      </c>
      <c r="FM125" s="578">
        <v>0</v>
      </c>
      <c r="FN125" s="578">
        <v>0</v>
      </c>
      <c r="FO125" s="578">
        <v>0</v>
      </c>
      <c r="FP125" s="578">
        <v>0</v>
      </c>
      <c r="FQ125" s="578">
        <v>0</v>
      </c>
      <c r="FR125" s="578">
        <v>0</v>
      </c>
      <c r="FS125" s="578">
        <v>0</v>
      </c>
      <c r="FT125" s="578">
        <v>0</v>
      </c>
      <c r="FU125" s="578">
        <v>0</v>
      </c>
      <c r="FV125" s="578">
        <v>0</v>
      </c>
      <c r="FW125" s="578">
        <v>0.2753954717774203</v>
      </c>
      <c r="FX125" s="578">
        <v>0</v>
      </c>
      <c r="FY125" s="578">
        <v>0</v>
      </c>
      <c r="FZ125" s="578">
        <v>0</v>
      </c>
      <c r="GA125" s="578">
        <v>0</v>
      </c>
      <c r="GB125" s="578">
        <v>0</v>
      </c>
      <c r="GC125" s="578">
        <v>0</v>
      </c>
      <c r="GD125" s="578">
        <v>0</v>
      </c>
      <c r="GE125" s="578">
        <v>0</v>
      </c>
      <c r="GF125" s="578">
        <v>0</v>
      </c>
      <c r="GG125" s="579">
        <v>6.8923214126020843E-3</v>
      </c>
      <c r="GH125" s="572"/>
    </row>
    <row r="126" spans="1:190">
      <c r="A126" s="572" t="s">
        <v>5707</v>
      </c>
      <c r="B126" s="577" t="s">
        <v>9455</v>
      </c>
      <c r="C126" s="573" t="s">
        <v>9093</v>
      </c>
      <c r="D126" s="578">
        <v>0</v>
      </c>
      <c r="E126" s="578">
        <v>0</v>
      </c>
      <c r="F126" s="578">
        <v>0</v>
      </c>
      <c r="G126" s="578">
        <v>0</v>
      </c>
      <c r="H126" s="578">
        <v>0</v>
      </c>
      <c r="I126" s="578">
        <v>0</v>
      </c>
      <c r="J126" s="578">
        <v>0</v>
      </c>
      <c r="K126" s="578">
        <v>0</v>
      </c>
      <c r="L126" s="578">
        <v>0</v>
      </c>
      <c r="M126" s="578">
        <v>0</v>
      </c>
      <c r="N126" s="578">
        <v>0</v>
      </c>
      <c r="O126" s="578">
        <v>4.4626434264693003E-2</v>
      </c>
      <c r="P126" s="578">
        <v>2.2099447513812154E-2</v>
      </c>
      <c r="Q126" s="578">
        <v>0</v>
      </c>
      <c r="R126" s="578">
        <v>5.6525917133005484E-5</v>
      </c>
      <c r="S126" s="578">
        <v>0</v>
      </c>
      <c r="T126" s="578">
        <v>0</v>
      </c>
      <c r="U126" s="578">
        <v>0</v>
      </c>
      <c r="V126" s="578">
        <v>0</v>
      </c>
      <c r="W126" s="578">
        <v>0</v>
      </c>
      <c r="X126" s="578">
        <v>0</v>
      </c>
      <c r="Y126" s="578">
        <v>0</v>
      </c>
      <c r="Z126" s="578">
        <v>0</v>
      </c>
      <c r="AA126" s="578">
        <v>0</v>
      </c>
      <c r="AB126" s="578">
        <v>0</v>
      </c>
      <c r="AC126" s="578">
        <v>0</v>
      </c>
      <c r="AD126" s="578">
        <v>0</v>
      </c>
      <c r="AE126" s="578">
        <v>0</v>
      </c>
      <c r="AF126" s="578">
        <v>0</v>
      </c>
      <c r="AG126" s="578">
        <v>0</v>
      </c>
      <c r="AH126" s="578">
        <v>0</v>
      </c>
      <c r="AI126" s="578">
        <v>0</v>
      </c>
      <c r="AJ126" s="578">
        <v>0</v>
      </c>
      <c r="AK126" s="578">
        <v>0</v>
      </c>
      <c r="AL126" s="578">
        <v>0</v>
      </c>
      <c r="AM126" s="578">
        <v>0</v>
      </c>
      <c r="AN126" s="578">
        <v>0</v>
      </c>
      <c r="AO126" s="578">
        <v>0</v>
      </c>
      <c r="AP126" s="578">
        <v>0</v>
      </c>
      <c r="AQ126" s="578">
        <v>0</v>
      </c>
      <c r="AR126" s="578">
        <v>0</v>
      </c>
      <c r="AS126" s="578">
        <v>0</v>
      </c>
      <c r="AT126" s="578">
        <v>0</v>
      </c>
      <c r="AU126" s="578">
        <v>0</v>
      </c>
      <c r="AV126" s="578">
        <v>0</v>
      </c>
      <c r="AW126" s="578">
        <v>0</v>
      </c>
      <c r="AX126" s="578">
        <v>0</v>
      </c>
      <c r="AY126" s="578">
        <v>0</v>
      </c>
      <c r="AZ126" s="578">
        <v>0</v>
      </c>
      <c r="BA126" s="578">
        <v>0</v>
      </c>
      <c r="BB126" s="578">
        <v>0</v>
      </c>
      <c r="BC126" s="578">
        <v>0</v>
      </c>
      <c r="BD126" s="578">
        <v>0</v>
      </c>
      <c r="BE126" s="578">
        <v>0</v>
      </c>
      <c r="BF126" s="578">
        <v>0</v>
      </c>
      <c r="BG126" s="578">
        <v>0</v>
      </c>
      <c r="BH126" s="578">
        <v>0</v>
      </c>
      <c r="BI126" s="578">
        <v>0</v>
      </c>
      <c r="BJ126" s="578">
        <v>0</v>
      </c>
      <c r="BK126" s="578">
        <v>0</v>
      </c>
      <c r="BL126" s="578">
        <v>0</v>
      </c>
      <c r="BM126" s="578">
        <v>0</v>
      </c>
      <c r="BN126" s="578">
        <v>0</v>
      </c>
      <c r="BO126" s="578">
        <v>0</v>
      </c>
      <c r="BP126" s="578">
        <v>0</v>
      </c>
      <c r="BQ126" s="578">
        <v>0</v>
      </c>
      <c r="BR126" s="578">
        <v>0</v>
      </c>
      <c r="BS126" s="578">
        <v>0</v>
      </c>
      <c r="BT126" s="578">
        <v>0</v>
      </c>
      <c r="BU126" s="578">
        <v>0</v>
      </c>
      <c r="BV126" s="578">
        <v>0</v>
      </c>
      <c r="BW126" s="578">
        <v>0</v>
      </c>
      <c r="BX126" s="578">
        <v>0</v>
      </c>
      <c r="BY126" s="578">
        <v>0</v>
      </c>
      <c r="BZ126" s="578">
        <v>0</v>
      </c>
      <c r="CA126" s="578">
        <v>0</v>
      </c>
      <c r="CB126" s="578">
        <v>0</v>
      </c>
      <c r="CC126" s="578">
        <v>0</v>
      </c>
      <c r="CD126" s="578">
        <v>0</v>
      </c>
      <c r="CE126" s="578">
        <v>0</v>
      </c>
      <c r="CF126" s="578">
        <v>0</v>
      </c>
      <c r="CG126" s="578">
        <v>0</v>
      </c>
      <c r="CH126" s="578">
        <v>0</v>
      </c>
      <c r="CI126" s="578">
        <v>0</v>
      </c>
      <c r="CJ126" s="578">
        <v>0</v>
      </c>
      <c r="CK126" s="578">
        <v>0</v>
      </c>
      <c r="CL126" s="578">
        <v>0</v>
      </c>
      <c r="CM126" s="578">
        <v>0</v>
      </c>
      <c r="CN126" s="578">
        <v>0</v>
      </c>
      <c r="CO126" s="578">
        <v>0</v>
      </c>
      <c r="CP126" s="578">
        <v>0</v>
      </c>
      <c r="CQ126" s="578">
        <v>0</v>
      </c>
      <c r="CR126" s="578">
        <v>0</v>
      </c>
      <c r="CS126" s="578">
        <v>0</v>
      </c>
      <c r="CT126" s="578">
        <v>0</v>
      </c>
      <c r="CU126" s="578">
        <v>0</v>
      </c>
      <c r="CV126" s="578">
        <v>0</v>
      </c>
      <c r="CW126" s="578">
        <v>0</v>
      </c>
      <c r="CX126" s="578">
        <v>0</v>
      </c>
      <c r="CY126" s="578">
        <v>0</v>
      </c>
      <c r="CZ126" s="578">
        <v>0</v>
      </c>
      <c r="DA126" s="578">
        <v>0</v>
      </c>
      <c r="DB126" s="578">
        <v>0</v>
      </c>
      <c r="DC126" s="578">
        <v>0</v>
      </c>
      <c r="DD126" s="578">
        <v>0</v>
      </c>
      <c r="DE126" s="578">
        <v>0</v>
      </c>
      <c r="DF126" s="578">
        <v>0</v>
      </c>
      <c r="DG126" s="578">
        <v>0</v>
      </c>
      <c r="DH126" s="578">
        <v>0</v>
      </c>
      <c r="DI126" s="578">
        <v>0</v>
      </c>
      <c r="DJ126" s="578">
        <v>0</v>
      </c>
      <c r="DK126" s="578">
        <v>0</v>
      </c>
      <c r="DL126" s="578">
        <v>0</v>
      </c>
      <c r="DM126" s="578">
        <v>0</v>
      </c>
      <c r="DN126" s="578">
        <v>0</v>
      </c>
      <c r="DO126" s="578">
        <v>0</v>
      </c>
      <c r="DP126" s="578">
        <v>0</v>
      </c>
      <c r="DQ126" s="578">
        <v>0</v>
      </c>
      <c r="DR126" s="578">
        <v>0</v>
      </c>
      <c r="DS126" s="578">
        <v>0.18362775135564757</v>
      </c>
      <c r="DT126" s="578">
        <v>0</v>
      </c>
      <c r="DU126" s="578">
        <v>0</v>
      </c>
      <c r="DV126" s="578">
        <v>0</v>
      </c>
      <c r="DW126" s="578">
        <v>0</v>
      </c>
      <c r="DX126" s="578">
        <v>0</v>
      </c>
      <c r="DY126" s="578">
        <v>0</v>
      </c>
      <c r="DZ126" s="578">
        <v>0</v>
      </c>
      <c r="EA126" s="578">
        <v>0</v>
      </c>
      <c r="EB126" s="578">
        <v>0</v>
      </c>
      <c r="EC126" s="578">
        <v>0</v>
      </c>
      <c r="ED126" s="578">
        <v>0</v>
      </c>
      <c r="EE126" s="578">
        <v>0</v>
      </c>
      <c r="EF126" s="578">
        <v>0</v>
      </c>
      <c r="EG126" s="578">
        <v>0</v>
      </c>
      <c r="EH126" s="578">
        <v>0</v>
      </c>
      <c r="EI126" s="578">
        <v>0</v>
      </c>
      <c r="EJ126" s="578">
        <v>0</v>
      </c>
      <c r="EK126" s="578">
        <v>0</v>
      </c>
      <c r="EL126" s="578">
        <v>0</v>
      </c>
      <c r="EM126" s="578">
        <v>0</v>
      </c>
      <c r="EN126" s="578">
        <v>0</v>
      </c>
      <c r="EO126" s="578">
        <v>0</v>
      </c>
      <c r="EP126" s="578">
        <v>0</v>
      </c>
      <c r="EQ126" s="578">
        <v>0</v>
      </c>
      <c r="ER126" s="578">
        <v>0</v>
      </c>
      <c r="ES126" s="578">
        <v>0</v>
      </c>
      <c r="ET126" s="578">
        <v>0</v>
      </c>
      <c r="EU126" s="578">
        <v>1.6192811799631555E-3</v>
      </c>
      <c r="EV126" s="578">
        <v>5.2168992832893245E-2</v>
      </c>
      <c r="EW126" s="578">
        <v>2.4345661727530821E-2</v>
      </c>
      <c r="EX126" s="578">
        <v>0</v>
      </c>
      <c r="EY126" s="578">
        <v>0</v>
      </c>
      <c r="EZ126" s="578">
        <v>0</v>
      </c>
      <c r="FA126" s="578">
        <v>0</v>
      </c>
      <c r="FB126" s="578">
        <v>1.2311241681479507E-3</v>
      </c>
      <c r="FC126" s="578">
        <v>0</v>
      </c>
      <c r="FD126" s="578">
        <v>0</v>
      </c>
      <c r="FE126" s="578">
        <v>0</v>
      </c>
      <c r="FF126" s="578">
        <v>0</v>
      </c>
      <c r="FG126" s="578">
        <v>0</v>
      </c>
      <c r="FH126" s="578">
        <v>0</v>
      </c>
      <c r="FI126" s="578">
        <v>3.3325307855376972E-3</v>
      </c>
      <c r="FJ126" s="578">
        <v>1.2643305028276581E-4</v>
      </c>
      <c r="FK126" s="578">
        <v>1.9319997112168853E-5</v>
      </c>
      <c r="FL126" s="578">
        <v>5.8808154730789341E-4</v>
      </c>
      <c r="FM126" s="578">
        <v>1.4564266281393275E-4</v>
      </c>
      <c r="FN126" s="578">
        <v>0</v>
      </c>
      <c r="FO126" s="578">
        <v>0</v>
      </c>
      <c r="FP126" s="578">
        <v>0</v>
      </c>
      <c r="FQ126" s="578">
        <v>0</v>
      </c>
      <c r="FR126" s="578">
        <v>0</v>
      </c>
      <c r="FS126" s="578">
        <v>0</v>
      </c>
      <c r="FT126" s="578">
        <v>5.1879866980021065E-6</v>
      </c>
      <c r="FU126" s="578">
        <v>0</v>
      </c>
      <c r="FV126" s="578">
        <v>0</v>
      </c>
      <c r="FW126" s="578">
        <v>0</v>
      </c>
      <c r="FX126" s="578">
        <v>0</v>
      </c>
      <c r="FY126" s="578">
        <v>8.925519219766812E-7</v>
      </c>
      <c r="FZ126" s="578">
        <v>0</v>
      </c>
      <c r="GA126" s="578">
        <v>0</v>
      </c>
      <c r="GB126" s="578">
        <v>0</v>
      </c>
      <c r="GC126" s="578">
        <v>1.2394276818736181E-5</v>
      </c>
      <c r="GD126" s="578">
        <v>0</v>
      </c>
      <c r="GE126" s="578">
        <v>0</v>
      </c>
      <c r="GF126" s="578">
        <v>0</v>
      </c>
      <c r="GG126" s="579">
        <v>1.7057863414500921E-3</v>
      </c>
      <c r="GH126" s="572"/>
    </row>
    <row r="127" spans="1:190">
      <c r="A127" s="572" t="s">
        <v>5709</v>
      </c>
      <c r="B127" s="577" t="s">
        <v>9456</v>
      </c>
      <c r="C127" s="573" t="s">
        <v>9539</v>
      </c>
      <c r="D127" s="578">
        <v>0</v>
      </c>
      <c r="E127" s="578">
        <v>0</v>
      </c>
      <c r="F127" s="578">
        <v>0</v>
      </c>
      <c r="G127" s="578">
        <v>0</v>
      </c>
      <c r="H127" s="578">
        <v>0</v>
      </c>
      <c r="I127" s="578">
        <v>0</v>
      </c>
      <c r="J127" s="578">
        <v>0</v>
      </c>
      <c r="K127" s="578">
        <v>0</v>
      </c>
      <c r="L127" s="578">
        <v>0</v>
      </c>
      <c r="M127" s="578">
        <v>0</v>
      </c>
      <c r="N127" s="578">
        <v>0</v>
      </c>
      <c r="O127" s="578">
        <v>0</v>
      </c>
      <c r="P127" s="578">
        <v>0</v>
      </c>
      <c r="Q127" s="578">
        <v>0</v>
      </c>
      <c r="R127" s="578">
        <v>0</v>
      </c>
      <c r="S127" s="578">
        <v>0</v>
      </c>
      <c r="T127" s="578">
        <v>0</v>
      </c>
      <c r="U127" s="578">
        <v>0</v>
      </c>
      <c r="V127" s="578">
        <v>0</v>
      </c>
      <c r="W127" s="578">
        <v>0</v>
      </c>
      <c r="X127" s="578">
        <v>0</v>
      </c>
      <c r="Y127" s="578">
        <v>0</v>
      </c>
      <c r="Z127" s="578">
        <v>0</v>
      </c>
      <c r="AA127" s="578">
        <v>0</v>
      </c>
      <c r="AB127" s="578">
        <v>0</v>
      </c>
      <c r="AC127" s="578">
        <v>0</v>
      </c>
      <c r="AD127" s="578">
        <v>0</v>
      </c>
      <c r="AE127" s="578">
        <v>0</v>
      </c>
      <c r="AF127" s="578">
        <v>0</v>
      </c>
      <c r="AG127" s="578">
        <v>0</v>
      </c>
      <c r="AH127" s="578">
        <v>0</v>
      </c>
      <c r="AI127" s="578">
        <v>0</v>
      </c>
      <c r="AJ127" s="578">
        <v>0</v>
      </c>
      <c r="AK127" s="578">
        <v>0</v>
      </c>
      <c r="AL127" s="578">
        <v>0</v>
      </c>
      <c r="AM127" s="578">
        <v>0</v>
      </c>
      <c r="AN127" s="578">
        <v>0</v>
      </c>
      <c r="AO127" s="578">
        <v>0</v>
      </c>
      <c r="AP127" s="578">
        <v>0</v>
      </c>
      <c r="AQ127" s="578">
        <v>0</v>
      </c>
      <c r="AR127" s="578">
        <v>0</v>
      </c>
      <c r="AS127" s="578">
        <v>0</v>
      </c>
      <c r="AT127" s="578">
        <v>0</v>
      </c>
      <c r="AU127" s="578">
        <v>0</v>
      </c>
      <c r="AV127" s="578">
        <v>0</v>
      </c>
      <c r="AW127" s="578">
        <v>0</v>
      </c>
      <c r="AX127" s="578">
        <v>0</v>
      </c>
      <c r="AY127" s="578">
        <v>0</v>
      </c>
      <c r="AZ127" s="578">
        <v>0</v>
      </c>
      <c r="BA127" s="578">
        <v>0</v>
      </c>
      <c r="BB127" s="578">
        <v>0</v>
      </c>
      <c r="BC127" s="578">
        <v>0</v>
      </c>
      <c r="BD127" s="578">
        <v>0</v>
      </c>
      <c r="BE127" s="578">
        <v>0</v>
      </c>
      <c r="BF127" s="578">
        <v>0</v>
      </c>
      <c r="BG127" s="578">
        <v>0</v>
      </c>
      <c r="BH127" s="578">
        <v>0</v>
      </c>
      <c r="BI127" s="578">
        <v>0</v>
      </c>
      <c r="BJ127" s="578">
        <v>0</v>
      </c>
      <c r="BK127" s="578">
        <v>0</v>
      </c>
      <c r="BL127" s="578">
        <v>0</v>
      </c>
      <c r="BM127" s="578">
        <v>0</v>
      </c>
      <c r="BN127" s="578">
        <v>0</v>
      </c>
      <c r="BO127" s="578">
        <v>0</v>
      </c>
      <c r="BP127" s="578">
        <v>0</v>
      </c>
      <c r="BQ127" s="578">
        <v>0</v>
      </c>
      <c r="BR127" s="578">
        <v>0</v>
      </c>
      <c r="BS127" s="578">
        <v>0</v>
      </c>
      <c r="BT127" s="578">
        <v>0</v>
      </c>
      <c r="BU127" s="578">
        <v>0</v>
      </c>
      <c r="BV127" s="578">
        <v>0</v>
      </c>
      <c r="BW127" s="578">
        <v>0</v>
      </c>
      <c r="BX127" s="578">
        <v>0</v>
      </c>
      <c r="BY127" s="578">
        <v>0</v>
      </c>
      <c r="BZ127" s="578">
        <v>0</v>
      </c>
      <c r="CA127" s="578">
        <v>0</v>
      </c>
      <c r="CB127" s="578">
        <v>0</v>
      </c>
      <c r="CC127" s="578">
        <v>0</v>
      </c>
      <c r="CD127" s="578">
        <v>0</v>
      </c>
      <c r="CE127" s="578">
        <v>0</v>
      </c>
      <c r="CF127" s="578">
        <v>0</v>
      </c>
      <c r="CG127" s="578">
        <v>0</v>
      </c>
      <c r="CH127" s="578">
        <v>0</v>
      </c>
      <c r="CI127" s="578">
        <v>0</v>
      </c>
      <c r="CJ127" s="578">
        <v>0</v>
      </c>
      <c r="CK127" s="578">
        <v>0</v>
      </c>
      <c r="CL127" s="578">
        <v>0</v>
      </c>
      <c r="CM127" s="578">
        <v>0</v>
      </c>
      <c r="CN127" s="578">
        <v>0</v>
      </c>
      <c r="CO127" s="578">
        <v>0</v>
      </c>
      <c r="CP127" s="578">
        <v>0</v>
      </c>
      <c r="CQ127" s="578">
        <v>0</v>
      </c>
      <c r="CR127" s="578">
        <v>0</v>
      </c>
      <c r="CS127" s="578">
        <v>0</v>
      </c>
      <c r="CT127" s="578">
        <v>0</v>
      </c>
      <c r="CU127" s="578">
        <v>0</v>
      </c>
      <c r="CV127" s="578">
        <v>0</v>
      </c>
      <c r="CW127" s="578">
        <v>0</v>
      </c>
      <c r="CX127" s="578">
        <v>0</v>
      </c>
      <c r="CY127" s="578">
        <v>0</v>
      </c>
      <c r="CZ127" s="578">
        <v>0</v>
      </c>
      <c r="DA127" s="578">
        <v>0</v>
      </c>
      <c r="DB127" s="578">
        <v>0</v>
      </c>
      <c r="DC127" s="578">
        <v>0</v>
      </c>
      <c r="DD127" s="578">
        <v>0</v>
      </c>
      <c r="DE127" s="578">
        <v>0</v>
      </c>
      <c r="DF127" s="578">
        <v>0</v>
      </c>
      <c r="DG127" s="578">
        <v>0</v>
      </c>
      <c r="DH127" s="578">
        <v>0</v>
      </c>
      <c r="DI127" s="578">
        <v>0</v>
      </c>
      <c r="DJ127" s="578">
        <v>0</v>
      </c>
      <c r="DK127" s="578">
        <v>0</v>
      </c>
      <c r="DL127" s="578">
        <v>0</v>
      </c>
      <c r="DM127" s="578">
        <v>0</v>
      </c>
      <c r="DN127" s="578">
        <v>0</v>
      </c>
      <c r="DO127" s="578">
        <v>0</v>
      </c>
      <c r="DP127" s="578">
        <v>0</v>
      </c>
      <c r="DQ127" s="578">
        <v>0</v>
      </c>
      <c r="DR127" s="578">
        <v>0</v>
      </c>
      <c r="DS127" s="578">
        <v>0</v>
      </c>
      <c r="DT127" s="578">
        <v>0.246200497124405</v>
      </c>
      <c r="DU127" s="578">
        <v>0</v>
      </c>
      <c r="DV127" s="578">
        <v>0</v>
      </c>
      <c r="DW127" s="578">
        <v>0</v>
      </c>
      <c r="DX127" s="578">
        <v>0</v>
      </c>
      <c r="DY127" s="578">
        <v>0</v>
      </c>
      <c r="DZ127" s="578">
        <v>0</v>
      </c>
      <c r="EA127" s="578">
        <v>0</v>
      </c>
      <c r="EB127" s="578">
        <v>0</v>
      </c>
      <c r="EC127" s="578">
        <v>0</v>
      </c>
      <c r="ED127" s="578">
        <v>0</v>
      </c>
      <c r="EE127" s="578">
        <v>0</v>
      </c>
      <c r="EF127" s="578">
        <v>0</v>
      </c>
      <c r="EG127" s="578">
        <v>0</v>
      </c>
      <c r="EH127" s="578">
        <v>0</v>
      </c>
      <c r="EI127" s="578">
        <v>0</v>
      </c>
      <c r="EJ127" s="578">
        <v>0</v>
      </c>
      <c r="EK127" s="578">
        <v>0</v>
      </c>
      <c r="EL127" s="578">
        <v>0</v>
      </c>
      <c r="EM127" s="578">
        <v>0</v>
      </c>
      <c r="EN127" s="578">
        <v>0</v>
      </c>
      <c r="EO127" s="578">
        <v>0</v>
      </c>
      <c r="EP127" s="578">
        <v>0</v>
      </c>
      <c r="EQ127" s="578">
        <v>5.1759258945427551E-2</v>
      </c>
      <c r="ER127" s="578">
        <v>0.18725490196078431</v>
      </c>
      <c r="ES127" s="578">
        <v>0</v>
      </c>
      <c r="ET127" s="578">
        <v>0</v>
      </c>
      <c r="EU127" s="578">
        <v>0</v>
      </c>
      <c r="EV127" s="578">
        <v>0</v>
      </c>
      <c r="EW127" s="578">
        <v>0</v>
      </c>
      <c r="EX127" s="578">
        <v>0</v>
      </c>
      <c r="EY127" s="578">
        <v>0</v>
      </c>
      <c r="EZ127" s="578">
        <v>0</v>
      </c>
      <c r="FA127" s="578">
        <v>0</v>
      </c>
      <c r="FB127" s="578">
        <v>0</v>
      </c>
      <c r="FC127" s="578">
        <v>0</v>
      </c>
      <c r="FD127" s="578">
        <v>0</v>
      </c>
      <c r="FE127" s="578">
        <v>0</v>
      </c>
      <c r="FF127" s="578">
        <v>0</v>
      </c>
      <c r="FG127" s="578">
        <v>0</v>
      </c>
      <c r="FH127" s="578">
        <v>0</v>
      </c>
      <c r="FI127" s="578">
        <v>0</v>
      </c>
      <c r="FJ127" s="578">
        <v>0</v>
      </c>
      <c r="FK127" s="578">
        <v>0</v>
      </c>
      <c r="FL127" s="578">
        <v>0</v>
      </c>
      <c r="FM127" s="578">
        <v>0</v>
      </c>
      <c r="FN127" s="578">
        <v>0</v>
      </c>
      <c r="FO127" s="578">
        <v>0</v>
      </c>
      <c r="FP127" s="578">
        <v>0</v>
      </c>
      <c r="FQ127" s="578">
        <v>0</v>
      </c>
      <c r="FR127" s="578">
        <v>0</v>
      </c>
      <c r="FS127" s="578">
        <v>0</v>
      </c>
      <c r="FT127" s="578">
        <v>0</v>
      </c>
      <c r="FU127" s="578">
        <v>0</v>
      </c>
      <c r="FV127" s="578">
        <v>0</v>
      </c>
      <c r="FW127" s="578">
        <v>0</v>
      </c>
      <c r="FX127" s="578">
        <v>0</v>
      </c>
      <c r="FY127" s="578">
        <v>0</v>
      </c>
      <c r="FZ127" s="578">
        <v>0</v>
      </c>
      <c r="GA127" s="578">
        <v>0</v>
      </c>
      <c r="GB127" s="578">
        <v>0</v>
      </c>
      <c r="GC127" s="578">
        <v>0</v>
      </c>
      <c r="GD127" s="578">
        <v>0</v>
      </c>
      <c r="GE127" s="578">
        <v>0</v>
      </c>
      <c r="GF127" s="578">
        <v>0</v>
      </c>
      <c r="GG127" s="579">
        <v>1.2687580027317222E-3</v>
      </c>
      <c r="GH127" s="572"/>
    </row>
    <row r="128" spans="1:190">
      <c r="A128" s="572" t="s">
        <v>5711</v>
      </c>
      <c r="B128" s="577" t="s">
        <v>9457</v>
      </c>
      <c r="C128" s="573" t="s">
        <v>9540</v>
      </c>
      <c r="D128" s="578">
        <v>0</v>
      </c>
      <c r="E128" s="578">
        <v>0</v>
      </c>
      <c r="F128" s="578">
        <v>0</v>
      </c>
      <c r="G128" s="578">
        <v>0</v>
      </c>
      <c r="H128" s="578">
        <v>0</v>
      </c>
      <c r="I128" s="578">
        <v>0</v>
      </c>
      <c r="J128" s="578">
        <v>0</v>
      </c>
      <c r="K128" s="578">
        <v>0</v>
      </c>
      <c r="L128" s="578">
        <v>0</v>
      </c>
      <c r="M128" s="578">
        <v>0</v>
      </c>
      <c r="N128" s="578">
        <v>0</v>
      </c>
      <c r="O128" s="578">
        <v>0</v>
      </c>
      <c r="P128" s="578">
        <v>0</v>
      </c>
      <c r="Q128" s="578">
        <v>0</v>
      </c>
      <c r="R128" s="578">
        <v>0</v>
      </c>
      <c r="S128" s="578">
        <v>0</v>
      </c>
      <c r="T128" s="578">
        <v>0</v>
      </c>
      <c r="U128" s="578">
        <v>0</v>
      </c>
      <c r="V128" s="578">
        <v>0</v>
      </c>
      <c r="W128" s="578">
        <v>0</v>
      </c>
      <c r="X128" s="578">
        <v>0</v>
      </c>
      <c r="Y128" s="578">
        <v>0</v>
      </c>
      <c r="Z128" s="578">
        <v>0</v>
      </c>
      <c r="AA128" s="578">
        <v>0</v>
      </c>
      <c r="AB128" s="578">
        <v>0</v>
      </c>
      <c r="AC128" s="578">
        <v>0</v>
      </c>
      <c r="AD128" s="578">
        <v>0</v>
      </c>
      <c r="AE128" s="578">
        <v>0</v>
      </c>
      <c r="AF128" s="578">
        <v>0</v>
      </c>
      <c r="AG128" s="578">
        <v>0</v>
      </c>
      <c r="AH128" s="578">
        <v>0</v>
      </c>
      <c r="AI128" s="578">
        <v>0</v>
      </c>
      <c r="AJ128" s="578">
        <v>0</v>
      </c>
      <c r="AK128" s="578">
        <v>0</v>
      </c>
      <c r="AL128" s="578">
        <v>0</v>
      </c>
      <c r="AM128" s="578">
        <v>0</v>
      </c>
      <c r="AN128" s="578">
        <v>0</v>
      </c>
      <c r="AO128" s="578">
        <v>0</v>
      </c>
      <c r="AP128" s="578">
        <v>0</v>
      </c>
      <c r="AQ128" s="578">
        <v>0</v>
      </c>
      <c r="AR128" s="578">
        <v>0</v>
      </c>
      <c r="AS128" s="578">
        <v>0</v>
      </c>
      <c r="AT128" s="578">
        <v>0</v>
      </c>
      <c r="AU128" s="578">
        <v>0</v>
      </c>
      <c r="AV128" s="578">
        <v>0</v>
      </c>
      <c r="AW128" s="578">
        <v>0</v>
      </c>
      <c r="AX128" s="578">
        <v>0</v>
      </c>
      <c r="AY128" s="578">
        <v>0</v>
      </c>
      <c r="AZ128" s="578">
        <v>0</v>
      </c>
      <c r="BA128" s="578">
        <v>0</v>
      </c>
      <c r="BB128" s="578">
        <v>0</v>
      </c>
      <c r="BC128" s="578">
        <v>0</v>
      </c>
      <c r="BD128" s="578">
        <v>0</v>
      </c>
      <c r="BE128" s="578">
        <v>0</v>
      </c>
      <c r="BF128" s="578">
        <v>0</v>
      </c>
      <c r="BG128" s="578">
        <v>0</v>
      </c>
      <c r="BH128" s="578">
        <v>0</v>
      </c>
      <c r="BI128" s="578">
        <v>0</v>
      </c>
      <c r="BJ128" s="578">
        <v>0</v>
      </c>
      <c r="BK128" s="578">
        <v>0</v>
      </c>
      <c r="BL128" s="578">
        <v>0</v>
      </c>
      <c r="BM128" s="578">
        <v>0</v>
      </c>
      <c r="BN128" s="578">
        <v>0</v>
      </c>
      <c r="BO128" s="578">
        <v>0</v>
      </c>
      <c r="BP128" s="578">
        <v>0</v>
      </c>
      <c r="BQ128" s="578">
        <v>0</v>
      </c>
      <c r="BR128" s="578">
        <v>0</v>
      </c>
      <c r="BS128" s="578">
        <v>0</v>
      </c>
      <c r="BT128" s="578">
        <v>0</v>
      </c>
      <c r="BU128" s="578">
        <v>0</v>
      </c>
      <c r="BV128" s="578">
        <v>0</v>
      </c>
      <c r="BW128" s="578">
        <v>0</v>
      </c>
      <c r="BX128" s="578">
        <v>0</v>
      </c>
      <c r="BY128" s="578">
        <v>0</v>
      </c>
      <c r="BZ128" s="578">
        <v>0</v>
      </c>
      <c r="CA128" s="578">
        <v>0</v>
      </c>
      <c r="CB128" s="578">
        <v>0</v>
      </c>
      <c r="CC128" s="578">
        <v>0</v>
      </c>
      <c r="CD128" s="578">
        <v>0</v>
      </c>
      <c r="CE128" s="578">
        <v>0</v>
      </c>
      <c r="CF128" s="578">
        <v>0</v>
      </c>
      <c r="CG128" s="578">
        <v>0</v>
      </c>
      <c r="CH128" s="578">
        <v>0</v>
      </c>
      <c r="CI128" s="578">
        <v>0</v>
      </c>
      <c r="CJ128" s="578">
        <v>0</v>
      </c>
      <c r="CK128" s="578">
        <v>0</v>
      </c>
      <c r="CL128" s="578">
        <v>0</v>
      </c>
      <c r="CM128" s="578">
        <v>0</v>
      </c>
      <c r="CN128" s="578">
        <v>0</v>
      </c>
      <c r="CO128" s="578">
        <v>0</v>
      </c>
      <c r="CP128" s="578">
        <v>0</v>
      </c>
      <c r="CQ128" s="578">
        <v>0</v>
      </c>
      <c r="CR128" s="578">
        <v>0</v>
      </c>
      <c r="CS128" s="578">
        <v>0</v>
      </c>
      <c r="CT128" s="578">
        <v>0</v>
      </c>
      <c r="CU128" s="578">
        <v>0</v>
      </c>
      <c r="CV128" s="578">
        <v>0</v>
      </c>
      <c r="CW128" s="578">
        <v>0</v>
      </c>
      <c r="CX128" s="578">
        <v>0</v>
      </c>
      <c r="CY128" s="578">
        <v>0</v>
      </c>
      <c r="CZ128" s="578">
        <v>0</v>
      </c>
      <c r="DA128" s="578">
        <v>0</v>
      </c>
      <c r="DB128" s="578">
        <v>0</v>
      </c>
      <c r="DC128" s="578">
        <v>0</v>
      </c>
      <c r="DD128" s="578">
        <v>0</v>
      </c>
      <c r="DE128" s="578">
        <v>0</v>
      </c>
      <c r="DF128" s="578">
        <v>0</v>
      </c>
      <c r="DG128" s="578">
        <v>0</v>
      </c>
      <c r="DH128" s="578">
        <v>0</v>
      </c>
      <c r="DI128" s="578">
        <v>0</v>
      </c>
      <c r="DJ128" s="578">
        <v>0</v>
      </c>
      <c r="DK128" s="578">
        <v>0</v>
      </c>
      <c r="DL128" s="578">
        <v>0</v>
      </c>
      <c r="DM128" s="578">
        <v>0</v>
      </c>
      <c r="DN128" s="578">
        <v>0</v>
      </c>
      <c r="DO128" s="578">
        <v>0</v>
      </c>
      <c r="DP128" s="578">
        <v>0</v>
      </c>
      <c r="DQ128" s="578">
        <v>0</v>
      </c>
      <c r="DR128" s="578">
        <v>0</v>
      </c>
      <c r="DS128" s="578">
        <v>0</v>
      </c>
      <c r="DT128" s="578">
        <v>0</v>
      </c>
      <c r="DU128" s="578">
        <v>0.36194101159383363</v>
      </c>
      <c r="DV128" s="578">
        <v>0</v>
      </c>
      <c r="DW128" s="578">
        <v>0</v>
      </c>
      <c r="DX128" s="578">
        <v>0</v>
      </c>
      <c r="DY128" s="578">
        <v>0</v>
      </c>
      <c r="DZ128" s="578">
        <v>0</v>
      </c>
      <c r="EA128" s="578">
        <v>0</v>
      </c>
      <c r="EB128" s="578">
        <v>0</v>
      </c>
      <c r="EC128" s="578">
        <v>0</v>
      </c>
      <c r="ED128" s="578">
        <v>0</v>
      </c>
      <c r="EE128" s="578">
        <v>0</v>
      </c>
      <c r="EF128" s="578">
        <v>0</v>
      </c>
      <c r="EG128" s="578">
        <v>0</v>
      </c>
      <c r="EH128" s="578">
        <v>0</v>
      </c>
      <c r="EI128" s="578">
        <v>0</v>
      </c>
      <c r="EJ128" s="578">
        <v>0</v>
      </c>
      <c r="EK128" s="578">
        <v>0</v>
      </c>
      <c r="EL128" s="578">
        <v>0</v>
      </c>
      <c r="EM128" s="578">
        <v>0</v>
      </c>
      <c r="EN128" s="578">
        <v>0</v>
      </c>
      <c r="EO128" s="578">
        <v>0</v>
      </c>
      <c r="EP128" s="578">
        <v>0</v>
      </c>
      <c r="EQ128" s="578">
        <v>0</v>
      </c>
      <c r="ER128" s="578">
        <v>0</v>
      </c>
      <c r="ES128" s="578">
        <v>0</v>
      </c>
      <c r="ET128" s="578">
        <v>0</v>
      </c>
      <c r="EU128" s="578">
        <v>0</v>
      </c>
      <c r="EV128" s="578">
        <v>0</v>
      </c>
      <c r="EW128" s="578">
        <v>0</v>
      </c>
      <c r="EX128" s="578">
        <v>0.11594649809197086</v>
      </c>
      <c r="EY128" s="578">
        <v>0</v>
      </c>
      <c r="EZ128" s="578">
        <v>0</v>
      </c>
      <c r="FA128" s="578">
        <v>0</v>
      </c>
      <c r="FB128" s="578">
        <v>1.2581077115594128E-3</v>
      </c>
      <c r="FC128" s="578">
        <v>0</v>
      </c>
      <c r="FD128" s="578">
        <v>0</v>
      </c>
      <c r="FE128" s="578">
        <v>0</v>
      </c>
      <c r="FF128" s="578">
        <v>0</v>
      </c>
      <c r="FG128" s="578">
        <v>0</v>
      </c>
      <c r="FH128" s="578">
        <v>0</v>
      </c>
      <c r="FI128" s="578">
        <v>1.0473248733051072E-2</v>
      </c>
      <c r="FJ128" s="578">
        <v>0</v>
      </c>
      <c r="FK128" s="578">
        <v>0</v>
      </c>
      <c r="FL128" s="578">
        <v>0</v>
      </c>
      <c r="FM128" s="578">
        <v>0</v>
      </c>
      <c r="FN128" s="578">
        <v>0</v>
      </c>
      <c r="FO128" s="578">
        <v>0</v>
      </c>
      <c r="FP128" s="578">
        <v>0</v>
      </c>
      <c r="FQ128" s="578">
        <v>0</v>
      </c>
      <c r="FR128" s="578">
        <v>0</v>
      </c>
      <c r="FS128" s="578">
        <v>0</v>
      </c>
      <c r="FT128" s="578">
        <v>0</v>
      </c>
      <c r="FU128" s="578">
        <v>0</v>
      </c>
      <c r="FV128" s="578">
        <v>0</v>
      </c>
      <c r="FW128" s="578">
        <v>0</v>
      </c>
      <c r="FX128" s="578">
        <v>0</v>
      </c>
      <c r="FY128" s="578">
        <v>0</v>
      </c>
      <c r="FZ128" s="578">
        <v>0</v>
      </c>
      <c r="GA128" s="578">
        <v>0</v>
      </c>
      <c r="GB128" s="578">
        <v>0</v>
      </c>
      <c r="GC128" s="578">
        <v>0</v>
      </c>
      <c r="GD128" s="578">
        <v>0</v>
      </c>
      <c r="GE128" s="578">
        <v>0</v>
      </c>
      <c r="GF128" s="578">
        <v>0</v>
      </c>
      <c r="GG128" s="579">
        <v>1.4222800568768281E-3</v>
      </c>
      <c r="GH128" s="572"/>
    </row>
    <row r="129" spans="1:190">
      <c r="A129" s="572" t="s">
        <v>5713</v>
      </c>
      <c r="B129" s="577" t="s">
        <v>9458</v>
      </c>
      <c r="C129" s="573" t="s">
        <v>7026</v>
      </c>
      <c r="D129" s="578">
        <v>0</v>
      </c>
      <c r="E129" s="578">
        <v>0</v>
      </c>
      <c r="F129" s="578">
        <v>0</v>
      </c>
      <c r="G129" s="578">
        <v>0</v>
      </c>
      <c r="H129" s="578">
        <v>0</v>
      </c>
      <c r="I129" s="578">
        <v>0</v>
      </c>
      <c r="J129" s="578">
        <v>0</v>
      </c>
      <c r="K129" s="578">
        <v>0</v>
      </c>
      <c r="L129" s="578">
        <v>0</v>
      </c>
      <c r="M129" s="578">
        <v>0</v>
      </c>
      <c r="N129" s="578">
        <v>0</v>
      </c>
      <c r="O129" s="578">
        <v>0</v>
      </c>
      <c r="P129" s="578">
        <v>0</v>
      </c>
      <c r="Q129" s="578">
        <v>0</v>
      </c>
      <c r="R129" s="578">
        <v>0</v>
      </c>
      <c r="S129" s="578">
        <v>0</v>
      </c>
      <c r="T129" s="578">
        <v>0</v>
      </c>
      <c r="U129" s="578">
        <v>0</v>
      </c>
      <c r="V129" s="578">
        <v>0</v>
      </c>
      <c r="W129" s="578">
        <v>0</v>
      </c>
      <c r="X129" s="578">
        <v>0</v>
      </c>
      <c r="Y129" s="578">
        <v>0</v>
      </c>
      <c r="Z129" s="578">
        <v>0</v>
      </c>
      <c r="AA129" s="578">
        <v>0</v>
      </c>
      <c r="AB129" s="578">
        <v>0</v>
      </c>
      <c r="AC129" s="578">
        <v>0</v>
      </c>
      <c r="AD129" s="578">
        <v>0</v>
      </c>
      <c r="AE129" s="578">
        <v>0</v>
      </c>
      <c r="AF129" s="578">
        <v>0</v>
      </c>
      <c r="AG129" s="578">
        <v>0</v>
      </c>
      <c r="AH129" s="578">
        <v>0</v>
      </c>
      <c r="AI129" s="578">
        <v>0</v>
      </c>
      <c r="AJ129" s="578">
        <v>0</v>
      </c>
      <c r="AK129" s="578">
        <v>0</v>
      </c>
      <c r="AL129" s="578">
        <v>0</v>
      </c>
      <c r="AM129" s="578">
        <v>0</v>
      </c>
      <c r="AN129" s="578">
        <v>0</v>
      </c>
      <c r="AO129" s="578">
        <v>0</v>
      </c>
      <c r="AP129" s="578">
        <v>0</v>
      </c>
      <c r="AQ129" s="578">
        <v>0</v>
      </c>
      <c r="AR129" s="578">
        <v>0</v>
      </c>
      <c r="AS129" s="578">
        <v>0</v>
      </c>
      <c r="AT129" s="578">
        <v>0</v>
      </c>
      <c r="AU129" s="578">
        <v>0</v>
      </c>
      <c r="AV129" s="578">
        <v>0</v>
      </c>
      <c r="AW129" s="578">
        <v>0</v>
      </c>
      <c r="AX129" s="578">
        <v>0</v>
      </c>
      <c r="AY129" s="578">
        <v>0</v>
      </c>
      <c r="AZ129" s="578">
        <v>0</v>
      </c>
      <c r="BA129" s="578">
        <v>0</v>
      </c>
      <c r="BB129" s="578">
        <v>0</v>
      </c>
      <c r="BC129" s="578">
        <v>0</v>
      </c>
      <c r="BD129" s="578">
        <v>0</v>
      </c>
      <c r="BE129" s="578">
        <v>0</v>
      </c>
      <c r="BF129" s="578">
        <v>0</v>
      </c>
      <c r="BG129" s="578">
        <v>0</v>
      </c>
      <c r="BH129" s="578">
        <v>0</v>
      </c>
      <c r="BI129" s="578">
        <v>0</v>
      </c>
      <c r="BJ129" s="578">
        <v>0</v>
      </c>
      <c r="BK129" s="578">
        <v>0</v>
      </c>
      <c r="BL129" s="578">
        <v>0</v>
      </c>
      <c r="BM129" s="578">
        <v>0</v>
      </c>
      <c r="BN129" s="578">
        <v>0</v>
      </c>
      <c r="BO129" s="578">
        <v>0</v>
      </c>
      <c r="BP129" s="578">
        <v>0</v>
      </c>
      <c r="BQ129" s="578">
        <v>0</v>
      </c>
      <c r="BR129" s="578">
        <v>0</v>
      </c>
      <c r="BS129" s="578">
        <v>0</v>
      </c>
      <c r="BT129" s="578">
        <v>0</v>
      </c>
      <c r="BU129" s="578">
        <v>0</v>
      </c>
      <c r="BV129" s="578">
        <v>0</v>
      </c>
      <c r="BW129" s="578">
        <v>0</v>
      </c>
      <c r="BX129" s="578">
        <v>0</v>
      </c>
      <c r="BY129" s="578">
        <v>0</v>
      </c>
      <c r="BZ129" s="578">
        <v>0</v>
      </c>
      <c r="CA129" s="578">
        <v>0</v>
      </c>
      <c r="CB129" s="578">
        <v>0</v>
      </c>
      <c r="CC129" s="578">
        <v>0</v>
      </c>
      <c r="CD129" s="578">
        <v>0</v>
      </c>
      <c r="CE129" s="578">
        <v>0</v>
      </c>
      <c r="CF129" s="578">
        <v>0</v>
      </c>
      <c r="CG129" s="578">
        <v>0</v>
      </c>
      <c r="CH129" s="578">
        <v>0</v>
      </c>
      <c r="CI129" s="578">
        <v>0</v>
      </c>
      <c r="CJ129" s="578">
        <v>0</v>
      </c>
      <c r="CK129" s="578">
        <v>0</v>
      </c>
      <c r="CL129" s="578">
        <v>0</v>
      </c>
      <c r="CM129" s="578">
        <v>0</v>
      </c>
      <c r="CN129" s="578">
        <v>0</v>
      </c>
      <c r="CO129" s="578">
        <v>0</v>
      </c>
      <c r="CP129" s="578">
        <v>0</v>
      </c>
      <c r="CQ129" s="578">
        <v>0</v>
      </c>
      <c r="CR129" s="578">
        <v>0</v>
      </c>
      <c r="CS129" s="578">
        <v>0</v>
      </c>
      <c r="CT129" s="578">
        <v>0</v>
      </c>
      <c r="CU129" s="578">
        <v>0</v>
      </c>
      <c r="CV129" s="578">
        <v>0</v>
      </c>
      <c r="CW129" s="578">
        <v>0</v>
      </c>
      <c r="CX129" s="578">
        <v>0</v>
      </c>
      <c r="CY129" s="578">
        <v>0</v>
      </c>
      <c r="CZ129" s="578">
        <v>0</v>
      </c>
      <c r="DA129" s="578">
        <v>0</v>
      </c>
      <c r="DB129" s="578">
        <v>0</v>
      </c>
      <c r="DC129" s="578">
        <v>0</v>
      </c>
      <c r="DD129" s="578">
        <v>0</v>
      </c>
      <c r="DE129" s="578">
        <v>0</v>
      </c>
      <c r="DF129" s="578">
        <v>0</v>
      </c>
      <c r="DG129" s="578">
        <v>0</v>
      </c>
      <c r="DH129" s="578">
        <v>0</v>
      </c>
      <c r="DI129" s="578">
        <v>0</v>
      </c>
      <c r="DJ129" s="578">
        <v>0</v>
      </c>
      <c r="DK129" s="578">
        <v>0</v>
      </c>
      <c r="DL129" s="578">
        <v>0</v>
      </c>
      <c r="DM129" s="578">
        <v>0</v>
      </c>
      <c r="DN129" s="578">
        <v>0</v>
      </c>
      <c r="DO129" s="578">
        <v>0</v>
      </c>
      <c r="DP129" s="578">
        <v>0</v>
      </c>
      <c r="DQ129" s="578">
        <v>0</v>
      </c>
      <c r="DR129" s="578">
        <v>0</v>
      </c>
      <c r="DS129" s="578">
        <v>0</v>
      </c>
      <c r="DT129" s="578">
        <v>0</v>
      </c>
      <c r="DU129" s="578">
        <v>0</v>
      </c>
      <c r="DV129" s="578">
        <v>0.18843517591759681</v>
      </c>
      <c r="DW129" s="578">
        <v>0</v>
      </c>
      <c r="DX129" s="578">
        <v>0</v>
      </c>
      <c r="DY129" s="578">
        <v>0</v>
      </c>
      <c r="DZ129" s="578">
        <v>0</v>
      </c>
      <c r="EA129" s="578">
        <v>0</v>
      </c>
      <c r="EB129" s="578">
        <v>0</v>
      </c>
      <c r="EC129" s="578">
        <v>0</v>
      </c>
      <c r="ED129" s="578">
        <v>0</v>
      </c>
      <c r="EE129" s="578">
        <v>0</v>
      </c>
      <c r="EF129" s="578">
        <v>0</v>
      </c>
      <c r="EG129" s="578">
        <v>0</v>
      </c>
      <c r="EH129" s="578">
        <v>0</v>
      </c>
      <c r="EI129" s="578">
        <v>0</v>
      </c>
      <c r="EJ129" s="578">
        <v>0</v>
      </c>
      <c r="EK129" s="578">
        <v>0</v>
      </c>
      <c r="EL129" s="578">
        <v>0</v>
      </c>
      <c r="EM129" s="578">
        <v>0</v>
      </c>
      <c r="EN129" s="578">
        <v>0</v>
      </c>
      <c r="EO129" s="578">
        <v>0</v>
      </c>
      <c r="EP129" s="578">
        <v>0</v>
      </c>
      <c r="EQ129" s="578">
        <v>0</v>
      </c>
      <c r="ER129" s="578">
        <v>0</v>
      </c>
      <c r="ES129" s="578">
        <v>0</v>
      </c>
      <c r="ET129" s="578">
        <v>0</v>
      </c>
      <c r="EU129" s="578">
        <v>0</v>
      </c>
      <c r="EV129" s="578">
        <v>0</v>
      </c>
      <c r="EW129" s="578">
        <v>0</v>
      </c>
      <c r="EX129" s="578">
        <v>0</v>
      </c>
      <c r="EY129" s="578">
        <v>0</v>
      </c>
      <c r="EZ129" s="578">
        <v>0</v>
      </c>
      <c r="FA129" s="578">
        <v>4.1495588363763431E-4</v>
      </c>
      <c r="FB129" s="578">
        <v>0</v>
      </c>
      <c r="FC129" s="578">
        <v>0</v>
      </c>
      <c r="FD129" s="578">
        <v>0</v>
      </c>
      <c r="FE129" s="578">
        <v>0</v>
      </c>
      <c r="FF129" s="578">
        <v>0</v>
      </c>
      <c r="FG129" s="578">
        <v>0</v>
      </c>
      <c r="FH129" s="578">
        <v>0</v>
      </c>
      <c r="FI129" s="578">
        <v>5.8723009436787616E-6</v>
      </c>
      <c r="FJ129" s="578">
        <v>5.2167871197753815E-4</v>
      </c>
      <c r="FK129" s="578">
        <v>0</v>
      </c>
      <c r="FL129" s="578">
        <v>0</v>
      </c>
      <c r="FM129" s="578">
        <v>0</v>
      </c>
      <c r="FN129" s="578">
        <v>0</v>
      </c>
      <c r="FO129" s="578">
        <v>0</v>
      </c>
      <c r="FP129" s="578">
        <v>0</v>
      </c>
      <c r="FQ129" s="578">
        <v>0</v>
      </c>
      <c r="FR129" s="578">
        <v>0</v>
      </c>
      <c r="FS129" s="578">
        <v>0</v>
      </c>
      <c r="FT129" s="578">
        <v>0</v>
      </c>
      <c r="FU129" s="578">
        <v>0</v>
      </c>
      <c r="FV129" s="578">
        <v>0</v>
      </c>
      <c r="FW129" s="578">
        <v>0</v>
      </c>
      <c r="FX129" s="578">
        <v>1.7406074467727288E-2</v>
      </c>
      <c r="FY129" s="578">
        <v>1.0710623063720174E-5</v>
      </c>
      <c r="FZ129" s="578">
        <v>0</v>
      </c>
      <c r="GA129" s="578">
        <v>0</v>
      </c>
      <c r="GB129" s="578">
        <v>0</v>
      </c>
      <c r="GC129" s="578">
        <v>2.478855363747236E-6</v>
      </c>
      <c r="GD129" s="578">
        <v>1.9480017867878457E-4</v>
      </c>
      <c r="GE129" s="578">
        <v>0</v>
      </c>
      <c r="GF129" s="578">
        <v>0</v>
      </c>
      <c r="GG129" s="579">
        <v>5.552821597259776E-4</v>
      </c>
      <c r="GH129" s="572"/>
    </row>
    <row r="130" spans="1:190">
      <c r="A130" s="595" t="s">
        <v>5715</v>
      </c>
      <c r="B130" s="596" t="s">
        <v>587</v>
      </c>
      <c r="C130" s="597" t="s">
        <v>9541</v>
      </c>
      <c r="D130" s="598">
        <v>0</v>
      </c>
      <c r="E130" s="598">
        <v>0</v>
      </c>
      <c r="F130" s="598">
        <v>0</v>
      </c>
      <c r="G130" s="598">
        <v>0</v>
      </c>
      <c r="H130" s="598">
        <v>0</v>
      </c>
      <c r="I130" s="598">
        <v>0</v>
      </c>
      <c r="J130" s="598">
        <v>0</v>
      </c>
      <c r="K130" s="598">
        <v>0</v>
      </c>
      <c r="L130" s="598">
        <v>0</v>
      </c>
      <c r="M130" s="598">
        <v>0</v>
      </c>
      <c r="N130" s="598">
        <v>0</v>
      </c>
      <c r="O130" s="598">
        <v>3.678724708767627E-3</v>
      </c>
      <c r="P130" s="598">
        <v>1.1049723756906077E-2</v>
      </c>
      <c r="Q130" s="598">
        <v>0</v>
      </c>
      <c r="R130" s="598">
        <v>0</v>
      </c>
      <c r="S130" s="598">
        <v>0</v>
      </c>
      <c r="T130" s="598">
        <v>0</v>
      </c>
      <c r="U130" s="598">
        <v>0</v>
      </c>
      <c r="V130" s="598">
        <v>0</v>
      </c>
      <c r="W130" s="598">
        <v>3.7685209015037317E-4</v>
      </c>
      <c r="X130" s="598">
        <v>0</v>
      </c>
      <c r="Y130" s="598">
        <v>0</v>
      </c>
      <c r="Z130" s="598">
        <v>0</v>
      </c>
      <c r="AA130" s="598">
        <v>0</v>
      </c>
      <c r="AB130" s="598">
        <v>4.1294329462678183E-5</v>
      </c>
      <c r="AC130" s="598">
        <v>0</v>
      </c>
      <c r="AD130" s="598">
        <v>0</v>
      </c>
      <c r="AE130" s="598">
        <v>0</v>
      </c>
      <c r="AF130" s="598">
        <v>0</v>
      </c>
      <c r="AG130" s="598">
        <v>0</v>
      </c>
      <c r="AH130" s="598">
        <v>0</v>
      </c>
      <c r="AI130" s="598">
        <v>0</v>
      </c>
      <c r="AJ130" s="598">
        <v>0</v>
      </c>
      <c r="AK130" s="598">
        <v>0</v>
      </c>
      <c r="AL130" s="598">
        <v>0</v>
      </c>
      <c r="AM130" s="598">
        <v>0</v>
      </c>
      <c r="AN130" s="598">
        <v>0</v>
      </c>
      <c r="AO130" s="598">
        <v>0</v>
      </c>
      <c r="AP130" s="598">
        <v>0</v>
      </c>
      <c r="AQ130" s="598">
        <v>0</v>
      </c>
      <c r="AR130" s="598">
        <v>0</v>
      </c>
      <c r="AS130" s="598">
        <v>0</v>
      </c>
      <c r="AT130" s="598">
        <v>0</v>
      </c>
      <c r="AU130" s="598">
        <v>0</v>
      </c>
      <c r="AV130" s="598">
        <v>0</v>
      </c>
      <c r="AW130" s="598">
        <v>0</v>
      </c>
      <c r="AX130" s="598">
        <v>0</v>
      </c>
      <c r="AY130" s="598">
        <v>0</v>
      </c>
      <c r="AZ130" s="598">
        <v>0</v>
      </c>
      <c r="BA130" s="598">
        <v>0</v>
      </c>
      <c r="BB130" s="598">
        <v>0</v>
      </c>
      <c r="BC130" s="598">
        <v>0</v>
      </c>
      <c r="BD130" s="598">
        <v>0</v>
      </c>
      <c r="BE130" s="598">
        <v>0</v>
      </c>
      <c r="BF130" s="598">
        <v>0</v>
      </c>
      <c r="BG130" s="598">
        <v>0</v>
      </c>
      <c r="BH130" s="598">
        <v>0</v>
      </c>
      <c r="BI130" s="598">
        <v>0</v>
      </c>
      <c r="BJ130" s="598">
        <v>0</v>
      </c>
      <c r="BK130" s="598">
        <v>0</v>
      </c>
      <c r="BL130" s="598">
        <v>0</v>
      </c>
      <c r="BM130" s="598">
        <v>0</v>
      </c>
      <c r="BN130" s="598">
        <v>0</v>
      </c>
      <c r="BO130" s="598">
        <v>0</v>
      </c>
      <c r="BP130" s="598">
        <v>0</v>
      </c>
      <c r="BQ130" s="598">
        <v>0</v>
      </c>
      <c r="BR130" s="598">
        <v>0</v>
      </c>
      <c r="BS130" s="598">
        <v>0</v>
      </c>
      <c r="BT130" s="598">
        <v>0</v>
      </c>
      <c r="BU130" s="598">
        <v>0</v>
      </c>
      <c r="BV130" s="598">
        <v>0</v>
      </c>
      <c r="BW130" s="598">
        <v>0</v>
      </c>
      <c r="BX130" s="598">
        <v>0</v>
      </c>
      <c r="BY130" s="598">
        <v>0</v>
      </c>
      <c r="BZ130" s="598">
        <v>0</v>
      </c>
      <c r="CA130" s="598">
        <v>0</v>
      </c>
      <c r="CB130" s="598">
        <v>0</v>
      </c>
      <c r="CC130" s="598">
        <v>0</v>
      </c>
      <c r="CD130" s="598">
        <v>0</v>
      </c>
      <c r="CE130" s="598">
        <v>0</v>
      </c>
      <c r="CF130" s="598">
        <v>0</v>
      </c>
      <c r="CG130" s="598">
        <v>0</v>
      </c>
      <c r="CH130" s="598">
        <v>0</v>
      </c>
      <c r="CI130" s="598">
        <v>0</v>
      </c>
      <c r="CJ130" s="598">
        <v>0</v>
      </c>
      <c r="CK130" s="598">
        <v>0</v>
      </c>
      <c r="CL130" s="598">
        <v>0</v>
      </c>
      <c r="CM130" s="598">
        <v>0</v>
      </c>
      <c r="CN130" s="598">
        <v>0</v>
      </c>
      <c r="CO130" s="598">
        <v>0</v>
      </c>
      <c r="CP130" s="598">
        <v>0</v>
      </c>
      <c r="CQ130" s="598">
        <v>0</v>
      </c>
      <c r="CR130" s="598">
        <v>0</v>
      </c>
      <c r="CS130" s="598">
        <v>0</v>
      </c>
      <c r="CT130" s="598">
        <v>0</v>
      </c>
      <c r="CU130" s="598">
        <v>0</v>
      </c>
      <c r="CV130" s="598">
        <v>0</v>
      </c>
      <c r="CW130" s="598">
        <v>0</v>
      </c>
      <c r="CX130" s="598">
        <v>0</v>
      </c>
      <c r="CY130" s="598">
        <v>0</v>
      </c>
      <c r="CZ130" s="598">
        <v>0</v>
      </c>
      <c r="DA130" s="598">
        <v>0</v>
      </c>
      <c r="DB130" s="598">
        <v>0</v>
      </c>
      <c r="DC130" s="598">
        <v>0</v>
      </c>
      <c r="DD130" s="598">
        <v>0</v>
      </c>
      <c r="DE130" s="598">
        <v>0</v>
      </c>
      <c r="DF130" s="598">
        <v>0</v>
      </c>
      <c r="DG130" s="598">
        <v>0</v>
      </c>
      <c r="DH130" s="598">
        <v>0</v>
      </c>
      <c r="DI130" s="598">
        <v>0</v>
      </c>
      <c r="DJ130" s="598">
        <v>0</v>
      </c>
      <c r="DK130" s="598">
        <v>0</v>
      </c>
      <c r="DL130" s="598">
        <v>0</v>
      </c>
      <c r="DM130" s="598">
        <v>0</v>
      </c>
      <c r="DN130" s="598">
        <v>0</v>
      </c>
      <c r="DO130" s="598">
        <v>0</v>
      </c>
      <c r="DP130" s="598">
        <v>0</v>
      </c>
      <c r="DQ130" s="598">
        <v>0</v>
      </c>
      <c r="DR130" s="598">
        <v>0</v>
      </c>
      <c r="DS130" s="598">
        <v>0</v>
      </c>
      <c r="DT130" s="598">
        <v>0</v>
      </c>
      <c r="DU130" s="598">
        <v>0</v>
      </c>
      <c r="DV130" s="598">
        <v>0</v>
      </c>
      <c r="DW130" s="598">
        <v>2.8540602505099547E-2</v>
      </c>
      <c r="DX130" s="598">
        <v>0</v>
      </c>
      <c r="DY130" s="598">
        <v>0</v>
      </c>
      <c r="DZ130" s="598">
        <v>0</v>
      </c>
      <c r="EA130" s="598">
        <v>0</v>
      </c>
      <c r="EB130" s="598">
        <v>0</v>
      </c>
      <c r="EC130" s="598">
        <v>0</v>
      </c>
      <c r="ED130" s="598">
        <v>0</v>
      </c>
      <c r="EE130" s="598">
        <v>0</v>
      </c>
      <c r="EF130" s="598">
        <v>0</v>
      </c>
      <c r="EG130" s="598">
        <v>0</v>
      </c>
      <c r="EH130" s="598">
        <v>0</v>
      </c>
      <c r="EI130" s="598">
        <v>0</v>
      </c>
      <c r="EJ130" s="598">
        <v>0</v>
      </c>
      <c r="EK130" s="598">
        <v>0</v>
      </c>
      <c r="EL130" s="598">
        <v>0</v>
      </c>
      <c r="EM130" s="598">
        <v>0</v>
      </c>
      <c r="EN130" s="598">
        <v>0</v>
      </c>
      <c r="EO130" s="598">
        <v>0</v>
      </c>
      <c r="EP130" s="598">
        <v>0</v>
      </c>
      <c r="EQ130" s="598">
        <v>0</v>
      </c>
      <c r="ER130" s="598">
        <v>0</v>
      </c>
      <c r="ES130" s="598">
        <v>0</v>
      </c>
      <c r="ET130" s="598">
        <v>0</v>
      </c>
      <c r="EU130" s="598">
        <v>0</v>
      </c>
      <c r="EV130" s="598">
        <v>0</v>
      </c>
      <c r="EW130" s="598">
        <v>0</v>
      </c>
      <c r="EX130" s="598">
        <v>0</v>
      </c>
      <c r="EY130" s="598">
        <v>0</v>
      </c>
      <c r="EZ130" s="598">
        <v>0</v>
      </c>
      <c r="FA130" s="598">
        <v>0</v>
      </c>
      <c r="FB130" s="598">
        <v>0</v>
      </c>
      <c r="FC130" s="598">
        <v>0</v>
      </c>
      <c r="FD130" s="598">
        <v>0</v>
      </c>
      <c r="FE130" s="598">
        <v>0</v>
      </c>
      <c r="FF130" s="598">
        <v>0</v>
      </c>
      <c r="FG130" s="598">
        <v>0</v>
      </c>
      <c r="FH130" s="598">
        <v>4.8772557307754836E-5</v>
      </c>
      <c r="FI130" s="598">
        <v>1.7616902831036286E-5</v>
      </c>
      <c r="FJ130" s="598">
        <v>1.3782341517310507E-4</v>
      </c>
      <c r="FK130" s="598">
        <v>1.588307131010934E-3</v>
      </c>
      <c r="FL130" s="598">
        <v>4.9268165185572402E-3</v>
      </c>
      <c r="FM130" s="598">
        <v>3.1517072232935049E-3</v>
      </c>
      <c r="FN130" s="598">
        <v>1.7499789890462894E-3</v>
      </c>
      <c r="FO130" s="598">
        <v>0</v>
      </c>
      <c r="FP130" s="598">
        <v>0</v>
      </c>
      <c r="FQ130" s="598">
        <v>1.8896068838462267E-3</v>
      </c>
      <c r="FR130" s="598">
        <v>8.7780529998295748E-4</v>
      </c>
      <c r="FS130" s="598">
        <v>0</v>
      </c>
      <c r="FT130" s="598">
        <v>1.068725259788434E-3</v>
      </c>
      <c r="FU130" s="598">
        <v>0</v>
      </c>
      <c r="FV130" s="598">
        <v>0</v>
      </c>
      <c r="FW130" s="598">
        <v>0</v>
      </c>
      <c r="FX130" s="598">
        <v>0</v>
      </c>
      <c r="FY130" s="598">
        <v>0</v>
      </c>
      <c r="FZ130" s="598">
        <v>5.1974376632320262E-4</v>
      </c>
      <c r="GA130" s="598">
        <v>6.3712268859239995E-5</v>
      </c>
      <c r="GB130" s="598">
        <v>0</v>
      </c>
      <c r="GC130" s="598">
        <v>2.5755307229333784E-3</v>
      </c>
      <c r="GD130" s="598">
        <v>0</v>
      </c>
      <c r="GE130" s="598">
        <v>0</v>
      </c>
      <c r="GF130" s="598">
        <v>3.555697075837181E-4</v>
      </c>
      <c r="GG130" s="599">
        <v>2.0799016966022266E-4</v>
      </c>
      <c r="GH130" s="572"/>
    </row>
    <row r="131" spans="1:190">
      <c r="A131" s="572" t="s">
        <v>5717</v>
      </c>
      <c r="B131" s="577" t="s">
        <v>590</v>
      </c>
      <c r="C131" s="573" t="s">
        <v>600</v>
      </c>
      <c r="D131" s="578">
        <v>6.6946353655270913E-5</v>
      </c>
      <c r="E131" s="578">
        <v>0</v>
      </c>
      <c r="F131" s="578">
        <v>0</v>
      </c>
      <c r="G131" s="578">
        <v>2.7964205816554809E-4</v>
      </c>
      <c r="H131" s="578">
        <v>0</v>
      </c>
      <c r="I131" s="578">
        <v>0</v>
      </c>
      <c r="J131" s="578">
        <v>3.2211824960943159E-5</v>
      </c>
      <c r="K131" s="578">
        <v>3.5522716777379133E-5</v>
      </c>
      <c r="L131" s="578">
        <v>1.5060240963855423E-4</v>
      </c>
      <c r="M131" s="578">
        <v>0</v>
      </c>
      <c r="N131" s="578">
        <v>7.1174377224199293E-4</v>
      </c>
      <c r="O131" s="578">
        <v>1.7955680126127704E-3</v>
      </c>
      <c r="P131" s="578">
        <v>0</v>
      </c>
      <c r="Q131" s="578">
        <v>0</v>
      </c>
      <c r="R131" s="578">
        <v>2.0349330167881972E-3</v>
      </c>
      <c r="S131" s="578">
        <v>2.8011204481792717E-3</v>
      </c>
      <c r="T131" s="578">
        <v>1.016916904767372E-4</v>
      </c>
      <c r="U131" s="578">
        <v>1.0328602578325236E-3</v>
      </c>
      <c r="V131" s="578">
        <v>7.4606822047808049E-6</v>
      </c>
      <c r="W131" s="578">
        <v>9.8042820201723103E-5</v>
      </c>
      <c r="X131" s="578">
        <v>2.5591155696591257E-4</v>
      </c>
      <c r="Y131" s="578">
        <v>4.0539823746485915E-4</v>
      </c>
      <c r="Z131" s="578">
        <v>2.8183606803791096E-4</v>
      </c>
      <c r="AA131" s="578">
        <v>2.5182561671093845E-3</v>
      </c>
      <c r="AB131" s="578">
        <v>8.2588658925356365E-4</v>
      </c>
      <c r="AC131" s="578">
        <v>0</v>
      </c>
      <c r="AD131" s="578">
        <v>0</v>
      </c>
      <c r="AE131" s="578">
        <v>9.0130689499774675E-4</v>
      </c>
      <c r="AF131" s="578">
        <v>7.5855268148372902E-5</v>
      </c>
      <c r="AG131" s="578">
        <v>0</v>
      </c>
      <c r="AH131" s="578">
        <v>0</v>
      </c>
      <c r="AI131" s="578">
        <v>6.0140327430671572E-4</v>
      </c>
      <c r="AJ131" s="578">
        <v>2.4154868535105459E-2</v>
      </c>
      <c r="AK131" s="578">
        <v>3.3050636068845098E-2</v>
      </c>
      <c r="AL131" s="578">
        <v>5.8398716119828819E-3</v>
      </c>
      <c r="AM131" s="578">
        <v>0</v>
      </c>
      <c r="AN131" s="578">
        <v>3.66632160110421E-3</v>
      </c>
      <c r="AO131" s="578">
        <v>8.0318683809955625E-3</v>
      </c>
      <c r="AP131" s="578">
        <v>0</v>
      </c>
      <c r="AQ131" s="578">
        <v>1.3448646859223702E-3</v>
      </c>
      <c r="AR131" s="578">
        <v>1.5348469285351657E-4</v>
      </c>
      <c r="AS131" s="578">
        <v>1.6492902161748248E-4</v>
      </c>
      <c r="AT131" s="578">
        <v>6.2169723344731112E-5</v>
      </c>
      <c r="AU131" s="578">
        <v>5.7263461003583056E-5</v>
      </c>
      <c r="AV131" s="578">
        <v>0</v>
      </c>
      <c r="AW131" s="578">
        <v>0</v>
      </c>
      <c r="AX131" s="578">
        <v>1.0972251176773939E-5</v>
      </c>
      <c r="AY131" s="578">
        <v>0</v>
      </c>
      <c r="AZ131" s="578">
        <v>3.3908266835454483E-5</v>
      </c>
      <c r="BA131" s="578">
        <v>0</v>
      </c>
      <c r="BB131" s="578">
        <v>1.6998972978715869E-3</v>
      </c>
      <c r="BC131" s="578">
        <v>4.0938724963411012E-5</v>
      </c>
      <c r="BD131" s="578">
        <v>3.7258286863969991E-5</v>
      </c>
      <c r="BE131" s="578">
        <v>8.7755632156471798E-5</v>
      </c>
      <c r="BF131" s="578">
        <v>2.6325569871159563E-4</v>
      </c>
      <c r="BG131" s="578">
        <v>7.4211502782931357E-6</v>
      </c>
      <c r="BH131" s="578">
        <v>9.8252074973891068E-4</v>
      </c>
      <c r="BI131" s="578">
        <v>0</v>
      </c>
      <c r="BJ131" s="578">
        <v>3.6288510150473606E-4</v>
      </c>
      <c r="BK131" s="578">
        <v>0</v>
      </c>
      <c r="BL131" s="578">
        <v>6.3429238341705996E-5</v>
      </c>
      <c r="BM131" s="578">
        <v>2.4045232517398444E-4</v>
      </c>
      <c r="BN131" s="578">
        <v>6.4197530864197529E-4</v>
      </c>
      <c r="BO131" s="578">
        <v>2.3179223689166609E-4</v>
      </c>
      <c r="BP131" s="578">
        <v>2.2152818128994771E-2</v>
      </c>
      <c r="BQ131" s="578">
        <v>3.5052578868302454E-3</v>
      </c>
      <c r="BR131" s="578">
        <v>3.958051059925533E-3</v>
      </c>
      <c r="BS131" s="578">
        <v>1.5173432331549611E-4</v>
      </c>
      <c r="BT131" s="578">
        <v>4.5529047532325622E-3</v>
      </c>
      <c r="BU131" s="578">
        <v>3.3066481030281933E-3</v>
      </c>
      <c r="BV131" s="578">
        <v>9.0958091901361001E-4</v>
      </c>
      <c r="BW131" s="578">
        <v>4.5072098455491864E-6</v>
      </c>
      <c r="BX131" s="578">
        <v>0</v>
      </c>
      <c r="BY131" s="578">
        <v>1.6578498250812033E-3</v>
      </c>
      <c r="BZ131" s="578">
        <v>2.0915999359826932E-3</v>
      </c>
      <c r="CA131" s="578">
        <v>1.6150427907939424E-3</v>
      </c>
      <c r="CB131" s="578">
        <v>1.6381236038719286E-3</v>
      </c>
      <c r="CC131" s="578">
        <v>9.2754255783500649E-5</v>
      </c>
      <c r="CD131" s="578">
        <v>0</v>
      </c>
      <c r="CE131" s="578">
        <v>0</v>
      </c>
      <c r="CF131" s="578">
        <v>1.1053213327017212E-3</v>
      </c>
      <c r="CG131" s="578">
        <v>1.1491154648242989E-3</v>
      </c>
      <c r="CH131" s="578">
        <v>8.1006330066078015E-5</v>
      </c>
      <c r="CI131" s="578">
        <v>0</v>
      </c>
      <c r="CJ131" s="578">
        <v>0</v>
      </c>
      <c r="CK131" s="578">
        <v>2.0676369431248549E-4</v>
      </c>
      <c r="CL131" s="578">
        <v>6.4442646045019934E-5</v>
      </c>
      <c r="CM131" s="578">
        <v>7.1230144597193533E-5</v>
      </c>
      <c r="CN131" s="578">
        <v>2.4121960632960248E-5</v>
      </c>
      <c r="CO131" s="578">
        <v>1.7082336863682952E-4</v>
      </c>
      <c r="CP131" s="578">
        <v>3.5766338510510831E-5</v>
      </c>
      <c r="CQ131" s="578">
        <v>1.9111932216347072E-4</v>
      </c>
      <c r="CR131" s="578">
        <v>1.2193705725235164E-4</v>
      </c>
      <c r="CS131" s="578">
        <v>1.6951067917278788E-4</v>
      </c>
      <c r="CT131" s="578">
        <v>1.7497302499198042E-4</v>
      </c>
      <c r="CU131" s="578">
        <v>1.5316898569885364E-4</v>
      </c>
      <c r="CV131" s="578">
        <v>8.654817146078693E-3</v>
      </c>
      <c r="CW131" s="578">
        <v>1.9505344464383241E-4</v>
      </c>
      <c r="CX131" s="578">
        <v>9.1375051755400406E-4</v>
      </c>
      <c r="CY131" s="578">
        <v>2.0789449583295174E-3</v>
      </c>
      <c r="CZ131" s="578">
        <v>5.3342816500711239E-5</v>
      </c>
      <c r="DA131" s="578">
        <v>1.392131245850378E-3</v>
      </c>
      <c r="DB131" s="578">
        <v>2.7075323550116424E-3</v>
      </c>
      <c r="DC131" s="578">
        <v>2.1754894851341551E-3</v>
      </c>
      <c r="DD131" s="578">
        <v>4.3478260869565218E-3</v>
      </c>
      <c r="DE131" s="578">
        <v>6.4968106565867667E-4</v>
      </c>
      <c r="DF131" s="578">
        <v>1.1083153606518093E-3</v>
      </c>
      <c r="DG131" s="578">
        <v>6.3862686475763897E-4</v>
      </c>
      <c r="DH131" s="578">
        <v>2.0389438270975634E-4</v>
      </c>
      <c r="DI131" s="578">
        <v>1.9870181480990858E-4</v>
      </c>
      <c r="DJ131" s="578">
        <v>5.4914336120463663E-3</v>
      </c>
      <c r="DK131" s="578">
        <v>7.8518157021818379E-4</v>
      </c>
      <c r="DL131" s="578">
        <v>1.6615742026716497E-3</v>
      </c>
      <c r="DM131" s="578">
        <v>3.1529238773894356E-3</v>
      </c>
      <c r="DN131" s="578">
        <v>5.3643641165304948E-4</v>
      </c>
      <c r="DO131" s="578">
        <v>0</v>
      </c>
      <c r="DP131" s="578">
        <v>6.1349693251533746E-4</v>
      </c>
      <c r="DQ131" s="578">
        <v>3.9398309024576664E-5</v>
      </c>
      <c r="DR131" s="578">
        <v>5.8021467943138963E-4</v>
      </c>
      <c r="DS131" s="578">
        <v>3.012550155755253E-4</v>
      </c>
      <c r="DT131" s="578">
        <v>2.3325485279432025E-4</v>
      </c>
      <c r="DU131" s="578">
        <v>1.5925595617276085E-5</v>
      </c>
      <c r="DV131" s="578">
        <v>5.9547187979069795E-4</v>
      </c>
      <c r="DW131" s="578">
        <v>3.0749001163202345E-2</v>
      </c>
      <c r="DX131" s="578">
        <v>3.4469866447654714E-2</v>
      </c>
      <c r="DY131" s="578">
        <v>3.1620053437890308E-5</v>
      </c>
      <c r="DZ131" s="578">
        <v>2.0091514913697429E-3</v>
      </c>
      <c r="EA131" s="578">
        <v>6.6554925620975261E-4</v>
      </c>
      <c r="EB131" s="578">
        <v>5.6490034774882422E-3</v>
      </c>
      <c r="EC131" s="578">
        <v>3.1560887741714501E-3</v>
      </c>
      <c r="ED131" s="578">
        <v>3.6498991415726679E-3</v>
      </c>
      <c r="EE131" s="578">
        <v>1.282710726924996E-5</v>
      </c>
      <c r="EF131" s="578">
        <v>0</v>
      </c>
      <c r="EG131" s="578">
        <v>0</v>
      </c>
      <c r="EH131" s="578">
        <v>6.9755058572949942E-4</v>
      </c>
      <c r="EI131" s="578">
        <v>5.9009981116806042E-4</v>
      </c>
      <c r="EJ131" s="578">
        <v>3.4061996428433409E-4</v>
      </c>
      <c r="EK131" s="578">
        <v>3.7394021942358815E-4</v>
      </c>
      <c r="EL131" s="578">
        <v>2.6558443496165439E-4</v>
      </c>
      <c r="EM131" s="578">
        <v>1.5634709847492311E-4</v>
      </c>
      <c r="EN131" s="578">
        <v>3.0493899525989273E-5</v>
      </c>
      <c r="EO131" s="578">
        <v>1.3788403165029458E-5</v>
      </c>
      <c r="EP131" s="578">
        <v>0</v>
      </c>
      <c r="EQ131" s="578">
        <v>3.0504441785662233E-5</v>
      </c>
      <c r="ER131" s="578">
        <v>0</v>
      </c>
      <c r="ES131" s="578">
        <v>6.3958195834552399E-4</v>
      </c>
      <c r="ET131" s="578">
        <v>1.5370529130465316E-4</v>
      </c>
      <c r="EU131" s="578">
        <v>9.3871372751487279E-5</v>
      </c>
      <c r="EV131" s="578">
        <v>9.6190116937004905E-4</v>
      </c>
      <c r="EW131" s="578">
        <v>1.4584062536460157E-4</v>
      </c>
      <c r="EX131" s="578">
        <v>3.8546043248660526E-5</v>
      </c>
      <c r="EY131" s="578">
        <v>0</v>
      </c>
      <c r="EZ131" s="578">
        <v>5.2144893276785095E-5</v>
      </c>
      <c r="FA131" s="578">
        <v>1.9655805014414258E-4</v>
      </c>
      <c r="FB131" s="578">
        <v>1.3491771705730968E-4</v>
      </c>
      <c r="FC131" s="578">
        <v>6.4968814968814972E-5</v>
      </c>
      <c r="FD131" s="578">
        <v>1.2399744132263937E-3</v>
      </c>
      <c r="FE131" s="578">
        <v>2.7913028878441908E-3</v>
      </c>
      <c r="FF131" s="578">
        <v>7.163117340128625E-3</v>
      </c>
      <c r="FG131" s="578">
        <v>7.3068893528183717E-4</v>
      </c>
      <c r="FH131" s="578">
        <v>3.7229718744919526E-3</v>
      </c>
      <c r="FI131" s="578">
        <v>2.2872612175628775E-3</v>
      </c>
      <c r="FJ131" s="578">
        <v>9.192024466503784E-4</v>
      </c>
      <c r="FK131" s="578">
        <v>1.1012398353936247E-3</v>
      </c>
      <c r="FL131" s="578">
        <v>1.1238891792995295E-3</v>
      </c>
      <c r="FM131" s="578">
        <v>1.6195464104909322E-3</v>
      </c>
      <c r="FN131" s="578">
        <v>1.0277624735028528E-2</v>
      </c>
      <c r="FO131" s="578">
        <v>2.1043218810359998E-4</v>
      </c>
      <c r="FP131" s="578">
        <v>5.1996344499417012E-4</v>
      </c>
      <c r="FQ131" s="578">
        <v>1.7838556885794274E-3</v>
      </c>
      <c r="FR131" s="578">
        <v>1.1836364018387219E-3</v>
      </c>
      <c r="FS131" s="578">
        <v>5.3876772999943935E-3</v>
      </c>
      <c r="FT131" s="578">
        <v>9.6755951917739287E-3</v>
      </c>
      <c r="FU131" s="578">
        <v>0</v>
      </c>
      <c r="FV131" s="578">
        <v>2.429726446315613E-3</v>
      </c>
      <c r="FW131" s="578">
        <v>1.3337321057609144E-3</v>
      </c>
      <c r="FX131" s="578">
        <v>8.5208480486136801E-4</v>
      </c>
      <c r="FY131" s="578">
        <v>4.6385923385128119E-3</v>
      </c>
      <c r="FZ131" s="578">
        <v>1.7801223996569691E-3</v>
      </c>
      <c r="GA131" s="578">
        <v>2.1270095911469352E-3</v>
      </c>
      <c r="GB131" s="578">
        <v>5.7730675081006889E-3</v>
      </c>
      <c r="GC131" s="578">
        <v>3.455524377063647E-3</v>
      </c>
      <c r="GD131" s="578">
        <v>9.7971055380347352E-3</v>
      </c>
      <c r="GE131" s="578">
        <v>6.3230980581442844E-2</v>
      </c>
      <c r="GF131" s="578">
        <v>2.1758743299899166E-4</v>
      </c>
      <c r="GG131" s="579">
        <v>1.5384034096526946E-3</v>
      </c>
      <c r="GH131" s="572"/>
    </row>
    <row r="132" spans="1:190">
      <c r="A132" s="572" t="s">
        <v>5719</v>
      </c>
      <c r="B132" s="577" t="s">
        <v>9459</v>
      </c>
      <c r="C132" s="573" t="s">
        <v>7058</v>
      </c>
      <c r="D132" s="578">
        <v>6.0251718289743819E-4</v>
      </c>
      <c r="E132" s="578">
        <v>5.7028799543769608E-4</v>
      </c>
      <c r="F132" s="578">
        <v>3.5353178250724739E-4</v>
      </c>
      <c r="G132" s="578">
        <v>0</v>
      </c>
      <c r="H132" s="578">
        <v>0</v>
      </c>
      <c r="I132" s="578">
        <v>0</v>
      </c>
      <c r="J132" s="578">
        <v>1.9971331475784762E-3</v>
      </c>
      <c r="K132" s="578">
        <v>0</v>
      </c>
      <c r="L132" s="578">
        <v>0</v>
      </c>
      <c r="M132" s="578">
        <v>0</v>
      </c>
      <c r="N132" s="578">
        <v>2.1352313167259787E-2</v>
      </c>
      <c r="O132" s="578">
        <v>0</v>
      </c>
      <c r="P132" s="578">
        <v>0</v>
      </c>
      <c r="Q132" s="578">
        <v>0</v>
      </c>
      <c r="R132" s="578">
        <v>0</v>
      </c>
      <c r="S132" s="578">
        <v>0</v>
      </c>
      <c r="T132" s="578">
        <v>0</v>
      </c>
      <c r="U132" s="578">
        <v>0</v>
      </c>
      <c r="V132" s="578">
        <v>0</v>
      </c>
      <c r="W132" s="578">
        <v>0</v>
      </c>
      <c r="X132" s="578">
        <v>0</v>
      </c>
      <c r="Y132" s="578">
        <v>0</v>
      </c>
      <c r="Z132" s="578">
        <v>0</v>
      </c>
      <c r="AA132" s="578">
        <v>5.4030637989965057E-3</v>
      </c>
      <c r="AB132" s="578">
        <v>4.9553195355213822E-5</v>
      </c>
      <c r="AC132" s="578">
        <v>1.3302237194437246E-3</v>
      </c>
      <c r="AD132" s="578">
        <v>0</v>
      </c>
      <c r="AE132" s="578">
        <v>2.2532672374943668E-3</v>
      </c>
      <c r="AF132" s="578">
        <v>0</v>
      </c>
      <c r="AG132" s="578">
        <v>0</v>
      </c>
      <c r="AH132" s="578">
        <v>0</v>
      </c>
      <c r="AI132" s="578">
        <v>6.6822586034079518E-5</v>
      </c>
      <c r="AJ132" s="578">
        <v>0</v>
      </c>
      <c r="AK132" s="578">
        <v>0</v>
      </c>
      <c r="AL132" s="578">
        <v>0</v>
      </c>
      <c r="AM132" s="578">
        <v>1.0733555274939731E-2</v>
      </c>
      <c r="AN132" s="578">
        <v>1.5096618357487923E-3</v>
      </c>
      <c r="AO132" s="578">
        <v>0</v>
      </c>
      <c r="AP132" s="578">
        <v>7.9415501905972049E-5</v>
      </c>
      <c r="AQ132" s="578">
        <v>5.1518662583795415E-2</v>
      </c>
      <c r="AR132" s="578">
        <v>0</v>
      </c>
      <c r="AS132" s="578">
        <v>0</v>
      </c>
      <c r="AT132" s="578">
        <v>0</v>
      </c>
      <c r="AU132" s="578">
        <v>0</v>
      </c>
      <c r="AV132" s="578">
        <v>2.7140375052423463E-2</v>
      </c>
      <c r="AW132" s="578">
        <v>0</v>
      </c>
      <c r="AX132" s="578">
        <v>1.08625286650062E-3</v>
      </c>
      <c r="AY132" s="578">
        <v>0</v>
      </c>
      <c r="AZ132" s="578">
        <v>0</v>
      </c>
      <c r="BA132" s="578">
        <v>0</v>
      </c>
      <c r="BB132" s="578">
        <v>3.529647861552809E-3</v>
      </c>
      <c r="BC132" s="578">
        <v>0</v>
      </c>
      <c r="BD132" s="578">
        <v>4.3468001341298329E-4</v>
      </c>
      <c r="BE132" s="578">
        <v>0</v>
      </c>
      <c r="BF132" s="578">
        <v>0</v>
      </c>
      <c r="BG132" s="578">
        <v>1.4842300556586271E-5</v>
      </c>
      <c r="BH132" s="578">
        <v>0</v>
      </c>
      <c r="BI132" s="578">
        <v>0</v>
      </c>
      <c r="BJ132" s="578">
        <v>0</v>
      </c>
      <c r="BK132" s="578">
        <v>2.7560357182229083E-5</v>
      </c>
      <c r="BL132" s="578">
        <v>1.7100522656923935E-2</v>
      </c>
      <c r="BM132" s="578">
        <v>1.5251547482464155E-3</v>
      </c>
      <c r="BN132" s="578">
        <v>4.9382716049382713E-5</v>
      </c>
      <c r="BO132" s="578">
        <v>0</v>
      </c>
      <c r="BP132" s="578">
        <v>0</v>
      </c>
      <c r="BQ132" s="578">
        <v>0</v>
      </c>
      <c r="BR132" s="578">
        <v>1.1980839192173513E-2</v>
      </c>
      <c r="BS132" s="578">
        <v>4.2586766743882582E-3</v>
      </c>
      <c r="BT132" s="578">
        <v>1.3658714259697688E-2</v>
      </c>
      <c r="BU132" s="578">
        <v>1.354565494836988E-2</v>
      </c>
      <c r="BV132" s="578">
        <v>3.0319363967120332E-4</v>
      </c>
      <c r="BW132" s="578">
        <v>1.3245562933607673E-2</v>
      </c>
      <c r="BX132" s="578">
        <v>0</v>
      </c>
      <c r="BY132" s="578">
        <v>7.2444909337510697E-3</v>
      </c>
      <c r="BZ132" s="578">
        <v>6.1257940077593396E-4</v>
      </c>
      <c r="CA132" s="578">
        <v>7.1500923553595897E-4</v>
      </c>
      <c r="CB132" s="578">
        <v>3.9029535864978904E-3</v>
      </c>
      <c r="CC132" s="578">
        <v>3.3282409428197292E-4</v>
      </c>
      <c r="CD132" s="578">
        <v>6.0337185565920347E-2</v>
      </c>
      <c r="CE132" s="578">
        <v>0</v>
      </c>
      <c r="CF132" s="578">
        <v>6.2371703773882832E-3</v>
      </c>
      <c r="CG132" s="578">
        <v>8.9446580317496353E-3</v>
      </c>
      <c r="CH132" s="578">
        <v>0</v>
      </c>
      <c r="CI132" s="578">
        <v>0</v>
      </c>
      <c r="CJ132" s="578">
        <v>0</v>
      </c>
      <c r="CK132" s="578">
        <v>4.9673716804341027E-4</v>
      </c>
      <c r="CL132" s="578">
        <v>0</v>
      </c>
      <c r="CM132" s="578">
        <v>0</v>
      </c>
      <c r="CN132" s="578">
        <v>0</v>
      </c>
      <c r="CO132" s="578">
        <v>0</v>
      </c>
      <c r="CP132" s="578">
        <v>0</v>
      </c>
      <c r="CQ132" s="578">
        <v>0</v>
      </c>
      <c r="CR132" s="578">
        <v>0</v>
      </c>
      <c r="CS132" s="578">
        <v>0</v>
      </c>
      <c r="CT132" s="578">
        <v>0</v>
      </c>
      <c r="CU132" s="578">
        <v>0</v>
      </c>
      <c r="CV132" s="578">
        <v>0</v>
      </c>
      <c r="CW132" s="578">
        <v>0</v>
      </c>
      <c r="CX132" s="578">
        <v>0</v>
      </c>
      <c r="CY132" s="578">
        <v>0</v>
      </c>
      <c r="CZ132" s="578">
        <v>0</v>
      </c>
      <c r="DA132" s="578">
        <v>0</v>
      </c>
      <c r="DB132" s="578">
        <v>0</v>
      </c>
      <c r="DC132" s="578">
        <v>0</v>
      </c>
      <c r="DD132" s="578">
        <v>0</v>
      </c>
      <c r="DE132" s="578">
        <v>5.4973013248041868E-4</v>
      </c>
      <c r="DF132" s="578">
        <v>0</v>
      </c>
      <c r="DG132" s="578">
        <v>0</v>
      </c>
      <c r="DH132" s="578">
        <v>0</v>
      </c>
      <c r="DI132" s="578">
        <v>0</v>
      </c>
      <c r="DJ132" s="578">
        <v>0</v>
      </c>
      <c r="DK132" s="578">
        <v>1.4254065428576261E-4</v>
      </c>
      <c r="DL132" s="578">
        <v>0</v>
      </c>
      <c r="DM132" s="578">
        <v>0</v>
      </c>
      <c r="DN132" s="578">
        <v>0</v>
      </c>
      <c r="DO132" s="578">
        <v>0</v>
      </c>
      <c r="DP132" s="578">
        <v>0</v>
      </c>
      <c r="DQ132" s="578">
        <v>0</v>
      </c>
      <c r="DR132" s="578">
        <v>3.7013695067174854E-4</v>
      </c>
      <c r="DS132" s="578">
        <v>0</v>
      </c>
      <c r="DT132" s="578">
        <v>0</v>
      </c>
      <c r="DU132" s="578">
        <v>0</v>
      </c>
      <c r="DV132" s="578">
        <v>0</v>
      </c>
      <c r="DW132" s="578">
        <v>0</v>
      </c>
      <c r="DX132" s="578">
        <v>2.451626347628358E-5</v>
      </c>
      <c r="DY132" s="578">
        <v>0</v>
      </c>
      <c r="DZ132" s="578">
        <v>0</v>
      </c>
      <c r="EA132" s="578">
        <v>0</v>
      </c>
      <c r="EB132" s="578">
        <v>0</v>
      </c>
      <c r="EC132" s="578">
        <v>2.7524030007309159E-4</v>
      </c>
      <c r="ED132" s="578">
        <v>1.8091197727745564E-5</v>
      </c>
      <c r="EE132" s="578">
        <v>1.0333517616107768E-2</v>
      </c>
      <c r="EF132" s="578">
        <v>5.4167602065360318E-3</v>
      </c>
      <c r="EG132" s="578">
        <v>0</v>
      </c>
      <c r="EH132" s="578">
        <v>0</v>
      </c>
      <c r="EI132" s="578">
        <v>0</v>
      </c>
      <c r="EJ132" s="578">
        <v>0</v>
      </c>
      <c r="EK132" s="578">
        <v>0</v>
      </c>
      <c r="EL132" s="578">
        <v>0</v>
      </c>
      <c r="EM132" s="578">
        <v>0</v>
      </c>
      <c r="EN132" s="578">
        <v>0</v>
      </c>
      <c r="EO132" s="578">
        <v>0</v>
      </c>
      <c r="EP132" s="578">
        <v>0</v>
      </c>
      <c r="EQ132" s="578">
        <v>0</v>
      </c>
      <c r="ER132" s="578">
        <v>0</v>
      </c>
      <c r="ES132" s="578">
        <v>2.0140027624497348E-3</v>
      </c>
      <c r="ET132" s="578">
        <v>0</v>
      </c>
      <c r="EU132" s="578">
        <v>0</v>
      </c>
      <c r="EV132" s="578">
        <v>0</v>
      </c>
      <c r="EW132" s="578">
        <v>0</v>
      </c>
      <c r="EX132" s="578">
        <v>0</v>
      </c>
      <c r="EY132" s="578">
        <v>0</v>
      </c>
      <c r="EZ132" s="578">
        <v>0</v>
      </c>
      <c r="FA132" s="578">
        <v>0</v>
      </c>
      <c r="FB132" s="578">
        <v>0</v>
      </c>
      <c r="FC132" s="578">
        <v>0</v>
      </c>
      <c r="FD132" s="578">
        <v>0</v>
      </c>
      <c r="FE132" s="578">
        <v>0</v>
      </c>
      <c r="FF132" s="578">
        <v>0</v>
      </c>
      <c r="FG132" s="578">
        <v>0</v>
      </c>
      <c r="FH132" s="578">
        <v>0</v>
      </c>
      <c r="FI132" s="578">
        <v>0</v>
      </c>
      <c r="FJ132" s="578">
        <v>0</v>
      </c>
      <c r="FK132" s="578">
        <v>0</v>
      </c>
      <c r="FL132" s="578">
        <v>0</v>
      </c>
      <c r="FM132" s="578">
        <v>0</v>
      </c>
      <c r="FN132" s="578">
        <v>0</v>
      </c>
      <c r="FO132" s="578">
        <v>0</v>
      </c>
      <c r="FP132" s="578">
        <v>0</v>
      </c>
      <c r="FQ132" s="578">
        <v>0</v>
      </c>
      <c r="FR132" s="578">
        <v>0</v>
      </c>
      <c r="FS132" s="578">
        <v>0</v>
      </c>
      <c r="FT132" s="578">
        <v>0</v>
      </c>
      <c r="FU132" s="578">
        <v>0</v>
      </c>
      <c r="FV132" s="578">
        <v>0</v>
      </c>
      <c r="FW132" s="578">
        <v>0</v>
      </c>
      <c r="FX132" s="578">
        <v>0</v>
      </c>
      <c r="FY132" s="578">
        <v>0</v>
      </c>
      <c r="FZ132" s="578">
        <v>0</v>
      </c>
      <c r="GA132" s="578">
        <v>6.6979564698175384E-5</v>
      </c>
      <c r="GB132" s="578">
        <v>0</v>
      </c>
      <c r="GC132" s="578">
        <v>0</v>
      </c>
      <c r="GD132" s="578">
        <v>0</v>
      </c>
      <c r="GE132" s="578">
        <v>0</v>
      </c>
      <c r="GF132" s="578">
        <v>0</v>
      </c>
      <c r="GG132" s="579">
        <v>1.2167797115356282E-3</v>
      </c>
      <c r="GH132" s="572"/>
    </row>
    <row r="133" spans="1:190">
      <c r="A133" s="572" t="s">
        <v>5721</v>
      </c>
      <c r="B133" s="577" t="s">
        <v>603</v>
      </c>
      <c r="C133" s="573" t="s">
        <v>9542</v>
      </c>
      <c r="D133" s="578">
        <v>0</v>
      </c>
      <c r="E133" s="578">
        <v>0</v>
      </c>
      <c r="F133" s="578">
        <v>0</v>
      </c>
      <c r="G133" s="578">
        <v>0</v>
      </c>
      <c r="H133" s="578">
        <v>0</v>
      </c>
      <c r="I133" s="578">
        <v>0</v>
      </c>
      <c r="J133" s="578">
        <v>0</v>
      </c>
      <c r="K133" s="578">
        <v>0</v>
      </c>
      <c r="L133" s="578">
        <v>0</v>
      </c>
      <c r="M133" s="578">
        <v>0</v>
      </c>
      <c r="N133" s="578">
        <v>0</v>
      </c>
      <c r="O133" s="578">
        <v>0</v>
      </c>
      <c r="P133" s="578">
        <v>0</v>
      </c>
      <c r="Q133" s="578">
        <v>0</v>
      </c>
      <c r="R133" s="578">
        <v>0</v>
      </c>
      <c r="S133" s="578">
        <v>0</v>
      </c>
      <c r="T133" s="578">
        <v>0</v>
      </c>
      <c r="U133" s="578">
        <v>0</v>
      </c>
      <c r="V133" s="578">
        <v>0</v>
      </c>
      <c r="W133" s="578">
        <v>0</v>
      </c>
      <c r="X133" s="578">
        <v>0</v>
      </c>
      <c r="Y133" s="578">
        <v>0</v>
      </c>
      <c r="Z133" s="578">
        <v>0</v>
      </c>
      <c r="AA133" s="578">
        <v>0</v>
      </c>
      <c r="AB133" s="578">
        <v>0</v>
      </c>
      <c r="AC133" s="578">
        <v>0</v>
      </c>
      <c r="AD133" s="578">
        <v>0</v>
      </c>
      <c r="AE133" s="578">
        <v>0</v>
      </c>
      <c r="AF133" s="578">
        <v>0</v>
      </c>
      <c r="AG133" s="578">
        <v>0</v>
      </c>
      <c r="AH133" s="578">
        <v>0</v>
      </c>
      <c r="AI133" s="578">
        <v>0</v>
      </c>
      <c r="AJ133" s="578">
        <v>0</v>
      </c>
      <c r="AK133" s="578">
        <v>0</v>
      </c>
      <c r="AL133" s="578">
        <v>0</v>
      </c>
      <c r="AM133" s="578">
        <v>0</v>
      </c>
      <c r="AN133" s="578">
        <v>0</v>
      </c>
      <c r="AO133" s="578">
        <v>0</v>
      </c>
      <c r="AP133" s="578">
        <v>0</v>
      </c>
      <c r="AQ133" s="578">
        <v>0</v>
      </c>
      <c r="AR133" s="578">
        <v>0</v>
      </c>
      <c r="AS133" s="578">
        <v>0</v>
      </c>
      <c r="AT133" s="578">
        <v>0</v>
      </c>
      <c r="AU133" s="578">
        <v>0</v>
      </c>
      <c r="AV133" s="578">
        <v>0</v>
      </c>
      <c r="AW133" s="578">
        <v>0</v>
      </c>
      <c r="AX133" s="578">
        <v>0</v>
      </c>
      <c r="AY133" s="578">
        <v>0</v>
      </c>
      <c r="AZ133" s="578">
        <v>0</v>
      </c>
      <c r="BA133" s="578">
        <v>0</v>
      </c>
      <c r="BB133" s="578">
        <v>0</v>
      </c>
      <c r="BC133" s="578">
        <v>0</v>
      </c>
      <c r="BD133" s="578">
        <v>0</v>
      </c>
      <c r="BE133" s="578">
        <v>0</v>
      </c>
      <c r="BF133" s="578">
        <v>0</v>
      </c>
      <c r="BG133" s="578">
        <v>0</v>
      </c>
      <c r="BH133" s="578">
        <v>0</v>
      </c>
      <c r="BI133" s="578">
        <v>0</v>
      </c>
      <c r="BJ133" s="578">
        <v>0</v>
      </c>
      <c r="BK133" s="578">
        <v>0</v>
      </c>
      <c r="BL133" s="578">
        <v>0</v>
      </c>
      <c r="BM133" s="578">
        <v>0</v>
      </c>
      <c r="BN133" s="578">
        <v>0</v>
      </c>
      <c r="BO133" s="578">
        <v>0</v>
      </c>
      <c r="BP133" s="578">
        <v>0</v>
      </c>
      <c r="BQ133" s="578">
        <v>0</v>
      </c>
      <c r="BR133" s="578">
        <v>0</v>
      </c>
      <c r="BS133" s="578">
        <v>0</v>
      </c>
      <c r="BT133" s="578">
        <v>0</v>
      </c>
      <c r="BU133" s="578">
        <v>0</v>
      </c>
      <c r="BV133" s="578">
        <v>0</v>
      </c>
      <c r="BW133" s="578">
        <v>0</v>
      </c>
      <c r="BX133" s="578">
        <v>0</v>
      </c>
      <c r="BY133" s="578">
        <v>0</v>
      </c>
      <c r="BZ133" s="578">
        <v>0</v>
      </c>
      <c r="CA133" s="578">
        <v>0</v>
      </c>
      <c r="CB133" s="578">
        <v>0</v>
      </c>
      <c r="CC133" s="578">
        <v>0</v>
      </c>
      <c r="CD133" s="578">
        <v>0</v>
      </c>
      <c r="CE133" s="578">
        <v>0</v>
      </c>
      <c r="CF133" s="578">
        <v>0</v>
      </c>
      <c r="CG133" s="578">
        <v>0</v>
      </c>
      <c r="CH133" s="578">
        <v>0</v>
      </c>
      <c r="CI133" s="578">
        <v>0</v>
      </c>
      <c r="CJ133" s="578">
        <v>0</v>
      </c>
      <c r="CK133" s="578">
        <v>0</v>
      </c>
      <c r="CL133" s="578">
        <v>0</v>
      </c>
      <c r="CM133" s="578">
        <v>0</v>
      </c>
      <c r="CN133" s="578">
        <v>0</v>
      </c>
      <c r="CO133" s="578">
        <v>0</v>
      </c>
      <c r="CP133" s="578">
        <v>0</v>
      </c>
      <c r="CQ133" s="578">
        <v>0</v>
      </c>
      <c r="CR133" s="578">
        <v>0</v>
      </c>
      <c r="CS133" s="578">
        <v>0</v>
      </c>
      <c r="CT133" s="578">
        <v>0</v>
      </c>
      <c r="CU133" s="578">
        <v>0</v>
      </c>
      <c r="CV133" s="578">
        <v>0</v>
      </c>
      <c r="CW133" s="578">
        <v>0</v>
      </c>
      <c r="CX133" s="578">
        <v>0</v>
      </c>
      <c r="CY133" s="578">
        <v>0</v>
      </c>
      <c r="CZ133" s="578">
        <v>0</v>
      </c>
      <c r="DA133" s="578">
        <v>0</v>
      </c>
      <c r="DB133" s="578">
        <v>0</v>
      </c>
      <c r="DC133" s="578">
        <v>0</v>
      </c>
      <c r="DD133" s="578">
        <v>0</v>
      </c>
      <c r="DE133" s="578">
        <v>0</v>
      </c>
      <c r="DF133" s="578">
        <v>0</v>
      </c>
      <c r="DG133" s="578">
        <v>0</v>
      </c>
      <c r="DH133" s="578">
        <v>0</v>
      </c>
      <c r="DI133" s="578">
        <v>0</v>
      </c>
      <c r="DJ133" s="578">
        <v>0</v>
      </c>
      <c r="DK133" s="578">
        <v>0</v>
      </c>
      <c r="DL133" s="578">
        <v>0</v>
      </c>
      <c r="DM133" s="578">
        <v>0</v>
      </c>
      <c r="DN133" s="578">
        <v>0</v>
      </c>
      <c r="DO133" s="578">
        <v>0</v>
      </c>
      <c r="DP133" s="578">
        <v>0</v>
      </c>
      <c r="DQ133" s="578">
        <v>0</v>
      </c>
      <c r="DR133" s="578">
        <v>0</v>
      </c>
      <c r="DS133" s="578">
        <v>0</v>
      </c>
      <c r="DT133" s="578">
        <v>0</v>
      </c>
      <c r="DU133" s="578">
        <v>0</v>
      </c>
      <c r="DV133" s="578">
        <v>0</v>
      </c>
      <c r="DW133" s="578">
        <v>0</v>
      </c>
      <c r="DX133" s="578">
        <v>0</v>
      </c>
      <c r="DY133" s="578">
        <v>0</v>
      </c>
      <c r="DZ133" s="578">
        <v>0</v>
      </c>
      <c r="EA133" s="578">
        <v>0</v>
      </c>
      <c r="EB133" s="578">
        <v>0</v>
      </c>
      <c r="EC133" s="578">
        <v>0</v>
      </c>
      <c r="ED133" s="578">
        <v>0</v>
      </c>
      <c r="EE133" s="578">
        <v>0</v>
      </c>
      <c r="EF133" s="578">
        <v>0</v>
      </c>
      <c r="EG133" s="578">
        <v>0</v>
      </c>
      <c r="EH133" s="578">
        <v>0</v>
      </c>
      <c r="EI133" s="578">
        <v>0</v>
      </c>
      <c r="EJ133" s="578">
        <v>0</v>
      </c>
      <c r="EK133" s="578">
        <v>0</v>
      </c>
      <c r="EL133" s="578">
        <v>0</v>
      </c>
      <c r="EM133" s="578">
        <v>0</v>
      </c>
      <c r="EN133" s="578">
        <v>0</v>
      </c>
      <c r="EO133" s="578">
        <v>0</v>
      </c>
      <c r="EP133" s="578">
        <v>0</v>
      </c>
      <c r="EQ133" s="578">
        <v>0</v>
      </c>
      <c r="ER133" s="578">
        <v>0</v>
      </c>
      <c r="ES133" s="578">
        <v>0</v>
      </c>
      <c r="ET133" s="578">
        <v>0</v>
      </c>
      <c r="EU133" s="578">
        <v>0</v>
      </c>
      <c r="EV133" s="578">
        <v>0</v>
      </c>
      <c r="EW133" s="578">
        <v>0</v>
      </c>
      <c r="EX133" s="578">
        <v>0</v>
      </c>
      <c r="EY133" s="578">
        <v>0</v>
      </c>
      <c r="EZ133" s="578">
        <v>0</v>
      </c>
      <c r="FA133" s="578">
        <v>0</v>
      </c>
      <c r="FB133" s="578">
        <v>0</v>
      </c>
      <c r="FC133" s="578">
        <v>0</v>
      </c>
      <c r="FD133" s="578">
        <v>0</v>
      </c>
      <c r="FE133" s="578">
        <v>0</v>
      </c>
      <c r="FF133" s="578">
        <v>0</v>
      </c>
      <c r="FG133" s="578">
        <v>0</v>
      </c>
      <c r="FH133" s="578">
        <v>0</v>
      </c>
      <c r="FI133" s="578">
        <v>0</v>
      </c>
      <c r="FJ133" s="578">
        <v>0</v>
      </c>
      <c r="FK133" s="578">
        <v>0</v>
      </c>
      <c r="FL133" s="578">
        <v>0</v>
      </c>
      <c r="FM133" s="578">
        <v>0</v>
      </c>
      <c r="FN133" s="578">
        <v>0</v>
      </c>
      <c r="FO133" s="578">
        <v>0</v>
      </c>
      <c r="FP133" s="578">
        <v>0</v>
      </c>
      <c r="FQ133" s="578">
        <v>0</v>
      </c>
      <c r="FR133" s="578">
        <v>0</v>
      </c>
      <c r="FS133" s="578">
        <v>0</v>
      </c>
      <c r="FT133" s="578">
        <v>0</v>
      </c>
      <c r="FU133" s="578">
        <v>0</v>
      </c>
      <c r="FV133" s="578">
        <v>0</v>
      </c>
      <c r="FW133" s="578">
        <v>0</v>
      </c>
      <c r="FX133" s="578">
        <v>0</v>
      </c>
      <c r="FY133" s="578">
        <v>0</v>
      </c>
      <c r="FZ133" s="578">
        <v>0</v>
      </c>
      <c r="GA133" s="578">
        <v>0</v>
      </c>
      <c r="GB133" s="578">
        <v>0</v>
      </c>
      <c r="GC133" s="578">
        <v>0</v>
      </c>
      <c r="GD133" s="578">
        <v>0</v>
      </c>
      <c r="GE133" s="578">
        <v>0</v>
      </c>
      <c r="GF133" s="578">
        <v>0</v>
      </c>
      <c r="GG133" s="579">
        <v>0</v>
      </c>
      <c r="GH133" s="572"/>
    </row>
    <row r="134" spans="1:190">
      <c r="A134" s="572" t="s">
        <v>9338</v>
      </c>
      <c r="B134" s="577" t="s">
        <v>607</v>
      </c>
      <c r="C134" s="573" t="s">
        <v>9543</v>
      </c>
      <c r="D134" s="578">
        <v>0</v>
      </c>
      <c r="E134" s="578">
        <v>0</v>
      </c>
      <c r="F134" s="578">
        <v>0</v>
      </c>
      <c r="G134" s="578">
        <v>0</v>
      </c>
      <c r="H134" s="578">
        <v>0</v>
      </c>
      <c r="I134" s="578">
        <v>0</v>
      </c>
      <c r="J134" s="578">
        <v>0</v>
      </c>
      <c r="K134" s="578">
        <v>0</v>
      </c>
      <c r="L134" s="578">
        <v>0</v>
      </c>
      <c r="M134" s="578">
        <v>0</v>
      </c>
      <c r="N134" s="578">
        <v>0</v>
      </c>
      <c r="O134" s="578">
        <v>0</v>
      </c>
      <c r="P134" s="578">
        <v>0</v>
      </c>
      <c r="Q134" s="578">
        <v>0</v>
      </c>
      <c r="R134" s="578">
        <v>0</v>
      </c>
      <c r="S134" s="578">
        <v>0</v>
      </c>
      <c r="T134" s="578">
        <v>0</v>
      </c>
      <c r="U134" s="578">
        <v>0</v>
      </c>
      <c r="V134" s="578">
        <v>0</v>
      </c>
      <c r="W134" s="578">
        <v>0</v>
      </c>
      <c r="X134" s="578">
        <v>0</v>
      </c>
      <c r="Y134" s="578">
        <v>0</v>
      </c>
      <c r="Z134" s="578">
        <v>0</v>
      </c>
      <c r="AA134" s="578">
        <v>0</v>
      </c>
      <c r="AB134" s="578">
        <v>0</v>
      </c>
      <c r="AC134" s="578">
        <v>0</v>
      </c>
      <c r="AD134" s="578">
        <v>0</v>
      </c>
      <c r="AE134" s="578">
        <v>0</v>
      </c>
      <c r="AF134" s="578">
        <v>0</v>
      </c>
      <c r="AG134" s="578">
        <v>0</v>
      </c>
      <c r="AH134" s="578">
        <v>0</v>
      </c>
      <c r="AI134" s="578">
        <v>0</v>
      </c>
      <c r="AJ134" s="578">
        <v>0</v>
      </c>
      <c r="AK134" s="578">
        <v>0</v>
      </c>
      <c r="AL134" s="578">
        <v>0</v>
      </c>
      <c r="AM134" s="578">
        <v>0</v>
      </c>
      <c r="AN134" s="578">
        <v>0</v>
      </c>
      <c r="AO134" s="578">
        <v>0</v>
      </c>
      <c r="AP134" s="578">
        <v>0</v>
      </c>
      <c r="AQ134" s="578">
        <v>0</v>
      </c>
      <c r="AR134" s="578">
        <v>0</v>
      </c>
      <c r="AS134" s="578">
        <v>0</v>
      </c>
      <c r="AT134" s="578">
        <v>0</v>
      </c>
      <c r="AU134" s="578">
        <v>0</v>
      </c>
      <c r="AV134" s="578">
        <v>0</v>
      </c>
      <c r="AW134" s="578">
        <v>0</v>
      </c>
      <c r="AX134" s="578">
        <v>0</v>
      </c>
      <c r="AY134" s="578">
        <v>0</v>
      </c>
      <c r="AZ134" s="578">
        <v>0</v>
      </c>
      <c r="BA134" s="578">
        <v>0</v>
      </c>
      <c r="BB134" s="578">
        <v>0</v>
      </c>
      <c r="BC134" s="578">
        <v>0</v>
      </c>
      <c r="BD134" s="578">
        <v>0</v>
      </c>
      <c r="BE134" s="578">
        <v>0</v>
      </c>
      <c r="BF134" s="578">
        <v>0</v>
      </c>
      <c r="BG134" s="578">
        <v>0</v>
      </c>
      <c r="BH134" s="578">
        <v>0</v>
      </c>
      <c r="BI134" s="578">
        <v>0</v>
      </c>
      <c r="BJ134" s="578">
        <v>0</v>
      </c>
      <c r="BK134" s="578">
        <v>0</v>
      </c>
      <c r="BL134" s="578">
        <v>0</v>
      </c>
      <c r="BM134" s="578">
        <v>0</v>
      </c>
      <c r="BN134" s="578">
        <v>0</v>
      </c>
      <c r="BO134" s="578">
        <v>0</v>
      </c>
      <c r="BP134" s="578">
        <v>0</v>
      </c>
      <c r="BQ134" s="578">
        <v>0</v>
      </c>
      <c r="BR134" s="578">
        <v>0</v>
      </c>
      <c r="BS134" s="578">
        <v>0</v>
      </c>
      <c r="BT134" s="578">
        <v>0</v>
      </c>
      <c r="BU134" s="578">
        <v>0</v>
      </c>
      <c r="BV134" s="578">
        <v>0</v>
      </c>
      <c r="BW134" s="578">
        <v>0</v>
      </c>
      <c r="BX134" s="578">
        <v>0</v>
      </c>
      <c r="BY134" s="578">
        <v>0</v>
      </c>
      <c r="BZ134" s="578">
        <v>0</v>
      </c>
      <c r="CA134" s="578">
        <v>0</v>
      </c>
      <c r="CB134" s="578">
        <v>0</v>
      </c>
      <c r="CC134" s="578">
        <v>0</v>
      </c>
      <c r="CD134" s="578">
        <v>0</v>
      </c>
      <c r="CE134" s="578">
        <v>0</v>
      </c>
      <c r="CF134" s="578">
        <v>0</v>
      </c>
      <c r="CG134" s="578">
        <v>0</v>
      </c>
      <c r="CH134" s="578">
        <v>0</v>
      </c>
      <c r="CI134" s="578">
        <v>0</v>
      </c>
      <c r="CJ134" s="578">
        <v>0</v>
      </c>
      <c r="CK134" s="578">
        <v>0</v>
      </c>
      <c r="CL134" s="578">
        <v>0</v>
      </c>
      <c r="CM134" s="578">
        <v>0</v>
      </c>
      <c r="CN134" s="578">
        <v>0</v>
      </c>
      <c r="CO134" s="578">
        <v>0</v>
      </c>
      <c r="CP134" s="578">
        <v>0</v>
      </c>
      <c r="CQ134" s="578">
        <v>0</v>
      </c>
      <c r="CR134" s="578">
        <v>0</v>
      </c>
      <c r="CS134" s="578">
        <v>0</v>
      </c>
      <c r="CT134" s="578">
        <v>0</v>
      </c>
      <c r="CU134" s="578">
        <v>0</v>
      </c>
      <c r="CV134" s="578">
        <v>0</v>
      </c>
      <c r="CW134" s="578">
        <v>0</v>
      </c>
      <c r="CX134" s="578">
        <v>0</v>
      </c>
      <c r="CY134" s="578">
        <v>0</v>
      </c>
      <c r="CZ134" s="578">
        <v>0</v>
      </c>
      <c r="DA134" s="578">
        <v>0</v>
      </c>
      <c r="DB134" s="578">
        <v>0</v>
      </c>
      <c r="DC134" s="578">
        <v>0</v>
      </c>
      <c r="DD134" s="578">
        <v>0</v>
      </c>
      <c r="DE134" s="578">
        <v>0</v>
      </c>
      <c r="DF134" s="578">
        <v>0</v>
      </c>
      <c r="DG134" s="578">
        <v>0</v>
      </c>
      <c r="DH134" s="578">
        <v>0</v>
      </c>
      <c r="DI134" s="578">
        <v>0</v>
      </c>
      <c r="DJ134" s="578">
        <v>0</v>
      </c>
      <c r="DK134" s="578">
        <v>0</v>
      </c>
      <c r="DL134" s="578">
        <v>0</v>
      </c>
      <c r="DM134" s="578">
        <v>0</v>
      </c>
      <c r="DN134" s="578">
        <v>0</v>
      </c>
      <c r="DO134" s="578">
        <v>0</v>
      </c>
      <c r="DP134" s="578">
        <v>0</v>
      </c>
      <c r="DQ134" s="578">
        <v>0</v>
      </c>
      <c r="DR134" s="578">
        <v>0</v>
      </c>
      <c r="DS134" s="578">
        <v>0</v>
      </c>
      <c r="DT134" s="578">
        <v>0</v>
      </c>
      <c r="DU134" s="578">
        <v>0</v>
      </c>
      <c r="DV134" s="578">
        <v>0</v>
      </c>
      <c r="DW134" s="578">
        <v>0</v>
      </c>
      <c r="DX134" s="578">
        <v>0</v>
      </c>
      <c r="DY134" s="578">
        <v>0</v>
      </c>
      <c r="DZ134" s="578">
        <v>0</v>
      </c>
      <c r="EA134" s="578">
        <v>0</v>
      </c>
      <c r="EB134" s="578">
        <v>0</v>
      </c>
      <c r="EC134" s="578">
        <v>0</v>
      </c>
      <c r="ED134" s="578">
        <v>0</v>
      </c>
      <c r="EE134" s="578">
        <v>0</v>
      </c>
      <c r="EF134" s="578">
        <v>0</v>
      </c>
      <c r="EG134" s="578">
        <v>0</v>
      </c>
      <c r="EH134" s="578">
        <v>0</v>
      </c>
      <c r="EI134" s="578">
        <v>0</v>
      </c>
      <c r="EJ134" s="578">
        <v>0</v>
      </c>
      <c r="EK134" s="578">
        <v>0</v>
      </c>
      <c r="EL134" s="578">
        <v>0</v>
      </c>
      <c r="EM134" s="578">
        <v>0</v>
      </c>
      <c r="EN134" s="578">
        <v>0</v>
      </c>
      <c r="EO134" s="578">
        <v>0</v>
      </c>
      <c r="EP134" s="578">
        <v>0</v>
      </c>
      <c r="EQ134" s="578">
        <v>0</v>
      </c>
      <c r="ER134" s="578">
        <v>0</v>
      </c>
      <c r="ES134" s="578">
        <v>0</v>
      </c>
      <c r="ET134" s="578">
        <v>0</v>
      </c>
      <c r="EU134" s="578">
        <v>0</v>
      </c>
      <c r="EV134" s="578">
        <v>0</v>
      </c>
      <c r="EW134" s="578">
        <v>0</v>
      </c>
      <c r="EX134" s="578">
        <v>0</v>
      </c>
      <c r="EY134" s="578">
        <v>0</v>
      </c>
      <c r="EZ134" s="578">
        <v>0</v>
      </c>
      <c r="FA134" s="578">
        <v>0</v>
      </c>
      <c r="FB134" s="578">
        <v>0</v>
      </c>
      <c r="FC134" s="578">
        <v>0</v>
      </c>
      <c r="FD134" s="578">
        <v>0</v>
      </c>
      <c r="FE134" s="578">
        <v>0</v>
      </c>
      <c r="FF134" s="578">
        <v>0</v>
      </c>
      <c r="FG134" s="578">
        <v>0</v>
      </c>
      <c r="FH134" s="578">
        <v>0</v>
      </c>
      <c r="FI134" s="578">
        <v>0</v>
      </c>
      <c r="FJ134" s="578">
        <v>0</v>
      </c>
      <c r="FK134" s="578">
        <v>0</v>
      </c>
      <c r="FL134" s="578">
        <v>0</v>
      </c>
      <c r="FM134" s="578">
        <v>0</v>
      </c>
      <c r="FN134" s="578">
        <v>0</v>
      </c>
      <c r="FO134" s="578">
        <v>0</v>
      </c>
      <c r="FP134" s="578">
        <v>0</v>
      </c>
      <c r="FQ134" s="578">
        <v>0</v>
      </c>
      <c r="FR134" s="578">
        <v>0</v>
      </c>
      <c r="FS134" s="578">
        <v>0</v>
      </c>
      <c r="FT134" s="578">
        <v>0</v>
      </c>
      <c r="FU134" s="578">
        <v>0</v>
      </c>
      <c r="FV134" s="578">
        <v>0</v>
      </c>
      <c r="FW134" s="578">
        <v>0</v>
      </c>
      <c r="FX134" s="578">
        <v>0</v>
      </c>
      <c r="FY134" s="578">
        <v>0</v>
      </c>
      <c r="FZ134" s="578">
        <v>0</v>
      </c>
      <c r="GA134" s="578">
        <v>0</v>
      </c>
      <c r="GB134" s="578">
        <v>0</v>
      </c>
      <c r="GC134" s="578">
        <v>0</v>
      </c>
      <c r="GD134" s="578">
        <v>0</v>
      </c>
      <c r="GE134" s="578">
        <v>0</v>
      </c>
      <c r="GF134" s="578">
        <v>0</v>
      </c>
      <c r="GG134" s="579">
        <v>0</v>
      </c>
      <c r="GH134" s="572"/>
    </row>
    <row r="135" spans="1:190">
      <c r="A135" s="572" t="s">
        <v>9339</v>
      </c>
      <c r="B135" s="577" t="s">
        <v>610</v>
      </c>
      <c r="C135" s="573" t="s">
        <v>611</v>
      </c>
      <c r="D135" s="578">
        <v>3.5927876461662057E-3</v>
      </c>
      <c r="E135" s="578">
        <v>3.4217279726261761E-3</v>
      </c>
      <c r="F135" s="578">
        <v>4.4545004595913174E-3</v>
      </c>
      <c r="G135" s="578">
        <v>3.9149888143176735E-3</v>
      </c>
      <c r="H135" s="578">
        <v>0</v>
      </c>
      <c r="I135" s="578">
        <v>2.7691806483140578E-3</v>
      </c>
      <c r="J135" s="578">
        <v>1.5783794230862149E-3</v>
      </c>
      <c r="K135" s="578">
        <v>1.314340520763028E-3</v>
      </c>
      <c r="L135" s="578">
        <v>4.5180722891566266E-4</v>
      </c>
      <c r="M135" s="578">
        <v>1.8175209014903672E-3</v>
      </c>
      <c r="N135" s="578">
        <v>3.5587188612099642E-3</v>
      </c>
      <c r="O135" s="578">
        <v>1.3138302531312954E-3</v>
      </c>
      <c r="P135" s="578">
        <v>0</v>
      </c>
      <c r="Q135" s="578">
        <v>0</v>
      </c>
      <c r="R135" s="578">
        <v>7.5744728958227351E-3</v>
      </c>
      <c r="S135" s="578">
        <v>4.6685340802987861E-3</v>
      </c>
      <c r="T135" s="578">
        <v>9.0210370584202363E-4</v>
      </c>
      <c r="U135" s="578">
        <v>8.0333575609196277E-4</v>
      </c>
      <c r="V135" s="578">
        <v>5.3716911874421801E-4</v>
      </c>
      <c r="W135" s="578">
        <v>4.687672340894886E-4</v>
      </c>
      <c r="X135" s="578">
        <v>5.6300542532500763E-4</v>
      </c>
      <c r="Y135" s="578">
        <v>5.4937144329350075E-4</v>
      </c>
      <c r="Z135" s="578">
        <v>4.8851585126571235E-4</v>
      </c>
      <c r="AA135" s="578">
        <v>1.3233936001066332E-3</v>
      </c>
      <c r="AB135" s="578">
        <v>3.4687236748649677E-4</v>
      </c>
      <c r="AC135" s="578">
        <v>1.3820506176038697E-4</v>
      </c>
      <c r="AD135" s="578">
        <v>0</v>
      </c>
      <c r="AE135" s="578">
        <v>1.8026137899954935E-3</v>
      </c>
      <c r="AF135" s="578">
        <v>4.5513160889023744E-4</v>
      </c>
      <c r="AG135" s="578">
        <v>0</v>
      </c>
      <c r="AH135" s="578">
        <v>5.7848052448900887E-3</v>
      </c>
      <c r="AI135" s="578">
        <v>3.4747744737721352E-3</v>
      </c>
      <c r="AJ135" s="578">
        <v>1.1557353366079169E-3</v>
      </c>
      <c r="AK135" s="578">
        <v>2.6191070092292344E-3</v>
      </c>
      <c r="AL135" s="578">
        <v>1.0699001426533524E-3</v>
      </c>
      <c r="AM135" s="578">
        <v>3.4439214785902879E-4</v>
      </c>
      <c r="AN135" s="578">
        <v>1.8978605935127675E-3</v>
      </c>
      <c r="AO135" s="578">
        <v>2.1051267934060953E-3</v>
      </c>
      <c r="AP135" s="578">
        <v>3.0177890724269376E-3</v>
      </c>
      <c r="AQ135" s="578">
        <v>7.7795249524124799E-3</v>
      </c>
      <c r="AR135" s="578">
        <v>4.0260215586960888E-3</v>
      </c>
      <c r="AS135" s="578">
        <v>3.3103610767508981E-3</v>
      </c>
      <c r="AT135" s="578">
        <v>2.7976375505129004E-3</v>
      </c>
      <c r="AU135" s="578">
        <v>1.6524598746748254E-3</v>
      </c>
      <c r="AV135" s="578">
        <v>2.4564136360913065E-3</v>
      </c>
      <c r="AW135" s="578">
        <v>5.2030252641742207E-3</v>
      </c>
      <c r="AX135" s="578">
        <v>4.2023722007044186E-3</v>
      </c>
      <c r="AY135" s="578">
        <v>1.585791309863622E-3</v>
      </c>
      <c r="AZ135" s="578">
        <v>3.147817437891358E-3</v>
      </c>
      <c r="BA135" s="578">
        <v>1.0689990281827016E-2</v>
      </c>
      <c r="BB135" s="578">
        <v>6.0086647542822065E-3</v>
      </c>
      <c r="BC135" s="578">
        <v>4.9740550830544381E-3</v>
      </c>
      <c r="BD135" s="578">
        <v>8.8550528446702022E-3</v>
      </c>
      <c r="BE135" s="578">
        <v>1.3549469604959247E-3</v>
      </c>
      <c r="BF135" s="578">
        <v>3.5462091179385528E-3</v>
      </c>
      <c r="BG135" s="578">
        <v>3.6808905380333952E-3</v>
      </c>
      <c r="BH135" s="578">
        <v>1.8894629802671356E-3</v>
      </c>
      <c r="BI135" s="578">
        <v>1.0843046896177825E-3</v>
      </c>
      <c r="BJ135" s="578">
        <v>3.150502472154754E-3</v>
      </c>
      <c r="BK135" s="578">
        <v>1.9292250027560357E-4</v>
      </c>
      <c r="BL135" s="578">
        <v>1.6999035875577206E-3</v>
      </c>
      <c r="BM135" s="578">
        <v>3.3846527295918953E-3</v>
      </c>
      <c r="BN135" s="578">
        <v>8.8888888888888893E-4</v>
      </c>
      <c r="BO135" s="578">
        <v>1.9798920234496481E-3</v>
      </c>
      <c r="BP135" s="578">
        <v>6.5368971528181289E-4</v>
      </c>
      <c r="BQ135" s="578">
        <v>1.1684192956100817E-3</v>
      </c>
      <c r="BR135" s="578">
        <v>4.0433998698430652E-3</v>
      </c>
      <c r="BS135" s="578">
        <v>7.0202413587302868E-3</v>
      </c>
      <c r="BT135" s="578">
        <v>4.0065561828446549E-3</v>
      </c>
      <c r="BU135" s="578">
        <v>6.0911938739993034E-3</v>
      </c>
      <c r="BV135" s="578">
        <v>5.8280555181242418E-3</v>
      </c>
      <c r="BW135" s="578">
        <v>5.2587870872945136E-3</v>
      </c>
      <c r="BX135" s="578">
        <v>0</v>
      </c>
      <c r="BY135" s="578">
        <v>3.7736415641093654E-3</v>
      </c>
      <c r="BZ135" s="578">
        <v>2.2019746027891677E-3</v>
      </c>
      <c r="CA135" s="578">
        <v>3.3037817089347932E-3</v>
      </c>
      <c r="CB135" s="578">
        <v>5.2680565897244977E-3</v>
      </c>
      <c r="CC135" s="578">
        <v>3.1372762985595812E-3</v>
      </c>
      <c r="CD135" s="578">
        <v>3.610959750811246E-3</v>
      </c>
      <c r="CE135" s="578">
        <v>0</v>
      </c>
      <c r="CF135" s="578">
        <v>2.3685457129322598E-3</v>
      </c>
      <c r="CG135" s="578">
        <v>2.3833505937096567E-3</v>
      </c>
      <c r="CH135" s="578">
        <v>2.3723282376494279E-3</v>
      </c>
      <c r="CI135" s="578">
        <v>7.7598428134404455E-3</v>
      </c>
      <c r="CJ135" s="578">
        <v>1.0240833152527662E-3</v>
      </c>
      <c r="CK135" s="578">
        <v>3.2653534650569356E-3</v>
      </c>
      <c r="CL135" s="578">
        <v>1.7594341036477534E-3</v>
      </c>
      <c r="CM135" s="578">
        <v>1.2204098107652492E-3</v>
      </c>
      <c r="CN135" s="578">
        <v>1.2784639135468932E-3</v>
      </c>
      <c r="CO135" s="578">
        <v>1.3665869490946361E-3</v>
      </c>
      <c r="CP135" s="578">
        <v>2.3963446802042257E-3</v>
      </c>
      <c r="CQ135" s="578">
        <v>1.2741288144231381E-3</v>
      </c>
      <c r="CR135" s="578">
        <v>1.730344907676228E-3</v>
      </c>
      <c r="CS135" s="578">
        <v>1.5820996722793535E-3</v>
      </c>
      <c r="CT135" s="578">
        <v>3.3244874748476275E-3</v>
      </c>
      <c r="CU135" s="578">
        <v>1.3462747690372926E-3</v>
      </c>
      <c r="CV135" s="578">
        <v>1.6727277232936627E-3</v>
      </c>
      <c r="CW135" s="578">
        <v>1.3653741125068269E-3</v>
      </c>
      <c r="CX135" s="578">
        <v>1.4919832669436472E-3</v>
      </c>
      <c r="CY135" s="578">
        <v>4.3960069603443539E-4</v>
      </c>
      <c r="CZ135" s="578">
        <v>6.4011379800853489E-4</v>
      </c>
      <c r="DA135" s="578">
        <v>1.9489837441905291E-3</v>
      </c>
      <c r="DB135" s="578">
        <v>1.6245194130069854E-3</v>
      </c>
      <c r="DC135" s="578">
        <v>1.4503263234227702E-3</v>
      </c>
      <c r="DD135" s="578">
        <v>2.4154589371980675E-3</v>
      </c>
      <c r="DE135" s="578">
        <v>1.9217838515637779E-3</v>
      </c>
      <c r="DF135" s="578">
        <v>4.7328061346752935E-3</v>
      </c>
      <c r="DG135" s="578">
        <v>1.8666713324337152E-3</v>
      </c>
      <c r="DH135" s="578">
        <v>1.0987641734914648E-3</v>
      </c>
      <c r="DI135" s="578">
        <v>1.4240296728043448E-3</v>
      </c>
      <c r="DJ135" s="578">
        <v>9.6907651977288817E-4</v>
      </c>
      <c r="DK135" s="578">
        <v>1.505132671525934E-3</v>
      </c>
      <c r="DL135" s="578">
        <v>1.8105603393853691E-3</v>
      </c>
      <c r="DM135" s="578">
        <v>2.1632168306752629E-3</v>
      </c>
      <c r="DN135" s="578">
        <v>1.295700255838904E-3</v>
      </c>
      <c r="DO135" s="578">
        <v>0</v>
      </c>
      <c r="DP135" s="578">
        <v>8.1069237510955302E-4</v>
      </c>
      <c r="DQ135" s="578">
        <v>4.7277970829492001E-5</v>
      </c>
      <c r="DR135" s="578">
        <v>5.3019617258385598E-4</v>
      </c>
      <c r="DS135" s="578">
        <v>1.6536977450741601E-3</v>
      </c>
      <c r="DT135" s="578">
        <v>2.7771905910823754E-3</v>
      </c>
      <c r="DU135" s="578">
        <v>1.4412664033634857E-3</v>
      </c>
      <c r="DV135" s="578">
        <v>8.8687301245423105E-4</v>
      </c>
      <c r="DW135" s="578">
        <v>2.6804227987659939E-3</v>
      </c>
      <c r="DX135" s="578">
        <v>1.5690408624821491E-3</v>
      </c>
      <c r="DY135" s="578">
        <v>4.7430080156835464E-4</v>
      </c>
      <c r="DZ135" s="578">
        <v>7.797461362147451E-4</v>
      </c>
      <c r="EA135" s="578">
        <v>8.8368914620492241E-4</v>
      </c>
      <c r="EB135" s="578">
        <v>1.3519310017310845E-3</v>
      </c>
      <c r="EC135" s="578">
        <v>6.5140204350631675E-4</v>
      </c>
      <c r="ED135" s="578">
        <v>4.2062034717008437E-4</v>
      </c>
      <c r="EE135" s="578">
        <v>1.2402530018637788E-2</v>
      </c>
      <c r="EF135" s="578">
        <v>2.4870914980276451E-2</v>
      </c>
      <c r="EG135" s="578">
        <v>3.3305578684429643E-3</v>
      </c>
      <c r="EH135" s="578">
        <v>2.9350372736954206E-2</v>
      </c>
      <c r="EI135" s="578">
        <v>3.1640589875011238E-3</v>
      </c>
      <c r="EJ135" s="578">
        <v>2.7986558543045287E-3</v>
      </c>
      <c r="EK135" s="578">
        <v>3.8402527382622432E-3</v>
      </c>
      <c r="EL135" s="578">
        <v>2.5424487481722421E-3</v>
      </c>
      <c r="EM135" s="578">
        <v>2.5866538950218292E-3</v>
      </c>
      <c r="EN135" s="578">
        <v>4.0946530641286704E-3</v>
      </c>
      <c r="EO135" s="578">
        <v>1.0622979752714838E-2</v>
      </c>
      <c r="EP135" s="578">
        <v>9.9924634458468733E-3</v>
      </c>
      <c r="EQ135" s="578">
        <v>1.4520114289975223E-2</v>
      </c>
      <c r="ER135" s="578">
        <v>8.3333333333333332E-3</v>
      </c>
      <c r="ES135" s="578">
        <v>9.5256887413163144E-4</v>
      </c>
      <c r="ET135" s="578">
        <v>9.7258348118633986E-4</v>
      </c>
      <c r="EU135" s="578">
        <v>1.173392159393591E-4</v>
      </c>
      <c r="EV135" s="578">
        <v>4.4888721237268956E-3</v>
      </c>
      <c r="EW135" s="578">
        <v>3.7335200093337999E-3</v>
      </c>
      <c r="EX135" s="578">
        <v>7.7092086497321051E-5</v>
      </c>
      <c r="EY135" s="578">
        <v>4.157181035336039E-3</v>
      </c>
      <c r="EZ135" s="578">
        <v>1.1949871375929916E-2</v>
      </c>
      <c r="FA135" s="578">
        <v>8.0807198392591941E-4</v>
      </c>
      <c r="FB135" s="578">
        <v>1.5582996320119268E-2</v>
      </c>
      <c r="FC135" s="578">
        <v>1.6242203742203743E-3</v>
      </c>
      <c r="FD135" s="578">
        <v>3.4320720366087685E-3</v>
      </c>
      <c r="FE135" s="578">
        <v>2.0987239758226998E-3</v>
      </c>
      <c r="FF135" s="578">
        <v>6.5601868705254221E-4</v>
      </c>
      <c r="FG135" s="578">
        <v>6.3152400835073067E-3</v>
      </c>
      <c r="FH135" s="578">
        <v>1.8370996585920988E-3</v>
      </c>
      <c r="FI135" s="578">
        <v>8.8965359296733237E-4</v>
      </c>
      <c r="FJ135" s="578">
        <v>1.2062396418869279E-2</v>
      </c>
      <c r="FK135" s="578">
        <v>5.9058180646040367E-3</v>
      </c>
      <c r="FL135" s="578">
        <v>1.1813904861474125E-2</v>
      </c>
      <c r="FM135" s="578">
        <v>4.9110705900858127E-3</v>
      </c>
      <c r="FN135" s="578">
        <v>3.5410460653487351E-3</v>
      </c>
      <c r="FO135" s="578">
        <v>1.9770722990533523E-3</v>
      </c>
      <c r="FP135" s="578">
        <v>1.5756468030126366E-3</v>
      </c>
      <c r="FQ135" s="578">
        <v>4.0157624939471358E-3</v>
      </c>
      <c r="FR135" s="578">
        <v>2.4349758720271933E-3</v>
      </c>
      <c r="FS135" s="578">
        <v>1.5193137859505523E-3</v>
      </c>
      <c r="FT135" s="578">
        <v>1.9558709851467942E-3</v>
      </c>
      <c r="FU135" s="578">
        <v>9.2637068551430725E-4</v>
      </c>
      <c r="FV135" s="578">
        <v>3.3513468225042939E-4</v>
      </c>
      <c r="FW135" s="578">
        <v>9.9423666065813618E-4</v>
      </c>
      <c r="FX135" s="578">
        <v>4.6528315002298387E-4</v>
      </c>
      <c r="FY135" s="578">
        <v>1.6833529248480208E-3</v>
      </c>
      <c r="FZ135" s="578">
        <v>1.7931159938150492E-3</v>
      </c>
      <c r="GA135" s="578">
        <v>1.2693444334263967E-3</v>
      </c>
      <c r="GB135" s="578">
        <v>2.5422249892698297E-3</v>
      </c>
      <c r="GC135" s="578">
        <v>4.5586150139311672E-3</v>
      </c>
      <c r="GD135" s="578">
        <v>3.0630648785353715E-3</v>
      </c>
      <c r="GE135" s="578">
        <v>0</v>
      </c>
      <c r="GF135" s="578">
        <v>1.326752640237754E-4</v>
      </c>
      <c r="GG135" s="579">
        <v>3.9107696247182777E-3</v>
      </c>
      <c r="GH135" s="572"/>
    </row>
    <row r="136" spans="1:190">
      <c r="A136" s="572" t="s">
        <v>9340</v>
      </c>
      <c r="B136" s="577" t="s">
        <v>612</v>
      </c>
      <c r="C136" s="573" t="s">
        <v>9096</v>
      </c>
      <c r="D136" s="578">
        <v>0</v>
      </c>
      <c r="E136" s="578">
        <v>0</v>
      </c>
      <c r="F136" s="578">
        <v>0</v>
      </c>
      <c r="G136" s="578">
        <v>0</v>
      </c>
      <c r="H136" s="578">
        <v>0</v>
      </c>
      <c r="I136" s="578">
        <v>0</v>
      </c>
      <c r="J136" s="578">
        <v>0</v>
      </c>
      <c r="K136" s="578">
        <v>0</v>
      </c>
      <c r="L136" s="578">
        <v>0</v>
      </c>
      <c r="M136" s="578">
        <v>0</v>
      </c>
      <c r="N136" s="578">
        <v>0</v>
      </c>
      <c r="O136" s="578">
        <v>0</v>
      </c>
      <c r="P136" s="578">
        <v>0</v>
      </c>
      <c r="Q136" s="578">
        <v>0</v>
      </c>
      <c r="R136" s="578">
        <v>0</v>
      </c>
      <c r="S136" s="578">
        <v>0</v>
      </c>
      <c r="T136" s="578">
        <v>0</v>
      </c>
      <c r="U136" s="578">
        <v>0</v>
      </c>
      <c r="V136" s="578">
        <v>0</v>
      </c>
      <c r="W136" s="578">
        <v>0</v>
      </c>
      <c r="X136" s="578">
        <v>0</v>
      </c>
      <c r="Y136" s="578">
        <v>0</v>
      </c>
      <c r="Z136" s="578">
        <v>0</v>
      </c>
      <c r="AA136" s="578">
        <v>0</v>
      </c>
      <c r="AB136" s="578">
        <v>0</v>
      </c>
      <c r="AC136" s="578">
        <v>0</v>
      </c>
      <c r="AD136" s="578">
        <v>0</v>
      </c>
      <c r="AE136" s="578">
        <v>0</v>
      </c>
      <c r="AF136" s="578">
        <v>0</v>
      </c>
      <c r="AG136" s="578">
        <v>0</v>
      </c>
      <c r="AH136" s="578">
        <v>0</v>
      </c>
      <c r="AI136" s="578">
        <v>0</v>
      </c>
      <c r="AJ136" s="578">
        <v>0</v>
      </c>
      <c r="AK136" s="578">
        <v>0</v>
      </c>
      <c r="AL136" s="578">
        <v>0</v>
      </c>
      <c r="AM136" s="578">
        <v>0</v>
      </c>
      <c r="AN136" s="578">
        <v>0</v>
      </c>
      <c r="AO136" s="578">
        <v>0</v>
      </c>
      <c r="AP136" s="578">
        <v>0</v>
      </c>
      <c r="AQ136" s="578">
        <v>0</v>
      </c>
      <c r="AR136" s="578">
        <v>0</v>
      </c>
      <c r="AS136" s="578">
        <v>0</v>
      </c>
      <c r="AT136" s="578">
        <v>0</v>
      </c>
      <c r="AU136" s="578">
        <v>0</v>
      </c>
      <c r="AV136" s="578">
        <v>0</v>
      </c>
      <c r="AW136" s="578">
        <v>0</v>
      </c>
      <c r="AX136" s="578">
        <v>0</v>
      </c>
      <c r="AY136" s="578">
        <v>0</v>
      </c>
      <c r="AZ136" s="578">
        <v>0</v>
      </c>
      <c r="BA136" s="578">
        <v>0</v>
      </c>
      <c r="BB136" s="578">
        <v>0</v>
      </c>
      <c r="BC136" s="578">
        <v>0</v>
      </c>
      <c r="BD136" s="578">
        <v>0</v>
      </c>
      <c r="BE136" s="578">
        <v>0</v>
      </c>
      <c r="BF136" s="578">
        <v>0</v>
      </c>
      <c r="BG136" s="578">
        <v>0</v>
      </c>
      <c r="BH136" s="578">
        <v>0</v>
      </c>
      <c r="BI136" s="578">
        <v>0</v>
      </c>
      <c r="BJ136" s="578">
        <v>0</v>
      </c>
      <c r="BK136" s="578">
        <v>0</v>
      </c>
      <c r="BL136" s="578">
        <v>0</v>
      </c>
      <c r="BM136" s="578">
        <v>0</v>
      </c>
      <c r="BN136" s="578">
        <v>0</v>
      </c>
      <c r="BO136" s="578">
        <v>0</v>
      </c>
      <c r="BP136" s="578">
        <v>0</v>
      </c>
      <c r="BQ136" s="578">
        <v>0</v>
      </c>
      <c r="BR136" s="578">
        <v>0</v>
      </c>
      <c r="BS136" s="578">
        <v>0</v>
      </c>
      <c r="BT136" s="578">
        <v>0</v>
      </c>
      <c r="BU136" s="578">
        <v>0</v>
      </c>
      <c r="BV136" s="578">
        <v>0</v>
      </c>
      <c r="BW136" s="578">
        <v>0</v>
      </c>
      <c r="BX136" s="578">
        <v>0</v>
      </c>
      <c r="BY136" s="578">
        <v>0</v>
      </c>
      <c r="BZ136" s="578">
        <v>0</v>
      </c>
      <c r="CA136" s="578">
        <v>0</v>
      </c>
      <c r="CB136" s="578">
        <v>0</v>
      </c>
      <c r="CC136" s="578">
        <v>0</v>
      </c>
      <c r="CD136" s="578">
        <v>0</v>
      </c>
      <c r="CE136" s="578">
        <v>0</v>
      </c>
      <c r="CF136" s="578">
        <v>0</v>
      </c>
      <c r="CG136" s="578">
        <v>0</v>
      </c>
      <c r="CH136" s="578">
        <v>0</v>
      </c>
      <c r="CI136" s="578">
        <v>0</v>
      </c>
      <c r="CJ136" s="578">
        <v>0</v>
      </c>
      <c r="CK136" s="578">
        <v>0</v>
      </c>
      <c r="CL136" s="578">
        <v>0</v>
      </c>
      <c r="CM136" s="578">
        <v>0</v>
      </c>
      <c r="CN136" s="578">
        <v>0</v>
      </c>
      <c r="CO136" s="578">
        <v>0</v>
      </c>
      <c r="CP136" s="578">
        <v>0</v>
      </c>
      <c r="CQ136" s="578">
        <v>0</v>
      </c>
      <c r="CR136" s="578">
        <v>0</v>
      </c>
      <c r="CS136" s="578">
        <v>0</v>
      </c>
      <c r="CT136" s="578">
        <v>0</v>
      </c>
      <c r="CU136" s="578">
        <v>0</v>
      </c>
      <c r="CV136" s="578">
        <v>0</v>
      </c>
      <c r="CW136" s="578">
        <v>0</v>
      </c>
      <c r="CX136" s="578">
        <v>0</v>
      </c>
      <c r="CY136" s="578">
        <v>0</v>
      </c>
      <c r="CZ136" s="578">
        <v>0</v>
      </c>
      <c r="DA136" s="578">
        <v>0</v>
      </c>
      <c r="DB136" s="578">
        <v>0</v>
      </c>
      <c r="DC136" s="578">
        <v>0</v>
      </c>
      <c r="DD136" s="578">
        <v>0</v>
      </c>
      <c r="DE136" s="578">
        <v>0</v>
      </c>
      <c r="DF136" s="578">
        <v>0</v>
      </c>
      <c r="DG136" s="578">
        <v>0</v>
      </c>
      <c r="DH136" s="578">
        <v>0</v>
      </c>
      <c r="DI136" s="578">
        <v>0</v>
      </c>
      <c r="DJ136" s="578">
        <v>0</v>
      </c>
      <c r="DK136" s="578">
        <v>0</v>
      </c>
      <c r="DL136" s="578">
        <v>0</v>
      </c>
      <c r="DM136" s="578">
        <v>0</v>
      </c>
      <c r="DN136" s="578">
        <v>0</v>
      </c>
      <c r="DO136" s="578">
        <v>0</v>
      </c>
      <c r="DP136" s="578">
        <v>0</v>
      </c>
      <c r="DQ136" s="578">
        <v>0</v>
      </c>
      <c r="DR136" s="578">
        <v>0</v>
      </c>
      <c r="DS136" s="578">
        <v>0</v>
      </c>
      <c r="DT136" s="578">
        <v>0</v>
      </c>
      <c r="DU136" s="578">
        <v>0</v>
      </c>
      <c r="DV136" s="578">
        <v>0</v>
      </c>
      <c r="DW136" s="578">
        <v>0</v>
      </c>
      <c r="DX136" s="578">
        <v>0</v>
      </c>
      <c r="DY136" s="578">
        <v>0</v>
      </c>
      <c r="DZ136" s="578">
        <v>0</v>
      </c>
      <c r="EA136" s="578">
        <v>0</v>
      </c>
      <c r="EB136" s="578">
        <v>0</v>
      </c>
      <c r="EC136" s="578">
        <v>0</v>
      </c>
      <c r="ED136" s="578">
        <v>0</v>
      </c>
      <c r="EE136" s="578">
        <v>0</v>
      </c>
      <c r="EF136" s="578">
        <v>0</v>
      </c>
      <c r="EG136" s="578">
        <v>0</v>
      </c>
      <c r="EH136" s="578">
        <v>0</v>
      </c>
      <c r="EI136" s="578">
        <v>0</v>
      </c>
      <c r="EJ136" s="578">
        <v>0</v>
      </c>
      <c r="EK136" s="578">
        <v>0</v>
      </c>
      <c r="EL136" s="578">
        <v>0</v>
      </c>
      <c r="EM136" s="578">
        <v>0</v>
      </c>
      <c r="EN136" s="578">
        <v>0</v>
      </c>
      <c r="EO136" s="578">
        <v>0</v>
      </c>
      <c r="EP136" s="578">
        <v>0</v>
      </c>
      <c r="EQ136" s="578">
        <v>0</v>
      </c>
      <c r="ER136" s="578">
        <v>0</v>
      </c>
      <c r="ES136" s="578">
        <v>0</v>
      </c>
      <c r="ET136" s="578">
        <v>0</v>
      </c>
      <c r="EU136" s="578">
        <v>0</v>
      </c>
      <c r="EV136" s="578">
        <v>0</v>
      </c>
      <c r="EW136" s="578">
        <v>0</v>
      </c>
      <c r="EX136" s="578">
        <v>0</v>
      </c>
      <c r="EY136" s="578">
        <v>0</v>
      </c>
      <c r="EZ136" s="578">
        <v>0</v>
      </c>
      <c r="FA136" s="578">
        <v>0</v>
      </c>
      <c r="FB136" s="578">
        <v>0</v>
      </c>
      <c r="FC136" s="578">
        <v>0</v>
      </c>
      <c r="FD136" s="578">
        <v>0</v>
      </c>
      <c r="FE136" s="578">
        <v>0</v>
      </c>
      <c r="FF136" s="578">
        <v>0</v>
      </c>
      <c r="FG136" s="578">
        <v>0</v>
      </c>
      <c r="FH136" s="578">
        <v>0</v>
      </c>
      <c r="FI136" s="578">
        <v>0</v>
      </c>
      <c r="FJ136" s="578">
        <v>0</v>
      </c>
      <c r="FK136" s="578">
        <v>0</v>
      </c>
      <c r="FL136" s="578">
        <v>0</v>
      </c>
      <c r="FM136" s="578">
        <v>0</v>
      </c>
      <c r="FN136" s="578">
        <v>0</v>
      </c>
      <c r="FO136" s="578">
        <v>0</v>
      </c>
      <c r="FP136" s="578">
        <v>0</v>
      </c>
      <c r="FQ136" s="578">
        <v>0</v>
      </c>
      <c r="FR136" s="578">
        <v>0</v>
      </c>
      <c r="FS136" s="578">
        <v>0</v>
      </c>
      <c r="FT136" s="578">
        <v>0</v>
      </c>
      <c r="FU136" s="578">
        <v>0</v>
      </c>
      <c r="FV136" s="578">
        <v>0</v>
      </c>
      <c r="FW136" s="578">
        <v>0</v>
      </c>
      <c r="FX136" s="578">
        <v>0</v>
      </c>
      <c r="FY136" s="578">
        <v>0</v>
      </c>
      <c r="FZ136" s="578">
        <v>0</v>
      </c>
      <c r="GA136" s="578">
        <v>0</v>
      </c>
      <c r="GB136" s="578">
        <v>0</v>
      </c>
      <c r="GC136" s="578">
        <v>0</v>
      </c>
      <c r="GD136" s="578">
        <v>0</v>
      </c>
      <c r="GE136" s="578">
        <v>0</v>
      </c>
      <c r="GF136" s="578">
        <v>0</v>
      </c>
      <c r="GG136" s="579">
        <v>0</v>
      </c>
      <c r="GH136" s="572"/>
    </row>
    <row r="137" spans="1:190">
      <c r="A137" s="572" t="s">
        <v>9341</v>
      </c>
      <c r="B137" s="577" t="s">
        <v>618</v>
      </c>
      <c r="C137" s="573" t="s">
        <v>621</v>
      </c>
      <c r="D137" s="578">
        <v>0</v>
      </c>
      <c r="E137" s="578">
        <v>0</v>
      </c>
      <c r="F137" s="578">
        <v>0</v>
      </c>
      <c r="G137" s="578">
        <v>0</v>
      </c>
      <c r="H137" s="578">
        <v>0</v>
      </c>
      <c r="I137" s="578">
        <v>0</v>
      </c>
      <c r="J137" s="578">
        <v>0</v>
      </c>
      <c r="K137" s="578">
        <v>0</v>
      </c>
      <c r="L137" s="578">
        <v>0</v>
      </c>
      <c r="M137" s="578">
        <v>0</v>
      </c>
      <c r="N137" s="578">
        <v>0</v>
      </c>
      <c r="O137" s="578">
        <v>0</v>
      </c>
      <c r="P137" s="578">
        <v>0</v>
      </c>
      <c r="Q137" s="578">
        <v>0</v>
      </c>
      <c r="R137" s="578">
        <v>0</v>
      </c>
      <c r="S137" s="578">
        <v>0</v>
      </c>
      <c r="T137" s="578">
        <v>0</v>
      </c>
      <c r="U137" s="578">
        <v>0</v>
      </c>
      <c r="V137" s="578">
        <v>0</v>
      </c>
      <c r="W137" s="578">
        <v>0</v>
      </c>
      <c r="X137" s="578">
        <v>0</v>
      </c>
      <c r="Y137" s="578">
        <v>0</v>
      </c>
      <c r="Z137" s="578">
        <v>0</v>
      </c>
      <c r="AA137" s="578">
        <v>0</v>
      </c>
      <c r="AB137" s="578">
        <v>0</v>
      </c>
      <c r="AC137" s="578">
        <v>0</v>
      </c>
      <c r="AD137" s="578">
        <v>0</v>
      </c>
      <c r="AE137" s="578">
        <v>0</v>
      </c>
      <c r="AF137" s="578">
        <v>0</v>
      </c>
      <c r="AG137" s="578">
        <v>0</v>
      </c>
      <c r="AH137" s="578">
        <v>0</v>
      </c>
      <c r="AI137" s="578">
        <v>0</v>
      </c>
      <c r="AJ137" s="578">
        <v>0</v>
      </c>
      <c r="AK137" s="578">
        <v>0</v>
      </c>
      <c r="AL137" s="578">
        <v>0</v>
      </c>
      <c r="AM137" s="578">
        <v>0</v>
      </c>
      <c r="AN137" s="578">
        <v>0</v>
      </c>
      <c r="AO137" s="578">
        <v>0</v>
      </c>
      <c r="AP137" s="578">
        <v>0</v>
      </c>
      <c r="AQ137" s="578">
        <v>0</v>
      </c>
      <c r="AR137" s="578">
        <v>0</v>
      </c>
      <c r="AS137" s="578">
        <v>0</v>
      </c>
      <c r="AT137" s="578">
        <v>0</v>
      </c>
      <c r="AU137" s="578">
        <v>0</v>
      </c>
      <c r="AV137" s="578">
        <v>0</v>
      </c>
      <c r="AW137" s="578">
        <v>0</v>
      </c>
      <c r="AX137" s="578">
        <v>0</v>
      </c>
      <c r="AY137" s="578">
        <v>0</v>
      </c>
      <c r="AZ137" s="578">
        <v>0</v>
      </c>
      <c r="BA137" s="578">
        <v>0</v>
      </c>
      <c r="BB137" s="578">
        <v>0</v>
      </c>
      <c r="BC137" s="578">
        <v>0</v>
      </c>
      <c r="BD137" s="578">
        <v>0</v>
      </c>
      <c r="BE137" s="578">
        <v>0</v>
      </c>
      <c r="BF137" s="578">
        <v>0</v>
      </c>
      <c r="BG137" s="578">
        <v>0</v>
      </c>
      <c r="BH137" s="578">
        <v>0</v>
      </c>
      <c r="BI137" s="578">
        <v>0</v>
      </c>
      <c r="BJ137" s="578">
        <v>0</v>
      </c>
      <c r="BK137" s="578">
        <v>0</v>
      </c>
      <c r="BL137" s="578">
        <v>0</v>
      </c>
      <c r="BM137" s="578">
        <v>0</v>
      </c>
      <c r="BN137" s="578">
        <v>0</v>
      </c>
      <c r="BO137" s="578">
        <v>0</v>
      </c>
      <c r="BP137" s="578">
        <v>0</v>
      </c>
      <c r="BQ137" s="578">
        <v>0</v>
      </c>
      <c r="BR137" s="578">
        <v>0</v>
      </c>
      <c r="BS137" s="578">
        <v>0</v>
      </c>
      <c r="BT137" s="578">
        <v>0</v>
      </c>
      <c r="BU137" s="578">
        <v>0</v>
      </c>
      <c r="BV137" s="578">
        <v>0</v>
      </c>
      <c r="BW137" s="578">
        <v>0</v>
      </c>
      <c r="BX137" s="578">
        <v>0</v>
      </c>
      <c r="BY137" s="578">
        <v>0</v>
      </c>
      <c r="BZ137" s="578">
        <v>0</v>
      </c>
      <c r="CA137" s="578">
        <v>0</v>
      </c>
      <c r="CB137" s="578">
        <v>0</v>
      </c>
      <c r="CC137" s="578">
        <v>0</v>
      </c>
      <c r="CD137" s="578">
        <v>0</v>
      </c>
      <c r="CE137" s="578">
        <v>0</v>
      </c>
      <c r="CF137" s="578">
        <v>0</v>
      </c>
      <c r="CG137" s="578">
        <v>0</v>
      </c>
      <c r="CH137" s="578">
        <v>0</v>
      </c>
      <c r="CI137" s="578">
        <v>0</v>
      </c>
      <c r="CJ137" s="578">
        <v>0</v>
      </c>
      <c r="CK137" s="578">
        <v>0</v>
      </c>
      <c r="CL137" s="578">
        <v>0</v>
      </c>
      <c r="CM137" s="578">
        <v>0</v>
      </c>
      <c r="CN137" s="578">
        <v>0</v>
      </c>
      <c r="CO137" s="578">
        <v>0</v>
      </c>
      <c r="CP137" s="578">
        <v>0</v>
      </c>
      <c r="CQ137" s="578">
        <v>0</v>
      </c>
      <c r="CR137" s="578">
        <v>0</v>
      </c>
      <c r="CS137" s="578">
        <v>0</v>
      </c>
      <c r="CT137" s="578">
        <v>0</v>
      </c>
      <c r="CU137" s="578">
        <v>0</v>
      </c>
      <c r="CV137" s="578">
        <v>0</v>
      </c>
      <c r="CW137" s="578">
        <v>0</v>
      </c>
      <c r="CX137" s="578">
        <v>0</v>
      </c>
      <c r="CY137" s="578">
        <v>0</v>
      </c>
      <c r="CZ137" s="578">
        <v>0</v>
      </c>
      <c r="DA137" s="578">
        <v>0</v>
      </c>
      <c r="DB137" s="578">
        <v>0</v>
      </c>
      <c r="DC137" s="578">
        <v>0</v>
      </c>
      <c r="DD137" s="578">
        <v>0</v>
      </c>
      <c r="DE137" s="578">
        <v>0</v>
      </c>
      <c r="DF137" s="578">
        <v>0</v>
      </c>
      <c r="DG137" s="578">
        <v>0</v>
      </c>
      <c r="DH137" s="578">
        <v>0</v>
      </c>
      <c r="DI137" s="578">
        <v>0</v>
      </c>
      <c r="DJ137" s="578">
        <v>0</v>
      </c>
      <c r="DK137" s="578">
        <v>0</v>
      </c>
      <c r="DL137" s="578">
        <v>0</v>
      </c>
      <c r="DM137" s="578">
        <v>0</v>
      </c>
      <c r="DN137" s="578">
        <v>0</v>
      </c>
      <c r="DO137" s="578">
        <v>0</v>
      </c>
      <c r="DP137" s="578">
        <v>0</v>
      </c>
      <c r="DQ137" s="578">
        <v>0</v>
      </c>
      <c r="DR137" s="578">
        <v>0</v>
      </c>
      <c r="DS137" s="578">
        <v>0</v>
      </c>
      <c r="DT137" s="578">
        <v>0</v>
      </c>
      <c r="DU137" s="578">
        <v>0</v>
      </c>
      <c r="DV137" s="578">
        <v>0</v>
      </c>
      <c r="DW137" s="578">
        <v>0</v>
      </c>
      <c r="DX137" s="578">
        <v>0</v>
      </c>
      <c r="DY137" s="578">
        <v>0</v>
      </c>
      <c r="DZ137" s="578">
        <v>0</v>
      </c>
      <c r="EA137" s="578">
        <v>0</v>
      </c>
      <c r="EB137" s="578">
        <v>0</v>
      </c>
      <c r="EC137" s="578">
        <v>0</v>
      </c>
      <c r="ED137" s="578">
        <v>0</v>
      </c>
      <c r="EE137" s="578">
        <v>0</v>
      </c>
      <c r="EF137" s="578">
        <v>0</v>
      </c>
      <c r="EG137" s="578">
        <v>0</v>
      </c>
      <c r="EH137" s="578">
        <v>0</v>
      </c>
      <c r="EI137" s="578">
        <v>0</v>
      </c>
      <c r="EJ137" s="578">
        <v>0</v>
      </c>
      <c r="EK137" s="578">
        <v>0</v>
      </c>
      <c r="EL137" s="578">
        <v>0</v>
      </c>
      <c r="EM137" s="578">
        <v>0</v>
      </c>
      <c r="EN137" s="578">
        <v>0</v>
      </c>
      <c r="EO137" s="578">
        <v>0</v>
      </c>
      <c r="EP137" s="578">
        <v>0</v>
      </c>
      <c r="EQ137" s="578">
        <v>0</v>
      </c>
      <c r="ER137" s="578">
        <v>0</v>
      </c>
      <c r="ES137" s="578">
        <v>0</v>
      </c>
      <c r="ET137" s="578">
        <v>0</v>
      </c>
      <c r="EU137" s="578">
        <v>0</v>
      </c>
      <c r="EV137" s="578">
        <v>0</v>
      </c>
      <c r="EW137" s="578">
        <v>0</v>
      </c>
      <c r="EX137" s="578">
        <v>0</v>
      </c>
      <c r="EY137" s="578">
        <v>0</v>
      </c>
      <c r="EZ137" s="578">
        <v>0</v>
      </c>
      <c r="FA137" s="578">
        <v>0</v>
      </c>
      <c r="FB137" s="578">
        <v>0</v>
      </c>
      <c r="FC137" s="578">
        <v>0</v>
      </c>
      <c r="FD137" s="578">
        <v>0</v>
      </c>
      <c r="FE137" s="578">
        <v>0</v>
      </c>
      <c r="FF137" s="578">
        <v>0</v>
      </c>
      <c r="FG137" s="578">
        <v>0</v>
      </c>
      <c r="FH137" s="578">
        <v>0</v>
      </c>
      <c r="FI137" s="578">
        <v>0</v>
      </c>
      <c r="FJ137" s="578">
        <v>0</v>
      </c>
      <c r="FK137" s="578">
        <v>0</v>
      </c>
      <c r="FL137" s="578">
        <v>0</v>
      </c>
      <c r="FM137" s="578">
        <v>0</v>
      </c>
      <c r="FN137" s="578">
        <v>0</v>
      </c>
      <c r="FO137" s="578">
        <v>0</v>
      </c>
      <c r="FP137" s="578">
        <v>0</v>
      </c>
      <c r="FQ137" s="578">
        <v>0</v>
      </c>
      <c r="FR137" s="578">
        <v>0</v>
      </c>
      <c r="FS137" s="578">
        <v>0</v>
      </c>
      <c r="FT137" s="578">
        <v>0</v>
      </c>
      <c r="FU137" s="578">
        <v>0</v>
      </c>
      <c r="FV137" s="578">
        <v>0</v>
      </c>
      <c r="FW137" s="578">
        <v>0</v>
      </c>
      <c r="FX137" s="578">
        <v>0</v>
      </c>
      <c r="FY137" s="578">
        <v>0</v>
      </c>
      <c r="FZ137" s="578">
        <v>0</v>
      </c>
      <c r="GA137" s="578">
        <v>0</v>
      </c>
      <c r="GB137" s="578">
        <v>0</v>
      </c>
      <c r="GC137" s="578">
        <v>0</v>
      </c>
      <c r="GD137" s="578">
        <v>0</v>
      </c>
      <c r="GE137" s="578">
        <v>0</v>
      </c>
      <c r="GF137" s="578">
        <v>0</v>
      </c>
      <c r="GG137" s="579">
        <v>0</v>
      </c>
      <c r="GH137" s="572"/>
    </row>
    <row r="138" spans="1:190">
      <c r="A138" s="572" t="s">
        <v>9342</v>
      </c>
      <c r="B138" s="577" t="s">
        <v>9460</v>
      </c>
      <c r="C138" s="573" t="s">
        <v>9097</v>
      </c>
      <c r="D138" s="578">
        <v>6.0474872801928054E-3</v>
      </c>
      <c r="E138" s="578">
        <v>4.8474479612204162E-3</v>
      </c>
      <c r="F138" s="578">
        <v>3.4410426830705412E-3</v>
      </c>
      <c r="G138" s="578">
        <v>2.7964205816554809E-4</v>
      </c>
      <c r="H138" s="578">
        <v>3.5714285714285712E-2</v>
      </c>
      <c r="I138" s="578">
        <v>3.1601237986642779E-2</v>
      </c>
      <c r="J138" s="578">
        <v>6.3296236048253317E-3</v>
      </c>
      <c r="K138" s="578">
        <v>2.2699016020745266E-2</v>
      </c>
      <c r="L138" s="578">
        <v>1.5060240963855423E-4</v>
      </c>
      <c r="M138" s="578">
        <v>1.0905125408942203E-3</v>
      </c>
      <c r="N138" s="578">
        <v>2.4199288256227757E-2</v>
      </c>
      <c r="O138" s="578">
        <v>4.9268634492423578E-3</v>
      </c>
      <c r="P138" s="578">
        <v>3.3149171270718231E-2</v>
      </c>
      <c r="Q138" s="578">
        <v>0</v>
      </c>
      <c r="R138" s="578">
        <v>2.5493188626985474E-2</v>
      </c>
      <c r="S138" s="578">
        <v>5.6022408963585436E-2</v>
      </c>
      <c r="T138" s="578">
        <v>9.8116079424490632E-3</v>
      </c>
      <c r="U138" s="578">
        <v>1.440266248422019E-2</v>
      </c>
      <c r="V138" s="578">
        <v>5.5805902891760423E-3</v>
      </c>
      <c r="W138" s="578">
        <v>1.0919519099966911E-2</v>
      </c>
      <c r="X138" s="578">
        <v>1.220698126727403E-2</v>
      </c>
      <c r="Y138" s="578">
        <v>1.1582265532056771E-2</v>
      </c>
      <c r="Z138" s="578">
        <v>1.3997858045882912E-2</v>
      </c>
      <c r="AA138" s="578">
        <v>1.2167604467167461E-2</v>
      </c>
      <c r="AB138" s="578">
        <v>1.4775111081746254E-2</v>
      </c>
      <c r="AC138" s="578">
        <v>7.1866632115401225E-3</v>
      </c>
      <c r="AD138" s="578">
        <v>0</v>
      </c>
      <c r="AE138" s="578">
        <v>2.7940513744930149E-2</v>
      </c>
      <c r="AF138" s="578">
        <v>2.3894409466737467E-2</v>
      </c>
      <c r="AG138" s="578">
        <v>0</v>
      </c>
      <c r="AH138" s="578">
        <v>4.7435403008098724E-2</v>
      </c>
      <c r="AI138" s="578">
        <v>2.6394921483461412E-2</v>
      </c>
      <c r="AJ138" s="578">
        <v>1.8665125686217855E-2</v>
      </c>
      <c r="AK138" s="578">
        <v>3.4048391119980044E-2</v>
      </c>
      <c r="AL138" s="578">
        <v>1.0520684736091298E-2</v>
      </c>
      <c r="AM138" s="578">
        <v>1.3029502927333257E-2</v>
      </c>
      <c r="AN138" s="578">
        <v>2.5707384403036576E-2</v>
      </c>
      <c r="AO138" s="578">
        <v>1.195064287333614E-2</v>
      </c>
      <c r="AP138" s="578">
        <v>0.11340533672172808</v>
      </c>
      <c r="AQ138" s="578">
        <v>0.20981958122982702</v>
      </c>
      <c r="AR138" s="578">
        <v>1.3837235386486263E-2</v>
      </c>
      <c r="AS138" s="578">
        <v>1.0284502562290158E-2</v>
      </c>
      <c r="AT138" s="578">
        <v>1.9977204434773597E-2</v>
      </c>
      <c r="AU138" s="578">
        <v>2.3003550334582221E-2</v>
      </c>
      <c r="AV138" s="578">
        <v>5.0386435803726558E-2</v>
      </c>
      <c r="AW138" s="578">
        <v>0.35922330097087379</v>
      </c>
      <c r="AX138" s="578">
        <v>0.12895686808062409</v>
      </c>
      <c r="AY138" s="578">
        <v>4.2816365366317791E-3</v>
      </c>
      <c r="AZ138" s="578">
        <v>3.9316635395709475E-2</v>
      </c>
      <c r="BA138" s="578">
        <v>0.11592392058864362</v>
      </c>
      <c r="BB138" s="578">
        <v>4.5767373776723214E-2</v>
      </c>
      <c r="BC138" s="578">
        <v>1.950730244506535E-2</v>
      </c>
      <c r="BD138" s="578">
        <v>9.508314807685142E-2</v>
      </c>
      <c r="BE138" s="578">
        <v>9.1160550684142912E-3</v>
      </c>
      <c r="BF138" s="578">
        <v>1.2496902874132805E-2</v>
      </c>
      <c r="BG138" s="578">
        <v>1.7402597402597402E-2</v>
      </c>
      <c r="BH138" s="578">
        <v>4.0262738415874234E-3</v>
      </c>
      <c r="BI138" s="578">
        <v>3.122797506099214E-2</v>
      </c>
      <c r="BJ138" s="578">
        <v>1.9389610764491694E-2</v>
      </c>
      <c r="BK138" s="578">
        <v>1.0307573586153676E-2</v>
      </c>
      <c r="BL138" s="578">
        <v>1.0821028061095042E-2</v>
      </c>
      <c r="BM138" s="578">
        <v>2.8002390783118874E-2</v>
      </c>
      <c r="BN138" s="578">
        <v>3.1950617283950621E-2</v>
      </c>
      <c r="BO138" s="578">
        <v>2.227137076134092E-2</v>
      </c>
      <c r="BP138" s="578">
        <v>9.4421847762928522E-3</v>
      </c>
      <c r="BQ138" s="578">
        <v>8.3180326044622489E-3</v>
      </c>
      <c r="BR138" s="578">
        <v>2.892257796080356E-2</v>
      </c>
      <c r="BS138" s="578">
        <v>7.2781897083666308E-2</v>
      </c>
      <c r="BT138" s="578">
        <v>3.5330540885084687E-2</v>
      </c>
      <c r="BU138" s="578">
        <v>6.450864369416405E-2</v>
      </c>
      <c r="BV138" s="578">
        <v>4.1234334995283652E-2</v>
      </c>
      <c r="BW138" s="578">
        <v>4.5625358464033032E-2</v>
      </c>
      <c r="BX138" s="578">
        <v>0</v>
      </c>
      <c r="BY138" s="578">
        <v>4.1192250521753494E-2</v>
      </c>
      <c r="BZ138" s="578">
        <v>1.4928173685575686E-2</v>
      </c>
      <c r="CA138" s="578">
        <v>5.7917316081122189E-2</v>
      </c>
      <c r="CB138" s="578">
        <v>0.12864234301315464</v>
      </c>
      <c r="CC138" s="578">
        <v>1.9418376254910521E-2</v>
      </c>
      <c r="CD138" s="578">
        <v>5.6539171593783293E-2</v>
      </c>
      <c r="CE138" s="578">
        <v>0</v>
      </c>
      <c r="CF138" s="578">
        <v>2.4790778462024318E-2</v>
      </c>
      <c r="CG138" s="578">
        <v>3.1118330519655547E-2</v>
      </c>
      <c r="CH138" s="578">
        <v>1.056553990718989E-2</v>
      </c>
      <c r="CI138" s="578">
        <v>1.4524833984132117E-2</v>
      </c>
      <c r="CJ138" s="578">
        <v>9.2688218702538516E-3</v>
      </c>
      <c r="CK138" s="578">
        <v>2.56185260270104E-2</v>
      </c>
      <c r="CL138" s="578">
        <v>9.1673410664508594E-3</v>
      </c>
      <c r="CM138" s="578">
        <v>1.0803238597241019E-2</v>
      </c>
      <c r="CN138" s="578">
        <v>7.0436125048243918E-3</v>
      </c>
      <c r="CO138" s="578">
        <v>9.7369320122992833E-3</v>
      </c>
      <c r="CP138" s="578">
        <v>1.2902706617666782E-2</v>
      </c>
      <c r="CQ138" s="578">
        <v>5.2239281391348669E-3</v>
      </c>
      <c r="CR138" s="578">
        <v>6.4278248751596795E-3</v>
      </c>
      <c r="CS138" s="578">
        <v>1.288281161713188E-2</v>
      </c>
      <c r="CT138" s="578">
        <v>7.4071913913271708E-3</v>
      </c>
      <c r="CU138" s="578">
        <v>9.1417699885526331E-3</v>
      </c>
      <c r="CV138" s="578">
        <v>1.2805660014992597E-2</v>
      </c>
      <c r="CW138" s="578">
        <v>1.0298821877194352E-2</v>
      </c>
      <c r="CX138" s="578">
        <v>1.0458160220442313E-2</v>
      </c>
      <c r="CY138" s="578">
        <v>1.4763256708489788E-2</v>
      </c>
      <c r="CZ138" s="578">
        <v>2.5960170697012803E-3</v>
      </c>
      <c r="DA138" s="578">
        <v>7.2604998822042794E-3</v>
      </c>
      <c r="DB138" s="578">
        <v>8.6641035360372556E-3</v>
      </c>
      <c r="DC138" s="578">
        <v>2.1029731689630168E-2</v>
      </c>
      <c r="DD138" s="578">
        <v>3.3816425120772949E-3</v>
      </c>
      <c r="DE138" s="578">
        <v>2.6114452904937576E-2</v>
      </c>
      <c r="DF138" s="578">
        <v>2.3674015496445402E-2</v>
      </c>
      <c r="DG138" s="578">
        <v>7.62634204592427E-3</v>
      </c>
      <c r="DH138" s="578">
        <v>6.5699301095365932E-3</v>
      </c>
      <c r="DI138" s="578">
        <v>3.2454629752285071E-3</v>
      </c>
      <c r="DJ138" s="578">
        <v>6.1871808570115169E-3</v>
      </c>
      <c r="DK138" s="578">
        <v>1.311132425099718E-2</v>
      </c>
      <c r="DL138" s="578">
        <v>3.4241559556576853E-3</v>
      </c>
      <c r="DM138" s="578">
        <v>6.8007012781359571E-3</v>
      </c>
      <c r="DN138" s="578">
        <v>3.2846414128909797E-3</v>
      </c>
      <c r="DO138" s="578">
        <v>0</v>
      </c>
      <c r="DP138" s="578">
        <v>4.7984224364592465E-3</v>
      </c>
      <c r="DQ138" s="578">
        <v>5.1611784822195427E-3</v>
      </c>
      <c r="DR138" s="578">
        <v>1.1144123325630483E-2</v>
      </c>
      <c r="DS138" s="578">
        <v>1.7802889484277051E-2</v>
      </c>
      <c r="DT138" s="578">
        <v>1.200533570475767E-2</v>
      </c>
      <c r="DU138" s="578">
        <v>1.5352274175054147E-2</v>
      </c>
      <c r="DV138" s="578">
        <v>1.3771870921967844E-2</v>
      </c>
      <c r="DW138" s="578">
        <v>5.8665857482425527E-3</v>
      </c>
      <c r="DX138" s="578">
        <v>5.3261582402226075E-3</v>
      </c>
      <c r="DY138" s="578">
        <v>2.7303916143618281E-2</v>
      </c>
      <c r="DZ138" s="578">
        <v>4.4511210324310393E-3</v>
      </c>
      <c r="EA138" s="578">
        <v>8.52526304777041E-4</v>
      </c>
      <c r="EB138" s="578">
        <v>1.6353386338220201E-3</v>
      </c>
      <c r="EC138" s="578">
        <v>1.7248392137913741E-3</v>
      </c>
      <c r="ED138" s="578">
        <v>3.6137167461171766E-3</v>
      </c>
      <c r="EE138" s="578">
        <v>0.1141586892748708</v>
      </c>
      <c r="EF138" s="578">
        <v>1.7898720374587087E-2</v>
      </c>
      <c r="EG138" s="578">
        <v>0.131834582292534</v>
      </c>
      <c r="EH138" s="578">
        <v>4.3301384451544196E-2</v>
      </c>
      <c r="EI138" s="578">
        <v>8.8559931660821864E-2</v>
      </c>
      <c r="EJ138" s="578">
        <v>4.5377050123261292E-3</v>
      </c>
      <c r="EK138" s="578">
        <v>3.4588337144501831E-2</v>
      </c>
      <c r="EL138" s="578">
        <v>3.7927844588344127E-3</v>
      </c>
      <c r="EM138" s="578">
        <v>4.8883206738362037E-3</v>
      </c>
      <c r="EN138" s="578">
        <v>1.4050911259364168E-2</v>
      </c>
      <c r="EO138" s="578">
        <v>5.1529232399595802E-3</v>
      </c>
      <c r="EP138" s="578">
        <v>9.3274185063445104E-7</v>
      </c>
      <c r="EQ138" s="578">
        <v>5.7134819464545364E-2</v>
      </c>
      <c r="ER138" s="578">
        <v>5.4411764705882354E-2</v>
      </c>
      <c r="ES138" s="578">
        <v>2.5515237699954411E-3</v>
      </c>
      <c r="ET138" s="578">
        <v>4.7688391672883338E-3</v>
      </c>
      <c r="EU138" s="578">
        <v>3.5201764781807731E-5</v>
      </c>
      <c r="EV138" s="578">
        <v>1.4900037721614484E-3</v>
      </c>
      <c r="EW138" s="578">
        <v>1.6139695873682574E-3</v>
      </c>
      <c r="EX138" s="578">
        <v>2.7560420922792274E-3</v>
      </c>
      <c r="EY138" s="578">
        <v>3.0683955260813619E-3</v>
      </c>
      <c r="EZ138" s="578">
        <v>4.731279983313634E-2</v>
      </c>
      <c r="FA138" s="578">
        <v>2.0747794181881717E-3</v>
      </c>
      <c r="FB138" s="578">
        <v>9.3869001642623209E-3</v>
      </c>
      <c r="FC138" s="578">
        <v>5.673943173943174E-3</v>
      </c>
      <c r="FD138" s="578">
        <v>7.2651675441617871E-3</v>
      </c>
      <c r="FE138" s="578">
        <v>5.4776695768972462E-3</v>
      </c>
      <c r="FF138" s="578">
        <v>2.1462807911661204E-3</v>
      </c>
      <c r="FG138" s="578">
        <v>3.7578288100208767E-3</v>
      </c>
      <c r="FH138" s="578">
        <v>4.0318647374410661E-3</v>
      </c>
      <c r="FI138" s="578">
        <v>1.090486285241146E-2</v>
      </c>
      <c r="FJ138" s="578">
        <v>8.5450517407325149E-3</v>
      </c>
      <c r="FK138" s="578">
        <v>1.8408906722037099E-2</v>
      </c>
      <c r="FL138" s="578">
        <v>4.5922634605331941E-2</v>
      </c>
      <c r="FM138" s="578">
        <v>1.723826557065708E-2</v>
      </c>
      <c r="FN138" s="578">
        <v>4.5271601594964843E-3</v>
      </c>
      <c r="FO138" s="578">
        <v>7.2205472920348198E-3</v>
      </c>
      <c r="FP138" s="578">
        <v>1.15337345980525E-2</v>
      </c>
      <c r="FQ138" s="578">
        <v>1.6307947480616918E-2</v>
      </c>
      <c r="FR138" s="578">
        <v>1.1820021898440728E-2</v>
      </c>
      <c r="FS138" s="578">
        <v>3.0330212479677075E-3</v>
      </c>
      <c r="FT138" s="578">
        <v>1.2606807676145118E-3</v>
      </c>
      <c r="FU138" s="578">
        <v>1.0533177794551568E-2</v>
      </c>
      <c r="FV138" s="578">
        <v>4.9641824808344852E-3</v>
      </c>
      <c r="FW138" s="578">
        <v>3.2009570538261943E-3</v>
      </c>
      <c r="FX138" s="578">
        <v>3.6157545995762E-3</v>
      </c>
      <c r="FY138" s="578">
        <v>3.9040221067260035E-3</v>
      </c>
      <c r="FZ138" s="578">
        <v>3.8738235383289368E-2</v>
      </c>
      <c r="GA138" s="578">
        <v>1.9228036012134738E-2</v>
      </c>
      <c r="GB138" s="578">
        <v>2.70258797560596E-2</v>
      </c>
      <c r="GC138" s="578">
        <v>2.8194500907261062E-2</v>
      </c>
      <c r="GD138" s="578">
        <v>1.8317934043346397E-2</v>
      </c>
      <c r="GE138" s="578">
        <v>0</v>
      </c>
      <c r="GF138" s="578">
        <v>4.3835907233455394E-3</v>
      </c>
      <c r="GG138" s="579">
        <v>1.8449392857623221E-2</v>
      </c>
      <c r="GH138" s="572"/>
    </row>
    <row r="139" spans="1:190">
      <c r="A139" s="572" t="s">
        <v>9343</v>
      </c>
      <c r="B139" s="577" t="s">
        <v>9461</v>
      </c>
      <c r="C139" s="573" t="s">
        <v>627</v>
      </c>
      <c r="D139" s="578">
        <v>0</v>
      </c>
      <c r="E139" s="578">
        <v>0</v>
      </c>
      <c r="F139" s="578">
        <v>0</v>
      </c>
      <c r="G139" s="578">
        <v>0</v>
      </c>
      <c r="H139" s="578">
        <v>0</v>
      </c>
      <c r="I139" s="578">
        <v>0</v>
      </c>
      <c r="J139" s="578">
        <v>0</v>
      </c>
      <c r="K139" s="578">
        <v>1.7761358388689568E-3</v>
      </c>
      <c r="L139" s="578">
        <v>0</v>
      </c>
      <c r="M139" s="578">
        <v>0</v>
      </c>
      <c r="N139" s="578">
        <v>1.4234875444839859E-3</v>
      </c>
      <c r="O139" s="578">
        <v>0</v>
      </c>
      <c r="P139" s="578">
        <v>0</v>
      </c>
      <c r="Q139" s="578">
        <v>0</v>
      </c>
      <c r="R139" s="578">
        <v>1.1305183426601097E-4</v>
      </c>
      <c r="S139" s="578">
        <v>0</v>
      </c>
      <c r="T139" s="578">
        <v>9.217859685149405E-4</v>
      </c>
      <c r="U139" s="578">
        <v>9.1809800696224318E-4</v>
      </c>
      <c r="V139" s="578">
        <v>3.6557342803425946E-4</v>
      </c>
      <c r="W139" s="578">
        <v>5.3831635967008587E-3</v>
      </c>
      <c r="X139" s="578">
        <v>1.689016275975023E-3</v>
      </c>
      <c r="Y139" s="578">
        <v>8.1988951950836934E-3</v>
      </c>
      <c r="Z139" s="578">
        <v>4.3671169780731536E-3</v>
      </c>
      <c r="AA139" s="578">
        <v>3.5560252492073921E-3</v>
      </c>
      <c r="AB139" s="578">
        <v>3.0722981120232568E-3</v>
      </c>
      <c r="AC139" s="578">
        <v>8.81057268722467E-4</v>
      </c>
      <c r="AD139" s="578">
        <v>0</v>
      </c>
      <c r="AE139" s="578">
        <v>1.216764308246958E-2</v>
      </c>
      <c r="AF139" s="578">
        <v>5.0823029659409847E-3</v>
      </c>
      <c r="AG139" s="578">
        <v>0</v>
      </c>
      <c r="AH139" s="578">
        <v>3.5865792518318548E-2</v>
      </c>
      <c r="AI139" s="578">
        <v>3.4079518877380556E-3</v>
      </c>
      <c r="AJ139" s="578">
        <v>1.9069633054030627E-3</v>
      </c>
      <c r="AK139" s="578">
        <v>2.4943876278373661E-4</v>
      </c>
      <c r="AL139" s="578">
        <v>1.6940085592011412E-3</v>
      </c>
      <c r="AM139" s="578">
        <v>0</v>
      </c>
      <c r="AN139" s="578">
        <v>1.7253278122843341E-4</v>
      </c>
      <c r="AO139" s="578">
        <v>3.5625222657641609E-4</v>
      </c>
      <c r="AP139" s="578">
        <v>1.588310038119441E-4</v>
      </c>
      <c r="AQ139" s="578">
        <v>7.4484813374162042E-4</v>
      </c>
      <c r="AR139" s="578">
        <v>1.3341361763421055E-3</v>
      </c>
      <c r="AS139" s="578">
        <v>6.9505801967367613E-4</v>
      </c>
      <c r="AT139" s="578">
        <v>9.7399233240078747E-4</v>
      </c>
      <c r="AU139" s="578">
        <v>7.7714697076291292E-4</v>
      </c>
      <c r="AV139" s="578">
        <v>1.4019531484033312E-2</v>
      </c>
      <c r="AW139" s="578">
        <v>1.5019041999678163E-3</v>
      </c>
      <c r="AX139" s="578">
        <v>2.3151449982993012E-3</v>
      </c>
      <c r="AY139" s="578">
        <v>0</v>
      </c>
      <c r="AZ139" s="578">
        <v>6.2165155864999885E-4</v>
      </c>
      <c r="BA139" s="578">
        <v>5.5532417048452032E-4</v>
      </c>
      <c r="BB139" s="578">
        <v>2.7151137396560069E-3</v>
      </c>
      <c r="BC139" s="578">
        <v>1.0439374865669809E-3</v>
      </c>
      <c r="BD139" s="578">
        <v>1.1301680348737564E-3</v>
      </c>
      <c r="BE139" s="578">
        <v>2.9064665370223462E-3</v>
      </c>
      <c r="BF139" s="578">
        <v>8.3932111000991072E-3</v>
      </c>
      <c r="BG139" s="578">
        <v>6.4564007421150278E-4</v>
      </c>
      <c r="BH139" s="578">
        <v>5.1530808552740061E-4</v>
      </c>
      <c r="BI139" s="578">
        <v>1.8433179723502304E-3</v>
      </c>
      <c r="BJ139" s="578">
        <v>2.4783402955039359E-3</v>
      </c>
      <c r="BK139" s="578">
        <v>0</v>
      </c>
      <c r="BL139" s="578">
        <v>7.611508601004719E-4</v>
      </c>
      <c r="BM139" s="578">
        <v>4.5365338682825064E-3</v>
      </c>
      <c r="BN139" s="578">
        <v>9.0864197530864197E-3</v>
      </c>
      <c r="BO139" s="578">
        <v>3.4961995731159637E-3</v>
      </c>
      <c r="BP139" s="578">
        <v>5.0842533410807667E-4</v>
      </c>
      <c r="BQ139" s="578">
        <v>3.0601457742168806E-4</v>
      </c>
      <c r="BR139" s="578">
        <v>7.9587765248098317E-3</v>
      </c>
      <c r="BS139" s="578">
        <v>4.5520296994648834E-4</v>
      </c>
      <c r="BT139" s="578">
        <v>1.8940083773447459E-2</v>
      </c>
      <c r="BU139" s="578">
        <v>1.0587075066713076E-2</v>
      </c>
      <c r="BV139" s="578">
        <v>2.1560436598841125E-3</v>
      </c>
      <c r="BW139" s="578">
        <v>1.5313245450253362E-3</v>
      </c>
      <c r="BX139" s="578">
        <v>0</v>
      </c>
      <c r="BY139" s="578">
        <v>4.0564144399345371E-3</v>
      </c>
      <c r="BZ139" s="578">
        <v>7.1964282757821423E-3</v>
      </c>
      <c r="CA139" s="578">
        <v>1.0594994308150165E-2</v>
      </c>
      <c r="CB139" s="578">
        <v>1.6505336311739886E-2</v>
      </c>
      <c r="CC139" s="578">
        <v>8.3478830205150592E-4</v>
      </c>
      <c r="CD139" s="578">
        <v>6.4249058629299192E-4</v>
      </c>
      <c r="CE139" s="578">
        <v>0</v>
      </c>
      <c r="CF139" s="578">
        <v>2.6843518079898944E-3</v>
      </c>
      <c r="CG139" s="578">
        <v>3.9864376001929377E-3</v>
      </c>
      <c r="CH139" s="578">
        <v>2.360755904782845E-3</v>
      </c>
      <c r="CI139" s="578">
        <v>2.163802322978586E-3</v>
      </c>
      <c r="CJ139" s="578">
        <v>4.9728791494901281E-3</v>
      </c>
      <c r="CK139" s="578">
        <v>4.2386557334059532E-3</v>
      </c>
      <c r="CL139" s="578">
        <v>1.3293169079519227E-3</v>
      </c>
      <c r="CM139" s="578">
        <v>1.5338224469929008E-3</v>
      </c>
      <c r="CN139" s="578">
        <v>1.0372443072172906E-3</v>
      </c>
      <c r="CO139" s="578">
        <v>1.8790570550051248E-3</v>
      </c>
      <c r="CP139" s="578">
        <v>1.7525505870150308E-3</v>
      </c>
      <c r="CQ139" s="578">
        <v>2.166018984519335E-3</v>
      </c>
      <c r="CR139" s="578">
        <v>9.8130298455463951E-4</v>
      </c>
      <c r="CS139" s="578">
        <v>1.1865747542095153E-3</v>
      </c>
      <c r="CT139" s="578">
        <v>8.1654078329590853E-4</v>
      </c>
      <c r="CU139" s="578">
        <v>3.7889170146558534E-4</v>
      </c>
      <c r="CV139" s="578">
        <v>1.1894952698977158E-3</v>
      </c>
      <c r="CW139" s="578">
        <v>6.6318171178903016E-4</v>
      </c>
      <c r="CX139" s="578">
        <v>1.3349323967390529E-3</v>
      </c>
      <c r="CY139" s="578">
        <v>1.0532100009158349E-3</v>
      </c>
      <c r="CZ139" s="578">
        <v>1.0135135135135136E-3</v>
      </c>
      <c r="DA139" s="578">
        <v>2.6557580690068751E-3</v>
      </c>
      <c r="DB139" s="578">
        <v>1.6786700601072182E-3</v>
      </c>
      <c r="DC139" s="578">
        <v>1.4503263234227702E-3</v>
      </c>
      <c r="DD139" s="578">
        <v>4.8309178743961351E-4</v>
      </c>
      <c r="DE139" s="578">
        <v>2.1035128209787924E-3</v>
      </c>
      <c r="DF139" s="578">
        <v>1.5376627526160237E-3</v>
      </c>
      <c r="DG139" s="578">
        <v>9.7543692356817451E-4</v>
      </c>
      <c r="DH139" s="578">
        <v>1.1327465706097575E-4</v>
      </c>
      <c r="DI139" s="578">
        <v>1.6558484567492384E-4</v>
      </c>
      <c r="DJ139" s="578">
        <v>3.4787362248257526E-4</v>
      </c>
      <c r="DK139" s="578">
        <v>2.9691943070712244E-3</v>
      </c>
      <c r="DL139" s="578">
        <v>1.1363349410368425E-3</v>
      </c>
      <c r="DM139" s="578">
        <v>3.9588281868566902E-4</v>
      </c>
      <c r="DN139" s="578">
        <v>3.5487331847817115E-4</v>
      </c>
      <c r="DO139" s="578">
        <v>0</v>
      </c>
      <c r="DP139" s="578">
        <v>5.3242769500438216E-3</v>
      </c>
      <c r="DQ139" s="578">
        <v>9.2980009298000927E-4</v>
      </c>
      <c r="DR139" s="578">
        <v>3.2078535724884873E-3</v>
      </c>
      <c r="DS139" s="578">
        <v>3.8970861589344547E-3</v>
      </c>
      <c r="DT139" s="578">
        <v>9.4759783947692602E-5</v>
      </c>
      <c r="DU139" s="578">
        <v>3.1293795387947508E-3</v>
      </c>
      <c r="DV139" s="578">
        <v>5.5492911350707597E-3</v>
      </c>
      <c r="DW139" s="578">
        <v>6.5746219592373442E-4</v>
      </c>
      <c r="DX139" s="578">
        <v>8.7645641927713792E-4</v>
      </c>
      <c r="DY139" s="578">
        <v>3.146195317070086E-3</v>
      </c>
      <c r="DZ139" s="578">
        <v>1.0121542718467859E-3</v>
      </c>
      <c r="EA139" s="578">
        <v>7.8574878743158084E-4</v>
      </c>
      <c r="EB139" s="578">
        <v>1.0149057095148368E-3</v>
      </c>
      <c r="EC139" s="578">
        <v>5.2601479569524168E-4</v>
      </c>
      <c r="ED139" s="578">
        <v>5.3821313240043052E-4</v>
      </c>
      <c r="EE139" s="578">
        <v>1.57901690484467E-3</v>
      </c>
      <c r="EF139" s="578">
        <v>6.465475770501267E-3</v>
      </c>
      <c r="EG139" s="578">
        <v>0.1260061060227588</v>
      </c>
      <c r="EH139" s="578">
        <v>1.5867944621938232E-3</v>
      </c>
      <c r="EI139" s="578">
        <v>3.6698588256451757E-3</v>
      </c>
      <c r="EJ139" s="578">
        <v>7.3156899980856974E-4</v>
      </c>
      <c r="EK139" s="578">
        <v>7.6680408025437E-3</v>
      </c>
      <c r="EL139" s="578">
        <v>2.3425143982572886E-4</v>
      </c>
      <c r="EM139" s="578">
        <v>8.9652196973595154E-4</v>
      </c>
      <c r="EN139" s="578">
        <v>1.6856350015755181E-3</v>
      </c>
      <c r="EO139" s="578">
        <v>7.6821103348021264E-5</v>
      </c>
      <c r="EP139" s="578">
        <v>0</v>
      </c>
      <c r="EQ139" s="578">
        <v>1.999735628171191E-4</v>
      </c>
      <c r="ER139" s="578">
        <v>4.9019607843137254E-4</v>
      </c>
      <c r="ES139" s="578">
        <v>7.2123071898537807E-4</v>
      </c>
      <c r="ET139" s="578">
        <v>5.445937476397625E-4</v>
      </c>
      <c r="EU139" s="578">
        <v>3.5201764781807731E-5</v>
      </c>
      <c r="EV139" s="578">
        <v>1.9049415314975481E-3</v>
      </c>
      <c r="EW139" s="578">
        <v>6.8058958503480733E-5</v>
      </c>
      <c r="EX139" s="578">
        <v>4.4327949735959604E-4</v>
      </c>
      <c r="EY139" s="578">
        <v>5.4439275462733836E-4</v>
      </c>
      <c r="EZ139" s="578">
        <v>1.2167141764583188E-4</v>
      </c>
      <c r="FA139" s="578">
        <v>1.747182667947934E-4</v>
      </c>
      <c r="FB139" s="578">
        <v>9.1069459013684031E-4</v>
      </c>
      <c r="FC139" s="578">
        <v>8.2293832293832295E-4</v>
      </c>
      <c r="FD139" s="578">
        <v>7.085568075579393E-4</v>
      </c>
      <c r="FE139" s="578">
        <v>5.8764271323035594E-4</v>
      </c>
      <c r="FF139" s="578">
        <v>6.8256279577721154E-5</v>
      </c>
      <c r="FG139" s="578">
        <v>7.3068893528183717E-4</v>
      </c>
      <c r="FH139" s="578">
        <v>4.8772557307754836E-4</v>
      </c>
      <c r="FI139" s="578">
        <v>8.1331368069950845E-4</v>
      </c>
      <c r="FJ139" s="578">
        <v>3.2143609720537399E-3</v>
      </c>
      <c r="FK139" s="578">
        <v>5.0272666169769902E-3</v>
      </c>
      <c r="FL139" s="578">
        <v>3.4239414532148457E-3</v>
      </c>
      <c r="FM139" s="578">
        <v>4.5090968407193585E-3</v>
      </c>
      <c r="FN139" s="578">
        <v>8.4043814842137701E-5</v>
      </c>
      <c r="FO139" s="578">
        <v>1.7790184749558464E-3</v>
      </c>
      <c r="FP139" s="578">
        <v>3.4191535625374215E-3</v>
      </c>
      <c r="FQ139" s="578">
        <v>6.2059254064463706E-3</v>
      </c>
      <c r="FR139" s="578">
        <v>5.3718882852680462E-3</v>
      </c>
      <c r="FS139" s="578">
        <v>1.5641643774177271E-3</v>
      </c>
      <c r="FT139" s="578">
        <v>2.5939933490010531E-5</v>
      </c>
      <c r="FU139" s="578">
        <v>4.1172030467302544E-4</v>
      </c>
      <c r="FV139" s="578">
        <v>2.3040509404717021E-4</v>
      </c>
      <c r="FW139" s="578">
        <v>5.3349284230436579E-4</v>
      </c>
      <c r="FX139" s="578">
        <v>4.689269337279831E-3</v>
      </c>
      <c r="FY139" s="578">
        <v>1.5503626884734952E-3</v>
      </c>
      <c r="FZ139" s="578">
        <v>1.6571163749604777E-2</v>
      </c>
      <c r="GA139" s="578">
        <v>1.696870093951092E-2</v>
      </c>
      <c r="GB139" s="578">
        <v>9.0888080785212644E-3</v>
      </c>
      <c r="GC139" s="578">
        <v>1.0609500956838169E-3</v>
      </c>
      <c r="GD139" s="578">
        <v>4.920383823524473E-3</v>
      </c>
      <c r="GE139" s="578">
        <v>0</v>
      </c>
      <c r="GF139" s="578">
        <v>5.3070105609510159E-6</v>
      </c>
      <c r="GG139" s="579">
        <v>2.9972864508483526E-3</v>
      </c>
      <c r="GH139" s="572"/>
    </row>
    <row r="140" spans="1:190">
      <c r="A140" s="572" t="s">
        <v>9344</v>
      </c>
      <c r="B140" s="577" t="s">
        <v>9462</v>
      </c>
      <c r="C140" s="573" t="s">
        <v>629</v>
      </c>
      <c r="D140" s="578">
        <v>0</v>
      </c>
      <c r="E140" s="578">
        <v>0</v>
      </c>
      <c r="F140" s="578">
        <v>0</v>
      </c>
      <c r="G140" s="578">
        <v>0</v>
      </c>
      <c r="H140" s="578">
        <v>0</v>
      </c>
      <c r="I140" s="578">
        <v>0</v>
      </c>
      <c r="J140" s="578">
        <v>0</v>
      </c>
      <c r="K140" s="578">
        <v>0</v>
      </c>
      <c r="L140" s="578">
        <v>0</v>
      </c>
      <c r="M140" s="578">
        <v>0</v>
      </c>
      <c r="N140" s="578">
        <v>0</v>
      </c>
      <c r="O140" s="578">
        <v>0</v>
      </c>
      <c r="P140" s="578">
        <v>0</v>
      </c>
      <c r="Q140" s="578">
        <v>0</v>
      </c>
      <c r="R140" s="578">
        <v>0</v>
      </c>
      <c r="S140" s="578">
        <v>0</v>
      </c>
      <c r="T140" s="578">
        <v>2.033833809534744E-4</v>
      </c>
      <c r="U140" s="578">
        <v>4.7817604529283498E-5</v>
      </c>
      <c r="V140" s="578">
        <v>8.2067504252588861E-5</v>
      </c>
      <c r="W140" s="578">
        <v>1.2255352525215388E-4</v>
      </c>
      <c r="X140" s="578">
        <v>2.8150271266250381E-4</v>
      </c>
      <c r="Y140" s="578">
        <v>4.4707469178367645E-4</v>
      </c>
      <c r="Z140" s="578">
        <v>1.7715409990954405E-4</v>
      </c>
      <c r="AA140" s="578">
        <v>3.8083269067816782E-5</v>
      </c>
      <c r="AB140" s="578">
        <v>3.7164896516410367E-4</v>
      </c>
      <c r="AC140" s="578">
        <v>1.209294290403386E-4</v>
      </c>
      <c r="AD140" s="578">
        <v>0</v>
      </c>
      <c r="AE140" s="578">
        <v>4.5065344749887338E-4</v>
      </c>
      <c r="AF140" s="578">
        <v>5.3098687703861036E-4</v>
      </c>
      <c r="AG140" s="578">
        <v>0</v>
      </c>
      <c r="AH140" s="578">
        <v>7.7130736598534516E-4</v>
      </c>
      <c r="AI140" s="578">
        <v>1.3364517206815904E-4</v>
      </c>
      <c r="AJ140" s="578">
        <v>1.1557353366079168E-4</v>
      </c>
      <c r="AK140" s="578">
        <v>0</v>
      </c>
      <c r="AL140" s="578">
        <v>8.9158345221112699E-5</v>
      </c>
      <c r="AM140" s="578">
        <v>0</v>
      </c>
      <c r="AN140" s="578">
        <v>0</v>
      </c>
      <c r="AO140" s="578">
        <v>0</v>
      </c>
      <c r="AP140" s="578">
        <v>0</v>
      </c>
      <c r="AQ140" s="578">
        <v>9.7244061905155999E-4</v>
      </c>
      <c r="AR140" s="578">
        <v>5.9032574174429451E-4</v>
      </c>
      <c r="AS140" s="578">
        <v>2.9451611003121871E-4</v>
      </c>
      <c r="AT140" s="578">
        <v>3.9374158118329704E-4</v>
      </c>
      <c r="AU140" s="578">
        <v>3.2721977716333175E-5</v>
      </c>
      <c r="AV140" s="578">
        <v>2.3965011083817625E-4</v>
      </c>
      <c r="AW140" s="578">
        <v>3.2183661427881779E-4</v>
      </c>
      <c r="AX140" s="578">
        <v>9.8750260590965439E-4</v>
      </c>
      <c r="AY140" s="578">
        <v>0</v>
      </c>
      <c r="AZ140" s="578">
        <v>3.1082577932499942E-4</v>
      </c>
      <c r="BA140" s="578">
        <v>2.7766208524226016E-4</v>
      </c>
      <c r="BB140" s="578">
        <v>2.1248716223394836E-4</v>
      </c>
      <c r="BC140" s="578">
        <v>4.0938724963411014E-4</v>
      </c>
      <c r="BD140" s="578">
        <v>4.7193830027695324E-4</v>
      </c>
      <c r="BE140" s="578">
        <v>4.7388041364494776E-4</v>
      </c>
      <c r="BF140" s="578">
        <v>6.1942517343904855E-5</v>
      </c>
      <c r="BG140" s="578">
        <v>3.7105751391465676E-4</v>
      </c>
      <c r="BH140" s="578">
        <v>4.809542131589073E-5</v>
      </c>
      <c r="BI140" s="578">
        <v>5.4215234480889127E-5</v>
      </c>
      <c r="BJ140" s="578">
        <v>1.030923583820273E-4</v>
      </c>
      <c r="BK140" s="578">
        <v>0</v>
      </c>
      <c r="BL140" s="578">
        <v>1.2685847668341198E-5</v>
      </c>
      <c r="BM140" s="578">
        <v>9.0226872493857013E-4</v>
      </c>
      <c r="BN140" s="578">
        <v>1.9753086419753085E-4</v>
      </c>
      <c r="BO140" s="578">
        <v>1.9316019740972176E-5</v>
      </c>
      <c r="BP140" s="578">
        <v>0</v>
      </c>
      <c r="BQ140" s="578">
        <v>0</v>
      </c>
      <c r="BR140" s="578">
        <v>6.4011607438148779E-5</v>
      </c>
      <c r="BS140" s="578">
        <v>2.0231243108732814E-5</v>
      </c>
      <c r="BT140" s="578">
        <v>0</v>
      </c>
      <c r="BU140" s="578">
        <v>5.8011370228564796E-5</v>
      </c>
      <c r="BV140" s="578">
        <v>3.3688182185689257E-5</v>
      </c>
      <c r="BW140" s="578">
        <v>2.2536049227745933E-5</v>
      </c>
      <c r="BX140" s="578">
        <v>0</v>
      </c>
      <c r="BY140" s="578">
        <v>4.1289844700135628E-5</v>
      </c>
      <c r="BZ140" s="578">
        <v>6.070606674356102E-5</v>
      </c>
      <c r="CA140" s="578">
        <v>5.8016100251821237E-5</v>
      </c>
      <c r="CB140" s="578">
        <v>8.0665177463390419E-5</v>
      </c>
      <c r="CC140" s="578">
        <v>4.364906154517678E-5</v>
      </c>
      <c r="CD140" s="578">
        <v>1.3825746793646662E-4</v>
      </c>
      <c r="CE140" s="578">
        <v>0</v>
      </c>
      <c r="CF140" s="578">
        <v>0</v>
      </c>
      <c r="CG140" s="578">
        <v>7.093305338421598E-6</v>
      </c>
      <c r="CH140" s="578">
        <v>0</v>
      </c>
      <c r="CI140" s="578">
        <v>0</v>
      </c>
      <c r="CJ140" s="578">
        <v>0</v>
      </c>
      <c r="CK140" s="578">
        <v>7.5645254016762985E-6</v>
      </c>
      <c r="CL140" s="578">
        <v>1.4986661870934869E-5</v>
      </c>
      <c r="CM140" s="578">
        <v>0</v>
      </c>
      <c r="CN140" s="578">
        <v>2.4121960632960248E-5</v>
      </c>
      <c r="CO140" s="578">
        <v>0</v>
      </c>
      <c r="CP140" s="578">
        <v>0</v>
      </c>
      <c r="CQ140" s="578">
        <v>0</v>
      </c>
      <c r="CR140" s="578">
        <v>1.7419579607478807E-5</v>
      </c>
      <c r="CS140" s="578">
        <v>0</v>
      </c>
      <c r="CT140" s="578">
        <v>0</v>
      </c>
      <c r="CU140" s="578">
        <v>1.612305112619512E-5</v>
      </c>
      <c r="CV140" s="578">
        <v>0</v>
      </c>
      <c r="CW140" s="578">
        <v>0</v>
      </c>
      <c r="CX140" s="578">
        <v>0</v>
      </c>
      <c r="CY140" s="578">
        <v>9.1583478340507378E-6</v>
      </c>
      <c r="CZ140" s="578">
        <v>0</v>
      </c>
      <c r="DA140" s="578">
        <v>1.0708701891156754E-4</v>
      </c>
      <c r="DB140" s="578">
        <v>0</v>
      </c>
      <c r="DC140" s="578">
        <v>0</v>
      </c>
      <c r="DD140" s="578">
        <v>0</v>
      </c>
      <c r="DE140" s="578">
        <v>1.3629672706126083E-5</v>
      </c>
      <c r="DF140" s="578">
        <v>9.9848230689352183E-6</v>
      </c>
      <c r="DG140" s="578">
        <v>1.0935391519822584E-6</v>
      </c>
      <c r="DH140" s="578">
        <v>0</v>
      </c>
      <c r="DI140" s="578">
        <v>0</v>
      </c>
      <c r="DJ140" s="578">
        <v>0</v>
      </c>
      <c r="DK140" s="578">
        <v>4.8318865859580546E-6</v>
      </c>
      <c r="DL140" s="578">
        <v>0</v>
      </c>
      <c r="DM140" s="578">
        <v>0</v>
      </c>
      <c r="DN140" s="578">
        <v>0</v>
      </c>
      <c r="DO140" s="578">
        <v>0</v>
      </c>
      <c r="DP140" s="578">
        <v>2.1910604732690622E-5</v>
      </c>
      <c r="DQ140" s="578">
        <v>9.4555941658984002E-5</v>
      </c>
      <c r="DR140" s="578">
        <v>3.6680238354857967E-5</v>
      </c>
      <c r="DS140" s="578">
        <v>4.4867768277205894E-5</v>
      </c>
      <c r="DT140" s="578">
        <v>3.6446070749112538E-5</v>
      </c>
      <c r="DU140" s="578">
        <v>2.388839342591413E-5</v>
      </c>
      <c r="DV140" s="578">
        <v>0</v>
      </c>
      <c r="DW140" s="578">
        <v>0</v>
      </c>
      <c r="DX140" s="578">
        <v>0</v>
      </c>
      <c r="DY140" s="578">
        <v>1.5810026718945154E-5</v>
      </c>
      <c r="DZ140" s="578">
        <v>3.3682338497397199E-6</v>
      </c>
      <c r="EA140" s="578">
        <v>1.1129586224243354E-5</v>
      </c>
      <c r="EB140" s="578">
        <v>0</v>
      </c>
      <c r="EC140" s="578">
        <v>6.1164511127353689E-6</v>
      </c>
      <c r="ED140" s="578">
        <v>1.8091197727745564E-5</v>
      </c>
      <c r="EE140" s="578">
        <v>4.4894875442374864E-5</v>
      </c>
      <c r="EF140" s="578">
        <v>6.4141624707353838E-6</v>
      </c>
      <c r="EG140" s="578">
        <v>1.4709963918956424E-2</v>
      </c>
      <c r="EH140" s="578">
        <v>0</v>
      </c>
      <c r="EI140" s="578">
        <v>1.6859994604801726E-5</v>
      </c>
      <c r="EJ140" s="578">
        <v>1.7974668299964859E-4</v>
      </c>
      <c r="EK140" s="578">
        <v>3.529769040922658E-4</v>
      </c>
      <c r="EL140" s="578">
        <v>3.7301184685625615E-4</v>
      </c>
      <c r="EM140" s="578">
        <v>3.5227574086754828E-4</v>
      </c>
      <c r="EN140" s="578">
        <v>3.1340952290600084E-4</v>
      </c>
      <c r="EO140" s="578">
        <v>1.0439790967808019E-4</v>
      </c>
      <c r="EP140" s="578">
        <v>0</v>
      </c>
      <c r="EQ140" s="578">
        <v>3.8300021353109248E-4</v>
      </c>
      <c r="ER140" s="578">
        <v>0</v>
      </c>
      <c r="ES140" s="578">
        <v>3.402031693327255E-5</v>
      </c>
      <c r="ET140" s="578">
        <v>5.9627052661287864E-5</v>
      </c>
      <c r="EU140" s="578">
        <v>2.346784318787182E-5</v>
      </c>
      <c r="EV140" s="578">
        <v>2.4519049415314977E-4</v>
      </c>
      <c r="EW140" s="578">
        <v>9.7227083576401045E-5</v>
      </c>
      <c r="EX140" s="578">
        <v>5.7819064872990785E-5</v>
      </c>
      <c r="EY140" s="578">
        <v>1.4847075126200139E-4</v>
      </c>
      <c r="EZ140" s="578">
        <v>3.4763262184523392E-5</v>
      </c>
      <c r="FA140" s="578">
        <v>2.1839783349349175E-5</v>
      </c>
      <c r="FB140" s="578">
        <v>1.6864714632163711E-5</v>
      </c>
      <c r="FC140" s="578">
        <v>1.5159390159390158E-4</v>
      </c>
      <c r="FD140" s="578">
        <v>1.722186685036658E-4</v>
      </c>
      <c r="FE140" s="578">
        <v>5.4566823371390199E-4</v>
      </c>
      <c r="FF140" s="578">
        <v>9.4800388302390486E-5</v>
      </c>
      <c r="FG140" s="578">
        <v>2.0876826722338206E-4</v>
      </c>
      <c r="FH140" s="578">
        <v>1.9509022923101934E-4</v>
      </c>
      <c r="FI140" s="578">
        <v>2.3489203774715046E-5</v>
      </c>
      <c r="FJ140" s="578">
        <v>4.0549699009607775E-4</v>
      </c>
      <c r="FK140" s="578">
        <v>6.2027359149594743E-5</v>
      </c>
      <c r="FL140" s="578">
        <v>1.3068478829064296E-4</v>
      </c>
      <c r="FM140" s="578">
        <v>3.9614804285389711E-4</v>
      </c>
      <c r="FN140" s="578">
        <v>8.9646735831613552E-5</v>
      </c>
      <c r="FO140" s="578">
        <v>6.2882089150958112E-5</v>
      </c>
      <c r="FP140" s="578">
        <v>1.4180821227113729E-4</v>
      </c>
      <c r="FQ140" s="578">
        <v>1.6975849766512493E-4</v>
      </c>
      <c r="FR140" s="578">
        <v>2.0777838217681706E-4</v>
      </c>
      <c r="FS140" s="578">
        <v>6.7275887200762464E-5</v>
      </c>
      <c r="FT140" s="578">
        <v>0</v>
      </c>
      <c r="FU140" s="578">
        <v>0</v>
      </c>
      <c r="FV140" s="578">
        <v>8.3783670562607347E-5</v>
      </c>
      <c r="FW140" s="578">
        <v>0</v>
      </c>
      <c r="FX140" s="578">
        <v>4.2043658134606976E-5</v>
      </c>
      <c r="FY140" s="578">
        <v>1.0889133448115511E-4</v>
      </c>
      <c r="FZ140" s="578">
        <v>1.6112056756019282E-3</v>
      </c>
      <c r="GA140" s="578">
        <v>6.4529092818973839E-5</v>
      </c>
      <c r="GB140" s="578">
        <v>2.8299350529905339E-5</v>
      </c>
      <c r="GC140" s="578">
        <v>7.5357203057915974E-4</v>
      </c>
      <c r="GD140" s="578">
        <v>1.1083458442068778E-4</v>
      </c>
      <c r="GE140" s="578">
        <v>0</v>
      </c>
      <c r="GF140" s="578">
        <v>1.7513134851138354E-4</v>
      </c>
      <c r="GG140" s="579">
        <v>1.3878845456655856E-4</v>
      </c>
      <c r="GH140" s="572"/>
    </row>
    <row r="141" spans="1:190">
      <c r="A141" s="572" t="s">
        <v>9345</v>
      </c>
      <c r="B141" s="577" t="s">
        <v>9463</v>
      </c>
      <c r="C141" s="573" t="s">
        <v>9099</v>
      </c>
      <c r="D141" s="578">
        <v>3.1241631705793089E-4</v>
      </c>
      <c r="E141" s="578">
        <v>0</v>
      </c>
      <c r="F141" s="578">
        <v>5.6565085201159583E-4</v>
      </c>
      <c r="G141" s="578">
        <v>5.5928411633109618E-4</v>
      </c>
      <c r="H141" s="578">
        <v>0</v>
      </c>
      <c r="I141" s="578">
        <v>8.1446489656295808E-4</v>
      </c>
      <c r="J141" s="578">
        <v>1.3367907358791413E-3</v>
      </c>
      <c r="K141" s="578">
        <v>1.7761358388689568E-3</v>
      </c>
      <c r="L141" s="578">
        <v>0</v>
      </c>
      <c r="M141" s="578">
        <v>0</v>
      </c>
      <c r="N141" s="578">
        <v>7.1174377224199293E-4</v>
      </c>
      <c r="O141" s="578">
        <v>3.0656039239730225E-4</v>
      </c>
      <c r="P141" s="578">
        <v>0</v>
      </c>
      <c r="Q141" s="578">
        <v>0</v>
      </c>
      <c r="R141" s="578">
        <v>4.182917867842406E-3</v>
      </c>
      <c r="S141" s="578">
        <v>3.7348272642390291E-3</v>
      </c>
      <c r="T141" s="578">
        <v>1.7779643947868247E-3</v>
      </c>
      <c r="U141" s="578">
        <v>1.3962740522550782E-3</v>
      </c>
      <c r="V141" s="578">
        <v>5.1478707212987559E-4</v>
      </c>
      <c r="W141" s="578">
        <v>1.5319190656519234E-3</v>
      </c>
      <c r="X141" s="578">
        <v>1.5610604974920668E-3</v>
      </c>
      <c r="Y141" s="578">
        <v>2.7203358364464381E-3</v>
      </c>
      <c r="Z141" s="578">
        <v>3.1109333605327505E-3</v>
      </c>
      <c r="AA141" s="578">
        <v>3.5988689269086859E-3</v>
      </c>
      <c r="AB141" s="578">
        <v>1.4948547265489502E-3</v>
      </c>
      <c r="AC141" s="578">
        <v>8.6378163600241853E-5</v>
      </c>
      <c r="AD141" s="578">
        <v>0</v>
      </c>
      <c r="AE141" s="578">
        <v>1.3519603424966202E-3</v>
      </c>
      <c r="AF141" s="578">
        <v>3.7927634074186453E-4</v>
      </c>
      <c r="AG141" s="578">
        <v>0</v>
      </c>
      <c r="AH141" s="578">
        <v>8.4843810258387973E-3</v>
      </c>
      <c r="AI141" s="578">
        <v>7.3504844637487475E-4</v>
      </c>
      <c r="AJ141" s="578">
        <v>1.8491765385726668E-3</v>
      </c>
      <c r="AK141" s="578">
        <v>3.2427039161885755E-3</v>
      </c>
      <c r="AL141" s="578">
        <v>8.0242510699001424E-4</v>
      </c>
      <c r="AM141" s="578">
        <v>5.7398691309838137E-4</v>
      </c>
      <c r="AN141" s="578">
        <v>6.0386473429951688E-4</v>
      </c>
      <c r="AO141" s="578">
        <v>5.8295818894322636E-4</v>
      </c>
      <c r="AP141" s="578">
        <v>3.1766200762388818E-3</v>
      </c>
      <c r="AQ141" s="578">
        <v>8.6485144417777042E-3</v>
      </c>
      <c r="AR141" s="578">
        <v>1.2160710279932466E-3</v>
      </c>
      <c r="AS141" s="578">
        <v>1.0013547741061436E-3</v>
      </c>
      <c r="AT141" s="578">
        <v>1.4091803958139052E-3</v>
      </c>
      <c r="AU141" s="578">
        <v>6.3807856546849694E-4</v>
      </c>
      <c r="AV141" s="578">
        <v>3.6546641902821882E-3</v>
      </c>
      <c r="AW141" s="578">
        <v>2.9501689642224965E-3</v>
      </c>
      <c r="AX141" s="578">
        <v>3.6318151395121736E-3</v>
      </c>
      <c r="AY141" s="578">
        <v>9.5147478591817321E-4</v>
      </c>
      <c r="AZ141" s="578">
        <v>3.0347898817731762E-3</v>
      </c>
      <c r="BA141" s="578">
        <v>2.6377898098014717E-3</v>
      </c>
      <c r="BB141" s="578">
        <v>2.7859427937339896E-3</v>
      </c>
      <c r="BC141" s="578">
        <v>3.1420471409417954E-3</v>
      </c>
      <c r="BD141" s="578">
        <v>3.9493784075808197E-3</v>
      </c>
      <c r="BE141" s="578">
        <v>3.1907947852093149E-3</v>
      </c>
      <c r="BF141" s="578">
        <v>8.8268087215064418E-4</v>
      </c>
      <c r="BG141" s="578">
        <v>7.2727272727272723E-4</v>
      </c>
      <c r="BH141" s="578">
        <v>5.1530808552740061E-4</v>
      </c>
      <c r="BI141" s="578">
        <v>2.9818378964489023E-3</v>
      </c>
      <c r="BJ141" s="578">
        <v>1.4474167116836632E-3</v>
      </c>
      <c r="BK141" s="578">
        <v>3.3072428618674895E-4</v>
      </c>
      <c r="BL141" s="578">
        <v>2.3976252093164865E-3</v>
      </c>
      <c r="BM141" s="578">
        <v>1.0419600757539326E-3</v>
      </c>
      <c r="BN141" s="578">
        <v>3.9506172839506171E-4</v>
      </c>
      <c r="BO141" s="578">
        <v>6.8571870080451217E-4</v>
      </c>
      <c r="BP141" s="578">
        <v>1.4526438117373619E-4</v>
      </c>
      <c r="BQ141" s="578">
        <v>5.2857063372837036E-4</v>
      </c>
      <c r="BR141" s="578">
        <v>1.7176447995903257E-3</v>
      </c>
      <c r="BS141" s="578">
        <v>1.4161870176112971E-3</v>
      </c>
      <c r="BT141" s="578">
        <v>7.2846476051720993E-4</v>
      </c>
      <c r="BU141" s="578">
        <v>1.2182387747998607E-3</v>
      </c>
      <c r="BV141" s="578">
        <v>8.758927368279208E-4</v>
      </c>
      <c r="BW141" s="578">
        <v>2.8846143011514793E-4</v>
      </c>
      <c r="BX141" s="578">
        <v>0</v>
      </c>
      <c r="BY141" s="578">
        <v>1.5615068541142202E-3</v>
      </c>
      <c r="BZ141" s="578">
        <v>1.158934001467983E-3</v>
      </c>
      <c r="CA141" s="578">
        <v>2.1073956415796685E-3</v>
      </c>
      <c r="CB141" s="578">
        <v>1.5078183172002979E-3</v>
      </c>
      <c r="CC141" s="578">
        <v>4.0920995198603227E-4</v>
      </c>
      <c r="CD141" s="578">
        <v>1.1873876658073017E-3</v>
      </c>
      <c r="CE141" s="578">
        <v>0</v>
      </c>
      <c r="CF141" s="578">
        <v>3.9475761882204328E-4</v>
      </c>
      <c r="CG141" s="578">
        <v>8.4410333527217007E-4</v>
      </c>
      <c r="CH141" s="578">
        <v>7.9849096779419765E-4</v>
      </c>
      <c r="CI141" s="578">
        <v>4.9742582137438757E-4</v>
      </c>
      <c r="CJ141" s="578">
        <v>2.6903883705793011E-4</v>
      </c>
      <c r="CK141" s="578">
        <v>8.1949025184826574E-4</v>
      </c>
      <c r="CL141" s="578">
        <v>3.2221323022509969E-4</v>
      </c>
      <c r="CM141" s="578">
        <v>6.7906071182657836E-4</v>
      </c>
      <c r="CN141" s="578">
        <v>1.6885372443072174E-4</v>
      </c>
      <c r="CO141" s="578">
        <v>6.8329347454731807E-4</v>
      </c>
      <c r="CP141" s="578">
        <v>1.1266396630810911E-3</v>
      </c>
      <c r="CQ141" s="578">
        <v>2.5482576288462762E-4</v>
      </c>
      <c r="CR141" s="578">
        <v>3.0774590639879223E-4</v>
      </c>
      <c r="CS141" s="578">
        <v>9.0405695558820208E-4</v>
      </c>
      <c r="CT141" s="578">
        <v>1.1373246624478727E-3</v>
      </c>
      <c r="CU141" s="578">
        <v>5.5624526385373164E-4</v>
      </c>
      <c r="CV141" s="578">
        <v>6.3811464999721215E-4</v>
      </c>
      <c r="CW141" s="578">
        <v>3.5109620035889832E-4</v>
      </c>
      <c r="CX141" s="578">
        <v>5.7823274938964325E-4</v>
      </c>
      <c r="CY141" s="578">
        <v>3.663339133620295E-4</v>
      </c>
      <c r="CZ141" s="578">
        <v>2.6671408250355621E-4</v>
      </c>
      <c r="DA141" s="578">
        <v>4.0693067186395668E-4</v>
      </c>
      <c r="DB141" s="578">
        <v>7.5810905940325985E-4</v>
      </c>
      <c r="DC141" s="578">
        <v>0</v>
      </c>
      <c r="DD141" s="578">
        <v>3.3816425120772949E-3</v>
      </c>
      <c r="DE141" s="578">
        <v>2.1353153906264197E-3</v>
      </c>
      <c r="DF141" s="578">
        <v>1.3479511143062546E-3</v>
      </c>
      <c r="DG141" s="578">
        <v>3.838322423457727E-4</v>
      </c>
      <c r="DH141" s="578">
        <v>6.1168314812926907E-4</v>
      </c>
      <c r="DI141" s="578">
        <v>2.3181878394489336E-4</v>
      </c>
      <c r="DJ141" s="578">
        <v>4.0999391221160653E-4</v>
      </c>
      <c r="DK141" s="578">
        <v>1.0026164665862963E-3</v>
      </c>
      <c r="DL141" s="578">
        <v>1.6918764677659656E-4</v>
      </c>
      <c r="DM141" s="578">
        <v>2.5449609772650153E-4</v>
      </c>
      <c r="DN141" s="578">
        <v>1.8981596104646365E-4</v>
      </c>
      <c r="DO141" s="578">
        <v>0</v>
      </c>
      <c r="DP141" s="578">
        <v>3.5056967572304995E-4</v>
      </c>
      <c r="DQ141" s="578">
        <v>3.388254576113593E-4</v>
      </c>
      <c r="DR141" s="578">
        <v>2.6009623560717464E-4</v>
      </c>
      <c r="DS141" s="578">
        <v>6.5378748061071439E-4</v>
      </c>
      <c r="DT141" s="578">
        <v>1.6910976827588218E-3</v>
      </c>
      <c r="DU141" s="578">
        <v>2.1499554083322716E-4</v>
      </c>
      <c r="DV141" s="578">
        <v>1.7737460249084619E-4</v>
      </c>
      <c r="DW141" s="578">
        <v>7.754682310895329E-4</v>
      </c>
      <c r="DX141" s="578">
        <v>7.7839136537200362E-4</v>
      </c>
      <c r="DY141" s="578">
        <v>3.2252454506648117E-3</v>
      </c>
      <c r="DZ141" s="578">
        <v>8.5889963168362857E-4</v>
      </c>
      <c r="EA141" s="578">
        <v>7.2342310457581811E-4</v>
      </c>
      <c r="EB141" s="578">
        <v>1.3710801660615532E-3</v>
      </c>
      <c r="EC141" s="578">
        <v>7.1256655463367046E-4</v>
      </c>
      <c r="ED141" s="578">
        <v>7.9601270002080491E-4</v>
      </c>
      <c r="EE141" s="578">
        <v>4.2457725061217368E-4</v>
      </c>
      <c r="EF141" s="578">
        <v>1.6676822423911998E-3</v>
      </c>
      <c r="EG141" s="578">
        <v>2.8032195392728283E-2</v>
      </c>
      <c r="EH141" s="578">
        <v>8.3296059637912673E-2</v>
      </c>
      <c r="EI141" s="578">
        <v>9.2842370290441515E-3</v>
      </c>
      <c r="EJ141" s="578">
        <v>1.1189231016728125E-3</v>
      </c>
      <c r="EK141" s="578">
        <v>4.5728356226784547E-3</v>
      </c>
      <c r="EL141" s="578">
        <v>1.1593208200292441E-3</v>
      </c>
      <c r="EM141" s="578">
        <v>1.521910363635644E-3</v>
      </c>
      <c r="EN141" s="578">
        <v>1.8753748208483402E-3</v>
      </c>
      <c r="EO141" s="578">
        <v>2.7379829141987067E-4</v>
      </c>
      <c r="EP141" s="578">
        <v>6.0628220291239319E-6</v>
      </c>
      <c r="EQ141" s="578">
        <v>6.6872515159012878E-3</v>
      </c>
      <c r="ER141" s="578">
        <v>3.4313725490196078E-3</v>
      </c>
      <c r="ES141" s="578">
        <v>2.0684352695429713E-3</v>
      </c>
      <c r="ET141" s="578">
        <v>8.0960287057881962E-4</v>
      </c>
      <c r="EU141" s="578">
        <v>1.173392159393591E-4</v>
      </c>
      <c r="EV141" s="578">
        <v>2.112410411165598E-3</v>
      </c>
      <c r="EW141" s="578">
        <v>1.9445416715280209E-4</v>
      </c>
      <c r="EX141" s="578">
        <v>2.1200323786763289E-4</v>
      </c>
      <c r="EY141" s="578">
        <v>9.6505988320300898E-4</v>
      </c>
      <c r="EZ141" s="578">
        <v>1.7207814781339081E-3</v>
      </c>
      <c r="FA141" s="578">
        <v>6.770332838298244E-4</v>
      </c>
      <c r="FB141" s="578">
        <v>4.432047005332623E-3</v>
      </c>
      <c r="FC141" s="578">
        <v>6.93000693000693E-4</v>
      </c>
      <c r="FD141" s="578">
        <v>5.8529744624317278E-3</v>
      </c>
      <c r="FE141" s="578">
        <v>4.6171927468099396E-4</v>
      </c>
      <c r="FF141" s="578">
        <v>3.4886542895279702E-4</v>
      </c>
      <c r="FG141" s="578">
        <v>1.4091858037578288E-3</v>
      </c>
      <c r="FH141" s="578">
        <v>1.0079661843602665E-3</v>
      </c>
      <c r="FI141" s="578">
        <v>3.0565326411847956E-3</v>
      </c>
      <c r="FJ141" s="578">
        <v>4.6347394738790459E-3</v>
      </c>
      <c r="FK141" s="578">
        <v>8.2913292869802539E-3</v>
      </c>
      <c r="FL141" s="578">
        <v>1.3944066910611605E-2</v>
      </c>
      <c r="FM141" s="578">
        <v>1.2630131719224249E-2</v>
      </c>
      <c r="FN141" s="578">
        <v>6.7197699067113653E-3</v>
      </c>
      <c r="FO141" s="578">
        <v>4.0318807240649754E-3</v>
      </c>
      <c r="FP141" s="578">
        <v>3.4664229666278006E-3</v>
      </c>
      <c r="FQ141" s="578">
        <v>5.9972059421040036E-3</v>
      </c>
      <c r="FR141" s="578">
        <v>7.2442283134231842E-3</v>
      </c>
      <c r="FS141" s="578">
        <v>2.3322307562930987E-3</v>
      </c>
      <c r="FT141" s="578">
        <v>2.8533926839011586E-4</v>
      </c>
      <c r="FU141" s="578">
        <v>9.6068071090372608E-4</v>
      </c>
      <c r="FV141" s="578">
        <v>2.3040509404717021E-4</v>
      </c>
      <c r="FW141" s="578">
        <v>1.010403110424935E-3</v>
      </c>
      <c r="FX141" s="578">
        <v>7.2315091991524E-4</v>
      </c>
      <c r="FY141" s="578">
        <v>1.1380037005202686E-3</v>
      </c>
      <c r="FZ141" s="578">
        <v>1.1845826674116327E-2</v>
      </c>
      <c r="GA141" s="578">
        <v>9.2431799283482028E-3</v>
      </c>
      <c r="GB141" s="578">
        <v>1.5564642791447937E-2</v>
      </c>
      <c r="GC141" s="578">
        <v>4.1619981557316091E-3</v>
      </c>
      <c r="GD141" s="578">
        <v>4.7423767636973072E-3</v>
      </c>
      <c r="GE141" s="578">
        <v>0</v>
      </c>
      <c r="GF141" s="578">
        <v>1.7300854428700314E-3</v>
      </c>
      <c r="GG141" s="579">
        <v>2.9120677215787069E-3</v>
      </c>
      <c r="GH141" s="572"/>
    </row>
    <row r="142" spans="1:190">
      <c r="A142" s="572" t="s">
        <v>9346</v>
      </c>
      <c r="B142" s="577" t="s">
        <v>9464</v>
      </c>
      <c r="C142" s="573" t="s">
        <v>9100</v>
      </c>
      <c r="D142" s="578">
        <v>0</v>
      </c>
      <c r="E142" s="578">
        <v>0</v>
      </c>
      <c r="F142" s="578">
        <v>0</v>
      </c>
      <c r="G142" s="578">
        <v>0</v>
      </c>
      <c r="H142" s="578">
        <v>0</v>
      </c>
      <c r="I142" s="578">
        <v>0</v>
      </c>
      <c r="J142" s="578">
        <v>6.6034241169933485E-4</v>
      </c>
      <c r="K142" s="578">
        <v>1.6695676885368192E-3</v>
      </c>
      <c r="L142" s="578">
        <v>0</v>
      </c>
      <c r="M142" s="578">
        <v>0</v>
      </c>
      <c r="N142" s="578">
        <v>0</v>
      </c>
      <c r="O142" s="578">
        <v>0</v>
      </c>
      <c r="P142" s="578">
        <v>0</v>
      </c>
      <c r="Q142" s="578">
        <v>0</v>
      </c>
      <c r="R142" s="578">
        <v>2.2045107681872137E-3</v>
      </c>
      <c r="S142" s="578">
        <v>1.8674136321195146E-3</v>
      </c>
      <c r="T142" s="578">
        <v>1.2727863195152915E-3</v>
      </c>
      <c r="U142" s="578">
        <v>7.4595463065682262E-4</v>
      </c>
      <c r="V142" s="578">
        <v>1.1191023307171208E-4</v>
      </c>
      <c r="W142" s="578">
        <v>1.8720050982266505E-3</v>
      </c>
      <c r="X142" s="578">
        <v>5.1182311393182519E-5</v>
      </c>
      <c r="Y142" s="578">
        <v>5.8725912903788012E-4</v>
      </c>
      <c r="Z142" s="578">
        <v>1.2078688630196185E-4</v>
      </c>
      <c r="AA142" s="578">
        <v>3.6655146477773654E-4</v>
      </c>
      <c r="AB142" s="578">
        <v>9.9106390710427644E-5</v>
      </c>
      <c r="AC142" s="578">
        <v>3.6278828712101583E-4</v>
      </c>
      <c r="AD142" s="578">
        <v>0</v>
      </c>
      <c r="AE142" s="578">
        <v>0</v>
      </c>
      <c r="AF142" s="578">
        <v>7.5855268148372902E-5</v>
      </c>
      <c r="AG142" s="578">
        <v>0</v>
      </c>
      <c r="AH142" s="578">
        <v>0</v>
      </c>
      <c r="AI142" s="578">
        <v>0</v>
      </c>
      <c r="AJ142" s="578">
        <v>3.4672060098237504E-4</v>
      </c>
      <c r="AK142" s="578">
        <v>4.9887752556747322E-4</v>
      </c>
      <c r="AL142" s="578">
        <v>8.9158345221112699E-5</v>
      </c>
      <c r="AM142" s="578">
        <v>6.3138560440821948E-4</v>
      </c>
      <c r="AN142" s="578">
        <v>8.6266390614216703E-5</v>
      </c>
      <c r="AO142" s="578">
        <v>1.9431939631440879E-4</v>
      </c>
      <c r="AP142" s="578">
        <v>0</v>
      </c>
      <c r="AQ142" s="578">
        <v>5.1518662583795415E-3</v>
      </c>
      <c r="AR142" s="578">
        <v>2.8335635603726138E-4</v>
      </c>
      <c r="AS142" s="578">
        <v>5.5369028685869112E-4</v>
      </c>
      <c r="AT142" s="578">
        <v>6.4242047456222154E-4</v>
      </c>
      <c r="AU142" s="578">
        <v>5.8899559889399715E-4</v>
      </c>
      <c r="AV142" s="578">
        <v>5.2723024384398777E-3</v>
      </c>
      <c r="AW142" s="578">
        <v>9.7623772997908059E-3</v>
      </c>
      <c r="AX142" s="578">
        <v>3.6647318930424955E-3</v>
      </c>
      <c r="AY142" s="578">
        <v>1.7443704408499842E-3</v>
      </c>
      <c r="AZ142" s="578">
        <v>3.3795239279336303E-3</v>
      </c>
      <c r="BA142" s="578">
        <v>0</v>
      </c>
      <c r="BB142" s="578">
        <v>7.0829054077982783E-5</v>
      </c>
      <c r="BC142" s="578">
        <v>1.1360496177346556E-3</v>
      </c>
      <c r="BD142" s="578">
        <v>3.8003452601249395E-3</v>
      </c>
      <c r="BE142" s="578">
        <v>3.8858193918885715E-3</v>
      </c>
      <c r="BF142" s="578">
        <v>3.2055252725470764E-3</v>
      </c>
      <c r="BG142" s="578">
        <v>2.0037105751391465E-3</v>
      </c>
      <c r="BH142" s="578">
        <v>2.8651129555323476E-3</v>
      </c>
      <c r="BI142" s="578">
        <v>9.7587422065600437E-4</v>
      </c>
      <c r="BJ142" s="578">
        <v>5.7731720693935282E-5</v>
      </c>
      <c r="BK142" s="578">
        <v>0</v>
      </c>
      <c r="BL142" s="578">
        <v>1.7760186735677678E-4</v>
      </c>
      <c r="BM142" s="578">
        <v>4.3510420745768611E-5</v>
      </c>
      <c r="BN142" s="578">
        <v>3.45679012345679E-4</v>
      </c>
      <c r="BO142" s="578">
        <v>6.7606069093402619E-5</v>
      </c>
      <c r="BP142" s="578">
        <v>7.2632190586868097E-5</v>
      </c>
      <c r="BQ142" s="578">
        <v>3.8947309853669393E-4</v>
      </c>
      <c r="BR142" s="578">
        <v>1.3549123574408159E-3</v>
      </c>
      <c r="BS142" s="578">
        <v>3.0144552232011894E-3</v>
      </c>
      <c r="BT142" s="578">
        <v>3.6423238025860496E-4</v>
      </c>
      <c r="BU142" s="578">
        <v>9.8619329388560163E-4</v>
      </c>
      <c r="BV142" s="578">
        <v>4.2783991375825361E-3</v>
      </c>
      <c r="BW142" s="578">
        <v>2.5015014642797986E-4</v>
      </c>
      <c r="BX142" s="578">
        <v>0</v>
      </c>
      <c r="BY142" s="578">
        <v>1.5014488981867503E-5</v>
      </c>
      <c r="BZ142" s="578">
        <v>2.2074933361294915E-5</v>
      </c>
      <c r="CA142" s="578">
        <v>2.5088043352138913E-5</v>
      </c>
      <c r="CB142" s="578">
        <v>5.5845122859270288E-5</v>
      </c>
      <c r="CC142" s="578">
        <v>0</v>
      </c>
      <c r="CD142" s="578">
        <v>0</v>
      </c>
      <c r="CE142" s="578">
        <v>0</v>
      </c>
      <c r="CF142" s="578">
        <v>1.1842728564661299E-3</v>
      </c>
      <c r="CG142" s="578">
        <v>0</v>
      </c>
      <c r="CH142" s="578">
        <v>1.2729566153240831E-4</v>
      </c>
      <c r="CI142" s="578">
        <v>9.9485164274877515E-5</v>
      </c>
      <c r="CJ142" s="578">
        <v>6.9429377305272287E-5</v>
      </c>
      <c r="CK142" s="578">
        <v>7.5645254016762985E-5</v>
      </c>
      <c r="CL142" s="578">
        <v>1.6185594820609657E-4</v>
      </c>
      <c r="CM142" s="578">
        <v>2.3743381532397844E-4</v>
      </c>
      <c r="CN142" s="578">
        <v>1.4473176379776147E-4</v>
      </c>
      <c r="CO142" s="578">
        <v>5.1247010591048861E-4</v>
      </c>
      <c r="CP142" s="578">
        <v>2.5036436957357583E-4</v>
      </c>
      <c r="CQ142" s="578">
        <v>0</v>
      </c>
      <c r="CR142" s="578">
        <v>2.0322842875391942E-5</v>
      </c>
      <c r="CS142" s="578">
        <v>0</v>
      </c>
      <c r="CT142" s="578">
        <v>2.9162170831996735E-5</v>
      </c>
      <c r="CU142" s="578">
        <v>8.0615255630975599E-6</v>
      </c>
      <c r="CV142" s="578">
        <v>3.7171727184303618E-5</v>
      </c>
      <c r="CW142" s="578">
        <v>0</v>
      </c>
      <c r="CX142" s="578">
        <v>3.5693379591953287E-5</v>
      </c>
      <c r="CY142" s="578">
        <v>9.1583478340507378E-6</v>
      </c>
      <c r="CZ142" s="578">
        <v>1.4224751066856331E-4</v>
      </c>
      <c r="DA142" s="578">
        <v>1.2850442269388105E-4</v>
      </c>
      <c r="DB142" s="578">
        <v>1.6245194130069855E-4</v>
      </c>
      <c r="DC142" s="578">
        <v>0</v>
      </c>
      <c r="DD142" s="578">
        <v>5.7971014492753624E-3</v>
      </c>
      <c r="DE142" s="578">
        <v>5.7698947789267083E-4</v>
      </c>
      <c r="DF142" s="578">
        <v>5.7911973799824271E-4</v>
      </c>
      <c r="DG142" s="578">
        <v>7.8734818942722605E-5</v>
      </c>
      <c r="DH142" s="578">
        <v>0</v>
      </c>
      <c r="DI142" s="578">
        <v>9.9350907404954292E-5</v>
      </c>
      <c r="DJ142" s="578">
        <v>6.2120289729031302E-5</v>
      </c>
      <c r="DK142" s="578">
        <v>3.817190402906863E-4</v>
      </c>
      <c r="DL142" s="578">
        <v>1.7928840180803516E-4</v>
      </c>
      <c r="DM142" s="578">
        <v>2.2621875353466802E-4</v>
      </c>
      <c r="DN142" s="578">
        <v>1.0728728233060989E-4</v>
      </c>
      <c r="DO142" s="578">
        <v>0</v>
      </c>
      <c r="DP142" s="578">
        <v>8.7642418930762488E-5</v>
      </c>
      <c r="DQ142" s="578">
        <v>8.3524415132102533E-4</v>
      </c>
      <c r="DR142" s="578">
        <v>3.334567123168906E-5</v>
      </c>
      <c r="DS142" s="578">
        <v>4.9034061045803582E-4</v>
      </c>
      <c r="DT142" s="578">
        <v>1.5875908418313423E-2</v>
      </c>
      <c r="DU142" s="578">
        <v>7.9627978086380427E-6</v>
      </c>
      <c r="DV142" s="578">
        <v>8.8687301245423097E-5</v>
      </c>
      <c r="DW142" s="578">
        <v>1.6858005023685498E-5</v>
      </c>
      <c r="DX142" s="578">
        <v>6.741972455977985E-5</v>
      </c>
      <c r="DY142" s="578">
        <v>0</v>
      </c>
      <c r="DZ142" s="578">
        <v>4.9344625898686898E-4</v>
      </c>
      <c r="EA142" s="578">
        <v>3.4946900744124135E-4</v>
      </c>
      <c r="EB142" s="578">
        <v>7.6596657321874479E-6</v>
      </c>
      <c r="EC142" s="578">
        <v>4.4741839889659218E-3</v>
      </c>
      <c r="ED142" s="578">
        <v>5.5856572984414434E-3</v>
      </c>
      <c r="EE142" s="578">
        <v>7.8309489878771003E-3</v>
      </c>
      <c r="EF142" s="578">
        <v>1.6356114300375229E-3</v>
      </c>
      <c r="EG142" s="578">
        <v>0</v>
      </c>
      <c r="EH142" s="578">
        <v>1.8210862619808307E-3</v>
      </c>
      <c r="EI142" s="578">
        <v>0</v>
      </c>
      <c r="EJ142" s="578">
        <v>1.0883661655628723E-3</v>
      </c>
      <c r="EK142" s="578">
        <v>1.5909456608203568E-3</v>
      </c>
      <c r="EL142" s="578">
        <v>2.5140998478111664E-3</v>
      </c>
      <c r="EM142" s="578">
        <v>3.9759660865331713E-3</v>
      </c>
      <c r="EN142" s="578">
        <v>6.7764221168865052E-5</v>
      </c>
      <c r="EO142" s="578">
        <v>0</v>
      </c>
      <c r="EP142" s="578">
        <v>0</v>
      </c>
      <c r="EQ142" s="578">
        <v>2.2461437301509291E-2</v>
      </c>
      <c r="ER142" s="578">
        <v>2.6470588235294117E-2</v>
      </c>
      <c r="ES142" s="578">
        <v>1.694211783276973E-3</v>
      </c>
      <c r="ET142" s="578">
        <v>2.4168832012042016E-3</v>
      </c>
      <c r="EU142" s="578">
        <v>8.5657627635732142E-4</v>
      </c>
      <c r="EV142" s="578">
        <v>3.8664654847227462E-3</v>
      </c>
      <c r="EW142" s="578">
        <v>1.4681289620036557E-3</v>
      </c>
      <c r="EX142" s="578">
        <v>7.9019388659754073E-4</v>
      </c>
      <c r="EY142" s="578">
        <v>3.8602395328120359E-3</v>
      </c>
      <c r="EZ142" s="578">
        <v>1.5817284293958146E-3</v>
      </c>
      <c r="FA142" s="578">
        <v>2.0529396348388223E-3</v>
      </c>
      <c r="FB142" s="578">
        <v>8.1895054253786972E-3</v>
      </c>
      <c r="FC142" s="578">
        <v>1.4293139293139294E-3</v>
      </c>
      <c r="FD142" s="578">
        <v>9.6786891699060171E-3</v>
      </c>
      <c r="FE142" s="578">
        <v>1.8426796507723303E-2</v>
      </c>
      <c r="FF142" s="578">
        <v>2.1993690086154593E-4</v>
      </c>
      <c r="FG142" s="578">
        <v>2.7139874739039666E-3</v>
      </c>
      <c r="FH142" s="578">
        <v>7.6410339782149246E-4</v>
      </c>
      <c r="FI142" s="578">
        <v>1.2596085524190944E-3</v>
      </c>
      <c r="FJ142" s="578">
        <v>4.0534891535250334E-2</v>
      </c>
      <c r="FK142" s="578">
        <v>6.2851001131745098E-3</v>
      </c>
      <c r="FL142" s="578">
        <v>1.9994772608468376E-3</v>
      </c>
      <c r="FM142" s="578">
        <v>4.2294629281166077E-3</v>
      </c>
      <c r="FN142" s="578">
        <v>2.7977252140782729E-3</v>
      </c>
      <c r="FO142" s="578">
        <v>3.3792933736636935E-3</v>
      </c>
      <c r="FP142" s="578">
        <v>7.5788611224907824E-3</v>
      </c>
      <c r="FQ142" s="578">
        <v>3.6511991628958018E-3</v>
      </c>
      <c r="FR142" s="578">
        <v>4.2045940033758151E-3</v>
      </c>
      <c r="FS142" s="578">
        <v>2.8031619666984358E-5</v>
      </c>
      <c r="FT142" s="578">
        <v>1.3488765414805477E-4</v>
      </c>
      <c r="FU142" s="578">
        <v>1.9556714471968711E-3</v>
      </c>
      <c r="FV142" s="578">
        <v>1.2567550584391103E-4</v>
      </c>
      <c r="FW142" s="578">
        <v>9.4573731135773928E-4</v>
      </c>
      <c r="FX142" s="578">
        <v>5.5217337683450499E-4</v>
      </c>
      <c r="FY142" s="578">
        <v>2.0885714974254341E-4</v>
      </c>
      <c r="FZ142" s="578">
        <v>4.6928530900932505E-2</v>
      </c>
      <c r="GA142" s="578">
        <v>1.5827597867762735E-2</v>
      </c>
      <c r="GB142" s="578">
        <v>1.0489625929751578E-2</v>
      </c>
      <c r="GC142" s="578">
        <v>1.0639247221203137E-2</v>
      </c>
      <c r="GD142" s="578">
        <v>1.3367322605889012E-2</v>
      </c>
      <c r="GE142" s="578">
        <v>0</v>
      </c>
      <c r="GF142" s="578">
        <v>1.4355463567372499E-2</v>
      </c>
      <c r="GG142" s="579">
        <v>3.6939238943357574E-3</v>
      </c>
      <c r="GH142" s="572"/>
    </row>
    <row r="143" spans="1:190">
      <c r="A143" s="572" t="s">
        <v>9347</v>
      </c>
      <c r="B143" s="577" t="s">
        <v>639</v>
      </c>
      <c r="C143" s="573" t="s">
        <v>640</v>
      </c>
      <c r="D143" s="578">
        <v>3.0482906364366687E-2</v>
      </c>
      <c r="E143" s="578">
        <v>6.0165383518676931E-2</v>
      </c>
      <c r="F143" s="578">
        <v>3.9454146927808811E-2</v>
      </c>
      <c r="G143" s="578">
        <v>3.4395973154362415E-2</v>
      </c>
      <c r="H143" s="578">
        <v>3.5714285714285712E-2</v>
      </c>
      <c r="I143" s="578">
        <v>5.2451539338654506E-2</v>
      </c>
      <c r="J143" s="578">
        <v>2.9457713926782522E-2</v>
      </c>
      <c r="K143" s="578">
        <v>4.0851124293986005E-2</v>
      </c>
      <c r="L143" s="578">
        <v>3.0120481927710845E-3</v>
      </c>
      <c r="M143" s="578">
        <v>4.3620501635768813E-3</v>
      </c>
      <c r="N143" s="578">
        <v>5.7651245551601421E-2</v>
      </c>
      <c r="O143" s="578">
        <v>5.0341595865814139E-2</v>
      </c>
      <c r="P143" s="578">
        <v>7.18232044198895E-2</v>
      </c>
      <c r="Q143" s="578">
        <v>0</v>
      </c>
      <c r="R143" s="578">
        <v>3.1597987677350066E-2</v>
      </c>
      <c r="S143" s="578">
        <v>1.5873015873015872E-2</v>
      </c>
      <c r="T143" s="578">
        <v>6.6729431215412527E-2</v>
      </c>
      <c r="U143" s="578">
        <v>6.9163383191155656E-2</v>
      </c>
      <c r="V143" s="578">
        <v>4.6189083529797961E-2</v>
      </c>
      <c r="W143" s="578">
        <v>7.6978933049009157E-2</v>
      </c>
      <c r="X143" s="578">
        <v>0.14937557580100316</v>
      </c>
      <c r="Y143" s="578">
        <v>6.6212519606877379E-2</v>
      </c>
      <c r="Z143" s="578">
        <v>0.10018064349884716</v>
      </c>
      <c r="AA143" s="578">
        <v>3.4341587881903786E-2</v>
      </c>
      <c r="AB143" s="578">
        <v>8.4686410862060427E-2</v>
      </c>
      <c r="AC143" s="578">
        <v>9.5344216981946964E-2</v>
      </c>
      <c r="AD143" s="578">
        <v>0</v>
      </c>
      <c r="AE143" s="578">
        <v>7.8864353312302835E-2</v>
      </c>
      <c r="AF143" s="578">
        <v>6.0229082909808086E-2</v>
      </c>
      <c r="AG143" s="578">
        <v>0</v>
      </c>
      <c r="AH143" s="578">
        <v>3.6251446201311224E-2</v>
      </c>
      <c r="AI143" s="578">
        <v>5.7667891747410625E-2</v>
      </c>
      <c r="AJ143" s="578">
        <v>6.4143311181739382E-2</v>
      </c>
      <c r="AK143" s="578">
        <v>7.3584435021202294E-2</v>
      </c>
      <c r="AL143" s="578">
        <v>7.7924393723252494E-2</v>
      </c>
      <c r="AM143" s="578">
        <v>6.5262312019285965E-2</v>
      </c>
      <c r="AN143" s="578">
        <v>5.7065217391304345E-2</v>
      </c>
      <c r="AO143" s="578">
        <v>6.7752696181623856E-2</v>
      </c>
      <c r="AP143" s="578">
        <v>9.2519059720457431E-2</v>
      </c>
      <c r="AQ143" s="578">
        <v>5.867748075808988E-2</v>
      </c>
      <c r="AR143" s="578">
        <v>0.13643608543194136</v>
      </c>
      <c r="AS143" s="578">
        <v>7.7398833716204277E-2</v>
      </c>
      <c r="AT143" s="578">
        <v>9.4850274582944774E-2</v>
      </c>
      <c r="AU143" s="578">
        <v>6.8871582598452247E-2</v>
      </c>
      <c r="AV143" s="578">
        <v>2.8937750883709784E-2</v>
      </c>
      <c r="AW143" s="578">
        <v>3.2666416349300002E-2</v>
      </c>
      <c r="AX143" s="578">
        <v>2.9866467703178662E-2</v>
      </c>
      <c r="AY143" s="578">
        <v>1.1734855692990803E-2</v>
      </c>
      <c r="AZ143" s="578">
        <v>2.0226281167348599E-2</v>
      </c>
      <c r="BA143" s="578">
        <v>2.0546994307927252E-2</v>
      </c>
      <c r="BB143" s="578">
        <v>5.9272113420925261E-2</v>
      </c>
      <c r="BC143" s="578">
        <v>3.0611931591390588E-2</v>
      </c>
      <c r="BD143" s="578">
        <v>5.1813857598827603E-2</v>
      </c>
      <c r="BE143" s="578">
        <v>3.909337901306506E-2</v>
      </c>
      <c r="BF143" s="578">
        <v>4.9863726461843408E-2</v>
      </c>
      <c r="BG143" s="578">
        <v>3.4567717996289424E-2</v>
      </c>
      <c r="BH143" s="578">
        <v>7.8450502940691474E-2</v>
      </c>
      <c r="BI143" s="578">
        <v>4.5052859853618864E-2</v>
      </c>
      <c r="BJ143" s="578">
        <v>6.4820351256283479E-2</v>
      </c>
      <c r="BK143" s="578">
        <v>8.6539521552199319E-3</v>
      </c>
      <c r="BL143" s="578">
        <v>2.4432942609225149E-2</v>
      </c>
      <c r="BM143" s="578">
        <v>5.6982621021945283E-2</v>
      </c>
      <c r="BN143" s="578">
        <v>5.7679012345679015E-2</v>
      </c>
      <c r="BO143" s="578">
        <v>4.47745337595735E-2</v>
      </c>
      <c r="BP143" s="578">
        <v>8.5124927367809411E-2</v>
      </c>
      <c r="BQ143" s="578">
        <v>8.3263784565737492E-2</v>
      </c>
      <c r="BR143" s="578">
        <v>3.68706858843737E-2</v>
      </c>
      <c r="BS143" s="578">
        <v>2.87283652144006E-2</v>
      </c>
      <c r="BT143" s="578">
        <v>4.0065561828446547E-2</v>
      </c>
      <c r="BU143" s="578">
        <v>4.0898016011138183E-2</v>
      </c>
      <c r="BV143" s="578">
        <v>3.5271526748416653E-2</v>
      </c>
      <c r="BW143" s="578">
        <v>1.3564448030180276E-2</v>
      </c>
      <c r="BX143" s="578">
        <v>0</v>
      </c>
      <c r="BY143" s="578">
        <v>2.7739268394000212E-3</v>
      </c>
      <c r="BZ143" s="578">
        <v>2.6169833499815123E-2</v>
      </c>
      <c r="CA143" s="578">
        <v>4.9544181612345826E-2</v>
      </c>
      <c r="CB143" s="578">
        <v>2.2369074211963266E-2</v>
      </c>
      <c r="CC143" s="578">
        <v>8.1110868616324744E-2</v>
      </c>
      <c r="CD143" s="578">
        <v>1.9778950707146286E-2</v>
      </c>
      <c r="CE143" s="578">
        <v>0</v>
      </c>
      <c r="CF143" s="578">
        <v>4.5555029212063794E-2</v>
      </c>
      <c r="CG143" s="578">
        <v>4.6539176325384103E-2</v>
      </c>
      <c r="CH143" s="578">
        <v>5.1010843275895987E-2</v>
      </c>
      <c r="CI143" s="578">
        <v>4.4668838759420001E-2</v>
      </c>
      <c r="CJ143" s="578">
        <v>4.4226513343458451E-2</v>
      </c>
      <c r="CK143" s="578">
        <v>4.0278576255459067E-2</v>
      </c>
      <c r="CL143" s="578">
        <v>4.5399094805622993E-2</v>
      </c>
      <c r="CM143" s="578">
        <v>3.6469834033763089E-2</v>
      </c>
      <c r="CN143" s="578">
        <v>3.4988903898108839E-2</v>
      </c>
      <c r="CO143" s="578">
        <v>3.5702084045097372E-2</v>
      </c>
      <c r="CP143" s="578">
        <v>4.1515777426075449E-2</v>
      </c>
      <c r="CQ143" s="578">
        <v>3.5930432566732499E-2</v>
      </c>
      <c r="CR143" s="578">
        <v>3.2200092904424577E-2</v>
      </c>
      <c r="CS143" s="578">
        <v>3.0455418691377557E-2</v>
      </c>
      <c r="CT143" s="578">
        <v>3.4469685923420139E-2</v>
      </c>
      <c r="CU143" s="578">
        <v>3.3028070232010709E-2</v>
      </c>
      <c r="CV143" s="578">
        <v>3.0796775972195548E-2</v>
      </c>
      <c r="CW143" s="578">
        <v>3.7372239993758292E-2</v>
      </c>
      <c r="CX143" s="578">
        <v>3.8377521737268175E-2</v>
      </c>
      <c r="CY143" s="578">
        <v>6.0866379705101198E-2</v>
      </c>
      <c r="CZ143" s="578">
        <v>5.1440256045519203E-2</v>
      </c>
      <c r="DA143" s="578">
        <v>3.1547835771347794E-2</v>
      </c>
      <c r="DB143" s="578">
        <v>4.5811447446796986E-2</v>
      </c>
      <c r="DC143" s="578">
        <v>3.553299492385787E-2</v>
      </c>
      <c r="DD143" s="578">
        <v>4.3961352657004828E-2</v>
      </c>
      <c r="DE143" s="578">
        <v>4.3764879059370855E-2</v>
      </c>
      <c r="DF143" s="578">
        <v>3.3469126927070852E-2</v>
      </c>
      <c r="DG143" s="578">
        <v>5.1861094282758605E-2</v>
      </c>
      <c r="DH143" s="578">
        <v>5.426988819791348E-2</v>
      </c>
      <c r="DI143" s="578">
        <v>3.106371704861571E-2</v>
      </c>
      <c r="DJ143" s="578">
        <v>3.6675819056020076E-2</v>
      </c>
      <c r="DK143" s="578">
        <v>5.0795207734884044E-2</v>
      </c>
      <c r="DL143" s="578">
        <v>4.2094896593520365E-2</v>
      </c>
      <c r="DM143" s="578">
        <v>4.4112656939260267E-2</v>
      </c>
      <c r="DN143" s="578">
        <v>3.6461170256664191E-2</v>
      </c>
      <c r="DO143" s="578">
        <v>0</v>
      </c>
      <c r="DP143" s="578">
        <v>1.5819456617002629E-2</v>
      </c>
      <c r="DQ143" s="578">
        <v>1.112608246854045E-2</v>
      </c>
      <c r="DR143" s="578">
        <v>4.9468303272210717E-2</v>
      </c>
      <c r="DS143" s="578">
        <v>4.3281372184547542E-2</v>
      </c>
      <c r="DT143" s="578">
        <v>5.7796178993942661E-2</v>
      </c>
      <c r="DU143" s="578">
        <v>1.8728500445916677E-2</v>
      </c>
      <c r="DV143" s="578">
        <v>4.0289373994349349E-2</v>
      </c>
      <c r="DW143" s="578">
        <v>7.7411959068763803E-2</v>
      </c>
      <c r="DX143" s="578">
        <v>6.6616816930931563E-2</v>
      </c>
      <c r="DY143" s="578">
        <v>4.5216676416183141E-3</v>
      </c>
      <c r="DZ143" s="578">
        <v>6.0970085031063534E-2</v>
      </c>
      <c r="EA143" s="578">
        <v>5.1529984218246734E-2</v>
      </c>
      <c r="EB143" s="578">
        <v>6.8144216186405621E-2</v>
      </c>
      <c r="EC143" s="578">
        <v>3.6970888750928937E-2</v>
      </c>
      <c r="ED143" s="578">
        <v>3.6394967028792143E-2</v>
      </c>
      <c r="EE143" s="578">
        <v>1.931249270458274E-2</v>
      </c>
      <c r="EF143" s="578">
        <v>2.4466822744620122E-2</v>
      </c>
      <c r="EG143" s="578">
        <v>6.938662225922842E-3</v>
      </c>
      <c r="EH143" s="578">
        <v>1.6432374866879658E-2</v>
      </c>
      <c r="EI143" s="578">
        <v>1.1577196295297186E-2</v>
      </c>
      <c r="EJ143" s="578">
        <v>9.8303460932507823E-3</v>
      </c>
      <c r="EK143" s="578">
        <v>8.333201132245659E-3</v>
      </c>
      <c r="EL143" s="578">
        <v>3.701769568201486E-3</v>
      </c>
      <c r="EM143" s="578">
        <v>4.1699156517299111E-3</v>
      </c>
      <c r="EN143" s="578">
        <v>9.9613405118231628E-4</v>
      </c>
      <c r="EO143" s="578">
        <v>1.1306490595324155E-3</v>
      </c>
      <c r="EP143" s="578">
        <v>3.0034287590429321E-4</v>
      </c>
      <c r="EQ143" s="578">
        <v>1.6133460322194694E-3</v>
      </c>
      <c r="ER143" s="578">
        <v>2.4509803921568627E-3</v>
      </c>
      <c r="ES143" s="578">
        <v>1.1022582686380306E-2</v>
      </c>
      <c r="ET143" s="578">
        <v>7.5567351406072153E-3</v>
      </c>
      <c r="EU143" s="578">
        <v>8.8825786466094833E-3</v>
      </c>
      <c r="EV143" s="578">
        <v>2.2953602414183327E-2</v>
      </c>
      <c r="EW143" s="578">
        <v>5.4641620969937384E-3</v>
      </c>
      <c r="EX143" s="578">
        <v>7.150291022626527E-3</v>
      </c>
      <c r="EY143" s="578">
        <v>4.4541225378600417E-3</v>
      </c>
      <c r="EZ143" s="578">
        <v>5.6577209205311823E-3</v>
      </c>
      <c r="FA143" s="578">
        <v>4.477155586616581E-2</v>
      </c>
      <c r="FB143" s="578">
        <v>3.4201641274028004E-3</v>
      </c>
      <c r="FC143" s="578">
        <v>2.9235966735966738E-3</v>
      </c>
      <c r="FD143" s="578">
        <v>3.1786645672390889E-3</v>
      </c>
      <c r="FE143" s="578">
        <v>3.3159838817998655E-3</v>
      </c>
      <c r="FF143" s="578">
        <v>9.5217510010921005E-3</v>
      </c>
      <c r="FG143" s="578">
        <v>3.1837160751565763E-3</v>
      </c>
      <c r="FH143" s="578">
        <v>4.3033653064542349E-2</v>
      </c>
      <c r="FI143" s="578">
        <v>7.7162034399938925E-3</v>
      </c>
      <c r="FJ143" s="578">
        <v>5.1484449304333461E-3</v>
      </c>
      <c r="FK143" s="578">
        <v>6.3613632596699124E-3</v>
      </c>
      <c r="FL143" s="578">
        <v>1.0480920020909567E-2</v>
      </c>
      <c r="FM143" s="578">
        <v>1.19135698181797E-2</v>
      </c>
      <c r="FN143" s="578">
        <v>2.1571245809482009E-2</v>
      </c>
      <c r="FO143" s="578">
        <v>5.940971047996859E-2</v>
      </c>
      <c r="FP143" s="578">
        <v>1.5945545646487883E-2</v>
      </c>
      <c r="FQ143" s="578">
        <v>1.8768054233665614E-2</v>
      </c>
      <c r="FR143" s="578">
        <v>1.720591771509148E-2</v>
      </c>
      <c r="FS143" s="578">
        <v>2.1057352693838651E-2</v>
      </c>
      <c r="FT143" s="578">
        <v>7.4188209781430123E-3</v>
      </c>
      <c r="FU143" s="578">
        <v>3.4310025389418788E-3</v>
      </c>
      <c r="FV143" s="578">
        <v>6.0743161157890326E-3</v>
      </c>
      <c r="FW143" s="578">
        <v>5.4707266010847688E-2</v>
      </c>
      <c r="FX143" s="578">
        <v>6.5361070936060001E-2</v>
      </c>
      <c r="FY143" s="578">
        <v>5.5748793046663508E-3</v>
      </c>
      <c r="FZ143" s="578">
        <v>3.4801176353391111E-2</v>
      </c>
      <c r="GA143" s="578">
        <v>7.8630741659818953E-2</v>
      </c>
      <c r="GB143" s="578">
        <v>2.083775510685363E-2</v>
      </c>
      <c r="GC143" s="578">
        <v>1.2686781751658355E-2</v>
      </c>
      <c r="GD143" s="578">
        <v>1.4391702855837792E-2</v>
      </c>
      <c r="GE143" s="578">
        <v>0.14816396242527755</v>
      </c>
      <c r="GF143" s="578">
        <v>9.8657326328079401E-3</v>
      </c>
      <c r="GG143" s="579">
        <v>3.0490773635132213E-2</v>
      </c>
      <c r="GH143" s="572"/>
    </row>
    <row r="144" spans="1:190">
      <c r="A144" s="572" t="s">
        <v>9348</v>
      </c>
      <c r="B144" s="577" t="s">
        <v>642</v>
      </c>
      <c r="C144" s="573" t="s">
        <v>643</v>
      </c>
      <c r="D144" s="578">
        <v>4.137284655895742E-2</v>
      </c>
      <c r="E144" s="578">
        <v>7.7844311377245512E-2</v>
      </c>
      <c r="F144" s="578">
        <v>4.4662848523415587E-2</v>
      </c>
      <c r="G144" s="578">
        <v>3.8310961968680092E-2</v>
      </c>
      <c r="H144" s="578">
        <v>4.4642857142857144E-2</v>
      </c>
      <c r="I144" s="578">
        <v>5.6686756800781883E-2</v>
      </c>
      <c r="J144" s="578">
        <v>2.7943758153618194E-2</v>
      </c>
      <c r="K144" s="578">
        <v>9.0582927782316795E-3</v>
      </c>
      <c r="L144" s="578">
        <v>1.6566265060240963E-3</v>
      </c>
      <c r="M144" s="578">
        <v>3.9985459832788074E-3</v>
      </c>
      <c r="N144" s="578">
        <v>2.2775800711743774E-2</v>
      </c>
      <c r="O144" s="578">
        <v>1.3641937461679951E-2</v>
      </c>
      <c r="P144" s="578">
        <v>1.6574585635359115E-2</v>
      </c>
      <c r="Q144" s="578">
        <v>0</v>
      </c>
      <c r="R144" s="578">
        <v>1.3057486857724267E-2</v>
      </c>
      <c r="S144" s="578">
        <v>8.4033613445378148E-3</v>
      </c>
      <c r="T144" s="578">
        <v>1.020197281879525E-3</v>
      </c>
      <c r="U144" s="578">
        <v>1.4727822195019318E-3</v>
      </c>
      <c r="V144" s="578">
        <v>5.1478707212987559E-4</v>
      </c>
      <c r="W144" s="578">
        <v>1.7678346017623197E-3</v>
      </c>
      <c r="X144" s="578">
        <v>1.4331047190091104E-3</v>
      </c>
      <c r="Y144" s="578">
        <v>7.8427509490865274E-4</v>
      </c>
      <c r="Z144" s="578">
        <v>2.5394771806730245E-2</v>
      </c>
      <c r="AA144" s="578">
        <v>2.7372349642493313E-3</v>
      </c>
      <c r="AB144" s="578">
        <v>1.5444079219041641E-3</v>
      </c>
      <c r="AC144" s="578">
        <v>5.528202470415479E-4</v>
      </c>
      <c r="AD144" s="578">
        <v>0</v>
      </c>
      <c r="AE144" s="578">
        <v>3.605227579990987E-3</v>
      </c>
      <c r="AF144" s="578">
        <v>1.5171053629674581E-3</v>
      </c>
      <c r="AG144" s="578">
        <v>0</v>
      </c>
      <c r="AH144" s="578">
        <v>3.0852294639413806E-3</v>
      </c>
      <c r="AI144" s="578">
        <v>2.472435683260942E-3</v>
      </c>
      <c r="AJ144" s="578">
        <v>2.195897139555042E-2</v>
      </c>
      <c r="AK144" s="578">
        <v>3.7540533798952357E-2</v>
      </c>
      <c r="AL144" s="578">
        <v>8.1134094151212553E-3</v>
      </c>
      <c r="AM144" s="578">
        <v>1.721960739295144E-3</v>
      </c>
      <c r="AN144" s="578">
        <v>3.7525879917184265E-3</v>
      </c>
      <c r="AO144" s="578">
        <v>1.0298928004663666E-2</v>
      </c>
      <c r="AP144" s="578">
        <v>4.764930114358323E-4</v>
      </c>
      <c r="AQ144" s="578">
        <v>1.7793594306049821E-3</v>
      </c>
      <c r="AR144" s="578">
        <v>1.1098123944792736E-3</v>
      </c>
      <c r="AS144" s="578">
        <v>1.2251870177298699E-3</v>
      </c>
      <c r="AT144" s="578">
        <v>1.3055641902393535E-3</v>
      </c>
      <c r="AU144" s="578">
        <v>1.3497815807987435E-3</v>
      </c>
      <c r="AV144" s="578">
        <v>2.5163261638008506E-3</v>
      </c>
      <c r="AW144" s="578">
        <v>1.0727887142627259E-3</v>
      </c>
      <c r="AX144" s="578">
        <v>1.7555601882838301E-3</v>
      </c>
      <c r="AY144" s="578">
        <v>3.1715826197272439E-4</v>
      </c>
      <c r="AZ144" s="578">
        <v>7.6858738160363491E-4</v>
      </c>
      <c r="BA144" s="578">
        <v>1.3883104262113009E-3</v>
      </c>
      <c r="BB144" s="578">
        <v>1.4874101356376385E-3</v>
      </c>
      <c r="BC144" s="578">
        <v>4.6056065583837389E-4</v>
      </c>
      <c r="BD144" s="578">
        <v>1.0556514611458165E-3</v>
      </c>
      <c r="BE144" s="578">
        <v>1.4040901145035488E-3</v>
      </c>
      <c r="BF144" s="578">
        <v>2.4157581764122893E-3</v>
      </c>
      <c r="BG144" s="578">
        <v>1.1725417439703153E-3</v>
      </c>
      <c r="BH144" s="578">
        <v>1.3398010223712416E-3</v>
      </c>
      <c r="BI144" s="578">
        <v>9.7587422065600437E-4</v>
      </c>
      <c r="BJ144" s="578">
        <v>1.1958713572315165E-3</v>
      </c>
      <c r="BK144" s="578">
        <v>8.2681071546687239E-5</v>
      </c>
      <c r="BL144" s="578">
        <v>3.1714619170852994E-4</v>
      </c>
      <c r="BM144" s="578">
        <v>7.4654721911160881E-4</v>
      </c>
      <c r="BN144" s="578">
        <v>1.5802469135802468E-3</v>
      </c>
      <c r="BO144" s="578">
        <v>3.1388532079079786E-3</v>
      </c>
      <c r="BP144" s="578">
        <v>2.796339337594422E-2</v>
      </c>
      <c r="BQ144" s="578">
        <v>4.9518722528236799E-3</v>
      </c>
      <c r="BR144" s="578">
        <v>3.0085455495929927E-3</v>
      </c>
      <c r="BS144" s="578">
        <v>2.5390210101459685E-3</v>
      </c>
      <c r="BT144" s="578">
        <v>5.4634857038790745E-3</v>
      </c>
      <c r="BU144" s="578">
        <v>3.3356537881424758E-3</v>
      </c>
      <c r="BV144" s="578">
        <v>2.5939900282980731E-3</v>
      </c>
      <c r="BW144" s="578">
        <v>3.0874387442011926E-4</v>
      </c>
      <c r="BX144" s="578">
        <v>0</v>
      </c>
      <c r="BY144" s="578">
        <v>1.1723813480008208E-3</v>
      </c>
      <c r="BZ144" s="578">
        <v>1.4183144684631983E-3</v>
      </c>
      <c r="CA144" s="578">
        <v>1.2732182001210497E-3</v>
      </c>
      <c r="CB144" s="578">
        <v>2.2462149416728715E-3</v>
      </c>
      <c r="CC144" s="578">
        <v>1.1021388040157137E-3</v>
      </c>
      <c r="CD144" s="578">
        <v>7.2381850860856053E-4</v>
      </c>
      <c r="CE144" s="578">
        <v>0</v>
      </c>
      <c r="CF144" s="578">
        <v>1.3421759039949472E-3</v>
      </c>
      <c r="CG144" s="578">
        <v>1.4328476783611627E-3</v>
      </c>
      <c r="CH144" s="578">
        <v>1.4696862740559869E-3</v>
      </c>
      <c r="CI144" s="578">
        <v>1.4922774641231626E-3</v>
      </c>
      <c r="CJ144" s="578">
        <v>1.1802994141896289E-3</v>
      </c>
      <c r="CK144" s="578">
        <v>1.6188084359587279E-3</v>
      </c>
      <c r="CL144" s="578">
        <v>2.1505859784791536E-3</v>
      </c>
      <c r="CM144" s="578">
        <v>2.8064676971294254E-3</v>
      </c>
      <c r="CN144" s="578">
        <v>5.1620995754534929E-3</v>
      </c>
      <c r="CO144" s="578">
        <v>4.9538776904680558E-3</v>
      </c>
      <c r="CP144" s="578">
        <v>2.5125852803633861E-3</v>
      </c>
      <c r="CQ144" s="578">
        <v>4.8416894948079253E-3</v>
      </c>
      <c r="CR144" s="578">
        <v>4.3868307978167462E-3</v>
      </c>
      <c r="CS144" s="578">
        <v>2.768674426488869E-3</v>
      </c>
      <c r="CT144" s="578">
        <v>4.3451634539675137E-3</v>
      </c>
      <c r="CU144" s="578">
        <v>1.6437450623155925E-2</v>
      </c>
      <c r="CV144" s="578">
        <v>1.0947073655777415E-2</v>
      </c>
      <c r="CW144" s="578">
        <v>2.8087696028711866E-3</v>
      </c>
      <c r="CX144" s="578">
        <v>4.7186647820562245E-3</v>
      </c>
      <c r="CY144" s="578">
        <v>4.3593735690081511E-3</v>
      </c>
      <c r="CZ144" s="578">
        <v>2.6493598862019916E-3</v>
      </c>
      <c r="DA144" s="578">
        <v>7.9244393994559979E-3</v>
      </c>
      <c r="DB144" s="578">
        <v>3.0324362376130394E-3</v>
      </c>
      <c r="DC144" s="578">
        <v>4.3509789702683103E-3</v>
      </c>
      <c r="DD144" s="578">
        <v>4.3478260869565218E-3</v>
      </c>
      <c r="DE144" s="578">
        <v>2.1807476329801733E-3</v>
      </c>
      <c r="DF144" s="578">
        <v>2.4063423596133878E-3</v>
      </c>
      <c r="DG144" s="578">
        <v>2.6146521123895797E-3</v>
      </c>
      <c r="DH144" s="578">
        <v>1.6198275959719531E-3</v>
      </c>
      <c r="DI144" s="578">
        <v>1.0266260431845277E-3</v>
      </c>
      <c r="DJ144" s="578">
        <v>4.3359962230863844E-3</v>
      </c>
      <c r="DK144" s="578">
        <v>1.6452573825187175E-3</v>
      </c>
      <c r="DL144" s="578">
        <v>3.5478902047928083E-3</v>
      </c>
      <c r="DM144" s="578">
        <v>6.6593145571767903E-3</v>
      </c>
      <c r="DN144" s="578">
        <v>3.3011471486341505E-3</v>
      </c>
      <c r="DO144" s="578">
        <v>0</v>
      </c>
      <c r="DP144" s="578">
        <v>1.6652059596844874E-3</v>
      </c>
      <c r="DQ144" s="578">
        <v>1.6468493172273047E-3</v>
      </c>
      <c r="DR144" s="578">
        <v>1.0803997479067254E-3</v>
      </c>
      <c r="DS144" s="578">
        <v>1.9613624418321433E-3</v>
      </c>
      <c r="DT144" s="578">
        <v>2.1211613175983498E-3</v>
      </c>
      <c r="DU144" s="578">
        <v>1.4253408077462097E-3</v>
      </c>
      <c r="DV144" s="578">
        <v>2.3058698323810008E-3</v>
      </c>
      <c r="DW144" s="578">
        <v>3.3378849946897285E-2</v>
      </c>
      <c r="DX144" s="578">
        <v>2.466336105714128E-2</v>
      </c>
      <c r="DY144" s="578">
        <v>2.2450237940902121E-3</v>
      </c>
      <c r="DZ144" s="578">
        <v>4.6633197649646419E-3</v>
      </c>
      <c r="EA144" s="578">
        <v>4.7701406557107019E-3</v>
      </c>
      <c r="EB144" s="578">
        <v>5.9860287697044903E-3</v>
      </c>
      <c r="EC144" s="578">
        <v>5.9788309626988227E-3</v>
      </c>
      <c r="ED144" s="578">
        <v>4.7218026069415922E-3</v>
      </c>
      <c r="EE144" s="578">
        <v>5.3745579458157333E-4</v>
      </c>
      <c r="EF144" s="578">
        <v>6.6386581572111221E-4</v>
      </c>
      <c r="EG144" s="578">
        <v>1.3877324451845685E-3</v>
      </c>
      <c r="EH144" s="578">
        <v>3.0937167199148029E-3</v>
      </c>
      <c r="EI144" s="578">
        <v>5.3165182987141447E-3</v>
      </c>
      <c r="EJ144" s="578">
        <v>5.5370965698041752E-3</v>
      </c>
      <c r="EK144" s="578">
        <v>5.1105163321223711E-3</v>
      </c>
      <c r="EL144" s="578">
        <v>2.3305780191578886E-3</v>
      </c>
      <c r="EM144" s="578">
        <v>2.2739596980719829E-3</v>
      </c>
      <c r="EN144" s="578">
        <v>9.9443994565309463E-4</v>
      </c>
      <c r="EO144" s="578">
        <v>2.2435701721383646E-3</v>
      </c>
      <c r="EP144" s="578">
        <v>4.8922310065776956E-4</v>
      </c>
      <c r="EQ144" s="578">
        <v>1.3015228495215888E-3</v>
      </c>
      <c r="ER144" s="578">
        <v>1.4705882352941176E-3</v>
      </c>
      <c r="ES144" s="578">
        <v>4.2593436800457234E-3</v>
      </c>
      <c r="ET144" s="578">
        <v>4.7158373427005221E-3</v>
      </c>
      <c r="EU144" s="578">
        <v>5.3976039332105186E-4</v>
      </c>
      <c r="EV144" s="578">
        <v>4.3568464730290458E-3</v>
      </c>
      <c r="EW144" s="578">
        <v>2.1876093804690236E-3</v>
      </c>
      <c r="EX144" s="578">
        <v>1.0792892109624946E-3</v>
      </c>
      <c r="EY144" s="578">
        <v>3.6622785311293676E-3</v>
      </c>
      <c r="EZ144" s="578">
        <v>2.0423416533407496E-3</v>
      </c>
      <c r="FA144" s="578">
        <v>2.0310998514894733E-3</v>
      </c>
      <c r="FB144" s="578">
        <v>1.7438114929657275E-3</v>
      </c>
      <c r="FC144" s="578">
        <v>4.201316701316701E-3</v>
      </c>
      <c r="FD144" s="578">
        <v>2.1281306893667275E-3</v>
      </c>
      <c r="FE144" s="578">
        <v>3.4209200805910005E-3</v>
      </c>
      <c r="FF144" s="578">
        <v>5.8927921368765925E-3</v>
      </c>
      <c r="FG144" s="578">
        <v>2.3486430062630479E-3</v>
      </c>
      <c r="FH144" s="578">
        <v>3.0238985530808E-3</v>
      </c>
      <c r="FI144" s="578">
        <v>4.9474135450493567E-3</v>
      </c>
      <c r="FJ144" s="578">
        <v>5.1905892805276018E-3</v>
      </c>
      <c r="FK144" s="578">
        <v>2.626502765301692E-3</v>
      </c>
      <c r="FL144" s="578">
        <v>8.6382645060114997E-3</v>
      </c>
      <c r="FM144" s="578">
        <v>1.0311500527226439E-2</v>
      </c>
      <c r="FN144" s="578">
        <v>1.6494999393016893E-2</v>
      </c>
      <c r="FO144" s="578">
        <v>2.8702950457331036E-3</v>
      </c>
      <c r="FP144" s="578">
        <v>4.6166451328270254E-3</v>
      </c>
      <c r="FQ144" s="578">
        <v>1.0207773269437347E-2</v>
      </c>
      <c r="FR144" s="578">
        <v>7.8138679229865921E-3</v>
      </c>
      <c r="FS144" s="578">
        <v>1.7026405785726298E-2</v>
      </c>
      <c r="FT144" s="578">
        <v>9.141232561879712E-3</v>
      </c>
      <c r="FU144" s="578">
        <v>2.6075619295958278E-3</v>
      </c>
      <c r="FV144" s="578">
        <v>2.429726446315613E-3</v>
      </c>
      <c r="FW144" s="578">
        <v>4.3164420877353227E-3</v>
      </c>
      <c r="FX144" s="578">
        <v>2.7608668841725245E-3</v>
      </c>
      <c r="FY144" s="578">
        <v>5.5605984739147242E-3</v>
      </c>
      <c r="FZ144" s="578">
        <v>2.0763763464611947E-2</v>
      </c>
      <c r="GA144" s="578">
        <v>4.5046207731402145E-2</v>
      </c>
      <c r="GB144" s="578">
        <v>1.2913936958480136E-2</v>
      </c>
      <c r="GC144" s="578">
        <v>9.5857336916105613E-3</v>
      </c>
      <c r="GD144" s="578">
        <v>1.7075243248326565E-2</v>
      </c>
      <c r="GE144" s="578">
        <v>7.8453941261649271E-2</v>
      </c>
      <c r="GF144" s="578">
        <v>1.4435068725786764E-3</v>
      </c>
      <c r="GG144" s="579">
        <v>5.5747679868759052E-3</v>
      </c>
      <c r="GH144" s="572"/>
    </row>
    <row r="145" spans="1:190">
      <c r="A145" s="572" t="s">
        <v>9349</v>
      </c>
      <c r="B145" s="577" t="s">
        <v>9465</v>
      </c>
      <c r="C145" s="573" t="s">
        <v>7166</v>
      </c>
      <c r="D145" s="578">
        <v>3.5704721949477818E-3</v>
      </c>
      <c r="E145" s="578">
        <v>4.5623039635015687E-3</v>
      </c>
      <c r="F145" s="578">
        <v>2.7339791180560464E-3</v>
      </c>
      <c r="G145" s="578">
        <v>2.5167785234899327E-3</v>
      </c>
      <c r="H145" s="578">
        <v>0</v>
      </c>
      <c r="I145" s="578">
        <v>4.3981104414399742E-3</v>
      </c>
      <c r="J145" s="578">
        <v>3.46277118330139E-3</v>
      </c>
      <c r="K145" s="578">
        <v>6.9979752051436894E-3</v>
      </c>
      <c r="L145" s="578">
        <v>4.8192771084337354E-3</v>
      </c>
      <c r="M145" s="578">
        <v>1.8175209014903672E-3</v>
      </c>
      <c r="N145" s="578">
        <v>4.9822064056939501E-3</v>
      </c>
      <c r="O145" s="578">
        <v>8.1457475694140316E-3</v>
      </c>
      <c r="P145" s="578">
        <v>0</v>
      </c>
      <c r="Q145" s="578">
        <v>0</v>
      </c>
      <c r="R145" s="578">
        <v>4.5955570629133455E-2</v>
      </c>
      <c r="S145" s="578">
        <v>1.1204481792717087E-2</v>
      </c>
      <c r="T145" s="578">
        <v>3.2672556037042018E-3</v>
      </c>
      <c r="U145" s="578">
        <v>4.1314410313300944E-3</v>
      </c>
      <c r="V145" s="578">
        <v>1.9024739622191054E-3</v>
      </c>
      <c r="W145" s="578">
        <v>4.0932877434219396E-3</v>
      </c>
      <c r="X145" s="578">
        <v>6.8072474152932744E-3</v>
      </c>
      <c r="Y145" s="578">
        <v>5.5619122672748902E-3</v>
      </c>
      <c r="Z145" s="578">
        <v>3.688026261753235E-3</v>
      </c>
      <c r="AA145" s="578">
        <v>9.9064103662658397E-3</v>
      </c>
      <c r="AB145" s="578">
        <v>4.0633620191275338E-3</v>
      </c>
      <c r="AC145" s="578">
        <v>3.1959920532089489E-3</v>
      </c>
      <c r="AD145" s="578">
        <v>0</v>
      </c>
      <c r="AE145" s="578">
        <v>1.1266336187471835E-2</v>
      </c>
      <c r="AF145" s="578">
        <v>2.1846317226731398E-2</v>
      </c>
      <c r="AG145" s="578">
        <v>0</v>
      </c>
      <c r="AH145" s="578">
        <v>2.4296182028538373E-2</v>
      </c>
      <c r="AI145" s="578">
        <v>8.41964584029402E-3</v>
      </c>
      <c r="AJ145" s="578">
        <v>1.375325050563421E-2</v>
      </c>
      <c r="AK145" s="578">
        <v>2.5442753803941131E-2</v>
      </c>
      <c r="AL145" s="578">
        <v>1.4755706134094151E-2</v>
      </c>
      <c r="AM145" s="578">
        <v>5.9120652049133278E-3</v>
      </c>
      <c r="AN145" s="578">
        <v>5.305383022774327E-3</v>
      </c>
      <c r="AO145" s="578">
        <v>1.3148945817274995E-2</v>
      </c>
      <c r="AP145" s="578">
        <v>9.0533672172808128E-3</v>
      </c>
      <c r="AQ145" s="578">
        <v>5.8553339402466278E-3</v>
      </c>
      <c r="AR145" s="578">
        <v>9.1500489970365653E-3</v>
      </c>
      <c r="AS145" s="578">
        <v>7.6456382164104379E-3</v>
      </c>
      <c r="AT145" s="578">
        <v>8.0820640348150449E-3</v>
      </c>
      <c r="AU145" s="578">
        <v>8.6795045892573749E-3</v>
      </c>
      <c r="AV145" s="578">
        <v>5.3322149661494218E-3</v>
      </c>
      <c r="AW145" s="578">
        <v>6.1148956712975379E-3</v>
      </c>
      <c r="AX145" s="578">
        <v>4.5095952336540891E-3</v>
      </c>
      <c r="AY145" s="578">
        <v>3.171582619727244E-3</v>
      </c>
      <c r="AZ145" s="578">
        <v>5.8152677622804443E-3</v>
      </c>
      <c r="BA145" s="578">
        <v>6.2473969179508539E-3</v>
      </c>
      <c r="BB145" s="578">
        <v>5.8315921190872496E-3</v>
      </c>
      <c r="BC145" s="578">
        <v>4.278096758676451E-3</v>
      </c>
      <c r="BD145" s="578">
        <v>3.9742172654901329E-3</v>
      </c>
      <c r="BE145" s="578">
        <v>6.142894250953026E-3</v>
      </c>
      <c r="BF145" s="578">
        <v>2.7099851337958375E-3</v>
      </c>
      <c r="BG145" s="578">
        <v>3.7699443413729129E-3</v>
      </c>
      <c r="BH145" s="578">
        <v>2.8170175342164569E-3</v>
      </c>
      <c r="BI145" s="578">
        <v>3.7137435619409055E-2</v>
      </c>
      <c r="BJ145" s="578">
        <v>4.8082275949377527E-3</v>
      </c>
      <c r="BK145" s="578">
        <v>2.4528717892183883E-3</v>
      </c>
      <c r="BL145" s="578">
        <v>5.3914852590450091E-3</v>
      </c>
      <c r="BM145" s="578">
        <v>2.6243653776132016E-3</v>
      </c>
      <c r="BN145" s="578">
        <v>4.4938271604938271E-3</v>
      </c>
      <c r="BO145" s="578">
        <v>3.9018359876763792E-3</v>
      </c>
      <c r="BP145" s="578">
        <v>4.3579314352120858E-3</v>
      </c>
      <c r="BQ145" s="578">
        <v>4.395482112056974E-3</v>
      </c>
      <c r="BR145" s="578">
        <v>8.1614799483639699E-3</v>
      </c>
      <c r="BS145" s="578">
        <v>9.2557937222452636E-3</v>
      </c>
      <c r="BT145" s="578">
        <v>1.6026224731378619E-2</v>
      </c>
      <c r="BU145" s="578">
        <v>6.7583246316277991E-3</v>
      </c>
      <c r="BV145" s="578">
        <v>6.7713246193235417E-3</v>
      </c>
      <c r="BW145" s="578">
        <v>3.1618077066527545E-3</v>
      </c>
      <c r="BX145" s="578">
        <v>0</v>
      </c>
      <c r="BY145" s="578">
        <v>3.2468832423288474E-3</v>
      </c>
      <c r="BZ145" s="578">
        <v>5.0882721397784783E-3</v>
      </c>
      <c r="CA145" s="578">
        <v>4.4484236868761306E-3</v>
      </c>
      <c r="CB145" s="578">
        <v>4.4862248696947134E-3</v>
      </c>
      <c r="CC145" s="578">
        <v>4.539502400698385E-3</v>
      </c>
      <c r="CD145" s="578">
        <v>9.3608438585219469E-3</v>
      </c>
      <c r="CE145" s="578">
        <v>0</v>
      </c>
      <c r="CF145" s="578">
        <v>4.816042949628928E-3</v>
      </c>
      <c r="CG145" s="578">
        <v>5.1781128970477663E-3</v>
      </c>
      <c r="CH145" s="578">
        <v>1.3296610463703378E-2</v>
      </c>
      <c r="CI145" s="578">
        <v>1.4077150744895168E-2</v>
      </c>
      <c r="CJ145" s="578">
        <v>1.6072900846170537E-2</v>
      </c>
      <c r="CK145" s="578">
        <v>7.7183374181770499E-3</v>
      </c>
      <c r="CL145" s="578">
        <v>9.170338398825046E-3</v>
      </c>
      <c r="CM145" s="578">
        <v>4.8389011563026805E-3</v>
      </c>
      <c r="CN145" s="578">
        <v>6.4646854496333466E-3</v>
      </c>
      <c r="CO145" s="578">
        <v>4.2705842159207379E-3</v>
      </c>
      <c r="CP145" s="578">
        <v>5.3023596841832313E-3</v>
      </c>
      <c r="CQ145" s="578">
        <v>4.2683315283175132E-3</v>
      </c>
      <c r="CR145" s="578">
        <v>5.4000696783184296E-3</v>
      </c>
      <c r="CS145" s="578">
        <v>9.0970731156062839E-3</v>
      </c>
      <c r="CT145" s="578">
        <v>5.3075150914234058E-3</v>
      </c>
      <c r="CU145" s="578">
        <v>4.6031310965287068E-3</v>
      </c>
      <c r="CV145" s="578">
        <v>4.2127957475544099E-3</v>
      </c>
      <c r="CW145" s="578">
        <v>5.6565498946711396E-3</v>
      </c>
      <c r="CX145" s="578">
        <v>6.3462828914492937E-3</v>
      </c>
      <c r="CY145" s="578">
        <v>4.2494733949995419E-3</v>
      </c>
      <c r="CZ145" s="578">
        <v>3.3428165007112374E-3</v>
      </c>
      <c r="DA145" s="578">
        <v>1.2400676789959521E-2</v>
      </c>
      <c r="DB145" s="578">
        <v>1.3591812422158445E-2</v>
      </c>
      <c r="DC145" s="578">
        <v>1.4503263234227702E-2</v>
      </c>
      <c r="DD145" s="578">
        <v>1.7391304347826087E-2</v>
      </c>
      <c r="DE145" s="578">
        <v>4.9157686226761407E-3</v>
      </c>
      <c r="DF145" s="578">
        <v>5.3219106957424715E-3</v>
      </c>
      <c r="DG145" s="578">
        <v>3.5343185392066592E-3</v>
      </c>
      <c r="DH145" s="578">
        <v>5.4824934017512258E-3</v>
      </c>
      <c r="DI145" s="578">
        <v>5.1993641541926081E-3</v>
      </c>
      <c r="DJ145" s="578">
        <v>2.8575333275354395E-3</v>
      </c>
      <c r="DK145" s="578">
        <v>6.8685267819393742E-3</v>
      </c>
      <c r="DL145" s="578">
        <v>2.3560011110830533E-3</v>
      </c>
      <c r="DM145" s="578">
        <v>2.2621875353466803E-3</v>
      </c>
      <c r="DN145" s="578">
        <v>3.771560617314517E-3</v>
      </c>
      <c r="DO145" s="578">
        <v>0</v>
      </c>
      <c r="DP145" s="578">
        <v>2.6073619631901842E-3</v>
      </c>
      <c r="DQ145" s="578">
        <v>8.2657652333561846E-3</v>
      </c>
      <c r="DR145" s="578">
        <v>2.340866120464572E-3</v>
      </c>
      <c r="DS145" s="578">
        <v>1.2707192944222954E-2</v>
      </c>
      <c r="DT145" s="578">
        <v>1.6167476984306321E-2</v>
      </c>
      <c r="DU145" s="578">
        <v>6.2030194929290359E-3</v>
      </c>
      <c r="DV145" s="578">
        <v>3.9402500981895123E-3</v>
      </c>
      <c r="DW145" s="578">
        <v>2.0971358249464757E-2</v>
      </c>
      <c r="DX145" s="578">
        <v>2.7954669428832353E-2</v>
      </c>
      <c r="DY145" s="578">
        <v>1.5335725917376801E-3</v>
      </c>
      <c r="DZ145" s="578">
        <v>1.034216203562581E-2</v>
      </c>
      <c r="EA145" s="578">
        <v>1.216018590860829E-2</v>
      </c>
      <c r="EB145" s="578">
        <v>7.2422139497832312E-3</v>
      </c>
      <c r="EC145" s="578">
        <v>1.6242235929868773E-2</v>
      </c>
      <c r="ED145" s="578">
        <v>1.3125163951479408E-2</v>
      </c>
      <c r="EE145" s="578">
        <v>1.7398688300010647E-2</v>
      </c>
      <c r="EF145" s="578">
        <v>5.298098200827427E-3</v>
      </c>
      <c r="EG145" s="578">
        <v>1.5820149875104082E-2</v>
      </c>
      <c r="EH145" s="578">
        <v>2.5085197018104365E-2</v>
      </c>
      <c r="EI145" s="578">
        <v>2.9757890477475048E-2</v>
      </c>
      <c r="EJ145" s="578">
        <v>1.7909959494084984E-2</v>
      </c>
      <c r="EK145" s="578">
        <v>1.4001228336963198E-2</v>
      </c>
      <c r="EL145" s="578">
        <v>6.8194025842260753E-2</v>
      </c>
      <c r="EM145" s="578">
        <v>8.1617143558301627E-3</v>
      </c>
      <c r="EN145" s="578">
        <v>8.7285399182085846E-2</v>
      </c>
      <c r="EO145" s="578">
        <v>6.0420782669159082E-2</v>
      </c>
      <c r="EP145" s="578">
        <v>6.3092057889690217E-2</v>
      </c>
      <c r="EQ145" s="578">
        <v>4.737000871071282E-2</v>
      </c>
      <c r="ER145" s="578">
        <v>4.1176470588235294E-2</v>
      </c>
      <c r="ES145" s="578">
        <v>3.12306509447442E-3</v>
      </c>
      <c r="ET145" s="578">
        <v>3.9618863879389045E-3</v>
      </c>
      <c r="EU145" s="578">
        <v>7.8382596247491866E-3</v>
      </c>
      <c r="EV145" s="578">
        <v>2.3255375330064127E-2</v>
      </c>
      <c r="EW145" s="578">
        <v>1.5118811496130362E-2</v>
      </c>
      <c r="EX145" s="578">
        <v>6.6106464171452797E-3</v>
      </c>
      <c r="EY145" s="578">
        <v>4.6273384143323765E-3</v>
      </c>
      <c r="EZ145" s="578">
        <v>4.5105332684419108E-3</v>
      </c>
      <c r="FA145" s="578">
        <v>6.7266532715995458E-3</v>
      </c>
      <c r="FB145" s="578">
        <v>1.0398783042192144E-2</v>
      </c>
      <c r="FC145" s="578">
        <v>6.93000693000693E-4</v>
      </c>
      <c r="FD145" s="578">
        <v>7.1519952762879495E-3</v>
      </c>
      <c r="FE145" s="578">
        <v>3.5048690396239086E-3</v>
      </c>
      <c r="FF145" s="578">
        <v>3.2573413420701369E-3</v>
      </c>
      <c r="FG145" s="578">
        <v>2.9749478079331942E-3</v>
      </c>
      <c r="FH145" s="578">
        <v>2.7150056901316861E-3</v>
      </c>
      <c r="FI145" s="578">
        <v>2.8712615464117304E-2</v>
      </c>
      <c r="FJ145" s="578">
        <v>1.7137943014004453E-2</v>
      </c>
      <c r="FK145" s="578">
        <v>1.0761238391478051E-2</v>
      </c>
      <c r="FL145" s="578">
        <v>1.4662833246210141E-2</v>
      </c>
      <c r="FM145" s="578">
        <v>2.6215679306507898E-4</v>
      </c>
      <c r="FN145" s="578">
        <v>3.0872094652011914E-3</v>
      </c>
      <c r="FO145" s="578">
        <v>5.2622901062707303E-3</v>
      </c>
      <c r="FP145" s="578">
        <v>3.5893234172627866E-2</v>
      </c>
      <c r="FQ145" s="578">
        <v>2.1361741443893426E-2</v>
      </c>
      <c r="FR145" s="578">
        <v>4.2069285919395993E-3</v>
      </c>
      <c r="FS145" s="578">
        <v>2.6299265571564725E-2</v>
      </c>
      <c r="FT145" s="578">
        <v>3.4194020326531883E-2</v>
      </c>
      <c r="FU145" s="578">
        <v>1.2488849241748439E-2</v>
      </c>
      <c r="FV145" s="578">
        <v>1.298646893720414E-3</v>
      </c>
      <c r="FW145" s="578">
        <v>8.2772222806010692E-3</v>
      </c>
      <c r="FX145" s="578">
        <v>6.2028410301256829E-3</v>
      </c>
      <c r="FY145" s="578">
        <v>2.8570587022473566E-3</v>
      </c>
      <c r="FZ145" s="578">
        <v>1.9408098474118927E-2</v>
      </c>
      <c r="GA145" s="578">
        <v>4.3348847543075207E-3</v>
      </c>
      <c r="GB145" s="578">
        <v>2.4195944703069064E-3</v>
      </c>
      <c r="GC145" s="578">
        <v>4.9824992811319446E-3</v>
      </c>
      <c r="GD145" s="578">
        <v>2.8682646998565869E-3</v>
      </c>
      <c r="GE145" s="578">
        <v>0</v>
      </c>
      <c r="GF145" s="578">
        <v>2.8551716817916467E-3</v>
      </c>
      <c r="GG145" s="579">
        <v>1.4581412275583407E-2</v>
      </c>
      <c r="GH145" s="572"/>
    </row>
    <row r="146" spans="1:190">
      <c r="A146" s="572" t="s">
        <v>9350</v>
      </c>
      <c r="B146" s="577" t="s">
        <v>9466</v>
      </c>
      <c r="C146" s="573" t="s">
        <v>9544</v>
      </c>
      <c r="D146" s="578">
        <v>6.0251718289743815E-3</v>
      </c>
      <c r="E146" s="578">
        <v>1.6823495865412035E-2</v>
      </c>
      <c r="F146" s="578">
        <v>1.5791086285323716E-3</v>
      </c>
      <c r="G146" s="578">
        <v>1.9574944071588368E-3</v>
      </c>
      <c r="H146" s="578">
        <v>0</v>
      </c>
      <c r="I146" s="578">
        <v>2.4433946896888744E-3</v>
      </c>
      <c r="J146" s="578">
        <v>9.0193109890640858E-4</v>
      </c>
      <c r="K146" s="578">
        <v>6.7848389044794146E-3</v>
      </c>
      <c r="L146" s="578">
        <v>8.2831325301204826E-3</v>
      </c>
      <c r="M146" s="578">
        <v>2.9080334423845873E-3</v>
      </c>
      <c r="N146" s="578">
        <v>3.5587188612099642E-3</v>
      </c>
      <c r="O146" s="578">
        <v>1.8831566961548568E-3</v>
      </c>
      <c r="P146" s="578">
        <v>1.1049723756906077E-2</v>
      </c>
      <c r="Q146" s="578">
        <v>0</v>
      </c>
      <c r="R146" s="578">
        <v>1.5205471708778475E-2</v>
      </c>
      <c r="S146" s="578">
        <v>1.680672268907563E-2</v>
      </c>
      <c r="T146" s="578">
        <v>1.0923655783468867E-3</v>
      </c>
      <c r="U146" s="578">
        <v>1.2910753222906545E-3</v>
      </c>
      <c r="V146" s="578">
        <v>6.8638276283983408E-4</v>
      </c>
      <c r="W146" s="578">
        <v>9.1608760125985028E-4</v>
      </c>
      <c r="X146" s="578">
        <v>1.0492373835602417E-3</v>
      </c>
      <c r="Y146" s="578">
        <v>8.0700770635528036E-4</v>
      </c>
      <c r="Z146" s="578">
        <v>1.4413901765367447E-3</v>
      </c>
      <c r="AA146" s="578">
        <v>3.3941713556691708E-3</v>
      </c>
      <c r="AB146" s="578">
        <v>5.3682628301481646E-4</v>
      </c>
      <c r="AC146" s="578">
        <v>5.3554461432149948E-4</v>
      </c>
      <c r="AD146" s="578">
        <v>0</v>
      </c>
      <c r="AE146" s="578">
        <v>1.3519603424966202E-3</v>
      </c>
      <c r="AF146" s="578">
        <v>1.5171053629674581E-3</v>
      </c>
      <c r="AG146" s="578">
        <v>0</v>
      </c>
      <c r="AH146" s="578">
        <v>3.0852294639413806E-3</v>
      </c>
      <c r="AI146" s="578">
        <v>4.4771132642833274E-3</v>
      </c>
      <c r="AJ146" s="578">
        <v>3.8717133776365212E-3</v>
      </c>
      <c r="AK146" s="578">
        <v>4.3651783487153907E-3</v>
      </c>
      <c r="AL146" s="578">
        <v>1.3819543509272468E-3</v>
      </c>
      <c r="AM146" s="578">
        <v>2.2385489610836874E-3</v>
      </c>
      <c r="AN146" s="578">
        <v>3.795721187025535E-3</v>
      </c>
      <c r="AO146" s="578">
        <v>3.5301356997117597E-3</v>
      </c>
      <c r="AP146" s="578">
        <v>1.9059720457433292E-3</v>
      </c>
      <c r="AQ146" s="578">
        <v>2.1724737234130598E-3</v>
      </c>
      <c r="AR146" s="578">
        <v>1.4640078395258503E-3</v>
      </c>
      <c r="AS146" s="578">
        <v>1.9673676150085409E-3</v>
      </c>
      <c r="AT146" s="578">
        <v>9.7399233240078747E-4</v>
      </c>
      <c r="AU146" s="578">
        <v>1.0471032869226616E-3</v>
      </c>
      <c r="AV146" s="578">
        <v>4.2537894673776288E-3</v>
      </c>
      <c r="AW146" s="578">
        <v>1.3946253285415438E-3</v>
      </c>
      <c r="AX146" s="578">
        <v>2.2383392400618833E-3</v>
      </c>
      <c r="AY146" s="578">
        <v>6.3431652394544877E-4</v>
      </c>
      <c r="AZ146" s="578">
        <v>2.0062391210977238E-3</v>
      </c>
      <c r="BA146" s="578">
        <v>1.9436345966958211E-3</v>
      </c>
      <c r="BB146" s="578">
        <v>1.2867278157500206E-3</v>
      </c>
      <c r="BC146" s="578">
        <v>1.4635594174419438E-3</v>
      </c>
      <c r="BD146" s="578">
        <v>6.3339087668748992E-4</v>
      </c>
      <c r="BE146" s="578">
        <v>2.7379757232819205E-4</v>
      </c>
      <c r="BF146" s="578">
        <v>1.9047324083250744E-3</v>
      </c>
      <c r="BG146" s="578">
        <v>3.9925788497217072E-3</v>
      </c>
      <c r="BH146" s="578">
        <v>1.4978288352663113E-3</v>
      </c>
      <c r="BI146" s="578">
        <v>1.8975332068311196E-3</v>
      </c>
      <c r="BJ146" s="578">
        <v>2.3216399107632547E-3</v>
      </c>
      <c r="BK146" s="578">
        <v>7.7169000110241428E-4</v>
      </c>
      <c r="BL146" s="578">
        <v>2.7908864870350637E-4</v>
      </c>
      <c r="BM146" s="578">
        <v>9.7325941141850839E-4</v>
      </c>
      <c r="BN146" s="578">
        <v>1.8765432098765433E-3</v>
      </c>
      <c r="BO146" s="578">
        <v>1.1686191943288166E-3</v>
      </c>
      <c r="BP146" s="578">
        <v>1.7431725740848344E-3</v>
      </c>
      <c r="BQ146" s="578">
        <v>2.086463027875146E-3</v>
      </c>
      <c r="BR146" s="578">
        <v>1.7923250082681659E-3</v>
      </c>
      <c r="BS146" s="578">
        <v>1.9421993384383504E-3</v>
      </c>
      <c r="BT146" s="578">
        <v>2.5496266618102348E-3</v>
      </c>
      <c r="BU146" s="578">
        <v>1.0732103492284487E-3</v>
      </c>
      <c r="BV146" s="578">
        <v>3.9752054979113327E-3</v>
      </c>
      <c r="BW146" s="578">
        <v>7.3354840236313011E-4</v>
      </c>
      <c r="BX146" s="578">
        <v>0</v>
      </c>
      <c r="BY146" s="578">
        <v>5.1049262538349508E-4</v>
      </c>
      <c r="BZ146" s="578">
        <v>5.9602320075496267E-4</v>
      </c>
      <c r="CA146" s="578">
        <v>9.4080162570520922E-4</v>
      </c>
      <c r="CB146" s="578">
        <v>1.9607843137254902E-3</v>
      </c>
      <c r="CC146" s="578">
        <v>2.5425578350065474E-3</v>
      </c>
      <c r="CD146" s="578">
        <v>6.099594173667645E-4</v>
      </c>
      <c r="CE146" s="578">
        <v>0</v>
      </c>
      <c r="CF146" s="578">
        <v>1.5790304752881731E-3</v>
      </c>
      <c r="CG146" s="578">
        <v>1.1987686021932499E-3</v>
      </c>
      <c r="CH146" s="578">
        <v>9.7207596079293629E-4</v>
      </c>
      <c r="CI146" s="578">
        <v>1.2435645534359689E-3</v>
      </c>
      <c r="CJ146" s="578">
        <v>1.5795183336949447E-3</v>
      </c>
      <c r="CK146" s="578">
        <v>1.8407011810745661E-3</v>
      </c>
      <c r="CL146" s="578">
        <v>8.4974372808200704E-4</v>
      </c>
      <c r="CM146" s="578">
        <v>5.6509248047106864E-4</v>
      </c>
      <c r="CN146" s="578">
        <v>8.8045156310304898E-4</v>
      </c>
      <c r="CO146" s="578">
        <v>5.1247010591048861E-4</v>
      </c>
      <c r="CP146" s="578">
        <v>2.0029149565886067E-3</v>
      </c>
      <c r="CQ146" s="578">
        <v>1.7200738994712366E-3</v>
      </c>
      <c r="CR146" s="578">
        <v>4.6742538613401462E-4</v>
      </c>
      <c r="CS146" s="578">
        <v>2.2601423889705053E-3</v>
      </c>
      <c r="CT146" s="578">
        <v>1.1373246624478727E-3</v>
      </c>
      <c r="CU146" s="578">
        <v>3.2004256485497315E-3</v>
      </c>
      <c r="CV146" s="578">
        <v>2.124983737369357E-3</v>
      </c>
      <c r="CW146" s="578">
        <v>1.3263634235780603E-3</v>
      </c>
      <c r="CX146" s="578">
        <v>2.0059679330677745E-3</v>
      </c>
      <c r="CY146" s="578">
        <v>9.3415147907317515E-4</v>
      </c>
      <c r="CZ146" s="578">
        <v>1.2802275960170698E-3</v>
      </c>
      <c r="DA146" s="578">
        <v>2.3130796084898588E-3</v>
      </c>
      <c r="DB146" s="578">
        <v>1.8952726485081497E-3</v>
      </c>
      <c r="DC146" s="578">
        <v>7.2516316171138508E-4</v>
      </c>
      <c r="DD146" s="578">
        <v>9.6618357487922703E-4</v>
      </c>
      <c r="DE146" s="578">
        <v>3.2711214494702602E-4</v>
      </c>
      <c r="DF146" s="578">
        <v>1.2281332374790318E-3</v>
      </c>
      <c r="DG146" s="578">
        <v>1.4084784277531488E-3</v>
      </c>
      <c r="DH146" s="578">
        <v>7.8159513372073268E-4</v>
      </c>
      <c r="DI146" s="578">
        <v>2.6824744999337661E-3</v>
      </c>
      <c r="DJ146" s="578">
        <v>1.6772478226838451E-3</v>
      </c>
      <c r="DK146" s="578">
        <v>1.4978848416469968E-3</v>
      </c>
      <c r="DL146" s="578">
        <v>1.3964293830963865E-3</v>
      </c>
      <c r="DM146" s="578">
        <v>1.823888700373261E-3</v>
      </c>
      <c r="DN146" s="578">
        <v>2.1127341751258563E-3</v>
      </c>
      <c r="DO146" s="578">
        <v>0</v>
      </c>
      <c r="DP146" s="578">
        <v>3.7248028045574057E-4</v>
      </c>
      <c r="DQ146" s="578">
        <v>1.8123222151305267E-4</v>
      </c>
      <c r="DR146" s="578">
        <v>8.0696524380687517E-4</v>
      </c>
      <c r="DS146" s="578">
        <v>3.4259745920237929E-3</v>
      </c>
      <c r="DT146" s="578">
        <v>2.915685659929003E-4</v>
      </c>
      <c r="DU146" s="578">
        <v>3.2806726971588737E-3</v>
      </c>
      <c r="DV146" s="578">
        <v>1.482344892244929E-3</v>
      </c>
      <c r="DW146" s="578">
        <v>4.4673713312766566E-3</v>
      </c>
      <c r="DX146" s="578">
        <v>3.4200187549415593E-3</v>
      </c>
      <c r="DY146" s="578">
        <v>1.122511897045106E-3</v>
      </c>
      <c r="DZ146" s="578">
        <v>1.4921275954346959E-3</v>
      </c>
      <c r="EA146" s="578">
        <v>1.6315973404740758E-3</v>
      </c>
      <c r="EB146" s="578">
        <v>7.889455704153071E-4</v>
      </c>
      <c r="EC146" s="578">
        <v>2.1499325661264823E-3</v>
      </c>
      <c r="ED146" s="578">
        <v>2.5825184756356795E-3</v>
      </c>
      <c r="EE146" s="578">
        <v>5.5541374475852334E-4</v>
      </c>
      <c r="EF146" s="578">
        <v>4.4899137295147687E-4</v>
      </c>
      <c r="EG146" s="578">
        <v>5.5509297807382742E-4</v>
      </c>
      <c r="EH146" s="578">
        <v>5.3780617678381257E-4</v>
      </c>
      <c r="EI146" s="578">
        <v>8.767197194496898E-4</v>
      </c>
      <c r="EJ146" s="578">
        <v>2.8139343223594986E-3</v>
      </c>
      <c r="EK146" s="578">
        <v>1.5235231061061039E-3</v>
      </c>
      <c r="EL146" s="578">
        <v>2.1172152427561099E-3</v>
      </c>
      <c r="EM146" s="578">
        <v>3.182356130983245E-3</v>
      </c>
      <c r="EN146" s="578">
        <v>3.4542811740828961E-3</v>
      </c>
      <c r="EO146" s="578">
        <v>4.6683593573028309E-3</v>
      </c>
      <c r="EP146" s="578">
        <v>1.2085536158670581E-2</v>
      </c>
      <c r="EQ146" s="578">
        <v>1.72858503452086E-4</v>
      </c>
      <c r="ER146" s="578">
        <v>2.4509803921568627E-3</v>
      </c>
      <c r="ES146" s="578">
        <v>1.8915296214899538E-3</v>
      </c>
      <c r="ET146" s="578">
        <v>9.0142853167720291E-3</v>
      </c>
      <c r="EU146" s="578">
        <v>3.1446909871748236E-3</v>
      </c>
      <c r="EV146" s="578">
        <v>5.1754055073557147E-2</v>
      </c>
      <c r="EW146" s="578">
        <v>2.6776338816940849E-2</v>
      </c>
      <c r="EX146" s="578">
        <v>1.0735073044751957E-2</v>
      </c>
      <c r="EY146" s="578">
        <v>1.380777986736613E-2</v>
      </c>
      <c r="EZ146" s="578">
        <v>3.3025099075297226E-4</v>
      </c>
      <c r="FA146" s="578">
        <v>2.8173320520660434E-3</v>
      </c>
      <c r="FB146" s="578">
        <v>1.345804227646664E-3</v>
      </c>
      <c r="FC146" s="578">
        <v>3.465003465003465E-4</v>
      </c>
      <c r="FD146" s="578">
        <v>3.4517541701520444E-3</v>
      </c>
      <c r="FE146" s="578">
        <v>1.1962726662189389E-3</v>
      </c>
      <c r="FF146" s="578">
        <v>1.4826780730493871E-3</v>
      </c>
      <c r="FG146" s="578">
        <v>1.1482254697286012E-3</v>
      </c>
      <c r="FH146" s="578">
        <v>1.6907819866688342E-3</v>
      </c>
      <c r="FI146" s="578">
        <v>4.6978407549430092E-4</v>
      </c>
      <c r="FJ146" s="578">
        <v>5.6268402558275958E-4</v>
      </c>
      <c r="FK146" s="578">
        <v>3.6911362903775229E-4</v>
      </c>
      <c r="FL146" s="578">
        <v>8.7558808154730792E-4</v>
      </c>
      <c r="FM146" s="578">
        <v>3.5536809726599593E-4</v>
      </c>
      <c r="FN146" s="578">
        <v>4.1648379355103797E-4</v>
      </c>
      <c r="FO146" s="578">
        <v>2.7628508461602065E-4</v>
      </c>
      <c r="FP146" s="578">
        <v>2.8361642454227459E-4</v>
      </c>
      <c r="FQ146" s="578">
        <v>4.8422915727429079E-4</v>
      </c>
      <c r="FR146" s="578">
        <v>1.5968585776285715E-3</v>
      </c>
      <c r="FS146" s="578">
        <v>1.4071873072826148E-3</v>
      </c>
      <c r="FT146" s="578">
        <v>4.1867052652876996E-3</v>
      </c>
      <c r="FU146" s="578">
        <v>2.2232896452343373E-2</v>
      </c>
      <c r="FV146" s="578">
        <v>1.1101336349545474E-3</v>
      </c>
      <c r="FW146" s="578">
        <v>1.0184863353083346E-3</v>
      </c>
      <c r="FX146" s="578">
        <v>2.3264157501149194E-4</v>
      </c>
      <c r="FY146" s="578">
        <v>1.1969121273707295E-3</v>
      </c>
      <c r="FZ146" s="578">
        <v>1.8927335490269964E-3</v>
      </c>
      <c r="GA146" s="578">
        <v>1.4188232180576907E-3</v>
      </c>
      <c r="GB146" s="578">
        <v>5.3297110164655058E-4</v>
      </c>
      <c r="GC146" s="578">
        <v>4.1619981557316091E-3</v>
      </c>
      <c r="GD146" s="578">
        <v>3.1974098293483261E-3</v>
      </c>
      <c r="GE146" s="578">
        <v>0</v>
      </c>
      <c r="GF146" s="578">
        <v>4.882449716074935E-4</v>
      </c>
      <c r="GG146" s="579">
        <v>2.3576069471950871E-3</v>
      </c>
      <c r="GH146" s="572"/>
    </row>
    <row r="147" spans="1:190">
      <c r="A147" s="572" t="s">
        <v>9351</v>
      </c>
      <c r="B147" s="577" t="s">
        <v>9467</v>
      </c>
      <c r="C147" s="573" t="s">
        <v>9102</v>
      </c>
      <c r="D147" s="578">
        <v>1.7852360974738909E-4</v>
      </c>
      <c r="E147" s="578">
        <v>2.8514399771884804E-4</v>
      </c>
      <c r="F147" s="578">
        <v>2.3568785500483161E-4</v>
      </c>
      <c r="G147" s="578">
        <v>2.7964205816554809E-4</v>
      </c>
      <c r="H147" s="578">
        <v>0</v>
      </c>
      <c r="I147" s="578">
        <v>6.1899332138784817E-3</v>
      </c>
      <c r="J147" s="578">
        <v>6.4423649921886318E-5</v>
      </c>
      <c r="K147" s="578">
        <v>2.5860537813932008E-2</v>
      </c>
      <c r="L147" s="578">
        <v>3.0120481927710846E-4</v>
      </c>
      <c r="M147" s="578">
        <v>7.2700836059614682E-4</v>
      </c>
      <c r="N147" s="578">
        <v>2.8469750889679717E-3</v>
      </c>
      <c r="O147" s="578">
        <v>1.0072698607339931E-3</v>
      </c>
      <c r="P147" s="578">
        <v>0</v>
      </c>
      <c r="Q147" s="578">
        <v>0</v>
      </c>
      <c r="R147" s="578">
        <v>7.8005765643547565E-3</v>
      </c>
      <c r="S147" s="578">
        <v>2.8011204481792717E-3</v>
      </c>
      <c r="T147" s="578">
        <v>3.4279940821996895E-3</v>
      </c>
      <c r="U147" s="578">
        <v>2.1039745992884741E-3</v>
      </c>
      <c r="V147" s="578">
        <v>1.3951475722940106E-3</v>
      </c>
      <c r="W147" s="578">
        <v>4.5926933588244668E-3</v>
      </c>
      <c r="X147" s="578">
        <v>1.0492373835602417E-3</v>
      </c>
      <c r="Y147" s="578">
        <v>1.9133281300911578E-3</v>
      </c>
      <c r="Z147" s="578">
        <v>2.7056262531639456E-3</v>
      </c>
      <c r="AA147" s="578">
        <v>4.6652004608075557E-3</v>
      </c>
      <c r="AB147" s="578">
        <v>8.011099915759568E-4</v>
      </c>
      <c r="AC147" s="578">
        <v>6.3919841064178978E-4</v>
      </c>
      <c r="AD147" s="578">
        <v>0</v>
      </c>
      <c r="AE147" s="578">
        <v>2.2532672374943668E-3</v>
      </c>
      <c r="AF147" s="578">
        <v>1.5929606311158311E-3</v>
      </c>
      <c r="AG147" s="578">
        <v>0</v>
      </c>
      <c r="AH147" s="578">
        <v>4.6278441959120712E-3</v>
      </c>
      <c r="AI147" s="578">
        <v>2.472435683260942E-3</v>
      </c>
      <c r="AJ147" s="578">
        <v>4.4495810459404799E-3</v>
      </c>
      <c r="AK147" s="578">
        <v>4.7393364928909956E-3</v>
      </c>
      <c r="AL147" s="578">
        <v>4.7253922967189733E-3</v>
      </c>
      <c r="AM147" s="578">
        <v>1.0905751348869246E-3</v>
      </c>
      <c r="AN147" s="578">
        <v>3.062456866804693E-3</v>
      </c>
      <c r="AO147" s="578">
        <v>5.8943550215370668E-3</v>
      </c>
      <c r="AP147" s="578">
        <v>1.9059720457433292E-3</v>
      </c>
      <c r="AQ147" s="578">
        <v>1.6138376231068442E-3</v>
      </c>
      <c r="AR147" s="578">
        <v>2.8689831048772712E-3</v>
      </c>
      <c r="AS147" s="578">
        <v>1.6846321493785711E-3</v>
      </c>
      <c r="AT147" s="578">
        <v>2.7976375505129004E-3</v>
      </c>
      <c r="AU147" s="578">
        <v>4.8673941853045596E-3</v>
      </c>
      <c r="AV147" s="578">
        <v>1.1383380264813373E-3</v>
      </c>
      <c r="AW147" s="578">
        <v>1.9846591213860429E-3</v>
      </c>
      <c r="AX147" s="578">
        <v>3.2038973436179902E-3</v>
      </c>
      <c r="AY147" s="578">
        <v>1.4272121788772598E-3</v>
      </c>
      <c r="AZ147" s="578">
        <v>1.672807830549088E-3</v>
      </c>
      <c r="BA147" s="578">
        <v>2.9154518950437317E-3</v>
      </c>
      <c r="BB147" s="578">
        <v>2.2901394151881101E-3</v>
      </c>
      <c r="BC147" s="578">
        <v>1.8422426233534956E-3</v>
      </c>
      <c r="BD147" s="578">
        <v>2.1734000670649164E-3</v>
      </c>
      <c r="BE147" s="578">
        <v>4.0999431343503624E-3</v>
      </c>
      <c r="BF147" s="578">
        <v>8.6719524281466797E-4</v>
      </c>
      <c r="BG147" s="578">
        <v>2.3228200371057514E-3</v>
      </c>
      <c r="BH147" s="578">
        <v>1.1405485626339801E-3</v>
      </c>
      <c r="BI147" s="578">
        <v>9.7045269720791548E-3</v>
      </c>
      <c r="BJ147" s="578">
        <v>1.0597894441672405E-3</v>
      </c>
      <c r="BK147" s="578">
        <v>3.3072428618674895E-4</v>
      </c>
      <c r="BL147" s="578">
        <v>8.2458009844217791E-4</v>
      </c>
      <c r="BM147" s="578">
        <v>3.3571724638577255E-3</v>
      </c>
      <c r="BN147" s="578">
        <v>1.7283950617283952E-3</v>
      </c>
      <c r="BO147" s="578">
        <v>3.2064592770013811E-3</v>
      </c>
      <c r="BP147" s="578">
        <v>1.5979081929110982E-3</v>
      </c>
      <c r="BQ147" s="578">
        <v>2.5315751404885105E-3</v>
      </c>
      <c r="BR147" s="578">
        <v>2.1337202479382927E-3</v>
      </c>
      <c r="BS147" s="578">
        <v>4.1271735941814944E-3</v>
      </c>
      <c r="BT147" s="578">
        <v>2.9138590420688397E-3</v>
      </c>
      <c r="BU147" s="578">
        <v>2.0303979579997678E-3</v>
      </c>
      <c r="BV147" s="578">
        <v>2.0212909311413557E-3</v>
      </c>
      <c r="BW147" s="578">
        <v>7.2678758759480637E-4</v>
      </c>
      <c r="BX147" s="578">
        <v>0</v>
      </c>
      <c r="BY147" s="578">
        <v>1.5752701356809321E-3</v>
      </c>
      <c r="BZ147" s="578">
        <v>1.7659946689035932E-3</v>
      </c>
      <c r="CA147" s="578">
        <v>1.252834164897437E-3</v>
      </c>
      <c r="CB147" s="578">
        <v>3.5368577810871182E-3</v>
      </c>
      <c r="CC147" s="578">
        <v>1.7186817983413356E-3</v>
      </c>
      <c r="CD147" s="578">
        <v>9.0273993770281151E-4</v>
      </c>
      <c r="CE147" s="578">
        <v>0</v>
      </c>
      <c r="CF147" s="578">
        <v>1.1053213327017212E-3</v>
      </c>
      <c r="CG147" s="578">
        <v>1.2058619075316717E-3</v>
      </c>
      <c r="CH147" s="578">
        <v>1.1109439551919271E-2</v>
      </c>
      <c r="CI147" s="578">
        <v>2.5368716890093765E-3</v>
      </c>
      <c r="CJ147" s="578">
        <v>2.3085267954003038E-3</v>
      </c>
      <c r="CK147" s="578">
        <v>2.5542880772993636E-3</v>
      </c>
      <c r="CL147" s="578">
        <v>1.8823247309894195E-3</v>
      </c>
      <c r="CM147" s="578">
        <v>3.3003300330033004E-3</v>
      </c>
      <c r="CN147" s="578">
        <v>3.5218062524121959E-3</v>
      </c>
      <c r="CO147" s="578">
        <v>1.3665869490946361E-3</v>
      </c>
      <c r="CP147" s="578">
        <v>4.0684210055706074E-3</v>
      </c>
      <c r="CQ147" s="578">
        <v>2.038606103077021E-3</v>
      </c>
      <c r="CR147" s="578">
        <v>9.493670886075949E-4</v>
      </c>
      <c r="CS147" s="578">
        <v>2.090631709797717E-3</v>
      </c>
      <c r="CT147" s="578">
        <v>4.2868391123035195E-3</v>
      </c>
      <c r="CU147" s="578">
        <v>2.2491656321042192E-3</v>
      </c>
      <c r="CV147" s="578">
        <v>2.1621554645536605E-3</v>
      </c>
      <c r="CW147" s="578">
        <v>2.2236092689396896E-3</v>
      </c>
      <c r="CX147" s="578">
        <v>5.0755985779757573E-3</v>
      </c>
      <c r="CY147" s="578">
        <v>3.6267057422840919E-3</v>
      </c>
      <c r="CZ147" s="578">
        <v>1.4758179231863441E-3</v>
      </c>
      <c r="DA147" s="578">
        <v>2.3130796084898588E-3</v>
      </c>
      <c r="DB147" s="578">
        <v>1.2996155304055884E-3</v>
      </c>
      <c r="DC147" s="578">
        <v>2.9006526468455403E-3</v>
      </c>
      <c r="DD147" s="578">
        <v>2.8985507246376812E-3</v>
      </c>
      <c r="DE147" s="578">
        <v>1.244843440492849E-3</v>
      </c>
      <c r="DF147" s="578">
        <v>1.5875868679606998E-3</v>
      </c>
      <c r="DG147" s="578">
        <v>1.4806520117839779E-3</v>
      </c>
      <c r="DH147" s="578">
        <v>3.9646129971341515E-3</v>
      </c>
      <c r="DI147" s="578">
        <v>1.7551993641541925E-3</v>
      </c>
      <c r="DJ147" s="578">
        <v>2.3481469517573831E-3</v>
      </c>
      <c r="DK147" s="578">
        <v>6.0495220056194839E-3</v>
      </c>
      <c r="DL147" s="578">
        <v>1.6464230701244919E-3</v>
      </c>
      <c r="DM147" s="578">
        <v>6.9845040153828754E-3</v>
      </c>
      <c r="DN147" s="578">
        <v>1.5515391598580506E-3</v>
      </c>
      <c r="DO147" s="578">
        <v>0</v>
      </c>
      <c r="DP147" s="578">
        <v>6.3540753724802802E-4</v>
      </c>
      <c r="DQ147" s="578">
        <v>1.3474221686405219E-3</v>
      </c>
      <c r="DR147" s="578">
        <v>4.4349742738146447E-4</v>
      </c>
      <c r="DS147" s="578">
        <v>2.1728819208532567E-3</v>
      </c>
      <c r="DT147" s="578">
        <v>1.6765192544591768E-4</v>
      </c>
      <c r="DU147" s="578">
        <v>6.3702382469104344E-4</v>
      </c>
      <c r="DV147" s="578">
        <v>3.0787163146625447E-3</v>
      </c>
      <c r="DW147" s="578">
        <v>3.3716010047370993E-3</v>
      </c>
      <c r="DX147" s="578">
        <v>2.047108000269679E-3</v>
      </c>
      <c r="DY147" s="578">
        <v>2.0553034734628701E-4</v>
      </c>
      <c r="DZ147" s="578">
        <v>9.4512641823696533E-3</v>
      </c>
      <c r="EA147" s="578">
        <v>4.8925661041773786E-3</v>
      </c>
      <c r="EB147" s="578">
        <v>2.8800343153024804E-3</v>
      </c>
      <c r="EC147" s="578">
        <v>2.0092541905335688E-3</v>
      </c>
      <c r="ED147" s="578">
        <v>2.7950900489366898E-3</v>
      </c>
      <c r="EE147" s="578">
        <v>4.4971838085990359E-3</v>
      </c>
      <c r="EF147" s="578">
        <v>8.4891440300182801E-3</v>
      </c>
      <c r="EG147" s="578">
        <v>2.8309741881765195E-2</v>
      </c>
      <c r="EH147" s="578">
        <v>1.4749733759318424E-3</v>
      </c>
      <c r="EI147" s="578">
        <v>2.1299793184066181E-3</v>
      </c>
      <c r="EJ147" s="578">
        <v>3.4851084366801864E-2</v>
      </c>
      <c r="EK147" s="578">
        <v>2.0344614241003339E-2</v>
      </c>
      <c r="EL147" s="578">
        <v>1.7431589627286564E-2</v>
      </c>
      <c r="EM147" s="578">
        <v>1.2893687931191444E-2</v>
      </c>
      <c r="EN147" s="578">
        <v>3.9806397620120552E-2</v>
      </c>
      <c r="EO147" s="578">
        <v>0.10068685945480654</v>
      </c>
      <c r="EP147" s="578">
        <v>7.9385658907498123E-3</v>
      </c>
      <c r="EQ147" s="578">
        <v>1.6506292388463897E-3</v>
      </c>
      <c r="ER147" s="578">
        <v>4.9019607843137254E-3</v>
      </c>
      <c r="ES147" s="578">
        <v>6.2869545692687675E-3</v>
      </c>
      <c r="ET147" s="578">
        <v>1.1795556062017435E-2</v>
      </c>
      <c r="EU147" s="578">
        <v>5.9843000129073136E-4</v>
      </c>
      <c r="EV147" s="578">
        <v>3.6589966050546963E-3</v>
      </c>
      <c r="EW147" s="578">
        <v>0.1826021856648388</v>
      </c>
      <c r="EX147" s="578">
        <v>4.2978838222256484E-3</v>
      </c>
      <c r="EY147" s="578">
        <v>9.2398297535385532E-2</v>
      </c>
      <c r="EZ147" s="578">
        <v>7.3089758742960434E-2</v>
      </c>
      <c r="FA147" s="578">
        <v>3.332750939110684E-2</v>
      </c>
      <c r="FB147" s="578">
        <v>2.3256441477753756E-2</v>
      </c>
      <c r="FC147" s="578">
        <v>1.4358108108108109E-2</v>
      </c>
      <c r="FD147" s="578">
        <v>8.5937115583329237E-3</v>
      </c>
      <c r="FE147" s="578">
        <v>6.2332102081934185E-3</v>
      </c>
      <c r="FF147" s="578">
        <v>3.5299872588278124E-2</v>
      </c>
      <c r="FG147" s="578">
        <v>4.8173277661795404E-2</v>
      </c>
      <c r="FH147" s="578">
        <v>1.2453259632580068E-2</v>
      </c>
      <c r="FI147" s="578">
        <v>3.855165569525107E-3</v>
      </c>
      <c r="FJ147" s="578">
        <v>8.5313833028641077E-4</v>
      </c>
      <c r="FK147" s="578">
        <v>1.3462987461321874E-3</v>
      </c>
      <c r="FL147" s="578">
        <v>3.2540512284370098E-3</v>
      </c>
      <c r="FM147" s="578">
        <v>2.4642738548117421E-3</v>
      </c>
      <c r="FN147" s="578">
        <v>2.4167265867939151E-2</v>
      </c>
      <c r="FO147" s="578">
        <v>2.0062852381077342E-2</v>
      </c>
      <c r="FP147" s="578">
        <v>1.2195506255317809E-2</v>
      </c>
      <c r="FQ147" s="578">
        <v>5.3793963276505983E-3</v>
      </c>
      <c r="FR147" s="578">
        <v>1.1042603906700503E-2</v>
      </c>
      <c r="FS147" s="578">
        <v>1.7900992319336211E-2</v>
      </c>
      <c r="FT147" s="578">
        <v>1.1169735360798535E-2</v>
      </c>
      <c r="FU147" s="578">
        <v>2.298771701091059E-2</v>
      </c>
      <c r="FV147" s="578">
        <v>1.1101336349545474E-3</v>
      </c>
      <c r="FW147" s="578">
        <v>4.21136016425113E-3</v>
      </c>
      <c r="FX147" s="578">
        <v>1.7321987151458075E-3</v>
      </c>
      <c r="FY147" s="578">
        <v>8.8621480333064672E-3</v>
      </c>
      <c r="FZ147" s="578">
        <v>1.1451687651321232E-2</v>
      </c>
      <c r="GA147" s="578">
        <v>9.9791383160683974E-3</v>
      </c>
      <c r="GB147" s="578">
        <v>3.0124658639084232E-2</v>
      </c>
      <c r="GC147" s="578">
        <v>8.3239963114632182E-3</v>
      </c>
      <c r="GD147" s="578">
        <v>2.1142536634188774E-2</v>
      </c>
      <c r="GE147" s="578">
        <v>0</v>
      </c>
      <c r="GF147" s="578">
        <v>3.182083532346229E-2</v>
      </c>
      <c r="GG147" s="579">
        <v>1.0788485779201558E-2</v>
      </c>
      <c r="GH147" s="572"/>
    </row>
    <row r="148" spans="1:190">
      <c r="A148" s="572" t="s">
        <v>9352</v>
      </c>
      <c r="B148" s="577" t="s">
        <v>657</v>
      </c>
      <c r="C148" s="573" t="s">
        <v>7187</v>
      </c>
      <c r="D148" s="578">
        <v>0</v>
      </c>
      <c r="E148" s="578">
        <v>0</v>
      </c>
      <c r="F148" s="578">
        <v>0</v>
      </c>
      <c r="G148" s="578">
        <v>0</v>
      </c>
      <c r="H148" s="578">
        <v>0</v>
      </c>
      <c r="I148" s="578">
        <v>0</v>
      </c>
      <c r="J148" s="578">
        <v>0</v>
      </c>
      <c r="K148" s="578">
        <v>0</v>
      </c>
      <c r="L148" s="578">
        <v>0</v>
      </c>
      <c r="M148" s="578">
        <v>0</v>
      </c>
      <c r="N148" s="578">
        <v>0</v>
      </c>
      <c r="O148" s="578">
        <v>0</v>
      </c>
      <c r="P148" s="578">
        <v>0</v>
      </c>
      <c r="Q148" s="578">
        <v>0</v>
      </c>
      <c r="R148" s="578">
        <v>0</v>
      </c>
      <c r="S148" s="578">
        <v>0</v>
      </c>
      <c r="T148" s="578">
        <v>0</v>
      </c>
      <c r="U148" s="578">
        <v>0</v>
      </c>
      <c r="V148" s="578">
        <v>0</v>
      </c>
      <c r="W148" s="578">
        <v>0</v>
      </c>
      <c r="X148" s="578">
        <v>0</v>
      </c>
      <c r="Y148" s="578">
        <v>0</v>
      </c>
      <c r="Z148" s="578">
        <v>0</v>
      </c>
      <c r="AA148" s="578">
        <v>0</v>
      </c>
      <c r="AB148" s="578">
        <v>0</v>
      </c>
      <c r="AC148" s="578">
        <v>0</v>
      </c>
      <c r="AD148" s="578">
        <v>0</v>
      </c>
      <c r="AE148" s="578">
        <v>0</v>
      </c>
      <c r="AF148" s="578">
        <v>0</v>
      </c>
      <c r="AG148" s="578">
        <v>0</v>
      </c>
      <c r="AH148" s="578">
        <v>0</v>
      </c>
      <c r="AI148" s="578">
        <v>0</v>
      </c>
      <c r="AJ148" s="578">
        <v>0</v>
      </c>
      <c r="AK148" s="578">
        <v>0</v>
      </c>
      <c r="AL148" s="578">
        <v>0</v>
      </c>
      <c r="AM148" s="578">
        <v>0</v>
      </c>
      <c r="AN148" s="578">
        <v>0</v>
      </c>
      <c r="AO148" s="578">
        <v>0</v>
      </c>
      <c r="AP148" s="578">
        <v>0</v>
      </c>
      <c r="AQ148" s="578">
        <v>0</v>
      </c>
      <c r="AR148" s="578">
        <v>0</v>
      </c>
      <c r="AS148" s="578">
        <v>0</v>
      </c>
      <c r="AT148" s="578">
        <v>0</v>
      </c>
      <c r="AU148" s="578">
        <v>0</v>
      </c>
      <c r="AV148" s="578">
        <v>0</v>
      </c>
      <c r="AW148" s="578">
        <v>0</v>
      </c>
      <c r="AX148" s="578">
        <v>0</v>
      </c>
      <c r="AY148" s="578">
        <v>0</v>
      </c>
      <c r="AZ148" s="578">
        <v>0</v>
      </c>
      <c r="BA148" s="578">
        <v>0</v>
      </c>
      <c r="BB148" s="578">
        <v>0</v>
      </c>
      <c r="BC148" s="578">
        <v>0</v>
      </c>
      <c r="BD148" s="578">
        <v>0</v>
      </c>
      <c r="BE148" s="578">
        <v>0</v>
      </c>
      <c r="BF148" s="578">
        <v>0</v>
      </c>
      <c r="BG148" s="578">
        <v>0</v>
      </c>
      <c r="BH148" s="578">
        <v>0</v>
      </c>
      <c r="BI148" s="578">
        <v>0</v>
      </c>
      <c r="BJ148" s="578">
        <v>0</v>
      </c>
      <c r="BK148" s="578">
        <v>0</v>
      </c>
      <c r="BL148" s="578">
        <v>0</v>
      </c>
      <c r="BM148" s="578">
        <v>0</v>
      </c>
      <c r="BN148" s="578">
        <v>0</v>
      </c>
      <c r="BO148" s="578">
        <v>0</v>
      </c>
      <c r="BP148" s="578">
        <v>0</v>
      </c>
      <c r="BQ148" s="578">
        <v>0</v>
      </c>
      <c r="BR148" s="578">
        <v>0</v>
      </c>
      <c r="BS148" s="578">
        <v>0</v>
      </c>
      <c r="BT148" s="578">
        <v>0</v>
      </c>
      <c r="BU148" s="578">
        <v>0</v>
      </c>
      <c r="BV148" s="578">
        <v>0</v>
      </c>
      <c r="BW148" s="578">
        <v>0</v>
      </c>
      <c r="BX148" s="578">
        <v>0</v>
      </c>
      <c r="BY148" s="578">
        <v>0</v>
      </c>
      <c r="BZ148" s="578">
        <v>0</v>
      </c>
      <c r="CA148" s="578">
        <v>0</v>
      </c>
      <c r="CB148" s="578">
        <v>0</v>
      </c>
      <c r="CC148" s="578">
        <v>0</v>
      </c>
      <c r="CD148" s="578">
        <v>0</v>
      </c>
      <c r="CE148" s="578">
        <v>0</v>
      </c>
      <c r="CF148" s="578">
        <v>0</v>
      </c>
      <c r="CG148" s="578">
        <v>0</v>
      </c>
      <c r="CH148" s="578">
        <v>0</v>
      </c>
      <c r="CI148" s="578">
        <v>0</v>
      </c>
      <c r="CJ148" s="578">
        <v>0</v>
      </c>
      <c r="CK148" s="578">
        <v>0</v>
      </c>
      <c r="CL148" s="578">
        <v>0</v>
      </c>
      <c r="CM148" s="578">
        <v>0</v>
      </c>
      <c r="CN148" s="578">
        <v>0</v>
      </c>
      <c r="CO148" s="578">
        <v>0</v>
      </c>
      <c r="CP148" s="578">
        <v>0</v>
      </c>
      <c r="CQ148" s="578">
        <v>0</v>
      </c>
      <c r="CR148" s="578">
        <v>0</v>
      </c>
      <c r="CS148" s="578">
        <v>0</v>
      </c>
      <c r="CT148" s="578">
        <v>0</v>
      </c>
      <c r="CU148" s="578">
        <v>0</v>
      </c>
      <c r="CV148" s="578">
        <v>0</v>
      </c>
      <c r="CW148" s="578">
        <v>0</v>
      </c>
      <c r="CX148" s="578">
        <v>0</v>
      </c>
      <c r="CY148" s="578">
        <v>0</v>
      </c>
      <c r="CZ148" s="578">
        <v>0</v>
      </c>
      <c r="DA148" s="578">
        <v>0</v>
      </c>
      <c r="DB148" s="578">
        <v>0</v>
      </c>
      <c r="DC148" s="578">
        <v>0</v>
      </c>
      <c r="DD148" s="578">
        <v>0</v>
      </c>
      <c r="DE148" s="578">
        <v>0</v>
      </c>
      <c r="DF148" s="578">
        <v>0</v>
      </c>
      <c r="DG148" s="578">
        <v>0</v>
      </c>
      <c r="DH148" s="578">
        <v>0</v>
      </c>
      <c r="DI148" s="578">
        <v>0</v>
      </c>
      <c r="DJ148" s="578">
        <v>0</v>
      </c>
      <c r="DK148" s="578">
        <v>0</v>
      </c>
      <c r="DL148" s="578">
        <v>0</v>
      </c>
      <c r="DM148" s="578">
        <v>0</v>
      </c>
      <c r="DN148" s="578">
        <v>0</v>
      </c>
      <c r="DO148" s="578">
        <v>0</v>
      </c>
      <c r="DP148" s="578">
        <v>0</v>
      </c>
      <c r="DQ148" s="578">
        <v>0</v>
      </c>
      <c r="DR148" s="578">
        <v>0</v>
      </c>
      <c r="DS148" s="578">
        <v>0</v>
      </c>
      <c r="DT148" s="578">
        <v>0</v>
      </c>
      <c r="DU148" s="578">
        <v>0</v>
      </c>
      <c r="DV148" s="578">
        <v>0</v>
      </c>
      <c r="DW148" s="578">
        <v>0</v>
      </c>
      <c r="DX148" s="578">
        <v>0</v>
      </c>
      <c r="DY148" s="578">
        <v>0</v>
      </c>
      <c r="DZ148" s="578">
        <v>0</v>
      </c>
      <c r="EA148" s="578">
        <v>0</v>
      </c>
      <c r="EB148" s="578">
        <v>0</v>
      </c>
      <c r="EC148" s="578">
        <v>0</v>
      </c>
      <c r="ED148" s="578">
        <v>0</v>
      </c>
      <c r="EE148" s="578">
        <v>0</v>
      </c>
      <c r="EF148" s="578">
        <v>0</v>
      </c>
      <c r="EG148" s="578">
        <v>0</v>
      </c>
      <c r="EH148" s="578">
        <v>0</v>
      </c>
      <c r="EI148" s="578">
        <v>0</v>
      </c>
      <c r="EJ148" s="578">
        <v>0</v>
      </c>
      <c r="EK148" s="578">
        <v>0</v>
      </c>
      <c r="EL148" s="578">
        <v>0</v>
      </c>
      <c r="EM148" s="578">
        <v>0</v>
      </c>
      <c r="EN148" s="578">
        <v>0</v>
      </c>
      <c r="EO148" s="578">
        <v>0</v>
      </c>
      <c r="EP148" s="578">
        <v>0</v>
      </c>
      <c r="EQ148" s="578">
        <v>0</v>
      </c>
      <c r="ER148" s="578">
        <v>0</v>
      </c>
      <c r="ES148" s="578">
        <v>0</v>
      </c>
      <c r="ET148" s="578">
        <v>0</v>
      </c>
      <c r="EU148" s="578">
        <v>0</v>
      </c>
      <c r="EV148" s="578">
        <v>0</v>
      </c>
      <c r="EW148" s="578">
        <v>0</v>
      </c>
      <c r="EX148" s="578">
        <v>0</v>
      </c>
      <c r="EY148" s="578">
        <v>0</v>
      </c>
      <c r="EZ148" s="578">
        <v>0</v>
      </c>
      <c r="FA148" s="578">
        <v>0</v>
      </c>
      <c r="FB148" s="578">
        <v>0</v>
      </c>
      <c r="FC148" s="578">
        <v>0</v>
      </c>
      <c r="FD148" s="578">
        <v>0</v>
      </c>
      <c r="FE148" s="578">
        <v>0</v>
      </c>
      <c r="FF148" s="578">
        <v>0</v>
      </c>
      <c r="FG148" s="578">
        <v>0</v>
      </c>
      <c r="FH148" s="578">
        <v>0</v>
      </c>
      <c r="FI148" s="578">
        <v>0</v>
      </c>
      <c r="FJ148" s="578">
        <v>0</v>
      </c>
      <c r="FK148" s="578">
        <v>0</v>
      </c>
      <c r="FL148" s="578">
        <v>0</v>
      </c>
      <c r="FM148" s="578">
        <v>0</v>
      </c>
      <c r="FN148" s="578">
        <v>0</v>
      </c>
      <c r="FO148" s="578">
        <v>0</v>
      </c>
      <c r="FP148" s="578">
        <v>0</v>
      </c>
      <c r="FQ148" s="578">
        <v>0</v>
      </c>
      <c r="FR148" s="578">
        <v>0</v>
      </c>
      <c r="FS148" s="578">
        <v>0</v>
      </c>
      <c r="FT148" s="578">
        <v>0</v>
      </c>
      <c r="FU148" s="578">
        <v>0</v>
      </c>
      <c r="FV148" s="578">
        <v>0</v>
      </c>
      <c r="FW148" s="578">
        <v>0</v>
      </c>
      <c r="FX148" s="578">
        <v>0</v>
      </c>
      <c r="FY148" s="578">
        <v>0</v>
      </c>
      <c r="FZ148" s="578">
        <v>0</v>
      </c>
      <c r="GA148" s="578">
        <v>0</v>
      </c>
      <c r="GB148" s="578">
        <v>0</v>
      </c>
      <c r="GC148" s="578">
        <v>0</v>
      </c>
      <c r="GD148" s="578">
        <v>0</v>
      </c>
      <c r="GE148" s="578">
        <v>0</v>
      </c>
      <c r="GF148" s="578">
        <v>0</v>
      </c>
      <c r="GG148" s="579">
        <v>0</v>
      </c>
      <c r="GH148" s="572"/>
    </row>
    <row r="149" spans="1:190">
      <c r="A149" s="572" t="s">
        <v>9353</v>
      </c>
      <c r="B149" s="577" t="s">
        <v>659</v>
      </c>
      <c r="C149" s="573" t="s">
        <v>9103</v>
      </c>
      <c r="D149" s="578">
        <v>0</v>
      </c>
      <c r="E149" s="578">
        <v>0</v>
      </c>
      <c r="F149" s="578">
        <v>0</v>
      </c>
      <c r="G149" s="578">
        <v>0</v>
      </c>
      <c r="H149" s="578">
        <v>0</v>
      </c>
      <c r="I149" s="578">
        <v>0</v>
      </c>
      <c r="J149" s="578">
        <v>0</v>
      </c>
      <c r="K149" s="578">
        <v>0</v>
      </c>
      <c r="L149" s="578">
        <v>0</v>
      </c>
      <c r="M149" s="578">
        <v>0</v>
      </c>
      <c r="N149" s="578">
        <v>0</v>
      </c>
      <c r="O149" s="578">
        <v>0</v>
      </c>
      <c r="P149" s="578">
        <v>0</v>
      </c>
      <c r="Q149" s="578">
        <v>0</v>
      </c>
      <c r="R149" s="578">
        <v>0</v>
      </c>
      <c r="S149" s="578">
        <v>0</v>
      </c>
      <c r="T149" s="578">
        <v>0</v>
      </c>
      <c r="U149" s="578">
        <v>0</v>
      </c>
      <c r="V149" s="578">
        <v>0</v>
      </c>
      <c r="W149" s="578">
        <v>0</v>
      </c>
      <c r="X149" s="578">
        <v>0</v>
      </c>
      <c r="Y149" s="578">
        <v>0</v>
      </c>
      <c r="Z149" s="578">
        <v>0</v>
      </c>
      <c r="AA149" s="578">
        <v>0</v>
      </c>
      <c r="AB149" s="578">
        <v>0</v>
      </c>
      <c r="AC149" s="578">
        <v>0</v>
      </c>
      <c r="AD149" s="578">
        <v>0</v>
      </c>
      <c r="AE149" s="578">
        <v>0</v>
      </c>
      <c r="AF149" s="578">
        <v>0</v>
      </c>
      <c r="AG149" s="578">
        <v>0</v>
      </c>
      <c r="AH149" s="578">
        <v>0</v>
      </c>
      <c r="AI149" s="578">
        <v>0</v>
      </c>
      <c r="AJ149" s="578">
        <v>0</v>
      </c>
      <c r="AK149" s="578">
        <v>0</v>
      </c>
      <c r="AL149" s="578">
        <v>0</v>
      </c>
      <c r="AM149" s="578">
        <v>0</v>
      </c>
      <c r="AN149" s="578">
        <v>0</v>
      </c>
      <c r="AO149" s="578">
        <v>0</v>
      </c>
      <c r="AP149" s="578">
        <v>0</v>
      </c>
      <c r="AQ149" s="578">
        <v>0</v>
      </c>
      <c r="AR149" s="578">
        <v>0</v>
      </c>
      <c r="AS149" s="578">
        <v>0</v>
      </c>
      <c r="AT149" s="578">
        <v>0</v>
      </c>
      <c r="AU149" s="578">
        <v>0</v>
      </c>
      <c r="AV149" s="578">
        <v>0</v>
      </c>
      <c r="AW149" s="578">
        <v>0</v>
      </c>
      <c r="AX149" s="578">
        <v>0</v>
      </c>
      <c r="AY149" s="578">
        <v>0</v>
      </c>
      <c r="AZ149" s="578">
        <v>0</v>
      </c>
      <c r="BA149" s="578">
        <v>0</v>
      </c>
      <c r="BB149" s="578">
        <v>0</v>
      </c>
      <c r="BC149" s="578">
        <v>0</v>
      </c>
      <c r="BD149" s="578">
        <v>0</v>
      </c>
      <c r="BE149" s="578">
        <v>0</v>
      </c>
      <c r="BF149" s="578">
        <v>0</v>
      </c>
      <c r="BG149" s="578">
        <v>0</v>
      </c>
      <c r="BH149" s="578">
        <v>0</v>
      </c>
      <c r="BI149" s="578">
        <v>0</v>
      </c>
      <c r="BJ149" s="578">
        <v>0</v>
      </c>
      <c r="BK149" s="578">
        <v>0</v>
      </c>
      <c r="BL149" s="578">
        <v>0</v>
      </c>
      <c r="BM149" s="578">
        <v>0</v>
      </c>
      <c r="BN149" s="578">
        <v>0</v>
      </c>
      <c r="BO149" s="578">
        <v>0</v>
      </c>
      <c r="BP149" s="578">
        <v>0</v>
      </c>
      <c r="BQ149" s="578">
        <v>0</v>
      </c>
      <c r="BR149" s="578">
        <v>0</v>
      </c>
      <c r="BS149" s="578">
        <v>0</v>
      </c>
      <c r="BT149" s="578">
        <v>0</v>
      </c>
      <c r="BU149" s="578">
        <v>0</v>
      </c>
      <c r="BV149" s="578">
        <v>0</v>
      </c>
      <c r="BW149" s="578">
        <v>0</v>
      </c>
      <c r="BX149" s="578">
        <v>0</v>
      </c>
      <c r="BY149" s="578">
        <v>0</v>
      </c>
      <c r="BZ149" s="578">
        <v>0</v>
      </c>
      <c r="CA149" s="578">
        <v>0</v>
      </c>
      <c r="CB149" s="578">
        <v>0</v>
      </c>
      <c r="CC149" s="578">
        <v>0</v>
      </c>
      <c r="CD149" s="578">
        <v>0</v>
      </c>
      <c r="CE149" s="578">
        <v>0</v>
      </c>
      <c r="CF149" s="578">
        <v>0</v>
      </c>
      <c r="CG149" s="578">
        <v>0</v>
      </c>
      <c r="CH149" s="578">
        <v>0</v>
      </c>
      <c r="CI149" s="578">
        <v>0</v>
      </c>
      <c r="CJ149" s="578">
        <v>0</v>
      </c>
      <c r="CK149" s="578">
        <v>0</v>
      </c>
      <c r="CL149" s="578">
        <v>0</v>
      </c>
      <c r="CM149" s="578">
        <v>0</v>
      </c>
      <c r="CN149" s="578">
        <v>0</v>
      </c>
      <c r="CO149" s="578">
        <v>0</v>
      </c>
      <c r="CP149" s="578">
        <v>0</v>
      </c>
      <c r="CQ149" s="578">
        <v>0</v>
      </c>
      <c r="CR149" s="578">
        <v>0</v>
      </c>
      <c r="CS149" s="578">
        <v>0</v>
      </c>
      <c r="CT149" s="578">
        <v>0</v>
      </c>
      <c r="CU149" s="578">
        <v>0</v>
      </c>
      <c r="CV149" s="578">
        <v>0</v>
      </c>
      <c r="CW149" s="578">
        <v>0</v>
      </c>
      <c r="CX149" s="578">
        <v>0</v>
      </c>
      <c r="CY149" s="578">
        <v>0</v>
      </c>
      <c r="CZ149" s="578">
        <v>0</v>
      </c>
      <c r="DA149" s="578">
        <v>0</v>
      </c>
      <c r="DB149" s="578">
        <v>0</v>
      </c>
      <c r="DC149" s="578">
        <v>0</v>
      </c>
      <c r="DD149" s="578">
        <v>0</v>
      </c>
      <c r="DE149" s="578">
        <v>0</v>
      </c>
      <c r="DF149" s="578">
        <v>0</v>
      </c>
      <c r="DG149" s="578">
        <v>0</v>
      </c>
      <c r="DH149" s="578">
        <v>0</v>
      </c>
      <c r="DI149" s="578">
        <v>0</v>
      </c>
      <c r="DJ149" s="578">
        <v>0</v>
      </c>
      <c r="DK149" s="578">
        <v>0</v>
      </c>
      <c r="DL149" s="578">
        <v>0</v>
      </c>
      <c r="DM149" s="578">
        <v>0</v>
      </c>
      <c r="DN149" s="578">
        <v>0</v>
      </c>
      <c r="DO149" s="578">
        <v>0</v>
      </c>
      <c r="DP149" s="578">
        <v>0</v>
      </c>
      <c r="DQ149" s="578">
        <v>0</v>
      </c>
      <c r="DR149" s="578">
        <v>0</v>
      </c>
      <c r="DS149" s="578">
        <v>0</v>
      </c>
      <c r="DT149" s="578">
        <v>0</v>
      </c>
      <c r="DU149" s="578">
        <v>0</v>
      </c>
      <c r="DV149" s="578">
        <v>0</v>
      </c>
      <c r="DW149" s="578">
        <v>0</v>
      </c>
      <c r="DX149" s="578">
        <v>0</v>
      </c>
      <c r="DY149" s="578">
        <v>0</v>
      </c>
      <c r="DZ149" s="578">
        <v>0</v>
      </c>
      <c r="EA149" s="578">
        <v>0</v>
      </c>
      <c r="EB149" s="578">
        <v>0</v>
      </c>
      <c r="EC149" s="578">
        <v>0</v>
      </c>
      <c r="ED149" s="578">
        <v>0</v>
      </c>
      <c r="EE149" s="578">
        <v>0</v>
      </c>
      <c r="EF149" s="578">
        <v>0</v>
      </c>
      <c r="EG149" s="578">
        <v>0</v>
      </c>
      <c r="EH149" s="578">
        <v>0</v>
      </c>
      <c r="EI149" s="578">
        <v>0</v>
      </c>
      <c r="EJ149" s="578">
        <v>0</v>
      </c>
      <c r="EK149" s="578">
        <v>0</v>
      </c>
      <c r="EL149" s="578">
        <v>0</v>
      </c>
      <c r="EM149" s="578">
        <v>0</v>
      </c>
      <c r="EN149" s="578">
        <v>0</v>
      </c>
      <c r="EO149" s="578">
        <v>0</v>
      </c>
      <c r="EP149" s="578">
        <v>0</v>
      </c>
      <c r="EQ149" s="578">
        <v>0</v>
      </c>
      <c r="ER149" s="578">
        <v>0</v>
      </c>
      <c r="ES149" s="578">
        <v>0</v>
      </c>
      <c r="ET149" s="578">
        <v>0</v>
      </c>
      <c r="EU149" s="578">
        <v>0</v>
      </c>
      <c r="EV149" s="578">
        <v>0</v>
      </c>
      <c r="EW149" s="578">
        <v>0</v>
      </c>
      <c r="EX149" s="578">
        <v>0</v>
      </c>
      <c r="EY149" s="578">
        <v>0</v>
      </c>
      <c r="EZ149" s="578">
        <v>0</v>
      </c>
      <c r="FA149" s="578">
        <v>0</v>
      </c>
      <c r="FB149" s="578">
        <v>0</v>
      </c>
      <c r="FC149" s="578">
        <v>0</v>
      </c>
      <c r="FD149" s="578">
        <v>0</v>
      </c>
      <c r="FE149" s="578">
        <v>0</v>
      </c>
      <c r="FF149" s="578">
        <v>0</v>
      </c>
      <c r="FG149" s="578">
        <v>0</v>
      </c>
      <c r="FH149" s="578">
        <v>0</v>
      </c>
      <c r="FI149" s="578">
        <v>0</v>
      </c>
      <c r="FJ149" s="578">
        <v>0</v>
      </c>
      <c r="FK149" s="578">
        <v>0</v>
      </c>
      <c r="FL149" s="578">
        <v>0</v>
      </c>
      <c r="FM149" s="578">
        <v>0</v>
      </c>
      <c r="FN149" s="578">
        <v>0</v>
      </c>
      <c r="FO149" s="578">
        <v>0</v>
      </c>
      <c r="FP149" s="578">
        <v>0</v>
      </c>
      <c r="FQ149" s="578">
        <v>0</v>
      </c>
      <c r="FR149" s="578">
        <v>0</v>
      </c>
      <c r="FS149" s="578">
        <v>0</v>
      </c>
      <c r="FT149" s="578">
        <v>0</v>
      </c>
      <c r="FU149" s="578">
        <v>0</v>
      </c>
      <c r="FV149" s="578">
        <v>0</v>
      </c>
      <c r="FW149" s="578">
        <v>0</v>
      </c>
      <c r="FX149" s="578">
        <v>0</v>
      </c>
      <c r="FY149" s="578">
        <v>0</v>
      </c>
      <c r="FZ149" s="578">
        <v>0</v>
      </c>
      <c r="GA149" s="578">
        <v>0</v>
      </c>
      <c r="GB149" s="578">
        <v>0</v>
      </c>
      <c r="GC149" s="578">
        <v>0</v>
      </c>
      <c r="GD149" s="578">
        <v>0</v>
      </c>
      <c r="GE149" s="578">
        <v>0</v>
      </c>
      <c r="GF149" s="578">
        <v>0</v>
      </c>
      <c r="GG149" s="579">
        <v>0</v>
      </c>
      <c r="GH149" s="572"/>
    </row>
    <row r="150" spans="1:190">
      <c r="A150" s="572" t="s">
        <v>9354</v>
      </c>
      <c r="B150" s="577" t="s">
        <v>9468</v>
      </c>
      <c r="C150" s="573" t="s">
        <v>662</v>
      </c>
      <c r="D150" s="578">
        <v>0</v>
      </c>
      <c r="E150" s="578">
        <v>0</v>
      </c>
      <c r="F150" s="578">
        <v>0</v>
      </c>
      <c r="G150" s="578">
        <v>0</v>
      </c>
      <c r="H150" s="578">
        <v>0</v>
      </c>
      <c r="I150" s="578">
        <v>0</v>
      </c>
      <c r="J150" s="578">
        <v>0</v>
      </c>
      <c r="K150" s="578">
        <v>7.814997691023409E-4</v>
      </c>
      <c r="L150" s="578">
        <v>0</v>
      </c>
      <c r="M150" s="578">
        <v>0</v>
      </c>
      <c r="N150" s="578">
        <v>4.2704626334519576E-3</v>
      </c>
      <c r="O150" s="578">
        <v>7.2260663922221247E-4</v>
      </c>
      <c r="P150" s="578">
        <v>0</v>
      </c>
      <c r="Q150" s="578">
        <v>0</v>
      </c>
      <c r="R150" s="578">
        <v>2.4871403538522414E-3</v>
      </c>
      <c r="S150" s="578">
        <v>7.4696545284780582E-3</v>
      </c>
      <c r="T150" s="578">
        <v>1.2563844339545274E-3</v>
      </c>
      <c r="U150" s="578">
        <v>1.7214337630542062E-4</v>
      </c>
      <c r="V150" s="578">
        <v>3.7303411023904025E-5</v>
      </c>
      <c r="W150" s="578">
        <v>6.9242741767466939E-4</v>
      </c>
      <c r="X150" s="578">
        <v>1.791380898761388E-4</v>
      </c>
      <c r="Y150" s="578">
        <v>2.0080473444521061E-4</v>
      </c>
      <c r="Z150" s="578">
        <v>1.2347103933089433E-4</v>
      </c>
      <c r="AA150" s="578">
        <v>1.4804870850113774E-3</v>
      </c>
      <c r="AB150" s="578">
        <v>1.0736525660296328E-4</v>
      </c>
      <c r="AC150" s="578">
        <v>2.2458322536062883E-4</v>
      </c>
      <c r="AD150" s="578">
        <v>0</v>
      </c>
      <c r="AE150" s="578">
        <v>1.3519603424966202E-3</v>
      </c>
      <c r="AF150" s="578">
        <v>1.5171053629674581E-3</v>
      </c>
      <c r="AG150" s="578">
        <v>0</v>
      </c>
      <c r="AH150" s="578">
        <v>1.5426147319706903E-3</v>
      </c>
      <c r="AI150" s="578">
        <v>2.2051453391246242E-3</v>
      </c>
      <c r="AJ150" s="578">
        <v>2.3114706732158337E-3</v>
      </c>
      <c r="AK150" s="578">
        <v>3.4921426789723121E-3</v>
      </c>
      <c r="AL150" s="578">
        <v>1.2036376604850213E-3</v>
      </c>
      <c r="AM150" s="578">
        <v>3.4439214785902879E-4</v>
      </c>
      <c r="AN150" s="578">
        <v>1.3371290545203588E-3</v>
      </c>
      <c r="AO150" s="578">
        <v>1.748874566829679E-3</v>
      </c>
      <c r="AP150" s="578">
        <v>4.764930114358323E-4</v>
      </c>
      <c r="AQ150" s="578">
        <v>6.8277745592981872E-4</v>
      </c>
      <c r="AR150" s="578">
        <v>1.0035537609653007E-3</v>
      </c>
      <c r="AS150" s="578">
        <v>1.7199740825823173E-3</v>
      </c>
      <c r="AT150" s="578">
        <v>1.9687079059164852E-3</v>
      </c>
      <c r="AU150" s="578">
        <v>2.167831023707073E-3</v>
      </c>
      <c r="AV150" s="578">
        <v>1.0185129710622491E-3</v>
      </c>
      <c r="AW150" s="578">
        <v>1.0191492785495897E-3</v>
      </c>
      <c r="AX150" s="578">
        <v>1.1411141223844896E-3</v>
      </c>
      <c r="AY150" s="578">
        <v>6.3431652394544877E-4</v>
      </c>
      <c r="AZ150" s="578">
        <v>7.8554151502136221E-4</v>
      </c>
      <c r="BA150" s="578">
        <v>1.5271414688324309E-3</v>
      </c>
      <c r="BB150" s="578">
        <v>1.6998972978715869E-3</v>
      </c>
      <c r="BC150" s="578">
        <v>1.7296611297041155E-3</v>
      </c>
      <c r="BD150" s="578">
        <v>8.4452116891665322E-4</v>
      </c>
      <c r="BE150" s="578">
        <v>4.335128228529707E-3</v>
      </c>
      <c r="BF150" s="578">
        <v>2.1370168483647177E-3</v>
      </c>
      <c r="BG150" s="578">
        <v>1.758812615955473E-3</v>
      </c>
      <c r="BH150" s="578">
        <v>1.8344967844775462E-3</v>
      </c>
      <c r="BI150" s="578">
        <v>1.6806722689075631E-3</v>
      </c>
      <c r="BJ150" s="578">
        <v>1.8432913678706479E-3</v>
      </c>
      <c r="BK150" s="578">
        <v>2.2048285745783266E-4</v>
      </c>
      <c r="BL150" s="578">
        <v>8.3726594611051915E-4</v>
      </c>
      <c r="BM150" s="578">
        <v>2.9724487435793504E-3</v>
      </c>
      <c r="BN150" s="578">
        <v>1.4814814814814814E-3</v>
      </c>
      <c r="BO150" s="578">
        <v>1.2845153127746497E-3</v>
      </c>
      <c r="BP150" s="578">
        <v>7.9895409645554911E-4</v>
      </c>
      <c r="BQ150" s="578">
        <v>1.9195459856451345E-3</v>
      </c>
      <c r="BR150" s="578">
        <v>2.1870632541367502E-3</v>
      </c>
      <c r="BS150" s="578">
        <v>9.8121529077354165E-4</v>
      </c>
      <c r="BT150" s="578">
        <v>3.2780914223274451E-3</v>
      </c>
      <c r="BU150" s="578">
        <v>9.2818192365703674E-4</v>
      </c>
      <c r="BV150" s="578">
        <v>7.1082064411804339E-3</v>
      </c>
      <c r="BW150" s="578">
        <v>3.9776126886971572E-4</v>
      </c>
      <c r="BX150" s="578">
        <v>0</v>
      </c>
      <c r="BY150" s="578">
        <v>5.9557472961407757E-4</v>
      </c>
      <c r="BZ150" s="578">
        <v>8.7195986777114916E-4</v>
      </c>
      <c r="CA150" s="578">
        <v>7.4166528159760664E-4</v>
      </c>
      <c r="CB150" s="578">
        <v>1.4457681806899975E-3</v>
      </c>
      <c r="CC150" s="578">
        <v>4.8013967699694454E-4</v>
      </c>
      <c r="CD150" s="578">
        <v>4.7170194943029788E-4</v>
      </c>
      <c r="CE150" s="578">
        <v>0</v>
      </c>
      <c r="CF150" s="578">
        <v>7.8951523764408656E-4</v>
      </c>
      <c r="CG150" s="578">
        <v>1.1987686021932499E-3</v>
      </c>
      <c r="CH150" s="578">
        <v>6.6656637311515625E-3</v>
      </c>
      <c r="CI150" s="578">
        <v>1.0197229338174945E-3</v>
      </c>
      <c r="CJ150" s="578">
        <v>1.3018008244738556E-3</v>
      </c>
      <c r="CK150" s="578">
        <v>1.4019587077773407E-3</v>
      </c>
      <c r="CL150" s="578">
        <v>2.176063303659743E-3</v>
      </c>
      <c r="CM150" s="578">
        <v>2.8966925469525368E-3</v>
      </c>
      <c r="CN150" s="578">
        <v>1.362890775762254E-3</v>
      </c>
      <c r="CO150" s="578">
        <v>1.3665869490946361E-3</v>
      </c>
      <c r="CP150" s="578">
        <v>1.2428802632402515E-3</v>
      </c>
      <c r="CQ150" s="578">
        <v>1.4652481365866089E-3</v>
      </c>
      <c r="CR150" s="578">
        <v>1.0277551968412497E-3</v>
      </c>
      <c r="CS150" s="578">
        <v>2.7121708667646061E-3</v>
      </c>
      <c r="CT150" s="578">
        <v>1.9538654457437812E-3</v>
      </c>
      <c r="CU150" s="578">
        <v>2.5393805523757315E-3</v>
      </c>
      <c r="CV150" s="578">
        <v>1.1832999820336652E-3</v>
      </c>
      <c r="CW150" s="578">
        <v>1.4043848014355933E-3</v>
      </c>
      <c r="CX150" s="578">
        <v>3.3837323853171714E-3</v>
      </c>
      <c r="CY150" s="578">
        <v>7.6197453979302138E-3</v>
      </c>
      <c r="CZ150" s="578">
        <v>5.1564722617354196E-4</v>
      </c>
      <c r="DA150" s="578">
        <v>4.9902550812790476E-3</v>
      </c>
      <c r="DB150" s="578">
        <v>1.5703687659067527E-3</v>
      </c>
      <c r="DC150" s="578">
        <v>7.2516316171138508E-4</v>
      </c>
      <c r="DD150" s="578">
        <v>1.4492753623188406E-3</v>
      </c>
      <c r="DE150" s="578">
        <v>3.9117160666581859E-3</v>
      </c>
      <c r="DF150" s="578">
        <v>3.3249460819554278E-3</v>
      </c>
      <c r="DG150" s="578">
        <v>1.138374257213531E-3</v>
      </c>
      <c r="DH150" s="578">
        <v>1.6651374587963435E-3</v>
      </c>
      <c r="DI150" s="578">
        <v>5.0337793085176849E-3</v>
      </c>
      <c r="DJ150" s="578">
        <v>2.8699573854812457E-3</v>
      </c>
      <c r="DK150" s="578">
        <v>1.3577601306542133E-3</v>
      </c>
      <c r="DL150" s="578">
        <v>1.1239615161233302E-2</v>
      </c>
      <c r="DM150" s="578">
        <v>1.1028164234815065E-3</v>
      </c>
      <c r="DN150" s="578">
        <v>1.6835850458034166E-3</v>
      </c>
      <c r="DO150" s="578">
        <v>0</v>
      </c>
      <c r="DP150" s="578">
        <v>1.9719544259421559E-4</v>
      </c>
      <c r="DQ150" s="578">
        <v>8.9040178395543266E-4</v>
      </c>
      <c r="DR150" s="578">
        <v>3.6013324930224183E-4</v>
      </c>
      <c r="DS150" s="578">
        <v>1.3812862948196956E-3</v>
      </c>
      <c r="DT150" s="578">
        <v>2.3762838128421377E-3</v>
      </c>
      <c r="DU150" s="578">
        <v>8.2016817428971843E-4</v>
      </c>
      <c r="DV150" s="578">
        <v>1.5583625790267202E-3</v>
      </c>
      <c r="DW150" s="578">
        <v>3.6244710800923817E-3</v>
      </c>
      <c r="DX150" s="578">
        <v>1.2687166348976753E-3</v>
      </c>
      <c r="DY150" s="578">
        <v>3.3201056109784824E-4</v>
      </c>
      <c r="DZ150" s="578">
        <v>1.1822500812586417E-3</v>
      </c>
      <c r="EA150" s="578">
        <v>1.4624276298655769E-3</v>
      </c>
      <c r="EB150" s="578">
        <v>1.4744856534460837E-3</v>
      </c>
      <c r="EC150" s="578">
        <v>1.3119787636817367E-3</v>
      </c>
      <c r="ED150" s="578">
        <v>8.0505829888467763E-4</v>
      </c>
      <c r="EE150" s="578">
        <v>6.157011489239981E-4</v>
      </c>
      <c r="EF150" s="578">
        <v>5.4520381001250766E-4</v>
      </c>
      <c r="EG150" s="578">
        <v>5.5509297807382742E-4</v>
      </c>
      <c r="EH150" s="578">
        <v>2.0394036208732694E-3</v>
      </c>
      <c r="EI150" s="578">
        <v>1.2903515870874922E-2</v>
      </c>
      <c r="EJ150" s="578">
        <v>8.1856639438039978E-3</v>
      </c>
      <c r="EK150" s="578">
        <v>2.3580896867287484E-3</v>
      </c>
      <c r="EL150" s="578">
        <v>6.2143773686252277E-3</v>
      </c>
      <c r="EM150" s="578">
        <v>1.9034764470022919E-2</v>
      </c>
      <c r="EN150" s="578">
        <v>7.6234748814973182E-4</v>
      </c>
      <c r="EO150" s="578">
        <v>9.2579278393769215E-5</v>
      </c>
      <c r="EP150" s="578">
        <v>0</v>
      </c>
      <c r="EQ150" s="578">
        <v>7.7955795674470153E-5</v>
      </c>
      <c r="ER150" s="578">
        <v>4.9019607843137254E-4</v>
      </c>
      <c r="ES150" s="578">
        <v>5.3071694415905181E-4</v>
      </c>
      <c r="ET150" s="578">
        <v>4.147392773996245E-4</v>
      </c>
      <c r="EU150" s="578">
        <v>2.9334803984839772E-4</v>
      </c>
      <c r="EV150" s="578">
        <v>1.4711429649188986E-3</v>
      </c>
      <c r="EW150" s="578">
        <v>4.4918912612297284E-3</v>
      </c>
      <c r="EX150" s="578">
        <v>3.66187410862275E-4</v>
      </c>
      <c r="EY150" s="578">
        <v>1.8806295159853508E-3</v>
      </c>
      <c r="EZ150" s="578">
        <v>1.7989988180490857E-3</v>
      </c>
      <c r="FA150" s="578">
        <v>1.769022451297283E-3</v>
      </c>
      <c r="FB150" s="578">
        <v>1.4301278008074826E-3</v>
      </c>
      <c r="FC150" s="578">
        <v>9.312196812196812E-4</v>
      </c>
      <c r="FD150" s="578">
        <v>2.0198789548787088E-3</v>
      </c>
      <c r="FE150" s="578">
        <v>5.1208865010073873E-3</v>
      </c>
      <c r="FF150" s="578">
        <v>7.5840310641912389E-4</v>
      </c>
      <c r="FG150" s="578">
        <v>3.2881002087682674E-3</v>
      </c>
      <c r="FH150" s="578">
        <v>1.8533571776946838E-3</v>
      </c>
      <c r="FI150" s="578">
        <v>9.0932580112865619E-3</v>
      </c>
      <c r="FJ150" s="578">
        <v>5.8979309402176702E-3</v>
      </c>
      <c r="FK150" s="578">
        <v>3.5660647301250614E-3</v>
      </c>
      <c r="FL150" s="578">
        <v>1.4532148457919497E-2</v>
      </c>
      <c r="FM150" s="578">
        <v>1.6649869212888795E-2</v>
      </c>
      <c r="FN150" s="578">
        <v>3.1992678849907083E-3</v>
      </c>
      <c r="FO150" s="578">
        <v>1.5017431212193382E-3</v>
      </c>
      <c r="FP150" s="578">
        <v>2.9779724576938834E-3</v>
      </c>
      <c r="FQ150" s="578">
        <v>1.0964729193452332E-3</v>
      </c>
      <c r="FR150" s="578">
        <v>7.1905327764561417E-4</v>
      </c>
      <c r="FS150" s="578">
        <v>4.3000504569154002E-3</v>
      </c>
      <c r="FT150" s="578">
        <v>7.4707008451230326E-4</v>
      </c>
      <c r="FU150" s="578">
        <v>7.8913058395663216E-4</v>
      </c>
      <c r="FV150" s="578">
        <v>4.8175610573499223E-4</v>
      </c>
      <c r="FW150" s="578">
        <v>3.7991156951977561E-4</v>
      </c>
      <c r="FX150" s="578">
        <v>9.6980704763826762E-4</v>
      </c>
      <c r="FY150" s="578">
        <v>1.8020623304709194E-3</v>
      </c>
      <c r="FZ150" s="578">
        <v>1.2993594158080067E-3</v>
      </c>
      <c r="GA150" s="578">
        <v>2.1253759432274676E-3</v>
      </c>
      <c r="GB150" s="578">
        <v>1.8300246676005451E-3</v>
      </c>
      <c r="GC150" s="578">
        <v>2.32268747583116E-3</v>
      </c>
      <c r="GD150" s="578">
        <v>2.7708646105171946E-3</v>
      </c>
      <c r="GE150" s="578">
        <v>0</v>
      </c>
      <c r="GF150" s="578">
        <v>1.5379716605636045E-2</v>
      </c>
      <c r="GG150" s="579">
        <v>2.4256022525671627E-3</v>
      </c>
      <c r="GH150" s="572"/>
    </row>
    <row r="151" spans="1:190">
      <c r="A151" s="572" t="s">
        <v>9355</v>
      </c>
      <c r="B151" s="577" t="s">
        <v>9469</v>
      </c>
      <c r="C151" s="573" t="s">
        <v>665</v>
      </c>
      <c r="D151" s="578">
        <v>2.0083906096581274E-4</v>
      </c>
      <c r="E151" s="578">
        <v>2.8514399771884804E-4</v>
      </c>
      <c r="F151" s="578">
        <v>1.178439275024158E-4</v>
      </c>
      <c r="G151" s="578">
        <v>0</v>
      </c>
      <c r="H151" s="578">
        <v>0</v>
      </c>
      <c r="I151" s="578">
        <v>0</v>
      </c>
      <c r="J151" s="578">
        <v>1.1274138736330107E-4</v>
      </c>
      <c r="K151" s="578">
        <v>3.5522716777379133E-5</v>
      </c>
      <c r="L151" s="578">
        <v>0</v>
      </c>
      <c r="M151" s="578">
        <v>0</v>
      </c>
      <c r="N151" s="578">
        <v>0</v>
      </c>
      <c r="O151" s="578">
        <v>1.0948585442760796E-4</v>
      </c>
      <c r="P151" s="578">
        <v>0</v>
      </c>
      <c r="Q151" s="578">
        <v>0</v>
      </c>
      <c r="R151" s="578">
        <v>1.6957775139901646E-4</v>
      </c>
      <c r="S151" s="578">
        <v>0</v>
      </c>
      <c r="T151" s="578">
        <v>8.8570182028125958E-5</v>
      </c>
      <c r="U151" s="578">
        <v>7.6508167246853607E-5</v>
      </c>
      <c r="V151" s="578">
        <v>8.80360500164135E-4</v>
      </c>
      <c r="W151" s="578">
        <v>4.166819858573232E-4</v>
      </c>
      <c r="X151" s="578">
        <v>4.6064080253864265E-4</v>
      </c>
      <c r="Y151" s="578">
        <v>3.9782070031598327E-4</v>
      </c>
      <c r="Z151" s="578">
        <v>2.2815300745926127E-4</v>
      </c>
      <c r="AA151" s="578">
        <v>7.1406129502156463E-5</v>
      </c>
      <c r="AB151" s="578">
        <v>2.0647164731339091E-4</v>
      </c>
      <c r="AC151" s="578">
        <v>1.900319599205321E-4</v>
      </c>
      <c r="AD151" s="578">
        <v>0</v>
      </c>
      <c r="AE151" s="578">
        <v>0</v>
      </c>
      <c r="AF151" s="578">
        <v>7.5855268148372902E-5</v>
      </c>
      <c r="AG151" s="578">
        <v>0</v>
      </c>
      <c r="AH151" s="578">
        <v>0</v>
      </c>
      <c r="AI151" s="578">
        <v>6.6822586034079518E-5</v>
      </c>
      <c r="AJ151" s="578">
        <v>5.7786766830395839E-5</v>
      </c>
      <c r="AK151" s="578">
        <v>1.2471938139186831E-4</v>
      </c>
      <c r="AL151" s="578">
        <v>1.3373751783166905E-4</v>
      </c>
      <c r="AM151" s="578">
        <v>0</v>
      </c>
      <c r="AN151" s="578">
        <v>8.6266390614216703E-5</v>
      </c>
      <c r="AO151" s="578">
        <v>6.4773132104802925E-5</v>
      </c>
      <c r="AP151" s="578">
        <v>1.588310038119441E-4</v>
      </c>
      <c r="AQ151" s="578">
        <v>1.8621203343540511E-4</v>
      </c>
      <c r="AR151" s="578">
        <v>1.8772358587468565E-3</v>
      </c>
      <c r="AS151" s="578">
        <v>4.4766448724745242E-4</v>
      </c>
      <c r="AT151" s="578">
        <v>8.2892964459641493E-4</v>
      </c>
      <c r="AU151" s="578">
        <v>5.8081510446491387E-4</v>
      </c>
      <c r="AV151" s="578">
        <v>2.3965011083817625E-4</v>
      </c>
      <c r="AW151" s="578">
        <v>1.609183071394089E-4</v>
      </c>
      <c r="AX151" s="578">
        <v>1.2069476294451333E-4</v>
      </c>
      <c r="AY151" s="578">
        <v>4.7573739295908661E-4</v>
      </c>
      <c r="AZ151" s="578">
        <v>1.5258720075954517E-4</v>
      </c>
      <c r="BA151" s="578">
        <v>1.3883104262113008E-4</v>
      </c>
      <c r="BB151" s="578">
        <v>2.1248716223394836E-4</v>
      </c>
      <c r="BC151" s="578">
        <v>1.9445894357620231E-4</v>
      </c>
      <c r="BD151" s="578">
        <v>3.3532458177572993E-4</v>
      </c>
      <c r="BE151" s="578">
        <v>1.017965333015073E-4</v>
      </c>
      <c r="BF151" s="578">
        <v>2.0131318136769078E-4</v>
      </c>
      <c r="BG151" s="578">
        <v>1.1873840445269017E-4</v>
      </c>
      <c r="BH151" s="578">
        <v>2.8170175342164569E-4</v>
      </c>
      <c r="BI151" s="578">
        <v>2.1686093792355651E-4</v>
      </c>
      <c r="BJ151" s="578">
        <v>2.0618471676405459E-4</v>
      </c>
      <c r="BK151" s="578">
        <v>2.7560357182229083E-5</v>
      </c>
      <c r="BL151" s="578">
        <v>8.8800933678388392E-5</v>
      </c>
      <c r="BM151" s="578">
        <v>8.4730819347023087E-5</v>
      </c>
      <c r="BN151" s="578">
        <v>9.8765432098765426E-5</v>
      </c>
      <c r="BO151" s="578">
        <v>9.6580098704860881E-5</v>
      </c>
      <c r="BP151" s="578">
        <v>0</v>
      </c>
      <c r="BQ151" s="578">
        <v>5.5639014076670561E-5</v>
      </c>
      <c r="BR151" s="578">
        <v>1.493604173556805E-4</v>
      </c>
      <c r="BS151" s="578">
        <v>3.5404675440282429E-4</v>
      </c>
      <c r="BT151" s="578">
        <v>1.8211619012930248E-4</v>
      </c>
      <c r="BU151" s="578">
        <v>2.3204548091425919E-4</v>
      </c>
      <c r="BV151" s="578">
        <v>3.7057000404258189E-4</v>
      </c>
      <c r="BW151" s="578">
        <v>8.5636987065434547E-5</v>
      </c>
      <c r="BX151" s="578">
        <v>0</v>
      </c>
      <c r="BY151" s="578">
        <v>7.5072444909337515E-6</v>
      </c>
      <c r="BZ151" s="578">
        <v>1.6556200020971186E-5</v>
      </c>
      <c r="CA151" s="578">
        <v>3.292805689968232E-5</v>
      </c>
      <c r="CB151" s="578">
        <v>9.3075204765450485E-5</v>
      </c>
      <c r="CC151" s="578">
        <v>3.8192928852029684E-5</v>
      </c>
      <c r="CD151" s="578">
        <v>1.3012467570490977E-4</v>
      </c>
      <c r="CE151" s="578">
        <v>0</v>
      </c>
      <c r="CF151" s="578">
        <v>7.8951523764408658E-5</v>
      </c>
      <c r="CG151" s="578">
        <v>5.6746442707372784E-5</v>
      </c>
      <c r="CH151" s="578">
        <v>4.6289331466330298E-5</v>
      </c>
      <c r="CI151" s="578">
        <v>2.4871291068719379E-5</v>
      </c>
      <c r="CJ151" s="578">
        <v>4.3393360815795186E-5</v>
      </c>
      <c r="CK151" s="578">
        <v>3.5301118541156064E-5</v>
      </c>
      <c r="CL151" s="578">
        <v>2.9973323741869737E-5</v>
      </c>
      <c r="CM151" s="578">
        <v>3.7989410451836553E-5</v>
      </c>
      <c r="CN151" s="578">
        <v>3.6182940949440367E-5</v>
      </c>
      <c r="CO151" s="578">
        <v>0</v>
      </c>
      <c r="CP151" s="578">
        <v>4.470792313813854E-5</v>
      </c>
      <c r="CQ151" s="578">
        <v>6.3706440721156905E-5</v>
      </c>
      <c r="CR151" s="578">
        <v>3.4839159214957614E-5</v>
      </c>
      <c r="CS151" s="578">
        <v>5.650355972426263E-5</v>
      </c>
      <c r="CT151" s="578">
        <v>2.9162170831996735E-5</v>
      </c>
      <c r="CU151" s="578">
        <v>4.0307627815487801E-5</v>
      </c>
      <c r="CV151" s="578">
        <v>3.0976439320253017E-5</v>
      </c>
      <c r="CW151" s="578">
        <v>3.901068892876648E-5</v>
      </c>
      <c r="CX151" s="578">
        <v>2.8554703673562627E-5</v>
      </c>
      <c r="CY151" s="578">
        <v>3.6633391336202951E-5</v>
      </c>
      <c r="CZ151" s="578">
        <v>3.5561877667140828E-5</v>
      </c>
      <c r="DA151" s="578">
        <v>2.1417403782313509E-5</v>
      </c>
      <c r="DB151" s="578">
        <v>5.4150647100232849E-5</v>
      </c>
      <c r="DC151" s="578">
        <v>0</v>
      </c>
      <c r="DD151" s="578">
        <v>0</v>
      </c>
      <c r="DE151" s="578">
        <v>3.1802569647627529E-5</v>
      </c>
      <c r="DF151" s="578">
        <v>3.9939292275740873E-5</v>
      </c>
      <c r="DG151" s="578">
        <v>4.0460948623343562E-5</v>
      </c>
      <c r="DH151" s="578">
        <v>3.3982397118292725E-5</v>
      </c>
      <c r="DI151" s="578">
        <v>0</v>
      </c>
      <c r="DJ151" s="578">
        <v>1.242405794580626E-5</v>
      </c>
      <c r="DK151" s="578">
        <v>9.9053675012140111E-5</v>
      </c>
      <c r="DL151" s="578">
        <v>4.2928208883614053E-5</v>
      </c>
      <c r="DM151" s="578">
        <v>1.4138672095916751E-5</v>
      </c>
      <c r="DN151" s="578">
        <v>2.4758603614756129E-5</v>
      </c>
      <c r="DO151" s="578">
        <v>0</v>
      </c>
      <c r="DP151" s="578">
        <v>8.7642418930762488E-5</v>
      </c>
      <c r="DQ151" s="578">
        <v>8.6676279854068665E-5</v>
      </c>
      <c r="DR151" s="578">
        <v>5.001850684753359E-5</v>
      </c>
      <c r="DS151" s="578">
        <v>4.8072608868434881E-5</v>
      </c>
      <c r="DT151" s="578">
        <v>8.0181355648047589E-5</v>
      </c>
      <c r="DU151" s="578">
        <v>2.388839342591413E-5</v>
      </c>
      <c r="DV151" s="578">
        <v>5.067845785452749E-5</v>
      </c>
      <c r="DW151" s="578">
        <v>1.3486404018948399E-4</v>
      </c>
      <c r="DX151" s="578">
        <v>1.2871038325048881E-4</v>
      </c>
      <c r="DY151" s="578">
        <v>1.4387124314240091E-3</v>
      </c>
      <c r="DZ151" s="578">
        <v>7.7469378544013558E-5</v>
      </c>
      <c r="EA151" s="578">
        <v>8.0133020814552162E-5</v>
      </c>
      <c r="EB151" s="578">
        <v>9.9575654518436812E-5</v>
      </c>
      <c r="EC151" s="578">
        <v>6.1164511127353684E-5</v>
      </c>
      <c r="ED151" s="578">
        <v>6.3319192047109479E-5</v>
      </c>
      <c r="EE151" s="578">
        <v>5.900469343854982E-5</v>
      </c>
      <c r="EF151" s="578">
        <v>1.2828324941470768E-5</v>
      </c>
      <c r="EG151" s="578">
        <v>0</v>
      </c>
      <c r="EH151" s="578">
        <v>5.3248136315228964E-5</v>
      </c>
      <c r="EI151" s="578">
        <v>2.3603992446722416E-4</v>
      </c>
      <c r="EJ151" s="578">
        <v>2.6962002449947289E-5</v>
      </c>
      <c r="EK151" s="578">
        <v>3.7394021942358813E-5</v>
      </c>
      <c r="EL151" s="578">
        <v>1.4920473874250247E-5</v>
      </c>
      <c r="EM151" s="578">
        <v>1.3853540371195719E-5</v>
      </c>
      <c r="EN151" s="578">
        <v>1.863516082143789E-5</v>
      </c>
      <c r="EO151" s="578">
        <v>3.9395437614369876E-6</v>
      </c>
      <c r="EP151" s="578">
        <v>9.3274185063445104E-7</v>
      </c>
      <c r="EQ151" s="578">
        <v>2.2369923976152305E-4</v>
      </c>
      <c r="ER151" s="578">
        <v>1.9607843137254902E-3</v>
      </c>
      <c r="ES151" s="578">
        <v>6.8040633866545101E-5</v>
      </c>
      <c r="ET151" s="578">
        <v>1.1660401409318516E-3</v>
      </c>
      <c r="EU151" s="578">
        <v>1.173392159393591E-4</v>
      </c>
      <c r="EV151" s="578">
        <v>1.3202565069784987E-4</v>
      </c>
      <c r="EW151" s="578">
        <v>1.9445416715280207E-5</v>
      </c>
      <c r="EX151" s="578">
        <v>3.8546043248660524E-4</v>
      </c>
      <c r="EY151" s="578">
        <v>4.3551420370187069E-3</v>
      </c>
      <c r="EZ151" s="578">
        <v>1.7381631092261696E-5</v>
      </c>
      <c r="FA151" s="578">
        <v>1.5287848344544422E-4</v>
      </c>
      <c r="FB151" s="578">
        <v>2.3610600485029193E-5</v>
      </c>
      <c r="FC151" s="578">
        <v>1.2993762993762994E-3</v>
      </c>
      <c r="FD151" s="578">
        <v>9.8410667716380449E-6</v>
      </c>
      <c r="FE151" s="578">
        <v>4.1974479516453998E-5</v>
      </c>
      <c r="FF151" s="578">
        <v>3.4128139788860577E-5</v>
      </c>
      <c r="FG151" s="578">
        <v>0</v>
      </c>
      <c r="FH151" s="578">
        <v>3.9018045846203869E-4</v>
      </c>
      <c r="FI151" s="578">
        <v>3.2297655190233189E-5</v>
      </c>
      <c r="FJ151" s="578">
        <v>1.7085547335508893E-5</v>
      </c>
      <c r="FK151" s="578">
        <v>3.9656836177609753E-5</v>
      </c>
      <c r="FL151" s="578">
        <v>3.9205436487192888E-5</v>
      </c>
      <c r="FM151" s="578">
        <v>3.4954239075343863E-5</v>
      </c>
      <c r="FN151" s="578">
        <v>7.6573253522836568E-5</v>
      </c>
      <c r="FO151" s="578">
        <v>1.3566686950679152E-4</v>
      </c>
      <c r="FP151" s="578">
        <v>7.8782340150631829E-5</v>
      </c>
      <c r="FQ151" s="578">
        <v>6.95731547807889E-5</v>
      </c>
      <c r="FR151" s="578">
        <v>5.1360948403258152E-5</v>
      </c>
      <c r="FS151" s="578">
        <v>4.4850591467174973E-5</v>
      </c>
      <c r="FT151" s="578">
        <v>1.5563960094006318E-5</v>
      </c>
      <c r="FU151" s="578">
        <v>3.4310025389418786E-5</v>
      </c>
      <c r="FV151" s="578">
        <v>2.0945917640651837E-5</v>
      </c>
      <c r="FW151" s="578">
        <v>7.2749023950595336E-5</v>
      </c>
      <c r="FX151" s="578">
        <v>2.8029105423071317E-5</v>
      </c>
      <c r="FY151" s="578">
        <v>2.320634997139371E-5</v>
      </c>
      <c r="FZ151" s="578">
        <v>8.2292763001173748E-5</v>
      </c>
      <c r="GA151" s="578">
        <v>1.6908255966490614E-4</v>
      </c>
      <c r="GB151" s="578">
        <v>5.188214263815979E-5</v>
      </c>
      <c r="GC151" s="578">
        <v>2.4788553637472361E-5</v>
      </c>
      <c r="GD151" s="578">
        <v>4.0303485243886464E-5</v>
      </c>
      <c r="GE151" s="578">
        <v>6.31195930642706E-4</v>
      </c>
      <c r="GF151" s="578">
        <v>3.1842063365706099E-5</v>
      </c>
      <c r="GG151" s="579">
        <v>1.1065600659079599E-4</v>
      </c>
      <c r="GH151" s="572"/>
    </row>
    <row r="152" spans="1:190">
      <c r="A152" s="572" t="s">
        <v>9356</v>
      </c>
      <c r="B152" s="577" t="s">
        <v>9470</v>
      </c>
      <c r="C152" s="573" t="s">
        <v>9545</v>
      </c>
      <c r="D152" s="578">
        <v>0</v>
      </c>
      <c r="E152" s="578">
        <v>0</v>
      </c>
      <c r="F152" s="578">
        <v>0</v>
      </c>
      <c r="G152" s="578">
        <v>0</v>
      </c>
      <c r="H152" s="578">
        <v>0</v>
      </c>
      <c r="I152" s="578">
        <v>0</v>
      </c>
      <c r="J152" s="578">
        <v>0</v>
      </c>
      <c r="K152" s="578">
        <v>1.065681503321374E-4</v>
      </c>
      <c r="L152" s="578">
        <v>0</v>
      </c>
      <c r="M152" s="578">
        <v>0</v>
      </c>
      <c r="N152" s="578">
        <v>1.4234875444839859E-3</v>
      </c>
      <c r="O152" s="578">
        <v>3.5035473416834546E-4</v>
      </c>
      <c r="P152" s="578">
        <v>0</v>
      </c>
      <c r="Q152" s="578">
        <v>0</v>
      </c>
      <c r="R152" s="578">
        <v>5.4830139619015316E-3</v>
      </c>
      <c r="S152" s="578">
        <v>1.5873015873015872E-2</v>
      </c>
      <c r="T152" s="578">
        <v>4.789350583743107E-4</v>
      </c>
      <c r="U152" s="578">
        <v>8.6071688152710308E-5</v>
      </c>
      <c r="V152" s="578">
        <v>1.492136440956161E-5</v>
      </c>
      <c r="W152" s="578">
        <v>5.729377305538194E-4</v>
      </c>
      <c r="X152" s="578">
        <v>1.2795577848295628E-4</v>
      </c>
      <c r="Y152" s="578">
        <v>1.2502936295645189E-4</v>
      </c>
      <c r="Z152" s="578">
        <v>9.9313662070501968E-5</v>
      </c>
      <c r="AA152" s="578">
        <v>3.9987432521207622E-4</v>
      </c>
      <c r="AB152" s="578">
        <v>8.2588658925356365E-5</v>
      </c>
      <c r="AC152" s="578">
        <v>1.0365379632029023E-4</v>
      </c>
      <c r="AD152" s="578">
        <v>0</v>
      </c>
      <c r="AE152" s="578">
        <v>4.5065344749887338E-4</v>
      </c>
      <c r="AF152" s="578">
        <v>5.3098687703861036E-4</v>
      </c>
      <c r="AG152" s="578">
        <v>0</v>
      </c>
      <c r="AH152" s="578">
        <v>3.8565368299267258E-4</v>
      </c>
      <c r="AI152" s="578">
        <v>5.3458068827263614E-4</v>
      </c>
      <c r="AJ152" s="578">
        <v>6.3565443513435426E-4</v>
      </c>
      <c r="AK152" s="578">
        <v>1.1224744325268148E-3</v>
      </c>
      <c r="AL152" s="578">
        <v>3.566333808844508E-4</v>
      </c>
      <c r="AM152" s="578">
        <v>3.4439214785902879E-4</v>
      </c>
      <c r="AN152" s="578">
        <v>3.4506556245686681E-4</v>
      </c>
      <c r="AO152" s="578">
        <v>5.181850568384234E-4</v>
      </c>
      <c r="AP152" s="578">
        <v>2.3824650571791615E-4</v>
      </c>
      <c r="AQ152" s="578">
        <v>3.1035338905900851E-4</v>
      </c>
      <c r="AR152" s="578">
        <v>3.6600195988146258E-4</v>
      </c>
      <c r="AS152" s="578">
        <v>5.0656770925369622E-4</v>
      </c>
      <c r="AT152" s="578">
        <v>6.6314371567713186E-4</v>
      </c>
      <c r="AU152" s="578">
        <v>5.235516434613308E-4</v>
      </c>
      <c r="AV152" s="578">
        <v>6.5903780480498471E-4</v>
      </c>
      <c r="AW152" s="578">
        <v>8.0459153569704446E-4</v>
      </c>
      <c r="AX152" s="578">
        <v>7.5708533119740176E-4</v>
      </c>
      <c r="AY152" s="578">
        <v>3.1715826197272439E-4</v>
      </c>
      <c r="AZ152" s="578">
        <v>3.6168817957818114E-4</v>
      </c>
      <c r="BA152" s="578">
        <v>9.7181729834791054E-4</v>
      </c>
      <c r="BB152" s="578">
        <v>5.7843727497019278E-4</v>
      </c>
      <c r="BC152" s="578">
        <v>6.0384619321031245E-4</v>
      </c>
      <c r="BD152" s="578">
        <v>3.974217265490133E-4</v>
      </c>
      <c r="BE152" s="578">
        <v>2.2360135073469017E-3</v>
      </c>
      <c r="BF152" s="578">
        <v>2.6325569871159563E-4</v>
      </c>
      <c r="BG152" s="578">
        <v>4.9721706864564006E-4</v>
      </c>
      <c r="BH152" s="578">
        <v>7.0768977079096356E-4</v>
      </c>
      <c r="BI152" s="578">
        <v>9.2165898617511521E-4</v>
      </c>
      <c r="BJ152" s="578">
        <v>6.8865695399194225E-4</v>
      </c>
      <c r="BK152" s="578">
        <v>1.1024142872891633E-4</v>
      </c>
      <c r="BL152" s="578">
        <v>1.3954432435175318E-4</v>
      </c>
      <c r="BM152" s="578">
        <v>6.0227582400721813E-4</v>
      </c>
      <c r="BN152" s="578">
        <v>6.4197530864197529E-4</v>
      </c>
      <c r="BO152" s="578">
        <v>1.7287837668170096E-3</v>
      </c>
      <c r="BP152" s="578">
        <v>2.9052876234747239E-4</v>
      </c>
      <c r="BQ152" s="578">
        <v>5.8420964780504087E-4</v>
      </c>
      <c r="BR152" s="578">
        <v>6.5078467562117929E-4</v>
      </c>
      <c r="BS152" s="578">
        <v>5.0578107771832046E-4</v>
      </c>
      <c r="BT152" s="578">
        <v>9.1058095064651249E-4</v>
      </c>
      <c r="BU152" s="578">
        <v>1.9433809026569208E-3</v>
      </c>
      <c r="BV152" s="578">
        <v>1.7854736558415307E-3</v>
      </c>
      <c r="BW152" s="578">
        <v>9.6905011679307513E-5</v>
      </c>
      <c r="BX152" s="578">
        <v>0</v>
      </c>
      <c r="BY152" s="578">
        <v>1.8768111227334379E-4</v>
      </c>
      <c r="BZ152" s="578">
        <v>2.8145540035651016E-4</v>
      </c>
      <c r="CA152" s="578">
        <v>2.7753647958303674E-4</v>
      </c>
      <c r="CB152" s="578">
        <v>5.4604120129064283E-4</v>
      </c>
      <c r="CC152" s="578">
        <v>4.0920995198603227E-4</v>
      </c>
      <c r="CD152" s="578">
        <v>2.2771818248359208E-4</v>
      </c>
      <c r="CE152" s="578">
        <v>0</v>
      </c>
      <c r="CF152" s="578">
        <v>2.3685457129322596E-4</v>
      </c>
      <c r="CG152" s="578">
        <v>3.191987402289719E-4</v>
      </c>
      <c r="CH152" s="578">
        <v>2.9278002152453913E-3</v>
      </c>
      <c r="CI152" s="578">
        <v>2.9845549282463254E-4</v>
      </c>
      <c r="CJ152" s="578">
        <v>5.3807767411586022E-4</v>
      </c>
      <c r="CK152" s="578">
        <v>9.2539360747173388E-4</v>
      </c>
      <c r="CL152" s="578">
        <v>2.8654497497227469E-3</v>
      </c>
      <c r="CM152" s="578">
        <v>1.3011373079754019E-3</v>
      </c>
      <c r="CN152" s="578">
        <v>2.7860864531069084E-3</v>
      </c>
      <c r="CO152" s="578">
        <v>1.3665869490946361E-3</v>
      </c>
      <c r="CP152" s="578">
        <v>1.2697050171231346E-3</v>
      </c>
      <c r="CQ152" s="578">
        <v>7.0077084793272596E-4</v>
      </c>
      <c r="CR152" s="578">
        <v>4.5581233306236208E-4</v>
      </c>
      <c r="CS152" s="578">
        <v>1.4125889931065657E-3</v>
      </c>
      <c r="CT152" s="578">
        <v>1.5164328832638302E-3</v>
      </c>
      <c r="CU152" s="578">
        <v>1.5075052802992438E-3</v>
      </c>
      <c r="CV152" s="578">
        <v>8.4255914951088208E-4</v>
      </c>
      <c r="CW152" s="578">
        <v>2.0675665132246237E-3</v>
      </c>
      <c r="CX152" s="578">
        <v>1.7132822204137576E-3</v>
      </c>
      <c r="CY152" s="578">
        <v>2.8024544372195256E-3</v>
      </c>
      <c r="CZ152" s="578">
        <v>1.0312944523470839E-3</v>
      </c>
      <c r="DA152" s="578">
        <v>1.9061489366259021E-3</v>
      </c>
      <c r="DB152" s="578">
        <v>8.6641035360372559E-4</v>
      </c>
      <c r="DC152" s="578">
        <v>0</v>
      </c>
      <c r="DD152" s="578">
        <v>9.6618357487922703E-4</v>
      </c>
      <c r="DE152" s="578">
        <v>2.3851927235720646E-3</v>
      </c>
      <c r="DF152" s="578">
        <v>1.7473440370636632E-3</v>
      </c>
      <c r="DG152" s="578">
        <v>9.9840124575980194E-4</v>
      </c>
      <c r="DH152" s="578">
        <v>1.1554015020219526E-3</v>
      </c>
      <c r="DI152" s="578">
        <v>7.2857332096966485E-4</v>
      </c>
      <c r="DJ152" s="578">
        <v>1.2796779684180447E-3</v>
      </c>
      <c r="DK152" s="578">
        <v>9.8087297694948511E-4</v>
      </c>
      <c r="DL152" s="578">
        <v>1.4115805156435443E-3</v>
      </c>
      <c r="DM152" s="578">
        <v>1.0179843909060061E-3</v>
      </c>
      <c r="DN152" s="578">
        <v>2.3108030040439051E-3</v>
      </c>
      <c r="DO152" s="578">
        <v>0</v>
      </c>
      <c r="DP152" s="578">
        <v>1.7528483786152498E-4</v>
      </c>
      <c r="DQ152" s="578">
        <v>1.1031526526881466E-4</v>
      </c>
      <c r="DR152" s="578">
        <v>2.2008143012914778E-4</v>
      </c>
      <c r="DS152" s="578">
        <v>6.3776327765456943E-4</v>
      </c>
      <c r="DT152" s="578">
        <v>1.3485046177171638E-3</v>
      </c>
      <c r="DU152" s="578">
        <v>5.4147025098738697E-4</v>
      </c>
      <c r="DV152" s="578">
        <v>4.6877573515437926E-4</v>
      </c>
      <c r="DW152" s="578">
        <v>8.597582562079603E-4</v>
      </c>
      <c r="DX152" s="578">
        <v>6.2516471864523132E-4</v>
      </c>
      <c r="DY152" s="578">
        <v>6.7983114891464168E-4</v>
      </c>
      <c r="DZ152" s="578">
        <v>8.9931843788050515E-4</v>
      </c>
      <c r="EA152" s="578">
        <v>8.1691162885946225E-4</v>
      </c>
      <c r="EB152" s="578">
        <v>1.0455443724435866E-3</v>
      </c>
      <c r="EC152" s="578">
        <v>9.572245991430852E-4</v>
      </c>
      <c r="ED152" s="578">
        <v>5.7891832728785805E-4</v>
      </c>
      <c r="EE152" s="578">
        <v>3.2965665681972399E-4</v>
      </c>
      <c r="EF152" s="578">
        <v>4.1692056059779994E-4</v>
      </c>
      <c r="EG152" s="578">
        <v>0</v>
      </c>
      <c r="EH152" s="578">
        <v>5.7507987220447286E-4</v>
      </c>
      <c r="EI152" s="578">
        <v>3.4843988849923568E-3</v>
      </c>
      <c r="EJ152" s="578">
        <v>3.2192630925237061E-3</v>
      </c>
      <c r="EK152" s="578">
        <v>1.2628981046896636E-3</v>
      </c>
      <c r="EL152" s="578">
        <v>4.6581719435409268E-3</v>
      </c>
      <c r="EM152" s="578">
        <v>6.2538839389969245E-3</v>
      </c>
      <c r="EN152" s="578">
        <v>3.659267943118713E-4</v>
      </c>
      <c r="EO152" s="578">
        <v>4.1365209495088372E-5</v>
      </c>
      <c r="EP152" s="578">
        <v>0</v>
      </c>
      <c r="EQ152" s="578">
        <v>1.0507085503950325E-4</v>
      </c>
      <c r="ER152" s="578">
        <v>0</v>
      </c>
      <c r="ES152" s="578">
        <v>1.4832858182906832E-3</v>
      </c>
      <c r="ET152" s="578">
        <v>7.5262590914692239E-4</v>
      </c>
      <c r="EU152" s="578">
        <v>2.8161411825446185E-4</v>
      </c>
      <c r="EV152" s="578">
        <v>2.9611467370803468E-3</v>
      </c>
      <c r="EW152" s="578">
        <v>1.3222883366390541E-3</v>
      </c>
      <c r="EX152" s="578">
        <v>3.8546043248660526E-5</v>
      </c>
      <c r="EY152" s="578">
        <v>9.8980500841334257E-4</v>
      </c>
      <c r="EZ152" s="578">
        <v>5.9966627268302861E-4</v>
      </c>
      <c r="FA152" s="578">
        <v>1.9655805014414258E-4</v>
      </c>
      <c r="FB152" s="578">
        <v>1.4571113442189444E-3</v>
      </c>
      <c r="FC152" s="578">
        <v>1.1044698544698545E-3</v>
      </c>
      <c r="FD152" s="578">
        <v>1.5917925503124539E-3</v>
      </c>
      <c r="FE152" s="578">
        <v>3.4419073203492277E-3</v>
      </c>
      <c r="FF152" s="578">
        <v>1.6078145856085427E-3</v>
      </c>
      <c r="FG152" s="578">
        <v>2.2964509394572024E-3</v>
      </c>
      <c r="FH152" s="578">
        <v>2.3573402698748172E-3</v>
      </c>
      <c r="FI152" s="578">
        <v>3.552742070925651E-3</v>
      </c>
      <c r="FJ152" s="578">
        <v>4.2429109216513749E-3</v>
      </c>
      <c r="FK152" s="578">
        <v>1.156149300870315E-3</v>
      </c>
      <c r="FL152" s="578">
        <v>2.1824359644537377E-3</v>
      </c>
      <c r="FM152" s="578">
        <v>6.0820375991098323E-3</v>
      </c>
      <c r="FN152" s="578">
        <v>1.3260246341759503E-3</v>
      </c>
      <c r="FO152" s="578">
        <v>3.9363197539379289E-4</v>
      </c>
      <c r="FP152" s="578">
        <v>7.0904106135568647E-4</v>
      </c>
      <c r="FQ152" s="578">
        <v>1.6419264528266182E-4</v>
      </c>
      <c r="FR152" s="578">
        <v>1.82097907975188E-4</v>
      </c>
      <c r="FS152" s="578">
        <v>4.7485563715871501E-3</v>
      </c>
      <c r="FT152" s="578">
        <v>1.3177486212925351E-3</v>
      </c>
      <c r="FU152" s="578">
        <v>2.0586015233651272E-4</v>
      </c>
      <c r="FV152" s="578">
        <v>5.8648569393825146E-4</v>
      </c>
      <c r="FW152" s="578">
        <v>1.1316514836759274E-4</v>
      </c>
      <c r="FX152" s="578">
        <v>1.3117621337997377E-3</v>
      </c>
      <c r="FY152" s="578">
        <v>1.0219719506633E-3</v>
      </c>
      <c r="FZ152" s="578">
        <v>1.4726073379157408E-4</v>
      </c>
      <c r="GA152" s="578">
        <v>3.5613524644395687E-4</v>
      </c>
      <c r="GB152" s="578">
        <v>4.9052207585169251E-4</v>
      </c>
      <c r="GC152" s="578">
        <v>7.7588172885288491E-4</v>
      </c>
      <c r="GD152" s="578">
        <v>1.9950225195723799E-3</v>
      </c>
      <c r="GE152" s="578">
        <v>0</v>
      </c>
      <c r="GF152" s="578">
        <v>8.2470944117178785E-3</v>
      </c>
      <c r="GG152" s="579">
        <v>1.1596420936578475E-3</v>
      </c>
      <c r="GH152" s="572"/>
    </row>
    <row r="153" spans="1:190">
      <c r="A153" s="572" t="s">
        <v>9357</v>
      </c>
      <c r="B153" s="577" t="s">
        <v>9471</v>
      </c>
      <c r="C153" s="573" t="s">
        <v>9546</v>
      </c>
      <c r="D153" s="578">
        <v>8.4352405605641351E-3</v>
      </c>
      <c r="E153" s="578">
        <v>1.1976047904191617E-2</v>
      </c>
      <c r="F153" s="578">
        <v>9.545358127695679E-3</v>
      </c>
      <c r="G153" s="578">
        <v>8.1096196868008941E-3</v>
      </c>
      <c r="H153" s="578">
        <v>8.9285714285714281E-3</v>
      </c>
      <c r="I153" s="578">
        <v>1.1565401531194005E-2</v>
      </c>
      <c r="J153" s="578">
        <v>4.5934062394304948E-2</v>
      </c>
      <c r="K153" s="578">
        <v>6.9979752051436894E-3</v>
      </c>
      <c r="L153" s="578">
        <v>2.3192771084337351E-2</v>
      </c>
      <c r="M153" s="578">
        <v>5.2344601962922573E-2</v>
      </c>
      <c r="N153" s="578">
        <v>1.494661921708185E-2</v>
      </c>
      <c r="O153" s="578">
        <v>1.129894017692914E-2</v>
      </c>
      <c r="P153" s="578">
        <v>2.2099447513812154E-2</v>
      </c>
      <c r="Q153" s="578">
        <v>0</v>
      </c>
      <c r="R153" s="578">
        <v>4.6916511220394547E-3</v>
      </c>
      <c r="S153" s="578">
        <v>4.6685340802987861E-3</v>
      </c>
      <c r="T153" s="578">
        <v>1.3521714456293896E-2</v>
      </c>
      <c r="U153" s="578">
        <v>1.6688343980719941E-2</v>
      </c>
      <c r="V153" s="578">
        <v>3.2095854844967027E-2</v>
      </c>
      <c r="W153" s="578">
        <v>2.1477505300439965E-2</v>
      </c>
      <c r="X153" s="578">
        <v>2.3492680929470777E-2</v>
      </c>
      <c r="Y153" s="578">
        <v>2.0735930407898825E-2</v>
      </c>
      <c r="Z153" s="578">
        <v>1.6019025276669072E-2</v>
      </c>
      <c r="AA153" s="578">
        <v>9.4113278683842228E-3</v>
      </c>
      <c r="AB153" s="578">
        <v>1.4667745825143292E-2</v>
      </c>
      <c r="AC153" s="578">
        <v>2.5930724712792605E-2</v>
      </c>
      <c r="AD153" s="578">
        <v>0</v>
      </c>
      <c r="AE153" s="578">
        <v>8.1117620549797202E-3</v>
      </c>
      <c r="AF153" s="578">
        <v>9.7094743229917315E-3</v>
      </c>
      <c r="AG153" s="578">
        <v>0</v>
      </c>
      <c r="AH153" s="578">
        <v>6.1704589278827613E-3</v>
      </c>
      <c r="AI153" s="578">
        <v>9.0878717006348149E-3</v>
      </c>
      <c r="AJ153" s="578">
        <v>1.1788500433400751E-2</v>
      </c>
      <c r="AK153" s="578">
        <v>1.1474183088051882E-2</v>
      </c>
      <c r="AL153" s="578">
        <v>1.110021398002853E-2</v>
      </c>
      <c r="AM153" s="578">
        <v>1.8539777293077719E-2</v>
      </c>
      <c r="AN153" s="578">
        <v>2.2386128364389232E-2</v>
      </c>
      <c r="AO153" s="578">
        <v>1.9691032159860091E-2</v>
      </c>
      <c r="AP153" s="578">
        <v>3.8357687420584499E-2</v>
      </c>
      <c r="AQ153" s="578">
        <v>1.9448812381031202E-2</v>
      </c>
      <c r="AR153" s="578">
        <v>2.8453700752074994E-2</v>
      </c>
      <c r="AS153" s="578">
        <v>2.5811391883136008E-2</v>
      </c>
      <c r="AT153" s="578">
        <v>1.848513107450005E-2</v>
      </c>
      <c r="AU153" s="578">
        <v>1.3334205919405769E-2</v>
      </c>
      <c r="AV153" s="578">
        <v>1.1802767958780181E-2</v>
      </c>
      <c r="AW153" s="578">
        <v>9.8696561712170779E-3</v>
      </c>
      <c r="AX153" s="578">
        <v>8.3937721502320636E-3</v>
      </c>
      <c r="AY153" s="578">
        <v>1.5699333967649859E-2</v>
      </c>
      <c r="AZ153" s="578">
        <v>8.3583877749395311E-3</v>
      </c>
      <c r="BA153" s="578">
        <v>1.2217131750659447E-2</v>
      </c>
      <c r="BB153" s="578">
        <v>1.6444145388438337E-2</v>
      </c>
      <c r="BC153" s="578">
        <v>1.1022751696398415E-2</v>
      </c>
      <c r="BD153" s="578">
        <v>1.7436878252337959E-2</v>
      </c>
      <c r="BE153" s="578">
        <v>8.4526224893113639E-3</v>
      </c>
      <c r="BF153" s="578">
        <v>1.435517839444995E-2</v>
      </c>
      <c r="BG153" s="578">
        <v>1.3306122448979591E-2</v>
      </c>
      <c r="BH153" s="578">
        <v>2.1306271642939592E-2</v>
      </c>
      <c r="BI153" s="578">
        <v>1.0788831661696937E-2</v>
      </c>
      <c r="BJ153" s="578">
        <v>1.6255603069678062E-2</v>
      </c>
      <c r="BK153" s="578">
        <v>2.5631132179473044E-3</v>
      </c>
      <c r="BL153" s="578">
        <v>1.079565636575836E-2</v>
      </c>
      <c r="BM153" s="578">
        <v>8.9906269393625043E-3</v>
      </c>
      <c r="BN153" s="578">
        <v>7.2592592592592596E-3</v>
      </c>
      <c r="BO153" s="578">
        <v>9.0495552486454644E-3</v>
      </c>
      <c r="BP153" s="578">
        <v>1.5906449738524113E-2</v>
      </c>
      <c r="BQ153" s="578">
        <v>1.0154120068992377E-2</v>
      </c>
      <c r="BR153" s="578">
        <v>1.5565489208709846E-2</v>
      </c>
      <c r="BS153" s="578">
        <v>3.1186461252111636E-2</v>
      </c>
      <c r="BT153" s="578">
        <v>1.8393735203059553E-2</v>
      </c>
      <c r="BU153" s="578">
        <v>1.4299802761341223E-2</v>
      </c>
      <c r="BV153" s="578">
        <v>2.408705026276782E-2</v>
      </c>
      <c r="BW153" s="578">
        <v>8.6234192369969813E-3</v>
      </c>
      <c r="BX153" s="578">
        <v>0</v>
      </c>
      <c r="BY153" s="578">
        <v>1.264970696722337E-3</v>
      </c>
      <c r="BZ153" s="578">
        <v>9.646745878885879E-3</v>
      </c>
      <c r="CA153" s="578">
        <v>1.3803127851804929E-2</v>
      </c>
      <c r="CB153" s="578">
        <v>1.532638371804418E-2</v>
      </c>
      <c r="CC153" s="578">
        <v>2.1333478830205151E-2</v>
      </c>
      <c r="CD153" s="578">
        <v>7.9864019713888363E-3</v>
      </c>
      <c r="CE153" s="578">
        <v>0</v>
      </c>
      <c r="CF153" s="578">
        <v>1.4842886467708826E-2</v>
      </c>
      <c r="CG153" s="578">
        <v>1.0639958007632396E-2</v>
      </c>
      <c r="CH153" s="578">
        <v>1.3585918785367941E-2</v>
      </c>
      <c r="CI153" s="578">
        <v>1.0644912577411894E-2</v>
      </c>
      <c r="CJ153" s="578">
        <v>1.1802994141896291E-2</v>
      </c>
      <c r="CK153" s="578">
        <v>9.4632212774970505E-3</v>
      </c>
      <c r="CL153" s="578">
        <v>8.3460719959236283E-3</v>
      </c>
      <c r="CM153" s="578">
        <v>7.721347674335779E-3</v>
      </c>
      <c r="CN153" s="578">
        <v>6.7541489772288688E-3</v>
      </c>
      <c r="CO153" s="578">
        <v>6.3204646395626923E-3</v>
      </c>
      <c r="CP153" s="578">
        <v>8.5839212425226005E-3</v>
      </c>
      <c r="CQ153" s="578">
        <v>7.2625342422118879E-3</v>
      </c>
      <c r="CR153" s="578">
        <v>7.1246080594588321E-3</v>
      </c>
      <c r="CS153" s="578">
        <v>6.9499378460843031E-3</v>
      </c>
      <c r="CT153" s="578">
        <v>7.0280831705112129E-3</v>
      </c>
      <c r="CU153" s="578">
        <v>6.787804524128146E-3</v>
      </c>
      <c r="CV153" s="578">
        <v>6.6785203174465502E-3</v>
      </c>
      <c r="CW153" s="578">
        <v>5.3444643832410077E-3</v>
      </c>
      <c r="CX153" s="578">
        <v>6.8888222612469843E-3</v>
      </c>
      <c r="CY153" s="578">
        <v>8.3524132246542721E-3</v>
      </c>
      <c r="CZ153" s="578">
        <v>9.2105263157894728E-3</v>
      </c>
      <c r="DA153" s="578">
        <v>7.6031783427212953E-3</v>
      </c>
      <c r="DB153" s="578">
        <v>8.4475009476363237E-3</v>
      </c>
      <c r="DC153" s="578">
        <v>8.7019579405366206E-3</v>
      </c>
      <c r="DD153" s="578">
        <v>7.7294685990338162E-3</v>
      </c>
      <c r="DE153" s="578">
        <v>7.2873316735420791E-3</v>
      </c>
      <c r="DF153" s="578">
        <v>7.2389967249780335E-3</v>
      </c>
      <c r="DG153" s="578">
        <v>7.9030074513757823E-3</v>
      </c>
      <c r="DH153" s="578">
        <v>8.3256872939817175E-3</v>
      </c>
      <c r="DI153" s="578">
        <v>4.6032587097628828E-3</v>
      </c>
      <c r="DJ153" s="578">
        <v>6.2244530308489358E-3</v>
      </c>
      <c r="DK153" s="578">
        <v>1.2062804861844283E-2</v>
      </c>
      <c r="DL153" s="578">
        <v>6.7245776621802479E-3</v>
      </c>
      <c r="DM153" s="578">
        <v>7.1117520642461256E-3</v>
      </c>
      <c r="DN153" s="578">
        <v>7.8897416852356187E-3</v>
      </c>
      <c r="DO153" s="578">
        <v>0</v>
      </c>
      <c r="DP153" s="578">
        <v>1.2072743207712533E-2</v>
      </c>
      <c r="DQ153" s="578">
        <v>9.8338179325343361E-3</v>
      </c>
      <c r="DR153" s="578">
        <v>7.3127057011094102E-3</v>
      </c>
      <c r="DS153" s="578">
        <v>9.4767136282641294E-3</v>
      </c>
      <c r="DT153" s="578">
        <v>9.3301941117728097E-3</v>
      </c>
      <c r="DU153" s="578">
        <v>2.9382723913874381E-3</v>
      </c>
      <c r="DV153" s="578">
        <v>7.5510902203245953E-3</v>
      </c>
      <c r="DW153" s="578">
        <v>1.5728518687098569E-2</v>
      </c>
      <c r="DX153" s="578">
        <v>1.5757828349381272E-2</v>
      </c>
      <c r="DY153" s="578">
        <v>0.38451565983146513</v>
      </c>
      <c r="DZ153" s="578">
        <v>1.9404395208350526E-2</v>
      </c>
      <c r="EA153" s="578">
        <v>1.9269765588654945E-2</v>
      </c>
      <c r="EB153" s="578">
        <v>1.9256399650719243E-2</v>
      </c>
      <c r="EC153" s="578">
        <v>1.8664350570511978E-2</v>
      </c>
      <c r="ED153" s="578">
        <v>2.1980805239210862E-2</v>
      </c>
      <c r="EE153" s="578">
        <v>1.2854044194515385E-2</v>
      </c>
      <c r="EF153" s="578">
        <v>2.4575863506622622E-2</v>
      </c>
      <c r="EG153" s="578">
        <v>8.3263946711074107E-4</v>
      </c>
      <c r="EH153" s="578">
        <v>8.2800851970181045E-3</v>
      </c>
      <c r="EI153" s="578">
        <v>1.9068653898030752E-2</v>
      </c>
      <c r="EJ153" s="578">
        <v>1.9592388446961696E-3</v>
      </c>
      <c r="EK153" s="578">
        <v>2.7858546347057319E-3</v>
      </c>
      <c r="EL153" s="578">
        <v>2.4320372415027902E-3</v>
      </c>
      <c r="EM153" s="578">
        <v>3.0101764149412413E-3</v>
      </c>
      <c r="EN153" s="578">
        <v>4.7096133712361211E-4</v>
      </c>
      <c r="EO153" s="578">
        <v>6.2441768618776258E-4</v>
      </c>
      <c r="EP153" s="578">
        <v>4.7569834382357001E-5</v>
      </c>
      <c r="EQ153" s="578">
        <v>7.5244289737966849E-4</v>
      </c>
      <c r="ER153" s="578">
        <v>9.8039215686274508E-4</v>
      </c>
      <c r="ES153" s="578">
        <v>2.8032741153016581E-3</v>
      </c>
      <c r="ET153" s="578">
        <v>2.6765921416844773E-3</v>
      </c>
      <c r="EU153" s="578">
        <v>1.1029886298299756E-3</v>
      </c>
      <c r="EV153" s="578">
        <v>2.7536778574122974E-3</v>
      </c>
      <c r="EW153" s="578">
        <v>1.3417337533543343E-3</v>
      </c>
      <c r="EX153" s="578">
        <v>4.2593377789769881E-3</v>
      </c>
      <c r="EY153" s="578">
        <v>1.3609818865683461E-3</v>
      </c>
      <c r="EZ153" s="578">
        <v>1.5556559827574219E-3</v>
      </c>
      <c r="FA153" s="578">
        <v>1.6008561195072945E-2</v>
      </c>
      <c r="FB153" s="578">
        <v>1.3120747983823365E-3</v>
      </c>
      <c r="FC153" s="578">
        <v>7.4042792792792786E-2</v>
      </c>
      <c r="FD153" s="578">
        <v>2.7727205629090195E-3</v>
      </c>
      <c r="FE153" s="578">
        <v>2.3505708529214238E-3</v>
      </c>
      <c r="FF153" s="578">
        <v>4.4404501880839706E-3</v>
      </c>
      <c r="FG153" s="578">
        <v>4.8538622129436328E-3</v>
      </c>
      <c r="FH153" s="578">
        <v>1.4111526581043733E-2</v>
      </c>
      <c r="FI153" s="578">
        <v>2.6395992741836032E-3</v>
      </c>
      <c r="FJ153" s="578">
        <v>2.1015223222675939E-3</v>
      </c>
      <c r="FK153" s="578">
        <v>1.6574523838334332E-3</v>
      </c>
      <c r="FL153" s="578">
        <v>3.6461055933089391E-3</v>
      </c>
      <c r="FM153" s="578">
        <v>3.3323041251827816E-3</v>
      </c>
      <c r="FN153" s="578">
        <v>7.4145321094063708E-3</v>
      </c>
      <c r="FO153" s="578">
        <v>7.2948174760713849E-3</v>
      </c>
      <c r="FP153" s="578">
        <v>3.3561276904169163E-3</v>
      </c>
      <c r="FQ153" s="578">
        <v>4.5389526178986677E-3</v>
      </c>
      <c r="FR153" s="578">
        <v>3.2894352863723064E-3</v>
      </c>
      <c r="FS153" s="578">
        <v>6.4360598755396087E-3</v>
      </c>
      <c r="FT153" s="578">
        <v>1.6964716502466887E-3</v>
      </c>
      <c r="FU153" s="578">
        <v>8.577506347354697E-4</v>
      </c>
      <c r="FV153" s="578">
        <v>2.5344560345188722E-3</v>
      </c>
      <c r="FW153" s="578">
        <v>8.220639706417272E-3</v>
      </c>
      <c r="FX153" s="578">
        <v>7.315596515421614E-3</v>
      </c>
      <c r="FY153" s="578">
        <v>1.9886056821640458E-3</v>
      </c>
      <c r="FZ153" s="578">
        <v>5.9813845107695241E-3</v>
      </c>
      <c r="GA153" s="578">
        <v>1.3728360291246751E-2</v>
      </c>
      <c r="GB153" s="578">
        <v>2.6224064824378946E-3</v>
      </c>
      <c r="GC153" s="578">
        <v>2.7143466233032236E-3</v>
      </c>
      <c r="GD153" s="578">
        <v>1.2917267020665611E-2</v>
      </c>
      <c r="GE153" s="578">
        <v>0.12287899602717856</v>
      </c>
      <c r="GF153" s="578">
        <v>8.2311733800350256E-3</v>
      </c>
      <c r="GG153" s="579">
        <v>8.6851489320501785E-3</v>
      </c>
      <c r="GH153" s="572"/>
    </row>
    <row r="154" spans="1:190">
      <c r="A154" s="572" t="s">
        <v>9358</v>
      </c>
      <c r="B154" s="577" t="s">
        <v>9472</v>
      </c>
      <c r="C154" s="573" t="s">
        <v>672</v>
      </c>
      <c r="D154" s="578">
        <v>0</v>
      </c>
      <c r="E154" s="578">
        <v>0</v>
      </c>
      <c r="F154" s="578">
        <v>0</v>
      </c>
      <c r="G154" s="578">
        <v>0</v>
      </c>
      <c r="H154" s="578">
        <v>0</v>
      </c>
      <c r="I154" s="578">
        <v>0</v>
      </c>
      <c r="J154" s="578">
        <v>0</v>
      </c>
      <c r="K154" s="578">
        <v>0</v>
      </c>
      <c r="L154" s="578">
        <v>0</v>
      </c>
      <c r="M154" s="578">
        <v>0</v>
      </c>
      <c r="N154" s="578">
        <v>0</v>
      </c>
      <c r="O154" s="578">
        <v>0</v>
      </c>
      <c r="P154" s="578">
        <v>0</v>
      </c>
      <c r="Q154" s="578">
        <v>0</v>
      </c>
      <c r="R154" s="578">
        <v>0</v>
      </c>
      <c r="S154" s="578">
        <v>0</v>
      </c>
      <c r="T154" s="578">
        <v>0</v>
      </c>
      <c r="U154" s="578">
        <v>0</v>
      </c>
      <c r="V154" s="578">
        <v>0</v>
      </c>
      <c r="W154" s="578">
        <v>0</v>
      </c>
      <c r="X154" s="578">
        <v>0</v>
      </c>
      <c r="Y154" s="578">
        <v>0</v>
      </c>
      <c r="Z154" s="578">
        <v>0</v>
      </c>
      <c r="AA154" s="578">
        <v>0</v>
      </c>
      <c r="AB154" s="578">
        <v>0</v>
      </c>
      <c r="AC154" s="578">
        <v>0</v>
      </c>
      <c r="AD154" s="578">
        <v>0</v>
      </c>
      <c r="AE154" s="578">
        <v>0</v>
      </c>
      <c r="AF154" s="578">
        <v>0</v>
      </c>
      <c r="AG154" s="578">
        <v>0</v>
      </c>
      <c r="AH154" s="578">
        <v>0</v>
      </c>
      <c r="AI154" s="578">
        <v>0</v>
      </c>
      <c r="AJ154" s="578">
        <v>0</v>
      </c>
      <c r="AK154" s="578">
        <v>1.2471938139186831E-4</v>
      </c>
      <c r="AL154" s="578">
        <v>0</v>
      </c>
      <c r="AM154" s="578">
        <v>0</v>
      </c>
      <c r="AN154" s="578">
        <v>1.2939958592132506E-4</v>
      </c>
      <c r="AO154" s="578">
        <v>0</v>
      </c>
      <c r="AP154" s="578">
        <v>0</v>
      </c>
      <c r="AQ154" s="578">
        <v>0</v>
      </c>
      <c r="AR154" s="578">
        <v>0</v>
      </c>
      <c r="AS154" s="578">
        <v>1.5314837721623373E-4</v>
      </c>
      <c r="AT154" s="578">
        <v>0</v>
      </c>
      <c r="AU154" s="578">
        <v>5.7263461003583056E-5</v>
      </c>
      <c r="AV154" s="578">
        <v>0</v>
      </c>
      <c r="AW154" s="578">
        <v>0</v>
      </c>
      <c r="AX154" s="578">
        <v>0</v>
      </c>
      <c r="AY154" s="578">
        <v>0</v>
      </c>
      <c r="AZ154" s="578">
        <v>0</v>
      </c>
      <c r="BA154" s="578">
        <v>0</v>
      </c>
      <c r="BB154" s="578">
        <v>0</v>
      </c>
      <c r="BC154" s="578">
        <v>0</v>
      </c>
      <c r="BD154" s="578">
        <v>0</v>
      </c>
      <c r="BE154" s="578">
        <v>0</v>
      </c>
      <c r="BF154" s="578">
        <v>0</v>
      </c>
      <c r="BG154" s="578">
        <v>0</v>
      </c>
      <c r="BH154" s="578">
        <v>0</v>
      </c>
      <c r="BI154" s="578">
        <v>0</v>
      </c>
      <c r="BJ154" s="578">
        <v>0</v>
      </c>
      <c r="BK154" s="578">
        <v>0</v>
      </c>
      <c r="BL154" s="578">
        <v>0</v>
      </c>
      <c r="BM154" s="578">
        <v>2.2900221445141375E-6</v>
      </c>
      <c r="BN154" s="578">
        <v>0</v>
      </c>
      <c r="BO154" s="578">
        <v>1.9316019740972176E-5</v>
      </c>
      <c r="BP154" s="578">
        <v>0</v>
      </c>
      <c r="BQ154" s="578">
        <v>0</v>
      </c>
      <c r="BR154" s="578">
        <v>0</v>
      </c>
      <c r="BS154" s="578">
        <v>0</v>
      </c>
      <c r="BT154" s="578">
        <v>0</v>
      </c>
      <c r="BU154" s="578">
        <v>0</v>
      </c>
      <c r="BV154" s="578">
        <v>0</v>
      </c>
      <c r="BW154" s="578">
        <v>0</v>
      </c>
      <c r="BX154" s="578">
        <v>0</v>
      </c>
      <c r="BY154" s="578">
        <v>0</v>
      </c>
      <c r="BZ154" s="578">
        <v>0</v>
      </c>
      <c r="CA154" s="578">
        <v>0</v>
      </c>
      <c r="CB154" s="578">
        <v>0</v>
      </c>
      <c r="CC154" s="578">
        <v>0</v>
      </c>
      <c r="CD154" s="578">
        <v>0</v>
      </c>
      <c r="CE154" s="578">
        <v>0</v>
      </c>
      <c r="CF154" s="578">
        <v>0</v>
      </c>
      <c r="CG154" s="578">
        <v>7.093305338421598E-6</v>
      </c>
      <c r="CH154" s="578">
        <v>1.1572332866582575E-5</v>
      </c>
      <c r="CI154" s="578">
        <v>0</v>
      </c>
      <c r="CJ154" s="578">
        <v>8.6786721631590359E-6</v>
      </c>
      <c r="CK154" s="578">
        <v>0</v>
      </c>
      <c r="CL154" s="578">
        <v>0</v>
      </c>
      <c r="CM154" s="578">
        <v>0</v>
      </c>
      <c r="CN154" s="578">
        <v>0</v>
      </c>
      <c r="CO154" s="578">
        <v>0</v>
      </c>
      <c r="CP154" s="578">
        <v>0</v>
      </c>
      <c r="CQ154" s="578">
        <v>0</v>
      </c>
      <c r="CR154" s="578">
        <v>0</v>
      </c>
      <c r="CS154" s="578">
        <v>0</v>
      </c>
      <c r="CT154" s="578">
        <v>0</v>
      </c>
      <c r="CU154" s="578">
        <v>0</v>
      </c>
      <c r="CV154" s="578">
        <v>0</v>
      </c>
      <c r="CW154" s="578">
        <v>0</v>
      </c>
      <c r="CX154" s="578">
        <v>0</v>
      </c>
      <c r="CY154" s="578">
        <v>0</v>
      </c>
      <c r="CZ154" s="578">
        <v>0</v>
      </c>
      <c r="DA154" s="578">
        <v>0</v>
      </c>
      <c r="DB154" s="578">
        <v>0</v>
      </c>
      <c r="DC154" s="578">
        <v>0</v>
      </c>
      <c r="DD154" s="578">
        <v>0</v>
      </c>
      <c r="DE154" s="578">
        <v>0</v>
      </c>
      <c r="DF154" s="578">
        <v>0</v>
      </c>
      <c r="DG154" s="578">
        <v>0</v>
      </c>
      <c r="DH154" s="578">
        <v>0</v>
      </c>
      <c r="DI154" s="578">
        <v>0</v>
      </c>
      <c r="DJ154" s="578">
        <v>0</v>
      </c>
      <c r="DK154" s="578">
        <v>0</v>
      </c>
      <c r="DL154" s="578">
        <v>0</v>
      </c>
      <c r="DM154" s="578">
        <v>1.4138672095916751E-5</v>
      </c>
      <c r="DN154" s="578">
        <v>0</v>
      </c>
      <c r="DO154" s="578">
        <v>0</v>
      </c>
      <c r="DP154" s="578">
        <v>0</v>
      </c>
      <c r="DQ154" s="578">
        <v>0</v>
      </c>
      <c r="DR154" s="578">
        <v>0</v>
      </c>
      <c r="DS154" s="578">
        <v>6.4096811824579843E-6</v>
      </c>
      <c r="DT154" s="578">
        <v>0</v>
      </c>
      <c r="DU154" s="578">
        <v>0</v>
      </c>
      <c r="DV154" s="578">
        <v>0</v>
      </c>
      <c r="DW154" s="578">
        <v>0</v>
      </c>
      <c r="DX154" s="578">
        <v>0</v>
      </c>
      <c r="DY154" s="578">
        <v>0</v>
      </c>
      <c r="DZ154" s="578">
        <v>0</v>
      </c>
      <c r="EA154" s="578">
        <v>0</v>
      </c>
      <c r="EB154" s="578">
        <v>0</v>
      </c>
      <c r="EC154" s="578">
        <v>0</v>
      </c>
      <c r="ED154" s="578">
        <v>0</v>
      </c>
      <c r="EE154" s="578">
        <v>2.5654214538499923E-6</v>
      </c>
      <c r="EF154" s="578">
        <v>3.2070812353676919E-6</v>
      </c>
      <c r="EG154" s="578">
        <v>0</v>
      </c>
      <c r="EH154" s="578">
        <v>0</v>
      </c>
      <c r="EI154" s="578">
        <v>0</v>
      </c>
      <c r="EJ154" s="578">
        <v>0</v>
      </c>
      <c r="EK154" s="578">
        <v>0</v>
      </c>
      <c r="EL154" s="578">
        <v>0</v>
      </c>
      <c r="EM154" s="578">
        <v>0</v>
      </c>
      <c r="EN154" s="578">
        <v>0</v>
      </c>
      <c r="EO154" s="578">
        <v>0</v>
      </c>
      <c r="EP154" s="578">
        <v>0</v>
      </c>
      <c r="EQ154" s="578">
        <v>0</v>
      </c>
      <c r="ER154" s="578">
        <v>0</v>
      </c>
      <c r="ES154" s="578">
        <v>0</v>
      </c>
      <c r="ET154" s="578">
        <v>1.7225592991038717E-5</v>
      </c>
      <c r="EU154" s="578">
        <v>0.47873226711099115</v>
      </c>
      <c r="EV154" s="578">
        <v>3.7721614485099963E-5</v>
      </c>
      <c r="EW154" s="578">
        <v>0</v>
      </c>
      <c r="EX154" s="578">
        <v>3.8546043248660526E-5</v>
      </c>
      <c r="EY154" s="578">
        <v>0</v>
      </c>
      <c r="EZ154" s="578">
        <v>0</v>
      </c>
      <c r="FA154" s="578">
        <v>0</v>
      </c>
      <c r="FB154" s="578">
        <v>0</v>
      </c>
      <c r="FC154" s="578">
        <v>1.1044698544698545E-3</v>
      </c>
      <c r="FD154" s="578">
        <v>0</v>
      </c>
      <c r="FE154" s="578">
        <v>0</v>
      </c>
      <c r="FF154" s="578">
        <v>0</v>
      </c>
      <c r="FG154" s="578">
        <v>0</v>
      </c>
      <c r="FH154" s="578">
        <v>0</v>
      </c>
      <c r="FI154" s="578">
        <v>0</v>
      </c>
      <c r="FJ154" s="578">
        <v>0</v>
      </c>
      <c r="FK154" s="578">
        <v>3.0505258598161346E-6</v>
      </c>
      <c r="FL154" s="578">
        <v>0</v>
      </c>
      <c r="FM154" s="578">
        <v>5.8257065125573103E-6</v>
      </c>
      <c r="FN154" s="578">
        <v>1.1205841978951694E-5</v>
      </c>
      <c r="FO154" s="578">
        <v>0</v>
      </c>
      <c r="FP154" s="578">
        <v>0</v>
      </c>
      <c r="FQ154" s="578">
        <v>0</v>
      </c>
      <c r="FR154" s="578">
        <v>0</v>
      </c>
      <c r="FS154" s="578">
        <v>0</v>
      </c>
      <c r="FT154" s="578">
        <v>0</v>
      </c>
      <c r="FU154" s="578">
        <v>0</v>
      </c>
      <c r="FV154" s="578">
        <v>0</v>
      </c>
      <c r="FW154" s="578">
        <v>0</v>
      </c>
      <c r="FX154" s="578">
        <v>0</v>
      </c>
      <c r="FY154" s="578">
        <v>2.6776557659300437E-5</v>
      </c>
      <c r="FZ154" s="578">
        <v>0</v>
      </c>
      <c r="GA154" s="578">
        <v>0</v>
      </c>
      <c r="GB154" s="578">
        <v>0</v>
      </c>
      <c r="GC154" s="578">
        <v>0</v>
      </c>
      <c r="GD154" s="578">
        <v>0</v>
      </c>
      <c r="GE154" s="578">
        <v>0</v>
      </c>
      <c r="GF154" s="578">
        <v>3.3434166533991401E-4</v>
      </c>
      <c r="GG154" s="579">
        <v>1.0525539796479193E-3</v>
      </c>
      <c r="GH154" s="572"/>
    </row>
    <row r="155" spans="1:190">
      <c r="A155" s="572" t="s">
        <v>9359</v>
      </c>
      <c r="B155" s="577" t="s">
        <v>9473</v>
      </c>
      <c r="C155" s="573" t="s">
        <v>7248</v>
      </c>
      <c r="D155" s="578">
        <v>6.0251718289743819E-4</v>
      </c>
      <c r="E155" s="578">
        <v>8.5543199315654401E-4</v>
      </c>
      <c r="F155" s="578">
        <v>7.7776992151594427E-4</v>
      </c>
      <c r="G155" s="578">
        <v>8.3892617449664428E-4</v>
      </c>
      <c r="H155" s="578">
        <v>0</v>
      </c>
      <c r="I155" s="578">
        <v>9.773578758755497E-4</v>
      </c>
      <c r="J155" s="578">
        <v>3.1406529336919582E-3</v>
      </c>
      <c r="K155" s="578">
        <v>3.9074988455117045E-4</v>
      </c>
      <c r="L155" s="578">
        <v>0</v>
      </c>
      <c r="M155" s="578">
        <v>3.6350418029807341E-4</v>
      </c>
      <c r="N155" s="578">
        <v>7.1174377224199293E-4</v>
      </c>
      <c r="O155" s="578">
        <v>1.6422878164141193E-3</v>
      </c>
      <c r="P155" s="578">
        <v>0</v>
      </c>
      <c r="Q155" s="578">
        <v>0</v>
      </c>
      <c r="R155" s="578">
        <v>1.1870442597931151E-3</v>
      </c>
      <c r="S155" s="578">
        <v>2.8011204481792717E-3</v>
      </c>
      <c r="T155" s="578">
        <v>2.2962639785069691E-4</v>
      </c>
      <c r="U155" s="578">
        <v>3.347232317049845E-4</v>
      </c>
      <c r="V155" s="578">
        <v>8.9528186457369665E-4</v>
      </c>
      <c r="W155" s="578">
        <v>3.645967376251578E-4</v>
      </c>
      <c r="X155" s="578">
        <v>1.0748285392568329E-3</v>
      </c>
      <c r="Y155" s="578">
        <v>8.6762800354628735E-4</v>
      </c>
      <c r="Z155" s="578">
        <v>5.9051366636514685E-4</v>
      </c>
      <c r="AA155" s="578">
        <v>4.2843677701293878E-4</v>
      </c>
      <c r="AB155" s="578">
        <v>4.3771989230438879E-4</v>
      </c>
      <c r="AC155" s="578">
        <v>1.3129480867236762E-3</v>
      </c>
      <c r="AD155" s="578">
        <v>0</v>
      </c>
      <c r="AE155" s="578">
        <v>0</v>
      </c>
      <c r="AF155" s="578">
        <v>3.0342107259349161E-4</v>
      </c>
      <c r="AG155" s="578">
        <v>0</v>
      </c>
      <c r="AH155" s="578">
        <v>1.1569610489780178E-3</v>
      </c>
      <c r="AI155" s="578">
        <v>5.3458068827263614E-4</v>
      </c>
      <c r="AJ155" s="578">
        <v>2.8893383415197921E-4</v>
      </c>
      <c r="AK155" s="578">
        <v>3.7415814417560486E-4</v>
      </c>
      <c r="AL155" s="578">
        <v>1.783166904422254E-4</v>
      </c>
      <c r="AM155" s="578">
        <v>6.8878429571805758E-4</v>
      </c>
      <c r="AN155" s="578">
        <v>6.9013112491373362E-4</v>
      </c>
      <c r="AO155" s="578">
        <v>5.8295818894322636E-4</v>
      </c>
      <c r="AP155" s="578">
        <v>1.1912325285895807E-3</v>
      </c>
      <c r="AQ155" s="578">
        <v>9.3106016717702553E-4</v>
      </c>
      <c r="AR155" s="578">
        <v>7.0839089009315341E-4</v>
      </c>
      <c r="AS155" s="578">
        <v>4.8300642045119867E-4</v>
      </c>
      <c r="AT155" s="578">
        <v>4.3518806341311784E-4</v>
      </c>
      <c r="AU155" s="578">
        <v>3.1085878830516519E-4</v>
      </c>
      <c r="AV155" s="578">
        <v>1.797375831286322E-3</v>
      </c>
      <c r="AW155" s="578">
        <v>1.8773802499597704E-3</v>
      </c>
      <c r="AX155" s="578">
        <v>1.075280615323846E-3</v>
      </c>
      <c r="AY155" s="578">
        <v>2.8544243577545195E-3</v>
      </c>
      <c r="AZ155" s="578">
        <v>1.4354499627009065E-3</v>
      </c>
      <c r="BA155" s="578">
        <v>2.0824656393169513E-3</v>
      </c>
      <c r="BB155" s="578">
        <v>2.3137490998807711E-3</v>
      </c>
      <c r="BC155" s="578">
        <v>1.8934160295577594E-3</v>
      </c>
      <c r="BD155" s="578">
        <v>2.0367863485636932E-3</v>
      </c>
      <c r="BE155" s="578">
        <v>7.6873933769069295E-4</v>
      </c>
      <c r="BF155" s="578">
        <v>1.2698216055500495E-3</v>
      </c>
      <c r="BG155" s="578">
        <v>6.1595547309833021E-4</v>
      </c>
      <c r="BH155" s="578">
        <v>2.8376298576375529E-3</v>
      </c>
      <c r="BI155" s="578">
        <v>1.0300894551368935E-3</v>
      </c>
      <c r="BJ155" s="578">
        <v>1.6865909831299665E-3</v>
      </c>
      <c r="BK155" s="578">
        <v>3.996251791423217E-3</v>
      </c>
      <c r="BL155" s="578">
        <v>2.2327091896280509E-3</v>
      </c>
      <c r="BM155" s="578">
        <v>2.7938270163072477E-4</v>
      </c>
      <c r="BN155" s="578">
        <v>3.9506172839506171E-4</v>
      </c>
      <c r="BO155" s="578">
        <v>3.8632039481944352E-4</v>
      </c>
      <c r="BP155" s="578">
        <v>5.8105752469494478E-4</v>
      </c>
      <c r="BQ155" s="578">
        <v>5.5639014076670561E-4</v>
      </c>
      <c r="BR155" s="578">
        <v>1.6856389958712513E-3</v>
      </c>
      <c r="BS155" s="578">
        <v>5.7355574213257534E-3</v>
      </c>
      <c r="BT155" s="578">
        <v>1.4569295210344199E-3</v>
      </c>
      <c r="BU155" s="578">
        <v>1.2182387747998607E-3</v>
      </c>
      <c r="BV155" s="578">
        <v>6.1986255221668238E-3</v>
      </c>
      <c r="BW155" s="578">
        <v>1.7814746914533159E-3</v>
      </c>
      <c r="BX155" s="578">
        <v>0</v>
      </c>
      <c r="BY155" s="578">
        <v>1.4013523049743001E-4</v>
      </c>
      <c r="BZ155" s="578">
        <v>7.2295406758240846E-4</v>
      </c>
      <c r="CA155" s="578">
        <v>9.6745767176685679E-4</v>
      </c>
      <c r="CB155" s="578">
        <v>1.2223876892529164E-3</v>
      </c>
      <c r="CC155" s="578">
        <v>1.5659100829332169E-3</v>
      </c>
      <c r="CD155" s="578">
        <v>3.6597565042005873E-4</v>
      </c>
      <c r="CE155" s="578">
        <v>0</v>
      </c>
      <c r="CF155" s="578">
        <v>2.3685457129322596E-4</v>
      </c>
      <c r="CG155" s="578">
        <v>1.8442593879896155E-4</v>
      </c>
      <c r="CH155" s="578">
        <v>9.4893129505977108E-4</v>
      </c>
      <c r="CI155" s="578">
        <v>7.2126744099286196E-4</v>
      </c>
      <c r="CJ155" s="578">
        <v>6.8561510088956394E-4</v>
      </c>
      <c r="CK155" s="578">
        <v>5.9759750673242756E-4</v>
      </c>
      <c r="CL155" s="578">
        <v>4.0763720288942843E-4</v>
      </c>
      <c r="CM155" s="578">
        <v>3.7514542821188594E-4</v>
      </c>
      <c r="CN155" s="578">
        <v>3.4976842917792359E-4</v>
      </c>
      <c r="CO155" s="578">
        <v>3.4164673727365904E-4</v>
      </c>
      <c r="CP155" s="578">
        <v>4.7390398526426852E-4</v>
      </c>
      <c r="CQ155" s="578">
        <v>4.4594508504809834E-4</v>
      </c>
      <c r="CR155" s="578">
        <v>4.5871559633027525E-4</v>
      </c>
      <c r="CS155" s="578">
        <v>4.5202847779410104E-4</v>
      </c>
      <c r="CT155" s="578">
        <v>4.0827039164795427E-4</v>
      </c>
      <c r="CU155" s="578">
        <v>3.3858407365009753E-4</v>
      </c>
      <c r="CV155" s="578">
        <v>4.026937111632892E-4</v>
      </c>
      <c r="CW155" s="578">
        <v>2.7307482250136535E-4</v>
      </c>
      <c r="CX155" s="578">
        <v>4.0690452734826746E-4</v>
      </c>
      <c r="CY155" s="578">
        <v>2.4727539151936991E-4</v>
      </c>
      <c r="CZ155" s="578">
        <v>4.2674253200568991E-4</v>
      </c>
      <c r="DA155" s="578">
        <v>3.2126105673470264E-4</v>
      </c>
      <c r="DB155" s="578">
        <v>3.2490388260139711E-4</v>
      </c>
      <c r="DC155" s="578">
        <v>7.2516316171138508E-4</v>
      </c>
      <c r="DD155" s="578">
        <v>4.8309178743961351E-4</v>
      </c>
      <c r="DE155" s="578">
        <v>2.680502298871463E-4</v>
      </c>
      <c r="DF155" s="578">
        <v>3.294991612748622E-4</v>
      </c>
      <c r="DG155" s="578">
        <v>3.4009067626648235E-4</v>
      </c>
      <c r="DH155" s="578">
        <v>3.3982397118292727E-4</v>
      </c>
      <c r="DI155" s="578">
        <v>1.6558484567492384E-4</v>
      </c>
      <c r="DJ155" s="578">
        <v>1.6151275329548138E-4</v>
      </c>
      <c r="DK155" s="578">
        <v>4.3486979273622492E-4</v>
      </c>
      <c r="DL155" s="578">
        <v>1.6413726926087726E-4</v>
      </c>
      <c r="DM155" s="578">
        <v>2.4035742563058478E-4</v>
      </c>
      <c r="DN155" s="578">
        <v>2.6409177189073204E-4</v>
      </c>
      <c r="DO155" s="578">
        <v>0</v>
      </c>
      <c r="DP155" s="578">
        <v>7.4496056091148113E-4</v>
      </c>
      <c r="DQ155" s="578">
        <v>4.4914072288017396E-4</v>
      </c>
      <c r="DR155" s="578">
        <v>3.467949808095662E-4</v>
      </c>
      <c r="DS155" s="578">
        <v>5.3520837873524175E-4</v>
      </c>
      <c r="DT155" s="578">
        <v>5.248234187872205E-4</v>
      </c>
      <c r="DU155" s="578">
        <v>1.7518155179003695E-4</v>
      </c>
      <c r="DV155" s="578">
        <v>4.5610612069074739E-4</v>
      </c>
      <c r="DW155" s="578">
        <v>7.4175222104216182E-4</v>
      </c>
      <c r="DX155" s="578">
        <v>5.82261257561735E-4</v>
      </c>
      <c r="DY155" s="578">
        <v>2.9011399029264359E-2</v>
      </c>
      <c r="DZ155" s="578">
        <v>5.5744270213192357E-4</v>
      </c>
      <c r="EA155" s="578">
        <v>4.4963528345943153E-4</v>
      </c>
      <c r="EB155" s="578">
        <v>4.7872910826171546E-4</v>
      </c>
      <c r="EC155" s="578">
        <v>1.1896497414270292E-3</v>
      </c>
      <c r="ED155" s="578">
        <v>1.6915269875442103E-3</v>
      </c>
      <c r="EE155" s="578">
        <v>2.9694753328313658E-3</v>
      </c>
      <c r="EF155" s="578">
        <v>3.7170071517911548E-3</v>
      </c>
      <c r="EG155" s="578">
        <v>8.3263946711074107E-4</v>
      </c>
      <c r="EH155" s="578">
        <v>4.0468583599574014E-4</v>
      </c>
      <c r="EI155" s="578">
        <v>5.5637982195845699E-4</v>
      </c>
      <c r="EJ155" s="578">
        <v>2.7321495815946586E-4</v>
      </c>
      <c r="EK155" s="578">
        <v>2.2946331646447453E-4</v>
      </c>
      <c r="EL155" s="578">
        <v>1.8949001820297814E-4</v>
      </c>
      <c r="EM155" s="578">
        <v>3.3050589171281213E-4</v>
      </c>
      <c r="EN155" s="578">
        <v>9.6564015165632699E-5</v>
      </c>
      <c r="EO155" s="578">
        <v>4.1365209495088372E-5</v>
      </c>
      <c r="EP155" s="578">
        <v>1.4923869610151217E-5</v>
      </c>
      <c r="EQ155" s="578">
        <v>5.4230118730066192E-5</v>
      </c>
      <c r="ER155" s="578">
        <v>0</v>
      </c>
      <c r="ES155" s="578">
        <v>2.0752393329296257E-3</v>
      </c>
      <c r="ET155" s="578">
        <v>2.9548517207704877E-3</v>
      </c>
      <c r="EU155" s="578">
        <v>1.5958133367752836E-3</v>
      </c>
      <c r="EV155" s="578">
        <v>6.8276122218030935E-3</v>
      </c>
      <c r="EW155" s="578">
        <v>2.6251312565628282E-4</v>
      </c>
      <c r="EX155" s="578">
        <v>1.8502100759357051E-3</v>
      </c>
      <c r="EY155" s="578">
        <v>1.4847075126200139E-4</v>
      </c>
      <c r="EZ155" s="578">
        <v>6.9526524369046785E-5</v>
      </c>
      <c r="FA155" s="578">
        <v>4.3679566698698352E-4</v>
      </c>
      <c r="FB155" s="578">
        <v>8.7696516087251285E-5</v>
      </c>
      <c r="FC155" s="578">
        <v>5.6306306306306306E-4</v>
      </c>
      <c r="FD155" s="578">
        <v>9.1029867637651922E-5</v>
      </c>
      <c r="FE155" s="578">
        <v>1.2592343854936198E-4</v>
      </c>
      <c r="FF155" s="578">
        <v>3.4128139788860577E-4</v>
      </c>
      <c r="FG155" s="578">
        <v>1.0438413361169103E-4</v>
      </c>
      <c r="FH155" s="578">
        <v>2.7637782474394405E-4</v>
      </c>
      <c r="FI155" s="578">
        <v>3.4352960520520753E-4</v>
      </c>
      <c r="FJ155" s="578">
        <v>1.6857740037702108E-4</v>
      </c>
      <c r="FK155" s="578">
        <v>1.80997867682424E-4</v>
      </c>
      <c r="FL155" s="578">
        <v>3.6591740721380033E-4</v>
      </c>
      <c r="FM155" s="578">
        <v>5.3596499915527251E-4</v>
      </c>
      <c r="FN155" s="578">
        <v>2.8761661079309349E-4</v>
      </c>
      <c r="FO155" s="578">
        <v>1.2130796725972233E-4</v>
      </c>
      <c r="FP155" s="578">
        <v>2.363470204518955E-4</v>
      </c>
      <c r="FQ155" s="578">
        <v>1.5862679290019871E-4</v>
      </c>
      <c r="FR155" s="578">
        <v>1.8443249653897245E-4</v>
      </c>
      <c r="FS155" s="578">
        <v>3.3077311207041542E-4</v>
      </c>
      <c r="FT155" s="578">
        <v>1.1932369405404844E-4</v>
      </c>
      <c r="FU155" s="578">
        <v>1.7155012694709395E-4</v>
      </c>
      <c r="FV155" s="578">
        <v>1.2567550584391103E-4</v>
      </c>
      <c r="FW155" s="578">
        <v>5.9007541648816212E-4</v>
      </c>
      <c r="FX155" s="578">
        <v>1.5416007982689225E-4</v>
      </c>
      <c r="FY155" s="578">
        <v>1.2406471715475868E-4</v>
      </c>
      <c r="FZ155" s="578">
        <v>3.6382063642624189E-4</v>
      </c>
      <c r="GA155" s="578">
        <v>3.283632318130061E-4</v>
      </c>
      <c r="GB155" s="578">
        <v>2.4997759634749718E-4</v>
      </c>
      <c r="GC155" s="578">
        <v>3.5943402774334923E-4</v>
      </c>
      <c r="GD155" s="578">
        <v>4.299038426014556E-4</v>
      </c>
      <c r="GE155" s="578">
        <v>8.9110013737793783E-4</v>
      </c>
      <c r="GF155" s="578">
        <v>4.1925383431513029E-4</v>
      </c>
      <c r="GG155" s="579">
        <v>6.4006452803249563E-4</v>
      </c>
      <c r="GH155" s="572"/>
    </row>
    <row r="156" spans="1:190">
      <c r="A156" s="572" t="s">
        <v>9360</v>
      </c>
      <c r="B156" s="577" t="s">
        <v>9474</v>
      </c>
      <c r="C156" s="573" t="s">
        <v>677</v>
      </c>
      <c r="D156" s="578">
        <v>1.7629206462554672E-3</v>
      </c>
      <c r="E156" s="578">
        <v>3.4217279726261761E-3</v>
      </c>
      <c r="F156" s="578">
        <v>1.3905583445285065E-3</v>
      </c>
      <c r="G156" s="578">
        <v>1.1185682326621924E-3</v>
      </c>
      <c r="H156" s="578">
        <v>0</v>
      </c>
      <c r="I156" s="578">
        <v>8.1446489656295808E-4</v>
      </c>
      <c r="J156" s="578">
        <v>2.3514632221488508E-3</v>
      </c>
      <c r="K156" s="578">
        <v>2.1313630066427481E-4</v>
      </c>
      <c r="L156" s="578">
        <v>0</v>
      </c>
      <c r="M156" s="578">
        <v>0</v>
      </c>
      <c r="N156" s="578">
        <v>1.4234875444839859E-3</v>
      </c>
      <c r="O156" s="578">
        <v>4.3794341771043183E-4</v>
      </c>
      <c r="P156" s="578">
        <v>0</v>
      </c>
      <c r="Q156" s="578">
        <v>0</v>
      </c>
      <c r="R156" s="578">
        <v>1.1305183426601097E-4</v>
      </c>
      <c r="S156" s="578">
        <v>0</v>
      </c>
      <c r="T156" s="578">
        <v>2.0994413517778004E-4</v>
      </c>
      <c r="U156" s="578">
        <v>3.4428675261084123E-4</v>
      </c>
      <c r="V156" s="578">
        <v>4.6927691068071268E-3</v>
      </c>
      <c r="W156" s="578">
        <v>1.9302180227214236E-4</v>
      </c>
      <c r="X156" s="578">
        <v>3.5827617975227761E-4</v>
      </c>
      <c r="Y156" s="578">
        <v>1.6329592555827505E-3</v>
      </c>
      <c r="Z156" s="578">
        <v>3.9188634222414289E-4</v>
      </c>
      <c r="AA156" s="578">
        <v>2.1897879713994649E-4</v>
      </c>
      <c r="AB156" s="578">
        <v>5.8637947837003027E-4</v>
      </c>
      <c r="AC156" s="578">
        <v>2.8677550315280298E-3</v>
      </c>
      <c r="AD156" s="578">
        <v>0</v>
      </c>
      <c r="AE156" s="578">
        <v>4.5065344749887338E-4</v>
      </c>
      <c r="AF156" s="578">
        <v>7.5855268148372902E-5</v>
      </c>
      <c r="AG156" s="578">
        <v>0</v>
      </c>
      <c r="AH156" s="578">
        <v>0</v>
      </c>
      <c r="AI156" s="578">
        <v>6.6822586034079518E-5</v>
      </c>
      <c r="AJ156" s="578">
        <v>5.7786766830395839E-5</v>
      </c>
      <c r="AK156" s="578">
        <v>1.2471938139186831E-4</v>
      </c>
      <c r="AL156" s="578">
        <v>1.3373751783166905E-4</v>
      </c>
      <c r="AM156" s="578">
        <v>4.2475031569280224E-3</v>
      </c>
      <c r="AN156" s="578">
        <v>6.4699792960662525E-4</v>
      </c>
      <c r="AO156" s="578">
        <v>4.8579849078602197E-4</v>
      </c>
      <c r="AP156" s="578">
        <v>3.0972045743329099E-3</v>
      </c>
      <c r="AQ156" s="578">
        <v>2.6483489199702059E-3</v>
      </c>
      <c r="AR156" s="578">
        <v>1.2514905724979044E-3</v>
      </c>
      <c r="AS156" s="578">
        <v>1.1427225069211286E-3</v>
      </c>
      <c r="AT156" s="578">
        <v>7.6675992125168377E-4</v>
      </c>
      <c r="AU156" s="578">
        <v>4.8264917131591434E-4</v>
      </c>
      <c r="AV156" s="578">
        <v>8.3877538793361692E-4</v>
      </c>
      <c r="AW156" s="578">
        <v>1.3302580056857801E-2</v>
      </c>
      <c r="AX156" s="578">
        <v>1.8213936953444738E-3</v>
      </c>
      <c r="AY156" s="578">
        <v>3.1715826197272439E-4</v>
      </c>
      <c r="AZ156" s="578">
        <v>3.447340461604539E-4</v>
      </c>
      <c r="BA156" s="578">
        <v>5.5532417048452032E-4</v>
      </c>
      <c r="BB156" s="578">
        <v>4.8399853619954903E-4</v>
      </c>
      <c r="BC156" s="578">
        <v>3.275097997072881E-4</v>
      </c>
      <c r="BD156" s="578">
        <v>1.4654926166494866E-3</v>
      </c>
      <c r="BE156" s="578">
        <v>1.7902148959920248E-4</v>
      </c>
      <c r="BF156" s="578">
        <v>2.6325569871159563E-4</v>
      </c>
      <c r="BG156" s="578">
        <v>2.8200371057513916E-4</v>
      </c>
      <c r="BH156" s="578">
        <v>3.3666794921123508E-4</v>
      </c>
      <c r="BI156" s="578">
        <v>2.7107617240444562E-4</v>
      </c>
      <c r="BJ156" s="578">
        <v>4.5360637688092009E-4</v>
      </c>
      <c r="BK156" s="578">
        <v>1.9567853599382649E-3</v>
      </c>
      <c r="BL156" s="578">
        <v>2.4356827523215101E-2</v>
      </c>
      <c r="BM156" s="578">
        <v>1.9465188228370169E-4</v>
      </c>
      <c r="BN156" s="578">
        <v>5.9259259259259258E-4</v>
      </c>
      <c r="BO156" s="578">
        <v>2.2213422702118001E-4</v>
      </c>
      <c r="BP156" s="578">
        <v>2.178965717606043E-4</v>
      </c>
      <c r="BQ156" s="578">
        <v>2.503755633450175E-4</v>
      </c>
      <c r="BR156" s="578">
        <v>4.8008705578611588E-4</v>
      </c>
      <c r="BS156" s="578">
        <v>2.7615646843420294E-3</v>
      </c>
      <c r="BT156" s="578">
        <v>5.4634857038790747E-4</v>
      </c>
      <c r="BU156" s="578">
        <v>1.2762501450284255E-3</v>
      </c>
      <c r="BV156" s="578">
        <v>1.2127745586848133E-3</v>
      </c>
      <c r="BW156" s="578">
        <v>2.726861956557258E-3</v>
      </c>
      <c r="BX156" s="578">
        <v>0</v>
      </c>
      <c r="BY156" s="578">
        <v>6.1309163342625631E-5</v>
      </c>
      <c r="BZ156" s="578">
        <v>1.6169888687148526E-3</v>
      </c>
      <c r="CA156" s="578">
        <v>2.4398122159955092E-3</v>
      </c>
      <c r="CB156" s="578">
        <v>2.2958550508811121E-3</v>
      </c>
      <c r="CC156" s="578">
        <v>4.2285028371890007E-3</v>
      </c>
      <c r="CD156" s="578">
        <v>1.1272050032937809E-2</v>
      </c>
      <c r="CE156" s="578">
        <v>0</v>
      </c>
      <c r="CF156" s="578">
        <v>5.5266066635086062E-4</v>
      </c>
      <c r="CG156" s="578">
        <v>4.8234476301266862E-4</v>
      </c>
      <c r="CH156" s="578">
        <v>1.9904412530522028E-3</v>
      </c>
      <c r="CI156" s="578">
        <v>1.3430497177108463E-3</v>
      </c>
      <c r="CJ156" s="578">
        <v>1.0848340203948796E-3</v>
      </c>
      <c r="CK156" s="578">
        <v>1.147286352587572E-3</v>
      </c>
      <c r="CL156" s="578">
        <v>9.6214369211401849E-4</v>
      </c>
      <c r="CM156" s="578">
        <v>7.6453688534321054E-4</v>
      </c>
      <c r="CN156" s="578">
        <v>6.5129293708992664E-4</v>
      </c>
      <c r="CO156" s="578">
        <v>5.1247010591048861E-4</v>
      </c>
      <c r="CP156" s="578">
        <v>7.6003469334835522E-4</v>
      </c>
      <c r="CQ156" s="578">
        <v>7.0077084793272596E-4</v>
      </c>
      <c r="CR156" s="578">
        <v>6.2710486586923706E-4</v>
      </c>
      <c r="CS156" s="578">
        <v>6.2153915696688887E-4</v>
      </c>
      <c r="CT156" s="578">
        <v>7.582164416319151E-4</v>
      </c>
      <c r="CU156" s="578">
        <v>5.9655289166921945E-4</v>
      </c>
      <c r="CV156" s="578">
        <v>6.6289580145341453E-4</v>
      </c>
      <c r="CW156" s="578">
        <v>3.9010688928766481E-4</v>
      </c>
      <c r="CX156" s="578">
        <v>6.3534215673676842E-4</v>
      </c>
      <c r="CY156" s="578">
        <v>2.2895869585126842E-4</v>
      </c>
      <c r="CZ156" s="578">
        <v>3.9118065433854909E-4</v>
      </c>
      <c r="DA156" s="578">
        <v>2.784262491700756E-4</v>
      </c>
      <c r="DB156" s="578">
        <v>3.2490388260139711E-4</v>
      </c>
      <c r="DC156" s="578">
        <v>7.2516316171138508E-4</v>
      </c>
      <c r="DD156" s="578">
        <v>4.8309178743961351E-4</v>
      </c>
      <c r="DE156" s="578">
        <v>2.3170443600414341E-4</v>
      </c>
      <c r="DF156" s="578">
        <v>2.9954469206805657E-4</v>
      </c>
      <c r="DG156" s="578">
        <v>5.314600278633776E-4</v>
      </c>
      <c r="DH156" s="578">
        <v>4.8708102536219574E-4</v>
      </c>
      <c r="DI156" s="578">
        <v>1.6558484567492384E-4</v>
      </c>
      <c r="DJ156" s="578">
        <v>2.2363304302451266E-4</v>
      </c>
      <c r="DK156" s="578">
        <v>5.4600318421326019E-4</v>
      </c>
      <c r="DL156" s="578">
        <v>2.2474179944950885E-4</v>
      </c>
      <c r="DM156" s="578">
        <v>2.2621875353466802E-4</v>
      </c>
      <c r="DN156" s="578">
        <v>1.733102253032929E-4</v>
      </c>
      <c r="DO156" s="578">
        <v>0</v>
      </c>
      <c r="DP156" s="578">
        <v>2.0815074496056091E-3</v>
      </c>
      <c r="DQ156" s="578">
        <v>1.6704883026420507E-3</v>
      </c>
      <c r="DR156" s="578">
        <v>9.0700225750194236E-4</v>
      </c>
      <c r="DS156" s="578">
        <v>9.0376504672657579E-4</v>
      </c>
      <c r="DT156" s="578">
        <v>7.4349984328189581E-4</v>
      </c>
      <c r="DU156" s="578">
        <v>1.1944196712957065E-4</v>
      </c>
      <c r="DV156" s="578">
        <v>1.0642476149450772E-3</v>
      </c>
      <c r="DW156" s="578">
        <v>4.0459212056845193E-4</v>
      </c>
      <c r="DX156" s="578">
        <v>3.8613114975146639E-4</v>
      </c>
      <c r="DY156" s="578">
        <v>7.7864381590804888E-2</v>
      </c>
      <c r="DZ156" s="578">
        <v>5.4733800058270443E-4</v>
      </c>
      <c r="EA156" s="578">
        <v>3.784059316242741E-4</v>
      </c>
      <c r="EB156" s="578">
        <v>3.6000428941281005E-4</v>
      </c>
      <c r="EC156" s="578">
        <v>7.4009058464097961E-4</v>
      </c>
      <c r="ED156" s="578">
        <v>8.1862669718048688E-4</v>
      </c>
      <c r="EE156" s="578">
        <v>3.821195255509563E-3</v>
      </c>
      <c r="EF156" s="578">
        <v>1.5746768865655368E-3</v>
      </c>
      <c r="EG156" s="578">
        <v>2.7754648903691371E-4</v>
      </c>
      <c r="EH156" s="578">
        <v>6.9222577209797654E-5</v>
      </c>
      <c r="EI156" s="578">
        <v>8.4299973024008629E-5</v>
      </c>
      <c r="EJ156" s="578">
        <v>3.8645536844924445E-5</v>
      </c>
      <c r="EK156" s="578">
        <v>5.4391304643431001E-5</v>
      </c>
      <c r="EL156" s="578">
        <v>2.0888663423950345E-5</v>
      </c>
      <c r="EM156" s="578">
        <v>2.1769849154736128E-5</v>
      </c>
      <c r="EN156" s="578">
        <v>2.3717477409102766E-5</v>
      </c>
      <c r="EO156" s="578">
        <v>5.9093156421554823E-6</v>
      </c>
      <c r="EP156" s="578">
        <v>3.2645964772205787E-6</v>
      </c>
      <c r="EQ156" s="578">
        <v>2.0336294523774824E-5</v>
      </c>
      <c r="ER156" s="578">
        <v>0</v>
      </c>
      <c r="ES156" s="578">
        <v>5.4432507093236078E-5</v>
      </c>
      <c r="ET156" s="578">
        <v>5.0351733358420865E-5</v>
      </c>
      <c r="EU156" s="578">
        <v>0.19384438473182122</v>
      </c>
      <c r="EV156" s="578">
        <v>1.6691814409656735E-2</v>
      </c>
      <c r="EW156" s="578">
        <v>1.9445416715280207E-5</v>
      </c>
      <c r="EX156" s="578">
        <v>2.1200323786763289E-4</v>
      </c>
      <c r="EY156" s="578">
        <v>2.4745125210333564E-5</v>
      </c>
      <c r="EZ156" s="578">
        <v>2.6072446638392548E-5</v>
      </c>
      <c r="FA156" s="578">
        <v>5.4599458373372938E-4</v>
      </c>
      <c r="FB156" s="578">
        <v>1.6864714632163708E-4</v>
      </c>
      <c r="FC156" s="578">
        <v>0</v>
      </c>
      <c r="FD156" s="578">
        <v>1.2301333464547557E-5</v>
      </c>
      <c r="FE156" s="578">
        <v>4.1974479516453998E-5</v>
      </c>
      <c r="FF156" s="578">
        <v>7.5840310641912386E-5</v>
      </c>
      <c r="FG156" s="578">
        <v>0</v>
      </c>
      <c r="FH156" s="578">
        <v>3.7392293935945372E-4</v>
      </c>
      <c r="FI156" s="578">
        <v>3.2297655190233189E-5</v>
      </c>
      <c r="FJ156" s="578">
        <v>1.3668437868407115E-5</v>
      </c>
      <c r="FK156" s="578">
        <v>5.0842097663602241E-5</v>
      </c>
      <c r="FL156" s="578">
        <v>5.2273915316257188E-5</v>
      </c>
      <c r="FM156" s="578">
        <v>5.8257065125573101E-5</v>
      </c>
      <c r="FN156" s="578">
        <v>1.1766134077899278E-4</v>
      </c>
      <c r="FO156" s="578">
        <v>9.9026912048752924E-5</v>
      </c>
      <c r="FP156" s="578">
        <v>9.4538808180758205E-5</v>
      </c>
      <c r="FQ156" s="578">
        <v>9.1836564310641353E-5</v>
      </c>
      <c r="FR156" s="578">
        <v>6.3033891222180464E-5</v>
      </c>
      <c r="FS156" s="578">
        <v>6.1669563267365593E-5</v>
      </c>
      <c r="FT156" s="578">
        <v>2.5939933490010531E-5</v>
      </c>
      <c r="FU156" s="578">
        <v>3.4310025389418786E-5</v>
      </c>
      <c r="FV156" s="578">
        <v>2.0945917640651837E-5</v>
      </c>
      <c r="FW156" s="578">
        <v>9.5382053624113881E-4</v>
      </c>
      <c r="FX156" s="578">
        <v>2.0461246958842062E-4</v>
      </c>
      <c r="FY156" s="578">
        <v>2.7669109581277116E-5</v>
      </c>
      <c r="FZ156" s="578">
        <v>8.2292763001173748E-5</v>
      </c>
      <c r="GA156" s="578">
        <v>1.6826573570517228E-4</v>
      </c>
      <c r="GB156" s="578">
        <v>4.7165584216508896E-5</v>
      </c>
      <c r="GC156" s="578">
        <v>6.1971384093680899E-5</v>
      </c>
      <c r="GD156" s="578">
        <v>7.0531099176801313E-5</v>
      </c>
      <c r="GE156" s="578">
        <v>1.7265065161697546E-3</v>
      </c>
      <c r="GF156" s="578">
        <v>9.5526190097118297E-5</v>
      </c>
      <c r="GG156" s="579">
        <v>1.174350024944446E-3</v>
      </c>
      <c r="GH156" s="572"/>
    </row>
    <row r="157" spans="1:190">
      <c r="A157" s="572" t="s">
        <v>9128</v>
      </c>
      <c r="B157" s="577" t="s">
        <v>680</v>
      </c>
      <c r="C157" s="573" t="s">
        <v>9107</v>
      </c>
      <c r="D157" s="578">
        <v>0</v>
      </c>
      <c r="E157" s="578">
        <v>0</v>
      </c>
      <c r="F157" s="578">
        <v>0</v>
      </c>
      <c r="G157" s="578">
        <v>0</v>
      </c>
      <c r="H157" s="578">
        <v>0</v>
      </c>
      <c r="I157" s="578">
        <v>0</v>
      </c>
      <c r="J157" s="578">
        <v>0</v>
      </c>
      <c r="K157" s="578">
        <v>2.0603175730879897E-3</v>
      </c>
      <c r="L157" s="578">
        <v>0</v>
      </c>
      <c r="M157" s="578">
        <v>0</v>
      </c>
      <c r="N157" s="578">
        <v>7.1174377224199293E-4</v>
      </c>
      <c r="O157" s="578">
        <v>2.627660506262591E-4</v>
      </c>
      <c r="P157" s="578">
        <v>0</v>
      </c>
      <c r="Q157" s="578">
        <v>0</v>
      </c>
      <c r="R157" s="578">
        <v>1.1305183426601098E-3</v>
      </c>
      <c r="S157" s="578">
        <v>7.4696545284780582E-3</v>
      </c>
      <c r="T157" s="578">
        <v>3.1819657987882288E-4</v>
      </c>
      <c r="U157" s="578">
        <v>9.5635209058566995E-5</v>
      </c>
      <c r="V157" s="578">
        <v>1.417529618908353E-4</v>
      </c>
      <c r="W157" s="578">
        <v>2.5429856489821932E-4</v>
      </c>
      <c r="X157" s="578">
        <v>5.1182311393182519E-5</v>
      </c>
      <c r="Y157" s="578">
        <v>1.4018443725420364E-4</v>
      </c>
      <c r="Z157" s="578">
        <v>6.9787978752244617E-5</v>
      </c>
      <c r="AA157" s="578">
        <v>4.1891595974598457E-4</v>
      </c>
      <c r="AB157" s="578">
        <v>6.60709271402851E-5</v>
      </c>
      <c r="AC157" s="578">
        <v>1.5548069448043534E-4</v>
      </c>
      <c r="AD157" s="578">
        <v>0</v>
      </c>
      <c r="AE157" s="578">
        <v>9.0130689499774675E-4</v>
      </c>
      <c r="AF157" s="578">
        <v>1.8963817037093225E-3</v>
      </c>
      <c r="AG157" s="578">
        <v>0</v>
      </c>
      <c r="AH157" s="578">
        <v>7.7130736598534516E-4</v>
      </c>
      <c r="AI157" s="578">
        <v>1.0691613765452723E-3</v>
      </c>
      <c r="AJ157" s="578">
        <v>1.791389771742271E-3</v>
      </c>
      <c r="AK157" s="578">
        <v>1.8707907208780244E-3</v>
      </c>
      <c r="AL157" s="578">
        <v>6.6868758915834521E-4</v>
      </c>
      <c r="AM157" s="578">
        <v>1.1479738261967628E-4</v>
      </c>
      <c r="AN157" s="578">
        <v>6.9013112491373362E-4</v>
      </c>
      <c r="AO157" s="578">
        <v>1.2630760760436572E-3</v>
      </c>
      <c r="AP157" s="578">
        <v>1.588310038119441E-4</v>
      </c>
      <c r="AQ157" s="578">
        <v>2.4828271124720681E-4</v>
      </c>
      <c r="AR157" s="578">
        <v>3.7780847471634846E-4</v>
      </c>
      <c r="AS157" s="578">
        <v>6.4793544206868112E-4</v>
      </c>
      <c r="AT157" s="578">
        <v>6.2169723344731112E-4</v>
      </c>
      <c r="AU157" s="578">
        <v>1.5461134470967424E-3</v>
      </c>
      <c r="AV157" s="578">
        <v>4.1938769396680846E-4</v>
      </c>
      <c r="AW157" s="578">
        <v>5.9003379284449926E-4</v>
      </c>
      <c r="AX157" s="578">
        <v>5.4861255883869697E-4</v>
      </c>
      <c r="AY157" s="578">
        <v>3.1715826197272439E-4</v>
      </c>
      <c r="AZ157" s="578">
        <v>3.2212853493681758E-4</v>
      </c>
      <c r="BA157" s="578">
        <v>6.9415521310565043E-4</v>
      </c>
      <c r="BB157" s="578">
        <v>5.9024211731652319E-4</v>
      </c>
      <c r="BC157" s="578">
        <v>5.2196874328349046E-4</v>
      </c>
      <c r="BD157" s="578">
        <v>4.5951887132229661E-4</v>
      </c>
      <c r="BE157" s="578">
        <v>4.7001916583006296E-3</v>
      </c>
      <c r="BF157" s="578">
        <v>7.5879583746283447E-4</v>
      </c>
      <c r="BG157" s="578">
        <v>1.3580705009276438E-3</v>
      </c>
      <c r="BH157" s="578">
        <v>4.2598801736931787E-4</v>
      </c>
      <c r="BI157" s="578">
        <v>8.6744375169422604E-4</v>
      </c>
      <c r="BJ157" s="578">
        <v>6.3504892763328815E-4</v>
      </c>
      <c r="BK157" s="578">
        <v>1.1024142872891633E-4</v>
      </c>
      <c r="BL157" s="578">
        <v>2.5371695336682398E-4</v>
      </c>
      <c r="BM157" s="578">
        <v>6.8013657692069884E-4</v>
      </c>
      <c r="BN157" s="578">
        <v>1.2345679012345679E-3</v>
      </c>
      <c r="BO157" s="578">
        <v>9.2716894756666437E-4</v>
      </c>
      <c r="BP157" s="578">
        <v>3.631609529343405E-4</v>
      </c>
      <c r="BQ157" s="578">
        <v>1.196238802648417E-3</v>
      </c>
      <c r="BR157" s="578">
        <v>8.5348809917531717E-4</v>
      </c>
      <c r="BS157" s="578">
        <v>6.6763102258818297E-4</v>
      </c>
      <c r="BT157" s="578">
        <v>7.2846476051720993E-4</v>
      </c>
      <c r="BU157" s="578">
        <v>7.5414781297134241E-4</v>
      </c>
      <c r="BV157" s="578">
        <v>6.0638727934240663E-4</v>
      </c>
      <c r="BW157" s="578">
        <v>8.9017394449596431E-5</v>
      </c>
      <c r="BX157" s="578">
        <v>0</v>
      </c>
      <c r="BY157" s="578">
        <v>2.1771009023707877E-4</v>
      </c>
      <c r="BZ157" s="578">
        <v>7.5606646762435082E-4</v>
      </c>
      <c r="CA157" s="578">
        <v>3.2144055544927982E-4</v>
      </c>
      <c r="CB157" s="578">
        <v>4.6537602382725244E-4</v>
      </c>
      <c r="CC157" s="578">
        <v>2.673505019642078E-4</v>
      </c>
      <c r="CD157" s="578">
        <v>1.6265584463113721E-4</v>
      </c>
      <c r="CE157" s="578">
        <v>0</v>
      </c>
      <c r="CF157" s="578">
        <v>1.5790304752881732E-4</v>
      </c>
      <c r="CG157" s="578">
        <v>2.8373221353686389E-4</v>
      </c>
      <c r="CH157" s="578">
        <v>1.8168562600534642E-3</v>
      </c>
      <c r="CI157" s="578">
        <v>3.7306936603079065E-4</v>
      </c>
      <c r="CJ157" s="578">
        <v>6.6825775656324587E-4</v>
      </c>
      <c r="CK157" s="578">
        <v>7.1358689622479749E-4</v>
      </c>
      <c r="CL157" s="578">
        <v>9.4715703024308366E-4</v>
      </c>
      <c r="CM157" s="578">
        <v>1.4151055393309116E-3</v>
      </c>
      <c r="CN157" s="578">
        <v>2.1468544963334619E-3</v>
      </c>
      <c r="CO157" s="578">
        <v>3.4164673727365904E-4</v>
      </c>
      <c r="CP157" s="578">
        <v>1.28758818637839E-3</v>
      </c>
      <c r="CQ157" s="578">
        <v>5.7335796649041215E-4</v>
      </c>
      <c r="CR157" s="578">
        <v>6.5613749854836838E-4</v>
      </c>
      <c r="CS157" s="578">
        <v>7.9104983613967675E-4</v>
      </c>
      <c r="CT157" s="578">
        <v>1.0498381499518825E-3</v>
      </c>
      <c r="CU157" s="578">
        <v>1.1931057833384389E-3</v>
      </c>
      <c r="CV157" s="578">
        <v>7.1865339222986998E-4</v>
      </c>
      <c r="CW157" s="578">
        <v>1.7164703128657252E-3</v>
      </c>
      <c r="CX157" s="578">
        <v>1.5419539983723819E-3</v>
      </c>
      <c r="CY157" s="578">
        <v>9.2499313123912442E-4</v>
      </c>
      <c r="CZ157" s="578">
        <v>4.6230440967283073E-4</v>
      </c>
      <c r="DA157" s="578">
        <v>1.8418967252789617E-3</v>
      </c>
      <c r="DB157" s="578">
        <v>1.1371635891048897E-3</v>
      </c>
      <c r="DC157" s="578">
        <v>7.2516316171138508E-4</v>
      </c>
      <c r="DD157" s="578">
        <v>0</v>
      </c>
      <c r="DE157" s="578">
        <v>4.6795209624366218E-4</v>
      </c>
      <c r="DF157" s="578">
        <v>6.0907420720504829E-4</v>
      </c>
      <c r="DG157" s="578">
        <v>6.9439736150873411E-4</v>
      </c>
      <c r="DH157" s="578">
        <v>1.3139860219073187E-3</v>
      </c>
      <c r="DI157" s="578">
        <v>2.7487084382037358E-3</v>
      </c>
      <c r="DJ157" s="578">
        <v>1.0311968095019196E-3</v>
      </c>
      <c r="DK157" s="578">
        <v>7.2961487447966626E-4</v>
      </c>
      <c r="DL157" s="578">
        <v>1.0757304108482109E-3</v>
      </c>
      <c r="DM157" s="578">
        <v>1.0179843909060061E-3</v>
      </c>
      <c r="DN157" s="578">
        <v>6.2721795824048859E-4</v>
      </c>
      <c r="DO157" s="578">
        <v>0</v>
      </c>
      <c r="DP157" s="578">
        <v>2.4101665205959684E-4</v>
      </c>
      <c r="DQ157" s="578">
        <v>4.6490004649000463E-4</v>
      </c>
      <c r="DR157" s="578">
        <v>3.5346411505590404E-4</v>
      </c>
      <c r="DS157" s="578">
        <v>3.4291794326150215E-4</v>
      </c>
      <c r="DT157" s="578">
        <v>5.3940184708686561E-4</v>
      </c>
      <c r="DU157" s="578">
        <v>2.7869792330233151E-4</v>
      </c>
      <c r="DV157" s="578">
        <v>4.5610612069074739E-4</v>
      </c>
      <c r="DW157" s="578">
        <v>1.5846524722264368E-3</v>
      </c>
      <c r="DX157" s="578">
        <v>8.1516576058642898E-4</v>
      </c>
      <c r="DY157" s="578">
        <v>0</v>
      </c>
      <c r="DZ157" s="578">
        <v>1.1283583396628061E-4</v>
      </c>
      <c r="EA157" s="578">
        <v>7.1229351835157476E-5</v>
      </c>
      <c r="EB157" s="578">
        <v>4.212816152703096E-4</v>
      </c>
      <c r="EC157" s="578">
        <v>1.6208595448748728E-4</v>
      </c>
      <c r="ED157" s="578">
        <v>2.1257157330101039E-4</v>
      </c>
      <c r="EE157" s="578">
        <v>1.7829679104257445E-4</v>
      </c>
      <c r="EF157" s="578">
        <v>1.603540617683846E-4</v>
      </c>
      <c r="EG157" s="578">
        <v>2.7754648903691371E-4</v>
      </c>
      <c r="EH157" s="578">
        <v>9.2119275825346114E-4</v>
      </c>
      <c r="EI157" s="578">
        <v>3.8721787609027965E-3</v>
      </c>
      <c r="EJ157" s="578">
        <v>5.8633367994485371E-3</v>
      </c>
      <c r="EK157" s="578">
        <v>1.2985923983619152E-3</v>
      </c>
      <c r="EL157" s="578">
        <v>8.2211811047118856E-4</v>
      </c>
      <c r="EM157" s="578">
        <v>1.5436802127903801E-3</v>
      </c>
      <c r="EN157" s="578">
        <v>2.7444509573390345E-4</v>
      </c>
      <c r="EO157" s="578">
        <v>9.8488594035924695E-5</v>
      </c>
      <c r="EP157" s="578">
        <v>0</v>
      </c>
      <c r="EQ157" s="578">
        <v>4.0672589047549649E-5</v>
      </c>
      <c r="ER157" s="578">
        <v>0</v>
      </c>
      <c r="ES157" s="578">
        <v>1.8370971143967177E-4</v>
      </c>
      <c r="ET157" s="578">
        <v>5.0881751604298976E-4</v>
      </c>
      <c r="EU157" s="578">
        <v>3.5201764781807727E-4</v>
      </c>
      <c r="EV157" s="578">
        <v>6.4126744624669937E-4</v>
      </c>
      <c r="EW157" s="578">
        <v>4.083537510208844E-4</v>
      </c>
      <c r="EX157" s="578">
        <v>4.4520679952202904E-3</v>
      </c>
      <c r="EY157" s="578">
        <v>2.15282589329902E-3</v>
      </c>
      <c r="EZ157" s="578">
        <v>3.2156017520684142E-4</v>
      </c>
      <c r="FA157" s="578">
        <v>3.7127631693893595E-4</v>
      </c>
      <c r="FB157" s="578">
        <v>3.845154936133326E-4</v>
      </c>
      <c r="FC157" s="578">
        <v>2.3280492030492029E-2</v>
      </c>
      <c r="FD157" s="578">
        <v>1.2399744132263937E-3</v>
      </c>
      <c r="FE157" s="578">
        <v>9.3812961719274678E-3</v>
      </c>
      <c r="FF157" s="578">
        <v>4.4480342191481614E-3</v>
      </c>
      <c r="FG157" s="578">
        <v>1.8789144050104384E-3</v>
      </c>
      <c r="FH157" s="578">
        <v>1.6680214599252154E-2</v>
      </c>
      <c r="FI157" s="578">
        <v>1.9525400637731883E-3</v>
      </c>
      <c r="FJ157" s="578">
        <v>3.7702107787022959E-4</v>
      </c>
      <c r="FK157" s="578">
        <v>2.5553238285726488E-3</v>
      </c>
      <c r="FL157" s="578">
        <v>5.8808154730789338E-3</v>
      </c>
      <c r="FM157" s="578">
        <v>8.2258975957309223E-3</v>
      </c>
      <c r="FN157" s="578">
        <v>2.0282573981902567E-3</v>
      </c>
      <c r="FO157" s="578">
        <v>7.5062399332954716E-4</v>
      </c>
      <c r="FP157" s="578">
        <v>1.1029527621088457E-4</v>
      </c>
      <c r="FQ157" s="578">
        <v>1.4192923575280937E-4</v>
      </c>
      <c r="FR157" s="578">
        <v>2.9182357047305766E-4</v>
      </c>
      <c r="FS157" s="578">
        <v>4.0421595559791447E-3</v>
      </c>
      <c r="FT157" s="578">
        <v>1.8936151447707689E-3</v>
      </c>
      <c r="FU157" s="578">
        <v>2.7448020311535029E-4</v>
      </c>
      <c r="FV157" s="578">
        <v>2.6601315403627832E-3</v>
      </c>
      <c r="FW157" s="578">
        <v>9.6998698600793773E-5</v>
      </c>
      <c r="FX157" s="578">
        <v>6.6709270906909737E-4</v>
      </c>
      <c r="FY157" s="578">
        <v>2.292965887558094E-3</v>
      </c>
      <c r="FZ157" s="578">
        <v>7.4929726311595047E-4</v>
      </c>
      <c r="GA157" s="578">
        <v>3.8227361315543997E-4</v>
      </c>
      <c r="GB157" s="578">
        <v>1.0753753201364028E-3</v>
      </c>
      <c r="GC157" s="578">
        <v>2.2111389844625346E-3</v>
      </c>
      <c r="GD157" s="578">
        <v>1.6054221622148108E-3</v>
      </c>
      <c r="GE157" s="578">
        <v>7.4258344781494824E-5</v>
      </c>
      <c r="GF157" s="578">
        <v>5.7740274903147057E-3</v>
      </c>
      <c r="GG157" s="579">
        <v>1.0899783493091072E-3</v>
      </c>
      <c r="GH157" s="572"/>
    </row>
    <row r="158" spans="1:190">
      <c r="A158" s="572" t="s">
        <v>9129</v>
      </c>
      <c r="B158" s="577" t="s">
        <v>9475</v>
      </c>
      <c r="C158" s="573" t="s">
        <v>9108</v>
      </c>
      <c r="D158" s="578">
        <v>7.8104079264482726E-4</v>
      </c>
      <c r="E158" s="578">
        <v>1.1405759908753922E-3</v>
      </c>
      <c r="F158" s="578">
        <v>7.7776992151594427E-4</v>
      </c>
      <c r="G158" s="578">
        <v>8.3892617449664428E-4</v>
      </c>
      <c r="H158" s="578">
        <v>0</v>
      </c>
      <c r="I158" s="578">
        <v>9.773578758755497E-4</v>
      </c>
      <c r="J158" s="578">
        <v>3.269500233535731E-3</v>
      </c>
      <c r="K158" s="578">
        <v>4.973180348833079E-4</v>
      </c>
      <c r="L158" s="578">
        <v>0</v>
      </c>
      <c r="M158" s="578">
        <v>0</v>
      </c>
      <c r="N158" s="578">
        <v>1.4234875444839859E-3</v>
      </c>
      <c r="O158" s="578">
        <v>1.116755715161601E-3</v>
      </c>
      <c r="P158" s="578">
        <v>0</v>
      </c>
      <c r="Q158" s="578">
        <v>0</v>
      </c>
      <c r="R158" s="578">
        <v>5.087332541970493E-4</v>
      </c>
      <c r="S158" s="578">
        <v>9.3370681605975728E-4</v>
      </c>
      <c r="T158" s="578">
        <v>9.7427200230938552E-4</v>
      </c>
      <c r="U158" s="578">
        <v>1.9031406602654833E-3</v>
      </c>
      <c r="V158" s="578">
        <v>3.0588797039601302E-3</v>
      </c>
      <c r="W158" s="578">
        <v>1.6330257239849505E-3</v>
      </c>
      <c r="X158" s="578">
        <v>2.3287951683898045E-3</v>
      </c>
      <c r="Y158" s="578">
        <v>1.7617773871136404E-3</v>
      </c>
      <c r="Z158" s="578">
        <v>1.3393923614373102E-3</v>
      </c>
      <c r="AA158" s="578">
        <v>6.80738434587225E-4</v>
      </c>
      <c r="AB158" s="578">
        <v>1.1562412249549892E-3</v>
      </c>
      <c r="AC158" s="578">
        <v>1.952146497365466E-3</v>
      </c>
      <c r="AD158" s="578">
        <v>0</v>
      </c>
      <c r="AE158" s="578">
        <v>4.5065344749887338E-4</v>
      </c>
      <c r="AF158" s="578">
        <v>6.8269741333535619E-4</v>
      </c>
      <c r="AG158" s="578">
        <v>0</v>
      </c>
      <c r="AH158" s="578">
        <v>7.7130736598534516E-4</v>
      </c>
      <c r="AI158" s="578">
        <v>6.0140327430671572E-4</v>
      </c>
      <c r="AJ158" s="578">
        <v>7.5122796879514592E-4</v>
      </c>
      <c r="AK158" s="578">
        <v>8.7303566974307803E-4</v>
      </c>
      <c r="AL158" s="578">
        <v>7.5784593437945797E-4</v>
      </c>
      <c r="AM158" s="578">
        <v>1.262771208816439E-3</v>
      </c>
      <c r="AN158" s="578">
        <v>1.466528640441684E-3</v>
      </c>
      <c r="AO158" s="578">
        <v>1.3278492081484599E-3</v>
      </c>
      <c r="AP158" s="578">
        <v>2.6207115628970774E-3</v>
      </c>
      <c r="AQ158" s="578">
        <v>1.4690060415459736E-3</v>
      </c>
      <c r="AR158" s="578">
        <v>3.4947283911262233E-3</v>
      </c>
      <c r="AS158" s="578">
        <v>2.0262708370147849E-3</v>
      </c>
      <c r="AT158" s="578">
        <v>1.9065381825717543E-3</v>
      </c>
      <c r="AU158" s="578">
        <v>1.4643085028059096E-3</v>
      </c>
      <c r="AV158" s="578">
        <v>1.1383380264813373E-3</v>
      </c>
      <c r="AW158" s="578">
        <v>1.0191492785495897E-3</v>
      </c>
      <c r="AX158" s="578">
        <v>7.4611308002062778E-4</v>
      </c>
      <c r="AY158" s="578">
        <v>1.7443704408499842E-3</v>
      </c>
      <c r="AZ158" s="578">
        <v>8.1944978185681668E-4</v>
      </c>
      <c r="BA158" s="578">
        <v>1.1106483409690406E-3</v>
      </c>
      <c r="BB158" s="578">
        <v>1.52282466267663E-3</v>
      </c>
      <c r="BC158" s="578">
        <v>1.0951108927712446E-3</v>
      </c>
      <c r="BD158" s="578">
        <v>1.6269451930600231E-3</v>
      </c>
      <c r="BE158" s="578">
        <v>6.8098370553422124E-4</v>
      </c>
      <c r="BF158" s="578">
        <v>1.2078790882061447E-3</v>
      </c>
      <c r="BG158" s="578">
        <v>9.8701298701298697E-4</v>
      </c>
      <c r="BH158" s="578">
        <v>1.9512999505304238E-3</v>
      </c>
      <c r="BI158" s="578">
        <v>1.0300894551368935E-3</v>
      </c>
      <c r="BJ158" s="578">
        <v>1.4185508513366956E-3</v>
      </c>
      <c r="BK158" s="578">
        <v>7.165692867379561E-4</v>
      </c>
      <c r="BL158" s="578">
        <v>8.8800933678388392E-4</v>
      </c>
      <c r="BM158" s="578">
        <v>6.3891617831944439E-4</v>
      </c>
      <c r="BN158" s="578">
        <v>5.4320987654320988E-4</v>
      </c>
      <c r="BO158" s="578">
        <v>6.5674467119305395E-4</v>
      </c>
      <c r="BP158" s="578">
        <v>9.4421847762928533E-4</v>
      </c>
      <c r="BQ158" s="578">
        <v>7.2330718299671725E-4</v>
      </c>
      <c r="BR158" s="578">
        <v>1.2802321487629758E-3</v>
      </c>
      <c r="BS158" s="578">
        <v>3.0245708447555562E-3</v>
      </c>
      <c r="BT158" s="578">
        <v>1.4569295210344199E-3</v>
      </c>
      <c r="BU158" s="578">
        <v>1.2472444599141432E-3</v>
      </c>
      <c r="BV158" s="578">
        <v>2.5939900282980731E-3</v>
      </c>
      <c r="BW158" s="578">
        <v>8.405946361949233E-4</v>
      </c>
      <c r="BX158" s="578">
        <v>0</v>
      </c>
      <c r="BY158" s="578">
        <v>7.7574859739648763E-5</v>
      </c>
      <c r="BZ158" s="578">
        <v>6.8432293420014239E-4</v>
      </c>
      <c r="CA158" s="578">
        <v>9.8627370428096099E-4</v>
      </c>
      <c r="CB158" s="578">
        <v>1.1913626209977663E-3</v>
      </c>
      <c r="CC158" s="578">
        <v>1.5168048886948931E-3</v>
      </c>
      <c r="CD158" s="578">
        <v>6.3435779406143509E-4</v>
      </c>
      <c r="CE158" s="578">
        <v>0</v>
      </c>
      <c r="CF158" s="578">
        <v>1.0263698089373124E-3</v>
      </c>
      <c r="CG158" s="578">
        <v>7.1642383918058136E-4</v>
      </c>
      <c r="CH158" s="578">
        <v>9.6050362792635363E-4</v>
      </c>
      <c r="CI158" s="578">
        <v>7.4613873206158131E-4</v>
      </c>
      <c r="CJ158" s="578">
        <v>8.5050987198958563E-4</v>
      </c>
      <c r="CK158" s="578">
        <v>6.6063521841306348E-4</v>
      </c>
      <c r="CL158" s="578">
        <v>5.6799448490843149E-4</v>
      </c>
      <c r="CM158" s="578">
        <v>5.3660042263219132E-4</v>
      </c>
      <c r="CN158" s="578">
        <v>4.9450019297568506E-4</v>
      </c>
      <c r="CO158" s="578">
        <v>5.1247010591048861E-4</v>
      </c>
      <c r="CP158" s="578">
        <v>6.2591092393393959E-4</v>
      </c>
      <c r="CQ158" s="578">
        <v>5.0965152576925524E-4</v>
      </c>
      <c r="CR158" s="578">
        <v>5.4291023109975616E-4</v>
      </c>
      <c r="CS158" s="578">
        <v>4.5202847779410104E-4</v>
      </c>
      <c r="CT158" s="578">
        <v>4.9575690414394448E-4</v>
      </c>
      <c r="CU158" s="578">
        <v>4.6756848265965852E-4</v>
      </c>
      <c r="CV158" s="578">
        <v>4.8942774125999768E-4</v>
      </c>
      <c r="CW158" s="578">
        <v>3.9010688928766481E-4</v>
      </c>
      <c r="CX158" s="578">
        <v>5.0684599020573665E-4</v>
      </c>
      <c r="CY158" s="578">
        <v>6.1360930488139941E-4</v>
      </c>
      <c r="CZ158" s="578">
        <v>7.8236130867709818E-4</v>
      </c>
      <c r="DA158" s="578">
        <v>4.7118288321089716E-4</v>
      </c>
      <c r="DB158" s="578">
        <v>5.9565711810256135E-4</v>
      </c>
      <c r="DC158" s="578">
        <v>7.2516316171138508E-4</v>
      </c>
      <c r="DD158" s="578">
        <v>4.8309178743961351E-4</v>
      </c>
      <c r="DE158" s="578">
        <v>6.0424882330492309E-4</v>
      </c>
      <c r="DF158" s="578">
        <v>5.1921079958463135E-4</v>
      </c>
      <c r="DG158" s="578">
        <v>5.598920458149163E-4</v>
      </c>
      <c r="DH158" s="578">
        <v>6.9097540807195202E-4</v>
      </c>
      <c r="DI158" s="578">
        <v>4.6363756788978672E-4</v>
      </c>
      <c r="DJ158" s="578">
        <v>5.4665854961547542E-4</v>
      </c>
      <c r="DK158" s="578">
        <v>8.8906713181628196E-4</v>
      </c>
      <c r="DL158" s="578">
        <v>5.8836898058129848E-4</v>
      </c>
      <c r="DM158" s="578">
        <v>6.0796290012442029E-4</v>
      </c>
      <c r="DN158" s="578">
        <v>5.4468927952463478E-4</v>
      </c>
      <c r="DO158" s="578">
        <v>0</v>
      </c>
      <c r="DP158" s="578">
        <v>1.0736196319018406E-3</v>
      </c>
      <c r="DQ158" s="578">
        <v>8.9040178395543266E-4</v>
      </c>
      <c r="DR158" s="578">
        <v>5.8688381367772748E-4</v>
      </c>
      <c r="DS158" s="578">
        <v>6.8263104593177537E-4</v>
      </c>
      <c r="DT158" s="578">
        <v>7.3621062913207332E-4</v>
      </c>
      <c r="DU158" s="578">
        <v>2.3888393425914131E-4</v>
      </c>
      <c r="DV158" s="578">
        <v>5.9547187979069795E-4</v>
      </c>
      <c r="DW158" s="578">
        <v>1.0283383064448152E-3</v>
      </c>
      <c r="DX158" s="578">
        <v>1.0971027905636902E-3</v>
      </c>
      <c r="DY158" s="578">
        <v>1.4229024047050639E-3</v>
      </c>
      <c r="DZ158" s="578">
        <v>1.1906706658829909E-3</v>
      </c>
      <c r="EA158" s="578">
        <v>1.1552510500764603E-3</v>
      </c>
      <c r="EB158" s="578">
        <v>1.1642691912924919E-3</v>
      </c>
      <c r="EC158" s="578">
        <v>1.1407181325251462E-3</v>
      </c>
      <c r="ED158" s="578">
        <v>1.3930222250364086E-3</v>
      </c>
      <c r="EE158" s="578">
        <v>1.2326850085749212E-3</v>
      </c>
      <c r="EF158" s="578">
        <v>2.0140470158109105E-3</v>
      </c>
      <c r="EG158" s="578">
        <v>2.7754648903691371E-4</v>
      </c>
      <c r="EH158" s="578">
        <v>2.6624068157614486E-4</v>
      </c>
      <c r="EI158" s="578">
        <v>2.304199262656236E-4</v>
      </c>
      <c r="EJ158" s="578">
        <v>1.3750621249473117E-4</v>
      </c>
      <c r="EK158" s="578">
        <v>1.9036956625200852E-4</v>
      </c>
      <c r="EL158" s="578">
        <v>1.148876488317269E-4</v>
      </c>
      <c r="EM158" s="578">
        <v>1.0291201418602534E-4</v>
      </c>
      <c r="EN158" s="578">
        <v>4.9129060347427159E-5</v>
      </c>
      <c r="EO158" s="578">
        <v>2.5607034449340421E-5</v>
      </c>
      <c r="EP158" s="578">
        <v>5.1300801784894801E-6</v>
      </c>
      <c r="EQ158" s="578">
        <v>5.0840736309437054E-5</v>
      </c>
      <c r="ER158" s="578">
        <v>2.3529411764705882E-2</v>
      </c>
      <c r="ES158" s="578">
        <v>3.19790979172762E-4</v>
      </c>
      <c r="ET158" s="578">
        <v>1.3449212989157151E-3</v>
      </c>
      <c r="EU158" s="578">
        <v>3.9895333419382091E-4</v>
      </c>
      <c r="EV158" s="578">
        <v>5.8468502451904938E-4</v>
      </c>
      <c r="EW158" s="578">
        <v>8.7504375218760936E-5</v>
      </c>
      <c r="EX158" s="578">
        <v>8.4801295147053158E-4</v>
      </c>
      <c r="EY158" s="578">
        <v>4.7758091655943783E-3</v>
      </c>
      <c r="EZ158" s="578">
        <v>8.6908155461308488E-5</v>
      </c>
      <c r="FA158" s="578">
        <v>1.1356687341661572E-3</v>
      </c>
      <c r="FB158" s="578">
        <v>8.4323573160818542E-5</v>
      </c>
      <c r="FC158" s="578">
        <v>1.0308385308385308E-2</v>
      </c>
      <c r="FD158" s="578">
        <v>5.4125867244009253E-5</v>
      </c>
      <c r="FE158" s="578">
        <v>1.0493619879113499E-4</v>
      </c>
      <c r="FF158" s="578">
        <v>3.2611333576022328E-4</v>
      </c>
      <c r="FG158" s="578">
        <v>5.2192066805845514E-5</v>
      </c>
      <c r="FH158" s="578">
        <v>1.1705413753861161E-3</v>
      </c>
      <c r="FI158" s="578">
        <v>1.5267982453564781E-4</v>
      </c>
      <c r="FJ158" s="578">
        <v>1.1162557592532477E-4</v>
      </c>
      <c r="FK158" s="578">
        <v>1.4235787345808629E-4</v>
      </c>
      <c r="FL158" s="578">
        <v>2.0909566126502875E-4</v>
      </c>
      <c r="FM158" s="578">
        <v>2.2137684747717781E-4</v>
      </c>
      <c r="FN158" s="578">
        <v>4.5383660014754358E-4</v>
      </c>
      <c r="FO158" s="578">
        <v>6.0852037453958672E-4</v>
      </c>
      <c r="FP158" s="578">
        <v>2.9937289257240098E-4</v>
      </c>
      <c r="FQ158" s="578">
        <v>3.2281943818286051E-4</v>
      </c>
      <c r="FR158" s="578">
        <v>2.6614309627142859E-4</v>
      </c>
      <c r="FS158" s="578">
        <v>3.9244267533778104E-4</v>
      </c>
      <c r="FT158" s="578">
        <v>1.0894772065804424E-4</v>
      </c>
      <c r="FU158" s="578">
        <v>1.0293007616825636E-4</v>
      </c>
      <c r="FV158" s="578">
        <v>7.9594487034476981E-4</v>
      </c>
      <c r="FW158" s="578">
        <v>7.2749023950595328E-4</v>
      </c>
      <c r="FX158" s="578">
        <v>5.2975009249604788E-4</v>
      </c>
      <c r="FY158" s="578">
        <v>1.187094056228986E-4</v>
      </c>
      <c r="FZ158" s="578">
        <v>4.8509418190165583E-4</v>
      </c>
      <c r="GA158" s="578">
        <v>1.0961777539628215E-3</v>
      </c>
      <c r="GB158" s="578">
        <v>2.2167824581759181E-4</v>
      </c>
      <c r="GC158" s="578">
        <v>1.6856216473481206E-4</v>
      </c>
      <c r="GD158" s="578">
        <v>2.3510366392267103E-4</v>
      </c>
      <c r="GE158" s="578">
        <v>3.2302379979950247E-3</v>
      </c>
      <c r="GF158" s="578">
        <v>1.645173273894815E-4</v>
      </c>
      <c r="GG158" s="579">
        <v>6.3272339653517077E-4</v>
      </c>
      <c r="GH158" s="572"/>
    </row>
    <row r="159" spans="1:190">
      <c r="A159" s="572" t="s">
        <v>9361</v>
      </c>
      <c r="B159" s="577" t="s">
        <v>9476</v>
      </c>
      <c r="C159" s="573" t="s">
        <v>687</v>
      </c>
      <c r="D159" s="578">
        <v>1.1604034633580292E-3</v>
      </c>
      <c r="E159" s="578">
        <v>2.2811519817507843E-3</v>
      </c>
      <c r="F159" s="578">
        <v>2.1211906950434844E-3</v>
      </c>
      <c r="G159" s="578">
        <v>1.3982102908277406E-3</v>
      </c>
      <c r="H159" s="578">
        <v>0</v>
      </c>
      <c r="I159" s="578">
        <v>1.7918227724385079E-3</v>
      </c>
      <c r="J159" s="578">
        <v>5.6531752806455249E-3</v>
      </c>
      <c r="K159" s="578">
        <v>8.5254520265709924E-4</v>
      </c>
      <c r="L159" s="578">
        <v>1.5060240963855423E-4</v>
      </c>
      <c r="M159" s="578">
        <v>3.6350418029807341E-4</v>
      </c>
      <c r="N159" s="578">
        <v>2.1352313167259788E-3</v>
      </c>
      <c r="O159" s="578">
        <v>2.5400718227205047E-3</v>
      </c>
      <c r="P159" s="578">
        <v>0</v>
      </c>
      <c r="Q159" s="578">
        <v>0</v>
      </c>
      <c r="R159" s="578">
        <v>5.6525917133005488E-4</v>
      </c>
      <c r="S159" s="578">
        <v>9.3370681605975728E-4</v>
      </c>
      <c r="T159" s="578">
        <v>2.945778646713226E-3</v>
      </c>
      <c r="U159" s="578">
        <v>5.6520408553613101E-3</v>
      </c>
      <c r="V159" s="578">
        <v>2.9917335641171029E-2</v>
      </c>
      <c r="W159" s="578">
        <v>2.3070701128717966E-3</v>
      </c>
      <c r="X159" s="578">
        <v>3.0197563721977684E-3</v>
      </c>
      <c r="Y159" s="578">
        <v>1.2521880138517379E-2</v>
      </c>
      <c r="Z159" s="578">
        <v>3.9671781767622134E-3</v>
      </c>
      <c r="AA159" s="578">
        <v>1.5233307627126713E-3</v>
      </c>
      <c r="AB159" s="578">
        <v>2.6676136832890105E-3</v>
      </c>
      <c r="AC159" s="578">
        <v>2.1456335838300079E-2</v>
      </c>
      <c r="AD159" s="578">
        <v>0</v>
      </c>
      <c r="AE159" s="578">
        <v>2.7039206849932404E-3</v>
      </c>
      <c r="AF159" s="578">
        <v>2.5032238488963058E-3</v>
      </c>
      <c r="AG159" s="578">
        <v>0</v>
      </c>
      <c r="AH159" s="578">
        <v>7.7130736598534516E-4</v>
      </c>
      <c r="AI159" s="578">
        <v>1.8042098229201469E-3</v>
      </c>
      <c r="AJ159" s="578">
        <v>1.9647500722334587E-3</v>
      </c>
      <c r="AK159" s="578">
        <v>1.7460713394861561E-3</v>
      </c>
      <c r="AL159" s="578">
        <v>2.80848787446505E-3</v>
      </c>
      <c r="AM159" s="578">
        <v>2.9847319481115832E-3</v>
      </c>
      <c r="AN159" s="578">
        <v>1.5527950310559005E-3</v>
      </c>
      <c r="AO159" s="578">
        <v>1.9431939631440879E-3</v>
      </c>
      <c r="AP159" s="578">
        <v>3.9707750952986022E-4</v>
      </c>
      <c r="AQ159" s="578">
        <v>6.5174211702391793E-3</v>
      </c>
      <c r="AR159" s="578">
        <v>4.155893221879833E-3</v>
      </c>
      <c r="AS159" s="578">
        <v>3.7344642751958534E-3</v>
      </c>
      <c r="AT159" s="578">
        <v>2.8598072738576313E-3</v>
      </c>
      <c r="AU159" s="578">
        <v>2.2987189345724055E-3</v>
      </c>
      <c r="AV159" s="578">
        <v>5.3921274938589659E-3</v>
      </c>
      <c r="AW159" s="578">
        <v>8.0995547926835804E-3</v>
      </c>
      <c r="AX159" s="578">
        <v>1.6568099276928648E-3</v>
      </c>
      <c r="AY159" s="578">
        <v>1.4272121788772598E-3</v>
      </c>
      <c r="AZ159" s="578">
        <v>1.2998168953590886E-3</v>
      </c>
      <c r="BA159" s="578">
        <v>1.1106483409690406E-3</v>
      </c>
      <c r="BB159" s="578">
        <v>1.9950183565298485E-3</v>
      </c>
      <c r="BC159" s="578">
        <v>2.405150091600397E-3</v>
      </c>
      <c r="BD159" s="578">
        <v>3.7382481153516562E-3</v>
      </c>
      <c r="BE159" s="578">
        <v>1.2355993007631229E-3</v>
      </c>
      <c r="BF159" s="578">
        <v>1.9511892963330029E-3</v>
      </c>
      <c r="BG159" s="578">
        <v>2.1298701298701297E-3</v>
      </c>
      <c r="BH159" s="578">
        <v>3.3323256197438575E-3</v>
      </c>
      <c r="BI159" s="578">
        <v>1.8433179723502304E-3</v>
      </c>
      <c r="BJ159" s="578">
        <v>2.1360736656756054E-3</v>
      </c>
      <c r="BK159" s="578">
        <v>7.1381325101973325E-3</v>
      </c>
      <c r="BL159" s="578">
        <v>2.0424214746029329E-3</v>
      </c>
      <c r="BM159" s="578">
        <v>1.935068712114446E-3</v>
      </c>
      <c r="BN159" s="578">
        <v>1.4814814814814814E-3</v>
      </c>
      <c r="BO159" s="578">
        <v>1.3617793917385383E-3</v>
      </c>
      <c r="BP159" s="578">
        <v>1.6705403834979663E-3</v>
      </c>
      <c r="BQ159" s="578">
        <v>4.6180381683636569E-3</v>
      </c>
      <c r="BR159" s="578">
        <v>4.2461032933972026E-3</v>
      </c>
      <c r="BS159" s="578">
        <v>3.9552080277572652E-3</v>
      </c>
      <c r="BT159" s="578">
        <v>4.7350209433618647E-3</v>
      </c>
      <c r="BU159" s="578">
        <v>2.9005685114282401E-3</v>
      </c>
      <c r="BV159" s="578">
        <v>5.8954318824956204E-3</v>
      </c>
      <c r="BW159" s="578">
        <v>1.3780794102766637E-3</v>
      </c>
      <c r="BX159" s="578">
        <v>0</v>
      </c>
      <c r="BY159" s="578">
        <v>3.128018537889063E-4</v>
      </c>
      <c r="BZ159" s="578">
        <v>1.3024210683164001E-3</v>
      </c>
      <c r="CA159" s="578">
        <v>2.1654117418314898E-3</v>
      </c>
      <c r="CB159" s="578">
        <v>2.5130305286671629E-3</v>
      </c>
      <c r="CC159" s="578">
        <v>2.9190309908336972E-3</v>
      </c>
      <c r="CD159" s="578">
        <v>4.2859815060304653E-3</v>
      </c>
      <c r="CE159" s="578">
        <v>0</v>
      </c>
      <c r="CF159" s="578">
        <v>5.6845097110374233E-3</v>
      </c>
      <c r="CG159" s="578">
        <v>4.2559832030529586E-3</v>
      </c>
      <c r="CH159" s="578">
        <v>1.6548435999213082E-3</v>
      </c>
      <c r="CI159" s="578">
        <v>1.8902181212226727E-3</v>
      </c>
      <c r="CJ159" s="578">
        <v>2.1609893686266E-3</v>
      </c>
      <c r="CK159" s="578">
        <v>1.8684377742140459E-3</v>
      </c>
      <c r="CL159" s="578">
        <v>1.2573809309714354E-3</v>
      </c>
      <c r="CM159" s="578">
        <v>1.1064415794097395E-3</v>
      </c>
      <c r="CN159" s="578">
        <v>1.0010613662678502E-3</v>
      </c>
      <c r="CO159" s="578">
        <v>1.1957635804578067E-3</v>
      </c>
      <c r="CP159" s="578">
        <v>1.3859456172822947E-3</v>
      </c>
      <c r="CQ159" s="578">
        <v>1.2104223737019813E-3</v>
      </c>
      <c r="CR159" s="578">
        <v>8.7968877017767966E-4</v>
      </c>
      <c r="CS159" s="578">
        <v>1.07356763476099E-3</v>
      </c>
      <c r="CT159" s="578">
        <v>9.3318946662389551E-4</v>
      </c>
      <c r="CU159" s="578">
        <v>9.1095238863002435E-4</v>
      </c>
      <c r="CV159" s="578">
        <v>1.1771046941696146E-3</v>
      </c>
      <c r="CW159" s="578">
        <v>8.5823515643286259E-4</v>
      </c>
      <c r="CX159" s="578">
        <v>9.9941462857469198E-4</v>
      </c>
      <c r="CY159" s="578">
        <v>1.1722685227584944E-3</v>
      </c>
      <c r="CZ159" s="578">
        <v>1.0312944523470839E-3</v>
      </c>
      <c r="DA159" s="578">
        <v>1.5420530723265725E-3</v>
      </c>
      <c r="DB159" s="578">
        <v>2.7616830021118754E-3</v>
      </c>
      <c r="DC159" s="578">
        <v>1.4503263234227702E-3</v>
      </c>
      <c r="DD159" s="578">
        <v>1.4492753623188406E-3</v>
      </c>
      <c r="DE159" s="578">
        <v>1.2403002162574737E-3</v>
      </c>
      <c r="DF159" s="578">
        <v>1.1382698298586149E-3</v>
      </c>
      <c r="DG159" s="578">
        <v>1.493774481607765E-3</v>
      </c>
      <c r="DH159" s="578">
        <v>1.4838980074987824E-3</v>
      </c>
      <c r="DI159" s="578">
        <v>1.1922108888594515E-3</v>
      </c>
      <c r="DJ159" s="578">
        <v>1.1927095627974008E-3</v>
      </c>
      <c r="DK159" s="578">
        <v>2.9836899668290984E-3</v>
      </c>
      <c r="DL159" s="578">
        <v>1.1969394712254742E-3</v>
      </c>
      <c r="DM159" s="578">
        <v>1.0462617350978395E-3</v>
      </c>
      <c r="DN159" s="578">
        <v>1.097631426920855E-3</v>
      </c>
      <c r="DO159" s="578">
        <v>0</v>
      </c>
      <c r="DP159" s="578">
        <v>1.4460999123575811E-3</v>
      </c>
      <c r="DQ159" s="578">
        <v>1.1425509617127233E-3</v>
      </c>
      <c r="DR159" s="578">
        <v>1.0003701369506717E-3</v>
      </c>
      <c r="DS159" s="578">
        <v>1.259502352352994E-3</v>
      </c>
      <c r="DT159" s="578">
        <v>1.6327839695602416E-3</v>
      </c>
      <c r="DU159" s="578">
        <v>6.131354312651293E-4</v>
      </c>
      <c r="DV159" s="578">
        <v>9.502210847723904E-4</v>
      </c>
      <c r="DW159" s="578">
        <v>2.0229606028422595E-3</v>
      </c>
      <c r="DX159" s="578">
        <v>2.267754371556231E-3</v>
      </c>
      <c r="DY159" s="578">
        <v>2.4632021628116552E-2</v>
      </c>
      <c r="DZ159" s="578">
        <v>1.4331835030642508E-3</v>
      </c>
      <c r="EA159" s="578">
        <v>1.1441214638522169E-3</v>
      </c>
      <c r="EB159" s="578">
        <v>1.3672503331954593E-3</v>
      </c>
      <c r="EC159" s="578">
        <v>1.3884344025909287E-3</v>
      </c>
      <c r="ED159" s="578">
        <v>1.7367549818635742E-3</v>
      </c>
      <c r="EE159" s="578">
        <v>1.0050038545457345E-2</v>
      </c>
      <c r="EF159" s="578">
        <v>1.9531124723389245E-2</v>
      </c>
      <c r="EG159" s="578">
        <v>2.7754648903691371E-4</v>
      </c>
      <c r="EH159" s="578">
        <v>4.8455804046858362E-4</v>
      </c>
      <c r="EI159" s="578">
        <v>4.4397985792644549E-4</v>
      </c>
      <c r="EJ159" s="578">
        <v>2.6962002449947291E-4</v>
      </c>
      <c r="EK159" s="578">
        <v>3.9830299129512493E-4</v>
      </c>
      <c r="EL159" s="578">
        <v>2.3275939243830383E-4</v>
      </c>
      <c r="EM159" s="578">
        <v>2.9092434779511012E-4</v>
      </c>
      <c r="EN159" s="578">
        <v>1.4399896998383823E-4</v>
      </c>
      <c r="EO159" s="578">
        <v>4.5304753256525363E-5</v>
      </c>
      <c r="EP159" s="578">
        <v>5.5964511038067064E-6</v>
      </c>
      <c r="EQ159" s="578">
        <v>1.355752968251655E-4</v>
      </c>
      <c r="ER159" s="578">
        <v>4.9019607843137254E-4</v>
      </c>
      <c r="ES159" s="578">
        <v>2.9257472562614395E-4</v>
      </c>
      <c r="ET159" s="578">
        <v>2.8355976154479116E-4</v>
      </c>
      <c r="EU159" s="578">
        <v>3.8721941259988498E-4</v>
      </c>
      <c r="EV159" s="578">
        <v>3.960769520935496E-4</v>
      </c>
      <c r="EW159" s="578">
        <v>1.1667250029168125E-4</v>
      </c>
      <c r="EX159" s="578">
        <v>9.829241028408433E-4</v>
      </c>
      <c r="EY159" s="578">
        <v>1.2372562605166782E-4</v>
      </c>
      <c r="EZ159" s="578">
        <v>1.7381631092261698E-4</v>
      </c>
      <c r="FA159" s="578">
        <v>2.1402987682362191E-3</v>
      </c>
      <c r="FB159" s="578">
        <v>2.428518907031574E-4</v>
      </c>
      <c r="FC159" s="578">
        <v>1.5159390159390158E-4</v>
      </c>
      <c r="FD159" s="578">
        <v>1.525365349603897E-4</v>
      </c>
      <c r="FE159" s="578">
        <v>1.0493619879113499E-3</v>
      </c>
      <c r="FF159" s="578">
        <v>8.3045140152894069E-4</v>
      </c>
      <c r="FG159" s="578">
        <v>2.0876826722338206E-4</v>
      </c>
      <c r="FH159" s="578">
        <v>2.0484474069257033E-3</v>
      </c>
      <c r="FI159" s="578">
        <v>1.2364129636915633E-2</v>
      </c>
      <c r="FJ159" s="578">
        <v>1.8566294771252997E-4</v>
      </c>
      <c r="FK159" s="578">
        <v>3.2437258309378231E-4</v>
      </c>
      <c r="FL159" s="578">
        <v>4.1819132253005751E-4</v>
      </c>
      <c r="FM159" s="578">
        <v>4.2527657541668363E-4</v>
      </c>
      <c r="FN159" s="578">
        <v>9.7304061183897206E-4</v>
      </c>
      <c r="FO159" s="578">
        <v>6.0802523997934303E-4</v>
      </c>
      <c r="FP159" s="578">
        <v>5.9874578514480196E-4</v>
      </c>
      <c r="FQ159" s="578">
        <v>6.3172424540956329E-4</v>
      </c>
      <c r="FR159" s="578">
        <v>4.5524476993796998E-4</v>
      </c>
      <c r="FS159" s="578">
        <v>7.4564108314178394E-4</v>
      </c>
      <c r="FT159" s="578">
        <v>1.5045161424206109E-4</v>
      </c>
      <c r="FU159" s="578">
        <v>2.7448020311535029E-4</v>
      </c>
      <c r="FV159" s="578">
        <v>3.7702651753173305E-4</v>
      </c>
      <c r="FW159" s="578">
        <v>8.7298828740714398E-4</v>
      </c>
      <c r="FX159" s="578">
        <v>8.5208480486136801E-4</v>
      </c>
      <c r="FY159" s="578">
        <v>1.6512210556568602E-4</v>
      </c>
      <c r="FZ159" s="578">
        <v>7.9260924364288408E-4</v>
      </c>
      <c r="GA159" s="578">
        <v>2.0657477941668969E-3</v>
      </c>
      <c r="GB159" s="578">
        <v>3.3015908951556229E-4</v>
      </c>
      <c r="GC159" s="578">
        <v>2.6523752392095424E-4</v>
      </c>
      <c r="GD159" s="578">
        <v>3.4929687211368267E-4</v>
      </c>
      <c r="GE159" s="578">
        <v>4.1399027215683363E-3</v>
      </c>
      <c r="GF159" s="578">
        <v>2.3881547524279574E-4</v>
      </c>
      <c r="GG159" s="579">
        <v>1.7374096771308764E-3</v>
      </c>
      <c r="GH159" s="572"/>
    </row>
    <row r="160" spans="1:190">
      <c r="A160" s="572" t="s">
        <v>9362</v>
      </c>
      <c r="B160" s="577" t="s">
        <v>9477</v>
      </c>
      <c r="C160" s="573" t="s">
        <v>689</v>
      </c>
      <c r="D160" s="578">
        <v>0</v>
      </c>
      <c r="E160" s="578">
        <v>0</v>
      </c>
      <c r="F160" s="578">
        <v>0</v>
      </c>
      <c r="G160" s="578">
        <v>0</v>
      </c>
      <c r="H160" s="578">
        <v>0</v>
      </c>
      <c r="I160" s="578">
        <v>3.2578595862518323E-4</v>
      </c>
      <c r="J160" s="578">
        <v>0</v>
      </c>
      <c r="K160" s="578">
        <v>3.5522716777379133E-5</v>
      </c>
      <c r="L160" s="578">
        <v>0</v>
      </c>
      <c r="M160" s="578">
        <v>0</v>
      </c>
      <c r="N160" s="578">
        <v>0</v>
      </c>
      <c r="O160" s="578">
        <v>0</v>
      </c>
      <c r="P160" s="578">
        <v>0</v>
      </c>
      <c r="Q160" s="578">
        <v>0</v>
      </c>
      <c r="R160" s="578">
        <v>0</v>
      </c>
      <c r="S160" s="578">
        <v>1.8674136321195146E-3</v>
      </c>
      <c r="T160" s="578">
        <v>1.0267580361038304E-3</v>
      </c>
      <c r="U160" s="578">
        <v>9.0853448605638656E-4</v>
      </c>
      <c r="V160" s="578">
        <v>6.6400071622549166E-4</v>
      </c>
      <c r="W160" s="578">
        <v>8.0885326666421556E-4</v>
      </c>
      <c r="X160" s="578">
        <v>1.791380898761388E-4</v>
      </c>
      <c r="Y160" s="578">
        <v>3.7508808886935571E-4</v>
      </c>
      <c r="Z160" s="578">
        <v>1.0468196812836694E-4</v>
      </c>
      <c r="AA160" s="578">
        <v>1.4804870850113774E-3</v>
      </c>
      <c r="AB160" s="578">
        <v>5.3682628301481646E-4</v>
      </c>
      <c r="AC160" s="578">
        <v>8.9833290144251531E-4</v>
      </c>
      <c r="AD160" s="578">
        <v>0</v>
      </c>
      <c r="AE160" s="578">
        <v>0</v>
      </c>
      <c r="AF160" s="578">
        <v>1.517105362967458E-4</v>
      </c>
      <c r="AG160" s="578">
        <v>0</v>
      </c>
      <c r="AH160" s="578">
        <v>3.8565368299267258E-4</v>
      </c>
      <c r="AI160" s="578">
        <v>3.3411293017039759E-4</v>
      </c>
      <c r="AJ160" s="578">
        <v>2.3114706732158335E-4</v>
      </c>
      <c r="AK160" s="578">
        <v>7.4831628835120973E-4</v>
      </c>
      <c r="AL160" s="578">
        <v>3.7000713266761771E-3</v>
      </c>
      <c r="AM160" s="578">
        <v>1.1479738261967628E-4</v>
      </c>
      <c r="AN160" s="578">
        <v>1.1645962732919255E-3</v>
      </c>
      <c r="AO160" s="578">
        <v>6.4773132104802933E-4</v>
      </c>
      <c r="AP160" s="578">
        <v>3.8913595933926302E-3</v>
      </c>
      <c r="AQ160" s="578">
        <v>2.9380120830919472E-3</v>
      </c>
      <c r="AR160" s="578">
        <v>3.6246000543099684E-3</v>
      </c>
      <c r="AS160" s="578">
        <v>1.2958708841373623E-4</v>
      </c>
      <c r="AT160" s="578">
        <v>1.4506268780437259E-4</v>
      </c>
      <c r="AU160" s="578">
        <v>1.6933623468202419E-3</v>
      </c>
      <c r="AV160" s="578">
        <v>3.4749266071535559E-3</v>
      </c>
      <c r="AW160" s="578">
        <v>1.2337070214021347E-3</v>
      </c>
      <c r="AX160" s="578">
        <v>1.7336156859302824E-3</v>
      </c>
      <c r="AY160" s="578">
        <v>0</v>
      </c>
      <c r="AZ160" s="578">
        <v>3.2777991274272666E-4</v>
      </c>
      <c r="BA160" s="578">
        <v>6.9415521310565043E-4</v>
      </c>
      <c r="BB160" s="578">
        <v>3.3053558569725303E-4</v>
      </c>
      <c r="BC160" s="578">
        <v>6.550195994145762E-4</v>
      </c>
      <c r="BD160" s="578">
        <v>1.2419428954656665E-3</v>
      </c>
      <c r="BE160" s="578">
        <v>9.5127105257615432E-4</v>
      </c>
      <c r="BF160" s="578">
        <v>1.2853072348860258E-3</v>
      </c>
      <c r="BG160" s="578">
        <v>4.5788497217068647E-3</v>
      </c>
      <c r="BH160" s="578">
        <v>3.5728027263233112E-4</v>
      </c>
      <c r="BI160" s="578">
        <v>5.6925996204933585E-3</v>
      </c>
      <c r="BJ160" s="578">
        <v>4.3711159953979569E-4</v>
      </c>
      <c r="BK160" s="578">
        <v>0</v>
      </c>
      <c r="BL160" s="578">
        <v>2.5371695336682398E-4</v>
      </c>
      <c r="BM160" s="578">
        <v>1.9556789114150734E-3</v>
      </c>
      <c r="BN160" s="578">
        <v>1.4814814814814815E-4</v>
      </c>
      <c r="BO160" s="578">
        <v>1.7094677470760374E-3</v>
      </c>
      <c r="BP160" s="578">
        <v>1.0168506682161533E-3</v>
      </c>
      <c r="BQ160" s="578">
        <v>3.6165359149835862E-4</v>
      </c>
      <c r="BR160" s="578">
        <v>1.0689938442170846E-2</v>
      </c>
      <c r="BS160" s="578">
        <v>2.7312178196789303E-4</v>
      </c>
      <c r="BT160" s="578">
        <v>4.5529047532325622E-3</v>
      </c>
      <c r="BU160" s="578">
        <v>1.9433809026569208E-3</v>
      </c>
      <c r="BV160" s="578">
        <v>3.7057000404258189E-4</v>
      </c>
      <c r="BW160" s="578">
        <v>0</v>
      </c>
      <c r="BX160" s="578">
        <v>0</v>
      </c>
      <c r="BY160" s="578">
        <v>1.4101107568803895E-3</v>
      </c>
      <c r="BZ160" s="578">
        <v>3.0353033371780512E-4</v>
      </c>
      <c r="CA160" s="578">
        <v>9.9332971647375003E-3</v>
      </c>
      <c r="CB160" s="578">
        <v>3.1025068255150163E-4</v>
      </c>
      <c r="CC160" s="578">
        <v>3.3282409428197292E-4</v>
      </c>
      <c r="CD160" s="578">
        <v>5.2863149505119589E-4</v>
      </c>
      <c r="CE160" s="578">
        <v>0</v>
      </c>
      <c r="CF160" s="578">
        <v>7.1056371387967791E-4</v>
      </c>
      <c r="CG160" s="578">
        <v>3.6885187759792311E-4</v>
      </c>
      <c r="CH160" s="578">
        <v>6.9433997199495448E-5</v>
      </c>
      <c r="CI160" s="578">
        <v>7.4613873206158136E-5</v>
      </c>
      <c r="CJ160" s="578">
        <v>3.4714688652636144E-5</v>
      </c>
      <c r="CK160" s="578">
        <v>9.8590981068514432E-4</v>
      </c>
      <c r="CL160" s="578">
        <v>2.3259299223690917E-3</v>
      </c>
      <c r="CM160" s="578">
        <v>5.2235439371275255E-4</v>
      </c>
      <c r="CN160" s="578">
        <v>4.221343110768043E-4</v>
      </c>
      <c r="CO160" s="578">
        <v>1.7082336863682953E-3</v>
      </c>
      <c r="CP160" s="578">
        <v>3.5766338510510832E-4</v>
      </c>
      <c r="CQ160" s="578">
        <v>4.4594508504809834E-4</v>
      </c>
      <c r="CR160" s="578">
        <v>8.7097898037394034E-6</v>
      </c>
      <c r="CS160" s="578">
        <v>2.2601423889705053E-3</v>
      </c>
      <c r="CT160" s="578">
        <v>3.4994604998396083E-4</v>
      </c>
      <c r="CU160" s="578">
        <v>5.2399916160134139E-4</v>
      </c>
      <c r="CV160" s="578">
        <v>3.9649842329923861E-4</v>
      </c>
      <c r="CW160" s="578">
        <v>2.7307482250136535E-4</v>
      </c>
      <c r="CX160" s="578">
        <v>5.6395539755286193E-4</v>
      </c>
      <c r="CY160" s="578">
        <v>1.4836523491162195E-3</v>
      </c>
      <c r="CZ160" s="578">
        <v>2.6671408250355621E-4</v>
      </c>
      <c r="DA160" s="578">
        <v>0</v>
      </c>
      <c r="DB160" s="578">
        <v>2.166025884009314E-4</v>
      </c>
      <c r="DC160" s="578">
        <v>7.2516316171138508E-4</v>
      </c>
      <c r="DD160" s="578">
        <v>4.8309178743961351E-4</v>
      </c>
      <c r="DE160" s="578">
        <v>3.725443873007796E-4</v>
      </c>
      <c r="DF160" s="578">
        <v>5.5915009186037219E-4</v>
      </c>
      <c r="DG160" s="578">
        <v>6.9341317627195009E-3</v>
      </c>
      <c r="DH160" s="578">
        <v>1.9256691700365877E-4</v>
      </c>
      <c r="DI160" s="578">
        <v>1.8214333024241622E-3</v>
      </c>
      <c r="DJ160" s="578">
        <v>4.5969014399483159E-4</v>
      </c>
      <c r="DK160" s="578">
        <v>1.7853820935115011E-3</v>
      </c>
      <c r="DL160" s="578">
        <v>2.0959066690235095E-4</v>
      </c>
      <c r="DM160" s="578">
        <v>1.4138672095916753E-3</v>
      </c>
      <c r="DN160" s="578">
        <v>1.4525047453990262E-3</v>
      </c>
      <c r="DO160" s="578">
        <v>0</v>
      </c>
      <c r="DP160" s="578">
        <v>4.6012269938650307E-4</v>
      </c>
      <c r="DQ160" s="578">
        <v>5.3818090127571725E-3</v>
      </c>
      <c r="DR160" s="578">
        <v>1.5038897725491765E-3</v>
      </c>
      <c r="DS160" s="578">
        <v>2.4677272552463243E-4</v>
      </c>
      <c r="DT160" s="578">
        <v>2.1138721034485273E-4</v>
      </c>
      <c r="DU160" s="578">
        <v>1.7518155179003695E-4</v>
      </c>
      <c r="DV160" s="578">
        <v>5.5746303639980235E-4</v>
      </c>
      <c r="DW160" s="578">
        <v>1.3486404018948399E-4</v>
      </c>
      <c r="DX160" s="578">
        <v>1.3667816888028096E-3</v>
      </c>
      <c r="DY160" s="578">
        <v>3.9525066797362887E-4</v>
      </c>
      <c r="DZ160" s="578">
        <v>0</v>
      </c>
      <c r="EA160" s="578">
        <v>0</v>
      </c>
      <c r="EB160" s="578">
        <v>0</v>
      </c>
      <c r="EC160" s="578">
        <v>2.1407578894573791E-5</v>
      </c>
      <c r="ED160" s="578">
        <v>0</v>
      </c>
      <c r="EE160" s="578">
        <v>0</v>
      </c>
      <c r="EF160" s="578">
        <v>0</v>
      </c>
      <c r="EG160" s="578">
        <v>0</v>
      </c>
      <c r="EH160" s="578">
        <v>0</v>
      </c>
      <c r="EI160" s="578">
        <v>0</v>
      </c>
      <c r="EJ160" s="578">
        <v>8.4498915678134813E-3</v>
      </c>
      <c r="EK160" s="578">
        <v>5.9830435107774101E-4</v>
      </c>
      <c r="EL160" s="578">
        <v>0</v>
      </c>
      <c r="EM160" s="578">
        <v>0</v>
      </c>
      <c r="EN160" s="578">
        <v>0</v>
      </c>
      <c r="EO160" s="578">
        <v>0</v>
      </c>
      <c r="EP160" s="578">
        <v>0</v>
      </c>
      <c r="EQ160" s="578">
        <v>0</v>
      </c>
      <c r="ER160" s="578">
        <v>0</v>
      </c>
      <c r="ES160" s="578">
        <v>0</v>
      </c>
      <c r="ET160" s="578">
        <v>2.8157219312274825E-3</v>
      </c>
      <c r="EU160" s="578">
        <v>2.8161411825446185E-4</v>
      </c>
      <c r="EV160" s="578">
        <v>4.4888721237268956E-3</v>
      </c>
      <c r="EW160" s="578">
        <v>4.7835725119589317E-3</v>
      </c>
      <c r="EX160" s="578">
        <v>1.4647496434491E-3</v>
      </c>
      <c r="EY160" s="578">
        <v>2.0291002672473524E-2</v>
      </c>
      <c r="EZ160" s="578">
        <v>1.0315998053257319E-2</v>
      </c>
      <c r="FA160" s="578">
        <v>0</v>
      </c>
      <c r="FB160" s="578">
        <v>1.0118828779298225E-5</v>
      </c>
      <c r="FC160" s="578">
        <v>0</v>
      </c>
      <c r="FD160" s="578">
        <v>0</v>
      </c>
      <c r="FE160" s="578">
        <v>0</v>
      </c>
      <c r="FF160" s="578">
        <v>0</v>
      </c>
      <c r="FG160" s="578">
        <v>0</v>
      </c>
      <c r="FH160" s="578">
        <v>2.8125508047471956E-3</v>
      </c>
      <c r="FI160" s="578">
        <v>2.3195588727531108E-4</v>
      </c>
      <c r="FJ160" s="578">
        <v>0</v>
      </c>
      <c r="FK160" s="578">
        <v>0</v>
      </c>
      <c r="FL160" s="578">
        <v>0</v>
      </c>
      <c r="FM160" s="578">
        <v>0</v>
      </c>
      <c r="FN160" s="578">
        <v>3.7352806596505642E-5</v>
      </c>
      <c r="FO160" s="578">
        <v>0</v>
      </c>
      <c r="FP160" s="578">
        <v>0</v>
      </c>
      <c r="FQ160" s="578">
        <v>0</v>
      </c>
      <c r="FR160" s="578">
        <v>0</v>
      </c>
      <c r="FS160" s="578">
        <v>0</v>
      </c>
      <c r="FT160" s="578">
        <v>0</v>
      </c>
      <c r="FU160" s="578">
        <v>0</v>
      </c>
      <c r="FV160" s="578">
        <v>0</v>
      </c>
      <c r="FW160" s="578">
        <v>0</v>
      </c>
      <c r="FX160" s="578">
        <v>2.8029105423071318E-6</v>
      </c>
      <c r="FY160" s="578">
        <v>0</v>
      </c>
      <c r="FZ160" s="578">
        <v>0</v>
      </c>
      <c r="GA160" s="578">
        <v>0</v>
      </c>
      <c r="GB160" s="578">
        <v>0</v>
      </c>
      <c r="GC160" s="578">
        <v>0</v>
      </c>
      <c r="GD160" s="578">
        <v>0</v>
      </c>
      <c r="GE160" s="578">
        <v>0</v>
      </c>
      <c r="GF160" s="578">
        <v>3.2531974738629729E-3</v>
      </c>
      <c r="GG160" s="579">
        <v>1.0807120959156306E-3</v>
      </c>
      <c r="GH160" s="572"/>
    </row>
    <row r="161" spans="1:190">
      <c r="A161" s="572" t="s">
        <v>9363</v>
      </c>
      <c r="B161" s="577" t="s">
        <v>690</v>
      </c>
      <c r="C161" s="573" t="s">
        <v>9547</v>
      </c>
      <c r="D161" s="578">
        <v>1.6513433901633491E-3</v>
      </c>
      <c r="E161" s="578">
        <v>3.1365839749073281E-3</v>
      </c>
      <c r="F161" s="578">
        <v>2.1211906950434844E-3</v>
      </c>
      <c r="G161" s="578">
        <v>2.5167785234899327E-3</v>
      </c>
      <c r="H161" s="578">
        <v>0</v>
      </c>
      <c r="I161" s="578">
        <v>1.6289297931259162E-3</v>
      </c>
      <c r="J161" s="578">
        <v>5.3149511185556213E-4</v>
      </c>
      <c r="K161" s="578">
        <v>1.8116585556463359E-3</v>
      </c>
      <c r="L161" s="578">
        <v>3.0120481927710846E-4</v>
      </c>
      <c r="M161" s="578">
        <v>2.5445292620865142E-3</v>
      </c>
      <c r="N161" s="578">
        <v>7.1174377224199293E-4</v>
      </c>
      <c r="O161" s="578">
        <v>4.0728737847070158E-3</v>
      </c>
      <c r="P161" s="578">
        <v>0</v>
      </c>
      <c r="Q161" s="578">
        <v>0</v>
      </c>
      <c r="R161" s="578">
        <v>1.6335990051438584E-2</v>
      </c>
      <c r="S161" s="578">
        <v>1.027077497665733E-2</v>
      </c>
      <c r="T161" s="578">
        <v>8.2993540937466173E-4</v>
      </c>
      <c r="U161" s="578">
        <v>4.6861252438697832E-4</v>
      </c>
      <c r="V161" s="578">
        <v>5.3716911874421801E-4</v>
      </c>
      <c r="W161" s="578">
        <v>1.1091094035319926E-3</v>
      </c>
      <c r="X161" s="578">
        <v>7.4214351520114651E-4</v>
      </c>
      <c r="Y161" s="578">
        <v>4.0918700603929708E-4</v>
      </c>
      <c r="Z161" s="578">
        <v>9.4750601921316738E-4</v>
      </c>
      <c r="AA161" s="578">
        <v>9.6160254396237372E-4</v>
      </c>
      <c r="AB161" s="578">
        <v>7.9285112568342115E-4</v>
      </c>
      <c r="AC161" s="578">
        <v>3.9733955256111256E-4</v>
      </c>
      <c r="AD161" s="578">
        <v>0</v>
      </c>
      <c r="AE161" s="578">
        <v>2.2532672374943668E-3</v>
      </c>
      <c r="AF161" s="578">
        <v>5.3098687703861036E-4</v>
      </c>
      <c r="AG161" s="578">
        <v>0</v>
      </c>
      <c r="AH161" s="578">
        <v>1.5426147319706903E-3</v>
      </c>
      <c r="AI161" s="578">
        <v>1.8042098229201469E-3</v>
      </c>
      <c r="AJ161" s="578">
        <v>7.5122796879514592E-4</v>
      </c>
      <c r="AK161" s="578">
        <v>2.2449488650536295E-3</v>
      </c>
      <c r="AL161" s="578">
        <v>1.1144793152639088E-3</v>
      </c>
      <c r="AM161" s="578">
        <v>1.721960739295144E-3</v>
      </c>
      <c r="AN161" s="578">
        <v>2.1566597653554175E-3</v>
      </c>
      <c r="AO161" s="578">
        <v>1.0039835476244453E-3</v>
      </c>
      <c r="AP161" s="578">
        <v>3.9707750952986022E-4</v>
      </c>
      <c r="AQ161" s="578">
        <v>4.5518497061987915E-4</v>
      </c>
      <c r="AR161" s="578">
        <v>5.7851922690940858E-4</v>
      </c>
      <c r="AS161" s="578">
        <v>4.0054190964245747E-4</v>
      </c>
      <c r="AT161" s="578">
        <v>4.7663454564293858E-4</v>
      </c>
      <c r="AU161" s="578">
        <v>1.2434351532206608E-3</v>
      </c>
      <c r="AV161" s="578">
        <v>4.7930022167635251E-4</v>
      </c>
      <c r="AW161" s="578">
        <v>5.3639435713136294E-4</v>
      </c>
      <c r="AX161" s="578">
        <v>6.1444606589934061E-4</v>
      </c>
      <c r="AY161" s="578">
        <v>3.1715826197272439E-4</v>
      </c>
      <c r="AZ161" s="578">
        <v>6.5555982548545332E-4</v>
      </c>
      <c r="BA161" s="578">
        <v>5.5532417048452032E-4</v>
      </c>
      <c r="BB161" s="578">
        <v>4.8399853619954903E-4</v>
      </c>
      <c r="BC161" s="578">
        <v>1.8422426233534957E-4</v>
      </c>
      <c r="BD161" s="578">
        <v>4.4709944236763992E-4</v>
      </c>
      <c r="BE161" s="578">
        <v>3.2645095162207508E-4</v>
      </c>
      <c r="BF161" s="578">
        <v>5.2651139742319127E-4</v>
      </c>
      <c r="BG161" s="578">
        <v>6.0111317254174393E-4</v>
      </c>
      <c r="BH161" s="578">
        <v>1.4428626394767218E-4</v>
      </c>
      <c r="BI161" s="578">
        <v>1.626457034426674E-4</v>
      </c>
      <c r="BJ161" s="578">
        <v>5.7731720693935282E-5</v>
      </c>
      <c r="BK161" s="578">
        <v>5.5120714364458166E-5</v>
      </c>
      <c r="BL161" s="578">
        <v>3.8057543005023594E-5</v>
      </c>
      <c r="BM161" s="578">
        <v>1.7633170512758859E-4</v>
      </c>
      <c r="BN161" s="578">
        <v>1.9753086419753085E-4</v>
      </c>
      <c r="BO161" s="578">
        <v>2.0281820728020784E-4</v>
      </c>
      <c r="BP161" s="578">
        <v>2.106333527019175E-3</v>
      </c>
      <c r="BQ161" s="578">
        <v>1.5022533800701052E-3</v>
      </c>
      <c r="BR161" s="578">
        <v>8.214822954562427E-4</v>
      </c>
      <c r="BS161" s="578">
        <v>2.6705240903527319E-3</v>
      </c>
      <c r="BT161" s="578">
        <v>3.6423238025860496E-4</v>
      </c>
      <c r="BU161" s="578">
        <v>9.2818192365703674E-4</v>
      </c>
      <c r="BV161" s="578">
        <v>5.7269909715671743E-4</v>
      </c>
      <c r="BW161" s="578">
        <v>2.9972945472902092E-4</v>
      </c>
      <c r="BX161" s="578">
        <v>0</v>
      </c>
      <c r="BY161" s="578">
        <v>5.6554575165034253E-4</v>
      </c>
      <c r="BZ161" s="578">
        <v>5.2427966733075424E-4</v>
      </c>
      <c r="CA161" s="578">
        <v>6.5856113799364646E-4</v>
      </c>
      <c r="CB161" s="578">
        <v>5.1501613303549265E-4</v>
      </c>
      <c r="CC161" s="578">
        <v>5.7289393278044522E-4</v>
      </c>
      <c r="CD161" s="578">
        <v>3.2531168926227443E-4</v>
      </c>
      <c r="CE161" s="578">
        <v>0</v>
      </c>
      <c r="CF161" s="578">
        <v>3.1580609505763463E-4</v>
      </c>
      <c r="CG161" s="578">
        <v>5.2490459504319828E-4</v>
      </c>
      <c r="CH161" s="578">
        <v>1.3886799439899089E-3</v>
      </c>
      <c r="CI161" s="578">
        <v>1.0197229338174945E-3</v>
      </c>
      <c r="CJ161" s="578">
        <v>1.3018008244738556E-3</v>
      </c>
      <c r="CK161" s="578">
        <v>1.0892916578413871E-3</v>
      </c>
      <c r="CL161" s="578">
        <v>6.9088511225009737E-4</v>
      </c>
      <c r="CM161" s="578">
        <v>5.6034380416458912E-4</v>
      </c>
      <c r="CN161" s="578">
        <v>7.9602470088768816E-4</v>
      </c>
      <c r="CO161" s="578">
        <v>6.8329347454731807E-4</v>
      </c>
      <c r="CP161" s="578">
        <v>8.4945053962463227E-4</v>
      </c>
      <c r="CQ161" s="578">
        <v>7.6447728865388287E-4</v>
      </c>
      <c r="CR161" s="578">
        <v>4.4710254325862271E-4</v>
      </c>
      <c r="CS161" s="578">
        <v>6.2153915696688887E-4</v>
      </c>
      <c r="CT161" s="578">
        <v>6.7072992913592489E-4</v>
      </c>
      <c r="CU161" s="578">
        <v>9.0289086306692679E-4</v>
      </c>
      <c r="CV161" s="578">
        <v>6.3811464999721215E-4</v>
      </c>
      <c r="CW161" s="578">
        <v>5.461496450027307E-4</v>
      </c>
      <c r="CX161" s="578">
        <v>7.4242229551262833E-4</v>
      </c>
      <c r="CY161" s="578">
        <v>1.4470189577800165E-3</v>
      </c>
      <c r="CZ161" s="578">
        <v>8.17923186344239E-4</v>
      </c>
      <c r="DA161" s="578">
        <v>7.4960913238097276E-4</v>
      </c>
      <c r="DB161" s="578">
        <v>7.5810905940325985E-4</v>
      </c>
      <c r="DC161" s="578">
        <v>1.4503263234227702E-3</v>
      </c>
      <c r="DD161" s="578">
        <v>2.4154589371980675E-3</v>
      </c>
      <c r="DE161" s="578">
        <v>3.2256892071165066E-4</v>
      </c>
      <c r="DF161" s="578">
        <v>8.986340762041697E-5</v>
      </c>
      <c r="DG161" s="578">
        <v>3.1275219746692591E-4</v>
      </c>
      <c r="DH161" s="578">
        <v>3.9646129971341514E-4</v>
      </c>
      <c r="DI161" s="578">
        <v>4.3052059875480197E-4</v>
      </c>
      <c r="DJ161" s="578">
        <v>2.3605710097031893E-4</v>
      </c>
      <c r="DK161" s="578">
        <v>4.9043648847474255E-4</v>
      </c>
      <c r="DL161" s="578">
        <v>0</v>
      </c>
      <c r="DM161" s="578">
        <v>2.6863476982241829E-4</v>
      </c>
      <c r="DN161" s="578">
        <v>5.4468927952463478E-4</v>
      </c>
      <c r="DO161" s="578">
        <v>0</v>
      </c>
      <c r="DP161" s="578">
        <v>8.7642418930762488E-5</v>
      </c>
      <c r="DQ161" s="578">
        <v>3.388254576113593E-4</v>
      </c>
      <c r="DR161" s="578">
        <v>1.233789835572495E-4</v>
      </c>
      <c r="DS161" s="578">
        <v>2.595920878895484E-4</v>
      </c>
      <c r="DT161" s="578">
        <v>5.1024499048757551E-5</v>
      </c>
      <c r="DU161" s="578">
        <v>6.3702382469104342E-5</v>
      </c>
      <c r="DV161" s="578">
        <v>7.6017686781791228E-5</v>
      </c>
      <c r="DW161" s="578">
        <v>5.5125676427451578E-3</v>
      </c>
      <c r="DX161" s="578">
        <v>4.1432485274919247E-3</v>
      </c>
      <c r="DY161" s="578">
        <v>1.0276517367314351E-3</v>
      </c>
      <c r="DZ161" s="578">
        <v>2.6289065197218514E-3</v>
      </c>
      <c r="EA161" s="578">
        <v>2.6777784455529513E-3</v>
      </c>
      <c r="EB161" s="578">
        <v>2.1868345665395162E-3</v>
      </c>
      <c r="EC161" s="578">
        <v>3.0429344285858458E-3</v>
      </c>
      <c r="ED161" s="578">
        <v>1.537751806858373E-3</v>
      </c>
      <c r="EE161" s="578">
        <v>4.7716839041609852E-4</v>
      </c>
      <c r="EF161" s="578">
        <v>5.8368878483691991E-4</v>
      </c>
      <c r="EG161" s="578">
        <v>8.3263946711074107E-4</v>
      </c>
      <c r="EH161" s="578">
        <v>9.5314164004259847E-4</v>
      </c>
      <c r="EI161" s="578">
        <v>2.1187393220034171E-3</v>
      </c>
      <c r="EJ161" s="578">
        <v>4.238426785131714E-3</v>
      </c>
      <c r="EK161" s="578">
        <v>2.9983206684691343E-3</v>
      </c>
      <c r="EL161" s="578">
        <v>1.4010324967920981E-3</v>
      </c>
      <c r="EM161" s="578">
        <v>6.9465609575567106E-4</v>
      </c>
      <c r="EN161" s="578">
        <v>7.2677127203607766E-4</v>
      </c>
      <c r="EO161" s="578">
        <v>4.0380323554729125E-4</v>
      </c>
      <c r="EP161" s="578">
        <v>1.0353434542042406E-4</v>
      </c>
      <c r="EQ161" s="578">
        <v>4.5797335267540901E-2</v>
      </c>
      <c r="ER161" s="578">
        <v>0</v>
      </c>
      <c r="ES161" s="578">
        <v>4.002150084030183E-2</v>
      </c>
      <c r="ET161" s="578">
        <v>2.7107783185436159E-2</v>
      </c>
      <c r="EU161" s="578">
        <v>3.9543315771564017E-2</v>
      </c>
      <c r="EV161" s="578">
        <v>0.11676725763862693</v>
      </c>
      <c r="EW161" s="578">
        <v>2.1681639637537433E-3</v>
      </c>
      <c r="EX161" s="578">
        <v>0.26394403114520293</v>
      </c>
      <c r="EY161" s="578">
        <v>2.1330297931307533E-2</v>
      </c>
      <c r="EZ161" s="578">
        <v>2.6941528193005629E-4</v>
      </c>
      <c r="FA161" s="578">
        <v>8.7359133397396703E-4</v>
      </c>
      <c r="FB161" s="578">
        <v>1.3748115368139855E-2</v>
      </c>
      <c r="FC161" s="578">
        <v>8.2293832293832295E-4</v>
      </c>
      <c r="FD161" s="578">
        <v>1.0111696107858092E-3</v>
      </c>
      <c r="FE161" s="578">
        <v>9.0245130960376089E-4</v>
      </c>
      <c r="FF161" s="578">
        <v>1.8315435020021841E-3</v>
      </c>
      <c r="FG161" s="578">
        <v>2.6096033402922753E-4</v>
      </c>
      <c r="FH161" s="578">
        <v>1.5444643147455698E-3</v>
      </c>
      <c r="FI161" s="578">
        <v>1.735264928857074E-3</v>
      </c>
      <c r="FJ161" s="578">
        <v>1.6390735077198198E-3</v>
      </c>
      <c r="FK161" s="578">
        <v>1.0859872060945438E-3</v>
      </c>
      <c r="FL161" s="578">
        <v>2.3261892315734447E-3</v>
      </c>
      <c r="FM161" s="578">
        <v>1.0835814113356597E-3</v>
      </c>
      <c r="FN161" s="578">
        <v>6.7795343972657744E-4</v>
      </c>
      <c r="FO161" s="578">
        <v>5.2286209561741548E-4</v>
      </c>
      <c r="FP161" s="578">
        <v>5.9874578514480196E-4</v>
      </c>
      <c r="FQ161" s="578">
        <v>8.0148274307468821E-4</v>
      </c>
      <c r="FR161" s="578">
        <v>9.244970712586467E-4</v>
      </c>
      <c r="FS161" s="578">
        <v>1.5809833492179178E-3</v>
      </c>
      <c r="FT161" s="578">
        <v>1.4007564084605687E-3</v>
      </c>
      <c r="FU161" s="578">
        <v>2.9540931860289575E-2</v>
      </c>
      <c r="FV161" s="578">
        <v>1.3405387290017176E-3</v>
      </c>
      <c r="FW161" s="578">
        <v>6.7090766532215695E-4</v>
      </c>
      <c r="FX161" s="578">
        <v>3.8960456538069131E-4</v>
      </c>
      <c r="FY161" s="578">
        <v>8.6220515662947404E-4</v>
      </c>
      <c r="FZ161" s="578">
        <v>7.2716484106668741E-2</v>
      </c>
      <c r="GA161" s="578">
        <v>3.5205112664528767E-3</v>
      </c>
      <c r="GB161" s="578">
        <v>1.2876204491106928E-3</v>
      </c>
      <c r="GC161" s="578">
        <v>8.3413482990094493E-3</v>
      </c>
      <c r="GD161" s="578">
        <v>3.2847340473767467E-3</v>
      </c>
      <c r="GE161" s="578">
        <v>0</v>
      </c>
      <c r="GF161" s="578">
        <v>1.7905853632648728E-2</v>
      </c>
      <c r="GG161" s="579">
        <v>3.4507938329977803E-3</v>
      </c>
      <c r="GH161" s="572"/>
    </row>
    <row r="162" spans="1:190">
      <c r="A162" s="572" t="s">
        <v>9364</v>
      </c>
      <c r="B162" s="577" t="s">
        <v>9478</v>
      </c>
      <c r="C162" s="573" t="s">
        <v>9110</v>
      </c>
      <c r="D162" s="578">
        <v>6.6946353655270913E-5</v>
      </c>
      <c r="E162" s="578">
        <v>0</v>
      </c>
      <c r="F162" s="578">
        <v>9.4275142001932634E-5</v>
      </c>
      <c r="G162" s="578">
        <v>0</v>
      </c>
      <c r="H162" s="578">
        <v>0</v>
      </c>
      <c r="I162" s="578">
        <v>4.8867893793777485E-4</v>
      </c>
      <c r="J162" s="578">
        <v>1.771650372851874E-4</v>
      </c>
      <c r="K162" s="578">
        <v>6.0388618521544529E-4</v>
      </c>
      <c r="L162" s="578">
        <v>1.5060240963855423E-4</v>
      </c>
      <c r="M162" s="578">
        <v>0</v>
      </c>
      <c r="N162" s="578">
        <v>0</v>
      </c>
      <c r="O162" s="578">
        <v>2.1897170885521591E-4</v>
      </c>
      <c r="P162" s="578">
        <v>0</v>
      </c>
      <c r="Q162" s="578">
        <v>0</v>
      </c>
      <c r="R162" s="578">
        <v>3.3915550279803292E-4</v>
      </c>
      <c r="S162" s="578">
        <v>1.8674136321195146E-3</v>
      </c>
      <c r="T162" s="578">
        <v>7.2168296467361895E-5</v>
      </c>
      <c r="U162" s="578">
        <v>1.9127041811713399E-4</v>
      </c>
      <c r="V162" s="578">
        <v>2.2382046614342415E-5</v>
      </c>
      <c r="W162" s="578">
        <v>1.8689412600953465E-4</v>
      </c>
      <c r="X162" s="578">
        <v>1.0236462278636504E-4</v>
      </c>
      <c r="Y162" s="578">
        <v>7.5775371488758726E-5</v>
      </c>
      <c r="Z162" s="578">
        <v>8.052459086797456E-5</v>
      </c>
      <c r="AA162" s="578">
        <v>1.8089552807212971E-4</v>
      </c>
      <c r="AB162" s="578">
        <v>8.2588658925356365E-5</v>
      </c>
      <c r="AC162" s="578">
        <v>3.4551265440096744E-5</v>
      </c>
      <c r="AD162" s="578">
        <v>0</v>
      </c>
      <c r="AE162" s="578">
        <v>0</v>
      </c>
      <c r="AF162" s="578">
        <v>1.517105362967458E-4</v>
      </c>
      <c r="AG162" s="578">
        <v>0</v>
      </c>
      <c r="AH162" s="578">
        <v>3.8565368299267258E-4</v>
      </c>
      <c r="AI162" s="578">
        <v>2.6729034413631807E-4</v>
      </c>
      <c r="AJ162" s="578">
        <v>1.7336030049118752E-4</v>
      </c>
      <c r="AK162" s="578">
        <v>2.4943876278373661E-4</v>
      </c>
      <c r="AL162" s="578">
        <v>1.3373751783166905E-4</v>
      </c>
      <c r="AM162" s="578">
        <v>5.7398691309838139E-5</v>
      </c>
      <c r="AN162" s="578">
        <v>1.2939958592132506E-4</v>
      </c>
      <c r="AO162" s="578">
        <v>1.2954626420960585E-4</v>
      </c>
      <c r="AP162" s="578">
        <v>7.9415501905972049E-5</v>
      </c>
      <c r="AQ162" s="578">
        <v>1.0345112968633617E-4</v>
      </c>
      <c r="AR162" s="578">
        <v>1.180651483488589E-4</v>
      </c>
      <c r="AS162" s="578">
        <v>2.1205159922247746E-4</v>
      </c>
      <c r="AT162" s="578">
        <v>2.4867889337892445E-4</v>
      </c>
      <c r="AU162" s="578">
        <v>2.3723433844341553E-4</v>
      </c>
      <c r="AV162" s="578">
        <v>1.1982505541908813E-4</v>
      </c>
      <c r="AW162" s="578">
        <v>1.072788714262726E-4</v>
      </c>
      <c r="AX162" s="578">
        <v>8.7778009414191512E-5</v>
      </c>
      <c r="AY162" s="578">
        <v>0</v>
      </c>
      <c r="AZ162" s="578">
        <v>5.6513778059090808E-5</v>
      </c>
      <c r="BA162" s="578">
        <v>1.3883104262113008E-4</v>
      </c>
      <c r="BB162" s="578">
        <v>1.6526779284862652E-4</v>
      </c>
      <c r="BC162" s="578">
        <v>1.0234681240852753E-4</v>
      </c>
      <c r="BD162" s="578">
        <v>6.2097144773283326E-5</v>
      </c>
      <c r="BE162" s="578">
        <v>9.3723015143111889E-4</v>
      </c>
      <c r="BF162" s="578">
        <v>7.7428146679881069E-5</v>
      </c>
      <c r="BG162" s="578">
        <v>9.647495361781076E-5</v>
      </c>
      <c r="BH162" s="578">
        <v>2.8170175342164569E-4</v>
      </c>
      <c r="BI162" s="578">
        <v>1.626457034426674E-4</v>
      </c>
      <c r="BJ162" s="578">
        <v>1.1958713572315166E-4</v>
      </c>
      <c r="BK162" s="578">
        <v>2.7560357182229083E-5</v>
      </c>
      <c r="BL162" s="578">
        <v>6.3429238341705996E-5</v>
      </c>
      <c r="BM162" s="578">
        <v>1.7404168298307444E-4</v>
      </c>
      <c r="BN162" s="578">
        <v>9.8765432098765426E-5</v>
      </c>
      <c r="BO162" s="578">
        <v>1.0623810857534696E-4</v>
      </c>
      <c r="BP162" s="578">
        <v>7.2632190586868097E-5</v>
      </c>
      <c r="BQ162" s="578">
        <v>1.6691704223001168E-4</v>
      </c>
      <c r="BR162" s="578">
        <v>1.493604173556805E-4</v>
      </c>
      <c r="BS162" s="578">
        <v>1.5173432331549611E-4</v>
      </c>
      <c r="BT162" s="578">
        <v>1.8211619012930248E-4</v>
      </c>
      <c r="BU162" s="578">
        <v>1.4502842557141199E-4</v>
      </c>
      <c r="BV162" s="578">
        <v>2.0212909311413557E-4</v>
      </c>
      <c r="BW162" s="578">
        <v>4.2818493532717273E-5</v>
      </c>
      <c r="BX162" s="578">
        <v>0</v>
      </c>
      <c r="BY162" s="578">
        <v>7.5072444909337509E-5</v>
      </c>
      <c r="BZ162" s="578">
        <v>7.1743533424208471E-5</v>
      </c>
      <c r="CA162" s="578">
        <v>1.0192017611806433E-4</v>
      </c>
      <c r="CB162" s="578">
        <v>9.9280218416480511E-5</v>
      </c>
      <c r="CC162" s="578">
        <v>1.1457878655608905E-4</v>
      </c>
      <c r="CD162" s="578">
        <v>4.0663961157784304E-5</v>
      </c>
      <c r="CE162" s="578">
        <v>0</v>
      </c>
      <c r="CF162" s="578">
        <v>7.8951523764408658E-5</v>
      </c>
      <c r="CG162" s="578">
        <v>7.0933053384215973E-5</v>
      </c>
      <c r="CH162" s="578">
        <v>1.9672965873190377E-4</v>
      </c>
      <c r="CI162" s="578">
        <v>1.2435645534359689E-4</v>
      </c>
      <c r="CJ162" s="578">
        <v>2.1696680407897592E-4</v>
      </c>
      <c r="CK162" s="578">
        <v>1.3616145723017339E-4</v>
      </c>
      <c r="CL162" s="578">
        <v>7.9429307915954806E-5</v>
      </c>
      <c r="CM162" s="578">
        <v>2.1843911009806016E-4</v>
      </c>
      <c r="CN162" s="578">
        <v>1.9297568506368199E-4</v>
      </c>
      <c r="CO162" s="578">
        <v>1.7082336863682952E-4</v>
      </c>
      <c r="CP162" s="578">
        <v>1.6094852329729875E-4</v>
      </c>
      <c r="CQ162" s="578">
        <v>6.3706440721156905E-5</v>
      </c>
      <c r="CR162" s="578">
        <v>5.8065265358262687E-5</v>
      </c>
      <c r="CS162" s="578">
        <v>1.1300711944852526E-4</v>
      </c>
      <c r="CT162" s="578">
        <v>1.4581085415998367E-4</v>
      </c>
      <c r="CU162" s="578">
        <v>1.7735356238814633E-4</v>
      </c>
      <c r="CV162" s="578">
        <v>1.5488219660126507E-4</v>
      </c>
      <c r="CW162" s="578">
        <v>1.1703206678629945E-4</v>
      </c>
      <c r="CX162" s="578">
        <v>1.7846689795976642E-4</v>
      </c>
      <c r="CY162" s="578">
        <v>4.3960069603443539E-4</v>
      </c>
      <c r="CZ162" s="578">
        <v>1.4224751066856331E-4</v>
      </c>
      <c r="DA162" s="578">
        <v>2.784262491700756E-4</v>
      </c>
      <c r="DB162" s="578">
        <v>2.166025884009314E-4</v>
      </c>
      <c r="DC162" s="578">
        <v>0</v>
      </c>
      <c r="DD162" s="578">
        <v>9.6618357487922703E-4</v>
      </c>
      <c r="DE162" s="578">
        <v>4.0889018118378252E-5</v>
      </c>
      <c r="DF162" s="578">
        <v>6.9893761482546523E-5</v>
      </c>
      <c r="DG162" s="578">
        <v>1.1482161095813714E-4</v>
      </c>
      <c r="DH162" s="578">
        <v>9.0619725648780601E-5</v>
      </c>
      <c r="DI162" s="578">
        <v>5.9610544442972575E-4</v>
      </c>
      <c r="DJ162" s="578">
        <v>1.490886953496751E-4</v>
      </c>
      <c r="DK162" s="578">
        <v>1.0146961830511914E-4</v>
      </c>
      <c r="DL162" s="578">
        <v>1.2373424913512284E-4</v>
      </c>
      <c r="DM162" s="578">
        <v>1.6966406515100103E-4</v>
      </c>
      <c r="DN162" s="578">
        <v>4.1264339357926881E-5</v>
      </c>
      <c r="DO162" s="578">
        <v>0</v>
      </c>
      <c r="DP162" s="578">
        <v>4.3821209465381244E-5</v>
      </c>
      <c r="DQ162" s="578">
        <v>2.3638985414746001E-5</v>
      </c>
      <c r="DR162" s="578">
        <v>6.3356775340209212E-5</v>
      </c>
      <c r="DS162" s="578">
        <v>8.0121014780724808E-5</v>
      </c>
      <c r="DT162" s="578">
        <v>3.4988227919148035E-4</v>
      </c>
      <c r="DU162" s="578">
        <v>5.5739584660466304E-5</v>
      </c>
      <c r="DV162" s="578">
        <v>6.3348072318159359E-5</v>
      </c>
      <c r="DW162" s="578">
        <v>2.3601207033159695E-4</v>
      </c>
      <c r="DX162" s="578">
        <v>1.7774291020305596E-4</v>
      </c>
      <c r="DY162" s="578">
        <v>8.0631136266620294E-4</v>
      </c>
      <c r="DZ162" s="578">
        <v>2.4082872025638996E-4</v>
      </c>
      <c r="EA162" s="578">
        <v>2.470768141782025E-4</v>
      </c>
      <c r="EB162" s="578">
        <v>8.425632305406192E-4</v>
      </c>
      <c r="EC162" s="578">
        <v>5.1072366791340333E-4</v>
      </c>
      <c r="ED162" s="578">
        <v>4.6584834148944831E-4</v>
      </c>
      <c r="EE162" s="578">
        <v>7.6706101470114761E-4</v>
      </c>
      <c r="EF162" s="578">
        <v>2.392482601584298E-3</v>
      </c>
      <c r="EG162" s="578">
        <v>2.7754648903691371E-4</v>
      </c>
      <c r="EH162" s="578">
        <v>9.5846645367412143E-4</v>
      </c>
      <c r="EI162" s="578">
        <v>8.2051973743368402E-4</v>
      </c>
      <c r="EJ162" s="578">
        <v>1.1117332343528266E-3</v>
      </c>
      <c r="EK162" s="578">
        <v>1.4804633232633876E-3</v>
      </c>
      <c r="EL162" s="578">
        <v>8.9134910924770962E-3</v>
      </c>
      <c r="EM162" s="578">
        <v>4.195643655276418E-3</v>
      </c>
      <c r="EN162" s="578">
        <v>4.3030280442229307E-4</v>
      </c>
      <c r="EO162" s="578">
        <v>7.6033194595733866E-4</v>
      </c>
      <c r="EP162" s="578">
        <v>0</v>
      </c>
      <c r="EQ162" s="578">
        <v>5.355224224594037E-4</v>
      </c>
      <c r="ER162" s="578">
        <v>2.4509803921568627E-3</v>
      </c>
      <c r="ES162" s="578">
        <v>3.4020316933272549E-4</v>
      </c>
      <c r="ET162" s="578">
        <v>8.7453010569888868E-5</v>
      </c>
      <c r="EU162" s="578">
        <v>9.3871372751487279E-5</v>
      </c>
      <c r="EV162" s="578">
        <v>4.3945680875141458E-3</v>
      </c>
      <c r="EW162" s="578">
        <v>1.3611791700696145E-3</v>
      </c>
      <c r="EX162" s="578">
        <v>5.5891762710557757E-4</v>
      </c>
      <c r="EY162" s="578">
        <v>1.5341977630406809E-3</v>
      </c>
      <c r="EZ162" s="578">
        <v>9.8206215671278589E-4</v>
      </c>
      <c r="FA162" s="578">
        <v>8.73591333973967E-5</v>
      </c>
      <c r="FB162" s="578">
        <v>8.9720281843110928E-4</v>
      </c>
      <c r="FC162" s="578">
        <v>1.751992376992377E-2</v>
      </c>
      <c r="FD162" s="578">
        <v>7.0388230084141119E-3</v>
      </c>
      <c r="FE162" s="578">
        <v>3.8196776359973135E-3</v>
      </c>
      <c r="FF162" s="578">
        <v>9.4041985195971367E-4</v>
      </c>
      <c r="FG162" s="578">
        <v>1.8789144050104384E-3</v>
      </c>
      <c r="FH162" s="578">
        <v>2.113477483336043E-3</v>
      </c>
      <c r="FI162" s="578">
        <v>5.4906013823396421E-3</v>
      </c>
      <c r="FJ162" s="578">
        <v>3.5879649404568677E-3</v>
      </c>
      <c r="FK162" s="578">
        <v>4.7486519217804495E-4</v>
      </c>
      <c r="FL162" s="578">
        <v>5.38421327757449E-3</v>
      </c>
      <c r="FM162" s="578">
        <v>1.8234461384304382E-3</v>
      </c>
      <c r="FN162" s="578">
        <v>7.1362537002624031E-3</v>
      </c>
      <c r="FO162" s="578">
        <v>3.2629367520064091E-4</v>
      </c>
      <c r="FP162" s="578">
        <v>3.3246147543566635E-3</v>
      </c>
      <c r="FQ162" s="578">
        <v>3.4452626247446663E-3</v>
      </c>
      <c r="FR162" s="578">
        <v>1.2373319388057646E-3</v>
      </c>
      <c r="FS162" s="578">
        <v>5.6848124684644279E-3</v>
      </c>
      <c r="FT162" s="578">
        <v>3.6834705555814954E-4</v>
      </c>
      <c r="FU162" s="578">
        <v>9.2637068551430725E-4</v>
      </c>
      <c r="FV162" s="578">
        <v>1.8851325876586652E-4</v>
      </c>
      <c r="FW162" s="578">
        <v>1.0831521343755304E-3</v>
      </c>
      <c r="FX162" s="578">
        <v>4.9611516598836237E-4</v>
      </c>
      <c r="FY162" s="578">
        <v>9.3717951807551522E-4</v>
      </c>
      <c r="FZ162" s="578">
        <v>1.1954106625433661E-3</v>
      </c>
      <c r="GA162" s="578">
        <v>1.0381832528217185E-3</v>
      </c>
      <c r="GB162" s="578">
        <v>1.0376428527631959E-3</v>
      </c>
      <c r="GC162" s="578">
        <v>7.2134691085044573E-4</v>
      </c>
      <c r="GD162" s="578">
        <v>2.4887402138099894E-3</v>
      </c>
      <c r="GE162" s="578">
        <v>0</v>
      </c>
      <c r="GF162" s="578">
        <v>6.1030621450936689E-4</v>
      </c>
      <c r="GG162" s="579">
        <v>1.0394631507540883E-3</v>
      </c>
      <c r="GH162" s="572"/>
    </row>
    <row r="163" spans="1:190">
      <c r="A163" s="572" t="s">
        <v>9365</v>
      </c>
      <c r="B163" s="577" t="s">
        <v>9479</v>
      </c>
      <c r="C163" s="573" t="s">
        <v>9111</v>
      </c>
      <c r="D163" s="578">
        <v>6.6946353655270913E-5</v>
      </c>
      <c r="E163" s="578">
        <v>0</v>
      </c>
      <c r="F163" s="578">
        <v>9.4275142001932634E-5</v>
      </c>
      <c r="G163" s="578">
        <v>0</v>
      </c>
      <c r="H163" s="578">
        <v>0</v>
      </c>
      <c r="I163" s="578">
        <v>1.7918227724385079E-3</v>
      </c>
      <c r="J163" s="578">
        <v>2.4158868720707371E-4</v>
      </c>
      <c r="K163" s="578">
        <v>2.8418173421903307E-3</v>
      </c>
      <c r="L163" s="578">
        <v>4.5180722891566266E-4</v>
      </c>
      <c r="M163" s="578">
        <v>7.2700836059614682E-4</v>
      </c>
      <c r="N163" s="578">
        <v>0</v>
      </c>
      <c r="O163" s="578">
        <v>2.5400718227205047E-3</v>
      </c>
      <c r="P163" s="578">
        <v>0</v>
      </c>
      <c r="Q163" s="578">
        <v>0</v>
      </c>
      <c r="R163" s="578">
        <v>1.1870442597931151E-3</v>
      </c>
      <c r="S163" s="578">
        <v>4.6685340802987861E-3</v>
      </c>
      <c r="T163" s="578">
        <v>4.1332751613125444E-4</v>
      </c>
      <c r="U163" s="578">
        <v>7.9377223518610615E-4</v>
      </c>
      <c r="V163" s="578">
        <v>2.0143841952908174E-4</v>
      </c>
      <c r="W163" s="578">
        <v>7.3532115151292324E-4</v>
      </c>
      <c r="X163" s="578">
        <v>1.1260108506500153E-3</v>
      </c>
      <c r="Y163" s="578">
        <v>5.645265175912525E-4</v>
      </c>
      <c r="Z163" s="578">
        <v>6.3614426785699911E-4</v>
      </c>
      <c r="AA163" s="578">
        <v>5.3792617558291202E-4</v>
      </c>
      <c r="AB163" s="578">
        <v>3.1383690391635421E-4</v>
      </c>
      <c r="AC163" s="578">
        <v>2.2458322536062883E-4</v>
      </c>
      <c r="AD163" s="578">
        <v>0</v>
      </c>
      <c r="AE163" s="578">
        <v>9.0130689499774675E-4</v>
      </c>
      <c r="AF163" s="578">
        <v>9.8611848592884774E-4</v>
      </c>
      <c r="AG163" s="578">
        <v>0</v>
      </c>
      <c r="AH163" s="578">
        <v>1.5426147319706903E-3</v>
      </c>
      <c r="AI163" s="578">
        <v>1.4700968927497495E-3</v>
      </c>
      <c r="AJ163" s="578">
        <v>9.8237503611672936E-4</v>
      </c>
      <c r="AK163" s="578">
        <v>9.9775505113494645E-4</v>
      </c>
      <c r="AL163" s="578">
        <v>6.6868758915834521E-4</v>
      </c>
      <c r="AM163" s="578">
        <v>5.1658822178854327E-4</v>
      </c>
      <c r="AN163" s="578">
        <v>7.3326432022084199E-4</v>
      </c>
      <c r="AO163" s="578">
        <v>9.7159698157204394E-4</v>
      </c>
      <c r="AP163" s="578">
        <v>3.176620076238882E-4</v>
      </c>
      <c r="AQ163" s="578">
        <v>3.9311429280807744E-4</v>
      </c>
      <c r="AR163" s="578">
        <v>5.7851922690940858E-4</v>
      </c>
      <c r="AS163" s="578">
        <v>1.0013547741061436E-3</v>
      </c>
      <c r="AT163" s="578">
        <v>1.0361620557455186E-3</v>
      </c>
      <c r="AU163" s="578">
        <v>1.4970304805222428E-3</v>
      </c>
      <c r="AV163" s="578">
        <v>3.5947516625726441E-4</v>
      </c>
      <c r="AW163" s="578">
        <v>3.7547604999195407E-4</v>
      </c>
      <c r="AX163" s="578">
        <v>3.6208428883353997E-4</v>
      </c>
      <c r="AY163" s="578">
        <v>0</v>
      </c>
      <c r="AZ163" s="578">
        <v>1.8084408978909057E-4</v>
      </c>
      <c r="BA163" s="578">
        <v>4.1649312786339027E-4</v>
      </c>
      <c r="BB163" s="578">
        <v>5.3121790558487093E-4</v>
      </c>
      <c r="BC163" s="578">
        <v>3.5821384342984638E-4</v>
      </c>
      <c r="BD163" s="578">
        <v>2.3596915013847662E-4</v>
      </c>
      <c r="BE163" s="578">
        <v>1.3872410331295063E-2</v>
      </c>
      <c r="BF163" s="578">
        <v>1.8582755203171457E-4</v>
      </c>
      <c r="BG163" s="578">
        <v>1.8998144712430427E-3</v>
      </c>
      <c r="BH163" s="578">
        <v>8.4510526026493706E-4</v>
      </c>
      <c r="BI163" s="578">
        <v>1.4638113309840065E-3</v>
      </c>
      <c r="BJ163" s="578">
        <v>6.3504892763328815E-4</v>
      </c>
      <c r="BK163" s="578">
        <v>8.2681071546687239E-5</v>
      </c>
      <c r="BL163" s="578">
        <v>3.0446034404018875E-4</v>
      </c>
      <c r="BM163" s="578">
        <v>6.2288602330784536E-4</v>
      </c>
      <c r="BN163" s="578">
        <v>9.3827160493827164E-4</v>
      </c>
      <c r="BO163" s="578">
        <v>7.146927304159705E-4</v>
      </c>
      <c r="BP163" s="578">
        <v>5.8105752469494478E-4</v>
      </c>
      <c r="BQ163" s="578">
        <v>9.1804373226506424E-4</v>
      </c>
      <c r="BR163" s="578">
        <v>6.6145327686087082E-4</v>
      </c>
      <c r="BS163" s="578">
        <v>6.0693729326198446E-4</v>
      </c>
      <c r="BT163" s="578">
        <v>1.2748133309051174E-3</v>
      </c>
      <c r="BU163" s="578">
        <v>6.0911938739993037E-4</v>
      </c>
      <c r="BV163" s="578">
        <v>9.0958091901361001E-4</v>
      </c>
      <c r="BW163" s="578">
        <v>1.9042961597445313E-4</v>
      </c>
      <c r="BX163" s="578">
        <v>0</v>
      </c>
      <c r="BY163" s="578">
        <v>1.8642990485818816E-4</v>
      </c>
      <c r="BZ163" s="578">
        <v>3.4768020044039492E-4</v>
      </c>
      <c r="CA163" s="578">
        <v>3.4496059609191005E-4</v>
      </c>
      <c r="CB163" s="578">
        <v>4.4676098287416231E-4</v>
      </c>
      <c r="CC163" s="578">
        <v>5.4561326931470977E-4</v>
      </c>
      <c r="CD163" s="578">
        <v>1.3012467570490977E-4</v>
      </c>
      <c r="CE163" s="578">
        <v>0</v>
      </c>
      <c r="CF163" s="578">
        <v>3.1580609505763463E-4</v>
      </c>
      <c r="CG163" s="578">
        <v>4.5397154165898227E-4</v>
      </c>
      <c r="CH163" s="578">
        <v>9.1421429646002341E-4</v>
      </c>
      <c r="CI163" s="578">
        <v>3.9794065709951006E-4</v>
      </c>
      <c r="CJ163" s="578">
        <v>1.3018008244738556E-3</v>
      </c>
      <c r="CK163" s="578">
        <v>7.1358689622479749E-4</v>
      </c>
      <c r="CL163" s="578">
        <v>4.9006384317957022E-4</v>
      </c>
      <c r="CM163" s="578">
        <v>1.3058859842818814E-3</v>
      </c>
      <c r="CN163" s="578">
        <v>1.2181590119644925E-3</v>
      </c>
      <c r="CO163" s="578">
        <v>1.1957635804578067E-3</v>
      </c>
      <c r="CP163" s="578">
        <v>1.3501792787717838E-3</v>
      </c>
      <c r="CQ163" s="578">
        <v>3.1853220360578453E-4</v>
      </c>
      <c r="CR163" s="578">
        <v>2.7581001045174779E-4</v>
      </c>
      <c r="CS163" s="578">
        <v>6.7804271669115153E-4</v>
      </c>
      <c r="CT163" s="578">
        <v>3.0328657665276604E-3</v>
      </c>
      <c r="CU163" s="578">
        <v>1.080244425455073E-3</v>
      </c>
      <c r="CV163" s="578">
        <v>8.9212145242328683E-4</v>
      </c>
      <c r="CW163" s="578">
        <v>7.4120308964656313E-4</v>
      </c>
      <c r="CX163" s="578">
        <v>1.0208306563298639E-3</v>
      </c>
      <c r="CY163" s="578">
        <v>1.4195439142778642E-3</v>
      </c>
      <c r="CZ163" s="578">
        <v>6.7567567567567571E-4</v>
      </c>
      <c r="DA163" s="578">
        <v>1.3492964382857511E-3</v>
      </c>
      <c r="DB163" s="578">
        <v>1.2454648833053555E-3</v>
      </c>
      <c r="DC163" s="578">
        <v>0</v>
      </c>
      <c r="DD163" s="578">
        <v>1.9323671497584541E-3</v>
      </c>
      <c r="DE163" s="578">
        <v>2.8167990259327238E-4</v>
      </c>
      <c r="DF163" s="578">
        <v>5.2919562265356661E-4</v>
      </c>
      <c r="DG163" s="578">
        <v>6.8674258744485833E-4</v>
      </c>
      <c r="DH163" s="578">
        <v>6.3433807954146415E-4</v>
      </c>
      <c r="DI163" s="578">
        <v>3.5766326665783547E-3</v>
      </c>
      <c r="DJ163" s="578">
        <v>9.6907651977288817E-4</v>
      </c>
      <c r="DK163" s="578">
        <v>6.1364959641667296E-4</v>
      </c>
      <c r="DL163" s="578">
        <v>7.6008181611575464E-4</v>
      </c>
      <c r="DM163" s="578">
        <v>1.2724804886325076E-3</v>
      </c>
      <c r="DN163" s="578">
        <v>3.0535611124865889E-4</v>
      </c>
      <c r="DO163" s="578">
        <v>0</v>
      </c>
      <c r="DP163" s="578">
        <v>2.1910604732690623E-4</v>
      </c>
      <c r="DQ163" s="578">
        <v>1.2607458887864534E-4</v>
      </c>
      <c r="DR163" s="578">
        <v>4.3349372601195776E-4</v>
      </c>
      <c r="DS163" s="578">
        <v>5.5443742228261563E-4</v>
      </c>
      <c r="DT163" s="578">
        <v>2.4783328109396525E-4</v>
      </c>
      <c r="DU163" s="578">
        <v>3.9813989043190214E-4</v>
      </c>
      <c r="DV163" s="578">
        <v>4.3076689176348366E-4</v>
      </c>
      <c r="DW163" s="578">
        <v>1.5003624471080093E-3</v>
      </c>
      <c r="DX163" s="578">
        <v>1.1032318564327612E-3</v>
      </c>
      <c r="DY163" s="578">
        <v>2.3715040078417732E-4</v>
      </c>
      <c r="DZ163" s="578">
        <v>5.3891741595835519E-4</v>
      </c>
      <c r="EA163" s="578">
        <v>4.8524995937701028E-4</v>
      </c>
      <c r="EB163" s="578">
        <v>1.448059806670037E-2</v>
      </c>
      <c r="EC163" s="578">
        <v>4.544523176762379E-3</v>
      </c>
      <c r="ED163" s="578">
        <v>4.0750422881746882E-3</v>
      </c>
      <c r="EE163" s="578">
        <v>3.0143702082737405E-4</v>
      </c>
      <c r="EF163" s="578">
        <v>7.5366409031140758E-4</v>
      </c>
      <c r="EG163" s="578">
        <v>5.5509297807382742E-4</v>
      </c>
      <c r="EH163" s="578">
        <v>1.6613418530351438E-3</v>
      </c>
      <c r="EI163" s="578">
        <v>3.4000989119683483E-3</v>
      </c>
      <c r="EJ163" s="578">
        <v>1.3262609005129072E-2</v>
      </c>
      <c r="EK163" s="578">
        <v>1.1411409029409831E-2</v>
      </c>
      <c r="EL163" s="578">
        <v>1.5048789949568799E-2</v>
      </c>
      <c r="EM163" s="578">
        <v>7.7164219867560157E-3</v>
      </c>
      <c r="EN163" s="578">
        <v>4.6655666274763585E-3</v>
      </c>
      <c r="EO163" s="578">
        <v>4.4950194317996033E-3</v>
      </c>
      <c r="EP163" s="578">
        <v>0</v>
      </c>
      <c r="EQ163" s="578">
        <v>2.6403289056700979E-3</v>
      </c>
      <c r="ER163" s="578">
        <v>6.372549019607843E-3</v>
      </c>
      <c r="ES163" s="578">
        <v>2.8713147491682034E-3</v>
      </c>
      <c r="ET163" s="578">
        <v>2.2698031379730249E-3</v>
      </c>
      <c r="EU163" s="578">
        <v>1.5723454935874118E-3</v>
      </c>
      <c r="EV163" s="578">
        <v>2.2897019992455678E-2</v>
      </c>
      <c r="EW163" s="578">
        <v>1.3339555866682224E-2</v>
      </c>
      <c r="EX163" s="578">
        <v>2.1393054003006591E-3</v>
      </c>
      <c r="EY163" s="578">
        <v>3.0931406512916954E-3</v>
      </c>
      <c r="EZ163" s="578">
        <v>1.321003963011889E-3</v>
      </c>
      <c r="FA163" s="578">
        <v>8.7359133397396703E-4</v>
      </c>
      <c r="FB163" s="578">
        <v>1.7977785797886514E-3</v>
      </c>
      <c r="FC163" s="578">
        <v>3.14015939015939E-3</v>
      </c>
      <c r="FD163" s="578">
        <v>0.20405451950991488</v>
      </c>
      <c r="FE163" s="578">
        <v>3.4796843519140364E-2</v>
      </c>
      <c r="FF163" s="578">
        <v>3.7730554544351414E-3</v>
      </c>
      <c r="FG163" s="578">
        <v>3.3350730688935279E-2</v>
      </c>
      <c r="FH163" s="578">
        <v>1.1087628027962933E-2</v>
      </c>
      <c r="FI163" s="578">
        <v>1.0446823378804516E-2</v>
      </c>
      <c r="FJ163" s="578">
        <v>6.0562570121933858E-3</v>
      </c>
      <c r="FK163" s="578">
        <v>2.8064837910308436E-4</v>
      </c>
      <c r="FL163" s="578">
        <v>3.4108729743857814E-3</v>
      </c>
      <c r="FM163" s="578">
        <v>3.2041385819065208E-3</v>
      </c>
      <c r="FN163" s="578">
        <v>1.9649443910091796E-2</v>
      </c>
      <c r="FO163" s="578">
        <v>1.7443590557387827E-3</v>
      </c>
      <c r="FP163" s="578">
        <v>4.3802981123751304E-3</v>
      </c>
      <c r="FQ163" s="578">
        <v>6.9183545114016483E-3</v>
      </c>
      <c r="FR163" s="578">
        <v>2.0614417018216796E-3</v>
      </c>
      <c r="FS163" s="578">
        <v>1.2860907103212424E-2</v>
      </c>
      <c r="FT163" s="578">
        <v>7.1075417762628853E-4</v>
      </c>
      <c r="FU163" s="578">
        <v>2.6761819803746653E-3</v>
      </c>
      <c r="FV163" s="578">
        <v>6.1580997863516403E-3</v>
      </c>
      <c r="FW163" s="578">
        <v>2.4249674650198443E-3</v>
      </c>
      <c r="FX163" s="578">
        <v>2.360050676622605E-3</v>
      </c>
      <c r="FY163" s="578">
        <v>3.4684567688013832E-3</v>
      </c>
      <c r="FZ163" s="578">
        <v>5.6955254392917626E-3</v>
      </c>
      <c r="GA163" s="578">
        <v>6.258505179480729E-3</v>
      </c>
      <c r="GB163" s="578">
        <v>5.7447681575707836E-3</v>
      </c>
      <c r="GC163" s="578">
        <v>2.1689984432788317E-3</v>
      </c>
      <c r="GD163" s="578">
        <v>3.5231963350697416E-3</v>
      </c>
      <c r="GE163" s="578">
        <v>0</v>
      </c>
      <c r="GF163" s="578">
        <v>4.9392347290771112E-2</v>
      </c>
      <c r="GG163" s="579">
        <v>5.7842212491772032E-3</v>
      </c>
      <c r="GH163" s="572"/>
    </row>
    <row r="164" spans="1:190">
      <c r="A164" s="572" t="s">
        <v>9366</v>
      </c>
      <c r="B164" s="577" t="s">
        <v>9480</v>
      </c>
      <c r="C164" s="573" t="s">
        <v>9112</v>
      </c>
      <c r="D164" s="578">
        <v>4.4630902436847273E-5</v>
      </c>
      <c r="E164" s="578">
        <v>0</v>
      </c>
      <c r="F164" s="578">
        <v>1.178439275024158E-4</v>
      </c>
      <c r="G164" s="578">
        <v>2.7964205816554809E-4</v>
      </c>
      <c r="H164" s="578">
        <v>0</v>
      </c>
      <c r="I164" s="578">
        <v>0</v>
      </c>
      <c r="J164" s="578">
        <v>3.2211824960943159E-5</v>
      </c>
      <c r="K164" s="578">
        <v>1.4209086710951653E-4</v>
      </c>
      <c r="L164" s="578">
        <v>0</v>
      </c>
      <c r="M164" s="578">
        <v>0</v>
      </c>
      <c r="N164" s="578">
        <v>0</v>
      </c>
      <c r="O164" s="578">
        <v>0</v>
      </c>
      <c r="P164" s="578">
        <v>0</v>
      </c>
      <c r="Q164" s="578">
        <v>0</v>
      </c>
      <c r="R164" s="578">
        <v>0</v>
      </c>
      <c r="S164" s="578">
        <v>0</v>
      </c>
      <c r="T164" s="578">
        <v>1.9682262672916877E-5</v>
      </c>
      <c r="U164" s="578">
        <v>9.5635209058567009E-6</v>
      </c>
      <c r="V164" s="578">
        <v>0</v>
      </c>
      <c r="W164" s="578">
        <v>3.370221944434232E-5</v>
      </c>
      <c r="X164" s="578">
        <v>2.559115569659126E-5</v>
      </c>
      <c r="Y164" s="578">
        <v>3.7887685744379361E-6</v>
      </c>
      <c r="Z164" s="578">
        <v>1.8789071202527397E-5</v>
      </c>
      <c r="AA164" s="578">
        <v>1.4281225900431293E-5</v>
      </c>
      <c r="AB164" s="578">
        <v>8.2588658925356376E-6</v>
      </c>
      <c r="AC164" s="578">
        <v>0</v>
      </c>
      <c r="AD164" s="578">
        <v>0</v>
      </c>
      <c r="AE164" s="578">
        <v>0</v>
      </c>
      <c r="AF164" s="578">
        <v>0</v>
      </c>
      <c r="AG164" s="578">
        <v>0</v>
      </c>
      <c r="AH164" s="578">
        <v>0</v>
      </c>
      <c r="AI164" s="578">
        <v>0</v>
      </c>
      <c r="AJ164" s="578">
        <v>0</v>
      </c>
      <c r="AK164" s="578">
        <v>0</v>
      </c>
      <c r="AL164" s="578">
        <v>0</v>
      </c>
      <c r="AM164" s="578">
        <v>0</v>
      </c>
      <c r="AN164" s="578">
        <v>0</v>
      </c>
      <c r="AO164" s="578">
        <v>0</v>
      </c>
      <c r="AP164" s="578">
        <v>0</v>
      </c>
      <c r="AQ164" s="578">
        <v>0</v>
      </c>
      <c r="AR164" s="578">
        <v>1.180651483488589E-5</v>
      </c>
      <c r="AS164" s="578">
        <v>2.3561288802497498E-5</v>
      </c>
      <c r="AT164" s="578">
        <v>2.0723241114910371E-5</v>
      </c>
      <c r="AU164" s="578">
        <v>3.2721977716333175E-5</v>
      </c>
      <c r="AV164" s="578">
        <v>0</v>
      </c>
      <c r="AW164" s="578">
        <v>5.3639435713136299E-5</v>
      </c>
      <c r="AX164" s="578">
        <v>0</v>
      </c>
      <c r="AY164" s="578">
        <v>0</v>
      </c>
      <c r="AZ164" s="578">
        <v>0</v>
      </c>
      <c r="BA164" s="578">
        <v>0</v>
      </c>
      <c r="BB164" s="578">
        <v>0</v>
      </c>
      <c r="BC164" s="578">
        <v>0</v>
      </c>
      <c r="BD164" s="578">
        <v>1.2419428954656666E-5</v>
      </c>
      <c r="BE164" s="578">
        <v>3.5102252862588722E-6</v>
      </c>
      <c r="BF164" s="578">
        <v>0</v>
      </c>
      <c r="BG164" s="578">
        <v>7.4211502782931357E-6</v>
      </c>
      <c r="BH164" s="578">
        <v>0</v>
      </c>
      <c r="BI164" s="578">
        <v>0</v>
      </c>
      <c r="BJ164" s="578">
        <v>0</v>
      </c>
      <c r="BK164" s="578">
        <v>2.7560357182229083E-5</v>
      </c>
      <c r="BL164" s="578">
        <v>0</v>
      </c>
      <c r="BM164" s="578">
        <v>0</v>
      </c>
      <c r="BN164" s="578">
        <v>0</v>
      </c>
      <c r="BO164" s="578">
        <v>1.9316019740972176E-5</v>
      </c>
      <c r="BP164" s="578">
        <v>0</v>
      </c>
      <c r="BQ164" s="578">
        <v>0</v>
      </c>
      <c r="BR164" s="578">
        <v>0</v>
      </c>
      <c r="BS164" s="578">
        <v>2.0231243108732814E-5</v>
      </c>
      <c r="BT164" s="578">
        <v>0</v>
      </c>
      <c r="BU164" s="578">
        <v>2.9005685114282398E-5</v>
      </c>
      <c r="BV164" s="578">
        <v>0</v>
      </c>
      <c r="BW164" s="578">
        <v>1.352162953664756E-5</v>
      </c>
      <c r="BX164" s="578">
        <v>0</v>
      </c>
      <c r="BY164" s="578">
        <v>0</v>
      </c>
      <c r="BZ164" s="578">
        <v>2.2074933361294915E-5</v>
      </c>
      <c r="CA164" s="578">
        <v>7.8400135475434102E-6</v>
      </c>
      <c r="CB164" s="578">
        <v>6.2050136510300319E-6</v>
      </c>
      <c r="CC164" s="578">
        <v>2.182453077258839E-5</v>
      </c>
      <c r="CD164" s="578">
        <v>1.6265584463113721E-5</v>
      </c>
      <c r="CE164" s="578">
        <v>0</v>
      </c>
      <c r="CF164" s="578">
        <v>0</v>
      </c>
      <c r="CG164" s="578">
        <v>1.4186610676843196E-5</v>
      </c>
      <c r="CH164" s="578">
        <v>2.3144665733165149E-5</v>
      </c>
      <c r="CI164" s="578">
        <v>2.4871291068719379E-5</v>
      </c>
      <c r="CJ164" s="578">
        <v>0</v>
      </c>
      <c r="CK164" s="578">
        <v>0</v>
      </c>
      <c r="CL164" s="578">
        <v>1.1989329496747894E-5</v>
      </c>
      <c r="CM164" s="578">
        <v>1.4246028919438706E-5</v>
      </c>
      <c r="CN164" s="578">
        <v>2.4121960632960248E-5</v>
      </c>
      <c r="CO164" s="578">
        <v>0</v>
      </c>
      <c r="CP164" s="578">
        <v>1.7883169255255415E-5</v>
      </c>
      <c r="CQ164" s="578">
        <v>0</v>
      </c>
      <c r="CR164" s="578">
        <v>1.4516316339565672E-5</v>
      </c>
      <c r="CS164" s="578">
        <v>0</v>
      </c>
      <c r="CT164" s="578">
        <v>0</v>
      </c>
      <c r="CU164" s="578">
        <v>8.0615255630975599E-6</v>
      </c>
      <c r="CV164" s="578">
        <v>1.8585863592151809E-5</v>
      </c>
      <c r="CW164" s="578">
        <v>3.901068892876648E-5</v>
      </c>
      <c r="CX164" s="578">
        <v>7.1386759183906567E-6</v>
      </c>
      <c r="CY164" s="578">
        <v>9.1583478340507378E-6</v>
      </c>
      <c r="CZ164" s="578">
        <v>1.7780938833570414E-5</v>
      </c>
      <c r="DA164" s="578">
        <v>0</v>
      </c>
      <c r="DB164" s="578">
        <v>0</v>
      </c>
      <c r="DC164" s="578">
        <v>0</v>
      </c>
      <c r="DD164" s="578">
        <v>0</v>
      </c>
      <c r="DE164" s="578">
        <v>2.7259345412252167E-5</v>
      </c>
      <c r="DF164" s="578">
        <v>0</v>
      </c>
      <c r="DG164" s="578">
        <v>2.5151400495591945E-5</v>
      </c>
      <c r="DH164" s="578">
        <v>3.3982397118292725E-5</v>
      </c>
      <c r="DI164" s="578">
        <v>0</v>
      </c>
      <c r="DJ164" s="578">
        <v>0</v>
      </c>
      <c r="DK164" s="578">
        <v>1.9327546343832218E-5</v>
      </c>
      <c r="DL164" s="578">
        <v>0</v>
      </c>
      <c r="DM164" s="578">
        <v>0</v>
      </c>
      <c r="DN164" s="578">
        <v>6.602294297268301E-5</v>
      </c>
      <c r="DO164" s="578">
        <v>0</v>
      </c>
      <c r="DP164" s="578">
        <v>2.1910604732690622E-5</v>
      </c>
      <c r="DQ164" s="578">
        <v>1.5759323609830667E-5</v>
      </c>
      <c r="DR164" s="578">
        <v>0</v>
      </c>
      <c r="DS164" s="578">
        <v>1.9229043547373954E-5</v>
      </c>
      <c r="DT164" s="578">
        <v>7.289214149822508E-6</v>
      </c>
      <c r="DU164" s="578">
        <v>7.9627978086380427E-6</v>
      </c>
      <c r="DV164" s="578">
        <v>1.2669614463631872E-5</v>
      </c>
      <c r="DW164" s="578">
        <v>1.6858005023685498E-5</v>
      </c>
      <c r="DX164" s="578">
        <v>6.129065869070895E-6</v>
      </c>
      <c r="DY164" s="578">
        <v>4.7430080156835466E-5</v>
      </c>
      <c r="DZ164" s="578">
        <v>7.9153495468883416E-5</v>
      </c>
      <c r="EA164" s="578">
        <v>1.0239219326303886E-4</v>
      </c>
      <c r="EB164" s="578">
        <v>8.4256323054061923E-5</v>
      </c>
      <c r="EC164" s="578">
        <v>6.1164511127353684E-5</v>
      </c>
      <c r="ED164" s="578">
        <v>9.0455988638727823E-5</v>
      </c>
      <c r="EE164" s="578">
        <v>2.5654214538499923E-6</v>
      </c>
      <c r="EF164" s="578">
        <v>3.2070812353676919E-6</v>
      </c>
      <c r="EG164" s="578">
        <v>0</v>
      </c>
      <c r="EH164" s="578">
        <v>1.0649627263045793E-5</v>
      </c>
      <c r="EI164" s="578">
        <v>2.079399334592213E-4</v>
      </c>
      <c r="EJ164" s="578">
        <v>1.0155687589480146E-4</v>
      </c>
      <c r="EK164" s="578">
        <v>4.3683016541755523E-4</v>
      </c>
      <c r="EL164" s="578">
        <v>5.8189848109575958E-5</v>
      </c>
      <c r="EM164" s="578">
        <v>2.3748926350621232E-5</v>
      </c>
      <c r="EN164" s="578">
        <v>9.3175804107189445E-5</v>
      </c>
      <c r="EO164" s="578">
        <v>8.6669962751613735E-5</v>
      </c>
      <c r="EP164" s="578">
        <v>0</v>
      </c>
      <c r="EQ164" s="578">
        <v>5.4230118730066192E-5</v>
      </c>
      <c r="ER164" s="578">
        <v>0</v>
      </c>
      <c r="ES164" s="578">
        <v>8.1648760639854123E-5</v>
      </c>
      <c r="ET164" s="578">
        <v>1.1925410532257572E-5</v>
      </c>
      <c r="EU164" s="578">
        <v>4.6935686375743639E-5</v>
      </c>
      <c r="EV164" s="578">
        <v>3.7721614485099963E-5</v>
      </c>
      <c r="EW164" s="578">
        <v>4.8613541788200522E-5</v>
      </c>
      <c r="EX164" s="578">
        <v>1.9273021624330263E-5</v>
      </c>
      <c r="EY164" s="578">
        <v>2.4745125210333564E-5</v>
      </c>
      <c r="EZ164" s="578">
        <v>1.7381631092261696E-5</v>
      </c>
      <c r="FA164" s="578">
        <v>0</v>
      </c>
      <c r="FB164" s="578">
        <v>4.1149903702479448E-4</v>
      </c>
      <c r="FC164" s="578">
        <v>8.6625086625086625E-5</v>
      </c>
      <c r="FD164" s="578">
        <v>1.4761600157457068E-5</v>
      </c>
      <c r="FE164" s="578">
        <v>2.159586971121558E-2</v>
      </c>
      <c r="FF164" s="578">
        <v>1.8960077660478097E-5</v>
      </c>
      <c r="FG164" s="578">
        <v>1.8267223382045928E-3</v>
      </c>
      <c r="FH164" s="578">
        <v>6.1778572589822796E-4</v>
      </c>
      <c r="FI164" s="578">
        <v>8.8084514155181428E-6</v>
      </c>
      <c r="FJ164" s="578">
        <v>6.8342189342035573E-6</v>
      </c>
      <c r="FK164" s="578">
        <v>8.9482091887939946E-5</v>
      </c>
      <c r="FL164" s="578">
        <v>1.1761630946157867E-4</v>
      </c>
      <c r="FM164" s="578">
        <v>1.2233983676370353E-4</v>
      </c>
      <c r="FN164" s="578">
        <v>0</v>
      </c>
      <c r="FO164" s="578">
        <v>9.6056104687290347E-5</v>
      </c>
      <c r="FP164" s="578">
        <v>1.1029527621088457E-4</v>
      </c>
      <c r="FQ164" s="578">
        <v>1.9480483338620892E-4</v>
      </c>
      <c r="FR164" s="578">
        <v>1.9143626223032585E-4</v>
      </c>
      <c r="FS164" s="578">
        <v>3.3077311207041542E-4</v>
      </c>
      <c r="FT164" s="578">
        <v>1.6082758763806529E-4</v>
      </c>
      <c r="FU164" s="578">
        <v>3.4310025389418786E-5</v>
      </c>
      <c r="FV164" s="578">
        <v>0.29965229776716518</v>
      </c>
      <c r="FW164" s="578">
        <v>8.8915473717394289E-5</v>
      </c>
      <c r="FX164" s="578">
        <v>1.8218918524996356E-4</v>
      </c>
      <c r="FY164" s="578">
        <v>4.73052518647641E-5</v>
      </c>
      <c r="FZ164" s="578">
        <v>5.9770533127168307E-4</v>
      </c>
      <c r="GA164" s="578">
        <v>3.348978234908769E-4</v>
      </c>
      <c r="GB164" s="578">
        <v>7.5936590588579326E-4</v>
      </c>
      <c r="GC164" s="578">
        <v>1.8095644155354822E-4</v>
      </c>
      <c r="GD164" s="578">
        <v>1.0075871310971616E-4</v>
      </c>
      <c r="GE164" s="578">
        <v>0</v>
      </c>
      <c r="GF164" s="578">
        <v>1.7513134851138354E-4</v>
      </c>
      <c r="GG164" s="579">
        <v>4.7645483515155535E-4</v>
      </c>
      <c r="GH164" s="572"/>
    </row>
    <row r="165" spans="1:190">
      <c r="A165" s="572" t="s">
        <v>9367</v>
      </c>
      <c r="B165" s="577" t="s">
        <v>9481</v>
      </c>
      <c r="C165" s="573" t="s">
        <v>7357</v>
      </c>
      <c r="D165" s="578">
        <v>6.9177898777113278E-4</v>
      </c>
      <c r="E165" s="578">
        <v>8.5543199315654401E-4</v>
      </c>
      <c r="F165" s="578">
        <v>3.0168045440618443E-3</v>
      </c>
      <c r="G165" s="578">
        <v>4.1946308724832215E-3</v>
      </c>
      <c r="H165" s="578">
        <v>0</v>
      </c>
      <c r="I165" s="578">
        <v>9.773578758755497E-4</v>
      </c>
      <c r="J165" s="578">
        <v>2.4319927845512087E-3</v>
      </c>
      <c r="K165" s="578">
        <v>2.7707719086355726E-3</v>
      </c>
      <c r="L165" s="578">
        <v>0</v>
      </c>
      <c r="M165" s="578">
        <v>0</v>
      </c>
      <c r="N165" s="578">
        <v>0</v>
      </c>
      <c r="O165" s="578">
        <v>1.4671104493299465E-3</v>
      </c>
      <c r="P165" s="578">
        <v>0</v>
      </c>
      <c r="Q165" s="578">
        <v>0</v>
      </c>
      <c r="R165" s="578">
        <v>3.956814199310384E-4</v>
      </c>
      <c r="S165" s="578">
        <v>5.6022408963585435E-3</v>
      </c>
      <c r="T165" s="578">
        <v>2.1978526651423849E-3</v>
      </c>
      <c r="U165" s="578">
        <v>3.1655254198385678E-3</v>
      </c>
      <c r="V165" s="578">
        <v>1.0817989196932167E-3</v>
      </c>
      <c r="W165" s="578">
        <v>2.7237520987291198E-3</v>
      </c>
      <c r="X165" s="578">
        <v>1.8169720544579794E-3</v>
      </c>
      <c r="Y165" s="578">
        <v>1.2919700838833362E-3</v>
      </c>
      <c r="Z165" s="578">
        <v>2.9149901894206793E-3</v>
      </c>
      <c r="AA165" s="578">
        <v>3.8987746708177432E-3</v>
      </c>
      <c r="AB165" s="578">
        <v>2.6923902809666178E-3</v>
      </c>
      <c r="AC165" s="578">
        <v>2.5567936425671591E-3</v>
      </c>
      <c r="AD165" s="578">
        <v>0</v>
      </c>
      <c r="AE165" s="578">
        <v>4.5065344749887338E-4</v>
      </c>
      <c r="AF165" s="578">
        <v>1.1378290222255935E-3</v>
      </c>
      <c r="AG165" s="578">
        <v>0</v>
      </c>
      <c r="AH165" s="578">
        <v>1.5426147319706903E-3</v>
      </c>
      <c r="AI165" s="578">
        <v>2.4056130972268629E-3</v>
      </c>
      <c r="AJ165" s="578">
        <v>1.2135221034383127E-3</v>
      </c>
      <c r="AK165" s="578">
        <v>2.7438263906211027E-3</v>
      </c>
      <c r="AL165" s="578">
        <v>3.8783880171184022E-3</v>
      </c>
      <c r="AM165" s="578">
        <v>8.6098036964757201E-4</v>
      </c>
      <c r="AN165" s="578">
        <v>3.1487232574189095E-3</v>
      </c>
      <c r="AO165" s="578">
        <v>4.534119247336205E-3</v>
      </c>
      <c r="AP165" s="578">
        <v>1.8265565438373571E-3</v>
      </c>
      <c r="AQ165" s="578">
        <v>3.5587188612099642E-3</v>
      </c>
      <c r="AR165" s="578">
        <v>4.6517668449450409E-3</v>
      </c>
      <c r="AS165" s="578">
        <v>3.3339223655533957E-3</v>
      </c>
      <c r="AT165" s="578">
        <v>1.9272614236866645E-3</v>
      </c>
      <c r="AU165" s="578">
        <v>3.6894029875165655E-3</v>
      </c>
      <c r="AV165" s="578">
        <v>6.530465520340303E-3</v>
      </c>
      <c r="AW165" s="578">
        <v>4.3984337284771764E-3</v>
      </c>
      <c r="AX165" s="578">
        <v>2.9515355665521896E-3</v>
      </c>
      <c r="AY165" s="578">
        <v>1.4272121788772598E-3</v>
      </c>
      <c r="AZ165" s="578">
        <v>3.0347898817731762E-3</v>
      </c>
      <c r="BA165" s="578">
        <v>8.3298625572678054E-4</v>
      </c>
      <c r="BB165" s="578">
        <v>6.268371285901477E-3</v>
      </c>
      <c r="BC165" s="578">
        <v>4.1143418588228068E-3</v>
      </c>
      <c r="BD165" s="578">
        <v>2.2727554987021698E-3</v>
      </c>
      <c r="BE165" s="578">
        <v>1.4483189531104106E-2</v>
      </c>
      <c r="BF165" s="578">
        <v>4.0882061446977204E-3</v>
      </c>
      <c r="BG165" s="578">
        <v>5.3951762523191098E-3</v>
      </c>
      <c r="BH165" s="578">
        <v>3.9850491947452313E-3</v>
      </c>
      <c r="BI165" s="578">
        <v>4.9335863377609106E-3</v>
      </c>
      <c r="BJ165" s="578">
        <v>5.1958548624541755E-3</v>
      </c>
      <c r="BK165" s="578">
        <v>3.5828464336897805E-4</v>
      </c>
      <c r="BL165" s="578">
        <v>4.3131882072360077E-4</v>
      </c>
      <c r="BM165" s="578">
        <v>3.700675785534846E-3</v>
      </c>
      <c r="BN165" s="578">
        <v>5.9259259259259256E-3</v>
      </c>
      <c r="BO165" s="578">
        <v>6.0362561690538051E-3</v>
      </c>
      <c r="BP165" s="578">
        <v>2.106333527019175E-3</v>
      </c>
      <c r="BQ165" s="578">
        <v>1.2240583096867522E-3</v>
      </c>
      <c r="BR165" s="578">
        <v>4.5128183243894893E-3</v>
      </c>
      <c r="BS165" s="578">
        <v>2.9335302507662582E-3</v>
      </c>
      <c r="BT165" s="578">
        <v>8.5594609360772171E-3</v>
      </c>
      <c r="BU165" s="578">
        <v>4.8149437289708779E-3</v>
      </c>
      <c r="BV165" s="578">
        <v>6.6365718905807844E-3</v>
      </c>
      <c r="BW165" s="578">
        <v>1.4603359899579365E-3</v>
      </c>
      <c r="BX165" s="578">
        <v>0</v>
      </c>
      <c r="BY165" s="578">
        <v>8.3330413849364634E-4</v>
      </c>
      <c r="BZ165" s="578">
        <v>2.2074933361294915E-3</v>
      </c>
      <c r="CA165" s="578">
        <v>2.5527084110801342E-3</v>
      </c>
      <c r="CB165" s="578">
        <v>3.1645569620253164E-3</v>
      </c>
      <c r="CC165" s="578">
        <v>4.1357485814055E-3</v>
      </c>
      <c r="CD165" s="578">
        <v>1.9437373433420896E-3</v>
      </c>
      <c r="CE165" s="578">
        <v>0</v>
      </c>
      <c r="CF165" s="578">
        <v>2.2106426654034425E-3</v>
      </c>
      <c r="CG165" s="578">
        <v>2.7522024713075798E-3</v>
      </c>
      <c r="CH165" s="578">
        <v>4.073461169037066E-3</v>
      </c>
      <c r="CI165" s="578">
        <v>3.1586539657273609E-3</v>
      </c>
      <c r="CJ165" s="578">
        <v>4.4261228032111088E-4</v>
      </c>
      <c r="CK165" s="578">
        <v>3.1317135162939875E-3</v>
      </c>
      <c r="CL165" s="578">
        <v>4.5304678835836106E-3</v>
      </c>
      <c r="CM165" s="578">
        <v>5.5464539259681362E-3</v>
      </c>
      <c r="CN165" s="578">
        <v>6.1872829023543029E-3</v>
      </c>
      <c r="CO165" s="578">
        <v>5.2955244277417147E-3</v>
      </c>
      <c r="CP165" s="578">
        <v>2.2801040800450654E-3</v>
      </c>
      <c r="CQ165" s="578">
        <v>4.905395935529082E-3</v>
      </c>
      <c r="CR165" s="578">
        <v>1.1287887585646266E-2</v>
      </c>
      <c r="CS165" s="578">
        <v>7.345462764154142E-4</v>
      </c>
      <c r="CT165" s="578">
        <v>1.3793706803534455E-2</v>
      </c>
      <c r="CU165" s="578">
        <v>9.0450316817954624E-3</v>
      </c>
      <c r="CV165" s="578">
        <v>6.5793957116217407E-3</v>
      </c>
      <c r="CW165" s="578">
        <v>1.197628150113131E-2</v>
      </c>
      <c r="CX165" s="578">
        <v>4.9827957910366788E-3</v>
      </c>
      <c r="CY165" s="578">
        <v>1.9232530451506548E-4</v>
      </c>
      <c r="CZ165" s="578">
        <v>5.4231863442389758E-3</v>
      </c>
      <c r="DA165" s="578">
        <v>4.5190721980681503E-3</v>
      </c>
      <c r="DB165" s="578">
        <v>4.2779011209183948E-3</v>
      </c>
      <c r="DC165" s="578">
        <v>2.9006526468455403E-3</v>
      </c>
      <c r="DD165" s="578">
        <v>1.2077294685990338E-2</v>
      </c>
      <c r="DE165" s="578">
        <v>2.780453232049721E-3</v>
      </c>
      <c r="DF165" s="578">
        <v>7.0892243789440054E-3</v>
      </c>
      <c r="DG165" s="578">
        <v>1.4942118972685579E-2</v>
      </c>
      <c r="DH165" s="578">
        <v>3.5115143688902481E-4</v>
      </c>
      <c r="DI165" s="578">
        <v>5.1331302159226388E-3</v>
      </c>
      <c r="DJ165" s="578">
        <v>2.1257563145274508E-2</v>
      </c>
      <c r="DK165" s="578">
        <v>5.3392346774836499E-3</v>
      </c>
      <c r="DL165" s="578">
        <v>5.1135072346657909E-3</v>
      </c>
      <c r="DM165" s="578">
        <v>6.1927383780115376E-3</v>
      </c>
      <c r="DN165" s="578">
        <v>3.1129817611620036E-2</v>
      </c>
      <c r="DO165" s="578">
        <v>0</v>
      </c>
      <c r="DP165" s="578">
        <v>9.421560035056968E-4</v>
      </c>
      <c r="DQ165" s="578">
        <v>2.5766494102073137E-3</v>
      </c>
      <c r="DR165" s="578">
        <v>1.8706921560977562E-3</v>
      </c>
      <c r="DS165" s="578">
        <v>2.3908110810568284E-3</v>
      </c>
      <c r="DT165" s="578">
        <v>1.377661474316454E-3</v>
      </c>
      <c r="DU165" s="578">
        <v>1.9827366543508727E-3</v>
      </c>
      <c r="DV165" s="578">
        <v>3.2307516882261272E-3</v>
      </c>
      <c r="DW165" s="578">
        <v>3.8267671403766079E-3</v>
      </c>
      <c r="DX165" s="578">
        <v>4.596799401803171E-3</v>
      </c>
      <c r="DY165" s="578">
        <v>6.3240106875780616E-5</v>
      </c>
      <c r="DZ165" s="578">
        <v>1.1502518596861143E-3</v>
      </c>
      <c r="EA165" s="578">
        <v>2.5375456591274848E-3</v>
      </c>
      <c r="EB165" s="578">
        <v>1.9761937589043614E-3</v>
      </c>
      <c r="EC165" s="578">
        <v>2.9603623385639185E-3</v>
      </c>
      <c r="ED165" s="578">
        <v>4.5680274262557552E-3</v>
      </c>
      <c r="EE165" s="578">
        <v>9.8896997045917201E-3</v>
      </c>
      <c r="EF165" s="578">
        <v>8.2550270998364393E-3</v>
      </c>
      <c r="EG165" s="578">
        <v>5.8284762697751874E-3</v>
      </c>
      <c r="EH165" s="578">
        <v>3.7726304579339724E-2</v>
      </c>
      <c r="EI165" s="578">
        <v>3.8890387555075984E-3</v>
      </c>
      <c r="EJ165" s="578">
        <v>1.3845886991462931E-2</v>
      </c>
      <c r="EK165" s="578">
        <v>2.0911190331039078E-2</v>
      </c>
      <c r="EL165" s="578">
        <v>3.4666228999433023E-2</v>
      </c>
      <c r="EM165" s="578">
        <v>4.4461948282754717E-2</v>
      </c>
      <c r="EN165" s="578">
        <v>3.6575738375894912E-3</v>
      </c>
      <c r="EO165" s="578">
        <v>2.6099477419520047E-3</v>
      </c>
      <c r="EP165" s="578">
        <v>0</v>
      </c>
      <c r="EQ165" s="578">
        <v>6.8465524896708571E-4</v>
      </c>
      <c r="ER165" s="578">
        <v>2.4509803921568627E-3</v>
      </c>
      <c r="ES165" s="578">
        <v>1.8507052411700267E-3</v>
      </c>
      <c r="ET165" s="578">
        <v>4.156668093299112E-3</v>
      </c>
      <c r="EU165" s="578">
        <v>1.1029886298299756E-3</v>
      </c>
      <c r="EV165" s="578">
        <v>1.4334213504337986E-3</v>
      </c>
      <c r="EW165" s="578">
        <v>8.2643021039940888E-3</v>
      </c>
      <c r="EX165" s="578">
        <v>5.8589985737964E-3</v>
      </c>
      <c r="EY165" s="578">
        <v>4.1819261605463721E-3</v>
      </c>
      <c r="EZ165" s="578">
        <v>9.3860807898213175E-3</v>
      </c>
      <c r="FA165" s="578">
        <v>8.73591333973967E-5</v>
      </c>
      <c r="FB165" s="578">
        <v>1.7566286760861718E-2</v>
      </c>
      <c r="FC165" s="578">
        <v>3.205128205128205E-3</v>
      </c>
      <c r="FD165" s="578">
        <v>1.9495153274614967E-2</v>
      </c>
      <c r="FE165" s="578">
        <v>4.8480523841504366E-3</v>
      </c>
      <c r="FF165" s="578">
        <v>2.6392428103385511E-2</v>
      </c>
      <c r="FG165" s="578">
        <v>6.8632567849686854E-2</v>
      </c>
      <c r="FH165" s="578">
        <v>2.6077060640546254E-2</v>
      </c>
      <c r="FI165" s="578">
        <v>2.1706960438308543E-2</v>
      </c>
      <c r="FJ165" s="578">
        <v>1.2990711157431929E-2</v>
      </c>
      <c r="FK165" s="578">
        <v>2.9518921903487461E-3</v>
      </c>
      <c r="FL165" s="578">
        <v>4.9660219550444332E-4</v>
      </c>
      <c r="FM165" s="578">
        <v>1.3801098728248268E-2</v>
      </c>
      <c r="FN165" s="578">
        <v>3.8320244287355143E-2</v>
      </c>
      <c r="FO165" s="578">
        <v>6.058466479142704E-3</v>
      </c>
      <c r="FP165" s="578">
        <v>1.5551633945734724E-2</v>
      </c>
      <c r="FQ165" s="578">
        <v>7.8979445307151563E-3</v>
      </c>
      <c r="FR165" s="578">
        <v>9.5251213402406027E-4</v>
      </c>
      <c r="FS165" s="578">
        <v>2.9707910523070022E-2</v>
      </c>
      <c r="FT165" s="578">
        <v>1.1984249272384865E-2</v>
      </c>
      <c r="FU165" s="578">
        <v>2.9163521581005969E-3</v>
      </c>
      <c r="FV165" s="578">
        <v>7.6662058564785727E-3</v>
      </c>
      <c r="FW165" s="578">
        <v>7.7598958880635018E-4</v>
      </c>
      <c r="FX165" s="578">
        <v>3.3522810085993295E-3</v>
      </c>
      <c r="FY165" s="578">
        <v>1.4012172623111918E-2</v>
      </c>
      <c r="FZ165" s="578">
        <v>1.3457032349718255E-2</v>
      </c>
      <c r="GA165" s="578">
        <v>1.8427548531595567E-3</v>
      </c>
      <c r="GB165" s="578">
        <v>2.7827694687740248E-4</v>
      </c>
      <c r="GC165" s="578">
        <v>1.2414107661646159E-2</v>
      </c>
      <c r="GD165" s="578">
        <v>6.5392404808205786E-3</v>
      </c>
      <c r="GE165" s="578">
        <v>0</v>
      </c>
      <c r="GF165" s="578">
        <v>4.0704771002494297E-3</v>
      </c>
      <c r="GG165" s="579">
        <v>8.2738402218643942E-3</v>
      </c>
      <c r="GH165" s="572"/>
    </row>
    <row r="166" spans="1:190">
      <c r="A166" s="572" t="s">
        <v>9368</v>
      </c>
      <c r="B166" s="577" t="s">
        <v>9482</v>
      </c>
      <c r="C166" s="573" t="s">
        <v>9113</v>
      </c>
      <c r="D166" s="578">
        <v>2.2315451218423637E-5</v>
      </c>
      <c r="E166" s="578">
        <v>0</v>
      </c>
      <c r="F166" s="578">
        <v>2.3568785500483158E-5</v>
      </c>
      <c r="G166" s="578">
        <v>0</v>
      </c>
      <c r="H166" s="578">
        <v>0</v>
      </c>
      <c r="I166" s="578">
        <v>3.2578595862518323E-4</v>
      </c>
      <c r="J166" s="578">
        <v>8.0529562402357907E-5</v>
      </c>
      <c r="K166" s="578">
        <v>6.7493161877020351E-4</v>
      </c>
      <c r="L166" s="578">
        <v>0</v>
      </c>
      <c r="M166" s="578">
        <v>0</v>
      </c>
      <c r="N166" s="578">
        <v>0</v>
      </c>
      <c r="O166" s="578">
        <v>8.7588683542086365E-5</v>
      </c>
      <c r="P166" s="578">
        <v>0</v>
      </c>
      <c r="Q166" s="578">
        <v>0</v>
      </c>
      <c r="R166" s="578">
        <v>3.3915550279803292E-4</v>
      </c>
      <c r="S166" s="578">
        <v>0</v>
      </c>
      <c r="T166" s="578">
        <v>7.184025875614661E-4</v>
      </c>
      <c r="U166" s="578">
        <v>8.6071688152710308E-5</v>
      </c>
      <c r="V166" s="578">
        <v>1.417529618908353E-4</v>
      </c>
      <c r="W166" s="578">
        <v>7.2306579898770787E-4</v>
      </c>
      <c r="X166" s="578">
        <v>3.5827617975227761E-4</v>
      </c>
      <c r="Y166" s="578">
        <v>1.4776197440307951E-4</v>
      </c>
      <c r="Z166" s="578">
        <v>1.7983825293847654E-4</v>
      </c>
      <c r="AA166" s="578">
        <v>2.7610370074167165E-4</v>
      </c>
      <c r="AB166" s="578">
        <v>1.8169504963578401E-4</v>
      </c>
      <c r="AC166" s="578">
        <v>1.7275632720048371E-4</v>
      </c>
      <c r="AD166" s="578">
        <v>0</v>
      </c>
      <c r="AE166" s="578">
        <v>0</v>
      </c>
      <c r="AF166" s="578">
        <v>1.517105362967458E-4</v>
      </c>
      <c r="AG166" s="578">
        <v>0</v>
      </c>
      <c r="AH166" s="578">
        <v>0</v>
      </c>
      <c r="AI166" s="578">
        <v>0</v>
      </c>
      <c r="AJ166" s="578">
        <v>1.1557353366079168E-4</v>
      </c>
      <c r="AK166" s="578">
        <v>3.7415814417560486E-4</v>
      </c>
      <c r="AL166" s="578">
        <v>1.3373751783166905E-4</v>
      </c>
      <c r="AM166" s="578">
        <v>1.721960739295144E-4</v>
      </c>
      <c r="AN166" s="578">
        <v>0</v>
      </c>
      <c r="AO166" s="578">
        <v>3.2386566052401462E-5</v>
      </c>
      <c r="AP166" s="578">
        <v>1.5088945362134688E-3</v>
      </c>
      <c r="AQ166" s="578">
        <v>1.7379789787304476E-3</v>
      </c>
      <c r="AR166" s="578">
        <v>1.4640078395258503E-3</v>
      </c>
      <c r="AS166" s="578">
        <v>4.4766448724745242E-4</v>
      </c>
      <c r="AT166" s="578">
        <v>8.2892964459641493E-4</v>
      </c>
      <c r="AU166" s="578">
        <v>9.8165933148999524E-5</v>
      </c>
      <c r="AV166" s="578">
        <v>6.5903780480498471E-4</v>
      </c>
      <c r="AW166" s="578">
        <v>1.2873464571152712E-3</v>
      </c>
      <c r="AX166" s="578">
        <v>2.0847277235870484E-4</v>
      </c>
      <c r="AY166" s="578">
        <v>4.7573739295908661E-4</v>
      </c>
      <c r="AZ166" s="578">
        <v>9.0422044894545285E-5</v>
      </c>
      <c r="BA166" s="578">
        <v>2.7766208524226016E-4</v>
      </c>
      <c r="BB166" s="578">
        <v>4.013646397752358E-4</v>
      </c>
      <c r="BC166" s="578">
        <v>2.3539766853961333E-4</v>
      </c>
      <c r="BD166" s="578">
        <v>4.3468001341298329E-4</v>
      </c>
      <c r="BE166" s="578">
        <v>2.6080973876903418E-3</v>
      </c>
      <c r="BF166" s="578">
        <v>8.5170961347869176E-4</v>
      </c>
      <c r="BG166" s="578">
        <v>3.2653061224489796E-4</v>
      </c>
      <c r="BH166" s="578">
        <v>3.297971747375364E-4</v>
      </c>
      <c r="BI166" s="578">
        <v>1.4638113309840065E-3</v>
      </c>
      <c r="BJ166" s="578">
        <v>6.2267784462744478E-4</v>
      </c>
      <c r="BK166" s="578">
        <v>8.2681071546687239E-5</v>
      </c>
      <c r="BL166" s="578">
        <v>1.2685847668341198E-5</v>
      </c>
      <c r="BM166" s="578">
        <v>3.778536538448327E-4</v>
      </c>
      <c r="BN166" s="578">
        <v>3.45679012345679E-4</v>
      </c>
      <c r="BO166" s="578">
        <v>5.7948059222916523E-5</v>
      </c>
      <c r="BP166" s="578">
        <v>2.178965717606043E-4</v>
      </c>
      <c r="BQ166" s="578">
        <v>5.5639014076670561E-5</v>
      </c>
      <c r="BR166" s="578">
        <v>1.0668601239691465E-4</v>
      </c>
      <c r="BS166" s="578">
        <v>2.5289053885916023E-4</v>
      </c>
      <c r="BT166" s="578">
        <v>0</v>
      </c>
      <c r="BU166" s="578">
        <v>3.7707390648567121E-4</v>
      </c>
      <c r="BV166" s="578">
        <v>3.7057000404258189E-4</v>
      </c>
      <c r="BW166" s="578">
        <v>1.994440356655515E-4</v>
      </c>
      <c r="BX166" s="578">
        <v>0</v>
      </c>
      <c r="BY166" s="578">
        <v>6.9692253024168324E-4</v>
      </c>
      <c r="BZ166" s="578">
        <v>3.0353033371780512E-4</v>
      </c>
      <c r="CA166" s="578">
        <v>1.7404830075546372E-4</v>
      </c>
      <c r="CB166" s="578">
        <v>5.3363117398858278E-4</v>
      </c>
      <c r="CC166" s="578">
        <v>2.8917503273679615E-4</v>
      </c>
      <c r="CD166" s="578">
        <v>1.6265584463113721E-4</v>
      </c>
      <c r="CE166" s="578">
        <v>0</v>
      </c>
      <c r="CF166" s="578">
        <v>7.1056371387967791E-4</v>
      </c>
      <c r="CG166" s="578">
        <v>2.3407907616791274E-4</v>
      </c>
      <c r="CH166" s="578">
        <v>1.2729566153240831E-4</v>
      </c>
      <c r="CI166" s="578">
        <v>1.7409903748103565E-4</v>
      </c>
      <c r="CJ166" s="578">
        <v>5.554350184421783E-4</v>
      </c>
      <c r="CK166" s="578">
        <v>1.3590930638345084E-3</v>
      </c>
      <c r="CL166" s="578">
        <v>1.9482660432215329E-5</v>
      </c>
      <c r="CM166" s="578">
        <v>7.0755276966545579E-4</v>
      </c>
      <c r="CN166" s="578">
        <v>1.0613662678502509E-3</v>
      </c>
      <c r="CO166" s="578">
        <v>1.7082336863682952E-4</v>
      </c>
      <c r="CP166" s="578">
        <v>8.941584627627708E-5</v>
      </c>
      <c r="CQ166" s="578">
        <v>3.1853220360578453E-4</v>
      </c>
      <c r="CR166" s="578">
        <v>1.8871211241435374E-4</v>
      </c>
      <c r="CS166" s="578">
        <v>0</v>
      </c>
      <c r="CT166" s="578">
        <v>2.9162170831996734E-4</v>
      </c>
      <c r="CU166" s="578">
        <v>9.6738306757170725E-5</v>
      </c>
      <c r="CV166" s="578">
        <v>1.1771046941696146E-4</v>
      </c>
      <c r="CW166" s="578">
        <v>1.1703206678629945E-4</v>
      </c>
      <c r="CX166" s="578">
        <v>1.5705087020459444E-4</v>
      </c>
      <c r="CY166" s="578">
        <v>4.5791739170253687E-5</v>
      </c>
      <c r="CZ166" s="578">
        <v>1.1913229018492176E-3</v>
      </c>
      <c r="DA166" s="578">
        <v>8.1386134372791335E-4</v>
      </c>
      <c r="DB166" s="578">
        <v>1.3537661775058212E-3</v>
      </c>
      <c r="DC166" s="578">
        <v>7.2516316171138508E-4</v>
      </c>
      <c r="DD166" s="578">
        <v>4.8309178743961351E-4</v>
      </c>
      <c r="DE166" s="578">
        <v>1.1494357315499663E-3</v>
      </c>
      <c r="DF166" s="578">
        <v>1.1282850067896796E-3</v>
      </c>
      <c r="DG166" s="578">
        <v>2.5370108325988396E-4</v>
      </c>
      <c r="DH166" s="578">
        <v>3.3982397118292725E-5</v>
      </c>
      <c r="DI166" s="578">
        <v>3.6428666048483245E-3</v>
      </c>
      <c r="DJ166" s="578">
        <v>1.5157350693883636E-3</v>
      </c>
      <c r="DK166" s="578">
        <v>1.1838122135597233E-4</v>
      </c>
      <c r="DL166" s="578">
        <v>4.0504027676068789E-3</v>
      </c>
      <c r="DM166" s="578">
        <v>3.1105078611016855E-4</v>
      </c>
      <c r="DN166" s="578">
        <v>1.1554015020219527E-4</v>
      </c>
      <c r="DO166" s="578">
        <v>0</v>
      </c>
      <c r="DP166" s="578">
        <v>2.8483786152497806E-4</v>
      </c>
      <c r="DQ166" s="578">
        <v>3.1518647219661334E-5</v>
      </c>
      <c r="DR166" s="578">
        <v>1.5005552054260076E-4</v>
      </c>
      <c r="DS166" s="578">
        <v>6.7301652415808837E-4</v>
      </c>
      <c r="DT166" s="578">
        <v>6.2687241688473561E-4</v>
      </c>
      <c r="DU166" s="578">
        <v>4.777678685182826E-5</v>
      </c>
      <c r="DV166" s="578">
        <v>1.0135691570905498E-4</v>
      </c>
      <c r="DW166" s="578">
        <v>3.3716010047370996E-5</v>
      </c>
      <c r="DX166" s="578">
        <v>2.0838823954841043E-4</v>
      </c>
      <c r="DY166" s="578">
        <v>4.7430080156835466E-5</v>
      </c>
      <c r="DZ166" s="578">
        <v>1.3136112013984906E-4</v>
      </c>
      <c r="EA166" s="578">
        <v>9.1262607038795513E-5</v>
      </c>
      <c r="EB166" s="578">
        <v>3.3702529221624769E-4</v>
      </c>
      <c r="EC166" s="578">
        <v>2.1407578894573791E-5</v>
      </c>
      <c r="ED166" s="578">
        <v>1.8091197727745564E-5</v>
      </c>
      <c r="EE166" s="578">
        <v>1.5392528723099954E-5</v>
      </c>
      <c r="EF166" s="578">
        <v>3.8484974824412299E-5</v>
      </c>
      <c r="EG166" s="578">
        <v>0</v>
      </c>
      <c r="EH166" s="578">
        <v>2.8221512247071352E-4</v>
      </c>
      <c r="EI166" s="578">
        <v>2.8661990828162933E-4</v>
      </c>
      <c r="EJ166" s="578">
        <v>2.5973395693449221E-3</v>
      </c>
      <c r="EK166" s="578">
        <v>7.4442432469795832E-3</v>
      </c>
      <c r="EL166" s="578">
        <v>3.7748798901853123E-3</v>
      </c>
      <c r="EM166" s="578">
        <v>2.3471855543197319E-3</v>
      </c>
      <c r="EN166" s="578">
        <v>1.7279876398060588E-4</v>
      </c>
      <c r="EO166" s="578">
        <v>1.1661049533853484E-3</v>
      </c>
      <c r="EP166" s="578">
        <v>0</v>
      </c>
      <c r="EQ166" s="578">
        <v>1.084602374601324E-3</v>
      </c>
      <c r="ER166" s="578">
        <v>0</v>
      </c>
      <c r="ES166" s="578">
        <v>8.5731198671846825E-4</v>
      </c>
      <c r="ET166" s="578">
        <v>1.070636856673791E-3</v>
      </c>
      <c r="EU166" s="578">
        <v>1.6427490231510274E-4</v>
      </c>
      <c r="EV166" s="578">
        <v>5.4696341003394942E-4</v>
      </c>
      <c r="EW166" s="578">
        <v>1.1083887527709719E-3</v>
      </c>
      <c r="EX166" s="578">
        <v>2.8909532436495396E-4</v>
      </c>
      <c r="EY166" s="578">
        <v>1.3609818865683461E-3</v>
      </c>
      <c r="EZ166" s="578">
        <v>7.908642146979073E-4</v>
      </c>
      <c r="FA166" s="578">
        <v>4.3679566698698352E-4</v>
      </c>
      <c r="FB166" s="578">
        <v>7.6565804430023243E-4</v>
      </c>
      <c r="FC166" s="578">
        <v>1.5809078309078309E-3</v>
      </c>
      <c r="FD166" s="578">
        <v>1.3686463612655611E-2</v>
      </c>
      <c r="FE166" s="578">
        <v>7.4504701141705843E-3</v>
      </c>
      <c r="FF166" s="578">
        <v>1.1250910083727703E-2</v>
      </c>
      <c r="FG166" s="578">
        <v>0.11586638830897704</v>
      </c>
      <c r="FH166" s="578">
        <v>6.356689969110714E-3</v>
      </c>
      <c r="FI166" s="578">
        <v>1.0893118250524102E-3</v>
      </c>
      <c r="FJ166" s="578">
        <v>3.0753985203916005E-4</v>
      </c>
      <c r="FK166" s="578">
        <v>6.4061043056138823E-5</v>
      </c>
      <c r="FL166" s="578">
        <v>5.0967067433350759E-4</v>
      </c>
      <c r="FM166" s="578">
        <v>5.3596499915527251E-4</v>
      </c>
      <c r="FN166" s="578">
        <v>1.5482738334251589E-3</v>
      </c>
      <c r="FO166" s="578">
        <v>4.3571841301451288E-5</v>
      </c>
      <c r="FP166" s="578">
        <v>4.72694040903791E-4</v>
      </c>
      <c r="FQ166" s="578">
        <v>6.0946083587971075E-4</v>
      </c>
      <c r="FR166" s="578">
        <v>4.4357182711904765E-5</v>
      </c>
      <c r="FS166" s="578">
        <v>5.4941974547289348E-4</v>
      </c>
      <c r="FT166" s="578">
        <v>6.1737041706225063E-4</v>
      </c>
      <c r="FU166" s="578">
        <v>1.0636107870719824E-3</v>
      </c>
      <c r="FV166" s="578">
        <v>4.3756021951321687E-2</v>
      </c>
      <c r="FW166" s="578">
        <v>9.5382053624113881E-4</v>
      </c>
      <c r="FX166" s="578">
        <v>3.7082506474723355E-3</v>
      </c>
      <c r="FY166" s="578">
        <v>8.6881004085210146E-3</v>
      </c>
      <c r="FZ166" s="578">
        <v>4.2878860721664219E-4</v>
      </c>
      <c r="GA166" s="578">
        <v>2.2217611704760613E-4</v>
      </c>
      <c r="GB166" s="578">
        <v>4.5278960847848542E-4</v>
      </c>
      <c r="GC166" s="578">
        <v>1.7054524902580983E-3</v>
      </c>
      <c r="GD166" s="578">
        <v>8.0271108110740541E-4</v>
      </c>
      <c r="GE166" s="578">
        <v>0</v>
      </c>
      <c r="GF166" s="578">
        <v>1.5024146898052327E-2</v>
      </c>
      <c r="GG166" s="579">
        <v>1.5827582181400283E-3</v>
      </c>
      <c r="GH166" s="572"/>
    </row>
    <row r="167" spans="1:190">
      <c r="A167" s="572" t="s">
        <v>9130</v>
      </c>
      <c r="B167" s="577" t="s">
        <v>9483</v>
      </c>
      <c r="C167" s="573" t="s">
        <v>9114</v>
      </c>
      <c r="D167" s="578">
        <v>4.9093992680532001E-4</v>
      </c>
      <c r="E167" s="578">
        <v>2.8514399771884804E-4</v>
      </c>
      <c r="F167" s="578">
        <v>3.7710056800773054E-4</v>
      </c>
      <c r="G167" s="578">
        <v>0</v>
      </c>
      <c r="H167" s="578">
        <v>0</v>
      </c>
      <c r="I167" s="578">
        <v>4.8867893793777485E-4</v>
      </c>
      <c r="J167" s="578">
        <v>3.3822416208990322E-4</v>
      </c>
      <c r="K167" s="578">
        <v>2.87734005896771E-3</v>
      </c>
      <c r="L167" s="578">
        <v>1.2048192771084338E-3</v>
      </c>
      <c r="M167" s="578">
        <v>1.0905125408942203E-3</v>
      </c>
      <c r="N167" s="578">
        <v>0</v>
      </c>
      <c r="O167" s="578">
        <v>1.0072698607339931E-3</v>
      </c>
      <c r="P167" s="578">
        <v>0</v>
      </c>
      <c r="Q167" s="578">
        <v>0</v>
      </c>
      <c r="R167" s="578">
        <v>1.526199762591148E-3</v>
      </c>
      <c r="S167" s="578">
        <v>9.3370681605975728E-4</v>
      </c>
      <c r="T167" s="578">
        <v>9.4146823118785737E-4</v>
      </c>
      <c r="U167" s="578">
        <v>1.9509582647947669E-3</v>
      </c>
      <c r="V167" s="578">
        <v>3.7303411023904023E-4</v>
      </c>
      <c r="W167" s="578">
        <v>2.5828155446891428E-3</v>
      </c>
      <c r="X167" s="578">
        <v>2.1752482342102569E-3</v>
      </c>
      <c r="Y167" s="578">
        <v>5.9862543476119393E-4</v>
      </c>
      <c r="Z167" s="578">
        <v>9.8776831464715466E-4</v>
      </c>
      <c r="AA167" s="578">
        <v>2.6753496520141289E-3</v>
      </c>
      <c r="AB167" s="578">
        <v>1.3461951404833089E-3</v>
      </c>
      <c r="AC167" s="578">
        <v>8.2923037056232185E-4</v>
      </c>
      <c r="AD167" s="578">
        <v>0</v>
      </c>
      <c r="AE167" s="578">
        <v>3.605227579990987E-3</v>
      </c>
      <c r="AF167" s="578">
        <v>1.8205264355609498E-3</v>
      </c>
      <c r="AG167" s="578">
        <v>0</v>
      </c>
      <c r="AH167" s="578">
        <v>1.1569610489780178E-3</v>
      </c>
      <c r="AI167" s="578">
        <v>8.0187103240895422E-4</v>
      </c>
      <c r="AJ167" s="578">
        <v>3.582779543484542E-3</v>
      </c>
      <c r="AK167" s="578">
        <v>4.1157395859316541E-3</v>
      </c>
      <c r="AL167" s="578">
        <v>2.7639087018544936E-3</v>
      </c>
      <c r="AM167" s="578">
        <v>1.3775685914361152E-3</v>
      </c>
      <c r="AN167" s="578">
        <v>1.5096618357487923E-3</v>
      </c>
      <c r="AO167" s="578">
        <v>2.5909252841921173E-3</v>
      </c>
      <c r="AP167" s="578">
        <v>1.588310038119441E-4</v>
      </c>
      <c r="AQ167" s="578">
        <v>5.1725564843168085E-4</v>
      </c>
      <c r="AR167" s="578">
        <v>7.792299791024688E-4</v>
      </c>
      <c r="AS167" s="578">
        <v>1.3901160393473523E-3</v>
      </c>
      <c r="AT167" s="578">
        <v>1.3262874313542637E-3</v>
      </c>
      <c r="AU167" s="578">
        <v>2.0369431128417401E-3</v>
      </c>
      <c r="AV167" s="578">
        <v>5.0925648553112454E-3</v>
      </c>
      <c r="AW167" s="578">
        <v>8.5823097141018078E-4</v>
      </c>
      <c r="AX167" s="578">
        <v>1.4373649041573859E-3</v>
      </c>
      <c r="AY167" s="578">
        <v>0</v>
      </c>
      <c r="AZ167" s="578">
        <v>5.4818364717318087E-4</v>
      </c>
      <c r="BA167" s="578">
        <v>8.3298625572678054E-4</v>
      </c>
      <c r="BB167" s="578">
        <v>2.006823198876179E-4</v>
      </c>
      <c r="BC167" s="578">
        <v>2.5586703102131882E-4</v>
      </c>
      <c r="BD167" s="578">
        <v>7.7000459518871322E-4</v>
      </c>
      <c r="BE167" s="578">
        <v>2.7204245968506257E-3</v>
      </c>
      <c r="BF167" s="578">
        <v>2.3228444003964321E-4</v>
      </c>
      <c r="BG167" s="578">
        <v>1.038961038961039E-3</v>
      </c>
      <c r="BH167" s="578">
        <v>1.2642225031605564E-3</v>
      </c>
      <c r="BI167" s="578">
        <v>1.4095960965031173E-3</v>
      </c>
      <c r="BJ167" s="578">
        <v>1.0185525008144297E-3</v>
      </c>
      <c r="BK167" s="578">
        <v>1.1024142872891633E-4</v>
      </c>
      <c r="BL167" s="578">
        <v>3.1714619170852994E-4</v>
      </c>
      <c r="BM167" s="578">
        <v>7.2364699766646744E-4</v>
      </c>
      <c r="BN167" s="578">
        <v>1.0370370370370371E-3</v>
      </c>
      <c r="BO167" s="578">
        <v>3.1968012671308951E-3</v>
      </c>
      <c r="BP167" s="578">
        <v>2.7600232423009878E-3</v>
      </c>
      <c r="BQ167" s="578">
        <v>2.1421020419518165E-3</v>
      </c>
      <c r="BR167" s="578">
        <v>5.6543586570364764E-4</v>
      </c>
      <c r="BS167" s="578">
        <v>5.4624356393578606E-4</v>
      </c>
      <c r="BT167" s="578">
        <v>2.3675104716809323E-3</v>
      </c>
      <c r="BU167" s="578">
        <v>7.2514212785706003E-4</v>
      </c>
      <c r="BV167" s="578">
        <v>1.2127745586848133E-3</v>
      </c>
      <c r="BW167" s="578">
        <v>3.4818196056867466E-4</v>
      </c>
      <c r="BX167" s="578">
        <v>0</v>
      </c>
      <c r="BY167" s="578">
        <v>2.1020284574614504E-4</v>
      </c>
      <c r="BZ167" s="578">
        <v>2.317868002935966E-4</v>
      </c>
      <c r="CA167" s="578">
        <v>2.461764253928631E-4</v>
      </c>
      <c r="CB167" s="578">
        <v>4.5296599652519233E-4</v>
      </c>
      <c r="CC167" s="578">
        <v>9.1117415975556528E-4</v>
      </c>
      <c r="CD167" s="578">
        <v>5.8556104067209391E-4</v>
      </c>
      <c r="CE167" s="578">
        <v>0</v>
      </c>
      <c r="CF167" s="578">
        <v>8.684667614084952E-4</v>
      </c>
      <c r="CG167" s="578">
        <v>8.7247655662585648E-4</v>
      </c>
      <c r="CH167" s="578">
        <v>1.1803779523914225E-3</v>
      </c>
      <c r="CI167" s="578">
        <v>1.0445942248862139E-3</v>
      </c>
      <c r="CJ167" s="578">
        <v>3.0375352571056631E-4</v>
      </c>
      <c r="CK167" s="578">
        <v>1.5683782666142192E-3</v>
      </c>
      <c r="CL167" s="578">
        <v>8.0028774390792192E-4</v>
      </c>
      <c r="CM167" s="578">
        <v>1.2773939264430041E-3</v>
      </c>
      <c r="CN167" s="578">
        <v>1.3508297954457739E-3</v>
      </c>
      <c r="CO167" s="578">
        <v>8.5411684318414764E-4</v>
      </c>
      <c r="CP167" s="578">
        <v>7.9580103185886597E-4</v>
      </c>
      <c r="CQ167" s="578">
        <v>1.0193030515385105E-3</v>
      </c>
      <c r="CR167" s="578">
        <v>7.9839739867611193E-4</v>
      </c>
      <c r="CS167" s="578">
        <v>2.2036388292462424E-3</v>
      </c>
      <c r="CT167" s="578">
        <v>1.5747572249278235E-3</v>
      </c>
      <c r="CU167" s="578">
        <v>1.5075052802992438E-3</v>
      </c>
      <c r="CV167" s="578">
        <v>1.139932966985311E-3</v>
      </c>
      <c r="CW167" s="578">
        <v>1.131309978934228E-3</v>
      </c>
      <c r="CX167" s="578">
        <v>1.3135163689838808E-3</v>
      </c>
      <c r="CY167" s="578">
        <v>1.5477607839545747E-3</v>
      </c>
      <c r="CZ167" s="578">
        <v>1.0490753911806543E-3</v>
      </c>
      <c r="DA167" s="578">
        <v>2.0774881668844101E-3</v>
      </c>
      <c r="DB167" s="578">
        <v>1.7869713543076839E-3</v>
      </c>
      <c r="DC167" s="578">
        <v>1.4503263234227702E-3</v>
      </c>
      <c r="DD167" s="578">
        <v>4.8309178743961351E-4</v>
      </c>
      <c r="DE167" s="578">
        <v>1.0722009195485852E-3</v>
      </c>
      <c r="DF167" s="578">
        <v>2.1167824906142664E-3</v>
      </c>
      <c r="DG167" s="578">
        <v>1.4095719669051311E-3</v>
      </c>
      <c r="DH167" s="578">
        <v>1.1780564334341478E-3</v>
      </c>
      <c r="DI167" s="578">
        <v>9.9350907404954303E-4</v>
      </c>
      <c r="DJ167" s="578">
        <v>1.6027034750090074E-3</v>
      </c>
      <c r="DK167" s="578">
        <v>1.2200513629544087E-3</v>
      </c>
      <c r="DL167" s="578">
        <v>1.1413853185525619E-3</v>
      </c>
      <c r="DM167" s="578">
        <v>2.6439316819364326E-3</v>
      </c>
      <c r="DN167" s="578">
        <v>1.3864818024263432E-3</v>
      </c>
      <c r="DO167" s="578">
        <v>0</v>
      </c>
      <c r="DP167" s="578">
        <v>3.9439088518843118E-4</v>
      </c>
      <c r="DQ167" s="578">
        <v>1.1031526526881466E-4</v>
      </c>
      <c r="DR167" s="578">
        <v>4.6683939724364681E-4</v>
      </c>
      <c r="DS167" s="578">
        <v>9.4863281500378173E-4</v>
      </c>
      <c r="DT167" s="578">
        <v>2.1940534590965746E-3</v>
      </c>
      <c r="DU167" s="578">
        <v>8.2016817428971843E-4</v>
      </c>
      <c r="DV167" s="578">
        <v>7.2216802442701664E-4</v>
      </c>
      <c r="DW167" s="578">
        <v>1.7026585073922351E-3</v>
      </c>
      <c r="DX167" s="578">
        <v>2.1819474493892385E-3</v>
      </c>
      <c r="DY167" s="578">
        <v>1.3438522711103382E-3</v>
      </c>
      <c r="DZ167" s="578">
        <v>1.7885321742117913E-3</v>
      </c>
      <c r="EA167" s="578">
        <v>2.1257509688304807E-3</v>
      </c>
      <c r="EB167" s="578">
        <v>1.7578932855370191E-3</v>
      </c>
      <c r="EC167" s="578">
        <v>1.9144491982861704E-3</v>
      </c>
      <c r="ED167" s="578">
        <v>1.709618185271956E-3</v>
      </c>
      <c r="EE167" s="578">
        <v>2.4628045956959926E-4</v>
      </c>
      <c r="EF167" s="578">
        <v>2.4694525512331228E-4</v>
      </c>
      <c r="EG167" s="578">
        <v>2.7754648903691371E-4</v>
      </c>
      <c r="EH167" s="578">
        <v>1.7518636847710331E-3</v>
      </c>
      <c r="EI167" s="578">
        <v>1.9051793903425952E-3</v>
      </c>
      <c r="EJ167" s="578">
        <v>2.3133398102054776E-3</v>
      </c>
      <c r="EK167" s="578">
        <v>2.8969035483527366E-3</v>
      </c>
      <c r="EL167" s="578">
        <v>3.3481543373817552E-3</v>
      </c>
      <c r="EM167" s="578">
        <v>4.3163673642254092E-3</v>
      </c>
      <c r="EN167" s="578">
        <v>1.246861669507117E-3</v>
      </c>
      <c r="EO167" s="578">
        <v>7.4457377091159075E-4</v>
      </c>
      <c r="EP167" s="578">
        <v>0</v>
      </c>
      <c r="EQ167" s="578">
        <v>1.9692311863855286E-3</v>
      </c>
      <c r="ER167" s="578">
        <v>1.4705882352941176E-3</v>
      </c>
      <c r="ES167" s="578">
        <v>3.4360520102605274E-3</v>
      </c>
      <c r="ET167" s="578">
        <v>2.6156400434084945E-3</v>
      </c>
      <c r="EU167" s="578">
        <v>1.9947666709691045E-4</v>
      </c>
      <c r="EV167" s="578">
        <v>1.4334213504337986E-3</v>
      </c>
      <c r="EW167" s="578">
        <v>1.5750787539376969E-3</v>
      </c>
      <c r="EX167" s="578">
        <v>1.7345719461897236E-3</v>
      </c>
      <c r="EY167" s="578">
        <v>3.6870236563397011E-3</v>
      </c>
      <c r="EZ167" s="578">
        <v>3.0244038100535353E-3</v>
      </c>
      <c r="FA167" s="578">
        <v>2.489735301825806E-3</v>
      </c>
      <c r="FB167" s="578">
        <v>1.5717914037176577E-3</v>
      </c>
      <c r="FC167" s="578">
        <v>7.7529452529452531E-3</v>
      </c>
      <c r="FD167" s="578">
        <v>1.1044137184470797E-2</v>
      </c>
      <c r="FE167" s="578">
        <v>0.17780389523169912</v>
      </c>
      <c r="FF167" s="578">
        <v>1.0052633175585487E-2</v>
      </c>
      <c r="FG167" s="578">
        <v>6.8893528183716071E-3</v>
      </c>
      <c r="FH167" s="578">
        <v>3.784750447081775E-2</v>
      </c>
      <c r="FI167" s="578">
        <v>3.2356378199669975E-3</v>
      </c>
      <c r="FJ167" s="578">
        <v>7.9071913068735154E-3</v>
      </c>
      <c r="FK167" s="578">
        <v>1.6249134413287277E-3</v>
      </c>
      <c r="FL167" s="578">
        <v>1.5616832200731835E-2</v>
      </c>
      <c r="FM167" s="578">
        <v>7.6316755314500767E-3</v>
      </c>
      <c r="FN167" s="578">
        <v>1.6823704091066143E-2</v>
      </c>
      <c r="FO167" s="578">
        <v>2.5152835660383244E-3</v>
      </c>
      <c r="FP167" s="578">
        <v>1.9695585037657957E-3</v>
      </c>
      <c r="FQ167" s="578">
        <v>9.3255856668169445E-3</v>
      </c>
      <c r="FR167" s="578">
        <v>2.2528779640520052E-3</v>
      </c>
      <c r="FS167" s="578">
        <v>2.3445646689465718E-2</v>
      </c>
      <c r="FT167" s="578">
        <v>2.2723381737249225E-3</v>
      </c>
      <c r="FU167" s="578">
        <v>6.5189048239895696E-4</v>
      </c>
      <c r="FV167" s="578">
        <v>0.18509907419044028</v>
      </c>
      <c r="FW167" s="578">
        <v>8.4873861275694548E-4</v>
      </c>
      <c r="FX167" s="578">
        <v>1.3453970603074231E-4</v>
      </c>
      <c r="FY167" s="578">
        <v>5.4856241124686825E-3</v>
      </c>
      <c r="FZ167" s="578">
        <v>4.422153211799916E-3</v>
      </c>
      <c r="GA167" s="578">
        <v>2.1474301901402812E-3</v>
      </c>
      <c r="GB167" s="578">
        <v>6.527716855564831E-3</v>
      </c>
      <c r="GC167" s="578">
        <v>1.4310432014912795E-2</v>
      </c>
      <c r="GD167" s="578">
        <v>3.3048857899986902E-3</v>
      </c>
      <c r="GE167" s="578">
        <v>0</v>
      </c>
      <c r="GF167" s="578">
        <v>6.4533248421164355E-3</v>
      </c>
      <c r="GG167" s="579">
        <v>3.0736239511037519E-3</v>
      </c>
      <c r="GH167" s="572"/>
    </row>
    <row r="168" spans="1:190">
      <c r="A168" s="572" t="s">
        <v>9131</v>
      </c>
      <c r="B168" s="577" t="s">
        <v>721</v>
      </c>
      <c r="C168" s="573" t="s">
        <v>9548</v>
      </c>
      <c r="D168" s="578">
        <v>0</v>
      </c>
      <c r="E168" s="578">
        <v>0</v>
      </c>
      <c r="F168" s="578">
        <v>0</v>
      </c>
      <c r="G168" s="578">
        <v>0</v>
      </c>
      <c r="H168" s="578">
        <v>0</v>
      </c>
      <c r="I168" s="578">
        <v>0</v>
      </c>
      <c r="J168" s="578">
        <v>0</v>
      </c>
      <c r="K168" s="578">
        <v>0</v>
      </c>
      <c r="L168" s="578">
        <v>0</v>
      </c>
      <c r="M168" s="578">
        <v>0</v>
      </c>
      <c r="N168" s="578">
        <v>0</v>
      </c>
      <c r="O168" s="578">
        <v>0</v>
      </c>
      <c r="P168" s="578">
        <v>0</v>
      </c>
      <c r="Q168" s="578">
        <v>0</v>
      </c>
      <c r="R168" s="578">
        <v>0</v>
      </c>
      <c r="S168" s="578">
        <v>0</v>
      </c>
      <c r="T168" s="578">
        <v>0</v>
      </c>
      <c r="U168" s="578">
        <v>0</v>
      </c>
      <c r="V168" s="578">
        <v>0</v>
      </c>
      <c r="W168" s="578">
        <v>0</v>
      </c>
      <c r="X168" s="578">
        <v>0</v>
      </c>
      <c r="Y168" s="578">
        <v>0</v>
      </c>
      <c r="Z168" s="578">
        <v>0</v>
      </c>
      <c r="AA168" s="578">
        <v>0</v>
      </c>
      <c r="AB168" s="578">
        <v>0</v>
      </c>
      <c r="AC168" s="578">
        <v>0</v>
      </c>
      <c r="AD168" s="578">
        <v>0</v>
      </c>
      <c r="AE168" s="578">
        <v>0</v>
      </c>
      <c r="AF168" s="578">
        <v>0</v>
      </c>
      <c r="AG168" s="578">
        <v>0</v>
      </c>
      <c r="AH168" s="578">
        <v>0</v>
      </c>
      <c r="AI168" s="578">
        <v>0</v>
      </c>
      <c r="AJ168" s="578">
        <v>0</v>
      </c>
      <c r="AK168" s="578">
        <v>0</v>
      </c>
      <c r="AL168" s="578">
        <v>0</v>
      </c>
      <c r="AM168" s="578">
        <v>0</v>
      </c>
      <c r="AN168" s="578">
        <v>0</v>
      </c>
      <c r="AO168" s="578">
        <v>0</v>
      </c>
      <c r="AP168" s="578">
        <v>0</v>
      </c>
      <c r="AQ168" s="578">
        <v>0</v>
      </c>
      <c r="AR168" s="578">
        <v>0</v>
      </c>
      <c r="AS168" s="578">
        <v>0</v>
      </c>
      <c r="AT168" s="578">
        <v>0</v>
      </c>
      <c r="AU168" s="578">
        <v>0</v>
      </c>
      <c r="AV168" s="578">
        <v>0</v>
      </c>
      <c r="AW168" s="578">
        <v>0</v>
      </c>
      <c r="AX168" s="578">
        <v>0</v>
      </c>
      <c r="AY168" s="578">
        <v>0</v>
      </c>
      <c r="AZ168" s="578">
        <v>0</v>
      </c>
      <c r="BA168" s="578">
        <v>0</v>
      </c>
      <c r="BB168" s="578">
        <v>0</v>
      </c>
      <c r="BC168" s="578">
        <v>0</v>
      </c>
      <c r="BD168" s="578">
        <v>0</v>
      </c>
      <c r="BE168" s="578">
        <v>0</v>
      </c>
      <c r="BF168" s="578">
        <v>0</v>
      </c>
      <c r="BG168" s="578">
        <v>0</v>
      </c>
      <c r="BH168" s="578">
        <v>0</v>
      </c>
      <c r="BI168" s="578">
        <v>0</v>
      </c>
      <c r="BJ168" s="578">
        <v>0</v>
      </c>
      <c r="BK168" s="578">
        <v>0</v>
      </c>
      <c r="BL168" s="578">
        <v>0</v>
      </c>
      <c r="BM168" s="578">
        <v>0</v>
      </c>
      <c r="BN168" s="578">
        <v>0</v>
      </c>
      <c r="BO168" s="578">
        <v>0</v>
      </c>
      <c r="BP168" s="578">
        <v>0</v>
      </c>
      <c r="BQ168" s="578">
        <v>0</v>
      </c>
      <c r="BR168" s="578">
        <v>0</v>
      </c>
      <c r="BS168" s="578">
        <v>0</v>
      </c>
      <c r="BT168" s="578">
        <v>0</v>
      </c>
      <c r="BU168" s="578">
        <v>0</v>
      </c>
      <c r="BV168" s="578">
        <v>0</v>
      </c>
      <c r="BW168" s="578">
        <v>0</v>
      </c>
      <c r="BX168" s="578">
        <v>0</v>
      </c>
      <c r="BY168" s="578">
        <v>0</v>
      </c>
      <c r="BZ168" s="578">
        <v>0</v>
      </c>
      <c r="CA168" s="578">
        <v>0</v>
      </c>
      <c r="CB168" s="578">
        <v>0</v>
      </c>
      <c r="CC168" s="578">
        <v>0</v>
      </c>
      <c r="CD168" s="578">
        <v>0</v>
      </c>
      <c r="CE168" s="578">
        <v>0</v>
      </c>
      <c r="CF168" s="578">
        <v>0</v>
      </c>
      <c r="CG168" s="578">
        <v>0</v>
      </c>
      <c r="CH168" s="578">
        <v>0</v>
      </c>
      <c r="CI168" s="578">
        <v>0</v>
      </c>
      <c r="CJ168" s="578">
        <v>0</v>
      </c>
      <c r="CK168" s="578">
        <v>0</v>
      </c>
      <c r="CL168" s="578">
        <v>0</v>
      </c>
      <c r="CM168" s="578">
        <v>0</v>
      </c>
      <c r="CN168" s="578">
        <v>0</v>
      </c>
      <c r="CO168" s="578">
        <v>0</v>
      </c>
      <c r="CP168" s="578">
        <v>0</v>
      </c>
      <c r="CQ168" s="578">
        <v>0</v>
      </c>
      <c r="CR168" s="578">
        <v>0</v>
      </c>
      <c r="CS168" s="578">
        <v>0</v>
      </c>
      <c r="CT168" s="578">
        <v>0</v>
      </c>
      <c r="CU168" s="578">
        <v>0</v>
      </c>
      <c r="CV168" s="578">
        <v>0</v>
      </c>
      <c r="CW168" s="578">
        <v>0</v>
      </c>
      <c r="CX168" s="578">
        <v>0</v>
      </c>
      <c r="CY168" s="578">
        <v>0</v>
      </c>
      <c r="CZ168" s="578">
        <v>0</v>
      </c>
      <c r="DA168" s="578">
        <v>0</v>
      </c>
      <c r="DB168" s="578">
        <v>0</v>
      </c>
      <c r="DC168" s="578">
        <v>0</v>
      </c>
      <c r="DD168" s="578">
        <v>0</v>
      </c>
      <c r="DE168" s="578">
        <v>0</v>
      </c>
      <c r="DF168" s="578">
        <v>0</v>
      </c>
      <c r="DG168" s="578">
        <v>0</v>
      </c>
      <c r="DH168" s="578">
        <v>0</v>
      </c>
      <c r="DI168" s="578">
        <v>0</v>
      </c>
      <c r="DJ168" s="578">
        <v>0</v>
      </c>
      <c r="DK168" s="578">
        <v>0</v>
      </c>
      <c r="DL168" s="578">
        <v>0</v>
      </c>
      <c r="DM168" s="578">
        <v>0</v>
      </c>
      <c r="DN168" s="578">
        <v>0</v>
      </c>
      <c r="DO168" s="578">
        <v>0</v>
      </c>
      <c r="DP168" s="578">
        <v>0</v>
      </c>
      <c r="DQ168" s="578">
        <v>0</v>
      </c>
      <c r="DR168" s="578">
        <v>0</v>
      </c>
      <c r="DS168" s="578">
        <v>0</v>
      </c>
      <c r="DT168" s="578">
        <v>0</v>
      </c>
      <c r="DU168" s="578">
        <v>0</v>
      </c>
      <c r="DV168" s="578">
        <v>0</v>
      </c>
      <c r="DW168" s="578">
        <v>0</v>
      </c>
      <c r="DX168" s="578">
        <v>0</v>
      </c>
      <c r="DY168" s="578">
        <v>0</v>
      </c>
      <c r="DZ168" s="578">
        <v>0</v>
      </c>
      <c r="EA168" s="578">
        <v>0</v>
      </c>
      <c r="EB168" s="578">
        <v>0</v>
      </c>
      <c r="EC168" s="578">
        <v>0</v>
      </c>
      <c r="ED168" s="578">
        <v>0</v>
      </c>
      <c r="EE168" s="578">
        <v>0</v>
      </c>
      <c r="EF168" s="578">
        <v>0</v>
      </c>
      <c r="EG168" s="578">
        <v>0</v>
      </c>
      <c r="EH168" s="578">
        <v>0</v>
      </c>
      <c r="EI168" s="578">
        <v>0</v>
      </c>
      <c r="EJ168" s="578">
        <v>0</v>
      </c>
      <c r="EK168" s="578">
        <v>0</v>
      </c>
      <c r="EL168" s="578">
        <v>0</v>
      </c>
      <c r="EM168" s="578">
        <v>0</v>
      </c>
      <c r="EN168" s="578">
        <v>0</v>
      </c>
      <c r="EO168" s="578">
        <v>0</v>
      </c>
      <c r="EP168" s="578">
        <v>0</v>
      </c>
      <c r="EQ168" s="578">
        <v>0</v>
      </c>
      <c r="ER168" s="578">
        <v>0</v>
      </c>
      <c r="ES168" s="578">
        <v>0</v>
      </c>
      <c r="ET168" s="578">
        <v>0</v>
      </c>
      <c r="EU168" s="578">
        <v>0</v>
      </c>
      <c r="EV168" s="578">
        <v>0</v>
      </c>
      <c r="EW168" s="578">
        <v>0</v>
      </c>
      <c r="EX168" s="578">
        <v>0</v>
      </c>
      <c r="EY168" s="578">
        <v>0</v>
      </c>
      <c r="EZ168" s="578">
        <v>0</v>
      </c>
      <c r="FA168" s="578">
        <v>0</v>
      </c>
      <c r="FB168" s="578">
        <v>0</v>
      </c>
      <c r="FC168" s="578">
        <v>0</v>
      </c>
      <c r="FD168" s="578">
        <v>0</v>
      </c>
      <c r="FE168" s="578">
        <v>0</v>
      </c>
      <c r="FF168" s="578">
        <v>0</v>
      </c>
      <c r="FG168" s="578">
        <v>0</v>
      </c>
      <c r="FH168" s="578">
        <v>0</v>
      </c>
      <c r="FI168" s="578">
        <v>0</v>
      </c>
      <c r="FJ168" s="578">
        <v>0</v>
      </c>
      <c r="FK168" s="578">
        <v>0</v>
      </c>
      <c r="FL168" s="578">
        <v>0</v>
      </c>
      <c r="FM168" s="578">
        <v>0</v>
      </c>
      <c r="FN168" s="578">
        <v>0</v>
      </c>
      <c r="FO168" s="578">
        <v>0</v>
      </c>
      <c r="FP168" s="578">
        <v>0</v>
      </c>
      <c r="FQ168" s="578">
        <v>0</v>
      </c>
      <c r="FR168" s="578">
        <v>0</v>
      </c>
      <c r="FS168" s="578">
        <v>0</v>
      </c>
      <c r="FT168" s="578">
        <v>0</v>
      </c>
      <c r="FU168" s="578">
        <v>0</v>
      </c>
      <c r="FV168" s="578">
        <v>0</v>
      </c>
      <c r="FW168" s="578">
        <v>0</v>
      </c>
      <c r="FX168" s="578">
        <v>0</v>
      </c>
      <c r="FY168" s="578">
        <v>0</v>
      </c>
      <c r="FZ168" s="578">
        <v>0</v>
      </c>
      <c r="GA168" s="578">
        <v>0</v>
      </c>
      <c r="GB168" s="578">
        <v>0</v>
      </c>
      <c r="GC168" s="578">
        <v>0</v>
      </c>
      <c r="GD168" s="578">
        <v>0</v>
      </c>
      <c r="GE168" s="578">
        <v>0</v>
      </c>
      <c r="GF168" s="578">
        <v>0.10639494772594597</v>
      </c>
      <c r="GG168" s="579">
        <v>5.1459791698730639E-4</v>
      </c>
      <c r="GH168" s="572"/>
    </row>
    <row r="169" spans="1:190">
      <c r="A169" s="572" t="s">
        <v>9132</v>
      </c>
      <c r="B169" s="577" t="s">
        <v>724</v>
      </c>
      <c r="C169" s="573" t="s">
        <v>9549</v>
      </c>
      <c r="D169" s="578">
        <v>0</v>
      </c>
      <c r="E169" s="578">
        <v>0</v>
      </c>
      <c r="F169" s="578">
        <v>0</v>
      </c>
      <c r="G169" s="578">
        <v>0</v>
      </c>
      <c r="H169" s="578">
        <v>0</v>
      </c>
      <c r="I169" s="578">
        <v>0</v>
      </c>
      <c r="J169" s="578">
        <v>0</v>
      </c>
      <c r="K169" s="578">
        <v>0</v>
      </c>
      <c r="L169" s="578">
        <v>0</v>
      </c>
      <c r="M169" s="578">
        <v>0</v>
      </c>
      <c r="N169" s="578">
        <v>0</v>
      </c>
      <c r="O169" s="578">
        <v>0</v>
      </c>
      <c r="P169" s="578">
        <v>0</v>
      </c>
      <c r="Q169" s="578">
        <v>0</v>
      </c>
      <c r="R169" s="578">
        <v>0</v>
      </c>
      <c r="S169" s="578">
        <v>0</v>
      </c>
      <c r="T169" s="578">
        <v>0</v>
      </c>
      <c r="U169" s="578">
        <v>0</v>
      </c>
      <c r="V169" s="578">
        <v>0</v>
      </c>
      <c r="W169" s="578">
        <v>0</v>
      </c>
      <c r="X169" s="578">
        <v>0</v>
      </c>
      <c r="Y169" s="578">
        <v>0</v>
      </c>
      <c r="Z169" s="578">
        <v>0</v>
      </c>
      <c r="AA169" s="578">
        <v>0</v>
      </c>
      <c r="AB169" s="578">
        <v>0</v>
      </c>
      <c r="AC169" s="578">
        <v>0</v>
      </c>
      <c r="AD169" s="578">
        <v>0</v>
      </c>
      <c r="AE169" s="578">
        <v>0</v>
      </c>
      <c r="AF169" s="578">
        <v>0</v>
      </c>
      <c r="AG169" s="578">
        <v>0</v>
      </c>
      <c r="AH169" s="578">
        <v>0</v>
      </c>
      <c r="AI169" s="578">
        <v>0</v>
      </c>
      <c r="AJ169" s="578">
        <v>0</v>
      </c>
      <c r="AK169" s="578">
        <v>0</v>
      </c>
      <c r="AL169" s="578">
        <v>0</v>
      </c>
      <c r="AM169" s="578">
        <v>0</v>
      </c>
      <c r="AN169" s="578">
        <v>0</v>
      </c>
      <c r="AO169" s="578">
        <v>0</v>
      </c>
      <c r="AP169" s="578">
        <v>0</v>
      </c>
      <c r="AQ169" s="578">
        <v>0</v>
      </c>
      <c r="AR169" s="578">
        <v>0</v>
      </c>
      <c r="AS169" s="578">
        <v>0</v>
      </c>
      <c r="AT169" s="578">
        <v>0</v>
      </c>
      <c r="AU169" s="578">
        <v>0</v>
      </c>
      <c r="AV169" s="578">
        <v>0</v>
      </c>
      <c r="AW169" s="578">
        <v>0</v>
      </c>
      <c r="AX169" s="578">
        <v>0</v>
      </c>
      <c r="AY169" s="578">
        <v>0</v>
      </c>
      <c r="AZ169" s="578">
        <v>0</v>
      </c>
      <c r="BA169" s="578">
        <v>0</v>
      </c>
      <c r="BB169" s="578">
        <v>0</v>
      </c>
      <c r="BC169" s="578">
        <v>0</v>
      </c>
      <c r="BD169" s="578">
        <v>0</v>
      </c>
      <c r="BE169" s="578">
        <v>0</v>
      </c>
      <c r="BF169" s="578">
        <v>0</v>
      </c>
      <c r="BG169" s="578">
        <v>0</v>
      </c>
      <c r="BH169" s="578">
        <v>0</v>
      </c>
      <c r="BI169" s="578">
        <v>0</v>
      </c>
      <c r="BJ169" s="578">
        <v>0</v>
      </c>
      <c r="BK169" s="578">
        <v>0</v>
      </c>
      <c r="BL169" s="578">
        <v>0</v>
      </c>
      <c r="BM169" s="578">
        <v>0</v>
      </c>
      <c r="BN169" s="578">
        <v>0</v>
      </c>
      <c r="BO169" s="578">
        <v>0</v>
      </c>
      <c r="BP169" s="578">
        <v>0</v>
      </c>
      <c r="BQ169" s="578">
        <v>0</v>
      </c>
      <c r="BR169" s="578">
        <v>0</v>
      </c>
      <c r="BS169" s="578">
        <v>0</v>
      </c>
      <c r="BT169" s="578">
        <v>0</v>
      </c>
      <c r="BU169" s="578">
        <v>0</v>
      </c>
      <c r="BV169" s="578">
        <v>0</v>
      </c>
      <c r="BW169" s="578">
        <v>0</v>
      </c>
      <c r="BX169" s="578">
        <v>0</v>
      </c>
      <c r="BY169" s="578">
        <v>0</v>
      </c>
      <c r="BZ169" s="578">
        <v>0</v>
      </c>
      <c r="CA169" s="578">
        <v>0</v>
      </c>
      <c r="CB169" s="578">
        <v>0</v>
      </c>
      <c r="CC169" s="578">
        <v>0</v>
      </c>
      <c r="CD169" s="578">
        <v>0</v>
      </c>
      <c r="CE169" s="578">
        <v>0</v>
      </c>
      <c r="CF169" s="578">
        <v>0</v>
      </c>
      <c r="CG169" s="578">
        <v>0</v>
      </c>
      <c r="CH169" s="578">
        <v>0</v>
      </c>
      <c r="CI169" s="578">
        <v>0</v>
      </c>
      <c r="CJ169" s="578">
        <v>0</v>
      </c>
      <c r="CK169" s="578">
        <v>0</v>
      </c>
      <c r="CL169" s="578">
        <v>0</v>
      </c>
      <c r="CM169" s="578">
        <v>0</v>
      </c>
      <c r="CN169" s="578">
        <v>0</v>
      </c>
      <c r="CO169" s="578">
        <v>0</v>
      </c>
      <c r="CP169" s="578">
        <v>0</v>
      </c>
      <c r="CQ169" s="578">
        <v>0</v>
      </c>
      <c r="CR169" s="578">
        <v>0</v>
      </c>
      <c r="CS169" s="578">
        <v>0</v>
      </c>
      <c r="CT169" s="578">
        <v>0</v>
      </c>
      <c r="CU169" s="578">
        <v>0</v>
      </c>
      <c r="CV169" s="578">
        <v>0</v>
      </c>
      <c r="CW169" s="578">
        <v>0</v>
      </c>
      <c r="CX169" s="578">
        <v>0</v>
      </c>
      <c r="CY169" s="578">
        <v>0</v>
      </c>
      <c r="CZ169" s="578">
        <v>0</v>
      </c>
      <c r="DA169" s="578">
        <v>0</v>
      </c>
      <c r="DB169" s="578">
        <v>0</v>
      </c>
      <c r="DC169" s="578">
        <v>0</v>
      </c>
      <c r="DD169" s="578">
        <v>0</v>
      </c>
      <c r="DE169" s="578">
        <v>0</v>
      </c>
      <c r="DF169" s="578">
        <v>0</v>
      </c>
      <c r="DG169" s="578">
        <v>0</v>
      </c>
      <c r="DH169" s="578">
        <v>0</v>
      </c>
      <c r="DI169" s="578">
        <v>0</v>
      </c>
      <c r="DJ169" s="578">
        <v>0</v>
      </c>
      <c r="DK169" s="578">
        <v>0</v>
      </c>
      <c r="DL169" s="578">
        <v>0</v>
      </c>
      <c r="DM169" s="578">
        <v>0</v>
      </c>
      <c r="DN169" s="578">
        <v>0</v>
      </c>
      <c r="DO169" s="578">
        <v>0</v>
      </c>
      <c r="DP169" s="578">
        <v>0</v>
      </c>
      <c r="DQ169" s="578">
        <v>0</v>
      </c>
      <c r="DR169" s="578">
        <v>0</v>
      </c>
      <c r="DS169" s="578">
        <v>0</v>
      </c>
      <c r="DT169" s="578">
        <v>0</v>
      </c>
      <c r="DU169" s="578">
        <v>0</v>
      </c>
      <c r="DV169" s="578">
        <v>0</v>
      </c>
      <c r="DW169" s="578">
        <v>0</v>
      </c>
      <c r="DX169" s="578">
        <v>0</v>
      </c>
      <c r="DY169" s="578">
        <v>0</v>
      </c>
      <c r="DZ169" s="578">
        <v>0</v>
      </c>
      <c r="EA169" s="578">
        <v>0</v>
      </c>
      <c r="EB169" s="578">
        <v>0</v>
      </c>
      <c r="EC169" s="578">
        <v>0</v>
      </c>
      <c r="ED169" s="578">
        <v>0</v>
      </c>
      <c r="EE169" s="578">
        <v>0</v>
      </c>
      <c r="EF169" s="578">
        <v>0</v>
      </c>
      <c r="EG169" s="578">
        <v>0</v>
      </c>
      <c r="EH169" s="578">
        <v>0</v>
      </c>
      <c r="EI169" s="578">
        <v>0</v>
      </c>
      <c r="EJ169" s="578">
        <v>0</v>
      </c>
      <c r="EK169" s="578">
        <v>0</v>
      </c>
      <c r="EL169" s="578">
        <v>0</v>
      </c>
      <c r="EM169" s="578">
        <v>0</v>
      </c>
      <c r="EN169" s="578">
        <v>0</v>
      </c>
      <c r="EO169" s="578">
        <v>0</v>
      </c>
      <c r="EP169" s="578">
        <v>0</v>
      </c>
      <c r="EQ169" s="578">
        <v>0</v>
      </c>
      <c r="ER169" s="578">
        <v>0</v>
      </c>
      <c r="ES169" s="578">
        <v>0</v>
      </c>
      <c r="ET169" s="578">
        <v>0</v>
      </c>
      <c r="EU169" s="578">
        <v>0</v>
      </c>
      <c r="EV169" s="578">
        <v>0</v>
      </c>
      <c r="EW169" s="578">
        <v>0</v>
      </c>
      <c r="EX169" s="578">
        <v>0</v>
      </c>
      <c r="EY169" s="578">
        <v>0</v>
      </c>
      <c r="EZ169" s="578">
        <v>0</v>
      </c>
      <c r="FA169" s="578">
        <v>0</v>
      </c>
      <c r="FB169" s="578">
        <v>0</v>
      </c>
      <c r="FC169" s="578">
        <v>0</v>
      </c>
      <c r="FD169" s="578">
        <v>0</v>
      </c>
      <c r="FE169" s="578">
        <v>0</v>
      </c>
      <c r="FF169" s="578">
        <v>0</v>
      </c>
      <c r="FG169" s="578">
        <v>0</v>
      </c>
      <c r="FH169" s="578">
        <v>0</v>
      </c>
      <c r="FI169" s="578">
        <v>0</v>
      </c>
      <c r="FJ169" s="578">
        <v>0</v>
      </c>
      <c r="FK169" s="578">
        <v>0</v>
      </c>
      <c r="FL169" s="578">
        <v>0</v>
      </c>
      <c r="FM169" s="578">
        <v>0</v>
      </c>
      <c r="FN169" s="578">
        <v>0</v>
      </c>
      <c r="FO169" s="578">
        <v>0</v>
      </c>
      <c r="FP169" s="578">
        <v>0</v>
      </c>
      <c r="FQ169" s="578">
        <v>0</v>
      </c>
      <c r="FR169" s="578">
        <v>0</v>
      </c>
      <c r="FS169" s="578">
        <v>0</v>
      </c>
      <c r="FT169" s="578">
        <v>0</v>
      </c>
      <c r="FU169" s="578">
        <v>0</v>
      </c>
      <c r="FV169" s="578">
        <v>0</v>
      </c>
      <c r="FW169" s="578">
        <v>0</v>
      </c>
      <c r="FX169" s="578">
        <v>0</v>
      </c>
      <c r="FY169" s="578">
        <v>0</v>
      </c>
      <c r="FZ169" s="578">
        <v>0</v>
      </c>
      <c r="GA169" s="578">
        <v>0</v>
      </c>
      <c r="GB169" s="578">
        <v>0</v>
      </c>
      <c r="GC169" s="578">
        <v>0</v>
      </c>
      <c r="GD169" s="578">
        <v>0</v>
      </c>
      <c r="GE169" s="578">
        <v>0</v>
      </c>
      <c r="GF169" s="578">
        <v>0.1402059120097649</v>
      </c>
      <c r="GG169" s="579">
        <v>6.7813060499240067E-4</v>
      </c>
      <c r="GH169" s="572"/>
    </row>
    <row r="170" spans="1:190">
      <c r="A170" s="572" t="s">
        <v>9133</v>
      </c>
      <c r="B170" s="577" t="s">
        <v>730</v>
      </c>
      <c r="C170" s="573" t="s">
        <v>9550</v>
      </c>
      <c r="D170" s="578">
        <v>0</v>
      </c>
      <c r="E170" s="578">
        <v>0</v>
      </c>
      <c r="F170" s="578">
        <v>0</v>
      </c>
      <c r="G170" s="578">
        <v>0</v>
      </c>
      <c r="H170" s="578">
        <v>0</v>
      </c>
      <c r="I170" s="578">
        <v>0</v>
      </c>
      <c r="J170" s="578">
        <v>0</v>
      </c>
      <c r="K170" s="578">
        <v>0</v>
      </c>
      <c r="L170" s="578">
        <v>0</v>
      </c>
      <c r="M170" s="578">
        <v>0</v>
      </c>
      <c r="N170" s="578">
        <v>0</v>
      </c>
      <c r="O170" s="578">
        <v>0</v>
      </c>
      <c r="P170" s="578">
        <v>0</v>
      </c>
      <c r="Q170" s="578">
        <v>0</v>
      </c>
      <c r="R170" s="578">
        <v>0</v>
      </c>
      <c r="S170" s="578">
        <v>0</v>
      </c>
      <c r="T170" s="578">
        <v>0</v>
      </c>
      <c r="U170" s="578">
        <v>0</v>
      </c>
      <c r="V170" s="578">
        <v>0</v>
      </c>
      <c r="W170" s="578">
        <v>0</v>
      </c>
      <c r="X170" s="578">
        <v>0</v>
      </c>
      <c r="Y170" s="578">
        <v>0</v>
      </c>
      <c r="Z170" s="578">
        <v>0</v>
      </c>
      <c r="AA170" s="578">
        <v>0</v>
      </c>
      <c r="AB170" s="578">
        <v>0</v>
      </c>
      <c r="AC170" s="578">
        <v>0</v>
      </c>
      <c r="AD170" s="578">
        <v>0</v>
      </c>
      <c r="AE170" s="578">
        <v>0</v>
      </c>
      <c r="AF170" s="578">
        <v>0</v>
      </c>
      <c r="AG170" s="578">
        <v>0</v>
      </c>
      <c r="AH170" s="578">
        <v>0</v>
      </c>
      <c r="AI170" s="578">
        <v>0</v>
      </c>
      <c r="AJ170" s="578">
        <v>0</v>
      </c>
      <c r="AK170" s="578">
        <v>0</v>
      </c>
      <c r="AL170" s="578">
        <v>0</v>
      </c>
      <c r="AM170" s="578">
        <v>0</v>
      </c>
      <c r="AN170" s="578">
        <v>0</v>
      </c>
      <c r="AO170" s="578">
        <v>0</v>
      </c>
      <c r="AP170" s="578">
        <v>0</v>
      </c>
      <c r="AQ170" s="578">
        <v>0</v>
      </c>
      <c r="AR170" s="578">
        <v>0</v>
      </c>
      <c r="AS170" s="578">
        <v>0</v>
      </c>
      <c r="AT170" s="578">
        <v>0</v>
      </c>
      <c r="AU170" s="578">
        <v>0</v>
      </c>
      <c r="AV170" s="578">
        <v>0</v>
      </c>
      <c r="AW170" s="578">
        <v>0</v>
      </c>
      <c r="AX170" s="578">
        <v>0</v>
      </c>
      <c r="AY170" s="578">
        <v>0</v>
      </c>
      <c r="AZ170" s="578">
        <v>0</v>
      </c>
      <c r="BA170" s="578">
        <v>0</v>
      </c>
      <c r="BB170" s="578">
        <v>0</v>
      </c>
      <c r="BC170" s="578">
        <v>0</v>
      </c>
      <c r="BD170" s="578">
        <v>0</v>
      </c>
      <c r="BE170" s="578">
        <v>0</v>
      </c>
      <c r="BF170" s="578">
        <v>0</v>
      </c>
      <c r="BG170" s="578">
        <v>0</v>
      </c>
      <c r="BH170" s="578">
        <v>0</v>
      </c>
      <c r="BI170" s="578">
        <v>0</v>
      </c>
      <c r="BJ170" s="578">
        <v>0</v>
      </c>
      <c r="BK170" s="578">
        <v>0</v>
      </c>
      <c r="BL170" s="578">
        <v>0</v>
      </c>
      <c r="BM170" s="578">
        <v>0</v>
      </c>
      <c r="BN170" s="578">
        <v>0</v>
      </c>
      <c r="BO170" s="578">
        <v>0</v>
      </c>
      <c r="BP170" s="578">
        <v>0</v>
      </c>
      <c r="BQ170" s="578">
        <v>0</v>
      </c>
      <c r="BR170" s="578">
        <v>0</v>
      </c>
      <c r="BS170" s="578">
        <v>0</v>
      </c>
      <c r="BT170" s="578">
        <v>0</v>
      </c>
      <c r="BU170" s="578">
        <v>0</v>
      </c>
      <c r="BV170" s="578">
        <v>0</v>
      </c>
      <c r="BW170" s="578">
        <v>0</v>
      </c>
      <c r="BX170" s="578">
        <v>0</v>
      </c>
      <c r="BY170" s="578">
        <v>0</v>
      </c>
      <c r="BZ170" s="578">
        <v>0</v>
      </c>
      <c r="CA170" s="578">
        <v>0</v>
      </c>
      <c r="CB170" s="578">
        <v>0</v>
      </c>
      <c r="CC170" s="578">
        <v>0</v>
      </c>
      <c r="CD170" s="578">
        <v>0</v>
      </c>
      <c r="CE170" s="578">
        <v>0</v>
      </c>
      <c r="CF170" s="578">
        <v>0</v>
      </c>
      <c r="CG170" s="578">
        <v>0</v>
      </c>
      <c r="CH170" s="578">
        <v>0</v>
      </c>
      <c r="CI170" s="578">
        <v>0</v>
      </c>
      <c r="CJ170" s="578">
        <v>0</v>
      </c>
      <c r="CK170" s="578">
        <v>0</v>
      </c>
      <c r="CL170" s="578">
        <v>0</v>
      </c>
      <c r="CM170" s="578">
        <v>0</v>
      </c>
      <c r="CN170" s="578">
        <v>0</v>
      </c>
      <c r="CO170" s="578">
        <v>0</v>
      </c>
      <c r="CP170" s="578">
        <v>0</v>
      </c>
      <c r="CQ170" s="578">
        <v>0</v>
      </c>
      <c r="CR170" s="578">
        <v>0</v>
      </c>
      <c r="CS170" s="578">
        <v>0</v>
      </c>
      <c r="CT170" s="578">
        <v>0</v>
      </c>
      <c r="CU170" s="578">
        <v>0</v>
      </c>
      <c r="CV170" s="578">
        <v>0</v>
      </c>
      <c r="CW170" s="578">
        <v>0</v>
      </c>
      <c r="CX170" s="578">
        <v>0</v>
      </c>
      <c r="CY170" s="578">
        <v>0</v>
      </c>
      <c r="CZ170" s="578">
        <v>0</v>
      </c>
      <c r="DA170" s="578">
        <v>0</v>
      </c>
      <c r="DB170" s="578">
        <v>0</v>
      </c>
      <c r="DC170" s="578">
        <v>0</v>
      </c>
      <c r="DD170" s="578">
        <v>0</v>
      </c>
      <c r="DE170" s="578">
        <v>0</v>
      </c>
      <c r="DF170" s="578">
        <v>0</v>
      </c>
      <c r="DG170" s="578">
        <v>0</v>
      </c>
      <c r="DH170" s="578">
        <v>0</v>
      </c>
      <c r="DI170" s="578">
        <v>0</v>
      </c>
      <c r="DJ170" s="578">
        <v>0</v>
      </c>
      <c r="DK170" s="578">
        <v>0</v>
      </c>
      <c r="DL170" s="578">
        <v>0</v>
      </c>
      <c r="DM170" s="578">
        <v>0</v>
      </c>
      <c r="DN170" s="578">
        <v>0</v>
      </c>
      <c r="DO170" s="578">
        <v>0</v>
      </c>
      <c r="DP170" s="578">
        <v>0</v>
      </c>
      <c r="DQ170" s="578">
        <v>0</v>
      </c>
      <c r="DR170" s="578">
        <v>0</v>
      </c>
      <c r="DS170" s="578">
        <v>0</v>
      </c>
      <c r="DT170" s="578">
        <v>0</v>
      </c>
      <c r="DU170" s="578">
        <v>0</v>
      </c>
      <c r="DV170" s="578">
        <v>0</v>
      </c>
      <c r="DW170" s="578">
        <v>0</v>
      </c>
      <c r="DX170" s="578">
        <v>0</v>
      </c>
      <c r="DY170" s="578">
        <v>0</v>
      </c>
      <c r="DZ170" s="578">
        <v>0</v>
      </c>
      <c r="EA170" s="578">
        <v>0</v>
      </c>
      <c r="EB170" s="578">
        <v>0</v>
      </c>
      <c r="EC170" s="578">
        <v>0</v>
      </c>
      <c r="ED170" s="578">
        <v>0</v>
      </c>
      <c r="EE170" s="578">
        <v>0</v>
      </c>
      <c r="EF170" s="578">
        <v>0</v>
      </c>
      <c r="EG170" s="578">
        <v>0</v>
      </c>
      <c r="EH170" s="578">
        <v>0</v>
      </c>
      <c r="EI170" s="578">
        <v>0</v>
      </c>
      <c r="EJ170" s="578">
        <v>0</v>
      </c>
      <c r="EK170" s="578">
        <v>0</v>
      </c>
      <c r="EL170" s="578">
        <v>0</v>
      </c>
      <c r="EM170" s="578">
        <v>0</v>
      </c>
      <c r="EN170" s="578">
        <v>0</v>
      </c>
      <c r="EO170" s="578">
        <v>0</v>
      </c>
      <c r="EP170" s="578">
        <v>0</v>
      </c>
      <c r="EQ170" s="578">
        <v>0</v>
      </c>
      <c r="ER170" s="578">
        <v>0</v>
      </c>
      <c r="ES170" s="578">
        <v>0</v>
      </c>
      <c r="ET170" s="578">
        <v>0</v>
      </c>
      <c r="EU170" s="578">
        <v>0</v>
      </c>
      <c r="EV170" s="578">
        <v>0</v>
      </c>
      <c r="EW170" s="578">
        <v>0</v>
      </c>
      <c r="EX170" s="578">
        <v>0</v>
      </c>
      <c r="EY170" s="578">
        <v>0</v>
      </c>
      <c r="EZ170" s="578">
        <v>0</v>
      </c>
      <c r="FA170" s="578">
        <v>0</v>
      </c>
      <c r="FB170" s="578">
        <v>0</v>
      </c>
      <c r="FC170" s="578">
        <v>0</v>
      </c>
      <c r="FD170" s="578">
        <v>0</v>
      </c>
      <c r="FE170" s="578">
        <v>0</v>
      </c>
      <c r="FF170" s="578">
        <v>0</v>
      </c>
      <c r="FG170" s="578">
        <v>0</v>
      </c>
      <c r="FH170" s="578">
        <v>0</v>
      </c>
      <c r="FI170" s="578">
        <v>0</v>
      </c>
      <c r="FJ170" s="578">
        <v>0</v>
      </c>
      <c r="FK170" s="578">
        <v>0</v>
      </c>
      <c r="FL170" s="578">
        <v>0</v>
      </c>
      <c r="FM170" s="578">
        <v>0</v>
      </c>
      <c r="FN170" s="578">
        <v>0</v>
      </c>
      <c r="FO170" s="578">
        <v>0</v>
      </c>
      <c r="FP170" s="578">
        <v>0</v>
      </c>
      <c r="FQ170" s="578">
        <v>0</v>
      </c>
      <c r="FR170" s="578">
        <v>0</v>
      </c>
      <c r="FS170" s="578">
        <v>0</v>
      </c>
      <c r="FT170" s="578">
        <v>0</v>
      </c>
      <c r="FU170" s="578">
        <v>0</v>
      </c>
      <c r="FV170" s="578">
        <v>0</v>
      </c>
      <c r="FW170" s="578">
        <v>0</v>
      </c>
      <c r="FX170" s="578">
        <v>0</v>
      </c>
      <c r="FY170" s="578">
        <v>0</v>
      </c>
      <c r="FZ170" s="578">
        <v>0</v>
      </c>
      <c r="GA170" s="578">
        <v>0</v>
      </c>
      <c r="GB170" s="578">
        <v>0</v>
      </c>
      <c r="GC170" s="578">
        <v>0</v>
      </c>
      <c r="GD170" s="578">
        <v>0</v>
      </c>
      <c r="GE170" s="578">
        <v>0</v>
      </c>
      <c r="GF170" s="578">
        <v>0</v>
      </c>
      <c r="GG170" s="579">
        <v>0</v>
      </c>
      <c r="GH170" s="572"/>
    </row>
    <row r="171" spans="1:190">
      <c r="A171" s="572" t="s">
        <v>9369</v>
      </c>
      <c r="B171" s="577" t="s">
        <v>733</v>
      </c>
      <c r="C171" s="573" t="s">
        <v>9551</v>
      </c>
      <c r="D171" s="578">
        <v>2.2315451218423637E-5</v>
      </c>
      <c r="E171" s="578">
        <v>0</v>
      </c>
      <c r="F171" s="578">
        <v>2.3568785500483158E-5</v>
      </c>
      <c r="G171" s="578">
        <v>0</v>
      </c>
      <c r="H171" s="578">
        <v>0</v>
      </c>
      <c r="I171" s="578">
        <v>0</v>
      </c>
      <c r="J171" s="578">
        <v>0</v>
      </c>
      <c r="K171" s="578">
        <v>5.6836346843806612E-4</v>
      </c>
      <c r="L171" s="578">
        <v>0</v>
      </c>
      <c r="M171" s="578">
        <v>3.6350418029807341E-4</v>
      </c>
      <c r="N171" s="578">
        <v>0</v>
      </c>
      <c r="O171" s="578">
        <v>0</v>
      </c>
      <c r="P171" s="578">
        <v>0</v>
      </c>
      <c r="Q171" s="578">
        <v>0</v>
      </c>
      <c r="R171" s="578">
        <v>2.2610366853202194E-4</v>
      </c>
      <c r="S171" s="578">
        <v>1.8674136321195146E-3</v>
      </c>
      <c r="T171" s="578">
        <v>1.3449546159826533E-4</v>
      </c>
      <c r="U171" s="578">
        <v>3.7297731532841131E-4</v>
      </c>
      <c r="V171" s="578">
        <v>8.9528186457369659E-5</v>
      </c>
      <c r="W171" s="578">
        <v>1.8995796414083852E-4</v>
      </c>
      <c r="X171" s="578">
        <v>1.970518988637527E-3</v>
      </c>
      <c r="Y171" s="578">
        <v>1.667058172752692E-4</v>
      </c>
      <c r="Z171" s="578">
        <v>7.4887869507216348E-4</v>
      </c>
      <c r="AA171" s="578">
        <v>0</v>
      </c>
      <c r="AB171" s="578">
        <v>9.0847524817892005E-5</v>
      </c>
      <c r="AC171" s="578">
        <v>2.2458322536062883E-4</v>
      </c>
      <c r="AD171" s="578">
        <v>0</v>
      </c>
      <c r="AE171" s="578">
        <v>0</v>
      </c>
      <c r="AF171" s="578">
        <v>0</v>
      </c>
      <c r="AG171" s="578">
        <v>0</v>
      </c>
      <c r="AH171" s="578">
        <v>0</v>
      </c>
      <c r="AI171" s="578">
        <v>0</v>
      </c>
      <c r="AJ171" s="578">
        <v>1.1557353366079168E-4</v>
      </c>
      <c r="AK171" s="578">
        <v>0</v>
      </c>
      <c r="AL171" s="578">
        <v>0</v>
      </c>
      <c r="AM171" s="578">
        <v>1.1479738261967628E-4</v>
      </c>
      <c r="AN171" s="578">
        <v>8.6266390614216703E-5</v>
      </c>
      <c r="AO171" s="578">
        <v>2.9147909447161318E-4</v>
      </c>
      <c r="AP171" s="578">
        <v>1.588310038119441E-4</v>
      </c>
      <c r="AQ171" s="578">
        <v>1.8621203343540511E-4</v>
      </c>
      <c r="AR171" s="578">
        <v>0</v>
      </c>
      <c r="AS171" s="578">
        <v>0</v>
      </c>
      <c r="AT171" s="578">
        <v>2.279556522640141E-4</v>
      </c>
      <c r="AU171" s="578">
        <v>1.6360988858166587E-5</v>
      </c>
      <c r="AV171" s="578">
        <v>5.9912527709544064E-5</v>
      </c>
      <c r="AW171" s="578">
        <v>3.7547604999195407E-4</v>
      </c>
      <c r="AX171" s="578">
        <v>1.426392652980612E-4</v>
      </c>
      <c r="AY171" s="578">
        <v>3.1715826197272439E-4</v>
      </c>
      <c r="AZ171" s="578">
        <v>2.8822026810136311E-4</v>
      </c>
      <c r="BA171" s="578">
        <v>2.7766208524226016E-4</v>
      </c>
      <c r="BB171" s="578">
        <v>9.443873877064372E-5</v>
      </c>
      <c r="BC171" s="578">
        <v>3.6844852467069915E-4</v>
      </c>
      <c r="BD171" s="578">
        <v>2.856468659571033E-4</v>
      </c>
      <c r="BE171" s="578">
        <v>2.9485892404574525E-4</v>
      </c>
      <c r="BF171" s="578">
        <v>2.4777006937561942E-4</v>
      </c>
      <c r="BG171" s="578">
        <v>3.784786641929499E-4</v>
      </c>
      <c r="BH171" s="578">
        <v>5.6340350684329138E-4</v>
      </c>
      <c r="BI171" s="578">
        <v>1.1927351585795608E-3</v>
      </c>
      <c r="BJ171" s="578">
        <v>3.5463771283417389E-4</v>
      </c>
      <c r="BK171" s="578">
        <v>0</v>
      </c>
      <c r="BL171" s="578">
        <v>0</v>
      </c>
      <c r="BM171" s="578">
        <v>1.4198137295987653E-4</v>
      </c>
      <c r="BN171" s="578">
        <v>0</v>
      </c>
      <c r="BO171" s="578">
        <v>8.6922088834374785E-5</v>
      </c>
      <c r="BP171" s="578">
        <v>0</v>
      </c>
      <c r="BQ171" s="578">
        <v>0</v>
      </c>
      <c r="BR171" s="578">
        <v>2.7738363223197806E-4</v>
      </c>
      <c r="BS171" s="578">
        <v>3.7427799751155709E-4</v>
      </c>
      <c r="BT171" s="578">
        <v>1.4569295210344199E-3</v>
      </c>
      <c r="BU171" s="578">
        <v>6.3812507251421275E-4</v>
      </c>
      <c r="BV171" s="578">
        <v>1.0106454655706779E-4</v>
      </c>
      <c r="BW171" s="578">
        <v>1.6902036920809449E-5</v>
      </c>
      <c r="BX171" s="578">
        <v>0</v>
      </c>
      <c r="BY171" s="578">
        <v>2.1270526057645627E-5</v>
      </c>
      <c r="BZ171" s="578">
        <v>0</v>
      </c>
      <c r="CA171" s="578">
        <v>1.473922546938161E-4</v>
      </c>
      <c r="CB171" s="578">
        <v>2.4820054604120131E-4</v>
      </c>
      <c r="CC171" s="578">
        <v>0</v>
      </c>
      <c r="CD171" s="578">
        <v>0</v>
      </c>
      <c r="CE171" s="578">
        <v>0</v>
      </c>
      <c r="CF171" s="578">
        <v>0</v>
      </c>
      <c r="CG171" s="578">
        <v>4.2559832030529588E-5</v>
      </c>
      <c r="CH171" s="578">
        <v>1.3423906125235787E-3</v>
      </c>
      <c r="CI171" s="578">
        <v>0</v>
      </c>
      <c r="CJ171" s="578">
        <v>9.5465393794749408E-5</v>
      </c>
      <c r="CK171" s="578">
        <v>2.4458632132086697E-4</v>
      </c>
      <c r="CL171" s="578">
        <v>1.4537062014806823E-4</v>
      </c>
      <c r="CM171" s="578">
        <v>3.8939145713132466E-4</v>
      </c>
      <c r="CN171" s="578">
        <v>1.0734272481667309E-3</v>
      </c>
      <c r="CO171" s="578">
        <v>8.5411684318414764E-4</v>
      </c>
      <c r="CP171" s="578">
        <v>6.8850201632733349E-4</v>
      </c>
      <c r="CQ171" s="578">
        <v>6.3706440721156905E-4</v>
      </c>
      <c r="CR171" s="578">
        <v>6.8807339449541288E-4</v>
      </c>
      <c r="CS171" s="578">
        <v>5.650355972426263E-5</v>
      </c>
      <c r="CT171" s="578">
        <v>5.8324341663993468E-4</v>
      </c>
      <c r="CU171" s="578">
        <v>7.0135272398948775E-4</v>
      </c>
      <c r="CV171" s="578">
        <v>2.7259266601822651E-4</v>
      </c>
      <c r="CW171" s="578">
        <v>2.7307482250136535E-4</v>
      </c>
      <c r="CX171" s="578">
        <v>3.4265644408275152E-4</v>
      </c>
      <c r="CY171" s="578">
        <v>1.7400860884696402E-4</v>
      </c>
      <c r="CZ171" s="578">
        <v>3.0227596017069704E-4</v>
      </c>
      <c r="DA171" s="578">
        <v>3.4267846051701614E-4</v>
      </c>
      <c r="DB171" s="578">
        <v>3.7905452970162992E-4</v>
      </c>
      <c r="DC171" s="578">
        <v>0</v>
      </c>
      <c r="DD171" s="578">
        <v>4.8309178743961351E-4</v>
      </c>
      <c r="DE171" s="578">
        <v>3.5891471459465352E-4</v>
      </c>
      <c r="DF171" s="578">
        <v>1.5875868679606998E-3</v>
      </c>
      <c r="DG171" s="578">
        <v>8.2890267720255192E-4</v>
      </c>
      <c r="DH171" s="578">
        <v>1.9030142386243926E-3</v>
      </c>
      <c r="DI171" s="578">
        <v>6.6233938269969535E-4</v>
      </c>
      <c r="DJ171" s="578">
        <v>8.6968405620643818E-4</v>
      </c>
      <c r="DK171" s="578">
        <v>1.0436875025669398E-3</v>
      </c>
      <c r="DL171" s="578">
        <v>2.9746723567586676E-3</v>
      </c>
      <c r="DM171" s="578">
        <v>5.5140821174075327E-4</v>
      </c>
      <c r="DN171" s="578">
        <v>1.402987538169514E-4</v>
      </c>
      <c r="DO171" s="578">
        <v>0</v>
      </c>
      <c r="DP171" s="578">
        <v>1.9719544259421559E-4</v>
      </c>
      <c r="DQ171" s="578">
        <v>9.4555941658984002E-5</v>
      </c>
      <c r="DR171" s="578">
        <v>1.6005922191210747E-4</v>
      </c>
      <c r="DS171" s="578">
        <v>8.4287307549322501E-4</v>
      </c>
      <c r="DT171" s="578">
        <v>8.7470569797870089E-5</v>
      </c>
      <c r="DU171" s="578">
        <v>5.5739584660466304E-5</v>
      </c>
      <c r="DV171" s="578">
        <v>1.2669614463631872E-4</v>
      </c>
      <c r="DW171" s="578">
        <v>1.6858005023685498E-5</v>
      </c>
      <c r="DX171" s="578">
        <v>9.1935988036063426E-5</v>
      </c>
      <c r="DY171" s="578">
        <v>4.7430080156835466E-5</v>
      </c>
      <c r="DZ171" s="578">
        <v>2.054622648341229E-4</v>
      </c>
      <c r="EA171" s="578">
        <v>2.4262497968850514E-4</v>
      </c>
      <c r="EB171" s="578">
        <v>3.446849579484351E-5</v>
      </c>
      <c r="EC171" s="578">
        <v>1.3456192448017812E-4</v>
      </c>
      <c r="ED171" s="578">
        <v>1.7186637841358287E-4</v>
      </c>
      <c r="EE171" s="578">
        <v>5.7080627348162329E-4</v>
      </c>
      <c r="EF171" s="578">
        <v>4.3295596677463838E-4</v>
      </c>
      <c r="EG171" s="578">
        <v>0</v>
      </c>
      <c r="EH171" s="578">
        <v>9.5846645367412143E-5</v>
      </c>
      <c r="EI171" s="578">
        <v>1.5735994964481611E-4</v>
      </c>
      <c r="EJ171" s="578">
        <v>1.8244288324464333E-4</v>
      </c>
      <c r="EK171" s="578">
        <v>2.6685733840683338E-4</v>
      </c>
      <c r="EL171" s="578">
        <v>1.3726835964310226E-4</v>
      </c>
      <c r="EM171" s="578">
        <v>3.2852681451692704E-4</v>
      </c>
      <c r="EN171" s="578">
        <v>5.0823165876648791E-6</v>
      </c>
      <c r="EO171" s="578">
        <v>0</v>
      </c>
      <c r="EP171" s="578">
        <v>0</v>
      </c>
      <c r="EQ171" s="578">
        <v>7.1651544372099956E-3</v>
      </c>
      <c r="ER171" s="578">
        <v>3.9215686274509803E-3</v>
      </c>
      <c r="ES171" s="578">
        <v>3.7422348626599803E-4</v>
      </c>
      <c r="ET171" s="578">
        <v>2.3055793695697974E-4</v>
      </c>
      <c r="EU171" s="578">
        <v>0</v>
      </c>
      <c r="EV171" s="578">
        <v>0</v>
      </c>
      <c r="EW171" s="578">
        <v>2.7223583401392293E-4</v>
      </c>
      <c r="EX171" s="578">
        <v>5.7819064872990785E-5</v>
      </c>
      <c r="EY171" s="578">
        <v>5.6913787983767195E-4</v>
      </c>
      <c r="EZ171" s="578">
        <v>3.2156017520684142E-4</v>
      </c>
      <c r="FA171" s="578">
        <v>1.9655805014414258E-4</v>
      </c>
      <c r="FB171" s="578">
        <v>3.3729429264327417E-4</v>
      </c>
      <c r="FC171" s="578">
        <v>2.3821898821898822E-4</v>
      </c>
      <c r="FD171" s="578">
        <v>4.8073611179451853E-3</v>
      </c>
      <c r="FE171" s="578">
        <v>8.394895903290799E-4</v>
      </c>
      <c r="FF171" s="578">
        <v>4.0574566193423128E-3</v>
      </c>
      <c r="FG171" s="578">
        <v>6.8893528183716071E-3</v>
      </c>
      <c r="FH171" s="578">
        <v>7.4784587871890745E-4</v>
      </c>
      <c r="FI171" s="578">
        <v>3.8169956133911949E-4</v>
      </c>
      <c r="FJ171" s="578">
        <v>4.5561459561357046E-6</v>
      </c>
      <c r="FK171" s="578">
        <v>4.0673678130881798E-6</v>
      </c>
      <c r="FL171" s="578">
        <v>0</v>
      </c>
      <c r="FM171" s="578">
        <v>0</v>
      </c>
      <c r="FN171" s="578">
        <v>1.8676403298252822E-6</v>
      </c>
      <c r="FO171" s="578">
        <v>1.1190041061509081E-4</v>
      </c>
      <c r="FP171" s="578">
        <v>0</v>
      </c>
      <c r="FQ171" s="578">
        <v>8.0704859545715127E-5</v>
      </c>
      <c r="FR171" s="578">
        <v>2.1011297074060155E-5</v>
      </c>
      <c r="FS171" s="578">
        <v>0</v>
      </c>
      <c r="FT171" s="578">
        <v>4.0466296244416432E-4</v>
      </c>
      <c r="FU171" s="578">
        <v>4.1172030467302544E-4</v>
      </c>
      <c r="FV171" s="578">
        <v>1.0472958820325919E-3</v>
      </c>
      <c r="FW171" s="578">
        <v>0</v>
      </c>
      <c r="FX171" s="578">
        <v>2.8029105423071318E-6</v>
      </c>
      <c r="FY171" s="578">
        <v>5.8551406081670289E-4</v>
      </c>
      <c r="FZ171" s="578">
        <v>2.2955349679274785E-4</v>
      </c>
      <c r="GA171" s="578">
        <v>4.2229798718239841E-4</v>
      </c>
      <c r="GB171" s="578">
        <v>1.0989581122446573E-3</v>
      </c>
      <c r="GC171" s="578">
        <v>2.4044897028348191E-4</v>
      </c>
      <c r="GD171" s="578">
        <v>5.1386943685955246E-4</v>
      </c>
      <c r="GE171" s="578">
        <v>0</v>
      </c>
      <c r="GF171" s="578">
        <v>1.645173273894815E-4</v>
      </c>
      <c r="GG171" s="579">
        <v>4.0617505179604634E-4</v>
      </c>
      <c r="GH171" s="572"/>
    </row>
    <row r="172" spans="1:190">
      <c r="A172" s="572" t="s">
        <v>9370</v>
      </c>
      <c r="B172" s="577" t="s">
        <v>738</v>
      </c>
      <c r="C172" s="573" t="s">
        <v>9552</v>
      </c>
      <c r="D172" s="578">
        <v>0</v>
      </c>
      <c r="E172" s="578">
        <v>0</v>
      </c>
      <c r="F172" s="578">
        <v>0</v>
      </c>
      <c r="G172" s="578">
        <v>0</v>
      </c>
      <c r="H172" s="578">
        <v>0</v>
      </c>
      <c r="I172" s="578">
        <v>0</v>
      </c>
      <c r="J172" s="578">
        <v>0</v>
      </c>
      <c r="K172" s="578">
        <v>0</v>
      </c>
      <c r="L172" s="578">
        <v>0</v>
      </c>
      <c r="M172" s="578">
        <v>0</v>
      </c>
      <c r="N172" s="578">
        <v>0</v>
      </c>
      <c r="O172" s="578">
        <v>0</v>
      </c>
      <c r="P172" s="578">
        <v>0</v>
      </c>
      <c r="Q172" s="578">
        <v>0</v>
      </c>
      <c r="R172" s="578">
        <v>0</v>
      </c>
      <c r="S172" s="578">
        <v>0</v>
      </c>
      <c r="T172" s="578">
        <v>0</v>
      </c>
      <c r="U172" s="578">
        <v>0</v>
      </c>
      <c r="V172" s="578">
        <v>0</v>
      </c>
      <c r="W172" s="578">
        <v>0</v>
      </c>
      <c r="X172" s="578">
        <v>0</v>
      </c>
      <c r="Y172" s="578">
        <v>0</v>
      </c>
      <c r="Z172" s="578">
        <v>0</v>
      </c>
      <c r="AA172" s="578">
        <v>0</v>
      </c>
      <c r="AB172" s="578">
        <v>0</v>
      </c>
      <c r="AC172" s="578">
        <v>0</v>
      </c>
      <c r="AD172" s="578">
        <v>0</v>
      </c>
      <c r="AE172" s="578">
        <v>0</v>
      </c>
      <c r="AF172" s="578">
        <v>0</v>
      </c>
      <c r="AG172" s="578">
        <v>0</v>
      </c>
      <c r="AH172" s="578">
        <v>0</v>
      </c>
      <c r="AI172" s="578">
        <v>0</v>
      </c>
      <c r="AJ172" s="578">
        <v>0</v>
      </c>
      <c r="AK172" s="578">
        <v>0</v>
      </c>
      <c r="AL172" s="578">
        <v>0</v>
      </c>
      <c r="AM172" s="578">
        <v>0</v>
      </c>
      <c r="AN172" s="578">
        <v>0</v>
      </c>
      <c r="AO172" s="578">
        <v>0</v>
      </c>
      <c r="AP172" s="578">
        <v>0</v>
      </c>
      <c r="AQ172" s="578">
        <v>0</v>
      </c>
      <c r="AR172" s="578">
        <v>0</v>
      </c>
      <c r="AS172" s="578">
        <v>0</v>
      </c>
      <c r="AT172" s="578">
        <v>0</v>
      </c>
      <c r="AU172" s="578">
        <v>0</v>
      </c>
      <c r="AV172" s="578">
        <v>0</v>
      </c>
      <c r="AW172" s="578">
        <v>0</v>
      </c>
      <c r="AX172" s="578">
        <v>0</v>
      </c>
      <c r="AY172" s="578">
        <v>0</v>
      </c>
      <c r="AZ172" s="578">
        <v>0</v>
      </c>
      <c r="BA172" s="578">
        <v>0</v>
      </c>
      <c r="BB172" s="578">
        <v>0</v>
      </c>
      <c r="BC172" s="578">
        <v>0</v>
      </c>
      <c r="BD172" s="578">
        <v>0</v>
      </c>
      <c r="BE172" s="578">
        <v>0</v>
      </c>
      <c r="BF172" s="578">
        <v>0</v>
      </c>
      <c r="BG172" s="578">
        <v>0</v>
      </c>
      <c r="BH172" s="578">
        <v>0</v>
      </c>
      <c r="BI172" s="578">
        <v>0</v>
      </c>
      <c r="BJ172" s="578">
        <v>0</v>
      </c>
      <c r="BK172" s="578">
        <v>0</v>
      </c>
      <c r="BL172" s="578">
        <v>0</v>
      </c>
      <c r="BM172" s="578">
        <v>0</v>
      </c>
      <c r="BN172" s="578">
        <v>0</v>
      </c>
      <c r="BO172" s="578">
        <v>0</v>
      </c>
      <c r="BP172" s="578">
        <v>0</v>
      </c>
      <c r="BQ172" s="578">
        <v>0</v>
      </c>
      <c r="BR172" s="578">
        <v>0</v>
      </c>
      <c r="BS172" s="578">
        <v>0</v>
      </c>
      <c r="BT172" s="578">
        <v>0</v>
      </c>
      <c r="BU172" s="578">
        <v>0</v>
      </c>
      <c r="BV172" s="578">
        <v>0</v>
      </c>
      <c r="BW172" s="578">
        <v>0</v>
      </c>
      <c r="BX172" s="578">
        <v>0</v>
      </c>
      <c r="BY172" s="578">
        <v>0</v>
      </c>
      <c r="BZ172" s="578">
        <v>0</v>
      </c>
      <c r="CA172" s="578">
        <v>0</v>
      </c>
      <c r="CB172" s="578">
        <v>0</v>
      </c>
      <c r="CC172" s="578">
        <v>0</v>
      </c>
      <c r="CD172" s="578">
        <v>0</v>
      </c>
      <c r="CE172" s="578">
        <v>0</v>
      </c>
      <c r="CF172" s="578">
        <v>0</v>
      </c>
      <c r="CG172" s="578">
        <v>0</v>
      </c>
      <c r="CH172" s="578">
        <v>0</v>
      </c>
      <c r="CI172" s="578">
        <v>0</v>
      </c>
      <c r="CJ172" s="578">
        <v>0</v>
      </c>
      <c r="CK172" s="578">
        <v>0</v>
      </c>
      <c r="CL172" s="578">
        <v>0</v>
      </c>
      <c r="CM172" s="578">
        <v>0</v>
      </c>
      <c r="CN172" s="578">
        <v>0</v>
      </c>
      <c r="CO172" s="578">
        <v>0</v>
      </c>
      <c r="CP172" s="578">
        <v>0</v>
      </c>
      <c r="CQ172" s="578">
        <v>0</v>
      </c>
      <c r="CR172" s="578">
        <v>0</v>
      </c>
      <c r="CS172" s="578">
        <v>0</v>
      </c>
      <c r="CT172" s="578">
        <v>0</v>
      </c>
      <c r="CU172" s="578">
        <v>0</v>
      </c>
      <c r="CV172" s="578">
        <v>0</v>
      </c>
      <c r="CW172" s="578">
        <v>0</v>
      </c>
      <c r="CX172" s="578">
        <v>0</v>
      </c>
      <c r="CY172" s="578">
        <v>0</v>
      </c>
      <c r="CZ172" s="578">
        <v>0</v>
      </c>
      <c r="DA172" s="578">
        <v>0</v>
      </c>
      <c r="DB172" s="578">
        <v>0</v>
      </c>
      <c r="DC172" s="578">
        <v>0</v>
      </c>
      <c r="DD172" s="578">
        <v>0</v>
      </c>
      <c r="DE172" s="578">
        <v>0</v>
      </c>
      <c r="DF172" s="578">
        <v>0</v>
      </c>
      <c r="DG172" s="578">
        <v>0</v>
      </c>
      <c r="DH172" s="578">
        <v>0</v>
      </c>
      <c r="DI172" s="578">
        <v>0</v>
      </c>
      <c r="DJ172" s="578">
        <v>0</v>
      </c>
      <c r="DK172" s="578">
        <v>0</v>
      </c>
      <c r="DL172" s="578">
        <v>0</v>
      </c>
      <c r="DM172" s="578">
        <v>0</v>
      </c>
      <c r="DN172" s="578">
        <v>0</v>
      </c>
      <c r="DO172" s="578">
        <v>0</v>
      </c>
      <c r="DP172" s="578">
        <v>0</v>
      </c>
      <c r="DQ172" s="578">
        <v>0</v>
      </c>
      <c r="DR172" s="578">
        <v>0</v>
      </c>
      <c r="DS172" s="578">
        <v>0</v>
      </c>
      <c r="DT172" s="578">
        <v>0</v>
      </c>
      <c r="DU172" s="578">
        <v>0</v>
      </c>
      <c r="DV172" s="578">
        <v>0</v>
      </c>
      <c r="DW172" s="578">
        <v>0</v>
      </c>
      <c r="DX172" s="578">
        <v>0</v>
      </c>
      <c r="DY172" s="578">
        <v>0</v>
      </c>
      <c r="DZ172" s="578">
        <v>0</v>
      </c>
      <c r="EA172" s="578">
        <v>0</v>
      </c>
      <c r="EB172" s="578">
        <v>0</v>
      </c>
      <c r="EC172" s="578">
        <v>0</v>
      </c>
      <c r="ED172" s="578">
        <v>0</v>
      </c>
      <c r="EE172" s="578">
        <v>0</v>
      </c>
      <c r="EF172" s="578">
        <v>0</v>
      </c>
      <c r="EG172" s="578">
        <v>0</v>
      </c>
      <c r="EH172" s="578">
        <v>0</v>
      </c>
      <c r="EI172" s="578">
        <v>0</v>
      </c>
      <c r="EJ172" s="578">
        <v>0</v>
      </c>
      <c r="EK172" s="578">
        <v>0</v>
      </c>
      <c r="EL172" s="578">
        <v>0</v>
      </c>
      <c r="EM172" s="578">
        <v>0</v>
      </c>
      <c r="EN172" s="578">
        <v>0</v>
      </c>
      <c r="EO172" s="578">
        <v>0</v>
      </c>
      <c r="EP172" s="578">
        <v>0</v>
      </c>
      <c r="EQ172" s="578">
        <v>0</v>
      </c>
      <c r="ER172" s="578">
        <v>0</v>
      </c>
      <c r="ES172" s="578">
        <v>0</v>
      </c>
      <c r="ET172" s="578">
        <v>0</v>
      </c>
      <c r="EU172" s="578">
        <v>0</v>
      </c>
      <c r="EV172" s="578">
        <v>0</v>
      </c>
      <c r="EW172" s="578">
        <v>0</v>
      </c>
      <c r="EX172" s="578">
        <v>0</v>
      </c>
      <c r="EY172" s="578">
        <v>0</v>
      </c>
      <c r="EZ172" s="578">
        <v>0</v>
      </c>
      <c r="FA172" s="578">
        <v>0</v>
      </c>
      <c r="FB172" s="578">
        <v>0</v>
      </c>
      <c r="FC172" s="578">
        <v>0</v>
      </c>
      <c r="FD172" s="578">
        <v>0</v>
      </c>
      <c r="FE172" s="578">
        <v>0</v>
      </c>
      <c r="FF172" s="578">
        <v>0</v>
      </c>
      <c r="FG172" s="578">
        <v>0</v>
      </c>
      <c r="FH172" s="578">
        <v>0</v>
      </c>
      <c r="FI172" s="578">
        <v>0</v>
      </c>
      <c r="FJ172" s="578">
        <v>0</v>
      </c>
      <c r="FK172" s="578">
        <v>0</v>
      </c>
      <c r="FL172" s="578">
        <v>0</v>
      </c>
      <c r="FM172" s="578">
        <v>0</v>
      </c>
      <c r="FN172" s="578">
        <v>0</v>
      </c>
      <c r="FO172" s="578">
        <v>0</v>
      </c>
      <c r="FP172" s="578">
        <v>0</v>
      </c>
      <c r="FQ172" s="578">
        <v>0</v>
      </c>
      <c r="FR172" s="578">
        <v>0</v>
      </c>
      <c r="FS172" s="578">
        <v>0</v>
      </c>
      <c r="FT172" s="578">
        <v>0</v>
      </c>
      <c r="FU172" s="578">
        <v>0</v>
      </c>
      <c r="FV172" s="578">
        <v>0</v>
      </c>
      <c r="FW172" s="578">
        <v>0</v>
      </c>
      <c r="FX172" s="578">
        <v>0</v>
      </c>
      <c r="FY172" s="578">
        <v>0</v>
      </c>
      <c r="FZ172" s="578">
        <v>0</v>
      </c>
      <c r="GA172" s="578">
        <v>0</v>
      </c>
      <c r="GB172" s="578">
        <v>0</v>
      </c>
      <c r="GC172" s="578">
        <v>0</v>
      </c>
      <c r="GD172" s="578">
        <v>0</v>
      </c>
      <c r="GE172" s="578">
        <v>0</v>
      </c>
      <c r="GF172" s="578">
        <v>0</v>
      </c>
      <c r="GG172" s="579">
        <v>0</v>
      </c>
      <c r="GH172" s="572"/>
    </row>
    <row r="173" spans="1:190">
      <c r="A173" s="572" t="s">
        <v>9371</v>
      </c>
      <c r="B173" s="577" t="s">
        <v>9484</v>
      </c>
      <c r="C173" s="573" t="s">
        <v>746</v>
      </c>
      <c r="D173" s="578">
        <v>0</v>
      </c>
      <c r="E173" s="578">
        <v>0</v>
      </c>
      <c r="F173" s="578">
        <v>0</v>
      </c>
      <c r="G173" s="578">
        <v>0</v>
      </c>
      <c r="H173" s="578">
        <v>0</v>
      </c>
      <c r="I173" s="578">
        <v>0</v>
      </c>
      <c r="J173" s="578">
        <v>0</v>
      </c>
      <c r="K173" s="578">
        <v>0</v>
      </c>
      <c r="L173" s="578">
        <v>0</v>
      </c>
      <c r="M173" s="578">
        <v>0</v>
      </c>
      <c r="N173" s="578">
        <v>0</v>
      </c>
      <c r="O173" s="578">
        <v>0</v>
      </c>
      <c r="P173" s="578">
        <v>0</v>
      </c>
      <c r="Q173" s="578">
        <v>0</v>
      </c>
      <c r="R173" s="578">
        <v>0</v>
      </c>
      <c r="S173" s="578">
        <v>0</v>
      </c>
      <c r="T173" s="578">
        <v>0</v>
      </c>
      <c r="U173" s="578">
        <v>0</v>
      </c>
      <c r="V173" s="578">
        <v>0</v>
      </c>
      <c r="W173" s="578">
        <v>0</v>
      </c>
      <c r="X173" s="578">
        <v>0</v>
      </c>
      <c r="Y173" s="578">
        <v>0</v>
      </c>
      <c r="Z173" s="578">
        <v>0</v>
      </c>
      <c r="AA173" s="578">
        <v>0</v>
      </c>
      <c r="AB173" s="578">
        <v>0</v>
      </c>
      <c r="AC173" s="578">
        <v>0</v>
      </c>
      <c r="AD173" s="578">
        <v>0</v>
      </c>
      <c r="AE173" s="578">
        <v>0</v>
      </c>
      <c r="AF173" s="578">
        <v>0</v>
      </c>
      <c r="AG173" s="578">
        <v>0</v>
      </c>
      <c r="AH173" s="578">
        <v>0</v>
      </c>
      <c r="AI173" s="578">
        <v>0</v>
      </c>
      <c r="AJ173" s="578">
        <v>0</v>
      </c>
      <c r="AK173" s="578">
        <v>0</v>
      </c>
      <c r="AL173" s="578">
        <v>0</v>
      </c>
      <c r="AM173" s="578">
        <v>0</v>
      </c>
      <c r="AN173" s="578">
        <v>0</v>
      </c>
      <c r="AO173" s="578">
        <v>0</v>
      </c>
      <c r="AP173" s="578">
        <v>0</v>
      </c>
      <c r="AQ173" s="578">
        <v>0</v>
      </c>
      <c r="AR173" s="578">
        <v>0</v>
      </c>
      <c r="AS173" s="578">
        <v>0</v>
      </c>
      <c r="AT173" s="578">
        <v>0</v>
      </c>
      <c r="AU173" s="578">
        <v>0</v>
      </c>
      <c r="AV173" s="578">
        <v>0</v>
      </c>
      <c r="AW173" s="578">
        <v>0</v>
      </c>
      <c r="AX173" s="578">
        <v>0</v>
      </c>
      <c r="AY173" s="578">
        <v>0</v>
      </c>
      <c r="AZ173" s="578">
        <v>0</v>
      </c>
      <c r="BA173" s="578">
        <v>0</v>
      </c>
      <c r="BB173" s="578">
        <v>0</v>
      </c>
      <c r="BC173" s="578">
        <v>0</v>
      </c>
      <c r="BD173" s="578">
        <v>0</v>
      </c>
      <c r="BE173" s="578">
        <v>0</v>
      </c>
      <c r="BF173" s="578">
        <v>0</v>
      </c>
      <c r="BG173" s="578">
        <v>0</v>
      </c>
      <c r="BH173" s="578">
        <v>0</v>
      </c>
      <c r="BI173" s="578">
        <v>0</v>
      </c>
      <c r="BJ173" s="578">
        <v>0</v>
      </c>
      <c r="BK173" s="578">
        <v>0</v>
      </c>
      <c r="BL173" s="578">
        <v>0</v>
      </c>
      <c r="BM173" s="578">
        <v>0</v>
      </c>
      <c r="BN173" s="578">
        <v>0</v>
      </c>
      <c r="BO173" s="578">
        <v>0</v>
      </c>
      <c r="BP173" s="578">
        <v>0</v>
      </c>
      <c r="BQ173" s="578">
        <v>0</v>
      </c>
      <c r="BR173" s="578">
        <v>0</v>
      </c>
      <c r="BS173" s="578">
        <v>0</v>
      </c>
      <c r="BT173" s="578">
        <v>0</v>
      </c>
      <c r="BU173" s="578">
        <v>0</v>
      </c>
      <c r="BV173" s="578">
        <v>0</v>
      </c>
      <c r="BW173" s="578">
        <v>0</v>
      </c>
      <c r="BX173" s="578">
        <v>0</v>
      </c>
      <c r="BY173" s="578">
        <v>0</v>
      </c>
      <c r="BZ173" s="578">
        <v>0</v>
      </c>
      <c r="CA173" s="578">
        <v>0</v>
      </c>
      <c r="CB173" s="578">
        <v>0</v>
      </c>
      <c r="CC173" s="578">
        <v>0</v>
      </c>
      <c r="CD173" s="578">
        <v>0</v>
      </c>
      <c r="CE173" s="578">
        <v>0</v>
      </c>
      <c r="CF173" s="578">
        <v>0</v>
      </c>
      <c r="CG173" s="578">
        <v>0</v>
      </c>
      <c r="CH173" s="578">
        <v>0</v>
      </c>
      <c r="CI173" s="578">
        <v>0</v>
      </c>
      <c r="CJ173" s="578">
        <v>0</v>
      </c>
      <c r="CK173" s="578">
        <v>0</v>
      </c>
      <c r="CL173" s="578">
        <v>0</v>
      </c>
      <c r="CM173" s="578">
        <v>0</v>
      </c>
      <c r="CN173" s="578">
        <v>0</v>
      </c>
      <c r="CO173" s="578">
        <v>0</v>
      </c>
      <c r="CP173" s="578">
        <v>0</v>
      </c>
      <c r="CQ173" s="578">
        <v>0</v>
      </c>
      <c r="CR173" s="578">
        <v>0</v>
      </c>
      <c r="CS173" s="578">
        <v>0</v>
      </c>
      <c r="CT173" s="578">
        <v>0</v>
      </c>
      <c r="CU173" s="578">
        <v>0</v>
      </c>
      <c r="CV173" s="578">
        <v>0</v>
      </c>
      <c r="CW173" s="578">
        <v>0</v>
      </c>
      <c r="CX173" s="578">
        <v>0</v>
      </c>
      <c r="CY173" s="578">
        <v>0</v>
      </c>
      <c r="CZ173" s="578">
        <v>0</v>
      </c>
      <c r="DA173" s="578">
        <v>0</v>
      </c>
      <c r="DB173" s="578">
        <v>0</v>
      </c>
      <c r="DC173" s="578">
        <v>0</v>
      </c>
      <c r="DD173" s="578">
        <v>0</v>
      </c>
      <c r="DE173" s="578">
        <v>0</v>
      </c>
      <c r="DF173" s="578">
        <v>0</v>
      </c>
      <c r="DG173" s="578">
        <v>0</v>
      </c>
      <c r="DH173" s="578">
        <v>0</v>
      </c>
      <c r="DI173" s="578">
        <v>0</v>
      </c>
      <c r="DJ173" s="578">
        <v>0</v>
      </c>
      <c r="DK173" s="578">
        <v>0</v>
      </c>
      <c r="DL173" s="578">
        <v>0</v>
      </c>
      <c r="DM173" s="578">
        <v>0</v>
      </c>
      <c r="DN173" s="578">
        <v>0</v>
      </c>
      <c r="DO173" s="578">
        <v>0</v>
      </c>
      <c r="DP173" s="578">
        <v>0</v>
      </c>
      <c r="DQ173" s="578">
        <v>0</v>
      </c>
      <c r="DR173" s="578">
        <v>0</v>
      </c>
      <c r="DS173" s="578">
        <v>0</v>
      </c>
      <c r="DT173" s="578">
        <v>0</v>
      </c>
      <c r="DU173" s="578">
        <v>0</v>
      </c>
      <c r="DV173" s="578">
        <v>0</v>
      </c>
      <c r="DW173" s="578">
        <v>0</v>
      </c>
      <c r="DX173" s="578">
        <v>0</v>
      </c>
      <c r="DY173" s="578">
        <v>0</v>
      </c>
      <c r="DZ173" s="578">
        <v>0</v>
      </c>
      <c r="EA173" s="578">
        <v>0</v>
      </c>
      <c r="EB173" s="578">
        <v>0</v>
      </c>
      <c r="EC173" s="578">
        <v>0</v>
      </c>
      <c r="ED173" s="578">
        <v>0</v>
      </c>
      <c r="EE173" s="578">
        <v>0</v>
      </c>
      <c r="EF173" s="578">
        <v>0</v>
      </c>
      <c r="EG173" s="578">
        <v>0</v>
      </c>
      <c r="EH173" s="578">
        <v>0</v>
      </c>
      <c r="EI173" s="578">
        <v>0</v>
      </c>
      <c r="EJ173" s="578">
        <v>0</v>
      </c>
      <c r="EK173" s="578">
        <v>0</v>
      </c>
      <c r="EL173" s="578">
        <v>0</v>
      </c>
      <c r="EM173" s="578">
        <v>0</v>
      </c>
      <c r="EN173" s="578">
        <v>0</v>
      </c>
      <c r="EO173" s="578">
        <v>0</v>
      </c>
      <c r="EP173" s="578">
        <v>0</v>
      </c>
      <c r="EQ173" s="578">
        <v>0</v>
      </c>
      <c r="ER173" s="578">
        <v>0</v>
      </c>
      <c r="ES173" s="578">
        <v>0</v>
      </c>
      <c r="ET173" s="578">
        <v>0</v>
      </c>
      <c r="EU173" s="578">
        <v>0</v>
      </c>
      <c r="EV173" s="578">
        <v>0</v>
      </c>
      <c r="EW173" s="578">
        <v>0</v>
      </c>
      <c r="EX173" s="578">
        <v>0</v>
      </c>
      <c r="EY173" s="578">
        <v>0</v>
      </c>
      <c r="EZ173" s="578">
        <v>0</v>
      </c>
      <c r="FA173" s="578">
        <v>0</v>
      </c>
      <c r="FB173" s="578">
        <v>0</v>
      </c>
      <c r="FC173" s="578">
        <v>0</v>
      </c>
      <c r="FD173" s="578">
        <v>0</v>
      </c>
      <c r="FE173" s="578">
        <v>0</v>
      </c>
      <c r="FF173" s="578">
        <v>0</v>
      </c>
      <c r="FG173" s="578">
        <v>0</v>
      </c>
      <c r="FH173" s="578">
        <v>0</v>
      </c>
      <c r="FI173" s="578">
        <v>0</v>
      </c>
      <c r="FJ173" s="578">
        <v>0</v>
      </c>
      <c r="FK173" s="578">
        <v>0</v>
      </c>
      <c r="FL173" s="578">
        <v>0</v>
      </c>
      <c r="FM173" s="578">
        <v>0</v>
      </c>
      <c r="FN173" s="578">
        <v>0</v>
      </c>
      <c r="FO173" s="578">
        <v>0</v>
      </c>
      <c r="FP173" s="578">
        <v>0</v>
      </c>
      <c r="FQ173" s="578">
        <v>0</v>
      </c>
      <c r="FR173" s="578">
        <v>0</v>
      </c>
      <c r="FS173" s="578">
        <v>0</v>
      </c>
      <c r="FT173" s="578">
        <v>0</v>
      </c>
      <c r="FU173" s="578">
        <v>0</v>
      </c>
      <c r="FV173" s="578">
        <v>0</v>
      </c>
      <c r="FW173" s="578">
        <v>0</v>
      </c>
      <c r="FX173" s="578">
        <v>0</v>
      </c>
      <c r="FY173" s="578">
        <v>0</v>
      </c>
      <c r="FZ173" s="578">
        <v>0</v>
      </c>
      <c r="GA173" s="578">
        <v>0</v>
      </c>
      <c r="GB173" s="578">
        <v>0</v>
      </c>
      <c r="GC173" s="578">
        <v>0</v>
      </c>
      <c r="GD173" s="578">
        <v>0</v>
      </c>
      <c r="GE173" s="578">
        <v>0</v>
      </c>
      <c r="GF173" s="578">
        <v>0</v>
      </c>
      <c r="GG173" s="579">
        <v>0</v>
      </c>
      <c r="GH173" s="572"/>
    </row>
    <row r="174" spans="1:190">
      <c r="A174" s="572" t="s">
        <v>9372</v>
      </c>
      <c r="B174" s="577" t="s">
        <v>747</v>
      </c>
      <c r="C174" s="573" t="s">
        <v>9118</v>
      </c>
      <c r="D174" s="578">
        <v>0</v>
      </c>
      <c r="E174" s="578">
        <v>0</v>
      </c>
      <c r="F174" s="578">
        <v>0</v>
      </c>
      <c r="G174" s="578">
        <v>0</v>
      </c>
      <c r="H174" s="578">
        <v>0</v>
      </c>
      <c r="I174" s="578">
        <v>0</v>
      </c>
      <c r="J174" s="578">
        <v>0</v>
      </c>
      <c r="K174" s="578">
        <v>0</v>
      </c>
      <c r="L174" s="578">
        <v>0</v>
      </c>
      <c r="M174" s="578">
        <v>0</v>
      </c>
      <c r="N174" s="578">
        <v>0</v>
      </c>
      <c r="O174" s="578">
        <v>0</v>
      </c>
      <c r="P174" s="578">
        <v>0</v>
      </c>
      <c r="Q174" s="578">
        <v>0</v>
      </c>
      <c r="R174" s="578">
        <v>0</v>
      </c>
      <c r="S174" s="578">
        <v>0</v>
      </c>
      <c r="T174" s="578">
        <v>0</v>
      </c>
      <c r="U174" s="578">
        <v>0</v>
      </c>
      <c r="V174" s="578">
        <v>0</v>
      </c>
      <c r="W174" s="578">
        <v>0</v>
      </c>
      <c r="X174" s="578">
        <v>0</v>
      </c>
      <c r="Y174" s="578">
        <v>0</v>
      </c>
      <c r="Z174" s="578">
        <v>0</v>
      </c>
      <c r="AA174" s="578">
        <v>0</v>
      </c>
      <c r="AB174" s="578">
        <v>0</v>
      </c>
      <c r="AC174" s="578">
        <v>0</v>
      </c>
      <c r="AD174" s="578">
        <v>0</v>
      </c>
      <c r="AE174" s="578">
        <v>0</v>
      </c>
      <c r="AF174" s="578">
        <v>0</v>
      </c>
      <c r="AG174" s="578">
        <v>0</v>
      </c>
      <c r="AH174" s="578">
        <v>0</v>
      </c>
      <c r="AI174" s="578">
        <v>0</v>
      </c>
      <c r="AJ174" s="578">
        <v>0</v>
      </c>
      <c r="AK174" s="578">
        <v>0</v>
      </c>
      <c r="AL174" s="578">
        <v>0</v>
      </c>
      <c r="AM174" s="578">
        <v>0</v>
      </c>
      <c r="AN174" s="578">
        <v>0</v>
      </c>
      <c r="AO174" s="578">
        <v>0</v>
      </c>
      <c r="AP174" s="578">
        <v>0</v>
      </c>
      <c r="AQ174" s="578">
        <v>0</v>
      </c>
      <c r="AR174" s="578">
        <v>0</v>
      </c>
      <c r="AS174" s="578">
        <v>0</v>
      </c>
      <c r="AT174" s="578">
        <v>0</v>
      </c>
      <c r="AU174" s="578">
        <v>0</v>
      </c>
      <c r="AV174" s="578">
        <v>0</v>
      </c>
      <c r="AW174" s="578">
        <v>0</v>
      </c>
      <c r="AX174" s="578">
        <v>0</v>
      </c>
      <c r="AY174" s="578">
        <v>0</v>
      </c>
      <c r="AZ174" s="578">
        <v>0</v>
      </c>
      <c r="BA174" s="578">
        <v>0</v>
      </c>
      <c r="BB174" s="578">
        <v>0</v>
      </c>
      <c r="BC174" s="578">
        <v>0</v>
      </c>
      <c r="BD174" s="578">
        <v>0</v>
      </c>
      <c r="BE174" s="578">
        <v>0</v>
      </c>
      <c r="BF174" s="578">
        <v>0</v>
      </c>
      <c r="BG174" s="578">
        <v>0</v>
      </c>
      <c r="BH174" s="578">
        <v>0</v>
      </c>
      <c r="BI174" s="578">
        <v>0</v>
      </c>
      <c r="BJ174" s="578">
        <v>0</v>
      </c>
      <c r="BK174" s="578">
        <v>0</v>
      </c>
      <c r="BL174" s="578">
        <v>0</v>
      </c>
      <c r="BM174" s="578">
        <v>0</v>
      </c>
      <c r="BN174" s="578">
        <v>0</v>
      </c>
      <c r="BO174" s="578">
        <v>0</v>
      </c>
      <c r="BP174" s="578">
        <v>0</v>
      </c>
      <c r="BQ174" s="578">
        <v>0</v>
      </c>
      <c r="BR174" s="578">
        <v>0</v>
      </c>
      <c r="BS174" s="578">
        <v>0</v>
      </c>
      <c r="BT174" s="578">
        <v>0</v>
      </c>
      <c r="BU174" s="578">
        <v>0</v>
      </c>
      <c r="BV174" s="578">
        <v>0</v>
      </c>
      <c r="BW174" s="578">
        <v>0</v>
      </c>
      <c r="BX174" s="578">
        <v>0</v>
      </c>
      <c r="BY174" s="578">
        <v>0</v>
      </c>
      <c r="BZ174" s="578">
        <v>0</v>
      </c>
      <c r="CA174" s="578">
        <v>0</v>
      </c>
      <c r="CB174" s="578">
        <v>0</v>
      </c>
      <c r="CC174" s="578">
        <v>0</v>
      </c>
      <c r="CD174" s="578">
        <v>0</v>
      </c>
      <c r="CE174" s="578">
        <v>0</v>
      </c>
      <c r="CF174" s="578">
        <v>0</v>
      </c>
      <c r="CG174" s="578">
        <v>0</v>
      </c>
      <c r="CH174" s="578">
        <v>0</v>
      </c>
      <c r="CI174" s="578">
        <v>0</v>
      </c>
      <c r="CJ174" s="578">
        <v>0</v>
      </c>
      <c r="CK174" s="578">
        <v>0</v>
      </c>
      <c r="CL174" s="578">
        <v>0</v>
      </c>
      <c r="CM174" s="578">
        <v>0</v>
      </c>
      <c r="CN174" s="578">
        <v>0</v>
      </c>
      <c r="CO174" s="578">
        <v>0</v>
      </c>
      <c r="CP174" s="578">
        <v>0</v>
      </c>
      <c r="CQ174" s="578">
        <v>0</v>
      </c>
      <c r="CR174" s="578">
        <v>0</v>
      </c>
      <c r="CS174" s="578">
        <v>0</v>
      </c>
      <c r="CT174" s="578">
        <v>0</v>
      </c>
      <c r="CU174" s="578">
        <v>0</v>
      </c>
      <c r="CV174" s="578">
        <v>0</v>
      </c>
      <c r="CW174" s="578">
        <v>0</v>
      </c>
      <c r="CX174" s="578">
        <v>0</v>
      </c>
      <c r="CY174" s="578">
        <v>0</v>
      </c>
      <c r="CZ174" s="578">
        <v>0</v>
      </c>
      <c r="DA174" s="578">
        <v>0</v>
      </c>
      <c r="DB174" s="578">
        <v>0</v>
      </c>
      <c r="DC174" s="578">
        <v>0</v>
      </c>
      <c r="DD174" s="578">
        <v>0</v>
      </c>
      <c r="DE174" s="578">
        <v>0</v>
      </c>
      <c r="DF174" s="578">
        <v>0</v>
      </c>
      <c r="DG174" s="578">
        <v>0</v>
      </c>
      <c r="DH174" s="578">
        <v>0</v>
      </c>
      <c r="DI174" s="578">
        <v>0</v>
      </c>
      <c r="DJ174" s="578">
        <v>0</v>
      </c>
      <c r="DK174" s="578">
        <v>0</v>
      </c>
      <c r="DL174" s="578">
        <v>0</v>
      </c>
      <c r="DM174" s="578">
        <v>0</v>
      </c>
      <c r="DN174" s="578">
        <v>0</v>
      </c>
      <c r="DO174" s="578">
        <v>0</v>
      </c>
      <c r="DP174" s="578">
        <v>0</v>
      </c>
      <c r="DQ174" s="578">
        <v>0</v>
      </c>
      <c r="DR174" s="578">
        <v>0</v>
      </c>
      <c r="DS174" s="578">
        <v>0</v>
      </c>
      <c r="DT174" s="578">
        <v>0</v>
      </c>
      <c r="DU174" s="578">
        <v>0</v>
      </c>
      <c r="DV174" s="578">
        <v>0</v>
      </c>
      <c r="DW174" s="578">
        <v>0</v>
      </c>
      <c r="DX174" s="578">
        <v>0</v>
      </c>
      <c r="DY174" s="578">
        <v>0</v>
      </c>
      <c r="DZ174" s="578">
        <v>0</v>
      </c>
      <c r="EA174" s="578">
        <v>0</v>
      </c>
      <c r="EB174" s="578">
        <v>0</v>
      </c>
      <c r="EC174" s="578">
        <v>0</v>
      </c>
      <c r="ED174" s="578">
        <v>0</v>
      </c>
      <c r="EE174" s="578">
        <v>0</v>
      </c>
      <c r="EF174" s="578">
        <v>0</v>
      </c>
      <c r="EG174" s="578">
        <v>0</v>
      </c>
      <c r="EH174" s="578">
        <v>0</v>
      </c>
      <c r="EI174" s="578">
        <v>0</v>
      </c>
      <c r="EJ174" s="578">
        <v>0</v>
      </c>
      <c r="EK174" s="578">
        <v>0</v>
      </c>
      <c r="EL174" s="578">
        <v>0</v>
      </c>
      <c r="EM174" s="578">
        <v>0</v>
      </c>
      <c r="EN174" s="578">
        <v>0</v>
      </c>
      <c r="EO174" s="578">
        <v>0</v>
      </c>
      <c r="EP174" s="578">
        <v>0</v>
      </c>
      <c r="EQ174" s="578">
        <v>0</v>
      </c>
      <c r="ER174" s="578">
        <v>0</v>
      </c>
      <c r="ES174" s="578">
        <v>0</v>
      </c>
      <c r="ET174" s="578">
        <v>0</v>
      </c>
      <c r="EU174" s="578">
        <v>0</v>
      </c>
      <c r="EV174" s="578">
        <v>0</v>
      </c>
      <c r="EW174" s="578">
        <v>0</v>
      </c>
      <c r="EX174" s="578">
        <v>0</v>
      </c>
      <c r="EY174" s="578">
        <v>0</v>
      </c>
      <c r="EZ174" s="578">
        <v>0</v>
      </c>
      <c r="FA174" s="578">
        <v>0</v>
      </c>
      <c r="FB174" s="578">
        <v>0</v>
      </c>
      <c r="FC174" s="578">
        <v>0</v>
      </c>
      <c r="FD174" s="578">
        <v>0</v>
      </c>
      <c r="FE174" s="578">
        <v>0</v>
      </c>
      <c r="FF174" s="578">
        <v>0</v>
      </c>
      <c r="FG174" s="578">
        <v>0</v>
      </c>
      <c r="FH174" s="578">
        <v>0</v>
      </c>
      <c r="FI174" s="578">
        <v>0</v>
      </c>
      <c r="FJ174" s="578">
        <v>0</v>
      </c>
      <c r="FK174" s="578">
        <v>0</v>
      </c>
      <c r="FL174" s="578">
        <v>0</v>
      </c>
      <c r="FM174" s="578">
        <v>0</v>
      </c>
      <c r="FN174" s="578">
        <v>0</v>
      </c>
      <c r="FO174" s="578">
        <v>7.2690704789387089E-3</v>
      </c>
      <c r="FP174" s="578">
        <v>0</v>
      </c>
      <c r="FQ174" s="578">
        <v>0</v>
      </c>
      <c r="FR174" s="578">
        <v>5.5563207818070184E-4</v>
      </c>
      <c r="FS174" s="578">
        <v>0</v>
      </c>
      <c r="FT174" s="578">
        <v>0</v>
      </c>
      <c r="FU174" s="578">
        <v>0</v>
      </c>
      <c r="FV174" s="578">
        <v>0</v>
      </c>
      <c r="FW174" s="578">
        <v>0</v>
      </c>
      <c r="FX174" s="578">
        <v>0</v>
      </c>
      <c r="FY174" s="578">
        <v>0</v>
      </c>
      <c r="FZ174" s="578">
        <v>0</v>
      </c>
      <c r="GA174" s="578">
        <v>0</v>
      </c>
      <c r="GB174" s="578">
        <v>0</v>
      </c>
      <c r="GC174" s="578">
        <v>0</v>
      </c>
      <c r="GD174" s="578">
        <v>0</v>
      </c>
      <c r="GE174" s="578">
        <v>0</v>
      </c>
      <c r="GF174" s="578">
        <v>0</v>
      </c>
      <c r="GG174" s="579">
        <v>3.8294524758248326E-4</v>
      </c>
      <c r="GH174" s="572"/>
    </row>
    <row r="175" spans="1:190">
      <c r="A175" s="572" t="s">
        <v>9373</v>
      </c>
      <c r="B175" s="577" t="s">
        <v>755</v>
      </c>
      <c r="C175" s="573" t="s">
        <v>1599</v>
      </c>
      <c r="D175" s="578">
        <v>0</v>
      </c>
      <c r="E175" s="578">
        <v>0</v>
      </c>
      <c r="F175" s="578">
        <v>0</v>
      </c>
      <c r="G175" s="578">
        <v>0</v>
      </c>
      <c r="H175" s="578">
        <v>0</v>
      </c>
      <c r="I175" s="578">
        <v>0</v>
      </c>
      <c r="J175" s="578">
        <v>0</v>
      </c>
      <c r="K175" s="578">
        <v>7.1755887890305849E-3</v>
      </c>
      <c r="L175" s="578">
        <v>0</v>
      </c>
      <c r="M175" s="578">
        <v>0</v>
      </c>
      <c r="N175" s="578">
        <v>0</v>
      </c>
      <c r="O175" s="578">
        <v>0</v>
      </c>
      <c r="P175" s="578">
        <v>0</v>
      </c>
      <c r="Q175" s="578">
        <v>0</v>
      </c>
      <c r="R175" s="578">
        <v>0</v>
      </c>
      <c r="S175" s="578">
        <v>0</v>
      </c>
      <c r="T175" s="578">
        <v>0</v>
      </c>
      <c r="U175" s="578">
        <v>0</v>
      </c>
      <c r="V175" s="578">
        <v>0</v>
      </c>
      <c r="W175" s="578">
        <v>0</v>
      </c>
      <c r="X175" s="578">
        <v>0</v>
      </c>
      <c r="Y175" s="578">
        <v>0</v>
      </c>
      <c r="Z175" s="578">
        <v>0</v>
      </c>
      <c r="AA175" s="578">
        <v>0</v>
      </c>
      <c r="AB175" s="578">
        <v>0</v>
      </c>
      <c r="AC175" s="578">
        <v>0</v>
      </c>
      <c r="AD175" s="578">
        <v>0</v>
      </c>
      <c r="AE175" s="578">
        <v>0</v>
      </c>
      <c r="AF175" s="578">
        <v>0</v>
      </c>
      <c r="AG175" s="578">
        <v>0</v>
      </c>
      <c r="AH175" s="578">
        <v>0</v>
      </c>
      <c r="AI175" s="578">
        <v>0</v>
      </c>
      <c r="AJ175" s="578">
        <v>0</v>
      </c>
      <c r="AK175" s="578">
        <v>0</v>
      </c>
      <c r="AL175" s="578">
        <v>0</v>
      </c>
      <c r="AM175" s="578">
        <v>0</v>
      </c>
      <c r="AN175" s="578">
        <v>0</v>
      </c>
      <c r="AO175" s="578">
        <v>0</v>
      </c>
      <c r="AP175" s="578">
        <v>0</v>
      </c>
      <c r="AQ175" s="578">
        <v>2.0690225937267234E-5</v>
      </c>
      <c r="AR175" s="578">
        <v>0</v>
      </c>
      <c r="AS175" s="578">
        <v>0</v>
      </c>
      <c r="AT175" s="578">
        <v>0</v>
      </c>
      <c r="AU175" s="578">
        <v>2.4541483287249881E-5</v>
      </c>
      <c r="AV175" s="578">
        <v>0</v>
      </c>
      <c r="AW175" s="578">
        <v>0</v>
      </c>
      <c r="AX175" s="578">
        <v>0</v>
      </c>
      <c r="AY175" s="578">
        <v>0</v>
      </c>
      <c r="AZ175" s="578">
        <v>0</v>
      </c>
      <c r="BA175" s="578">
        <v>0</v>
      </c>
      <c r="BB175" s="578">
        <v>0</v>
      </c>
      <c r="BC175" s="578">
        <v>0</v>
      </c>
      <c r="BD175" s="578">
        <v>0</v>
      </c>
      <c r="BE175" s="578">
        <v>6.3184055152659698E-5</v>
      </c>
      <c r="BF175" s="578">
        <v>0</v>
      </c>
      <c r="BG175" s="578">
        <v>0</v>
      </c>
      <c r="BH175" s="578">
        <v>0</v>
      </c>
      <c r="BI175" s="578">
        <v>0</v>
      </c>
      <c r="BJ175" s="578">
        <v>0</v>
      </c>
      <c r="BK175" s="578">
        <v>0</v>
      </c>
      <c r="BL175" s="578">
        <v>0</v>
      </c>
      <c r="BM175" s="578">
        <v>2.2900221445141375E-6</v>
      </c>
      <c r="BN175" s="578">
        <v>0</v>
      </c>
      <c r="BO175" s="578">
        <v>0</v>
      </c>
      <c r="BP175" s="578">
        <v>0</v>
      </c>
      <c r="BQ175" s="578">
        <v>0</v>
      </c>
      <c r="BR175" s="578">
        <v>0</v>
      </c>
      <c r="BS175" s="578">
        <v>0</v>
      </c>
      <c r="BT175" s="578">
        <v>0</v>
      </c>
      <c r="BU175" s="578">
        <v>0</v>
      </c>
      <c r="BV175" s="578">
        <v>0</v>
      </c>
      <c r="BW175" s="578">
        <v>0</v>
      </c>
      <c r="BX175" s="578">
        <v>0</v>
      </c>
      <c r="BY175" s="578">
        <v>5.004829660622501E-6</v>
      </c>
      <c r="BZ175" s="578">
        <v>0</v>
      </c>
      <c r="CA175" s="578">
        <v>4.7040081285260465E-6</v>
      </c>
      <c r="CB175" s="578">
        <v>0</v>
      </c>
      <c r="CC175" s="578">
        <v>0</v>
      </c>
      <c r="CD175" s="578">
        <v>0</v>
      </c>
      <c r="CE175" s="578">
        <v>0</v>
      </c>
      <c r="CF175" s="578">
        <v>0</v>
      </c>
      <c r="CG175" s="578">
        <v>0</v>
      </c>
      <c r="CH175" s="578">
        <v>0</v>
      </c>
      <c r="CI175" s="578">
        <v>0</v>
      </c>
      <c r="CJ175" s="578">
        <v>0</v>
      </c>
      <c r="CK175" s="578">
        <v>0</v>
      </c>
      <c r="CL175" s="578">
        <v>0</v>
      </c>
      <c r="CM175" s="578">
        <v>0</v>
      </c>
      <c r="CN175" s="578">
        <v>0</v>
      </c>
      <c r="CO175" s="578">
        <v>0</v>
      </c>
      <c r="CP175" s="578">
        <v>0</v>
      </c>
      <c r="CQ175" s="578">
        <v>0</v>
      </c>
      <c r="CR175" s="578">
        <v>0</v>
      </c>
      <c r="CS175" s="578">
        <v>0</v>
      </c>
      <c r="CT175" s="578">
        <v>0</v>
      </c>
      <c r="CU175" s="578">
        <v>0</v>
      </c>
      <c r="CV175" s="578">
        <v>0</v>
      </c>
      <c r="CW175" s="578">
        <v>0</v>
      </c>
      <c r="CX175" s="578">
        <v>0</v>
      </c>
      <c r="CY175" s="578">
        <v>0</v>
      </c>
      <c r="CZ175" s="578">
        <v>0</v>
      </c>
      <c r="DA175" s="578">
        <v>0</v>
      </c>
      <c r="DB175" s="578">
        <v>0</v>
      </c>
      <c r="DC175" s="578">
        <v>0</v>
      </c>
      <c r="DD175" s="578">
        <v>0</v>
      </c>
      <c r="DE175" s="578">
        <v>0</v>
      </c>
      <c r="DF175" s="578">
        <v>0</v>
      </c>
      <c r="DG175" s="578">
        <v>0</v>
      </c>
      <c r="DH175" s="578">
        <v>0</v>
      </c>
      <c r="DI175" s="578">
        <v>0</v>
      </c>
      <c r="DJ175" s="578">
        <v>0</v>
      </c>
      <c r="DK175" s="578">
        <v>0</v>
      </c>
      <c r="DL175" s="578">
        <v>0</v>
      </c>
      <c r="DM175" s="578">
        <v>0</v>
      </c>
      <c r="DN175" s="578">
        <v>0</v>
      </c>
      <c r="DO175" s="578">
        <v>0</v>
      </c>
      <c r="DP175" s="578">
        <v>0</v>
      </c>
      <c r="DQ175" s="578">
        <v>0</v>
      </c>
      <c r="DR175" s="578">
        <v>0</v>
      </c>
      <c r="DS175" s="578">
        <v>0</v>
      </c>
      <c r="DT175" s="578">
        <v>0</v>
      </c>
      <c r="DU175" s="578">
        <v>0</v>
      </c>
      <c r="DV175" s="578">
        <v>0</v>
      </c>
      <c r="DW175" s="578">
        <v>0</v>
      </c>
      <c r="DX175" s="578">
        <v>0</v>
      </c>
      <c r="DY175" s="578">
        <v>0</v>
      </c>
      <c r="DZ175" s="578">
        <v>0</v>
      </c>
      <c r="EA175" s="578">
        <v>0</v>
      </c>
      <c r="EB175" s="578">
        <v>0</v>
      </c>
      <c r="EC175" s="578">
        <v>0</v>
      </c>
      <c r="ED175" s="578">
        <v>0</v>
      </c>
      <c r="EE175" s="578">
        <v>3.8481321807749885E-6</v>
      </c>
      <c r="EF175" s="578">
        <v>6.4141624707353838E-6</v>
      </c>
      <c r="EG175" s="578">
        <v>0</v>
      </c>
      <c r="EH175" s="578">
        <v>2.7156549520766771E-4</v>
      </c>
      <c r="EI175" s="578">
        <v>0</v>
      </c>
      <c r="EJ175" s="578">
        <v>2.067086854495959E-5</v>
      </c>
      <c r="EK175" s="578">
        <v>3.2294837132037158E-5</v>
      </c>
      <c r="EL175" s="578">
        <v>1.0593536450717674E-4</v>
      </c>
      <c r="EM175" s="578">
        <v>2.3155203191855701E-4</v>
      </c>
      <c r="EN175" s="578">
        <v>1.863516082143789E-5</v>
      </c>
      <c r="EO175" s="578">
        <v>1.7727946926466446E-5</v>
      </c>
      <c r="EP175" s="578">
        <v>0</v>
      </c>
      <c r="EQ175" s="578">
        <v>1.0168147261887411E-4</v>
      </c>
      <c r="ER175" s="578">
        <v>0</v>
      </c>
      <c r="ES175" s="578">
        <v>0</v>
      </c>
      <c r="ET175" s="578">
        <v>5.3001824587811433E-6</v>
      </c>
      <c r="EU175" s="578">
        <v>0</v>
      </c>
      <c r="EV175" s="578">
        <v>1.6220294228592985E-3</v>
      </c>
      <c r="EW175" s="578">
        <v>0</v>
      </c>
      <c r="EX175" s="578">
        <v>0</v>
      </c>
      <c r="EY175" s="578">
        <v>0</v>
      </c>
      <c r="EZ175" s="578">
        <v>2.4673225335465482E-2</v>
      </c>
      <c r="FA175" s="578">
        <v>1.9655805014414258E-4</v>
      </c>
      <c r="FB175" s="578">
        <v>2.4622483362959015E-3</v>
      </c>
      <c r="FC175" s="578">
        <v>6.4968814968814972E-5</v>
      </c>
      <c r="FD175" s="578">
        <v>1.3531466811002313E-3</v>
      </c>
      <c r="FE175" s="578">
        <v>6.7159167226326397E-4</v>
      </c>
      <c r="FF175" s="578">
        <v>4.5504186385147432E-5</v>
      </c>
      <c r="FG175" s="578">
        <v>4.1753653444676412E-4</v>
      </c>
      <c r="FH175" s="578">
        <v>1.4631767192326451E-4</v>
      </c>
      <c r="FI175" s="578">
        <v>4.9914558021269475E-5</v>
      </c>
      <c r="FJ175" s="578">
        <v>1.7085547335508893E-5</v>
      </c>
      <c r="FK175" s="578">
        <v>0</v>
      </c>
      <c r="FL175" s="578">
        <v>3.3978044955567174E-4</v>
      </c>
      <c r="FM175" s="578">
        <v>0</v>
      </c>
      <c r="FN175" s="578">
        <v>3.3617525936855082E-5</v>
      </c>
      <c r="FO175" s="578">
        <v>1.2614543191330391E-2</v>
      </c>
      <c r="FP175" s="578">
        <v>5.3950146535152683E-2</v>
      </c>
      <c r="FQ175" s="578">
        <v>3.0500871055897856E-3</v>
      </c>
      <c r="FR175" s="578">
        <v>1.4007531382706768E-3</v>
      </c>
      <c r="FS175" s="578">
        <v>1.1212647866793743E-5</v>
      </c>
      <c r="FT175" s="578">
        <v>0</v>
      </c>
      <c r="FU175" s="578">
        <v>0</v>
      </c>
      <c r="FV175" s="578">
        <v>2.0945917640651837E-5</v>
      </c>
      <c r="FW175" s="578">
        <v>0</v>
      </c>
      <c r="FX175" s="578">
        <v>0</v>
      </c>
      <c r="FY175" s="578">
        <v>5.3553115318600874E-5</v>
      </c>
      <c r="FZ175" s="578">
        <v>4.3311980526933552E-6</v>
      </c>
      <c r="GA175" s="578">
        <v>9.9652523087529225E-5</v>
      </c>
      <c r="GB175" s="578">
        <v>4.7165584216508895E-6</v>
      </c>
      <c r="GC175" s="578">
        <v>9.4196503822394968E-5</v>
      </c>
      <c r="GD175" s="578">
        <v>9.7400089339392284E-5</v>
      </c>
      <c r="GE175" s="578">
        <v>0</v>
      </c>
      <c r="GF175" s="578">
        <v>2.4412248580374676E-3</v>
      </c>
      <c r="GG175" s="579">
        <v>9.3111729043867416E-4</v>
      </c>
      <c r="GH175" s="572"/>
    </row>
    <row r="176" spans="1:190">
      <c r="A176" s="572" t="s">
        <v>9374</v>
      </c>
      <c r="B176" s="577" t="s">
        <v>758</v>
      </c>
      <c r="C176" s="573" t="s">
        <v>9119</v>
      </c>
      <c r="D176" s="578">
        <v>0</v>
      </c>
      <c r="E176" s="578">
        <v>0</v>
      </c>
      <c r="F176" s="578">
        <v>0</v>
      </c>
      <c r="G176" s="578">
        <v>0</v>
      </c>
      <c r="H176" s="578">
        <v>0</v>
      </c>
      <c r="I176" s="578">
        <v>0</v>
      </c>
      <c r="J176" s="578">
        <v>0</v>
      </c>
      <c r="K176" s="578">
        <v>0</v>
      </c>
      <c r="L176" s="578">
        <v>0</v>
      </c>
      <c r="M176" s="578">
        <v>0</v>
      </c>
      <c r="N176" s="578">
        <v>0</v>
      </c>
      <c r="O176" s="578">
        <v>0</v>
      </c>
      <c r="P176" s="578">
        <v>0</v>
      </c>
      <c r="Q176" s="578">
        <v>0</v>
      </c>
      <c r="R176" s="578">
        <v>0</v>
      </c>
      <c r="S176" s="578">
        <v>0</v>
      </c>
      <c r="T176" s="578">
        <v>0</v>
      </c>
      <c r="U176" s="578">
        <v>0</v>
      </c>
      <c r="V176" s="578">
        <v>0</v>
      </c>
      <c r="W176" s="578">
        <v>0</v>
      </c>
      <c r="X176" s="578">
        <v>0</v>
      </c>
      <c r="Y176" s="578">
        <v>0</v>
      </c>
      <c r="Z176" s="578">
        <v>0</v>
      </c>
      <c r="AA176" s="578">
        <v>0</v>
      </c>
      <c r="AB176" s="578">
        <v>0</v>
      </c>
      <c r="AC176" s="578">
        <v>0</v>
      </c>
      <c r="AD176" s="578">
        <v>0</v>
      </c>
      <c r="AE176" s="578">
        <v>0</v>
      </c>
      <c r="AF176" s="578">
        <v>0</v>
      </c>
      <c r="AG176" s="578">
        <v>0</v>
      </c>
      <c r="AH176" s="578">
        <v>0</v>
      </c>
      <c r="AI176" s="578">
        <v>0</v>
      </c>
      <c r="AJ176" s="578">
        <v>0</v>
      </c>
      <c r="AK176" s="578">
        <v>0</v>
      </c>
      <c r="AL176" s="578">
        <v>0</v>
      </c>
      <c r="AM176" s="578">
        <v>0</v>
      </c>
      <c r="AN176" s="578">
        <v>0</v>
      </c>
      <c r="AO176" s="578">
        <v>0</v>
      </c>
      <c r="AP176" s="578">
        <v>0</v>
      </c>
      <c r="AQ176" s="578">
        <v>0</v>
      </c>
      <c r="AR176" s="578">
        <v>0</v>
      </c>
      <c r="AS176" s="578">
        <v>0</v>
      </c>
      <c r="AT176" s="578">
        <v>0</v>
      </c>
      <c r="AU176" s="578">
        <v>0</v>
      </c>
      <c r="AV176" s="578">
        <v>0</v>
      </c>
      <c r="AW176" s="578">
        <v>0</v>
      </c>
      <c r="AX176" s="578">
        <v>0</v>
      </c>
      <c r="AY176" s="578">
        <v>0</v>
      </c>
      <c r="AZ176" s="578">
        <v>0</v>
      </c>
      <c r="BA176" s="578">
        <v>0</v>
      </c>
      <c r="BB176" s="578">
        <v>0</v>
      </c>
      <c r="BC176" s="578">
        <v>0</v>
      </c>
      <c r="BD176" s="578">
        <v>0</v>
      </c>
      <c r="BE176" s="578">
        <v>0</v>
      </c>
      <c r="BF176" s="578">
        <v>0</v>
      </c>
      <c r="BG176" s="578">
        <v>0</v>
      </c>
      <c r="BH176" s="578">
        <v>0</v>
      </c>
      <c r="BI176" s="578">
        <v>0</v>
      </c>
      <c r="BJ176" s="578">
        <v>0</v>
      </c>
      <c r="BK176" s="578">
        <v>0</v>
      </c>
      <c r="BL176" s="578">
        <v>0</v>
      </c>
      <c r="BM176" s="578">
        <v>0</v>
      </c>
      <c r="BN176" s="578">
        <v>0</v>
      </c>
      <c r="BO176" s="578">
        <v>0</v>
      </c>
      <c r="BP176" s="578">
        <v>0</v>
      </c>
      <c r="BQ176" s="578">
        <v>0</v>
      </c>
      <c r="BR176" s="578">
        <v>0</v>
      </c>
      <c r="BS176" s="578">
        <v>0</v>
      </c>
      <c r="BT176" s="578">
        <v>0</v>
      </c>
      <c r="BU176" s="578">
        <v>0</v>
      </c>
      <c r="BV176" s="578">
        <v>0</v>
      </c>
      <c r="BW176" s="578">
        <v>0</v>
      </c>
      <c r="BX176" s="578">
        <v>0</v>
      </c>
      <c r="BY176" s="578">
        <v>0</v>
      </c>
      <c r="BZ176" s="578">
        <v>0</v>
      </c>
      <c r="CA176" s="578">
        <v>0</v>
      </c>
      <c r="CB176" s="578">
        <v>0</v>
      </c>
      <c r="CC176" s="578">
        <v>0</v>
      </c>
      <c r="CD176" s="578">
        <v>0</v>
      </c>
      <c r="CE176" s="578">
        <v>0</v>
      </c>
      <c r="CF176" s="578">
        <v>0</v>
      </c>
      <c r="CG176" s="578">
        <v>0</v>
      </c>
      <c r="CH176" s="578">
        <v>0</v>
      </c>
      <c r="CI176" s="578">
        <v>0</v>
      </c>
      <c r="CJ176" s="578">
        <v>0</v>
      </c>
      <c r="CK176" s="578">
        <v>0</v>
      </c>
      <c r="CL176" s="578">
        <v>0</v>
      </c>
      <c r="CM176" s="578">
        <v>0</v>
      </c>
      <c r="CN176" s="578">
        <v>0</v>
      </c>
      <c r="CO176" s="578">
        <v>0</v>
      </c>
      <c r="CP176" s="578">
        <v>0</v>
      </c>
      <c r="CQ176" s="578">
        <v>0</v>
      </c>
      <c r="CR176" s="578">
        <v>0</v>
      </c>
      <c r="CS176" s="578">
        <v>0</v>
      </c>
      <c r="CT176" s="578">
        <v>0</v>
      </c>
      <c r="CU176" s="578">
        <v>0</v>
      </c>
      <c r="CV176" s="578">
        <v>0</v>
      </c>
      <c r="CW176" s="578">
        <v>0</v>
      </c>
      <c r="CX176" s="578">
        <v>0</v>
      </c>
      <c r="CY176" s="578">
        <v>0</v>
      </c>
      <c r="CZ176" s="578">
        <v>0</v>
      </c>
      <c r="DA176" s="578">
        <v>0</v>
      </c>
      <c r="DB176" s="578">
        <v>0</v>
      </c>
      <c r="DC176" s="578">
        <v>0</v>
      </c>
      <c r="DD176" s="578">
        <v>0</v>
      </c>
      <c r="DE176" s="578">
        <v>0</v>
      </c>
      <c r="DF176" s="578">
        <v>0</v>
      </c>
      <c r="DG176" s="578">
        <v>0</v>
      </c>
      <c r="DH176" s="578">
        <v>0</v>
      </c>
      <c r="DI176" s="578">
        <v>0</v>
      </c>
      <c r="DJ176" s="578">
        <v>0</v>
      </c>
      <c r="DK176" s="578">
        <v>0</v>
      </c>
      <c r="DL176" s="578">
        <v>0</v>
      </c>
      <c r="DM176" s="578">
        <v>0</v>
      </c>
      <c r="DN176" s="578">
        <v>0</v>
      </c>
      <c r="DO176" s="578">
        <v>0</v>
      </c>
      <c r="DP176" s="578">
        <v>0</v>
      </c>
      <c r="DQ176" s="578">
        <v>0</v>
      </c>
      <c r="DR176" s="578">
        <v>0</v>
      </c>
      <c r="DS176" s="578">
        <v>0</v>
      </c>
      <c r="DT176" s="578">
        <v>0</v>
      </c>
      <c r="DU176" s="578">
        <v>0</v>
      </c>
      <c r="DV176" s="578">
        <v>0</v>
      </c>
      <c r="DW176" s="578">
        <v>0</v>
      </c>
      <c r="DX176" s="578">
        <v>0</v>
      </c>
      <c r="DY176" s="578">
        <v>0</v>
      </c>
      <c r="DZ176" s="578">
        <v>0</v>
      </c>
      <c r="EA176" s="578">
        <v>0</v>
      </c>
      <c r="EB176" s="578">
        <v>0</v>
      </c>
      <c r="EC176" s="578">
        <v>0</v>
      </c>
      <c r="ED176" s="578">
        <v>0</v>
      </c>
      <c r="EE176" s="578">
        <v>0</v>
      </c>
      <c r="EF176" s="578">
        <v>0</v>
      </c>
      <c r="EG176" s="578">
        <v>0</v>
      </c>
      <c r="EH176" s="578">
        <v>0</v>
      </c>
      <c r="EI176" s="578">
        <v>0</v>
      </c>
      <c r="EJ176" s="578">
        <v>0</v>
      </c>
      <c r="EK176" s="578">
        <v>0</v>
      </c>
      <c r="EL176" s="578">
        <v>0</v>
      </c>
      <c r="EM176" s="578">
        <v>0</v>
      </c>
      <c r="EN176" s="578">
        <v>0</v>
      </c>
      <c r="EO176" s="578">
        <v>0</v>
      </c>
      <c r="EP176" s="578">
        <v>0</v>
      </c>
      <c r="EQ176" s="578">
        <v>0</v>
      </c>
      <c r="ER176" s="578">
        <v>0</v>
      </c>
      <c r="ES176" s="578">
        <v>0</v>
      </c>
      <c r="ET176" s="578">
        <v>0</v>
      </c>
      <c r="EU176" s="578">
        <v>0</v>
      </c>
      <c r="EV176" s="578">
        <v>0</v>
      </c>
      <c r="EW176" s="578">
        <v>0</v>
      </c>
      <c r="EX176" s="578">
        <v>0</v>
      </c>
      <c r="EY176" s="578">
        <v>0</v>
      </c>
      <c r="EZ176" s="578">
        <v>0</v>
      </c>
      <c r="FA176" s="578">
        <v>0</v>
      </c>
      <c r="FB176" s="578">
        <v>0</v>
      </c>
      <c r="FC176" s="578">
        <v>0</v>
      </c>
      <c r="FD176" s="578">
        <v>0</v>
      </c>
      <c r="FE176" s="578">
        <v>0</v>
      </c>
      <c r="FF176" s="578">
        <v>0</v>
      </c>
      <c r="FG176" s="578">
        <v>0</v>
      </c>
      <c r="FH176" s="578">
        <v>0</v>
      </c>
      <c r="FI176" s="578">
        <v>0</v>
      </c>
      <c r="FJ176" s="578">
        <v>0</v>
      </c>
      <c r="FK176" s="578">
        <v>0</v>
      </c>
      <c r="FL176" s="578">
        <v>0</v>
      </c>
      <c r="FM176" s="578">
        <v>0</v>
      </c>
      <c r="FN176" s="578">
        <v>0</v>
      </c>
      <c r="FO176" s="578">
        <v>0</v>
      </c>
      <c r="FP176" s="578">
        <v>0</v>
      </c>
      <c r="FQ176" s="578">
        <v>0</v>
      </c>
      <c r="FR176" s="578">
        <v>0</v>
      </c>
      <c r="FS176" s="578">
        <v>0</v>
      </c>
      <c r="FT176" s="578">
        <v>0</v>
      </c>
      <c r="FU176" s="578">
        <v>0</v>
      </c>
      <c r="FV176" s="578">
        <v>0</v>
      </c>
      <c r="FW176" s="578">
        <v>0</v>
      </c>
      <c r="FX176" s="578">
        <v>0</v>
      </c>
      <c r="FY176" s="578">
        <v>0</v>
      </c>
      <c r="FZ176" s="578">
        <v>0</v>
      </c>
      <c r="GA176" s="578">
        <v>0</v>
      </c>
      <c r="GB176" s="578">
        <v>0</v>
      </c>
      <c r="GC176" s="578">
        <v>0</v>
      </c>
      <c r="GD176" s="578">
        <v>0</v>
      </c>
      <c r="GE176" s="578">
        <v>0</v>
      </c>
      <c r="GF176" s="578">
        <v>0</v>
      </c>
      <c r="GG176" s="579">
        <v>0</v>
      </c>
      <c r="GH176" s="572"/>
    </row>
    <row r="177" spans="1:190">
      <c r="A177" s="572" t="s">
        <v>9375</v>
      </c>
      <c r="B177" s="577" t="s">
        <v>766</v>
      </c>
      <c r="C177" s="573" t="s">
        <v>9120</v>
      </c>
      <c r="D177" s="578">
        <v>0</v>
      </c>
      <c r="E177" s="578">
        <v>0</v>
      </c>
      <c r="F177" s="578">
        <v>0</v>
      </c>
      <c r="G177" s="578">
        <v>0</v>
      </c>
      <c r="H177" s="578">
        <v>0</v>
      </c>
      <c r="I177" s="578">
        <v>0</v>
      </c>
      <c r="J177" s="578">
        <v>0</v>
      </c>
      <c r="K177" s="578">
        <v>0</v>
      </c>
      <c r="L177" s="578">
        <v>0</v>
      </c>
      <c r="M177" s="578">
        <v>0</v>
      </c>
      <c r="N177" s="578">
        <v>0</v>
      </c>
      <c r="O177" s="578">
        <v>0</v>
      </c>
      <c r="P177" s="578">
        <v>0</v>
      </c>
      <c r="Q177" s="578">
        <v>0</v>
      </c>
      <c r="R177" s="578">
        <v>0</v>
      </c>
      <c r="S177" s="578">
        <v>0</v>
      </c>
      <c r="T177" s="578">
        <v>0</v>
      </c>
      <c r="U177" s="578">
        <v>0</v>
      </c>
      <c r="V177" s="578">
        <v>0</v>
      </c>
      <c r="W177" s="578">
        <v>0</v>
      </c>
      <c r="X177" s="578">
        <v>0</v>
      </c>
      <c r="Y177" s="578">
        <v>0</v>
      </c>
      <c r="Z177" s="578">
        <v>0</v>
      </c>
      <c r="AA177" s="578">
        <v>0</v>
      </c>
      <c r="AB177" s="578">
        <v>0</v>
      </c>
      <c r="AC177" s="578">
        <v>0</v>
      </c>
      <c r="AD177" s="578">
        <v>0</v>
      </c>
      <c r="AE177" s="578">
        <v>0</v>
      </c>
      <c r="AF177" s="578">
        <v>0</v>
      </c>
      <c r="AG177" s="578">
        <v>0</v>
      </c>
      <c r="AH177" s="578">
        <v>0</v>
      </c>
      <c r="AI177" s="578">
        <v>0</v>
      </c>
      <c r="AJ177" s="578">
        <v>0</v>
      </c>
      <c r="AK177" s="578">
        <v>0</v>
      </c>
      <c r="AL177" s="578">
        <v>0</v>
      </c>
      <c r="AM177" s="578">
        <v>0</v>
      </c>
      <c r="AN177" s="578">
        <v>0</v>
      </c>
      <c r="AO177" s="578">
        <v>0</v>
      </c>
      <c r="AP177" s="578">
        <v>0</v>
      </c>
      <c r="AQ177" s="578">
        <v>0</v>
      </c>
      <c r="AR177" s="578">
        <v>0</v>
      </c>
      <c r="AS177" s="578">
        <v>0</v>
      </c>
      <c r="AT177" s="578">
        <v>0</v>
      </c>
      <c r="AU177" s="578">
        <v>0</v>
      </c>
      <c r="AV177" s="578">
        <v>0</v>
      </c>
      <c r="AW177" s="578">
        <v>0</v>
      </c>
      <c r="AX177" s="578">
        <v>0</v>
      </c>
      <c r="AY177" s="578">
        <v>0</v>
      </c>
      <c r="AZ177" s="578">
        <v>0</v>
      </c>
      <c r="BA177" s="578">
        <v>0</v>
      </c>
      <c r="BB177" s="578">
        <v>0</v>
      </c>
      <c r="BC177" s="578">
        <v>0</v>
      </c>
      <c r="BD177" s="578">
        <v>0</v>
      </c>
      <c r="BE177" s="578">
        <v>0</v>
      </c>
      <c r="BF177" s="578">
        <v>0</v>
      </c>
      <c r="BG177" s="578">
        <v>0</v>
      </c>
      <c r="BH177" s="578">
        <v>0</v>
      </c>
      <c r="BI177" s="578">
        <v>0</v>
      </c>
      <c r="BJ177" s="578">
        <v>0</v>
      </c>
      <c r="BK177" s="578">
        <v>0</v>
      </c>
      <c r="BL177" s="578">
        <v>0</v>
      </c>
      <c r="BM177" s="578">
        <v>0</v>
      </c>
      <c r="BN177" s="578">
        <v>0</v>
      </c>
      <c r="BO177" s="578">
        <v>0</v>
      </c>
      <c r="BP177" s="578">
        <v>0</v>
      </c>
      <c r="BQ177" s="578">
        <v>0</v>
      </c>
      <c r="BR177" s="578">
        <v>0</v>
      </c>
      <c r="BS177" s="578">
        <v>0</v>
      </c>
      <c r="BT177" s="578">
        <v>0</v>
      </c>
      <c r="BU177" s="578">
        <v>0</v>
      </c>
      <c r="BV177" s="578">
        <v>0</v>
      </c>
      <c r="BW177" s="578">
        <v>0</v>
      </c>
      <c r="BX177" s="578">
        <v>0</v>
      </c>
      <c r="BY177" s="578">
        <v>0</v>
      </c>
      <c r="BZ177" s="578">
        <v>0</v>
      </c>
      <c r="CA177" s="578">
        <v>0</v>
      </c>
      <c r="CB177" s="578">
        <v>0</v>
      </c>
      <c r="CC177" s="578">
        <v>0</v>
      </c>
      <c r="CD177" s="578">
        <v>0</v>
      </c>
      <c r="CE177" s="578">
        <v>0</v>
      </c>
      <c r="CF177" s="578">
        <v>0</v>
      </c>
      <c r="CG177" s="578">
        <v>0</v>
      </c>
      <c r="CH177" s="578">
        <v>0</v>
      </c>
      <c r="CI177" s="578">
        <v>0</v>
      </c>
      <c r="CJ177" s="578">
        <v>0</v>
      </c>
      <c r="CK177" s="578">
        <v>0</v>
      </c>
      <c r="CL177" s="578">
        <v>0</v>
      </c>
      <c r="CM177" s="578">
        <v>0</v>
      </c>
      <c r="CN177" s="578">
        <v>0</v>
      </c>
      <c r="CO177" s="578">
        <v>0</v>
      </c>
      <c r="CP177" s="578">
        <v>0</v>
      </c>
      <c r="CQ177" s="578">
        <v>0</v>
      </c>
      <c r="CR177" s="578">
        <v>0</v>
      </c>
      <c r="CS177" s="578">
        <v>0</v>
      </c>
      <c r="CT177" s="578">
        <v>0</v>
      </c>
      <c r="CU177" s="578">
        <v>0</v>
      </c>
      <c r="CV177" s="578">
        <v>0</v>
      </c>
      <c r="CW177" s="578">
        <v>0</v>
      </c>
      <c r="CX177" s="578">
        <v>0</v>
      </c>
      <c r="CY177" s="578">
        <v>0</v>
      </c>
      <c r="CZ177" s="578">
        <v>0</v>
      </c>
      <c r="DA177" s="578">
        <v>0</v>
      </c>
      <c r="DB177" s="578">
        <v>0</v>
      </c>
      <c r="DC177" s="578">
        <v>0</v>
      </c>
      <c r="DD177" s="578">
        <v>0</v>
      </c>
      <c r="DE177" s="578">
        <v>0</v>
      </c>
      <c r="DF177" s="578">
        <v>0</v>
      </c>
      <c r="DG177" s="578">
        <v>0</v>
      </c>
      <c r="DH177" s="578">
        <v>0</v>
      </c>
      <c r="DI177" s="578">
        <v>0</v>
      </c>
      <c r="DJ177" s="578">
        <v>0</v>
      </c>
      <c r="DK177" s="578">
        <v>0</v>
      </c>
      <c r="DL177" s="578">
        <v>0</v>
      </c>
      <c r="DM177" s="578">
        <v>0</v>
      </c>
      <c r="DN177" s="578">
        <v>0</v>
      </c>
      <c r="DO177" s="578">
        <v>0</v>
      </c>
      <c r="DP177" s="578">
        <v>0</v>
      </c>
      <c r="DQ177" s="578">
        <v>0</v>
      </c>
      <c r="DR177" s="578">
        <v>0</v>
      </c>
      <c r="DS177" s="578">
        <v>0</v>
      </c>
      <c r="DT177" s="578">
        <v>0</v>
      </c>
      <c r="DU177" s="578">
        <v>0</v>
      </c>
      <c r="DV177" s="578">
        <v>0</v>
      </c>
      <c r="DW177" s="578">
        <v>0</v>
      </c>
      <c r="DX177" s="578">
        <v>0</v>
      </c>
      <c r="DY177" s="578">
        <v>0</v>
      </c>
      <c r="DZ177" s="578">
        <v>0</v>
      </c>
      <c r="EA177" s="578">
        <v>0</v>
      </c>
      <c r="EB177" s="578">
        <v>0</v>
      </c>
      <c r="EC177" s="578">
        <v>0</v>
      </c>
      <c r="ED177" s="578">
        <v>0</v>
      </c>
      <c r="EE177" s="578">
        <v>0</v>
      </c>
      <c r="EF177" s="578">
        <v>0</v>
      </c>
      <c r="EG177" s="578">
        <v>0</v>
      </c>
      <c r="EH177" s="578">
        <v>0</v>
      </c>
      <c r="EI177" s="578">
        <v>0</v>
      </c>
      <c r="EJ177" s="578">
        <v>0</v>
      </c>
      <c r="EK177" s="578">
        <v>0</v>
      </c>
      <c r="EL177" s="578">
        <v>0</v>
      </c>
      <c r="EM177" s="578">
        <v>0</v>
      </c>
      <c r="EN177" s="578">
        <v>0</v>
      </c>
      <c r="EO177" s="578">
        <v>0</v>
      </c>
      <c r="EP177" s="578">
        <v>0</v>
      </c>
      <c r="EQ177" s="578">
        <v>0</v>
      </c>
      <c r="ER177" s="578">
        <v>0</v>
      </c>
      <c r="ES177" s="578">
        <v>0</v>
      </c>
      <c r="ET177" s="578">
        <v>0</v>
      </c>
      <c r="EU177" s="578">
        <v>0</v>
      </c>
      <c r="EV177" s="578">
        <v>0</v>
      </c>
      <c r="EW177" s="578">
        <v>0</v>
      </c>
      <c r="EX177" s="578">
        <v>0</v>
      </c>
      <c r="EY177" s="578">
        <v>0</v>
      </c>
      <c r="EZ177" s="578">
        <v>0</v>
      </c>
      <c r="FA177" s="578">
        <v>0</v>
      </c>
      <c r="FB177" s="578">
        <v>0</v>
      </c>
      <c r="FC177" s="578">
        <v>0</v>
      </c>
      <c r="FD177" s="578">
        <v>0</v>
      </c>
      <c r="FE177" s="578">
        <v>0</v>
      </c>
      <c r="FF177" s="578">
        <v>0</v>
      </c>
      <c r="FG177" s="578">
        <v>0</v>
      </c>
      <c r="FH177" s="578">
        <v>0</v>
      </c>
      <c r="FI177" s="578">
        <v>0</v>
      </c>
      <c r="FJ177" s="578">
        <v>0</v>
      </c>
      <c r="FK177" s="578">
        <v>0</v>
      </c>
      <c r="FL177" s="578">
        <v>0</v>
      </c>
      <c r="FM177" s="578">
        <v>0</v>
      </c>
      <c r="FN177" s="578">
        <v>0</v>
      </c>
      <c r="FO177" s="578">
        <v>0</v>
      </c>
      <c r="FP177" s="578">
        <v>0</v>
      </c>
      <c r="FQ177" s="578">
        <v>0</v>
      </c>
      <c r="FR177" s="578">
        <v>0</v>
      </c>
      <c r="FS177" s="578">
        <v>0</v>
      </c>
      <c r="FT177" s="578">
        <v>0</v>
      </c>
      <c r="FU177" s="578">
        <v>0</v>
      </c>
      <c r="FV177" s="578">
        <v>0</v>
      </c>
      <c r="FW177" s="578">
        <v>0</v>
      </c>
      <c r="FX177" s="578">
        <v>0</v>
      </c>
      <c r="FY177" s="578">
        <v>0</v>
      </c>
      <c r="FZ177" s="578">
        <v>0</v>
      </c>
      <c r="GA177" s="578">
        <v>0</v>
      </c>
      <c r="GB177" s="578">
        <v>0</v>
      </c>
      <c r="GC177" s="578">
        <v>0</v>
      </c>
      <c r="GD177" s="578">
        <v>0</v>
      </c>
      <c r="GE177" s="578">
        <v>0</v>
      </c>
      <c r="GF177" s="578">
        <v>0</v>
      </c>
      <c r="GG177" s="579">
        <v>0</v>
      </c>
      <c r="GH177" s="572"/>
    </row>
    <row r="178" spans="1:190">
      <c r="A178" s="572" t="s">
        <v>9376</v>
      </c>
      <c r="B178" s="577" t="s">
        <v>9485</v>
      </c>
      <c r="C178" s="573" t="s">
        <v>9121</v>
      </c>
      <c r="D178" s="578">
        <v>0</v>
      </c>
      <c r="E178" s="578">
        <v>0</v>
      </c>
      <c r="F178" s="578">
        <v>0</v>
      </c>
      <c r="G178" s="578">
        <v>0</v>
      </c>
      <c r="H178" s="578">
        <v>0</v>
      </c>
      <c r="I178" s="578">
        <v>1.6289297931259162E-4</v>
      </c>
      <c r="J178" s="578">
        <v>0</v>
      </c>
      <c r="K178" s="578">
        <v>1.6695676885368192E-3</v>
      </c>
      <c r="L178" s="578">
        <v>0</v>
      </c>
      <c r="M178" s="578">
        <v>0</v>
      </c>
      <c r="N178" s="578">
        <v>7.1174377224199293E-4</v>
      </c>
      <c r="O178" s="578">
        <v>9.3281947972321984E-3</v>
      </c>
      <c r="P178" s="578">
        <v>0</v>
      </c>
      <c r="Q178" s="578">
        <v>0</v>
      </c>
      <c r="R178" s="578">
        <v>2.3175626024532249E-3</v>
      </c>
      <c r="S178" s="578">
        <v>2.8011204481792717E-3</v>
      </c>
      <c r="T178" s="578">
        <v>8.7258031183264832E-4</v>
      </c>
      <c r="U178" s="578">
        <v>3.0603266898741443E-4</v>
      </c>
      <c r="V178" s="578">
        <v>3.8049479244382106E-4</v>
      </c>
      <c r="W178" s="578">
        <v>8.3336397171464641E-4</v>
      </c>
      <c r="X178" s="578">
        <v>4.8623195823523389E-4</v>
      </c>
      <c r="Y178" s="578">
        <v>6.9713341769658029E-4</v>
      </c>
      <c r="Z178" s="578">
        <v>2.7915191500897847E-4</v>
      </c>
      <c r="AA178" s="578">
        <v>1.6661430217169843E-3</v>
      </c>
      <c r="AB178" s="578">
        <v>8.6718091871624192E-4</v>
      </c>
      <c r="AC178" s="578">
        <v>2.1767297227260948E-3</v>
      </c>
      <c r="AD178" s="578">
        <v>0</v>
      </c>
      <c r="AE178" s="578">
        <v>1.8026137899954935E-3</v>
      </c>
      <c r="AF178" s="578">
        <v>2.2756580444511872E-4</v>
      </c>
      <c r="AG178" s="578">
        <v>0</v>
      </c>
      <c r="AH178" s="578">
        <v>3.8565368299267258E-4</v>
      </c>
      <c r="AI178" s="578">
        <v>2.6729034413631807E-4</v>
      </c>
      <c r="AJ178" s="578">
        <v>1.2135221034383127E-3</v>
      </c>
      <c r="AK178" s="578">
        <v>8.7303566974307803E-4</v>
      </c>
      <c r="AL178" s="578">
        <v>8.9158345221112699E-5</v>
      </c>
      <c r="AM178" s="578">
        <v>6.8878429571805758E-4</v>
      </c>
      <c r="AN178" s="578">
        <v>1.0351966873706005E-3</v>
      </c>
      <c r="AO178" s="578">
        <v>2.6880849823493216E-3</v>
      </c>
      <c r="AP178" s="578">
        <v>5.5590851334180432E-4</v>
      </c>
      <c r="AQ178" s="578">
        <v>7.2415790780435319E-4</v>
      </c>
      <c r="AR178" s="578">
        <v>5.9032574174429451E-4</v>
      </c>
      <c r="AS178" s="578">
        <v>1.1427225069211286E-3</v>
      </c>
      <c r="AT178" s="578">
        <v>5.5952751010258006E-4</v>
      </c>
      <c r="AU178" s="578">
        <v>6.4625905989758022E-4</v>
      </c>
      <c r="AV178" s="578">
        <v>1.0185129710622491E-3</v>
      </c>
      <c r="AW178" s="578">
        <v>3.7547604999195407E-4</v>
      </c>
      <c r="AX178" s="578">
        <v>7.1319632649030603E-3</v>
      </c>
      <c r="AY178" s="578">
        <v>3.1715826197272439E-4</v>
      </c>
      <c r="AZ178" s="578">
        <v>3.8994506860772659E-4</v>
      </c>
      <c r="BA178" s="578">
        <v>8.3298625572678054E-4</v>
      </c>
      <c r="BB178" s="578">
        <v>8.8536317597478489E-4</v>
      </c>
      <c r="BC178" s="578">
        <v>8.2900918050907309E-4</v>
      </c>
      <c r="BD178" s="578">
        <v>3.229051528210733E-4</v>
      </c>
      <c r="BE178" s="578">
        <v>3.232917488644421E-3</v>
      </c>
      <c r="BF178" s="578">
        <v>9.6010901883052525E-4</v>
      </c>
      <c r="BG178" s="578">
        <v>2.144712430426716E-3</v>
      </c>
      <c r="BH178" s="578">
        <v>4.672126642115099E-4</v>
      </c>
      <c r="BI178" s="578">
        <v>7.5901328273244781E-4</v>
      </c>
      <c r="BJ178" s="578">
        <v>5.2370918058069864E-4</v>
      </c>
      <c r="BK178" s="578">
        <v>1.1024142872891633E-4</v>
      </c>
      <c r="BL178" s="578">
        <v>4.1863297305525958E-4</v>
      </c>
      <c r="BM178" s="578">
        <v>4.7632460605894058E-4</v>
      </c>
      <c r="BN178" s="578">
        <v>1.9753086419753087E-3</v>
      </c>
      <c r="BO178" s="578">
        <v>1.9316019740972176E-4</v>
      </c>
      <c r="BP178" s="578">
        <v>0</v>
      </c>
      <c r="BQ178" s="578">
        <v>1.9473654926834697E-4</v>
      </c>
      <c r="BR178" s="578">
        <v>5.6543586570364764E-4</v>
      </c>
      <c r="BS178" s="578">
        <v>1.5173432331549613E-3</v>
      </c>
      <c r="BT178" s="578">
        <v>5.4634857038790747E-4</v>
      </c>
      <c r="BU178" s="578">
        <v>3.7707390648567121E-4</v>
      </c>
      <c r="BV178" s="578">
        <v>3.7057000404258189E-4</v>
      </c>
      <c r="BW178" s="578">
        <v>7.0199793344428584E-4</v>
      </c>
      <c r="BX178" s="578">
        <v>0</v>
      </c>
      <c r="BY178" s="578">
        <v>7.3445875269635198E-4</v>
      </c>
      <c r="BZ178" s="578">
        <v>5.7394826739366777E-4</v>
      </c>
      <c r="CA178" s="578">
        <v>3.0889653377321038E-4</v>
      </c>
      <c r="CB178" s="578">
        <v>1.3713080168776372E-3</v>
      </c>
      <c r="CC178" s="578">
        <v>8.6206896551724137E-4</v>
      </c>
      <c r="CD178" s="578">
        <v>3.0904610479916072E-4</v>
      </c>
      <c r="CE178" s="578">
        <v>0</v>
      </c>
      <c r="CF178" s="578">
        <v>3.9475761882204328E-4</v>
      </c>
      <c r="CG178" s="578">
        <v>3.8303848827476626E-4</v>
      </c>
      <c r="CH178" s="578">
        <v>1.3539629453901611E-3</v>
      </c>
      <c r="CI178" s="578">
        <v>1.7409903748103565E-4</v>
      </c>
      <c r="CJ178" s="578">
        <v>2.8639618138424818E-4</v>
      </c>
      <c r="CK178" s="578">
        <v>9.9851735302127148E-4</v>
      </c>
      <c r="CL178" s="578">
        <v>7.9729041153373502E-4</v>
      </c>
      <c r="CM178" s="578">
        <v>2.8017190208229456E-3</v>
      </c>
      <c r="CN178" s="578">
        <v>7.4778077962176762E-4</v>
      </c>
      <c r="CO178" s="578">
        <v>3.7581141100102495E-3</v>
      </c>
      <c r="CP178" s="578">
        <v>2.3158704185555763E-3</v>
      </c>
      <c r="CQ178" s="578">
        <v>3.1853220360578453E-4</v>
      </c>
      <c r="CR178" s="578">
        <v>5.690396005109743E-4</v>
      </c>
      <c r="CS178" s="578">
        <v>6.2153915696688887E-4</v>
      </c>
      <c r="CT178" s="578">
        <v>6.0074071913913275E-3</v>
      </c>
      <c r="CU178" s="578">
        <v>1.0721828998919755E-3</v>
      </c>
      <c r="CV178" s="578">
        <v>1.2390575728101205E-3</v>
      </c>
      <c r="CW178" s="578">
        <v>1.8725130685807911E-3</v>
      </c>
      <c r="CX178" s="578">
        <v>1.7918076555160549E-3</v>
      </c>
      <c r="CY178" s="578">
        <v>1.1722685227584944E-3</v>
      </c>
      <c r="CZ178" s="578">
        <v>3.2539118065433854E-3</v>
      </c>
      <c r="DA178" s="578">
        <v>6.4252211346940528E-4</v>
      </c>
      <c r="DB178" s="578">
        <v>5.4150647100232848E-4</v>
      </c>
      <c r="DC178" s="578">
        <v>7.2516316171138508E-4</v>
      </c>
      <c r="DD178" s="578">
        <v>9.6618357487922703E-4</v>
      </c>
      <c r="DE178" s="578">
        <v>5.9061915059879691E-4</v>
      </c>
      <c r="DF178" s="578">
        <v>6.6898314561865966E-4</v>
      </c>
      <c r="DG178" s="578">
        <v>4.844378443281405E-4</v>
      </c>
      <c r="DH178" s="578">
        <v>1.2460212276707333E-4</v>
      </c>
      <c r="DI178" s="578">
        <v>7.2857332096966485E-4</v>
      </c>
      <c r="DJ178" s="578">
        <v>7.2059536085676307E-4</v>
      </c>
      <c r="DK178" s="578">
        <v>1.2587064556420732E-3</v>
      </c>
      <c r="DL178" s="578">
        <v>1.0908815433953688E-3</v>
      </c>
      <c r="DM178" s="578">
        <v>1.9794140934283451E-4</v>
      </c>
      <c r="DN178" s="578">
        <v>7.7576957992902531E-4</v>
      </c>
      <c r="DO178" s="578">
        <v>0</v>
      </c>
      <c r="DP178" s="578">
        <v>2.4101665205959684E-4</v>
      </c>
      <c r="DQ178" s="578">
        <v>5.5945598814898868E-4</v>
      </c>
      <c r="DR178" s="578">
        <v>8.3364178079222643E-5</v>
      </c>
      <c r="DS178" s="578">
        <v>5.9289550937736361E-4</v>
      </c>
      <c r="DT178" s="578">
        <v>4.081959923900604E-4</v>
      </c>
      <c r="DU178" s="578">
        <v>3.1054911453688369E-4</v>
      </c>
      <c r="DV178" s="578">
        <v>1.4316664343904015E-3</v>
      </c>
      <c r="DW178" s="578">
        <v>9.9462229639744426E-4</v>
      </c>
      <c r="DX178" s="578">
        <v>9.0710174862249245E-4</v>
      </c>
      <c r="DY178" s="578">
        <v>1.6916728589271316E-3</v>
      </c>
      <c r="DZ178" s="578">
        <v>2.3240813563204065E-4</v>
      </c>
      <c r="EA178" s="578">
        <v>1.1708324707904009E-3</v>
      </c>
      <c r="EB178" s="578">
        <v>2.2174732294682662E-3</v>
      </c>
      <c r="EC178" s="578">
        <v>8.9300186245936384E-4</v>
      </c>
      <c r="ED178" s="578">
        <v>1.225678646054762E-3</v>
      </c>
      <c r="EE178" s="578">
        <v>7.4525493234342273E-4</v>
      </c>
      <c r="EF178" s="578">
        <v>3.7747346140277731E-3</v>
      </c>
      <c r="EG178" s="578">
        <v>1.1101859561476548E-3</v>
      </c>
      <c r="EH178" s="578">
        <v>8.4291799787007456E-3</v>
      </c>
      <c r="EI178" s="578">
        <v>1.9388993795521985E-3</v>
      </c>
      <c r="EJ178" s="578">
        <v>3.6039209941429544E-4</v>
      </c>
      <c r="EK178" s="578">
        <v>8.0963723266107193E-4</v>
      </c>
      <c r="EL178" s="578">
        <v>2.3499746351944139E-3</v>
      </c>
      <c r="EM178" s="578">
        <v>3.9561753145743199E-3</v>
      </c>
      <c r="EN178" s="578">
        <v>8.6060560884458615E-4</v>
      </c>
      <c r="EO178" s="578">
        <v>9.4549050274487709E-4</v>
      </c>
      <c r="EP178" s="578">
        <v>0</v>
      </c>
      <c r="EQ178" s="578">
        <v>1.0507085503950325E-3</v>
      </c>
      <c r="ER178" s="578">
        <v>4.9019607843137254E-4</v>
      </c>
      <c r="ES178" s="578">
        <v>3.2115179185009286E-3</v>
      </c>
      <c r="ET178" s="578">
        <v>1.3223955234658953E-3</v>
      </c>
      <c r="EU178" s="578">
        <v>8.5657627635732142E-4</v>
      </c>
      <c r="EV178" s="578">
        <v>1.3956997359486987E-3</v>
      </c>
      <c r="EW178" s="578">
        <v>1.7014739625870183E-3</v>
      </c>
      <c r="EX178" s="578">
        <v>9.6365108121651311E-5</v>
      </c>
      <c r="EY178" s="578">
        <v>9.8980500841334257E-4</v>
      </c>
      <c r="EZ178" s="578">
        <v>4.4583883751651253E-3</v>
      </c>
      <c r="FA178" s="578">
        <v>2.6207740019219009E-4</v>
      </c>
      <c r="FB178" s="578">
        <v>2.5668095670153164E-3</v>
      </c>
      <c r="FC178" s="578">
        <v>6.4968814968814972E-5</v>
      </c>
      <c r="FD178" s="578">
        <v>1.1440240122029227E-3</v>
      </c>
      <c r="FE178" s="578">
        <v>4.2394224311618533E-3</v>
      </c>
      <c r="FF178" s="578">
        <v>9.66963960684383E-4</v>
      </c>
      <c r="FG178" s="578">
        <v>9.3945720250521918E-4</v>
      </c>
      <c r="FH178" s="578">
        <v>2.5036579417980816E-3</v>
      </c>
      <c r="FI178" s="578">
        <v>8.8084514155181428E-6</v>
      </c>
      <c r="FJ178" s="578">
        <v>0</v>
      </c>
      <c r="FK178" s="578">
        <v>3.3250731871995869E-4</v>
      </c>
      <c r="FL178" s="578">
        <v>4.7046523784631468E-4</v>
      </c>
      <c r="FM178" s="578">
        <v>3.2565699405195363E-3</v>
      </c>
      <c r="FN178" s="578">
        <v>5.1248050650405741E-3</v>
      </c>
      <c r="FO178" s="578">
        <v>1.3368633126581645E-3</v>
      </c>
      <c r="FP178" s="578">
        <v>6.6177165726530741E-4</v>
      </c>
      <c r="FQ178" s="578">
        <v>1.9480483338620893E-5</v>
      </c>
      <c r="FR178" s="578">
        <v>3.6186122738659154E-4</v>
      </c>
      <c r="FS178" s="578">
        <v>0</v>
      </c>
      <c r="FT178" s="578">
        <v>1.4111323818565729E-3</v>
      </c>
      <c r="FU178" s="578">
        <v>5.5925341384752622E-3</v>
      </c>
      <c r="FV178" s="578">
        <v>2.1993213522684429E-3</v>
      </c>
      <c r="FW178" s="578">
        <v>1.71364367528069E-3</v>
      </c>
      <c r="FX178" s="578">
        <v>1.6060677407419865E-3</v>
      </c>
      <c r="FY178" s="578">
        <v>1.8814994515268439E-3</v>
      </c>
      <c r="FZ178" s="578">
        <v>1.4899321301265144E-3</v>
      </c>
      <c r="GA178" s="578">
        <v>1.5258271567828246E-3</v>
      </c>
      <c r="GB178" s="578">
        <v>1.3583688254354563E-3</v>
      </c>
      <c r="GC178" s="578">
        <v>7.1093571832270734E-3</v>
      </c>
      <c r="GD178" s="578">
        <v>2.4383608572551311E-3</v>
      </c>
      <c r="GE178" s="578">
        <v>0</v>
      </c>
      <c r="GF178" s="578">
        <v>4.8187655893435228E-3</v>
      </c>
      <c r="GG178" s="579">
        <v>1.2033808631384127E-3</v>
      </c>
      <c r="GH178" s="572"/>
    </row>
    <row r="179" spans="1:190">
      <c r="A179" s="572" t="s">
        <v>9377</v>
      </c>
      <c r="B179" s="577" t="s">
        <v>773</v>
      </c>
      <c r="C179" s="573" t="s">
        <v>9553</v>
      </c>
      <c r="D179" s="578">
        <v>4.3515129875926093E-3</v>
      </c>
      <c r="E179" s="578">
        <v>2.1956087824351298E-2</v>
      </c>
      <c r="F179" s="578">
        <v>3.0639421150628106E-4</v>
      </c>
      <c r="G179" s="578">
        <v>0</v>
      </c>
      <c r="H179" s="578">
        <v>0</v>
      </c>
      <c r="I179" s="578">
        <v>1.1402508551881414E-3</v>
      </c>
      <c r="J179" s="578">
        <v>5.7820225804892976E-3</v>
      </c>
      <c r="K179" s="578">
        <v>8.3478384426840958E-3</v>
      </c>
      <c r="L179" s="578">
        <v>1.2048192771084338E-3</v>
      </c>
      <c r="M179" s="578">
        <v>5.4525627044711015E-3</v>
      </c>
      <c r="N179" s="578">
        <v>0</v>
      </c>
      <c r="O179" s="578">
        <v>1.4452132784444249E-3</v>
      </c>
      <c r="P179" s="578">
        <v>0</v>
      </c>
      <c r="Q179" s="578">
        <v>0</v>
      </c>
      <c r="R179" s="578">
        <v>6.104799050364592E-3</v>
      </c>
      <c r="S179" s="578">
        <v>8.4033613445378148E-3</v>
      </c>
      <c r="T179" s="578">
        <v>2.3454696351892612E-3</v>
      </c>
      <c r="U179" s="578">
        <v>3.4715580888259822E-3</v>
      </c>
      <c r="V179" s="578">
        <v>7.9829299591154619E-4</v>
      </c>
      <c r="W179" s="578">
        <v>2.3193254653970123E-3</v>
      </c>
      <c r="X179" s="578">
        <v>1.1771931620431979E-3</v>
      </c>
      <c r="Y179" s="578">
        <v>1.2010396380968257E-3</v>
      </c>
      <c r="Z179" s="578">
        <v>4.5496393840405627E-3</v>
      </c>
      <c r="AA179" s="578">
        <v>7.0549255948130591E-3</v>
      </c>
      <c r="AB179" s="578">
        <v>2.4198477065129416E-3</v>
      </c>
      <c r="AC179" s="578">
        <v>1.0192623304828539E-3</v>
      </c>
      <c r="AD179" s="578">
        <v>0</v>
      </c>
      <c r="AE179" s="578">
        <v>9.0130689499774675E-4</v>
      </c>
      <c r="AF179" s="578">
        <v>3.1859212622316621E-3</v>
      </c>
      <c r="AG179" s="578">
        <v>0</v>
      </c>
      <c r="AH179" s="578">
        <v>3.4708831469340532E-3</v>
      </c>
      <c r="AI179" s="578">
        <v>3.9425325760106917E-3</v>
      </c>
      <c r="AJ179" s="578">
        <v>3.2938457093325628E-3</v>
      </c>
      <c r="AK179" s="578">
        <v>2.9932651534048389E-3</v>
      </c>
      <c r="AL179" s="578">
        <v>2.0060627674750356E-3</v>
      </c>
      <c r="AM179" s="578">
        <v>3.9031110090689933E-3</v>
      </c>
      <c r="AN179" s="578">
        <v>9.057971014492754E-3</v>
      </c>
      <c r="AO179" s="578">
        <v>5.8943550215370668E-3</v>
      </c>
      <c r="AP179" s="578">
        <v>1.1118170266836086E-3</v>
      </c>
      <c r="AQ179" s="578">
        <v>1.0345112968633617E-3</v>
      </c>
      <c r="AR179" s="578">
        <v>3.0224677977307877E-3</v>
      </c>
      <c r="AS179" s="578">
        <v>2.3679095246509985E-3</v>
      </c>
      <c r="AT179" s="578">
        <v>3.7094601595689565E-3</v>
      </c>
      <c r="AU179" s="578">
        <v>8.8594754666972073E-3</v>
      </c>
      <c r="AV179" s="578">
        <v>1.4978131927386017E-3</v>
      </c>
      <c r="AW179" s="578">
        <v>2.6819717856568148E-3</v>
      </c>
      <c r="AX179" s="578">
        <v>7.0990465113727388E-3</v>
      </c>
      <c r="AY179" s="578">
        <v>1.2686330478908975E-3</v>
      </c>
      <c r="AZ179" s="578">
        <v>1.0002938716459073E-3</v>
      </c>
      <c r="BA179" s="578">
        <v>8.3298625572678054E-4</v>
      </c>
      <c r="BB179" s="578">
        <v>1.8297505636812221E-3</v>
      </c>
      <c r="BC179" s="578">
        <v>1.2793351551065942E-3</v>
      </c>
      <c r="BD179" s="578">
        <v>2.4963052198859895E-3</v>
      </c>
      <c r="BE179" s="578">
        <v>1.344416284637148E-3</v>
      </c>
      <c r="BF179" s="578">
        <v>1.6724479682854311E-3</v>
      </c>
      <c r="BG179" s="578">
        <v>2.9165120593692023E-3</v>
      </c>
      <c r="BH179" s="578">
        <v>1.7589182652668609E-3</v>
      </c>
      <c r="BI179" s="578">
        <v>2.7107617240444567E-3</v>
      </c>
      <c r="BJ179" s="578">
        <v>3.0762759741196945E-3</v>
      </c>
      <c r="BK179" s="578">
        <v>8.2681071546687239E-5</v>
      </c>
      <c r="BL179" s="578">
        <v>3.7169533668239712E-3</v>
      </c>
      <c r="BM179" s="578">
        <v>3.9182278892636894E-3</v>
      </c>
      <c r="BN179" s="578">
        <v>3.0617283950617282E-3</v>
      </c>
      <c r="BO179" s="578">
        <v>6.982741136361441E-3</v>
      </c>
      <c r="BP179" s="578">
        <v>1.3800116211504939E-3</v>
      </c>
      <c r="BQ179" s="578">
        <v>1.891726478606799E-3</v>
      </c>
      <c r="BR179" s="578">
        <v>2.848516530997621E-3</v>
      </c>
      <c r="BS179" s="578">
        <v>4.7846889952153108E-3</v>
      </c>
      <c r="BT179" s="578">
        <v>2.0032780914223274E-3</v>
      </c>
      <c r="BU179" s="578">
        <v>4.0027845457709715E-3</v>
      </c>
      <c r="BV179" s="578">
        <v>9.0621210079504105E-3</v>
      </c>
      <c r="BW179" s="578">
        <v>1.1527189179992045E-3</v>
      </c>
      <c r="BX179" s="578">
        <v>0</v>
      </c>
      <c r="BY179" s="578">
        <v>6.0933801118078943E-4</v>
      </c>
      <c r="BZ179" s="578">
        <v>2.4006490030408219E-3</v>
      </c>
      <c r="CA179" s="578">
        <v>2.5652524327562038E-3</v>
      </c>
      <c r="CB179" s="578">
        <v>5.3549267808389181E-3</v>
      </c>
      <c r="CC179" s="578">
        <v>5.4779572239196861E-3</v>
      </c>
      <c r="CD179" s="578">
        <v>1.1467237046495172E-3</v>
      </c>
      <c r="CE179" s="578">
        <v>0</v>
      </c>
      <c r="CF179" s="578">
        <v>2.3685457129322598E-3</v>
      </c>
      <c r="CG179" s="578">
        <v>2.5039367844628241E-3</v>
      </c>
      <c r="CH179" s="578">
        <v>1.9441519215858726E-3</v>
      </c>
      <c r="CI179" s="578">
        <v>2.561742980078096E-3</v>
      </c>
      <c r="CJ179" s="578">
        <v>1.7444131047949663E-3</v>
      </c>
      <c r="CK179" s="578">
        <v>4.4882850716612705E-3</v>
      </c>
      <c r="CL179" s="578">
        <v>3.5893055180889009E-3</v>
      </c>
      <c r="CM179" s="578">
        <v>9.7252890756701574E-3</v>
      </c>
      <c r="CN179" s="578">
        <v>5.4998070243149361E-3</v>
      </c>
      <c r="CO179" s="578">
        <v>8.5411684318414758E-3</v>
      </c>
      <c r="CP179" s="578">
        <v>3.8091150513694036E-3</v>
      </c>
      <c r="CQ179" s="578">
        <v>7.0714149200484166E-3</v>
      </c>
      <c r="CR179" s="578">
        <v>1.2083381721054465E-2</v>
      </c>
      <c r="CS179" s="578">
        <v>7.1194485252570909E-3</v>
      </c>
      <c r="CT179" s="578">
        <v>6.3865154122072845E-3</v>
      </c>
      <c r="CU179" s="578">
        <v>2.0355352046821342E-2</v>
      </c>
      <c r="CV179" s="578">
        <v>5.6686883956063019E-3</v>
      </c>
      <c r="CW179" s="578">
        <v>6.7098384957478352E-3</v>
      </c>
      <c r="CX179" s="578">
        <v>1.1029254293913564E-2</v>
      </c>
      <c r="CY179" s="578">
        <v>2.0606282626614157E-3</v>
      </c>
      <c r="CZ179" s="578">
        <v>2.4715504978662871E-3</v>
      </c>
      <c r="DA179" s="578">
        <v>3.619541239210983E-3</v>
      </c>
      <c r="DB179" s="578">
        <v>2.4909297666107109E-3</v>
      </c>
      <c r="DC179" s="578">
        <v>5.076142131979695E-3</v>
      </c>
      <c r="DD179" s="578">
        <v>1.9323671497584541E-3</v>
      </c>
      <c r="DE179" s="578">
        <v>6.4559216384683883E-3</v>
      </c>
      <c r="DF179" s="578">
        <v>5.7512580877066861E-3</v>
      </c>
      <c r="DG179" s="578">
        <v>9.300550487609107E-3</v>
      </c>
      <c r="DH179" s="578">
        <v>3.0584157406463451E-3</v>
      </c>
      <c r="DI179" s="578">
        <v>1.9207842098291164E-3</v>
      </c>
      <c r="DJ179" s="578">
        <v>4.9571991203766971E-3</v>
      </c>
      <c r="DK179" s="578">
        <v>5.7596088104620007E-3</v>
      </c>
      <c r="DL179" s="578">
        <v>7.2927451326986695E-3</v>
      </c>
      <c r="DM179" s="578">
        <v>1.0349507974211062E-2</v>
      </c>
      <c r="DN179" s="578">
        <v>1.4029875381695138E-3</v>
      </c>
      <c r="DO179" s="578">
        <v>0</v>
      </c>
      <c r="DP179" s="578">
        <v>2.497808939526731E-3</v>
      </c>
      <c r="DQ179" s="578">
        <v>4.9641869370966596E-3</v>
      </c>
      <c r="DR179" s="578">
        <v>2.7710252793533606E-3</v>
      </c>
      <c r="DS179" s="578">
        <v>9.5760636865922285E-3</v>
      </c>
      <c r="DT179" s="578">
        <v>3.0614699429254533E-3</v>
      </c>
      <c r="DU179" s="578">
        <v>2.1579182061409095E-2</v>
      </c>
      <c r="DV179" s="578">
        <v>2.2539244130801099E-2</v>
      </c>
      <c r="DW179" s="578">
        <v>2.7647128238844215E-3</v>
      </c>
      <c r="DX179" s="578">
        <v>4.7009935215773764E-3</v>
      </c>
      <c r="DY179" s="578">
        <v>5.0291694992964535E-2</v>
      </c>
      <c r="DZ179" s="578">
        <v>1.357566653137594E-2</v>
      </c>
      <c r="EA179" s="578">
        <v>2.6003165254322176E-2</v>
      </c>
      <c r="EB179" s="578">
        <v>1.0106928933621338E-2</v>
      </c>
      <c r="EC179" s="578">
        <v>3.7830250132268255E-2</v>
      </c>
      <c r="ED179" s="578">
        <v>5.7489303579343468E-2</v>
      </c>
      <c r="EE179" s="578">
        <v>3.3504404187280896E-3</v>
      </c>
      <c r="EF179" s="578">
        <v>7.0748212052211285E-3</v>
      </c>
      <c r="EG179" s="578">
        <v>9.4365806272550656E-3</v>
      </c>
      <c r="EH179" s="578">
        <v>2.7795527156549522E-3</v>
      </c>
      <c r="EI179" s="578">
        <v>5.5413182267781674E-3</v>
      </c>
      <c r="EJ179" s="578">
        <v>7.8099933763347311E-3</v>
      </c>
      <c r="EK179" s="578">
        <v>9.9060163581848708E-3</v>
      </c>
      <c r="EL179" s="578">
        <v>3.9330369132523652E-3</v>
      </c>
      <c r="EM179" s="578">
        <v>1.6333324097639754E-2</v>
      </c>
      <c r="EN179" s="578">
        <v>1.5450242426501232E-3</v>
      </c>
      <c r="EO179" s="578">
        <v>1.6959735892986233E-3</v>
      </c>
      <c r="EP179" s="578">
        <v>0</v>
      </c>
      <c r="EQ179" s="578">
        <v>2.5217005209480781E-3</v>
      </c>
      <c r="ER179" s="578">
        <v>9.8039215686274508E-4</v>
      </c>
      <c r="ES179" s="578">
        <v>1.6874077198903185E-3</v>
      </c>
      <c r="ET179" s="578">
        <v>4.7900398971234583E-3</v>
      </c>
      <c r="EU179" s="578">
        <v>2.2881147108175025E-3</v>
      </c>
      <c r="EV179" s="578">
        <v>1.5088645794039985E-3</v>
      </c>
      <c r="EW179" s="578">
        <v>4.9002450122506121E-3</v>
      </c>
      <c r="EX179" s="578">
        <v>9.0390471418108936E-2</v>
      </c>
      <c r="EY179" s="578">
        <v>5.7656141740077202E-3</v>
      </c>
      <c r="EZ179" s="578">
        <v>5.6055760272543977E-3</v>
      </c>
      <c r="FA179" s="578">
        <v>8.0152004892111474E-3</v>
      </c>
      <c r="FB179" s="578">
        <v>5.6260688012898137E-3</v>
      </c>
      <c r="FC179" s="578">
        <v>3.0318780318780317E-4</v>
      </c>
      <c r="FD179" s="578">
        <v>1.2471091866358313E-2</v>
      </c>
      <c r="FE179" s="578">
        <v>1.5110812625923439E-2</v>
      </c>
      <c r="FF179" s="578">
        <v>9.8516563523844188E-3</v>
      </c>
      <c r="FG179" s="578">
        <v>4.9895615866388306E-2</v>
      </c>
      <c r="FH179" s="578">
        <v>7.9661843602666232E-3</v>
      </c>
      <c r="FI179" s="578">
        <v>1.6965077426287941E-2</v>
      </c>
      <c r="FJ179" s="578">
        <v>1.2871112326083366E-2</v>
      </c>
      <c r="FK179" s="578">
        <v>7.7585041034657022E-4</v>
      </c>
      <c r="FL179" s="578">
        <v>1.2885520125457397E-2</v>
      </c>
      <c r="FM179" s="578">
        <v>4.153728743453362E-3</v>
      </c>
      <c r="FN179" s="578">
        <v>4.288102197278848E-3</v>
      </c>
      <c r="FO179" s="578">
        <v>6.1812598500831581E-3</v>
      </c>
      <c r="FP179" s="578">
        <v>1.3818422462420824E-2</v>
      </c>
      <c r="FQ179" s="578">
        <v>8.4962736618299402E-3</v>
      </c>
      <c r="FR179" s="578">
        <v>1.9713265832595993E-2</v>
      </c>
      <c r="FS179" s="578">
        <v>5.236306553792678E-3</v>
      </c>
      <c r="FT179" s="578">
        <v>2.9312124843711902E-3</v>
      </c>
      <c r="FU179" s="578">
        <v>1.7155012694709394E-3</v>
      </c>
      <c r="FV179" s="578">
        <v>1.549997905408236E-3</v>
      </c>
      <c r="FW179" s="578">
        <v>4.20327693936773E-3</v>
      </c>
      <c r="FX179" s="578">
        <v>1.2296368549101386E-2</v>
      </c>
      <c r="FY179" s="578">
        <v>9.9528464819619716E-3</v>
      </c>
      <c r="FZ179" s="578">
        <v>4.7599866599099981E-3</v>
      </c>
      <c r="GA179" s="578">
        <v>1.5830048339641938E-3</v>
      </c>
      <c r="GB179" s="578">
        <v>2.8488012866771375E-3</v>
      </c>
      <c r="GC179" s="578">
        <v>4.9924147025869337E-3</v>
      </c>
      <c r="GD179" s="578">
        <v>3.0932924924682863E-3</v>
      </c>
      <c r="GE179" s="578">
        <v>0</v>
      </c>
      <c r="GF179" s="578">
        <v>1.0560951016292523E-3</v>
      </c>
      <c r="GG179" s="579">
        <v>6.6319679273665368E-3</v>
      </c>
      <c r="GH179" s="572"/>
    </row>
    <row r="180" spans="1:190">
      <c r="A180" s="572" t="s">
        <v>9378</v>
      </c>
      <c r="B180" s="577" t="s">
        <v>780</v>
      </c>
      <c r="C180" s="573" t="s">
        <v>781</v>
      </c>
      <c r="D180" s="578">
        <v>4.1506739266267967E-3</v>
      </c>
      <c r="E180" s="578">
        <v>7.6988879384088963E-3</v>
      </c>
      <c r="F180" s="578">
        <v>5.4208206651111266E-3</v>
      </c>
      <c r="G180" s="578">
        <v>5.8724832214765103E-3</v>
      </c>
      <c r="H180" s="578">
        <v>0</v>
      </c>
      <c r="I180" s="578">
        <v>4.5610034207525657E-3</v>
      </c>
      <c r="J180" s="578">
        <v>1.3528966483596129E-3</v>
      </c>
      <c r="K180" s="578">
        <v>3.4457035274057758E-3</v>
      </c>
      <c r="L180" s="578">
        <v>7.5301204819277112E-4</v>
      </c>
      <c r="M180" s="578">
        <v>9.0876045074518349E-3</v>
      </c>
      <c r="N180" s="578">
        <v>3.5587188612099642E-3</v>
      </c>
      <c r="O180" s="578">
        <v>5.2991153542962252E-3</v>
      </c>
      <c r="P180" s="578">
        <v>0</v>
      </c>
      <c r="Q180" s="578">
        <v>0</v>
      </c>
      <c r="R180" s="578">
        <v>6.2461138431971056E-2</v>
      </c>
      <c r="S180" s="578">
        <v>4.4817927170868348E-2</v>
      </c>
      <c r="T180" s="578">
        <v>9.4802898541216296E-4</v>
      </c>
      <c r="U180" s="578">
        <v>4.4948548257526492E-4</v>
      </c>
      <c r="V180" s="578">
        <v>6.7146139843027243E-4</v>
      </c>
      <c r="W180" s="578">
        <v>1.1703861661580695E-3</v>
      </c>
      <c r="X180" s="578">
        <v>6.3977889241478142E-4</v>
      </c>
      <c r="Y180" s="578">
        <v>4.0160946889042121E-4</v>
      </c>
      <c r="Z180" s="578">
        <v>8.9650711166345013E-4</v>
      </c>
      <c r="AA180" s="578">
        <v>1.5471328058800568E-3</v>
      </c>
      <c r="AB180" s="578">
        <v>8.3414545514609931E-4</v>
      </c>
      <c r="AC180" s="578">
        <v>4.3189081800120929E-4</v>
      </c>
      <c r="AD180" s="578">
        <v>0</v>
      </c>
      <c r="AE180" s="578">
        <v>2.2532672374943668E-3</v>
      </c>
      <c r="AF180" s="578">
        <v>9.8611848592884774E-4</v>
      </c>
      <c r="AG180" s="578">
        <v>0</v>
      </c>
      <c r="AH180" s="578">
        <v>1.9282684149633628E-3</v>
      </c>
      <c r="AI180" s="578">
        <v>2.7397260273972603E-3</v>
      </c>
      <c r="AJ180" s="578">
        <v>1.5602427044206877E-3</v>
      </c>
      <c r="AK180" s="578">
        <v>3.3674232975804438E-3</v>
      </c>
      <c r="AL180" s="578">
        <v>1.3373751783166904E-3</v>
      </c>
      <c r="AM180" s="578">
        <v>2.3533463437033636E-3</v>
      </c>
      <c r="AN180" s="578">
        <v>3.4937888198757765E-3</v>
      </c>
      <c r="AO180" s="578">
        <v>1.1983029439388542E-3</v>
      </c>
      <c r="AP180" s="578">
        <v>5.5590851334180432E-4</v>
      </c>
      <c r="AQ180" s="578">
        <v>6.6208722999255148E-4</v>
      </c>
      <c r="AR180" s="578">
        <v>9.2090815712109946E-4</v>
      </c>
      <c r="AS180" s="578">
        <v>5.6547093125993992E-4</v>
      </c>
      <c r="AT180" s="578">
        <v>7.045901979069526E-4</v>
      </c>
      <c r="AU180" s="578">
        <v>1.1861716922170777E-3</v>
      </c>
      <c r="AV180" s="578">
        <v>4.1938769396680846E-4</v>
      </c>
      <c r="AW180" s="578">
        <v>5.9003379284449926E-4</v>
      </c>
      <c r="AX180" s="578">
        <v>5.5958481001547084E-4</v>
      </c>
      <c r="AY180" s="578">
        <v>3.1715826197272439E-4</v>
      </c>
      <c r="AZ180" s="578">
        <v>6.3295431426181701E-4</v>
      </c>
      <c r="BA180" s="578">
        <v>5.5532417048452032E-4</v>
      </c>
      <c r="BB180" s="578">
        <v>4.6038885150688811E-4</v>
      </c>
      <c r="BC180" s="578">
        <v>1.9445894357620231E-4</v>
      </c>
      <c r="BD180" s="578">
        <v>5.2161601609557998E-4</v>
      </c>
      <c r="BE180" s="578">
        <v>3.9314523206099365E-4</v>
      </c>
      <c r="BF180" s="578">
        <v>4.9554013875123884E-4</v>
      </c>
      <c r="BG180" s="578">
        <v>6.0111317254174393E-4</v>
      </c>
      <c r="BH180" s="578">
        <v>2.6796020447424833E-4</v>
      </c>
      <c r="BI180" s="578">
        <v>2.1686093792355651E-4</v>
      </c>
      <c r="BJ180" s="578">
        <v>4.9484332023373099E-5</v>
      </c>
      <c r="BK180" s="578">
        <v>5.5120714364458166E-5</v>
      </c>
      <c r="BL180" s="578">
        <v>8.8800933678388392E-5</v>
      </c>
      <c r="BM180" s="578">
        <v>1.8549179370564513E-4</v>
      </c>
      <c r="BN180" s="578">
        <v>1.9753086419753085E-4</v>
      </c>
      <c r="BO180" s="578">
        <v>2.0281820728020784E-4</v>
      </c>
      <c r="BP180" s="578">
        <v>1.9610691458454388E-3</v>
      </c>
      <c r="BQ180" s="578">
        <v>1.5300728871084405E-3</v>
      </c>
      <c r="BR180" s="578">
        <v>1.3549123574408159E-3</v>
      </c>
      <c r="BS180" s="578">
        <v>7.8800691908514318E-3</v>
      </c>
      <c r="BT180" s="578">
        <v>9.1058095064651249E-4</v>
      </c>
      <c r="BU180" s="578">
        <v>2.465483234714004E-3</v>
      </c>
      <c r="BV180" s="578">
        <v>8.758927368279208E-4</v>
      </c>
      <c r="BW180" s="578">
        <v>4.0902929348358871E-4</v>
      </c>
      <c r="BX180" s="578">
        <v>0</v>
      </c>
      <c r="BY180" s="578">
        <v>6.3185974465359077E-4</v>
      </c>
      <c r="BZ180" s="578">
        <v>8.0021633434694073E-4</v>
      </c>
      <c r="CA180" s="578">
        <v>8.9689754983896615E-4</v>
      </c>
      <c r="CB180" s="578">
        <v>7.0116654256639364E-4</v>
      </c>
      <c r="CC180" s="578">
        <v>7.5294631165429948E-4</v>
      </c>
      <c r="CD180" s="578">
        <v>4.2290519604095675E-4</v>
      </c>
      <c r="CE180" s="578">
        <v>0</v>
      </c>
      <c r="CF180" s="578">
        <v>5.5266066635086062E-4</v>
      </c>
      <c r="CG180" s="578">
        <v>7.9445019790321892E-4</v>
      </c>
      <c r="CH180" s="578">
        <v>1.7589945957205513E-3</v>
      </c>
      <c r="CI180" s="578">
        <v>1.3181784266421269E-3</v>
      </c>
      <c r="CJ180" s="578">
        <v>1.7096984161423302E-3</v>
      </c>
      <c r="CK180" s="578">
        <v>1.3666575892361847E-3</v>
      </c>
      <c r="CL180" s="578">
        <v>8.1527440577885686E-4</v>
      </c>
      <c r="CM180" s="578">
        <v>6.885580644395375E-4</v>
      </c>
      <c r="CN180" s="578">
        <v>9.1663450405248936E-4</v>
      </c>
      <c r="CO180" s="578">
        <v>8.5411684318414764E-4</v>
      </c>
      <c r="CP180" s="578">
        <v>1.0461654014324419E-3</v>
      </c>
      <c r="CQ180" s="578">
        <v>1.2104223737019813E-3</v>
      </c>
      <c r="CR180" s="578">
        <v>6.5323423528045521E-4</v>
      </c>
      <c r="CS180" s="578">
        <v>7.9104983613967675E-4</v>
      </c>
      <c r="CT180" s="578">
        <v>9.3318946662389551E-4</v>
      </c>
      <c r="CU180" s="578">
        <v>1.2817825645325121E-3</v>
      </c>
      <c r="CV180" s="578">
        <v>8.1777799805467959E-4</v>
      </c>
      <c r="CW180" s="578">
        <v>7.0219240071779665E-4</v>
      </c>
      <c r="CX180" s="578">
        <v>9.1375051755400406E-4</v>
      </c>
      <c r="CY180" s="578">
        <v>1.4103855664438136E-3</v>
      </c>
      <c r="CZ180" s="578">
        <v>9.4238975817923182E-4</v>
      </c>
      <c r="DA180" s="578">
        <v>9.4236576642179432E-4</v>
      </c>
      <c r="DB180" s="578">
        <v>1.0288622949044242E-3</v>
      </c>
      <c r="DC180" s="578">
        <v>1.4503263234227702E-3</v>
      </c>
      <c r="DD180" s="578">
        <v>4.3478260869565218E-3</v>
      </c>
      <c r="DE180" s="578">
        <v>3.6800116306540424E-4</v>
      </c>
      <c r="DF180" s="578">
        <v>1.098330537582874E-4</v>
      </c>
      <c r="DG180" s="578">
        <v>3.3571651965855334E-4</v>
      </c>
      <c r="DH180" s="578">
        <v>4.9840849106829333E-4</v>
      </c>
      <c r="DI180" s="578">
        <v>4.6363756788978672E-4</v>
      </c>
      <c r="DJ180" s="578">
        <v>2.6090521686193143E-4</v>
      </c>
      <c r="DK180" s="578">
        <v>6.0640176653773586E-4</v>
      </c>
      <c r="DL180" s="578">
        <v>0</v>
      </c>
      <c r="DM180" s="578">
        <v>2.6863476982241829E-4</v>
      </c>
      <c r="DN180" s="578">
        <v>7.014937690847569E-4</v>
      </c>
      <c r="DO180" s="578">
        <v>0</v>
      </c>
      <c r="DP180" s="578">
        <v>1.0955302366345311E-4</v>
      </c>
      <c r="DQ180" s="578">
        <v>5.2005767912441196E-4</v>
      </c>
      <c r="DR180" s="578">
        <v>1.6005922191210747E-4</v>
      </c>
      <c r="DS180" s="578">
        <v>2.8843565321060933E-4</v>
      </c>
      <c r="DT180" s="578">
        <v>8.0181355648047589E-5</v>
      </c>
      <c r="DU180" s="578">
        <v>1.0351637151229456E-4</v>
      </c>
      <c r="DV180" s="578">
        <v>8.8687301245423097E-5</v>
      </c>
      <c r="DW180" s="578">
        <v>6.2711778688110051E-3</v>
      </c>
      <c r="DX180" s="578">
        <v>6.1964855936306748E-3</v>
      </c>
      <c r="DY180" s="578">
        <v>3.4940159048868795E-3</v>
      </c>
      <c r="DZ180" s="578">
        <v>3.3749703174391992E-3</v>
      </c>
      <c r="EA180" s="578">
        <v>2.7044894524911353E-3</v>
      </c>
      <c r="EB180" s="578">
        <v>3.8451521975580985E-3</v>
      </c>
      <c r="EC180" s="578">
        <v>3.9909843510598283E-3</v>
      </c>
      <c r="ED180" s="578">
        <v>2.713679659161835E-3</v>
      </c>
      <c r="EE180" s="578">
        <v>4.4253520078912364E-4</v>
      </c>
      <c r="EF180" s="578">
        <v>5.8368878483691991E-4</v>
      </c>
      <c r="EG180" s="578">
        <v>1.1101859561476548E-3</v>
      </c>
      <c r="EH180" s="578">
        <v>1.3791267305644302E-3</v>
      </c>
      <c r="EI180" s="578">
        <v>5.3165182987141447E-3</v>
      </c>
      <c r="EJ180" s="578">
        <v>1.2345002188415865E-2</v>
      </c>
      <c r="EK180" s="578">
        <v>1.0008566630481341E-2</v>
      </c>
      <c r="EL180" s="578">
        <v>1.1787174360657693E-3</v>
      </c>
      <c r="EM180" s="578">
        <v>5.9570223596141592E-4</v>
      </c>
      <c r="EN180" s="578">
        <v>6.0310156840289895E-4</v>
      </c>
      <c r="EO180" s="578">
        <v>4.4910798880381663E-4</v>
      </c>
      <c r="EP180" s="578">
        <v>8.674499210900394E-5</v>
      </c>
      <c r="EQ180" s="578">
        <v>4.3723033226115868E-4</v>
      </c>
      <c r="ER180" s="578">
        <v>0</v>
      </c>
      <c r="ES180" s="578">
        <v>2.1092596498628979E-3</v>
      </c>
      <c r="ET180" s="578">
        <v>1.1758454784805967E-2</v>
      </c>
      <c r="EU180" s="578">
        <v>2.4641235347265409E-4</v>
      </c>
      <c r="EV180" s="578">
        <v>1.9049415314975481E-3</v>
      </c>
      <c r="EW180" s="578">
        <v>5.833625014584063E-4</v>
      </c>
      <c r="EX180" s="578">
        <v>2.1200323786763289E-4</v>
      </c>
      <c r="EY180" s="578">
        <v>1.3411857864000792E-2</v>
      </c>
      <c r="EZ180" s="578">
        <v>3.8239588402975733E-4</v>
      </c>
      <c r="FA180" s="578">
        <v>6.5300952214554031E-3</v>
      </c>
      <c r="FB180" s="578">
        <v>9.9164522037122602E-4</v>
      </c>
      <c r="FC180" s="578">
        <v>1.9490644490644492E-3</v>
      </c>
      <c r="FD180" s="578">
        <v>1.4613984155882498E-3</v>
      </c>
      <c r="FE180" s="578">
        <v>1.1123237071860308E-3</v>
      </c>
      <c r="FF180" s="578">
        <v>1.9415119524329571E-3</v>
      </c>
      <c r="FG180" s="578">
        <v>2.6096033402922753E-4</v>
      </c>
      <c r="FH180" s="578">
        <v>1.6907819866688342E-3</v>
      </c>
      <c r="FI180" s="578">
        <v>1.7147118755541984E-3</v>
      </c>
      <c r="FJ180" s="578">
        <v>2.22226019010519E-3</v>
      </c>
      <c r="FK180" s="578">
        <v>1.1937724531413806E-3</v>
      </c>
      <c r="FL180" s="578">
        <v>2.5483533716675381E-3</v>
      </c>
      <c r="FM180" s="578">
        <v>9.5541586805939892E-4</v>
      </c>
      <c r="FN180" s="578">
        <v>6.5554175576867403E-4</v>
      </c>
      <c r="FO180" s="578">
        <v>6.1891820030470586E-4</v>
      </c>
      <c r="FP180" s="578">
        <v>6.1450225317492835E-4</v>
      </c>
      <c r="FQ180" s="578">
        <v>9.9072172407843389E-4</v>
      </c>
      <c r="FR180" s="578">
        <v>1.022549790937594E-3</v>
      </c>
      <c r="FS180" s="578">
        <v>1.6875035039524585E-3</v>
      </c>
      <c r="FT180" s="578">
        <v>1.8469232644887498E-3</v>
      </c>
      <c r="FU180" s="578">
        <v>2.1272215741439649E-3</v>
      </c>
      <c r="FV180" s="578">
        <v>1.9689162582212727E-3</v>
      </c>
      <c r="FW180" s="578">
        <v>8.0023926345654858E-4</v>
      </c>
      <c r="FX180" s="578">
        <v>5.7179375063065487E-4</v>
      </c>
      <c r="FY180" s="578">
        <v>2.0368034859507863E-3</v>
      </c>
      <c r="FZ180" s="578">
        <v>1.0199971414092852E-2</v>
      </c>
      <c r="GA180" s="578">
        <v>1.9848822221532459E-4</v>
      </c>
      <c r="GB180" s="578">
        <v>3.7590970620557593E-3</v>
      </c>
      <c r="GC180" s="578">
        <v>3.5323688933398116E-3</v>
      </c>
      <c r="GD180" s="578">
        <v>4.7087905259940686E-3</v>
      </c>
      <c r="GE180" s="578">
        <v>0</v>
      </c>
      <c r="GF180" s="578">
        <v>8.5389799925701844E-3</v>
      </c>
      <c r="GG180" s="579">
        <v>2.1737706402585803E-3</v>
      </c>
      <c r="GH180" s="572"/>
    </row>
    <row r="181" spans="1:190">
      <c r="A181" s="572" t="s">
        <v>9379</v>
      </c>
      <c r="B181" s="577" t="s">
        <v>782</v>
      </c>
      <c r="C181" s="573" t="s">
        <v>7520</v>
      </c>
      <c r="D181" s="578">
        <v>0</v>
      </c>
      <c r="E181" s="578">
        <v>0</v>
      </c>
      <c r="F181" s="578">
        <v>0</v>
      </c>
      <c r="G181" s="578">
        <v>0</v>
      </c>
      <c r="H181" s="578">
        <v>0</v>
      </c>
      <c r="I181" s="578">
        <v>3.0949666069392408E-3</v>
      </c>
      <c r="J181" s="578">
        <v>0</v>
      </c>
      <c r="K181" s="578">
        <v>3.9785442790664632E-3</v>
      </c>
      <c r="L181" s="578">
        <v>0</v>
      </c>
      <c r="M181" s="578">
        <v>0</v>
      </c>
      <c r="N181" s="578">
        <v>6.405693950177936E-3</v>
      </c>
      <c r="O181" s="578">
        <v>7.8829815187877723E-4</v>
      </c>
      <c r="P181" s="578">
        <v>0</v>
      </c>
      <c r="Q181" s="578">
        <v>0</v>
      </c>
      <c r="R181" s="578">
        <v>3.052399525182296E-3</v>
      </c>
      <c r="S181" s="578">
        <v>2.8011204481792717E-3</v>
      </c>
      <c r="T181" s="578">
        <v>7.8663443149424462E-3</v>
      </c>
      <c r="U181" s="578">
        <v>3.6628285069431163E-3</v>
      </c>
      <c r="V181" s="578">
        <v>4.4241845474350177E-3</v>
      </c>
      <c r="W181" s="578">
        <v>1.7157493535301542E-2</v>
      </c>
      <c r="X181" s="578">
        <v>4.4016787798136963E-3</v>
      </c>
      <c r="Y181" s="578">
        <v>1.3696398396593139E-2</v>
      </c>
      <c r="Z181" s="578">
        <v>3.8759169737785089E-3</v>
      </c>
      <c r="AA181" s="578">
        <v>3.7302562051926537E-2</v>
      </c>
      <c r="AB181" s="578">
        <v>1.1686295237937926E-2</v>
      </c>
      <c r="AC181" s="578">
        <v>1.5548069448043534E-4</v>
      </c>
      <c r="AD181" s="578">
        <v>0</v>
      </c>
      <c r="AE181" s="578">
        <v>4.5065344749887338E-4</v>
      </c>
      <c r="AF181" s="578">
        <v>1.1378290222255935E-3</v>
      </c>
      <c r="AG181" s="578">
        <v>0</v>
      </c>
      <c r="AH181" s="578">
        <v>1.1569610489780178E-3</v>
      </c>
      <c r="AI181" s="578">
        <v>8.0187103240895422E-4</v>
      </c>
      <c r="AJ181" s="578">
        <v>3.8139266108061253E-3</v>
      </c>
      <c r="AK181" s="578">
        <v>3.6168620603641804E-3</v>
      </c>
      <c r="AL181" s="578">
        <v>5.6169757489301E-3</v>
      </c>
      <c r="AM181" s="578">
        <v>2.2959476523935255E-4</v>
      </c>
      <c r="AN181" s="578">
        <v>2.329192546583851E-3</v>
      </c>
      <c r="AO181" s="578">
        <v>5.7648087573274609E-3</v>
      </c>
      <c r="AP181" s="578">
        <v>3.176620076238882E-4</v>
      </c>
      <c r="AQ181" s="578">
        <v>1.0138210709260945E-3</v>
      </c>
      <c r="AR181" s="578">
        <v>1.2680196932667446E-2</v>
      </c>
      <c r="AS181" s="578">
        <v>1.6846321493785711E-3</v>
      </c>
      <c r="AT181" s="578">
        <v>8.2892964459641491E-3</v>
      </c>
      <c r="AU181" s="578">
        <v>1.0880057590680781E-3</v>
      </c>
      <c r="AV181" s="578">
        <v>2.9357138577676594E-3</v>
      </c>
      <c r="AW181" s="578">
        <v>5.9003379284449926E-4</v>
      </c>
      <c r="AX181" s="578">
        <v>6.8247402319533898E-3</v>
      </c>
      <c r="AY181" s="578">
        <v>1.5857913098636219E-4</v>
      </c>
      <c r="AZ181" s="578">
        <v>1.2320003616881796E-3</v>
      </c>
      <c r="BA181" s="578">
        <v>1.6659725114535611E-3</v>
      </c>
      <c r="BB181" s="578">
        <v>9.3258254536010673E-4</v>
      </c>
      <c r="BC181" s="578">
        <v>9.0065194919504237E-4</v>
      </c>
      <c r="BD181" s="578">
        <v>3.1421155255281362E-3</v>
      </c>
      <c r="BE181" s="578">
        <v>4.9459074283387507E-2</v>
      </c>
      <c r="BF181" s="578">
        <v>3.6422200198216056E-2</v>
      </c>
      <c r="BG181" s="578">
        <v>0.14121706864564007</v>
      </c>
      <c r="BH181" s="578">
        <v>6.3005001923816849E-3</v>
      </c>
      <c r="BI181" s="578">
        <v>5.2588777446462452E-3</v>
      </c>
      <c r="BJ181" s="578">
        <v>3.4020478266069006E-3</v>
      </c>
      <c r="BK181" s="578">
        <v>1.6536214309337448E-4</v>
      </c>
      <c r="BL181" s="578">
        <v>1.7760186735677678E-4</v>
      </c>
      <c r="BM181" s="578">
        <v>4.8182065920577451E-3</v>
      </c>
      <c r="BN181" s="578">
        <v>9.1851851851851851E-3</v>
      </c>
      <c r="BO181" s="578">
        <v>3.650727731043741E-3</v>
      </c>
      <c r="BP181" s="578">
        <v>2.3968622893666474E-3</v>
      </c>
      <c r="BQ181" s="578">
        <v>2.1142825349134814E-3</v>
      </c>
      <c r="BR181" s="578">
        <v>2.2830806652939734E-3</v>
      </c>
      <c r="BS181" s="578">
        <v>4.855498346095876E-4</v>
      </c>
      <c r="BT181" s="578">
        <v>6.7382990347841926E-3</v>
      </c>
      <c r="BU181" s="578">
        <v>4.9309664694280081E-4</v>
      </c>
      <c r="BV181" s="578">
        <v>1.5833445627273953E-3</v>
      </c>
      <c r="BW181" s="578">
        <v>3.3916754087757632E-4</v>
      </c>
      <c r="BX181" s="578">
        <v>0</v>
      </c>
      <c r="BY181" s="578">
        <v>4.9297572157131636E-4</v>
      </c>
      <c r="BZ181" s="578">
        <v>3.0904906705812884E-4</v>
      </c>
      <c r="CA181" s="578">
        <v>1.2355861350928415E-3</v>
      </c>
      <c r="CB181" s="578">
        <v>6.5152643335815344E-4</v>
      </c>
      <c r="CC181" s="578">
        <v>1.5440855521606286E-3</v>
      </c>
      <c r="CD181" s="578">
        <v>7.156857163770037E-4</v>
      </c>
      <c r="CE181" s="578">
        <v>0</v>
      </c>
      <c r="CF181" s="578">
        <v>1.4211274277593558E-3</v>
      </c>
      <c r="CG181" s="578">
        <v>8.1573011391848377E-4</v>
      </c>
      <c r="CH181" s="578">
        <v>2.4764792334486707E-3</v>
      </c>
      <c r="CI181" s="578">
        <v>7.7101002313030066E-4</v>
      </c>
      <c r="CJ181" s="578">
        <v>1.8138424821002386E-3</v>
      </c>
      <c r="CK181" s="578">
        <v>1.3061413860227743E-3</v>
      </c>
      <c r="CL181" s="578">
        <v>2.8594550849743729E-3</v>
      </c>
      <c r="CM181" s="578">
        <v>2.9964147493886078E-3</v>
      </c>
      <c r="CN181" s="578">
        <v>3.0514280200694714E-3</v>
      </c>
      <c r="CO181" s="578">
        <v>4.7830543218312267E-3</v>
      </c>
      <c r="CP181" s="578">
        <v>4.238311113495534E-3</v>
      </c>
      <c r="CQ181" s="578">
        <v>4.905395935529082E-3</v>
      </c>
      <c r="CR181" s="578">
        <v>2.3342236674021599E-3</v>
      </c>
      <c r="CS181" s="578">
        <v>4.8028025765623232E-3</v>
      </c>
      <c r="CT181" s="578">
        <v>3.9077308914875625E-3</v>
      </c>
      <c r="CU181" s="578">
        <v>2.7651032681424632E-3</v>
      </c>
      <c r="CV181" s="578">
        <v>2.8870041446475811E-3</v>
      </c>
      <c r="CW181" s="578">
        <v>2.1065772021533901E-3</v>
      </c>
      <c r="CX181" s="578">
        <v>4.2118187918504879E-3</v>
      </c>
      <c r="CY181" s="578">
        <v>5.6781756571114576E-4</v>
      </c>
      <c r="CZ181" s="578">
        <v>4.6941678520625888E-3</v>
      </c>
      <c r="DA181" s="578">
        <v>8.5669615129254032E-3</v>
      </c>
      <c r="DB181" s="578">
        <v>4.9818595332214218E-3</v>
      </c>
      <c r="DC181" s="578">
        <v>2.1754894851341551E-3</v>
      </c>
      <c r="DD181" s="578">
        <v>0</v>
      </c>
      <c r="DE181" s="578">
        <v>3.748159994184673E-3</v>
      </c>
      <c r="DF181" s="578">
        <v>2.8656442207844078E-3</v>
      </c>
      <c r="DG181" s="578">
        <v>3.4610514160238479E-3</v>
      </c>
      <c r="DH181" s="578">
        <v>9.7189655758317187E-3</v>
      </c>
      <c r="DI181" s="578">
        <v>3.377930851768446E-3</v>
      </c>
      <c r="DJ181" s="578">
        <v>5.4665854961547539E-3</v>
      </c>
      <c r="DK181" s="578">
        <v>2.2033402831968729E-3</v>
      </c>
      <c r="DL181" s="578">
        <v>5.7296532915835459E-3</v>
      </c>
      <c r="DM181" s="578">
        <v>4.1426309241036083E-3</v>
      </c>
      <c r="DN181" s="578">
        <v>2.2695386646859783E-3</v>
      </c>
      <c r="DO181" s="578">
        <v>0</v>
      </c>
      <c r="DP181" s="578">
        <v>7.9316389132340053E-3</v>
      </c>
      <c r="DQ181" s="578">
        <v>2.7184833226957901E-3</v>
      </c>
      <c r="DR181" s="578">
        <v>4.0815101587587405E-3</v>
      </c>
      <c r="DS181" s="578">
        <v>1.3973104977758406E-3</v>
      </c>
      <c r="DT181" s="578">
        <v>3.4988227919148035E-4</v>
      </c>
      <c r="DU181" s="578">
        <v>5.4147025098738697E-4</v>
      </c>
      <c r="DV181" s="578">
        <v>8.6026682208060409E-3</v>
      </c>
      <c r="DW181" s="578">
        <v>2.523643352045719E-2</v>
      </c>
      <c r="DX181" s="578">
        <v>4.9645433539474253E-3</v>
      </c>
      <c r="DY181" s="578">
        <v>1.1067018703261609E-4</v>
      </c>
      <c r="DZ181" s="578">
        <v>4.1092452966824582E-3</v>
      </c>
      <c r="EA181" s="578">
        <v>1.6249195887395298E-3</v>
      </c>
      <c r="EB181" s="578">
        <v>4.5575011106515311E-4</v>
      </c>
      <c r="EC181" s="578">
        <v>8.9606008801573149E-4</v>
      </c>
      <c r="ED181" s="578">
        <v>9.4526508127470575E-4</v>
      </c>
      <c r="EE181" s="578">
        <v>2.1331479388762686E-3</v>
      </c>
      <c r="EF181" s="578">
        <v>9.6725570058689581E-3</v>
      </c>
      <c r="EG181" s="578">
        <v>5.5509297807382742E-4</v>
      </c>
      <c r="EH181" s="578">
        <v>8.6048988285410011E-3</v>
      </c>
      <c r="EI181" s="578">
        <v>1.0172196744897041E-3</v>
      </c>
      <c r="EJ181" s="578">
        <v>4.2123635160967645E-3</v>
      </c>
      <c r="EK181" s="578">
        <v>1.6539489220323313E-2</v>
      </c>
      <c r="EL181" s="578">
        <v>3.9124466593058994E-2</v>
      </c>
      <c r="EM181" s="578">
        <v>1.6228433006257842E-2</v>
      </c>
      <c r="EN181" s="578">
        <v>1.3540985495068459E-2</v>
      </c>
      <c r="EO181" s="578">
        <v>1.2941401256320505E-2</v>
      </c>
      <c r="EP181" s="578">
        <v>0</v>
      </c>
      <c r="EQ181" s="578">
        <v>4.6027813272143687E-3</v>
      </c>
      <c r="ER181" s="578">
        <v>5.8823529411764705E-3</v>
      </c>
      <c r="ES181" s="578">
        <v>2.3542059317824605E-3</v>
      </c>
      <c r="ET181" s="578">
        <v>3.7565043176611356E-3</v>
      </c>
      <c r="EU181" s="578">
        <v>1.9947666709691045E-4</v>
      </c>
      <c r="EV181" s="578">
        <v>7.299132402866843E-3</v>
      </c>
      <c r="EW181" s="578">
        <v>1.4584062536460156E-3</v>
      </c>
      <c r="EX181" s="578">
        <v>1.1120533477238561E-2</v>
      </c>
      <c r="EY181" s="578">
        <v>3.9839651588637042E-3</v>
      </c>
      <c r="EZ181" s="578">
        <v>5.3013974831398174E-4</v>
      </c>
      <c r="FA181" s="578">
        <v>7.2071285052852281E-4</v>
      </c>
      <c r="FB181" s="578">
        <v>9.2519824472050115E-3</v>
      </c>
      <c r="FC181" s="578">
        <v>9.312196812196812E-4</v>
      </c>
      <c r="FD181" s="578">
        <v>2.6880873886729321E-2</v>
      </c>
      <c r="FE181" s="578">
        <v>1.1815815983881799E-2</v>
      </c>
      <c r="FF181" s="578">
        <v>1.7136118189540105E-2</v>
      </c>
      <c r="FG181" s="578">
        <v>2.9749478079331943E-2</v>
      </c>
      <c r="FH181" s="578">
        <v>3.9115590960819381E-2</v>
      </c>
      <c r="FI181" s="578">
        <v>2.9067889671209872E-4</v>
      </c>
      <c r="FJ181" s="578">
        <v>1.88282731637308E-3</v>
      </c>
      <c r="FK181" s="578">
        <v>2.7037827537503673E-3</v>
      </c>
      <c r="FL181" s="578">
        <v>1.7511761630946157E-2</v>
      </c>
      <c r="FM181" s="578">
        <v>3.3789097772832402E-3</v>
      </c>
      <c r="FN181" s="578">
        <v>2.3457562542605545E-3</v>
      </c>
      <c r="FO181" s="578">
        <v>1.3868719032427848E-3</v>
      </c>
      <c r="FP181" s="578">
        <v>6.9170894652254749E-3</v>
      </c>
      <c r="FQ181" s="578">
        <v>6.9016569542542597E-4</v>
      </c>
      <c r="FR181" s="578">
        <v>1.477794560875564E-3</v>
      </c>
      <c r="FS181" s="578">
        <v>4.9672030049896284E-3</v>
      </c>
      <c r="FT181" s="578">
        <v>8.5809299984954835E-3</v>
      </c>
      <c r="FU181" s="578">
        <v>4.3916832498456047E-3</v>
      </c>
      <c r="FV181" s="578">
        <v>7.7499895270411801E-4</v>
      </c>
      <c r="FW181" s="578">
        <v>3.9203640684487484E-3</v>
      </c>
      <c r="FX181" s="578">
        <v>7.0913636720370437E-4</v>
      </c>
      <c r="FY181" s="578">
        <v>1.5233183652376019E-2</v>
      </c>
      <c r="FZ181" s="578">
        <v>2.8889091011464682E-3</v>
      </c>
      <c r="GA181" s="578">
        <v>1.0839253945668138E-2</v>
      </c>
      <c r="GB181" s="578">
        <v>1.4729811950815729E-2</v>
      </c>
      <c r="GC181" s="578">
        <v>1.2498388744013563E-2</v>
      </c>
      <c r="GD181" s="578">
        <v>1.0623326985534408E-2</v>
      </c>
      <c r="GE181" s="578">
        <v>0</v>
      </c>
      <c r="GF181" s="578">
        <v>5.0469670434644164E-3</v>
      </c>
      <c r="GG181" s="579">
        <v>6.9755123468077836E-3</v>
      </c>
      <c r="GH181" s="572"/>
    </row>
    <row r="182" spans="1:190">
      <c r="A182" s="572" t="s">
        <v>9380</v>
      </c>
      <c r="B182" s="577" t="s">
        <v>785</v>
      </c>
      <c r="C182" s="573" t="s">
        <v>9554</v>
      </c>
      <c r="D182" s="578">
        <v>1.1760242792109257E-2</v>
      </c>
      <c r="E182" s="578">
        <v>1.2831479897348161E-2</v>
      </c>
      <c r="F182" s="578">
        <v>1.0464540762214524E-2</v>
      </c>
      <c r="G182" s="578">
        <v>9.2281879194630878E-3</v>
      </c>
      <c r="H182" s="578">
        <v>8.9285714285714281E-3</v>
      </c>
      <c r="I182" s="578">
        <v>5.2125753380029317E-3</v>
      </c>
      <c r="J182" s="578">
        <v>2.1098745349417769E-3</v>
      </c>
      <c r="K182" s="578">
        <v>3.5522716777379136E-3</v>
      </c>
      <c r="L182" s="578">
        <v>7.5301204819277112E-4</v>
      </c>
      <c r="M182" s="578">
        <v>8.7241003271537627E-3</v>
      </c>
      <c r="N182" s="578">
        <v>7.1174377224199285E-3</v>
      </c>
      <c r="O182" s="578">
        <v>5.1020408163265302E-3</v>
      </c>
      <c r="P182" s="578">
        <v>5.5248618784530384E-3</v>
      </c>
      <c r="Q182" s="578">
        <v>0</v>
      </c>
      <c r="R182" s="578">
        <v>5.692159855293652E-2</v>
      </c>
      <c r="S182" s="578">
        <v>3.8281979458450049E-2</v>
      </c>
      <c r="T182" s="578">
        <v>1.4269640437864738E-3</v>
      </c>
      <c r="U182" s="578">
        <v>7.7464519337439269E-4</v>
      </c>
      <c r="V182" s="578">
        <v>9.4004595780238149E-4</v>
      </c>
      <c r="W182" s="578">
        <v>1.8720050982266505E-3</v>
      </c>
      <c r="X182" s="578">
        <v>1.1771931620431979E-3</v>
      </c>
      <c r="Y182" s="578">
        <v>6.8955588054770442E-4</v>
      </c>
      <c r="Z182" s="578">
        <v>1.5594929098097742E-3</v>
      </c>
      <c r="AA182" s="578">
        <v>1.7899136461873887E-3</v>
      </c>
      <c r="AB182" s="578">
        <v>1.3461951404833089E-3</v>
      </c>
      <c r="AC182" s="578">
        <v>6.5647404336183809E-4</v>
      </c>
      <c r="AD182" s="578">
        <v>0</v>
      </c>
      <c r="AE182" s="578">
        <v>4.0558810274898601E-3</v>
      </c>
      <c r="AF182" s="578">
        <v>1.2136842903739664E-3</v>
      </c>
      <c r="AG182" s="578">
        <v>0</v>
      </c>
      <c r="AH182" s="578">
        <v>2.6995757809487081E-3</v>
      </c>
      <c r="AI182" s="578">
        <v>3.1406615436017373E-3</v>
      </c>
      <c r="AJ182" s="578">
        <v>1.444669170759896E-3</v>
      </c>
      <c r="AK182" s="578">
        <v>3.9910202045397858E-3</v>
      </c>
      <c r="AL182" s="578">
        <v>1.9169044222539229E-3</v>
      </c>
      <c r="AM182" s="578">
        <v>3.2143267133509356E-3</v>
      </c>
      <c r="AN182" s="578">
        <v>4.3564527260179431E-3</v>
      </c>
      <c r="AO182" s="578">
        <v>1.7164880007772775E-3</v>
      </c>
      <c r="AP182" s="578">
        <v>7.9415501905972044E-4</v>
      </c>
      <c r="AQ182" s="578">
        <v>8.4829926342795659E-4</v>
      </c>
      <c r="AR182" s="578">
        <v>1.1098123944792736E-3</v>
      </c>
      <c r="AS182" s="578">
        <v>7.3039995287742243E-4</v>
      </c>
      <c r="AT182" s="578">
        <v>8.9109936794114599E-4</v>
      </c>
      <c r="AU182" s="578">
        <v>1.922416190834574E-3</v>
      </c>
      <c r="AV182" s="578">
        <v>7.1895033251452882E-4</v>
      </c>
      <c r="AW182" s="578">
        <v>9.1187040712331711E-4</v>
      </c>
      <c r="AX182" s="578">
        <v>9.6555810355610666E-4</v>
      </c>
      <c r="AY182" s="578">
        <v>3.1715826197272439E-4</v>
      </c>
      <c r="AZ182" s="578">
        <v>1.0398535162872708E-3</v>
      </c>
      <c r="BA182" s="578">
        <v>9.7181729834791054E-4</v>
      </c>
      <c r="BB182" s="578">
        <v>7.6731475251148016E-4</v>
      </c>
      <c r="BC182" s="578">
        <v>2.6610171226217158E-4</v>
      </c>
      <c r="BD182" s="578">
        <v>7.3274630832474328E-4</v>
      </c>
      <c r="BE182" s="578">
        <v>5.3706446879760747E-4</v>
      </c>
      <c r="BF182" s="578">
        <v>8.3622398414271554E-4</v>
      </c>
      <c r="BG182" s="578">
        <v>9.6474953617810765E-4</v>
      </c>
      <c r="BH182" s="578">
        <v>2.6108943000054965E-4</v>
      </c>
      <c r="BI182" s="578">
        <v>3.2529140688533479E-4</v>
      </c>
      <c r="BJ182" s="578">
        <v>9.0721275376184015E-5</v>
      </c>
      <c r="BK182" s="578">
        <v>8.2681071546687239E-5</v>
      </c>
      <c r="BL182" s="578">
        <v>7.6115086010047187E-5</v>
      </c>
      <c r="BM182" s="578">
        <v>2.8625276806426716E-4</v>
      </c>
      <c r="BN182" s="578">
        <v>2.9629629629629629E-4</v>
      </c>
      <c r="BO182" s="578">
        <v>3.2837233559652697E-4</v>
      </c>
      <c r="BP182" s="578">
        <v>3.4137129575828006E-3</v>
      </c>
      <c r="BQ182" s="578">
        <v>2.3368385912201635E-3</v>
      </c>
      <c r="BR182" s="578">
        <v>1.3229065537217416E-3</v>
      </c>
      <c r="BS182" s="578">
        <v>5.695094935108288E-3</v>
      </c>
      <c r="BT182" s="578">
        <v>7.2846476051720993E-4</v>
      </c>
      <c r="BU182" s="578">
        <v>1.9143752175426383E-3</v>
      </c>
      <c r="BV182" s="578">
        <v>9.7695728338498852E-4</v>
      </c>
      <c r="BW182" s="578">
        <v>5.3861157654312784E-4</v>
      </c>
      <c r="BX182" s="578">
        <v>0</v>
      </c>
      <c r="BY182" s="578">
        <v>9.6843453933045389E-4</v>
      </c>
      <c r="BZ182" s="578">
        <v>9.7681580123730005E-4</v>
      </c>
      <c r="CA182" s="578">
        <v>1.1869780510980724E-3</v>
      </c>
      <c r="CB182" s="578">
        <v>8.8111193844626456E-4</v>
      </c>
      <c r="CC182" s="578">
        <v>1.0257529463116543E-3</v>
      </c>
      <c r="CD182" s="578">
        <v>5.7742824844053708E-4</v>
      </c>
      <c r="CE182" s="578">
        <v>0</v>
      </c>
      <c r="CF182" s="578">
        <v>5.5266066635086062E-4</v>
      </c>
      <c r="CG182" s="578">
        <v>9.717828313637589E-4</v>
      </c>
      <c r="CH182" s="578">
        <v>2.3954729033825927E-3</v>
      </c>
      <c r="CI182" s="578">
        <v>1.7907329569477953E-3</v>
      </c>
      <c r="CJ182" s="578">
        <v>2.2651334345845085E-3</v>
      </c>
      <c r="CK182" s="578">
        <v>1.8709592826812713E-3</v>
      </c>
      <c r="CL182" s="578">
        <v>1.1524742978748913E-3</v>
      </c>
      <c r="CM182" s="578">
        <v>9.3548923237647501E-4</v>
      </c>
      <c r="CN182" s="578">
        <v>1.3146468544963335E-3</v>
      </c>
      <c r="CO182" s="578">
        <v>1.0249402118209772E-3</v>
      </c>
      <c r="CP182" s="578">
        <v>1.4217119557928056E-3</v>
      </c>
      <c r="CQ182" s="578">
        <v>1.4015416958654519E-3</v>
      </c>
      <c r="CR182" s="578">
        <v>7.7226802926489378E-4</v>
      </c>
      <c r="CS182" s="578">
        <v>1.07356763476099E-3</v>
      </c>
      <c r="CT182" s="578">
        <v>1.1373246624478727E-3</v>
      </c>
      <c r="CU182" s="578">
        <v>1.4349515502313657E-3</v>
      </c>
      <c r="CV182" s="578">
        <v>1.0841753762088555E-3</v>
      </c>
      <c r="CW182" s="578">
        <v>8.9724584536162908E-4</v>
      </c>
      <c r="CX182" s="578">
        <v>1.2278522579631929E-3</v>
      </c>
      <c r="CY182" s="578">
        <v>2.307903654180786E-3</v>
      </c>
      <c r="CZ182" s="578">
        <v>1.3513513513513514E-3</v>
      </c>
      <c r="DA182" s="578">
        <v>1.2207920155918699E-3</v>
      </c>
      <c r="DB182" s="578">
        <v>1.2996155304055884E-3</v>
      </c>
      <c r="DC182" s="578">
        <v>2.1754894851341551E-3</v>
      </c>
      <c r="DD182" s="578">
        <v>4.3478260869565218E-3</v>
      </c>
      <c r="DE182" s="578">
        <v>5.3610045977429261E-4</v>
      </c>
      <c r="DF182" s="578">
        <v>1.4977234603402828E-4</v>
      </c>
      <c r="DG182" s="578">
        <v>5.1068278397571468E-4</v>
      </c>
      <c r="DH182" s="578">
        <v>6.7964794236585453E-4</v>
      </c>
      <c r="DI182" s="578">
        <v>6.6233938269969535E-4</v>
      </c>
      <c r="DJ182" s="578">
        <v>3.8514579631999404E-4</v>
      </c>
      <c r="DK182" s="578">
        <v>8.1900477631989023E-4</v>
      </c>
      <c r="DL182" s="578">
        <v>0</v>
      </c>
      <c r="DM182" s="578">
        <v>4.3829883497341929E-4</v>
      </c>
      <c r="DN182" s="578">
        <v>8.9956259800280593E-4</v>
      </c>
      <c r="DO182" s="578">
        <v>0</v>
      </c>
      <c r="DP182" s="578">
        <v>1.5337423312883436E-4</v>
      </c>
      <c r="DQ182" s="578">
        <v>5.752153117588193E-4</v>
      </c>
      <c r="DR182" s="578">
        <v>2.2008143012914778E-4</v>
      </c>
      <c r="DS182" s="578">
        <v>4.3585832040714294E-4</v>
      </c>
      <c r="DT182" s="578">
        <v>9.4759783947692602E-5</v>
      </c>
      <c r="DU182" s="578">
        <v>1.1147916932093261E-4</v>
      </c>
      <c r="DV182" s="578">
        <v>1.3936575909995059E-4</v>
      </c>
      <c r="DW182" s="578">
        <v>9.1370387228375399E-3</v>
      </c>
      <c r="DX182" s="578">
        <v>7.2935883841943648E-3</v>
      </c>
      <c r="DY182" s="578">
        <v>2.434744114717554E-3</v>
      </c>
      <c r="DZ182" s="578">
        <v>4.4544892662807794E-3</v>
      </c>
      <c r="EA182" s="578">
        <v>4.6566188762234197E-3</v>
      </c>
      <c r="EB182" s="578">
        <v>5.0592092161098091E-3</v>
      </c>
      <c r="EC182" s="578">
        <v>4.3793789967185243E-3</v>
      </c>
      <c r="ED182" s="578">
        <v>4.1654982768134161E-3</v>
      </c>
      <c r="EE182" s="578">
        <v>7.3884137870879768E-4</v>
      </c>
      <c r="EF182" s="578">
        <v>9.1401815207979218E-4</v>
      </c>
      <c r="EG182" s="578">
        <v>1.3877324451845685E-3</v>
      </c>
      <c r="EH182" s="578">
        <v>1.5708200212992546E-3</v>
      </c>
      <c r="EI182" s="578">
        <v>5.0074183976261131E-3</v>
      </c>
      <c r="EJ182" s="578">
        <v>4.9241603807753734E-3</v>
      </c>
      <c r="EK182" s="578">
        <v>5.1649076367658022E-3</v>
      </c>
      <c r="EL182" s="578">
        <v>2.1395959535674852E-3</v>
      </c>
      <c r="EM182" s="578">
        <v>1.0370364506437938E-3</v>
      </c>
      <c r="EN182" s="578">
        <v>2.786803595569575E-3</v>
      </c>
      <c r="EO182" s="578">
        <v>1.6999131330600603E-3</v>
      </c>
      <c r="EP182" s="578">
        <v>1.5296966350404997E-4</v>
      </c>
      <c r="EQ182" s="578">
        <v>5.3213304003877455E-4</v>
      </c>
      <c r="ER182" s="578">
        <v>4.9019607843137254E-4</v>
      </c>
      <c r="ES182" s="578">
        <v>3.7456368943533075E-2</v>
      </c>
      <c r="ET182" s="578">
        <v>3.2682250086459225E-2</v>
      </c>
      <c r="EU182" s="578">
        <v>3.5201764781807727E-4</v>
      </c>
      <c r="EV182" s="578">
        <v>2.3764617125612976E-3</v>
      </c>
      <c r="EW182" s="578">
        <v>8.7504375218760934E-4</v>
      </c>
      <c r="EX182" s="578">
        <v>2.8909532436495396E-4</v>
      </c>
      <c r="EY182" s="578">
        <v>9.4526378303474209E-3</v>
      </c>
      <c r="EZ182" s="578">
        <v>4.6930403949106583E-4</v>
      </c>
      <c r="FA182" s="578">
        <v>3.5598846859439155E-3</v>
      </c>
      <c r="FB182" s="578">
        <v>3.460639442519993E-3</v>
      </c>
      <c r="FC182" s="578">
        <v>1.6242203742203743E-3</v>
      </c>
      <c r="FD182" s="578">
        <v>1.6729813511784679E-3</v>
      </c>
      <c r="FE182" s="578">
        <v>1.7209536601746139E-3</v>
      </c>
      <c r="FF182" s="578">
        <v>3.0336124256764956E-3</v>
      </c>
      <c r="FG182" s="578">
        <v>4.1753653444676412E-4</v>
      </c>
      <c r="FH182" s="578">
        <v>2.6012030564135911E-3</v>
      </c>
      <c r="FI182" s="578">
        <v>2.5397701581410643E-3</v>
      </c>
      <c r="FJ182" s="578">
        <v>1.4174170069538177E-2</v>
      </c>
      <c r="FK182" s="578">
        <v>1.8008270992447915E-3</v>
      </c>
      <c r="FL182" s="578">
        <v>1.1173549398849974E-2</v>
      </c>
      <c r="FM182" s="578">
        <v>1.7302348342295212E-3</v>
      </c>
      <c r="FN182" s="578">
        <v>1.0963048736074407E-3</v>
      </c>
      <c r="FO182" s="578">
        <v>8.9619355404121405E-4</v>
      </c>
      <c r="FP182" s="578">
        <v>3.3876406264771687E-3</v>
      </c>
      <c r="FQ182" s="578">
        <v>3.4981382223780661E-3</v>
      </c>
      <c r="FR182" s="578">
        <v>2.7361377967553887E-3</v>
      </c>
      <c r="FS182" s="578">
        <v>2.6013343050961483E-3</v>
      </c>
      <c r="FT182" s="578">
        <v>2.4279777746649858E-3</v>
      </c>
      <c r="FU182" s="578">
        <v>5.822411308584368E-2</v>
      </c>
      <c r="FV182" s="578">
        <v>2.3668886933936577E-3</v>
      </c>
      <c r="FW182" s="578">
        <v>1.2690663066937185E-2</v>
      </c>
      <c r="FX182" s="578">
        <v>6.923189039498615E-4</v>
      </c>
      <c r="FY182" s="578">
        <v>1.7074518267413911E-3</v>
      </c>
      <c r="FZ182" s="578">
        <v>7.6792141474253195E-3</v>
      </c>
      <c r="GA182" s="578">
        <v>1.5846384818836614E-3</v>
      </c>
      <c r="GB182" s="578">
        <v>3.2119762851442559E-3</v>
      </c>
      <c r="GC182" s="578">
        <v>5.1014843385918116E-3</v>
      </c>
      <c r="GD182" s="578">
        <v>5.5148602308717981E-3</v>
      </c>
      <c r="GE182" s="578">
        <v>0</v>
      </c>
      <c r="GF182" s="578">
        <v>5.7315714058270972E-3</v>
      </c>
      <c r="GG182" s="579">
        <v>3.0508048395613678E-3</v>
      </c>
      <c r="GH182" s="572"/>
    </row>
    <row r="183" spans="1:190">
      <c r="A183" s="572" t="s">
        <v>9381</v>
      </c>
      <c r="B183" s="577" t="s">
        <v>787</v>
      </c>
      <c r="C183" s="573" t="s">
        <v>788</v>
      </c>
      <c r="D183" s="578">
        <v>3.4879050254396145E-2</v>
      </c>
      <c r="E183" s="578">
        <v>5.4177359566581124E-2</v>
      </c>
      <c r="F183" s="578">
        <v>8.8618633481816686E-3</v>
      </c>
      <c r="G183" s="578">
        <v>1.9574944071588368E-3</v>
      </c>
      <c r="H183" s="578">
        <v>2.6785714285714284E-2</v>
      </c>
      <c r="I183" s="578">
        <v>9.2848998208177221E-3</v>
      </c>
      <c r="J183" s="578">
        <v>4.5579732319734577E-3</v>
      </c>
      <c r="K183" s="578">
        <v>1.1154133068097047E-2</v>
      </c>
      <c r="L183" s="578">
        <v>6.7771084337349399E-3</v>
      </c>
      <c r="M183" s="578">
        <v>3.4169392948018899E-2</v>
      </c>
      <c r="N183" s="578">
        <v>1.7793594306049824E-2</v>
      </c>
      <c r="O183" s="578">
        <v>2.9780152404309365E-3</v>
      </c>
      <c r="P183" s="578">
        <v>0</v>
      </c>
      <c r="Q183" s="578">
        <v>0</v>
      </c>
      <c r="R183" s="578">
        <v>8.0832061500197838E-3</v>
      </c>
      <c r="S183" s="578">
        <v>1.4939309056956116E-2</v>
      </c>
      <c r="T183" s="578">
        <v>2.8932926129187813E-3</v>
      </c>
      <c r="U183" s="578">
        <v>3.1272713362151408E-3</v>
      </c>
      <c r="V183" s="578">
        <v>1.9397773732430094E-3</v>
      </c>
      <c r="W183" s="578">
        <v>5.3494613772565166E-3</v>
      </c>
      <c r="X183" s="578">
        <v>6.6792916368103184E-3</v>
      </c>
      <c r="Y183" s="578">
        <v>6.4674279565655572E-3</v>
      </c>
      <c r="Z183" s="578">
        <v>4.2355934796554622E-3</v>
      </c>
      <c r="AA183" s="578">
        <v>4.8746584406805481E-3</v>
      </c>
      <c r="AB183" s="578">
        <v>3.8816669694917492E-3</v>
      </c>
      <c r="AC183" s="578">
        <v>2.2112809881661916E-3</v>
      </c>
      <c r="AD183" s="578">
        <v>0</v>
      </c>
      <c r="AE183" s="578">
        <v>5.4078413699864807E-3</v>
      </c>
      <c r="AF183" s="578">
        <v>3.3376317985284077E-3</v>
      </c>
      <c r="AG183" s="578">
        <v>0</v>
      </c>
      <c r="AH183" s="578">
        <v>1.349787890474354E-2</v>
      </c>
      <c r="AI183" s="578">
        <v>8.1523554961577017E-3</v>
      </c>
      <c r="AJ183" s="578">
        <v>3.236058942502167E-3</v>
      </c>
      <c r="AK183" s="578">
        <v>3.1179845347967072E-3</v>
      </c>
      <c r="AL183" s="578">
        <v>3.2097004279600569E-3</v>
      </c>
      <c r="AM183" s="578">
        <v>8.7246010790953971E-3</v>
      </c>
      <c r="AN183" s="578">
        <v>1.2077294685990338E-2</v>
      </c>
      <c r="AO183" s="578">
        <v>1.3926223402532629E-3</v>
      </c>
      <c r="AP183" s="578">
        <v>3.256035578144854E-3</v>
      </c>
      <c r="AQ183" s="578">
        <v>4.5932301580733264E-3</v>
      </c>
      <c r="AR183" s="578">
        <v>4.6399603301101548E-3</v>
      </c>
      <c r="AS183" s="578">
        <v>1.6846321493785711E-3</v>
      </c>
      <c r="AT183" s="578">
        <v>3.6887369184540461E-3</v>
      </c>
      <c r="AU183" s="578">
        <v>3.149490355197068E-3</v>
      </c>
      <c r="AV183" s="578">
        <v>1.1083817626265651E-2</v>
      </c>
      <c r="AW183" s="578">
        <v>1.3785334978276028E-2</v>
      </c>
      <c r="AX183" s="578">
        <v>1.6502265769868005E-2</v>
      </c>
      <c r="AY183" s="578">
        <v>6.1845861084681257E-3</v>
      </c>
      <c r="AZ183" s="578">
        <v>1.8519565069964057E-2</v>
      </c>
      <c r="BA183" s="578">
        <v>2.4573094543940025E-2</v>
      </c>
      <c r="BB183" s="578">
        <v>8.2633896424313246E-3</v>
      </c>
      <c r="BC183" s="578">
        <v>4.6465452833471498E-3</v>
      </c>
      <c r="BD183" s="578">
        <v>6.3090699089655856E-3</v>
      </c>
      <c r="BE183" s="578">
        <v>6.2095885313919446E-3</v>
      </c>
      <c r="BF183" s="578">
        <v>3.8868929633300298E-3</v>
      </c>
      <c r="BG183" s="578">
        <v>3.2949907235621523E-3</v>
      </c>
      <c r="BH183" s="578">
        <v>3.0025284450063213E-3</v>
      </c>
      <c r="BI183" s="578">
        <v>2.2228246137164544E-3</v>
      </c>
      <c r="BJ183" s="578">
        <v>3.9216333128523177E-3</v>
      </c>
      <c r="BK183" s="578">
        <v>1.8741042883915775E-3</v>
      </c>
      <c r="BL183" s="578">
        <v>6.1906936621505051E-3</v>
      </c>
      <c r="BM183" s="578">
        <v>7.3372309510232967E-3</v>
      </c>
      <c r="BN183" s="578">
        <v>1.1802469135802469E-2</v>
      </c>
      <c r="BO183" s="578">
        <v>1.199524825914372E-2</v>
      </c>
      <c r="BP183" s="578">
        <v>2.106333527019175E-3</v>
      </c>
      <c r="BQ183" s="578">
        <v>2.5593946475268459E-3</v>
      </c>
      <c r="BR183" s="578">
        <v>5.1849402024900515E-3</v>
      </c>
      <c r="BS183" s="578">
        <v>1.1046258737368118E-2</v>
      </c>
      <c r="BT183" s="578">
        <v>1.0198506647240939E-2</v>
      </c>
      <c r="BU183" s="578">
        <v>1.0877131917855901E-2</v>
      </c>
      <c r="BV183" s="578">
        <v>1.4755423797331897E-2</v>
      </c>
      <c r="BW183" s="578">
        <v>4.044094033919008E-3</v>
      </c>
      <c r="BX183" s="578">
        <v>0</v>
      </c>
      <c r="BY183" s="578">
        <v>5.7830806728492992E-3</v>
      </c>
      <c r="BZ183" s="578">
        <v>3.3553898709168272E-3</v>
      </c>
      <c r="CA183" s="578">
        <v>2.745572744349702E-3</v>
      </c>
      <c r="CB183" s="578">
        <v>9.1027550260610567E-3</v>
      </c>
      <c r="CC183" s="578">
        <v>2.0624181580096027E-3</v>
      </c>
      <c r="CD183" s="578">
        <v>4.9122065078603437E-3</v>
      </c>
      <c r="CE183" s="578">
        <v>0</v>
      </c>
      <c r="CF183" s="578">
        <v>2.9212063792831201E-3</v>
      </c>
      <c r="CG183" s="578">
        <v>6.1073358963809957E-3</v>
      </c>
      <c r="CH183" s="578">
        <v>8.8181176443359217E-3</v>
      </c>
      <c r="CI183" s="578">
        <v>5.9193672743552122E-3</v>
      </c>
      <c r="CJ183" s="578">
        <v>6.0316771533955307E-3</v>
      </c>
      <c r="CK183" s="578">
        <v>6.4752337438349116E-3</v>
      </c>
      <c r="CL183" s="578">
        <v>1.0026076791655426E-3</v>
      </c>
      <c r="CM183" s="578">
        <v>7.393689009188689E-3</v>
      </c>
      <c r="CN183" s="578">
        <v>2.1191142416055578E-2</v>
      </c>
      <c r="CO183" s="578">
        <v>7.516228220020499E-3</v>
      </c>
      <c r="CP183" s="578">
        <v>3.5945170203063388E-3</v>
      </c>
      <c r="CQ183" s="578">
        <v>3.3127349175001591E-3</v>
      </c>
      <c r="CR183" s="578">
        <v>4.099407734293346E-3</v>
      </c>
      <c r="CS183" s="578">
        <v>5.2548310543564245E-3</v>
      </c>
      <c r="CT183" s="578">
        <v>4.9284068706074479E-3</v>
      </c>
      <c r="CU183" s="578">
        <v>4.893346016800219E-3</v>
      </c>
      <c r="CV183" s="578">
        <v>6.176702000458451E-3</v>
      </c>
      <c r="CW183" s="578">
        <v>6.8268705625341344E-3</v>
      </c>
      <c r="CX183" s="578">
        <v>4.1404320326665807E-3</v>
      </c>
      <c r="CY183" s="578">
        <v>7.4457367890832498E-3</v>
      </c>
      <c r="CZ183" s="578">
        <v>1.3033428165007112E-2</v>
      </c>
      <c r="DA183" s="578">
        <v>4.0050545072926264E-3</v>
      </c>
      <c r="DB183" s="578">
        <v>3.7905452970162993E-3</v>
      </c>
      <c r="DC183" s="578">
        <v>3.6258158085569255E-3</v>
      </c>
      <c r="DD183" s="578">
        <v>2.8985507246376812E-3</v>
      </c>
      <c r="DE183" s="578">
        <v>7.3509368128373345E-3</v>
      </c>
      <c r="DF183" s="578">
        <v>9.1960220464893366E-3</v>
      </c>
      <c r="DG183" s="578">
        <v>4.6103610647572017E-3</v>
      </c>
      <c r="DH183" s="578">
        <v>2.639299509520735E-3</v>
      </c>
      <c r="DI183" s="578">
        <v>2.0532520863690553E-3</v>
      </c>
      <c r="DJ183" s="578">
        <v>8.8210811415224445E-3</v>
      </c>
      <c r="DK183" s="578">
        <v>2.9522827040203712E-3</v>
      </c>
      <c r="DL183" s="578">
        <v>3.7499053054215804E-3</v>
      </c>
      <c r="DM183" s="578">
        <v>5.7685782151340346E-3</v>
      </c>
      <c r="DN183" s="578">
        <v>1.8651481389782949E-3</v>
      </c>
      <c r="DO183" s="578">
        <v>0</v>
      </c>
      <c r="DP183" s="578">
        <v>2.9360210341805434E-3</v>
      </c>
      <c r="DQ183" s="578">
        <v>1.9305171422042567E-3</v>
      </c>
      <c r="DR183" s="578">
        <v>4.3149298573805644E-3</v>
      </c>
      <c r="DS183" s="578">
        <v>2.3363287910059352E-3</v>
      </c>
      <c r="DT183" s="578">
        <v>2.0920044609990598E-3</v>
      </c>
      <c r="DU183" s="578">
        <v>2.7073512549369346E-3</v>
      </c>
      <c r="DV183" s="578">
        <v>2.4452355914809511E-3</v>
      </c>
      <c r="DW183" s="578">
        <v>3.5738970650213255E-3</v>
      </c>
      <c r="DX183" s="578">
        <v>1.520008335529582E-3</v>
      </c>
      <c r="DY183" s="578">
        <v>2.0553034734628701E-3</v>
      </c>
      <c r="DZ183" s="578">
        <v>9.1110725635459421E-4</v>
      </c>
      <c r="EA183" s="578">
        <v>2.4084424589262622E-3</v>
      </c>
      <c r="EB183" s="578">
        <v>8.0349893530646324E-3</v>
      </c>
      <c r="EC183" s="578">
        <v>7.4192551997480025E-3</v>
      </c>
      <c r="ED183" s="578">
        <v>5.8932076598131183E-3</v>
      </c>
      <c r="EE183" s="578">
        <v>2.0065443901287713E-2</v>
      </c>
      <c r="EF183" s="578">
        <v>1.8793496039254674E-3</v>
      </c>
      <c r="EG183" s="578">
        <v>3.330557868442964E-2</v>
      </c>
      <c r="EH183" s="578">
        <v>2.6368477103301386E-2</v>
      </c>
      <c r="EI183" s="578">
        <v>1.8264994155201872E-2</v>
      </c>
      <c r="EJ183" s="578">
        <v>3.9903763625921988E-4</v>
      </c>
      <c r="EK183" s="578">
        <v>6.9632201465392399E-4</v>
      </c>
      <c r="EL183" s="578">
        <v>3.0467607651219002E-3</v>
      </c>
      <c r="EM183" s="578">
        <v>1.8247091746060647E-3</v>
      </c>
      <c r="EN183" s="578">
        <v>4.2183227677618495E-4</v>
      </c>
      <c r="EO183" s="578">
        <v>3.0925418527280357E-4</v>
      </c>
      <c r="EP183" s="578">
        <v>0</v>
      </c>
      <c r="EQ183" s="578">
        <v>2.0641338941631447E-3</v>
      </c>
      <c r="ER183" s="578">
        <v>1.9607843137254902E-3</v>
      </c>
      <c r="ES183" s="578">
        <v>3.0958488409278022E-3</v>
      </c>
      <c r="ET183" s="578">
        <v>6.1879630206269855E-4</v>
      </c>
      <c r="EU183" s="578">
        <v>2.3467843187871819E-4</v>
      </c>
      <c r="EV183" s="578">
        <v>1.1693700490380988E-3</v>
      </c>
      <c r="EW183" s="578">
        <v>2.6640220899933884E-3</v>
      </c>
      <c r="EX183" s="578">
        <v>8.1910341903403613E-3</v>
      </c>
      <c r="EY183" s="578">
        <v>3.8849846580223694E-3</v>
      </c>
      <c r="EZ183" s="578">
        <v>7.3524299520266985E-3</v>
      </c>
      <c r="FA183" s="578">
        <v>1.6161439678518388E-3</v>
      </c>
      <c r="FB183" s="578">
        <v>5.8588018632136727E-3</v>
      </c>
      <c r="FC183" s="578">
        <v>6.0637560637560634E-4</v>
      </c>
      <c r="FD183" s="578">
        <v>2.6595482950351819E-3</v>
      </c>
      <c r="FE183" s="578">
        <v>1.3851578240429818E-2</v>
      </c>
      <c r="FF183" s="578">
        <v>1.5240110423492294E-2</v>
      </c>
      <c r="FG183" s="578">
        <v>4.3841336116910226E-3</v>
      </c>
      <c r="FH183" s="578">
        <v>3.2677613396195739E-3</v>
      </c>
      <c r="FI183" s="578">
        <v>2.5632593619157795E-3</v>
      </c>
      <c r="FJ183" s="578">
        <v>5.4115623594001832E-3</v>
      </c>
      <c r="FK183" s="578">
        <v>1.6055934442165589E-3</v>
      </c>
      <c r="FL183" s="578">
        <v>4.3256664924202822E-3</v>
      </c>
      <c r="FM183" s="578">
        <v>1.0631914385417092E-2</v>
      </c>
      <c r="FN183" s="578">
        <v>1.5744207980427128E-2</v>
      </c>
      <c r="FO183" s="578">
        <v>1.8409102949863169E-3</v>
      </c>
      <c r="FP183" s="578">
        <v>7.043141209466486E-3</v>
      </c>
      <c r="FQ183" s="578">
        <v>2.1651165767781508E-3</v>
      </c>
      <c r="FR183" s="578">
        <v>6.2100055796666671E-4</v>
      </c>
      <c r="FS183" s="578">
        <v>7.7255143802208888E-3</v>
      </c>
      <c r="FT183" s="578">
        <v>0.12050655502119292</v>
      </c>
      <c r="FU183" s="578">
        <v>6.8620050778837573E-5</v>
      </c>
      <c r="FV183" s="578">
        <v>1.6756734112521471E-3</v>
      </c>
      <c r="FW183" s="578">
        <v>4.3649414370357199E-4</v>
      </c>
      <c r="FX183" s="578">
        <v>2.2142993284226341E-4</v>
      </c>
      <c r="FY183" s="578">
        <v>3.4122259977168523E-3</v>
      </c>
      <c r="FZ183" s="578">
        <v>1.048149928751792E-3</v>
      </c>
      <c r="GA183" s="578">
        <v>2.9993775801426827E-3</v>
      </c>
      <c r="GB183" s="578">
        <v>5.9805960786533281E-3</v>
      </c>
      <c r="GC183" s="578">
        <v>4.7618811537584408E-3</v>
      </c>
      <c r="GD183" s="578">
        <v>1.3636012507514921E-3</v>
      </c>
      <c r="GE183" s="578">
        <v>0</v>
      </c>
      <c r="GF183" s="578">
        <v>0</v>
      </c>
      <c r="GG183" s="579">
        <v>4.7091048409063866E-3</v>
      </c>
      <c r="GH183" s="572"/>
    </row>
    <row r="184" spans="1:190">
      <c r="A184" s="572" t="s">
        <v>9382</v>
      </c>
      <c r="B184" s="577" t="s">
        <v>789</v>
      </c>
      <c r="C184" s="573" t="s">
        <v>795</v>
      </c>
      <c r="D184" s="578">
        <v>1.5620815852896545E-4</v>
      </c>
      <c r="E184" s="578">
        <v>2.8514399771884804E-4</v>
      </c>
      <c r="F184" s="578">
        <v>6.1278842301256211E-4</v>
      </c>
      <c r="G184" s="578">
        <v>1.1185682326621924E-3</v>
      </c>
      <c r="H184" s="578">
        <v>0</v>
      </c>
      <c r="I184" s="578">
        <v>1.1402508551881414E-3</v>
      </c>
      <c r="J184" s="578">
        <v>1.3690025608400845E-3</v>
      </c>
      <c r="K184" s="578">
        <v>2.0674221164434656E-2</v>
      </c>
      <c r="L184" s="578">
        <v>4.5180722891566266E-4</v>
      </c>
      <c r="M184" s="578">
        <v>0</v>
      </c>
      <c r="N184" s="578">
        <v>7.1174377224199293E-4</v>
      </c>
      <c r="O184" s="578">
        <v>7.3136550757642114E-3</v>
      </c>
      <c r="P184" s="578">
        <v>0</v>
      </c>
      <c r="Q184" s="578">
        <v>0</v>
      </c>
      <c r="R184" s="578">
        <v>1.6335990051438584E-2</v>
      </c>
      <c r="S184" s="578">
        <v>1.7740429505135387E-2</v>
      </c>
      <c r="T184" s="578">
        <v>1.4161387993163695E-2</v>
      </c>
      <c r="U184" s="578">
        <v>1.9069660686278259E-2</v>
      </c>
      <c r="V184" s="578">
        <v>3.6781163269569372E-3</v>
      </c>
      <c r="W184" s="578">
        <v>2.8849099844357021E-2</v>
      </c>
      <c r="X184" s="578">
        <v>1.9807554509161635E-2</v>
      </c>
      <c r="Y184" s="578">
        <v>9.7068250877099926E-3</v>
      </c>
      <c r="Z184" s="578">
        <v>1.5745241667717961E-2</v>
      </c>
      <c r="AA184" s="578">
        <v>2.3383127207639503E-2</v>
      </c>
      <c r="AB184" s="578">
        <v>1.050527741530533E-2</v>
      </c>
      <c r="AC184" s="578">
        <v>5.5973050012956722E-3</v>
      </c>
      <c r="AD184" s="578">
        <v>0</v>
      </c>
      <c r="AE184" s="578">
        <v>4.5065344749887336E-3</v>
      </c>
      <c r="AF184" s="578">
        <v>5.6891451111279676E-3</v>
      </c>
      <c r="AG184" s="578">
        <v>0</v>
      </c>
      <c r="AH184" s="578">
        <v>1.1183956806787505E-2</v>
      </c>
      <c r="AI184" s="578">
        <v>1.0958904109589041E-2</v>
      </c>
      <c r="AJ184" s="578">
        <v>1.7624963883270731E-2</v>
      </c>
      <c r="AK184" s="578">
        <v>2.4320279371414316E-2</v>
      </c>
      <c r="AL184" s="578">
        <v>2.24679029957204E-2</v>
      </c>
      <c r="AM184" s="578">
        <v>4.0179083916886691E-3</v>
      </c>
      <c r="AN184" s="578">
        <v>1.0610766045548654E-2</v>
      </c>
      <c r="AO184" s="578">
        <v>2.3545033520095866E-2</v>
      </c>
      <c r="AP184" s="578">
        <v>9.2121982210927565E-3</v>
      </c>
      <c r="AQ184" s="578">
        <v>8.1312587933460231E-3</v>
      </c>
      <c r="AR184" s="578">
        <v>7.1075219306013055E-3</v>
      </c>
      <c r="AS184" s="578">
        <v>1.1085586381575072E-2</v>
      </c>
      <c r="AT184" s="578">
        <v>9.6570303595482337E-3</v>
      </c>
      <c r="AU184" s="578">
        <v>2.8173622813762865E-2</v>
      </c>
      <c r="AV184" s="578">
        <v>8.9868791564316104E-3</v>
      </c>
      <c r="AW184" s="578">
        <v>1.6145470149654027E-2</v>
      </c>
      <c r="AX184" s="578">
        <v>2.7222155169576143E-2</v>
      </c>
      <c r="AY184" s="578">
        <v>3.0130034887408817E-3</v>
      </c>
      <c r="AZ184" s="578">
        <v>7.1885525691163504E-3</v>
      </c>
      <c r="BA184" s="578">
        <v>2.7349715396362627E-2</v>
      </c>
      <c r="BB184" s="578">
        <v>9.1487528184061098E-3</v>
      </c>
      <c r="BC184" s="578">
        <v>7.9318779616608832E-3</v>
      </c>
      <c r="BD184" s="578">
        <v>9.8858654479067054E-3</v>
      </c>
      <c r="BE184" s="578">
        <v>1.994510007652291E-2</v>
      </c>
      <c r="BF184" s="578">
        <v>1.8613726461843408E-2</v>
      </c>
      <c r="BG184" s="578">
        <v>3.5569573283858999E-2</v>
      </c>
      <c r="BH184" s="578">
        <v>1.5026383773979003E-2</v>
      </c>
      <c r="BI184" s="578">
        <v>1.8595825426944972E-2</v>
      </c>
      <c r="BJ184" s="578">
        <v>1.2107166568385286E-2</v>
      </c>
      <c r="BK184" s="578">
        <v>1.5709403593870577E-3</v>
      </c>
      <c r="BL184" s="578">
        <v>3.2856345461003706E-3</v>
      </c>
      <c r="BM184" s="578">
        <v>2.1022403286639783E-2</v>
      </c>
      <c r="BN184" s="578">
        <v>1.1604938271604939E-2</v>
      </c>
      <c r="BO184" s="578">
        <v>2.041703286620759E-2</v>
      </c>
      <c r="BP184" s="578">
        <v>5.6653108657757122E-3</v>
      </c>
      <c r="BQ184" s="578">
        <v>2.3952595560006677E-2</v>
      </c>
      <c r="BR184" s="578">
        <v>4.2002283080665295E-2</v>
      </c>
      <c r="BS184" s="578">
        <v>4.0664798648552963E-2</v>
      </c>
      <c r="BT184" s="578">
        <v>1.3476598069568385E-2</v>
      </c>
      <c r="BU184" s="578">
        <v>2.9788838612368026E-2</v>
      </c>
      <c r="BV184" s="578">
        <v>3.6416924942730092E-2</v>
      </c>
      <c r="BW184" s="578">
        <v>2.7246083516344831E-3</v>
      </c>
      <c r="BX184" s="578">
        <v>0</v>
      </c>
      <c r="BY184" s="578">
        <v>1.6140575655507565E-3</v>
      </c>
      <c r="BZ184" s="578">
        <v>4.9447850729300614E-3</v>
      </c>
      <c r="CA184" s="578">
        <v>4.0297669634373132E-3</v>
      </c>
      <c r="CB184" s="578">
        <v>2.0538595184909407E-2</v>
      </c>
      <c r="CC184" s="578">
        <v>1.1430597992143169E-2</v>
      </c>
      <c r="CD184" s="578">
        <v>2.6919542286453209E-3</v>
      </c>
      <c r="CE184" s="578">
        <v>0</v>
      </c>
      <c r="CF184" s="578">
        <v>9.632085899257856E-3</v>
      </c>
      <c r="CG184" s="578">
        <v>1.0157613244619728E-2</v>
      </c>
      <c r="CH184" s="578">
        <v>1.3759503778366681E-2</v>
      </c>
      <c r="CI184" s="578">
        <v>1.2087447459397617E-2</v>
      </c>
      <c r="CJ184" s="578">
        <v>7.1859405510956821E-3</v>
      </c>
      <c r="CK184" s="578">
        <v>2.1228579785570918E-2</v>
      </c>
      <c r="CL184" s="578">
        <v>1.9906782963162784E-2</v>
      </c>
      <c r="CM184" s="578">
        <v>2.3368236104185959E-2</v>
      </c>
      <c r="CN184" s="578">
        <v>3.6279428791972212E-2</v>
      </c>
      <c r="CO184" s="578">
        <v>1.9986334130509053E-2</v>
      </c>
      <c r="CP184" s="578">
        <v>2.5295742911558786E-2</v>
      </c>
      <c r="CQ184" s="578">
        <v>1.5162132891635344E-2</v>
      </c>
      <c r="CR184" s="578">
        <v>1.9216699570317037E-2</v>
      </c>
      <c r="CS184" s="578">
        <v>1.2713300937959091E-2</v>
      </c>
      <c r="CT184" s="578">
        <v>1.3064652532734537E-2</v>
      </c>
      <c r="CU184" s="578">
        <v>1.8436708962804121E-2</v>
      </c>
      <c r="CV184" s="578">
        <v>1.563071128099967E-2</v>
      </c>
      <c r="CW184" s="578">
        <v>1.9934462042599674E-2</v>
      </c>
      <c r="CX184" s="578">
        <v>2.0059679330677746E-2</v>
      </c>
      <c r="CY184" s="578">
        <v>2.4287938455902554E-2</v>
      </c>
      <c r="CZ184" s="578">
        <v>1.2304409672830726E-2</v>
      </c>
      <c r="DA184" s="578">
        <v>2.0089524747810072E-2</v>
      </c>
      <c r="DB184" s="578">
        <v>1.7328207072074511E-2</v>
      </c>
      <c r="DC184" s="578">
        <v>1.8854242204496011E-2</v>
      </c>
      <c r="DD184" s="578">
        <v>2.6086956521739129E-2</v>
      </c>
      <c r="DE184" s="578">
        <v>2.7472876951314808E-2</v>
      </c>
      <c r="DF184" s="578">
        <v>2.3214713635274383E-2</v>
      </c>
      <c r="DG184" s="578">
        <v>2.0504952638819327E-2</v>
      </c>
      <c r="DH184" s="578">
        <v>1.5824469591418311E-2</v>
      </c>
      <c r="DI184" s="578">
        <v>2.2652006888329579E-2</v>
      </c>
      <c r="DJ184" s="578">
        <v>1.8946688367354546E-2</v>
      </c>
      <c r="DK184" s="578">
        <v>2.0658731098263661E-2</v>
      </c>
      <c r="DL184" s="578">
        <v>2.1976717759652535E-2</v>
      </c>
      <c r="DM184" s="578">
        <v>2.7047279719488747E-2</v>
      </c>
      <c r="DN184" s="578">
        <v>2.4898902368573079E-2</v>
      </c>
      <c r="DO184" s="578">
        <v>0</v>
      </c>
      <c r="DP184" s="578">
        <v>1.5184049079754602E-2</v>
      </c>
      <c r="DQ184" s="578">
        <v>1.264685719688911E-2</v>
      </c>
      <c r="DR184" s="578">
        <v>1.6209330785724053E-2</v>
      </c>
      <c r="DS184" s="578">
        <v>1.1992513492378889E-2</v>
      </c>
      <c r="DT184" s="578">
        <v>9.0604931882293776E-3</v>
      </c>
      <c r="DU184" s="578">
        <v>3.5386673461587463E-2</v>
      </c>
      <c r="DV184" s="578">
        <v>2.3818875191627918E-2</v>
      </c>
      <c r="DW184" s="578">
        <v>1.0637401169945548E-2</v>
      </c>
      <c r="DX184" s="578">
        <v>1.1583934492543991E-2</v>
      </c>
      <c r="DY184" s="578">
        <v>1.9082702249766801E-2</v>
      </c>
      <c r="DZ184" s="578">
        <v>5.5904261321054999E-2</v>
      </c>
      <c r="EA184" s="578">
        <v>6.769236933309293E-2</v>
      </c>
      <c r="EB184" s="578">
        <v>1.9225760987790493E-2</v>
      </c>
      <c r="EC184" s="578">
        <v>0.11288827996220033</v>
      </c>
      <c r="ED184" s="578">
        <v>3.0542464563866452E-2</v>
      </c>
      <c r="EE184" s="578">
        <v>2.2594949454783804E-2</v>
      </c>
      <c r="EF184" s="578">
        <v>2.191077900003207E-2</v>
      </c>
      <c r="EG184" s="578">
        <v>1.8318068276436304E-2</v>
      </c>
      <c r="EH184" s="578">
        <v>0.1055591054313099</v>
      </c>
      <c r="EI184" s="578">
        <v>3.5771288553187661E-2</v>
      </c>
      <c r="EJ184" s="578">
        <v>5.3795486021549828E-2</v>
      </c>
      <c r="EK184" s="578">
        <v>7.8599967818478084E-2</v>
      </c>
      <c r="EL184" s="578">
        <v>6.7703142251797924E-2</v>
      </c>
      <c r="EM184" s="578">
        <v>8.3321129023958704E-2</v>
      </c>
      <c r="EN184" s="578">
        <v>7.4010388255105183E-2</v>
      </c>
      <c r="EO184" s="578">
        <v>3.7350814402184081E-2</v>
      </c>
      <c r="EP184" s="578">
        <v>1.4937860737910733E-3</v>
      </c>
      <c r="EQ184" s="578">
        <v>2.5352580506305945E-2</v>
      </c>
      <c r="ER184" s="578">
        <v>1.0784313725490196E-2</v>
      </c>
      <c r="ES184" s="578">
        <v>1.1308353348619796E-2</v>
      </c>
      <c r="ET184" s="578">
        <v>1.393020454729154E-2</v>
      </c>
      <c r="EU184" s="578">
        <v>4.1303404010654401E-3</v>
      </c>
      <c r="EV184" s="578">
        <v>1.7917766880422483E-2</v>
      </c>
      <c r="EW184" s="578">
        <v>8.1184614786294872E-3</v>
      </c>
      <c r="EX184" s="578">
        <v>1.5225687083220907E-2</v>
      </c>
      <c r="EY184" s="578">
        <v>3.6523804810452344E-2</v>
      </c>
      <c r="EZ184" s="578">
        <v>0.11338907043036918</v>
      </c>
      <c r="FA184" s="578">
        <v>2.9068751637983749E-2</v>
      </c>
      <c r="FB184" s="578">
        <v>0.12968965552133893</v>
      </c>
      <c r="FC184" s="578">
        <v>7.9695079695079694E-3</v>
      </c>
      <c r="FD184" s="578">
        <v>7.3434040249963098E-2</v>
      </c>
      <c r="FE184" s="578">
        <v>9.8682001343183348E-2</v>
      </c>
      <c r="FF184" s="578">
        <v>0.17906655745661934</v>
      </c>
      <c r="FG184" s="578">
        <v>0.13616910229645093</v>
      </c>
      <c r="FH184" s="578">
        <v>4.072508535197529E-2</v>
      </c>
      <c r="FI184" s="578">
        <v>8.3874074378563757E-2</v>
      </c>
      <c r="FJ184" s="578">
        <v>5.3513073291302886E-2</v>
      </c>
      <c r="FK184" s="578">
        <v>2.2668457664293696E-2</v>
      </c>
      <c r="FL184" s="578">
        <v>8.8800313643491904E-2</v>
      </c>
      <c r="FM184" s="578">
        <v>9.5226998654261791E-2</v>
      </c>
      <c r="FN184" s="578">
        <v>8.7704389888595261E-2</v>
      </c>
      <c r="FO184" s="578">
        <v>3.3054192972753242E-2</v>
      </c>
      <c r="FP184" s="578">
        <v>4.1124381558629818E-2</v>
      </c>
      <c r="FQ184" s="578">
        <v>4.3561143671347551E-2</v>
      </c>
      <c r="FR184" s="578">
        <v>2.468827406202068E-2</v>
      </c>
      <c r="FS184" s="578">
        <v>5.554185120816281E-2</v>
      </c>
      <c r="FT184" s="578">
        <v>7.2097451142135269E-2</v>
      </c>
      <c r="FU184" s="578">
        <v>1.8252933507170794E-2</v>
      </c>
      <c r="FV184" s="578">
        <v>5.657492354740061E-2</v>
      </c>
      <c r="FW184" s="578">
        <v>9.4088737642769957E-3</v>
      </c>
      <c r="FX184" s="578">
        <v>6.2984202796183553E-2</v>
      </c>
      <c r="FY184" s="578">
        <v>0.13005284799930025</v>
      </c>
      <c r="FZ184" s="578">
        <v>1.2123023349488702E-2</v>
      </c>
      <c r="GA184" s="578">
        <v>1.5205994834405278E-2</v>
      </c>
      <c r="GB184" s="578">
        <v>2.560147911272103E-2</v>
      </c>
      <c r="GC184" s="578">
        <v>2.6595639197644096E-2</v>
      </c>
      <c r="GD184" s="578">
        <v>1.7545450576171909E-2</v>
      </c>
      <c r="GE184" s="578">
        <v>0</v>
      </c>
      <c r="GF184" s="578">
        <v>2.7102902934776841E-2</v>
      </c>
      <c r="GG184" s="579">
        <v>3.645652104497054E-2</v>
      </c>
      <c r="GH184" s="572"/>
    </row>
    <row r="185" spans="1:190">
      <c r="A185" s="572" t="s">
        <v>9383</v>
      </c>
      <c r="B185" s="577" t="s">
        <v>796</v>
      </c>
      <c r="C185" s="573" t="s">
        <v>1600</v>
      </c>
      <c r="D185" s="578">
        <v>0</v>
      </c>
      <c r="E185" s="578">
        <v>0</v>
      </c>
      <c r="F185" s="578">
        <v>0</v>
      </c>
      <c r="G185" s="578">
        <v>0</v>
      </c>
      <c r="H185" s="578">
        <v>0</v>
      </c>
      <c r="I185" s="578">
        <v>0</v>
      </c>
      <c r="J185" s="578">
        <v>0</v>
      </c>
      <c r="K185" s="578">
        <v>0</v>
      </c>
      <c r="L185" s="578">
        <v>0</v>
      </c>
      <c r="M185" s="578">
        <v>0</v>
      </c>
      <c r="N185" s="578">
        <v>0</v>
      </c>
      <c r="O185" s="578">
        <v>0</v>
      </c>
      <c r="P185" s="578">
        <v>0</v>
      </c>
      <c r="Q185" s="578">
        <v>0</v>
      </c>
      <c r="R185" s="578">
        <v>0</v>
      </c>
      <c r="S185" s="578">
        <v>0</v>
      </c>
      <c r="T185" s="578">
        <v>0</v>
      </c>
      <c r="U185" s="578">
        <v>0</v>
      </c>
      <c r="V185" s="578">
        <v>0</v>
      </c>
      <c r="W185" s="578">
        <v>0</v>
      </c>
      <c r="X185" s="578">
        <v>0</v>
      </c>
      <c r="Y185" s="578">
        <v>0</v>
      </c>
      <c r="Z185" s="578">
        <v>0</v>
      </c>
      <c r="AA185" s="578">
        <v>0</v>
      </c>
      <c r="AB185" s="578">
        <v>0</v>
      </c>
      <c r="AC185" s="578">
        <v>0</v>
      </c>
      <c r="AD185" s="578">
        <v>0</v>
      </c>
      <c r="AE185" s="578">
        <v>0</v>
      </c>
      <c r="AF185" s="578">
        <v>0</v>
      </c>
      <c r="AG185" s="578">
        <v>0</v>
      </c>
      <c r="AH185" s="578">
        <v>0</v>
      </c>
      <c r="AI185" s="578">
        <v>0</v>
      </c>
      <c r="AJ185" s="578">
        <v>0</v>
      </c>
      <c r="AK185" s="578">
        <v>0</v>
      </c>
      <c r="AL185" s="578">
        <v>0</v>
      </c>
      <c r="AM185" s="578">
        <v>0</v>
      </c>
      <c r="AN185" s="578">
        <v>0</v>
      </c>
      <c r="AO185" s="578">
        <v>0</v>
      </c>
      <c r="AP185" s="578">
        <v>0</v>
      </c>
      <c r="AQ185" s="578">
        <v>0</v>
      </c>
      <c r="AR185" s="578">
        <v>0</v>
      </c>
      <c r="AS185" s="578">
        <v>0</v>
      </c>
      <c r="AT185" s="578">
        <v>0</v>
      </c>
      <c r="AU185" s="578">
        <v>0</v>
      </c>
      <c r="AV185" s="578">
        <v>0</v>
      </c>
      <c r="AW185" s="578">
        <v>0</v>
      </c>
      <c r="AX185" s="578">
        <v>0</v>
      </c>
      <c r="AY185" s="578">
        <v>0</v>
      </c>
      <c r="AZ185" s="578">
        <v>0</v>
      </c>
      <c r="BA185" s="578">
        <v>0</v>
      </c>
      <c r="BB185" s="578">
        <v>0</v>
      </c>
      <c r="BC185" s="578">
        <v>0</v>
      </c>
      <c r="BD185" s="578">
        <v>0</v>
      </c>
      <c r="BE185" s="578">
        <v>0</v>
      </c>
      <c r="BF185" s="578">
        <v>0</v>
      </c>
      <c r="BG185" s="578">
        <v>0</v>
      </c>
      <c r="BH185" s="578">
        <v>0</v>
      </c>
      <c r="BI185" s="578">
        <v>0</v>
      </c>
      <c r="BJ185" s="578">
        <v>0</v>
      </c>
      <c r="BK185" s="578">
        <v>0</v>
      </c>
      <c r="BL185" s="578">
        <v>0</v>
      </c>
      <c r="BM185" s="578">
        <v>0</v>
      </c>
      <c r="BN185" s="578">
        <v>0</v>
      </c>
      <c r="BO185" s="578">
        <v>0</v>
      </c>
      <c r="BP185" s="578">
        <v>0</v>
      </c>
      <c r="BQ185" s="578">
        <v>0</v>
      </c>
      <c r="BR185" s="578">
        <v>0</v>
      </c>
      <c r="BS185" s="578">
        <v>0</v>
      </c>
      <c r="BT185" s="578">
        <v>0</v>
      </c>
      <c r="BU185" s="578">
        <v>0</v>
      </c>
      <c r="BV185" s="578">
        <v>0</v>
      </c>
      <c r="BW185" s="578">
        <v>0</v>
      </c>
      <c r="BX185" s="578">
        <v>0</v>
      </c>
      <c r="BY185" s="578">
        <v>0</v>
      </c>
      <c r="BZ185" s="578">
        <v>0</v>
      </c>
      <c r="CA185" s="578">
        <v>0</v>
      </c>
      <c r="CB185" s="578">
        <v>0</v>
      </c>
      <c r="CC185" s="578">
        <v>0</v>
      </c>
      <c r="CD185" s="578">
        <v>0</v>
      </c>
      <c r="CE185" s="578">
        <v>0</v>
      </c>
      <c r="CF185" s="578">
        <v>0</v>
      </c>
      <c r="CG185" s="578">
        <v>0</v>
      </c>
      <c r="CH185" s="578">
        <v>0</v>
      </c>
      <c r="CI185" s="578">
        <v>0</v>
      </c>
      <c r="CJ185" s="578">
        <v>0</v>
      </c>
      <c r="CK185" s="578">
        <v>0</v>
      </c>
      <c r="CL185" s="578">
        <v>0</v>
      </c>
      <c r="CM185" s="578">
        <v>0</v>
      </c>
      <c r="CN185" s="578">
        <v>0</v>
      </c>
      <c r="CO185" s="578">
        <v>0</v>
      </c>
      <c r="CP185" s="578">
        <v>0</v>
      </c>
      <c r="CQ185" s="578">
        <v>0</v>
      </c>
      <c r="CR185" s="578">
        <v>0</v>
      </c>
      <c r="CS185" s="578">
        <v>0</v>
      </c>
      <c r="CT185" s="578">
        <v>0</v>
      </c>
      <c r="CU185" s="578">
        <v>0</v>
      </c>
      <c r="CV185" s="578">
        <v>0</v>
      </c>
      <c r="CW185" s="578">
        <v>0</v>
      </c>
      <c r="CX185" s="578">
        <v>0</v>
      </c>
      <c r="CY185" s="578">
        <v>0</v>
      </c>
      <c r="CZ185" s="578">
        <v>0</v>
      </c>
      <c r="DA185" s="578">
        <v>0</v>
      </c>
      <c r="DB185" s="578">
        <v>0</v>
      </c>
      <c r="DC185" s="578">
        <v>0</v>
      </c>
      <c r="DD185" s="578">
        <v>0</v>
      </c>
      <c r="DE185" s="578">
        <v>0</v>
      </c>
      <c r="DF185" s="578">
        <v>0</v>
      </c>
      <c r="DG185" s="578">
        <v>0</v>
      </c>
      <c r="DH185" s="578">
        <v>0</v>
      </c>
      <c r="DI185" s="578">
        <v>0</v>
      </c>
      <c r="DJ185" s="578">
        <v>0</v>
      </c>
      <c r="DK185" s="578">
        <v>0</v>
      </c>
      <c r="DL185" s="578">
        <v>0</v>
      </c>
      <c r="DM185" s="578">
        <v>0</v>
      </c>
      <c r="DN185" s="578">
        <v>0</v>
      </c>
      <c r="DO185" s="578">
        <v>0</v>
      </c>
      <c r="DP185" s="578">
        <v>0</v>
      </c>
      <c r="DQ185" s="578">
        <v>0</v>
      </c>
      <c r="DR185" s="578">
        <v>0</v>
      </c>
      <c r="DS185" s="578">
        <v>0</v>
      </c>
      <c r="DT185" s="578">
        <v>0</v>
      </c>
      <c r="DU185" s="578">
        <v>0</v>
      </c>
      <c r="DV185" s="578">
        <v>0</v>
      </c>
      <c r="DW185" s="578">
        <v>0</v>
      </c>
      <c r="DX185" s="578">
        <v>0</v>
      </c>
      <c r="DY185" s="578">
        <v>0</v>
      </c>
      <c r="DZ185" s="578">
        <v>0</v>
      </c>
      <c r="EA185" s="578">
        <v>0</v>
      </c>
      <c r="EB185" s="578">
        <v>0</v>
      </c>
      <c r="EC185" s="578">
        <v>0</v>
      </c>
      <c r="ED185" s="578">
        <v>0</v>
      </c>
      <c r="EE185" s="578">
        <v>0</v>
      </c>
      <c r="EF185" s="578">
        <v>0</v>
      </c>
      <c r="EG185" s="578">
        <v>0</v>
      </c>
      <c r="EH185" s="578">
        <v>0</v>
      </c>
      <c r="EI185" s="578">
        <v>0</v>
      </c>
      <c r="EJ185" s="578">
        <v>0</v>
      </c>
      <c r="EK185" s="578">
        <v>0</v>
      </c>
      <c r="EL185" s="578">
        <v>0</v>
      </c>
      <c r="EM185" s="578">
        <v>0</v>
      </c>
      <c r="EN185" s="578">
        <v>0</v>
      </c>
      <c r="EO185" s="578">
        <v>0</v>
      </c>
      <c r="EP185" s="578">
        <v>0</v>
      </c>
      <c r="EQ185" s="578">
        <v>0</v>
      </c>
      <c r="ER185" s="578">
        <v>0</v>
      </c>
      <c r="ES185" s="578">
        <v>0</v>
      </c>
      <c r="ET185" s="578">
        <v>0</v>
      </c>
      <c r="EU185" s="578">
        <v>0</v>
      </c>
      <c r="EV185" s="578">
        <v>0</v>
      </c>
      <c r="EW185" s="578">
        <v>0</v>
      </c>
      <c r="EX185" s="578">
        <v>0</v>
      </c>
      <c r="EY185" s="578">
        <v>0</v>
      </c>
      <c r="EZ185" s="578">
        <v>0</v>
      </c>
      <c r="FA185" s="578">
        <v>0</v>
      </c>
      <c r="FB185" s="578">
        <v>0</v>
      </c>
      <c r="FC185" s="578">
        <v>0</v>
      </c>
      <c r="FD185" s="578">
        <v>0</v>
      </c>
      <c r="FE185" s="578">
        <v>0</v>
      </c>
      <c r="FF185" s="578">
        <v>0</v>
      </c>
      <c r="FG185" s="578">
        <v>0</v>
      </c>
      <c r="FH185" s="578">
        <v>0</v>
      </c>
      <c r="FI185" s="578">
        <v>0</v>
      </c>
      <c r="FJ185" s="578">
        <v>0</v>
      </c>
      <c r="FK185" s="578">
        <v>0</v>
      </c>
      <c r="FL185" s="578">
        <v>0</v>
      </c>
      <c r="FM185" s="578">
        <v>0</v>
      </c>
      <c r="FN185" s="578">
        <v>0</v>
      </c>
      <c r="FO185" s="578">
        <v>0</v>
      </c>
      <c r="FP185" s="578">
        <v>0</v>
      </c>
      <c r="FQ185" s="578">
        <v>0</v>
      </c>
      <c r="FR185" s="578">
        <v>0</v>
      </c>
      <c r="FS185" s="578">
        <v>0</v>
      </c>
      <c r="FT185" s="578">
        <v>0</v>
      </c>
      <c r="FU185" s="578">
        <v>0</v>
      </c>
      <c r="FV185" s="578">
        <v>0</v>
      </c>
      <c r="FW185" s="578">
        <v>0</v>
      </c>
      <c r="FX185" s="578">
        <v>0</v>
      </c>
      <c r="FY185" s="578">
        <v>0</v>
      </c>
      <c r="FZ185" s="578">
        <v>0</v>
      </c>
      <c r="GA185" s="578">
        <v>0</v>
      </c>
      <c r="GB185" s="578">
        <v>0</v>
      </c>
      <c r="GC185" s="578">
        <v>0</v>
      </c>
      <c r="GD185" s="578">
        <v>0</v>
      </c>
      <c r="GE185" s="578">
        <v>0</v>
      </c>
      <c r="GF185" s="578">
        <v>0</v>
      </c>
      <c r="GG185" s="579">
        <v>0</v>
      </c>
      <c r="GH185" s="572"/>
    </row>
    <row r="186" spans="1:190">
      <c r="A186" s="572" t="s">
        <v>9384</v>
      </c>
      <c r="B186" s="577" t="s">
        <v>799</v>
      </c>
      <c r="C186" s="573" t="s">
        <v>9124</v>
      </c>
      <c r="D186" s="578">
        <v>0</v>
      </c>
      <c r="E186" s="578">
        <v>0</v>
      </c>
      <c r="F186" s="578">
        <v>0</v>
      </c>
      <c r="G186" s="578">
        <v>0</v>
      </c>
      <c r="H186" s="578">
        <v>0</v>
      </c>
      <c r="I186" s="578">
        <v>0</v>
      </c>
      <c r="J186" s="578">
        <v>0</v>
      </c>
      <c r="K186" s="578">
        <v>0</v>
      </c>
      <c r="L186" s="578">
        <v>0</v>
      </c>
      <c r="M186" s="578">
        <v>0</v>
      </c>
      <c r="N186" s="578">
        <v>0</v>
      </c>
      <c r="O186" s="578">
        <v>0</v>
      </c>
      <c r="P186" s="578">
        <v>0</v>
      </c>
      <c r="Q186" s="578">
        <v>0</v>
      </c>
      <c r="R186" s="578">
        <v>0</v>
      </c>
      <c r="S186" s="578">
        <v>0</v>
      </c>
      <c r="T186" s="578">
        <v>0</v>
      </c>
      <c r="U186" s="578">
        <v>0</v>
      </c>
      <c r="V186" s="578">
        <v>0</v>
      </c>
      <c r="W186" s="578">
        <v>0</v>
      </c>
      <c r="X186" s="578">
        <v>0</v>
      </c>
      <c r="Y186" s="578">
        <v>0</v>
      </c>
      <c r="Z186" s="578">
        <v>0</v>
      </c>
      <c r="AA186" s="578">
        <v>0</v>
      </c>
      <c r="AB186" s="578">
        <v>0</v>
      </c>
      <c r="AC186" s="578">
        <v>0</v>
      </c>
      <c r="AD186" s="578">
        <v>0</v>
      </c>
      <c r="AE186" s="578">
        <v>0</v>
      </c>
      <c r="AF186" s="578">
        <v>0</v>
      </c>
      <c r="AG186" s="578">
        <v>0</v>
      </c>
      <c r="AH186" s="578">
        <v>0</v>
      </c>
      <c r="AI186" s="578">
        <v>0</v>
      </c>
      <c r="AJ186" s="578">
        <v>0</v>
      </c>
      <c r="AK186" s="578">
        <v>0</v>
      </c>
      <c r="AL186" s="578">
        <v>0</v>
      </c>
      <c r="AM186" s="578">
        <v>0</v>
      </c>
      <c r="AN186" s="578">
        <v>0</v>
      </c>
      <c r="AO186" s="578">
        <v>0</v>
      </c>
      <c r="AP186" s="578">
        <v>0</v>
      </c>
      <c r="AQ186" s="578">
        <v>0</v>
      </c>
      <c r="AR186" s="578">
        <v>0</v>
      </c>
      <c r="AS186" s="578">
        <v>0</v>
      </c>
      <c r="AT186" s="578">
        <v>0</v>
      </c>
      <c r="AU186" s="578">
        <v>0</v>
      </c>
      <c r="AV186" s="578">
        <v>0</v>
      </c>
      <c r="AW186" s="578">
        <v>0</v>
      </c>
      <c r="AX186" s="578">
        <v>0</v>
      </c>
      <c r="AY186" s="578">
        <v>0</v>
      </c>
      <c r="AZ186" s="578">
        <v>0</v>
      </c>
      <c r="BA186" s="578">
        <v>0</v>
      </c>
      <c r="BB186" s="578">
        <v>0</v>
      </c>
      <c r="BC186" s="578">
        <v>0</v>
      </c>
      <c r="BD186" s="578">
        <v>0</v>
      </c>
      <c r="BE186" s="578">
        <v>0</v>
      </c>
      <c r="BF186" s="578">
        <v>0</v>
      </c>
      <c r="BG186" s="578">
        <v>0</v>
      </c>
      <c r="BH186" s="578">
        <v>0</v>
      </c>
      <c r="BI186" s="578">
        <v>0</v>
      </c>
      <c r="BJ186" s="578">
        <v>0</v>
      </c>
      <c r="BK186" s="578">
        <v>0</v>
      </c>
      <c r="BL186" s="578">
        <v>0</v>
      </c>
      <c r="BM186" s="578">
        <v>0</v>
      </c>
      <c r="BN186" s="578">
        <v>0</v>
      </c>
      <c r="BO186" s="578">
        <v>0</v>
      </c>
      <c r="BP186" s="578">
        <v>0</v>
      </c>
      <c r="BQ186" s="578">
        <v>0</v>
      </c>
      <c r="BR186" s="578">
        <v>0</v>
      </c>
      <c r="BS186" s="578">
        <v>0</v>
      </c>
      <c r="BT186" s="578">
        <v>0</v>
      </c>
      <c r="BU186" s="578">
        <v>0</v>
      </c>
      <c r="BV186" s="578">
        <v>0</v>
      </c>
      <c r="BW186" s="578">
        <v>0</v>
      </c>
      <c r="BX186" s="578">
        <v>0</v>
      </c>
      <c r="BY186" s="578">
        <v>0</v>
      </c>
      <c r="BZ186" s="578">
        <v>0</v>
      </c>
      <c r="CA186" s="578">
        <v>0</v>
      </c>
      <c r="CB186" s="578">
        <v>0</v>
      </c>
      <c r="CC186" s="578">
        <v>0</v>
      </c>
      <c r="CD186" s="578">
        <v>0</v>
      </c>
      <c r="CE186" s="578">
        <v>0</v>
      </c>
      <c r="CF186" s="578">
        <v>0</v>
      </c>
      <c r="CG186" s="578">
        <v>0</v>
      </c>
      <c r="CH186" s="578">
        <v>0</v>
      </c>
      <c r="CI186" s="578">
        <v>0</v>
      </c>
      <c r="CJ186" s="578">
        <v>0</v>
      </c>
      <c r="CK186" s="578">
        <v>0</v>
      </c>
      <c r="CL186" s="578">
        <v>0</v>
      </c>
      <c r="CM186" s="578">
        <v>0</v>
      </c>
      <c r="CN186" s="578">
        <v>0</v>
      </c>
      <c r="CO186" s="578">
        <v>0</v>
      </c>
      <c r="CP186" s="578">
        <v>0</v>
      </c>
      <c r="CQ186" s="578">
        <v>0</v>
      </c>
      <c r="CR186" s="578">
        <v>0</v>
      </c>
      <c r="CS186" s="578">
        <v>0</v>
      </c>
      <c r="CT186" s="578">
        <v>0</v>
      </c>
      <c r="CU186" s="578">
        <v>0</v>
      </c>
      <c r="CV186" s="578">
        <v>0</v>
      </c>
      <c r="CW186" s="578">
        <v>0</v>
      </c>
      <c r="CX186" s="578">
        <v>0</v>
      </c>
      <c r="CY186" s="578">
        <v>0</v>
      </c>
      <c r="CZ186" s="578">
        <v>0</v>
      </c>
      <c r="DA186" s="578">
        <v>0</v>
      </c>
      <c r="DB186" s="578">
        <v>0</v>
      </c>
      <c r="DC186" s="578">
        <v>0</v>
      </c>
      <c r="DD186" s="578">
        <v>0</v>
      </c>
      <c r="DE186" s="578">
        <v>0</v>
      </c>
      <c r="DF186" s="578">
        <v>0</v>
      </c>
      <c r="DG186" s="578">
        <v>0</v>
      </c>
      <c r="DH186" s="578">
        <v>0</v>
      </c>
      <c r="DI186" s="578">
        <v>0</v>
      </c>
      <c r="DJ186" s="578">
        <v>0</v>
      </c>
      <c r="DK186" s="578">
        <v>0</v>
      </c>
      <c r="DL186" s="578">
        <v>0</v>
      </c>
      <c r="DM186" s="578">
        <v>0</v>
      </c>
      <c r="DN186" s="578">
        <v>0</v>
      </c>
      <c r="DO186" s="578">
        <v>0</v>
      </c>
      <c r="DP186" s="578">
        <v>0</v>
      </c>
      <c r="DQ186" s="578">
        <v>0</v>
      </c>
      <c r="DR186" s="578">
        <v>0</v>
      </c>
      <c r="DS186" s="578">
        <v>0</v>
      </c>
      <c r="DT186" s="578">
        <v>0</v>
      </c>
      <c r="DU186" s="578">
        <v>0</v>
      </c>
      <c r="DV186" s="578">
        <v>0</v>
      </c>
      <c r="DW186" s="578">
        <v>0</v>
      </c>
      <c r="DX186" s="578">
        <v>0</v>
      </c>
      <c r="DY186" s="578">
        <v>0</v>
      </c>
      <c r="DZ186" s="578">
        <v>0</v>
      </c>
      <c r="EA186" s="578">
        <v>0</v>
      </c>
      <c r="EB186" s="578">
        <v>0</v>
      </c>
      <c r="EC186" s="578">
        <v>0</v>
      </c>
      <c r="ED186" s="578">
        <v>0</v>
      </c>
      <c r="EE186" s="578">
        <v>0</v>
      </c>
      <c r="EF186" s="578">
        <v>0</v>
      </c>
      <c r="EG186" s="578">
        <v>0</v>
      </c>
      <c r="EH186" s="578">
        <v>0</v>
      </c>
      <c r="EI186" s="578">
        <v>0</v>
      </c>
      <c r="EJ186" s="578">
        <v>0</v>
      </c>
      <c r="EK186" s="578">
        <v>0</v>
      </c>
      <c r="EL186" s="578">
        <v>0</v>
      </c>
      <c r="EM186" s="578">
        <v>0</v>
      </c>
      <c r="EN186" s="578">
        <v>0</v>
      </c>
      <c r="EO186" s="578">
        <v>0</v>
      </c>
      <c r="EP186" s="578">
        <v>0</v>
      </c>
      <c r="EQ186" s="578">
        <v>0</v>
      </c>
      <c r="ER186" s="578">
        <v>0</v>
      </c>
      <c r="ES186" s="578">
        <v>0</v>
      </c>
      <c r="ET186" s="578">
        <v>0</v>
      </c>
      <c r="EU186" s="578">
        <v>0</v>
      </c>
      <c r="EV186" s="578">
        <v>0</v>
      </c>
      <c r="EW186" s="578">
        <v>0</v>
      </c>
      <c r="EX186" s="578">
        <v>0</v>
      </c>
      <c r="EY186" s="578">
        <v>0</v>
      </c>
      <c r="EZ186" s="578">
        <v>0</v>
      </c>
      <c r="FA186" s="578">
        <v>0</v>
      </c>
      <c r="FB186" s="578">
        <v>0</v>
      </c>
      <c r="FC186" s="578">
        <v>0</v>
      </c>
      <c r="FD186" s="578">
        <v>0</v>
      </c>
      <c r="FE186" s="578">
        <v>0</v>
      </c>
      <c r="FF186" s="578">
        <v>0</v>
      </c>
      <c r="FG186" s="578">
        <v>0</v>
      </c>
      <c r="FH186" s="578">
        <v>0</v>
      </c>
      <c r="FI186" s="578">
        <v>0</v>
      </c>
      <c r="FJ186" s="578">
        <v>0</v>
      </c>
      <c r="FK186" s="578">
        <v>2.6854795985914704E-3</v>
      </c>
      <c r="FL186" s="578">
        <v>0</v>
      </c>
      <c r="FM186" s="578">
        <v>0</v>
      </c>
      <c r="FN186" s="578">
        <v>0</v>
      </c>
      <c r="FO186" s="578">
        <v>1.6205754156778417E-3</v>
      </c>
      <c r="FP186" s="578">
        <v>0</v>
      </c>
      <c r="FQ186" s="578">
        <v>1.6085313385318396E-3</v>
      </c>
      <c r="FR186" s="578">
        <v>5.0683917719760658E-3</v>
      </c>
      <c r="FS186" s="578">
        <v>0</v>
      </c>
      <c r="FT186" s="578">
        <v>0</v>
      </c>
      <c r="FU186" s="578">
        <v>0</v>
      </c>
      <c r="FV186" s="578">
        <v>0</v>
      </c>
      <c r="FW186" s="578">
        <v>0</v>
      </c>
      <c r="FX186" s="578">
        <v>0</v>
      </c>
      <c r="FY186" s="578">
        <v>0</v>
      </c>
      <c r="FZ186" s="578">
        <v>1.4695754992788555E-2</v>
      </c>
      <c r="GA186" s="578">
        <v>7.1088189215636624E-3</v>
      </c>
      <c r="GB186" s="578">
        <v>0</v>
      </c>
      <c r="GC186" s="578">
        <v>0</v>
      </c>
      <c r="GD186" s="578">
        <v>0</v>
      </c>
      <c r="GE186" s="578">
        <v>0</v>
      </c>
      <c r="GF186" s="578">
        <v>0</v>
      </c>
      <c r="GG186" s="579">
        <v>5.3284807256282396E-4</v>
      </c>
      <c r="GH186" s="572"/>
    </row>
    <row r="187" spans="1:190">
      <c r="A187" s="572" t="s">
        <v>9385</v>
      </c>
      <c r="B187" s="577" t="s">
        <v>802</v>
      </c>
      <c r="C187" s="573" t="s">
        <v>1601</v>
      </c>
      <c r="D187" s="578">
        <v>0</v>
      </c>
      <c r="E187" s="578">
        <v>0</v>
      </c>
      <c r="F187" s="578">
        <v>0</v>
      </c>
      <c r="G187" s="578">
        <v>0</v>
      </c>
      <c r="H187" s="578">
        <v>0</v>
      </c>
      <c r="I187" s="578">
        <v>0</v>
      </c>
      <c r="J187" s="578">
        <v>0</v>
      </c>
      <c r="K187" s="578">
        <v>3.1970445099641223E-4</v>
      </c>
      <c r="L187" s="578">
        <v>0</v>
      </c>
      <c r="M187" s="578">
        <v>0</v>
      </c>
      <c r="N187" s="578">
        <v>0</v>
      </c>
      <c r="O187" s="578">
        <v>2.1897170885521591E-5</v>
      </c>
      <c r="P187" s="578">
        <v>0</v>
      </c>
      <c r="Q187" s="578">
        <v>0</v>
      </c>
      <c r="R187" s="578">
        <v>5.6525917133005484E-5</v>
      </c>
      <c r="S187" s="578">
        <v>0</v>
      </c>
      <c r="T187" s="578">
        <v>1.4761697004687658E-4</v>
      </c>
      <c r="U187" s="578">
        <v>1.9127041811713402E-5</v>
      </c>
      <c r="V187" s="578">
        <v>2.984272881912322E-5</v>
      </c>
      <c r="W187" s="578">
        <v>1.0110665833302694E-4</v>
      </c>
      <c r="X187" s="578">
        <v>2.559115569659126E-5</v>
      </c>
      <c r="Y187" s="578">
        <v>2.2732611446627618E-5</v>
      </c>
      <c r="Z187" s="578">
        <v>2.6841530289324855E-5</v>
      </c>
      <c r="AA187" s="578">
        <v>2.475412489408091E-4</v>
      </c>
      <c r="AB187" s="578">
        <v>6.60709271402851E-5</v>
      </c>
      <c r="AC187" s="578">
        <v>3.4551265440096744E-5</v>
      </c>
      <c r="AD187" s="578">
        <v>0</v>
      </c>
      <c r="AE187" s="578">
        <v>0</v>
      </c>
      <c r="AF187" s="578">
        <v>7.5855268148372902E-5</v>
      </c>
      <c r="AG187" s="578">
        <v>0</v>
      </c>
      <c r="AH187" s="578">
        <v>0</v>
      </c>
      <c r="AI187" s="578">
        <v>6.6822586034079518E-5</v>
      </c>
      <c r="AJ187" s="578">
        <v>5.7786766830395839E-5</v>
      </c>
      <c r="AK187" s="578">
        <v>1.2471938139186831E-4</v>
      </c>
      <c r="AL187" s="578">
        <v>8.9158345221112699E-5</v>
      </c>
      <c r="AM187" s="578">
        <v>0</v>
      </c>
      <c r="AN187" s="578">
        <v>4.3133195307108351E-5</v>
      </c>
      <c r="AO187" s="578">
        <v>0</v>
      </c>
      <c r="AP187" s="578">
        <v>7.9415501905972049E-5</v>
      </c>
      <c r="AQ187" s="578">
        <v>6.2070677811801702E-5</v>
      </c>
      <c r="AR187" s="578">
        <v>5.9032574174429451E-5</v>
      </c>
      <c r="AS187" s="578">
        <v>4.7122577604994996E-5</v>
      </c>
      <c r="AT187" s="578">
        <v>4.1446482229820741E-5</v>
      </c>
      <c r="AU187" s="578">
        <v>4.0902472145416469E-5</v>
      </c>
      <c r="AV187" s="578">
        <v>0</v>
      </c>
      <c r="AW187" s="578">
        <v>5.3639435713136299E-5</v>
      </c>
      <c r="AX187" s="578">
        <v>2.3041727471225271E-4</v>
      </c>
      <c r="AY187" s="578">
        <v>0</v>
      </c>
      <c r="AZ187" s="578">
        <v>0</v>
      </c>
      <c r="BA187" s="578">
        <v>0</v>
      </c>
      <c r="BB187" s="578">
        <v>3.5414527038991391E-5</v>
      </c>
      <c r="BC187" s="578">
        <v>1.0234681240852753E-5</v>
      </c>
      <c r="BD187" s="578">
        <v>4.9677715818626662E-5</v>
      </c>
      <c r="BE187" s="578">
        <v>8.0735181583954055E-5</v>
      </c>
      <c r="BF187" s="578">
        <v>0</v>
      </c>
      <c r="BG187" s="578">
        <v>0</v>
      </c>
      <c r="BH187" s="578">
        <v>6.8707744736986755E-6</v>
      </c>
      <c r="BI187" s="578">
        <v>0</v>
      </c>
      <c r="BJ187" s="578">
        <v>8.2473886705621832E-6</v>
      </c>
      <c r="BK187" s="578">
        <v>0</v>
      </c>
      <c r="BL187" s="578">
        <v>1.2685847668341198E-5</v>
      </c>
      <c r="BM187" s="578">
        <v>3.8930376456740335E-5</v>
      </c>
      <c r="BN187" s="578">
        <v>0</v>
      </c>
      <c r="BO187" s="578">
        <v>4.8290049352430441E-5</v>
      </c>
      <c r="BP187" s="578">
        <v>0</v>
      </c>
      <c r="BQ187" s="578">
        <v>5.5639014076670561E-5</v>
      </c>
      <c r="BR187" s="578">
        <v>0</v>
      </c>
      <c r="BS187" s="578">
        <v>0</v>
      </c>
      <c r="BT187" s="578">
        <v>0</v>
      </c>
      <c r="BU187" s="578">
        <v>2.9005685114282398E-5</v>
      </c>
      <c r="BV187" s="578">
        <v>0</v>
      </c>
      <c r="BW187" s="578">
        <v>2.1409246766358637E-5</v>
      </c>
      <c r="BX187" s="578">
        <v>0</v>
      </c>
      <c r="BY187" s="578">
        <v>1.5014488981867503E-5</v>
      </c>
      <c r="BZ187" s="578">
        <v>1.6556200020971186E-5</v>
      </c>
      <c r="CA187" s="578">
        <v>2.9792051480664958E-5</v>
      </c>
      <c r="CB187" s="578">
        <v>1.8615040953090098E-5</v>
      </c>
      <c r="CC187" s="578">
        <v>3.8192928852029684E-5</v>
      </c>
      <c r="CD187" s="578">
        <v>1.6265584463113721E-5</v>
      </c>
      <c r="CE187" s="578">
        <v>0</v>
      </c>
      <c r="CF187" s="578">
        <v>0</v>
      </c>
      <c r="CG187" s="578">
        <v>0</v>
      </c>
      <c r="CH187" s="578">
        <v>5.7861664332912873E-5</v>
      </c>
      <c r="CI187" s="578">
        <v>0</v>
      </c>
      <c r="CJ187" s="578">
        <v>4.3393360815795186E-5</v>
      </c>
      <c r="CK187" s="578">
        <v>3.7822627008381493E-5</v>
      </c>
      <c r="CL187" s="578">
        <v>2.8474657554776249E-5</v>
      </c>
      <c r="CM187" s="578">
        <v>4.2738086758316117E-5</v>
      </c>
      <c r="CN187" s="578">
        <v>4.8243921265920496E-5</v>
      </c>
      <c r="CO187" s="578">
        <v>0</v>
      </c>
      <c r="CP187" s="578">
        <v>4.470792313813854E-5</v>
      </c>
      <c r="CQ187" s="578">
        <v>0</v>
      </c>
      <c r="CR187" s="578">
        <v>2.9032632679131344E-5</v>
      </c>
      <c r="CS187" s="578">
        <v>5.650355972426263E-5</v>
      </c>
      <c r="CT187" s="578">
        <v>2.9162170831996735E-5</v>
      </c>
      <c r="CU187" s="578">
        <v>2.4184576689292681E-5</v>
      </c>
      <c r="CV187" s="578">
        <v>0</v>
      </c>
      <c r="CW187" s="578">
        <v>0</v>
      </c>
      <c r="CX187" s="578">
        <v>1.4277351836781313E-5</v>
      </c>
      <c r="CY187" s="578">
        <v>9.1583478340507378E-6</v>
      </c>
      <c r="CZ187" s="578">
        <v>0</v>
      </c>
      <c r="DA187" s="578">
        <v>0</v>
      </c>
      <c r="DB187" s="578">
        <v>5.4150647100232849E-5</v>
      </c>
      <c r="DC187" s="578">
        <v>0</v>
      </c>
      <c r="DD187" s="578">
        <v>0</v>
      </c>
      <c r="DE187" s="578">
        <v>2.2716121176876805E-5</v>
      </c>
      <c r="DF187" s="578">
        <v>8.986340762041697E-5</v>
      </c>
      <c r="DG187" s="578">
        <v>8.7483132158580672E-6</v>
      </c>
      <c r="DH187" s="578">
        <v>4.53098628243903E-5</v>
      </c>
      <c r="DI187" s="578">
        <v>3.3116969134984766E-5</v>
      </c>
      <c r="DJ187" s="578">
        <v>3.7272173837418776E-5</v>
      </c>
      <c r="DK187" s="578">
        <v>6.7646412203412756E-5</v>
      </c>
      <c r="DL187" s="578">
        <v>2.0201510062877201E-5</v>
      </c>
      <c r="DM187" s="578">
        <v>0</v>
      </c>
      <c r="DN187" s="578">
        <v>1.402987538169514E-4</v>
      </c>
      <c r="DO187" s="578">
        <v>0</v>
      </c>
      <c r="DP187" s="578">
        <v>0</v>
      </c>
      <c r="DQ187" s="578">
        <v>2.3638985414746001E-5</v>
      </c>
      <c r="DR187" s="578">
        <v>4.6683939724364682E-5</v>
      </c>
      <c r="DS187" s="578">
        <v>8.3325855371953802E-5</v>
      </c>
      <c r="DT187" s="578">
        <v>2.1867642449467523E-4</v>
      </c>
      <c r="DU187" s="578">
        <v>1.5925595617276085E-5</v>
      </c>
      <c r="DV187" s="578">
        <v>2.5339228927263745E-5</v>
      </c>
      <c r="DW187" s="578">
        <v>1.1800603516579848E-4</v>
      </c>
      <c r="DX187" s="578">
        <v>3.6774395214425372E-5</v>
      </c>
      <c r="DY187" s="578">
        <v>0</v>
      </c>
      <c r="DZ187" s="578">
        <v>6.7364676994794397E-6</v>
      </c>
      <c r="EA187" s="578">
        <v>1.3355503469092026E-5</v>
      </c>
      <c r="EB187" s="578">
        <v>1.9149164330468618E-5</v>
      </c>
      <c r="EC187" s="578">
        <v>7.9513864465559787E-5</v>
      </c>
      <c r="ED187" s="578">
        <v>3.6182395455491128E-5</v>
      </c>
      <c r="EE187" s="578">
        <v>5.5156561257774833E-5</v>
      </c>
      <c r="EF187" s="578">
        <v>6.4141624707353838E-6</v>
      </c>
      <c r="EG187" s="578">
        <v>0</v>
      </c>
      <c r="EH187" s="578">
        <v>3.727369542066028E-5</v>
      </c>
      <c r="EI187" s="578">
        <v>5.0579983814405178E-5</v>
      </c>
      <c r="EJ187" s="578">
        <v>6.5607539294871737E-5</v>
      </c>
      <c r="EK187" s="578">
        <v>6.0623641633824142E-5</v>
      </c>
      <c r="EL187" s="578">
        <v>5.9681895497000988E-5</v>
      </c>
      <c r="EM187" s="578">
        <v>6.3330470268323284E-5</v>
      </c>
      <c r="EN187" s="578">
        <v>3.8964427172097406E-5</v>
      </c>
      <c r="EO187" s="578">
        <v>2.1667490687903434E-5</v>
      </c>
      <c r="EP187" s="578">
        <v>0</v>
      </c>
      <c r="EQ187" s="578">
        <v>3.0334972664630777E-3</v>
      </c>
      <c r="ER187" s="578">
        <v>0</v>
      </c>
      <c r="ES187" s="578">
        <v>6.0556164141225145E-4</v>
      </c>
      <c r="ET187" s="578">
        <v>3.9751368440858575E-6</v>
      </c>
      <c r="EU187" s="578">
        <v>2.346784318787182E-5</v>
      </c>
      <c r="EV187" s="578">
        <v>3.0177291588079971E-4</v>
      </c>
      <c r="EW187" s="578">
        <v>5.8336250145840624E-5</v>
      </c>
      <c r="EX187" s="578">
        <v>2.5054928111629341E-4</v>
      </c>
      <c r="EY187" s="578">
        <v>4.9490250420667129E-5</v>
      </c>
      <c r="EZ187" s="578">
        <v>2.6072446638392548E-5</v>
      </c>
      <c r="FA187" s="578">
        <v>1.0919891674674588E-4</v>
      </c>
      <c r="FB187" s="578">
        <v>4.04753151171929E-5</v>
      </c>
      <c r="FC187" s="578">
        <v>3.0318780318780317E-4</v>
      </c>
      <c r="FD187" s="578">
        <v>5.1419573881808793E-4</v>
      </c>
      <c r="FE187" s="578">
        <v>1.9308260577568838E-3</v>
      </c>
      <c r="FF187" s="578">
        <v>3.7920155320956193E-5</v>
      </c>
      <c r="FG187" s="578">
        <v>4.6972860125260959E-4</v>
      </c>
      <c r="FH187" s="578">
        <v>1.3006015282067957E-4</v>
      </c>
      <c r="FI187" s="578">
        <v>1.6442442642300531E-4</v>
      </c>
      <c r="FJ187" s="578">
        <v>8.3149663699476616E-5</v>
      </c>
      <c r="FK187" s="578">
        <v>1.2608840220573357E-4</v>
      </c>
      <c r="FL187" s="578">
        <v>7.8410872974385776E-5</v>
      </c>
      <c r="FM187" s="578">
        <v>2.4467967352740706E-4</v>
      </c>
      <c r="FN187" s="578">
        <v>1.1205841978951694E-5</v>
      </c>
      <c r="FO187" s="578">
        <v>9.8863517643872495E-3</v>
      </c>
      <c r="FP187" s="578">
        <v>5.120852109791069E-3</v>
      </c>
      <c r="FQ187" s="578">
        <v>1.0953597488687405E-2</v>
      </c>
      <c r="FR187" s="578">
        <v>9.5508018144422318E-3</v>
      </c>
      <c r="FS187" s="578">
        <v>6.1669563267365593E-5</v>
      </c>
      <c r="FT187" s="578">
        <v>6.7443827074027386E-5</v>
      </c>
      <c r="FU187" s="578">
        <v>0</v>
      </c>
      <c r="FV187" s="578">
        <v>7.9594487034476981E-4</v>
      </c>
      <c r="FW187" s="578">
        <v>2.4249674650198443E-5</v>
      </c>
      <c r="FX187" s="578">
        <v>1.4014552711535658E-5</v>
      </c>
      <c r="FY187" s="578">
        <v>6.1586082616390999E-5</v>
      </c>
      <c r="FZ187" s="578">
        <v>1.0901625498629176E-2</v>
      </c>
      <c r="GA187" s="578">
        <v>2.9087101206122261E-3</v>
      </c>
      <c r="GB187" s="578">
        <v>1.6790947981077168E-2</v>
      </c>
      <c r="GC187" s="578">
        <v>3.1729348655964621E-4</v>
      </c>
      <c r="GD187" s="578">
        <v>3.8288310981692144E-4</v>
      </c>
      <c r="GE187" s="578">
        <v>0</v>
      </c>
      <c r="GF187" s="578">
        <v>7.9074457358170147E-4</v>
      </c>
      <c r="GG187" s="579">
        <v>1.0570202624469911E-3</v>
      </c>
      <c r="GH187" s="572"/>
    </row>
    <row r="188" spans="1:190">
      <c r="A188" s="572" t="s">
        <v>9386</v>
      </c>
      <c r="B188" s="596" t="s">
        <v>808</v>
      </c>
      <c r="C188" s="597" t="s">
        <v>9125</v>
      </c>
      <c r="D188" s="598">
        <v>0</v>
      </c>
      <c r="E188" s="598">
        <v>0</v>
      </c>
      <c r="F188" s="598">
        <v>0</v>
      </c>
      <c r="G188" s="598">
        <v>0</v>
      </c>
      <c r="H188" s="598">
        <v>0</v>
      </c>
      <c r="I188" s="598">
        <v>0</v>
      </c>
      <c r="J188" s="598">
        <v>0</v>
      </c>
      <c r="K188" s="598">
        <v>0</v>
      </c>
      <c r="L188" s="598">
        <v>0</v>
      </c>
      <c r="M188" s="598">
        <v>0</v>
      </c>
      <c r="N188" s="598">
        <v>0</v>
      </c>
      <c r="O188" s="598">
        <v>0</v>
      </c>
      <c r="P188" s="598">
        <v>0</v>
      </c>
      <c r="Q188" s="598">
        <v>0</v>
      </c>
      <c r="R188" s="598">
        <v>0</v>
      </c>
      <c r="S188" s="598">
        <v>0</v>
      </c>
      <c r="T188" s="598">
        <v>0</v>
      </c>
      <c r="U188" s="598">
        <v>0</v>
      </c>
      <c r="V188" s="598">
        <v>0</v>
      </c>
      <c r="W188" s="598">
        <v>0</v>
      </c>
      <c r="X188" s="598">
        <v>0</v>
      </c>
      <c r="Y188" s="598">
        <v>0</v>
      </c>
      <c r="Z188" s="598">
        <v>0</v>
      </c>
      <c r="AA188" s="598">
        <v>0</v>
      </c>
      <c r="AB188" s="598">
        <v>0</v>
      </c>
      <c r="AC188" s="598">
        <v>0</v>
      </c>
      <c r="AD188" s="598">
        <v>0</v>
      </c>
      <c r="AE188" s="598">
        <v>0</v>
      </c>
      <c r="AF188" s="598">
        <v>0</v>
      </c>
      <c r="AG188" s="598">
        <v>0</v>
      </c>
      <c r="AH188" s="598">
        <v>0</v>
      </c>
      <c r="AI188" s="598">
        <v>0</v>
      </c>
      <c r="AJ188" s="598">
        <v>0</v>
      </c>
      <c r="AK188" s="598">
        <v>0</v>
      </c>
      <c r="AL188" s="598">
        <v>0</v>
      </c>
      <c r="AM188" s="598">
        <v>0</v>
      </c>
      <c r="AN188" s="598">
        <v>0</v>
      </c>
      <c r="AO188" s="598">
        <v>0</v>
      </c>
      <c r="AP188" s="598">
        <v>0</v>
      </c>
      <c r="AQ188" s="598">
        <v>0</v>
      </c>
      <c r="AR188" s="598">
        <v>0</v>
      </c>
      <c r="AS188" s="598">
        <v>0</v>
      </c>
      <c r="AT188" s="598">
        <v>0</v>
      </c>
      <c r="AU188" s="598">
        <v>0</v>
      </c>
      <c r="AV188" s="598">
        <v>0</v>
      </c>
      <c r="AW188" s="598">
        <v>0</v>
      </c>
      <c r="AX188" s="598">
        <v>0</v>
      </c>
      <c r="AY188" s="598">
        <v>0</v>
      </c>
      <c r="AZ188" s="598">
        <v>0</v>
      </c>
      <c r="BA188" s="598">
        <v>0</v>
      </c>
      <c r="BB188" s="598">
        <v>0</v>
      </c>
      <c r="BC188" s="598">
        <v>0</v>
      </c>
      <c r="BD188" s="598">
        <v>0</v>
      </c>
      <c r="BE188" s="598">
        <v>0</v>
      </c>
      <c r="BF188" s="598">
        <v>0</v>
      </c>
      <c r="BG188" s="598">
        <v>0</v>
      </c>
      <c r="BH188" s="598">
        <v>0</v>
      </c>
      <c r="BI188" s="598">
        <v>0</v>
      </c>
      <c r="BJ188" s="598">
        <v>0</v>
      </c>
      <c r="BK188" s="598">
        <v>0</v>
      </c>
      <c r="BL188" s="598">
        <v>0</v>
      </c>
      <c r="BM188" s="598">
        <v>0</v>
      </c>
      <c r="BN188" s="598">
        <v>0</v>
      </c>
      <c r="BO188" s="598">
        <v>0</v>
      </c>
      <c r="BP188" s="598">
        <v>0</v>
      </c>
      <c r="BQ188" s="598">
        <v>0</v>
      </c>
      <c r="BR188" s="598">
        <v>0</v>
      </c>
      <c r="BS188" s="598">
        <v>0</v>
      </c>
      <c r="BT188" s="598">
        <v>0</v>
      </c>
      <c r="BU188" s="598">
        <v>0</v>
      </c>
      <c r="BV188" s="598">
        <v>0</v>
      </c>
      <c r="BW188" s="598">
        <v>0</v>
      </c>
      <c r="BX188" s="598">
        <v>0</v>
      </c>
      <c r="BY188" s="598">
        <v>0</v>
      </c>
      <c r="BZ188" s="598">
        <v>0</v>
      </c>
      <c r="CA188" s="598">
        <v>0</v>
      </c>
      <c r="CB188" s="598">
        <v>0</v>
      </c>
      <c r="CC188" s="598">
        <v>0</v>
      </c>
      <c r="CD188" s="598">
        <v>0</v>
      </c>
      <c r="CE188" s="598">
        <v>0</v>
      </c>
      <c r="CF188" s="598">
        <v>0</v>
      </c>
      <c r="CG188" s="598">
        <v>0</v>
      </c>
      <c r="CH188" s="598">
        <v>0</v>
      </c>
      <c r="CI188" s="598">
        <v>0</v>
      </c>
      <c r="CJ188" s="598">
        <v>0</v>
      </c>
      <c r="CK188" s="598">
        <v>0</v>
      </c>
      <c r="CL188" s="598">
        <v>0</v>
      </c>
      <c r="CM188" s="598">
        <v>0</v>
      </c>
      <c r="CN188" s="598">
        <v>0</v>
      </c>
      <c r="CO188" s="598">
        <v>0</v>
      </c>
      <c r="CP188" s="598">
        <v>0</v>
      </c>
      <c r="CQ188" s="598">
        <v>0</v>
      </c>
      <c r="CR188" s="598">
        <v>0</v>
      </c>
      <c r="CS188" s="598">
        <v>0</v>
      </c>
      <c r="CT188" s="598">
        <v>0</v>
      </c>
      <c r="CU188" s="598">
        <v>0</v>
      </c>
      <c r="CV188" s="598">
        <v>0</v>
      </c>
      <c r="CW188" s="598">
        <v>0</v>
      </c>
      <c r="CX188" s="598">
        <v>0</v>
      </c>
      <c r="CY188" s="598">
        <v>0</v>
      </c>
      <c r="CZ188" s="598">
        <v>0</v>
      </c>
      <c r="DA188" s="598">
        <v>0</v>
      </c>
      <c r="DB188" s="598">
        <v>0</v>
      </c>
      <c r="DC188" s="598">
        <v>0</v>
      </c>
      <c r="DD188" s="598">
        <v>0</v>
      </c>
      <c r="DE188" s="598">
        <v>0</v>
      </c>
      <c r="DF188" s="598">
        <v>0</v>
      </c>
      <c r="DG188" s="598">
        <v>0</v>
      </c>
      <c r="DH188" s="598">
        <v>0</v>
      </c>
      <c r="DI188" s="598">
        <v>0</v>
      </c>
      <c r="DJ188" s="598">
        <v>0</v>
      </c>
      <c r="DK188" s="598">
        <v>0</v>
      </c>
      <c r="DL188" s="598">
        <v>0</v>
      </c>
      <c r="DM188" s="598">
        <v>0</v>
      </c>
      <c r="DN188" s="598">
        <v>0</v>
      </c>
      <c r="DO188" s="598">
        <v>0</v>
      </c>
      <c r="DP188" s="598">
        <v>0</v>
      </c>
      <c r="DQ188" s="598">
        <v>0</v>
      </c>
      <c r="DR188" s="598">
        <v>0</v>
      </c>
      <c r="DS188" s="598">
        <v>0</v>
      </c>
      <c r="DT188" s="598">
        <v>0</v>
      </c>
      <c r="DU188" s="598">
        <v>0</v>
      </c>
      <c r="DV188" s="598">
        <v>0</v>
      </c>
      <c r="DW188" s="598">
        <v>0</v>
      </c>
      <c r="DX188" s="598">
        <v>0</v>
      </c>
      <c r="DY188" s="598">
        <v>0</v>
      </c>
      <c r="DZ188" s="598">
        <v>0</v>
      </c>
      <c r="EA188" s="598">
        <v>0</v>
      </c>
      <c r="EB188" s="598">
        <v>0</v>
      </c>
      <c r="EC188" s="598">
        <v>0</v>
      </c>
      <c r="ED188" s="598">
        <v>0</v>
      </c>
      <c r="EE188" s="598">
        <v>0</v>
      </c>
      <c r="EF188" s="598">
        <v>0</v>
      </c>
      <c r="EG188" s="598">
        <v>0</v>
      </c>
      <c r="EH188" s="598">
        <v>0</v>
      </c>
      <c r="EI188" s="598">
        <v>0</v>
      </c>
      <c r="EJ188" s="598">
        <v>0</v>
      </c>
      <c r="EK188" s="598">
        <v>3.3994565402144374E-5</v>
      </c>
      <c r="EL188" s="598">
        <v>0</v>
      </c>
      <c r="EM188" s="598">
        <v>0</v>
      </c>
      <c r="EN188" s="598">
        <v>0</v>
      </c>
      <c r="EO188" s="598">
        <v>0</v>
      </c>
      <c r="EP188" s="598">
        <v>0</v>
      </c>
      <c r="EQ188" s="598">
        <v>0</v>
      </c>
      <c r="ER188" s="598">
        <v>0</v>
      </c>
      <c r="ES188" s="598">
        <v>0</v>
      </c>
      <c r="ET188" s="598">
        <v>0</v>
      </c>
      <c r="EU188" s="598">
        <v>0</v>
      </c>
      <c r="EV188" s="598">
        <v>0</v>
      </c>
      <c r="EW188" s="598">
        <v>0</v>
      </c>
      <c r="EX188" s="598">
        <v>0</v>
      </c>
      <c r="EY188" s="598">
        <v>0</v>
      </c>
      <c r="EZ188" s="598">
        <v>0</v>
      </c>
      <c r="FA188" s="598">
        <v>0</v>
      </c>
      <c r="FB188" s="598">
        <v>0</v>
      </c>
      <c r="FC188" s="598">
        <v>0</v>
      </c>
      <c r="FD188" s="598">
        <v>1.4515573488166117E-4</v>
      </c>
      <c r="FE188" s="598">
        <v>5.9225990597716591E-2</v>
      </c>
      <c r="FF188" s="598">
        <v>0</v>
      </c>
      <c r="FG188" s="598">
        <v>2.0876826722338206E-4</v>
      </c>
      <c r="FH188" s="598">
        <v>1.5899853682328078E-2</v>
      </c>
      <c r="FI188" s="598">
        <v>0</v>
      </c>
      <c r="FJ188" s="598">
        <v>0</v>
      </c>
      <c r="FK188" s="598">
        <v>1.0778524704683676E-4</v>
      </c>
      <c r="FL188" s="598">
        <v>7.8410872974385776E-5</v>
      </c>
      <c r="FM188" s="598">
        <v>3.4954239075343863E-5</v>
      </c>
      <c r="FN188" s="598">
        <v>0</v>
      </c>
      <c r="FO188" s="598">
        <v>0</v>
      </c>
      <c r="FP188" s="598">
        <v>0</v>
      </c>
      <c r="FQ188" s="598">
        <v>0</v>
      </c>
      <c r="FR188" s="598">
        <v>0</v>
      </c>
      <c r="FS188" s="598">
        <v>0</v>
      </c>
      <c r="FT188" s="598">
        <v>0</v>
      </c>
      <c r="FU188" s="598">
        <v>0</v>
      </c>
      <c r="FV188" s="598">
        <v>2.6601315403627832E-3</v>
      </c>
      <c r="FW188" s="598">
        <v>0</v>
      </c>
      <c r="FX188" s="598">
        <v>0</v>
      </c>
      <c r="FY188" s="598">
        <v>0</v>
      </c>
      <c r="FZ188" s="598">
        <v>2.6030500296687067E-3</v>
      </c>
      <c r="GA188" s="598">
        <v>2.2952753268521076E-4</v>
      </c>
      <c r="GB188" s="598">
        <v>0</v>
      </c>
      <c r="GC188" s="598">
        <v>2.759709676459798E-2</v>
      </c>
      <c r="GD188" s="598">
        <v>1.4542840925502367E-3</v>
      </c>
      <c r="GE188" s="598">
        <v>0</v>
      </c>
      <c r="GF188" s="598">
        <v>4.564029082417874E-4</v>
      </c>
      <c r="GG188" s="599">
        <v>4.287118121269948E-4</v>
      </c>
      <c r="GH188" s="572"/>
    </row>
    <row r="189" spans="1:190">
      <c r="A189" s="572" t="s">
        <v>9387</v>
      </c>
      <c r="B189" s="577" t="s">
        <v>815</v>
      </c>
      <c r="C189" s="573" t="s">
        <v>820</v>
      </c>
      <c r="D189" s="578">
        <v>0</v>
      </c>
      <c r="E189" s="578">
        <v>0</v>
      </c>
      <c r="F189" s="578">
        <v>0</v>
      </c>
      <c r="G189" s="578">
        <v>0</v>
      </c>
      <c r="H189" s="578">
        <v>0</v>
      </c>
      <c r="I189" s="578">
        <v>0</v>
      </c>
      <c r="J189" s="578">
        <v>0</v>
      </c>
      <c r="K189" s="578">
        <v>1.0301587865439949E-3</v>
      </c>
      <c r="L189" s="578">
        <v>0</v>
      </c>
      <c r="M189" s="578">
        <v>3.6350418029807341E-4</v>
      </c>
      <c r="N189" s="578">
        <v>0</v>
      </c>
      <c r="O189" s="578">
        <v>8.7588683542086365E-4</v>
      </c>
      <c r="P189" s="578">
        <v>0</v>
      </c>
      <c r="Q189" s="578">
        <v>0</v>
      </c>
      <c r="R189" s="578">
        <v>1.1305183426601097E-4</v>
      </c>
      <c r="S189" s="578">
        <v>0</v>
      </c>
      <c r="T189" s="578">
        <v>1.4105621582257097E-4</v>
      </c>
      <c r="U189" s="578">
        <v>4.7817604529283498E-5</v>
      </c>
      <c r="V189" s="578">
        <v>1.492136440956161E-5</v>
      </c>
      <c r="W189" s="578">
        <v>1.0110665833302694E-4</v>
      </c>
      <c r="X189" s="578">
        <v>1.0236462278636504E-4</v>
      </c>
      <c r="Y189" s="578">
        <v>1.0987428865870015E-4</v>
      </c>
      <c r="Z189" s="578">
        <v>5.6367213607582195E-5</v>
      </c>
      <c r="AA189" s="578">
        <v>3.4274942161035101E-4</v>
      </c>
      <c r="AB189" s="578">
        <v>2.4776597677606911E-5</v>
      </c>
      <c r="AC189" s="578">
        <v>8.6378163600241853E-5</v>
      </c>
      <c r="AD189" s="578">
        <v>0</v>
      </c>
      <c r="AE189" s="578">
        <v>0</v>
      </c>
      <c r="AF189" s="578">
        <v>7.5855268148372902E-5</v>
      </c>
      <c r="AG189" s="578">
        <v>0</v>
      </c>
      <c r="AH189" s="578">
        <v>0</v>
      </c>
      <c r="AI189" s="578">
        <v>0</v>
      </c>
      <c r="AJ189" s="578">
        <v>1.7336030049118752E-4</v>
      </c>
      <c r="AK189" s="578">
        <v>0</v>
      </c>
      <c r="AL189" s="578">
        <v>0</v>
      </c>
      <c r="AM189" s="578">
        <v>0</v>
      </c>
      <c r="AN189" s="578">
        <v>4.3133195307108351E-5</v>
      </c>
      <c r="AO189" s="578">
        <v>3.2386566052401462E-5</v>
      </c>
      <c r="AP189" s="578">
        <v>0</v>
      </c>
      <c r="AQ189" s="578">
        <v>2.0690225937267234E-5</v>
      </c>
      <c r="AR189" s="578">
        <v>2.3613029669771779E-5</v>
      </c>
      <c r="AS189" s="578">
        <v>4.7122577604994996E-5</v>
      </c>
      <c r="AT189" s="578">
        <v>4.1446482229820741E-5</v>
      </c>
      <c r="AU189" s="578">
        <v>9.8165933148999524E-5</v>
      </c>
      <c r="AV189" s="578">
        <v>5.9912527709544064E-5</v>
      </c>
      <c r="AW189" s="578">
        <v>5.3639435713136299E-5</v>
      </c>
      <c r="AX189" s="578">
        <v>5.4861255883869691E-5</v>
      </c>
      <c r="AY189" s="578">
        <v>0</v>
      </c>
      <c r="AZ189" s="578">
        <v>4.5211022447272642E-5</v>
      </c>
      <c r="BA189" s="578">
        <v>0</v>
      </c>
      <c r="BB189" s="578">
        <v>5.9024211731652321E-5</v>
      </c>
      <c r="BC189" s="578">
        <v>4.0938724963411012E-5</v>
      </c>
      <c r="BD189" s="578">
        <v>1.2419428954656665E-4</v>
      </c>
      <c r="BE189" s="578">
        <v>1.017965333015073E-4</v>
      </c>
      <c r="BF189" s="578">
        <v>9.2913776015857283E-5</v>
      </c>
      <c r="BG189" s="578">
        <v>9.647495361781076E-5</v>
      </c>
      <c r="BH189" s="578">
        <v>4.809542131589073E-5</v>
      </c>
      <c r="BI189" s="578">
        <v>0</v>
      </c>
      <c r="BJ189" s="578">
        <v>5.7731720693935282E-5</v>
      </c>
      <c r="BK189" s="578">
        <v>0</v>
      </c>
      <c r="BL189" s="578">
        <v>3.8057543005023594E-5</v>
      </c>
      <c r="BM189" s="578">
        <v>4.5800442890282752E-5</v>
      </c>
      <c r="BN189" s="578">
        <v>4.9382716049382713E-5</v>
      </c>
      <c r="BO189" s="578">
        <v>4.8290049352430441E-5</v>
      </c>
      <c r="BP189" s="578">
        <v>7.2632190586868097E-5</v>
      </c>
      <c r="BQ189" s="578">
        <v>5.5639014076670561E-5</v>
      </c>
      <c r="BR189" s="578">
        <v>8.5348809917531706E-5</v>
      </c>
      <c r="BS189" s="578">
        <v>5.0578107771832043E-5</v>
      </c>
      <c r="BT189" s="578">
        <v>0</v>
      </c>
      <c r="BU189" s="578">
        <v>5.8011370228564796E-5</v>
      </c>
      <c r="BV189" s="578">
        <v>0</v>
      </c>
      <c r="BW189" s="578">
        <v>4.1691691071329974E-5</v>
      </c>
      <c r="BX189" s="578">
        <v>0</v>
      </c>
      <c r="BY189" s="578">
        <v>2.7526563133423753E-5</v>
      </c>
      <c r="BZ189" s="578">
        <v>6.070606674356102E-5</v>
      </c>
      <c r="CA189" s="578">
        <v>5.8016100251821237E-5</v>
      </c>
      <c r="CB189" s="578">
        <v>4.3435095557210223E-5</v>
      </c>
      <c r="CC189" s="578">
        <v>8.1841990397206457E-5</v>
      </c>
      <c r="CD189" s="578">
        <v>7.3195130084011738E-5</v>
      </c>
      <c r="CE189" s="578">
        <v>0</v>
      </c>
      <c r="CF189" s="578">
        <v>7.8951523764408658E-5</v>
      </c>
      <c r="CG189" s="578">
        <v>7.8026358722637574E-5</v>
      </c>
      <c r="CH189" s="578">
        <v>6.9433997199495448E-5</v>
      </c>
      <c r="CI189" s="578">
        <v>4.9742582137438757E-5</v>
      </c>
      <c r="CJ189" s="578">
        <v>4.3393360815795186E-5</v>
      </c>
      <c r="CK189" s="578">
        <v>6.5559220147861258E-5</v>
      </c>
      <c r="CL189" s="578">
        <v>5.3951982735365523E-5</v>
      </c>
      <c r="CM189" s="578">
        <v>7.1230144597193533E-5</v>
      </c>
      <c r="CN189" s="578">
        <v>4.8243921265920496E-5</v>
      </c>
      <c r="CO189" s="578">
        <v>0</v>
      </c>
      <c r="CP189" s="578">
        <v>1.3412376941441563E-4</v>
      </c>
      <c r="CQ189" s="578">
        <v>0</v>
      </c>
      <c r="CR189" s="578">
        <v>6.0968528626175822E-5</v>
      </c>
      <c r="CS189" s="578">
        <v>0</v>
      </c>
      <c r="CT189" s="578">
        <v>1.1664868332798694E-4</v>
      </c>
      <c r="CU189" s="578">
        <v>8.1421408187285361E-4</v>
      </c>
      <c r="CV189" s="578">
        <v>6.1952878640506034E-5</v>
      </c>
      <c r="CW189" s="578">
        <v>3.901068892876648E-5</v>
      </c>
      <c r="CX189" s="578">
        <v>5.7109407347125254E-5</v>
      </c>
      <c r="CY189" s="578">
        <v>2.6559208718747137E-4</v>
      </c>
      <c r="CZ189" s="578">
        <v>1.0668563300142248E-4</v>
      </c>
      <c r="DA189" s="578">
        <v>8.5669615129254034E-5</v>
      </c>
      <c r="DB189" s="578">
        <v>5.4150647100232849E-5</v>
      </c>
      <c r="DC189" s="578">
        <v>0</v>
      </c>
      <c r="DD189" s="578">
        <v>0</v>
      </c>
      <c r="DE189" s="578">
        <v>9.086448470750722E-5</v>
      </c>
      <c r="DF189" s="578">
        <v>6.9893761482546523E-5</v>
      </c>
      <c r="DG189" s="578">
        <v>9.7324984526421006E-5</v>
      </c>
      <c r="DH189" s="578">
        <v>9.0619725648780601E-5</v>
      </c>
      <c r="DI189" s="578">
        <v>3.3116969134984766E-5</v>
      </c>
      <c r="DJ189" s="578">
        <v>8.6968405620643815E-5</v>
      </c>
      <c r="DK189" s="578">
        <v>1.4737254087172065E-4</v>
      </c>
      <c r="DL189" s="578">
        <v>8.0806040251508803E-5</v>
      </c>
      <c r="DM189" s="578">
        <v>4.2416016287750257E-5</v>
      </c>
      <c r="DN189" s="578">
        <v>4.9517207229512257E-5</v>
      </c>
      <c r="DO189" s="578">
        <v>0</v>
      </c>
      <c r="DP189" s="578">
        <v>6.5731814198071863E-5</v>
      </c>
      <c r="DQ189" s="578">
        <v>7.8796618049153328E-5</v>
      </c>
      <c r="DR189" s="578">
        <v>5.001850684753359E-5</v>
      </c>
      <c r="DS189" s="578">
        <v>1.2819362364915968E-4</v>
      </c>
      <c r="DT189" s="578">
        <v>1.5307349714627265E-4</v>
      </c>
      <c r="DU189" s="578">
        <v>3.1851191234552171E-5</v>
      </c>
      <c r="DV189" s="578">
        <v>5.067845785452749E-5</v>
      </c>
      <c r="DW189" s="578">
        <v>8.4290025118427487E-5</v>
      </c>
      <c r="DX189" s="578">
        <v>3.6774395214425372E-5</v>
      </c>
      <c r="DY189" s="578">
        <v>7.9050133594725774E-5</v>
      </c>
      <c r="DZ189" s="578">
        <v>1.5325464016315726E-4</v>
      </c>
      <c r="EA189" s="578">
        <v>2.3594722795395912E-4</v>
      </c>
      <c r="EB189" s="578">
        <v>1.2255465171499917E-4</v>
      </c>
      <c r="EC189" s="578">
        <v>3.364048112004453E-4</v>
      </c>
      <c r="ED189" s="578">
        <v>3.7086955341878407E-4</v>
      </c>
      <c r="EE189" s="578">
        <v>2.4371503811574925E-5</v>
      </c>
      <c r="EF189" s="578">
        <v>3.8484974824412299E-5</v>
      </c>
      <c r="EG189" s="578">
        <v>5.5509297807382742E-4</v>
      </c>
      <c r="EH189" s="578">
        <v>2.4494142705005324E-4</v>
      </c>
      <c r="EI189" s="578">
        <v>0</v>
      </c>
      <c r="EJ189" s="578">
        <v>9.1670808329820787E-4</v>
      </c>
      <c r="EK189" s="578">
        <v>5.9207201408734795E-4</v>
      </c>
      <c r="EL189" s="578">
        <v>1.327922174808272E-4</v>
      </c>
      <c r="EM189" s="578">
        <v>1.523889440831529E-4</v>
      </c>
      <c r="EN189" s="578">
        <v>1.1824856593966951E-3</v>
      </c>
      <c r="EO189" s="578">
        <v>5.2001977650968244E-4</v>
      </c>
      <c r="EP189" s="578">
        <v>3.0500658515746548E-4</v>
      </c>
      <c r="EQ189" s="578">
        <v>1.6946912103145686E-4</v>
      </c>
      <c r="ER189" s="578">
        <v>0</v>
      </c>
      <c r="ES189" s="578">
        <v>6.4638602173217844E-4</v>
      </c>
      <c r="ET189" s="578">
        <v>2.3983325625984674E-4</v>
      </c>
      <c r="EU189" s="578">
        <v>7.0403529563615463E-5</v>
      </c>
      <c r="EV189" s="578">
        <v>2.8291210863824973E-4</v>
      </c>
      <c r="EW189" s="578">
        <v>2.7223583401392293E-4</v>
      </c>
      <c r="EX189" s="578">
        <v>1.3491115137031183E-4</v>
      </c>
      <c r="EY189" s="578">
        <v>9.8980500841334257E-5</v>
      </c>
      <c r="EZ189" s="578">
        <v>1.9988875756100954E-4</v>
      </c>
      <c r="FA189" s="578">
        <v>3.9311610028828516E-4</v>
      </c>
      <c r="FB189" s="578">
        <v>2.7658131996748483E-4</v>
      </c>
      <c r="FC189" s="578">
        <v>2.1656271656271656E-4</v>
      </c>
      <c r="FD189" s="578">
        <v>3.1737440338532697E-4</v>
      </c>
      <c r="FE189" s="578">
        <v>1.3012088650100739E-3</v>
      </c>
      <c r="FF189" s="578">
        <v>1.6950309428467418E-3</v>
      </c>
      <c r="FG189" s="578">
        <v>1.5657620041753653E-4</v>
      </c>
      <c r="FH189" s="578">
        <v>4.2106974475695008E-3</v>
      </c>
      <c r="FI189" s="578">
        <v>6.019108467270731E-4</v>
      </c>
      <c r="FJ189" s="578">
        <v>2.6197839247780303E-4</v>
      </c>
      <c r="FK189" s="578">
        <v>2.674294337105478E-4</v>
      </c>
      <c r="FL189" s="578">
        <v>1.1630946157867223E-3</v>
      </c>
      <c r="FM189" s="578">
        <v>1.9457859751941416E-3</v>
      </c>
      <c r="FN189" s="578">
        <v>2.8350780206747783E-3</v>
      </c>
      <c r="FO189" s="578">
        <v>3.1837152223674069E-4</v>
      </c>
      <c r="FP189" s="578">
        <v>2.0483408439164277E-4</v>
      </c>
      <c r="FQ189" s="578">
        <v>1.6975849766512493E-4</v>
      </c>
      <c r="FR189" s="578">
        <v>2.8481980478170429E-4</v>
      </c>
      <c r="FS189" s="578">
        <v>2.5060267982284015E-3</v>
      </c>
      <c r="FT189" s="578">
        <v>7.8857397809632018E-4</v>
      </c>
      <c r="FU189" s="578">
        <v>1.8184313456391958E-3</v>
      </c>
      <c r="FV189" s="578">
        <v>2.6391856227221313E-3</v>
      </c>
      <c r="FW189" s="578">
        <v>1.7783094743478858E-4</v>
      </c>
      <c r="FX189" s="578">
        <v>7.3716547262677563E-4</v>
      </c>
      <c r="FY189" s="578">
        <v>1.0005507045358596E-3</v>
      </c>
      <c r="FZ189" s="578">
        <v>2.5597380491417733E-3</v>
      </c>
      <c r="GA189" s="578">
        <v>3.8145678919570614E-4</v>
      </c>
      <c r="GB189" s="578">
        <v>2.0139704460449301E-3</v>
      </c>
      <c r="GC189" s="578">
        <v>2.6846003589382568E-3</v>
      </c>
      <c r="GD189" s="578">
        <v>9.8105400331160303E-3</v>
      </c>
      <c r="GE189" s="578">
        <v>0</v>
      </c>
      <c r="GF189" s="578">
        <v>4.1925383431513029E-4</v>
      </c>
      <c r="GG189" s="579">
        <v>4.6852333293941062E-4</v>
      </c>
      <c r="GH189" s="572"/>
    </row>
    <row r="190" spans="1:190">
      <c r="A190" s="572" t="s">
        <v>9388</v>
      </c>
      <c r="B190" s="577" t="s">
        <v>9486</v>
      </c>
      <c r="C190" s="573" t="s">
        <v>823</v>
      </c>
      <c r="D190" s="578">
        <v>1.3389270731054183E-4</v>
      </c>
      <c r="E190" s="578">
        <v>2.8514399771884804E-4</v>
      </c>
      <c r="F190" s="578">
        <v>2.5925664050531477E-4</v>
      </c>
      <c r="G190" s="578">
        <v>2.7964205816554809E-4</v>
      </c>
      <c r="H190" s="578">
        <v>0</v>
      </c>
      <c r="I190" s="578">
        <v>6.5157191725036647E-4</v>
      </c>
      <c r="J190" s="578">
        <v>8.5361336146499382E-4</v>
      </c>
      <c r="K190" s="578">
        <v>2.9483854925224681E-3</v>
      </c>
      <c r="L190" s="578">
        <v>1.957831325301205E-3</v>
      </c>
      <c r="M190" s="578">
        <v>3.2715376226826608E-3</v>
      </c>
      <c r="N190" s="578">
        <v>0</v>
      </c>
      <c r="O190" s="578">
        <v>1.1824472278181659E-3</v>
      </c>
      <c r="P190" s="578">
        <v>0</v>
      </c>
      <c r="Q190" s="578">
        <v>0</v>
      </c>
      <c r="R190" s="578">
        <v>6.7831100559606584E-4</v>
      </c>
      <c r="S190" s="578">
        <v>1.8674136321195146E-3</v>
      </c>
      <c r="T190" s="578">
        <v>8.1025314670174486E-4</v>
      </c>
      <c r="U190" s="578">
        <v>6.0250181706897213E-4</v>
      </c>
      <c r="V190" s="578">
        <v>2.3128114834820496E-4</v>
      </c>
      <c r="W190" s="578">
        <v>7.8434256161378482E-4</v>
      </c>
      <c r="X190" s="578">
        <v>9.2128160507728529E-4</v>
      </c>
      <c r="Y190" s="578">
        <v>8.3731785495078385E-4</v>
      </c>
      <c r="Z190" s="578">
        <v>1.1166076600359139E-3</v>
      </c>
      <c r="AA190" s="578">
        <v>8.9971723172717149E-4</v>
      </c>
      <c r="AB190" s="578">
        <v>1.4865958606564148E-4</v>
      </c>
      <c r="AC190" s="578">
        <v>1.7275632720048372E-5</v>
      </c>
      <c r="AD190" s="578">
        <v>0</v>
      </c>
      <c r="AE190" s="578">
        <v>4.5065344749887338E-4</v>
      </c>
      <c r="AF190" s="578">
        <v>6.8269741333535619E-4</v>
      </c>
      <c r="AG190" s="578">
        <v>0</v>
      </c>
      <c r="AH190" s="578">
        <v>1.9282684149633628E-3</v>
      </c>
      <c r="AI190" s="578">
        <v>8.0187103240895422E-4</v>
      </c>
      <c r="AJ190" s="578">
        <v>1.2713088702687085E-3</v>
      </c>
      <c r="AK190" s="578">
        <v>1.2471938139186831E-3</v>
      </c>
      <c r="AL190" s="578">
        <v>9.8074179743223963E-4</v>
      </c>
      <c r="AM190" s="578">
        <v>2.8699345654919069E-4</v>
      </c>
      <c r="AN190" s="578">
        <v>1.3802622498274672E-3</v>
      </c>
      <c r="AO190" s="578">
        <v>1.2306895099912557E-3</v>
      </c>
      <c r="AP190" s="578">
        <v>6.3532401524777639E-4</v>
      </c>
      <c r="AQ190" s="578">
        <v>3.7242406687081021E-4</v>
      </c>
      <c r="AR190" s="578">
        <v>4.0142150438612028E-4</v>
      </c>
      <c r="AS190" s="578">
        <v>7.3039995287742243E-4</v>
      </c>
      <c r="AT190" s="578">
        <v>8.7037612682623567E-4</v>
      </c>
      <c r="AU190" s="578">
        <v>9.8983982591907852E-4</v>
      </c>
      <c r="AV190" s="578">
        <v>8.9868791564316102E-4</v>
      </c>
      <c r="AW190" s="578">
        <v>9.6550984283645333E-4</v>
      </c>
      <c r="AX190" s="578">
        <v>1.2837533876825509E-3</v>
      </c>
      <c r="AY190" s="578">
        <v>1.5857913098636219E-4</v>
      </c>
      <c r="AZ190" s="578">
        <v>1.4128444514772701E-4</v>
      </c>
      <c r="BA190" s="578">
        <v>2.7766208524226016E-4</v>
      </c>
      <c r="BB190" s="578">
        <v>2.8331621631193113E-4</v>
      </c>
      <c r="BC190" s="578">
        <v>5.0149938080178494E-4</v>
      </c>
      <c r="BD190" s="578">
        <v>5.2161601609557998E-4</v>
      </c>
      <c r="BE190" s="578">
        <v>5.475951446563841E-4</v>
      </c>
      <c r="BF190" s="578">
        <v>9.7559464816650147E-4</v>
      </c>
      <c r="BG190" s="578">
        <v>1.8552875695732838E-4</v>
      </c>
      <c r="BH190" s="578">
        <v>9.4816687737041716E-4</v>
      </c>
      <c r="BI190" s="578">
        <v>7.5901328273244781E-4</v>
      </c>
      <c r="BJ190" s="578">
        <v>7.6288345202700199E-4</v>
      </c>
      <c r="BK190" s="578">
        <v>2.7560357182229083E-5</v>
      </c>
      <c r="BL190" s="578">
        <v>7.6115086010047187E-5</v>
      </c>
      <c r="BM190" s="578">
        <v>1.2595121794827755E-4</v>
      </c>
      <c r="BN190" s="578">
        <v>2.9629629629629629E-4</v>
      </c>
      <c r="BO190" s="578">
        <v>3.5734636520798525E-4</v>
      </c>
      <c r="BP190" s="578">
        <v>8.7158628704241722E-4</v>
      </c>
      <c r="BQ190" s="578">
        <v>1.7248094363767875E-3</v>
      </c>
      <c r="BR190" s="578">
        <v>1.5576157809949536E-3</v>
      </c>
      <c r="BS190" s="578">
        <v>8.2948096745804549E-4</v>
      </c>
      <c r="BT190" s="578">
        <v>1.2748133309051174E-3</v>
      </c>
      <c r="BU190" s="578">
        <v>1.5373013110569671E-3</v>
      </c>
      <c r="BV190" s="578">
        <v>8.758927368279208E-4</v>
      </c>
      <c r="BW190" s="578">
        <v>1.1380704860011696E-4</v>
      </c>
      <c r="BX190" s="578">
        <v>0</v>
      </c>
      <c r="BY190" s="578">
        <v>7.7574859739648763E-5</v>
      </c>
      <c r="BZ190" s="578">
        <v>1.3796833350809322E-4</v>
      </c>
      <c r="CA190" s="578">
        <v>1.2073620863216851E-4</v>
      </c>
      <c r="CB190" s="578">
        <v>3.7230081906180194E-4</v>
      </c>
      <c r="CC190" s="578">
        <v>8.6752509821038846E-4</v>
      </c>
      <c r="CD190" s="578">
        <v>1.9518701355736466E-4</v>
      </c>
      <c r="CE190" s="578">
        <v>0</v>
      </c>
      <c r="CF190" s="578">
        <v>5.5266066635086062E-4</v>
      </c>
      <c r="CG190" s="578">
        <v>3.191987402289719E-4</v>
      </c>
      <c r="CH190" s="578">
        <v>4.5132098179672037E-4</v>
      </c>
      <c r="CI190" s="578">
        <v>3.233267838933519E-4</v>
      </c>
      <c r="CJ190" s="578">
        <v>4.0789759166847474E-4</v>
      </c>
      <c r="CK190" s="578">
        <v>4.2109191402664729E-4</v>
      </c>
      <c r="CL190" s="578">
        <v>4.5859185325060694E-4</v>
      </c>
      <c r="CM190" s="578">
        <v>7.1230144597193531E-4</v>
      </c>
      <c r="CN190" s="578">
        <v>1.6041103820918564E-3</v>
      </c>
      <c r="CO190" s="578">
        <v>1.5374103177314656E-3</v>
      </c>
      <c r="CP190" s="578">
        <v>5.9908617005105644E-4</v>
      </c>
      <c r="CQ190" s="578">
        <v>9.5559661081735358E-4</v>
      </c>
      <c r="CR190" s="578">
        <v>3.0484264313087911E-4</v>
      </c>
      <c r="CS190" s="578">
        <v>1.5255961125550911E-3</v>
      </c>
      <c r="CT190" s="578">
        <v>4.9575690414394448E-4</v>
      </c>
      <c r="CU190" s="578">
        <v>1.2575979878432194E-3</v>
      </c>
      <c r="CV190" s="578">
        <v>7.3104396795797117E-4</v>
      </c>
      <c r="CW190" s="578">
        <v>7.4120308964656313E-4</v>
      </c>
      <c r="CX190" s="578">
        <v>2.105909395925244E-3</v>
      </c>
      <c r="CY190" s="578">
        <v>1.9782031321549593E-3</v>
      </c>
      <c r="CZ190" s="578">
        <v>4.4452347083926032E-4</v>
      </c>
      <c r="DA190" s="578">
        <v>3.8551326808164313E-4</v>
      </c>
      <c r="DB190" s="578">
        <v>1.8952726485081497E-3</v>
      </c>
      <c r="DC190" s="578">
        <v>7.2516316171138508E-4</v>
      </c>
      <c r="DD190" s="578">
        <v>4.8309178743961351E-4</v>
      </c>
      <c r="DE190" s="578">
        <v>1.2221273193159723E-3</v>
      </c>
      <c r="DF190" s="578">
        <v>7.588465532390766E-4</v>
      </c>
      <c r="DG190" s="578">
        <v>9.0654395699329223E-4</v>
      </c>
      <c r="DH190" s="578">
        <v>5.3239088818658601E-4</v>
      </c>
      <c r="DI190" s="578">
        <v>2.6493575307987813E-4</v>
      </c>
      <c r="DJ190" s="578">
        <v>6.9574724496515052E-4</v>
      </c>
      <c r="DK190" s="578">
        <v>1.2490426824701571E-3</v>
      </c>
      <c r="DL190" s="578">
        <v>8.686649327037196E-4</v>
      </c>
      <c r="DM190" s="578">
        <v>8.4832032575500507E-4</v>
      </c>
      <c r="DN190" s="578">
        <v>5.4468927952463478E-4</v>
      </c>
      <c r="DO190" s="578">
        <v>0</v>
      </c>
      <c r="DP190" s="578">
        <v>1.3146362839614373E-4</v>
      </c>
      <c r="DQ190" s="578">
        <v>1.8123222151305267E-4</v>
      </c>
      <c r="DR190" s="578">
        <v>2.9344190683886374E-4</v>
      </c>
      <c r="DS190" s="578">
        <v>7.5313753893881314E-4</v>
      </c>
      <c r="DT190" s="578">
        <v>2.3179700996435572E-3</v>
      </c>
      <c r="DU190" s="578">
        <v>5.4943304879602494E-4</v>
      </c>
      <c r="DV190" s="578">
        <v>1.5203537356358245E-3</v>
      </c>
      <c r="DW190" s="578">
        <v>3.354742999713414E-3</v>
      </c>
      <c r="DX190" s="578">
        <v>9.009726827534215E-4</v>
      </c>
      <c r="DY190" s="578">
        <v>2.5296042750312246E-4</v>
      </c>
      <c r="DZ190" s="578">
        <v>8.0163965623805331E-4</v>
      </c>
      <c r="EA190" s="578">
        <v>3.6727634540003072E-4</v>
      </c>
      <c r="EB190" s="578">
        <v>4.2128161527030962E-5</v>
      </c>
      <c r="EC190" s="578">
        <v>2.5750259184615901E-3</v>
      </c>
      <c r="ED190" s="578">
        <v>4.3418874546589356E-4</v>
      </c>
      <c r="EE190" s="578">
        <v>3.0785057446199908E-5</v>
      </c>
      <c r="EF190" s="578">
        <v>7.6969949648824599E-5</v>
      </c>
      <c r="EG190" s="578">
        <v>1.1101859561476548E-3</v>
      </c>
      <c r="EH190" s="578">
        <v>9.9041533546325887E-4</v>
      </c>
      <c r="EI190" s="578">
        <v>3.2314989659203309E-3</v>
      </c>
      <c r="EJ190" s="578">
        <v>1.783087095356514E-3</v>
      </c>
      <c r="EK190" s="578">
        <v>2.3416589801177118E-3</v>
      </c>
      <c r="EL190" s="578">
        <v>3.4824386022500073E-3</v>
      </c>
      <c r="EM190" s="578">
        <v>3.6652509667792102E-3</v>
      </c>
      <c r="EN190" s="578">
        <v>1.2485557750363386E-3</v>
      </c>
      <c r="EO190" s="578">
        <v>5.1214068898680848E-4</v>
      </c>
      <c r="EP190" s="578">
        <v>4.6637092531722552E-7</v>
      </c>
      <c r="EQ190" s="578">
        <v>1.6065672673782111E-3</v>
      </c>
      <c r="ER190" s="578">
        <v>1.9607843137254902E-3</v>
      </c>
      <c r="ES190" s="578">
        <v>2.2249287274360248E-3</v>
      </c>
      <c r="ET190" s="578">
        <v>1.4867011796881107E-3</v>
      </c>
      <c r="EU190" s="578">
        <v>2.8161411825446185E-4</v>
      </c>
      <c r="EV190" s="578">
        <v>8.694832138815542E-3</v>
      </c>
      <c r="EW190" s="578">
        <v>2.1681639637537433E-3</v>
      </c>
      <c r="EX190" s="578">
        <v>1.541841729946421E-3</v>
      </c>
      <c r="EY190" s="578">
        <v>5.7408690487973871E-3</v>
      </c>
      <c r="EZ190" s="578">
        <v>1.894597789056525E-3</v>
      </c>
      <c r="FA190" s="578">
        <v>2.4023761684284091E-3</v>
      </c>
      <c r="FB190" s="578">
        <v>2.37455182020865E-3</v>
      </c>
      <c r="FC190" s="578">
        <v>3.7465349965349966E-3</v>
      </c>
      <c r="FD190" s="578">
        <v>3.0753333661368894E-3</v>
      </c>
      <c r="FE190" s="578">
        <v>3.4209200805910005E-3</v>
      </c>
      <c r="FF190" s="578">
        <v>7.0152287343768958E-4</v>
      </c>
      <c r="FG190" s="578">
        <v>1.9311064718162839E-3</v>
      </c>
      <c r="FH190" s="578">
        <v>2.0159323687205331E-3</v>
      </c>
      <c r="FI190" s="578">
        <v>1.7088395746105197E-3</v>
      </c>
      <c r="FJ190" s="578">
        <v>3.4307779049701859E-3</v>
      </c>
      <c r="FK190" s="578">
        <v>1.4357808380201275E-3</v>
      </c>
      <c r="FL190" s="578">
        <v>3.3585990590695243E-3</v>
      </c>
      <c r="FM190" s="578">
        <v>5.5693754260047884E-3</v>
      </c>
      <c r="FN190" s="578">
        <v>7.0036512368448081E-3</v>
      </c>
      <c r="FO190" s="578">
        <v>1.2309045167659988E-3</v>
      </c>
      <c r="FP190" s="578">
        <v>2.3949831405792078E-3</v>
      </c>
      <c r="FQ190" s="578">
        <v>4.3524965630861541E-3</v>
      </c>
      <c r="FR190" s="578">
        <v>5.598343375955139E-3</v>
      </c>
      <c r="FS190" s="578">
        <v>4.7934069630543256E-3</v>
      </c>
      <c r="FT190" s="578">
        <v>7.2113015102229282E-4</v>
      </c>
      <c r="FU190" s="578">
        <v>1.8184313456391958E-3</v>
      </c>
      <c r="FV190" s="578">
        <v>1.0891877173138955E-3</v>
      </c>
      <c r="FW190" s="578">
        <v>1.9076410724822776E-3</v>
      </c>
      <c r="FX190" s="578">
        <v>4.6248023948067675E-4</v>
      </c>
      <c r="FY190" s="578">
        <v>1.990390786007999E-3</v>
      </c>
      <c r="FZ190" s="578">
        <v>2.2348981951897714E-3</v>
      </c>
      <c r="GA190" s="578">
        <v>8.6174927751920757E-4</v>
      </c>
      <c r="GB190" s="578">
        <v>4.1411382942094814E-3</v>
      </c>
      <c r="GC190" s="578">
        <v>2.5532210246596533E-3</v>
      </c>
      <c r="GD190" s="578">
        <v>2.9052095613301492E-3</v>
      </c>
      <c r="GE190" s="578">
        <v>0</v>
      </c>
      <c r="GF190" s="578">
        <v>2.1758743299899166E-4</v>
      </c>
      <c r="GG190" s="579">
        <v>1.3826482141080531E-3</v>
      </c>
      <c r="GH190" s="572"/>
    </row>
    <row r="191" spans="1:190">
      <c r="A191" s="572" t="s">
        <v>9389</v>
      </c>
      <c r="B191" s="577" t="s">
        <v>9487</v>
      </c>
      <c r="C191" s="573" t="s">
        <v>7669</v>
      </c>
      <c r="D191" s="578">
        <v>7.7434615727930015E-3</v>
      </c>
      <c r="E191" s="578">
        <v>5.417735956658112E-3</v>
      </c>
      <c r="F191" s="578">
        <v>5.8450588041198239E-3</v>
      </c>
      <c r="G191" s="578">
        <v>6.4317673378076062E-3</v>
      </c>
      <c r="H191" s="578">
        <v>0</v>
      </c>
      <c r="I191" s="578">
        <v>1.3031438345007329E-3</v>
      </c>
      <c r="J191" s="578">
        <v>9.6635474882829483E-5</v>
      </c>
      <c r="K191" s="578">
        <v>8.5254520265709924E-4</v>
      </c>
      <c r="L191" s="578">
        <v>1.5060240963855423E-4</v>
      </c>
      <c r="M191" s="578">
        <v>1.0178117048346057E-2</v>
      </c>
      <c r="N191" s="578">
        <v>0</v>
      </c>
      <c r="O191" s="578">
        <v>7.1603748795655599E-3</v>
      </c>
      <c r="P191" s="578">
        <v>1.6574585635359115E-2</v>
      </c>
      <c r="Q191" s="578">
        <v>0</v>
      </c>
      <c r="R191" s="578">
        <v>1.4074953366118366E-2</v>
      </c>
      <c r="S191" s="578">
        <v>1.4939309056956116E-2</v>
      </c>
      <c r="T191" s="578">
        <v>6.6558851605580576E-3</v>
      </c>
      <c r="U191" s="578">
        <v>2.4673883937110287E-3</v>
      </c>
      <c r="V191" s="578">
        <v>1.5674893312244472E-2</v>
      </c>
      <c r="W191" s="578">
        <v>1.1121732416632965E-3</v>
      </c>
      <c r="X191" s="578">
        <v>1.0236462278636503E-3</v>
      </c>
      <c r="Y191" s="578">
        <v>1.6670581727526918E-3</v>
      </c>
      <c r="Z191" s="578">
        <v>6.5493333905952645E-4</v>
      </c>
      <c r="AA191" s="578">
        <v>4.5890339226719225E-3</v>
      </c>
      <c r="AB191" s="578">
        <v>8.0193587816521032E-3</v>
      </c>
      <c r="AC191" s="578">
        <v>1.908957415565345E-2</v>
      </c>
      <c r="AD191" s="578">
        <v>0</v>
      </c>
      <c r="AE191" s="578">
        <v>2.7039206849932404E-3</v>
      </c>
      <c r="AF191" s="578">
        <v>2.1239475081544414E-3</v>
      </c>
      <c r="AG191" s="578">
        <v>0</v>
      </c>
      <c r="AH191" s="578">
        <v>1.1569610489780178E-3</v>
      </c>
      <c r="AI191" s="578">
        <v>2.0046775810223854E-3</v>
      </c>
      <c r="AJ191" s="578">
        <v>1.8491765385726668E-3</v>
      </c>
      <c r="AK191" s="578">
        <v>2.6191070092292344E-3</v>
      </c>
      <c r="AL191" s="578">
        <v>3.6109129814550643E-3</v>
      </c>
      <c r="AM191" s="578">
        <v>1.0331764435770864E-2</v>
      </c>
      <c r="AN191" s="578">
        <v>2.4154589371980675E-3</v>
      </c>
      <c r="AO191" s="578">
        <v>2.1698999255108983E-3</v>
      </c>
      <c r="AP191" s="578">
        <v>1.2706480304955528E-3</v>
      </c>
      <c r="AQ191" s="578">
        <v>2.0483323677894564E-3</v>
      </c>
      <c r="AR191" s="578">
        <v>2.0307205516003732E-3</v>
      </c>
      <c r="AS191" s="578">
        <v>1.9673676150085409E-3</v>
      </c>
      <c r="AT191" s="578">
        <v>3.3778883017303906E-3</v>
      </c>
      <c r="AU191" s="578">
        <v>1.9878601462672402E-3</v>
      </c>
      <c r="AV191" s="578">
        <v>2.3965011083817625E-4</v>
      </c>
      <c r="AW191" s="578">
        <v>9.1187040712331711E-4</v>
      </c>
      <c r="AX191" s="578">
        <v>2.2712559935922053E-3</v>
      </c>
      <c r="AY191" s="578">
        <v>0</v>
      </c>
      <c r="AZ191" s="578">
        <v>1.0737617831227254E-4</v>
      </c>
      <c r="BA191" s="578">
        <v>2.7766208524226016E-4</v>
      </c>
      <c r="BB191" s="578">
        <v>3.4234042804358349E-4</v>
      </c>
      <c r="BC191" s="578">
        <v>1.0746415302895392E-3</v>
      </c>
      <c r="BD191" s="578">
        <v>6.1848756194190189E-3</v>
      </c>
      <c r="BE191" s="578">
        <v>2.1166658476140998E-3</v>
      </c>
      <c r="BF191" s="578">
        <v>1.1459365708622398E-3</v>
      </c>
      <c r="BG191" s="578">
        <v>2.0037105751391466E-4</v>
      </c>
      <c r="BH191" s="578">
        <v>1.2229978563183643E-3</v>
      </c>
      <c r="BI191" s="578">
        <v>1.8270534020059636E-2</v>
      </c>
      <c r="BJ191" s="578">
        <v>1.1422633308728624E-3</v>
      </c>
      <c r="BK191" s="578">
        <v>2.4804321464006173E-4</v>
      </c>
      <c r="BL191" s="578">
        <v>7.9920840310549553E-4</v>
      </c>
      <c r="BM191" s="578">
        <v>1.3808833531420248E-3</v>
      </c>
      <c r="BN191" s="578">
        <v>4.4444444444444444E-3</v>
      </c>
      <c r="BO191" s="578">
        <v>5.28293139915589E-3</v>
      </c>
      <c r="BP191" s="578">
        <v>3.3410807669959327E-3</v>
      </c>
      <c r="BQ191" s="578">
        <v>4.200745562788627E-3</v>
      </c>
      <c r="BR191" s="578">
        <v>6.4971781549721013E-3</v>
      </c>
      <c r="BS191" s="578">
        <v>8.5274689703308815E-3</v>
      </c>
      <c r="BT191" s="578">
        <v>1.2748133309051174E-3</v>
      </c>
      <c r="BU191" s="578">
        <v>1.1109177398770159E-2</v>
      </c>
      <c r="BV191" s="578">
        <v>6.0301846112383777E-3</v>
      </c>
      <c r="BW191" s="578">
        <v>3.4998484450689434E-3</v>
      </c>
      <c r="BX191" s="578">
        <v>0</v>
      </c>
      <c r="BY191" s="578">
        <v>1.1461059922825527E-3</v>
      </c>
      <c r="BZ191" s="578">
        <v>3.9293381383104951E-3</v>
      </c>
      <c r="CA191" s="578">
        <v>2.9227570505241831E-3</v>
      </c>
      <c r="CB191" s="578">
        <v>1.332836932241251E-2</v>
      </c>
      <c r="CC191" s="578">
        <v>1.0655827149716281E-2</v>
      </c>
      <c r="CD191" s="578">
        <v>3.5133662440325637E-3</v>
      </c>
      <c r="CE191" s="578">
        <v>0</v>
      </c>
      <c r="CF191" s="578">
        <v>1.4290225801357966E-2</v>
      </c>
      <c r="CG191" s="578">
        <v>2.3266041510022839E-3</v>
      </c>
      <c r="CH191" s="578">
        <v>1.5854096027218126E-3</v>
      </c>
      <c r="CI191" s="578">
        <v>2.9596836371776061E-3</v>
      </c>
      <c r="CJ191" s="578">
        <v>7.2119765675851596E-3</v>
      </c>
      <c r="CK191" s="578">
        <v>5.0581459852542185E-3</v>
      </c>
      <c r="CL191" s="578">
        <v>6.0351287354254712E-3</v>
      </c>
      <c r="CM191" s="578">
        <v>8.0110169290310319E-3</v>
      </c>
      <c r="CN191" s="578">
        <v>8.9371864145117719E-3</v>
      </c>
      <c r="CO191" s="578">
        <v>7.516228220020499E-3</v>
      </c>
      <c r="CP191" s="578">
        <v>7.4483399948138806E-3</v>
      </c>
      <c r="CQ191" s="578">
        <v>7.6447728865388287E-3</v>
      </c>
      <c r="CR191" s="578">
        <v>7.8330042968296366E-3</v>
      </c>
      <c r="CS191" s="578">
        <v>8.3625268391908682E-3</v>
      </c>
      <c r="CT191" s="578">
        <v>6.503164095535272E-3</v>
      </c>
      <c r="CU191" s="578">
        <v>6.1428824790803411E-3</v>
      </c>
      <c r="CV191" s="578">
        <v>5.5200014868690877E-3</v>
      </c>
      <c r="CW191" s="578">
        <v>4.4472185378793792E-3</v>
      </c>
      <c r="CX191" s="578">
        <v>5.3682842906297738E-3</v>
      </c>
      <c r="CY191" s="578">
        <v>3.9472479164758675E-3</v>
      </c>
      <c r="CZ191" s="578">
        <v>3.0049786628733996E-3</v>
      </c>
      <c r="DA191" s="578">
        <v>2.0346533593197831E-3</v>
      </c>
      <c r="DB191" s="578">
        <v>2.1118752369090809E-3</v>
      </c>
      <c r="DC191" s="578">
        <v>2.9006526468455403E-3</v>
      </c>
      <c r="DD191" s="578">
        <v>1.4492753623188406E-3</v>
      </c>
      <c r="DE191" s="578">
        <v>1.4265724099078634E-3</v>
      </c>
      <c r="DF191" s="578">
        <v>5.0922597651569619E-4</v>
      </c>
      <c r="DG191" s="578">
        <v>3.3582587357375154E-3</v>
      </c>
      <c r="DH191" s="578">
        <v>3.624789025951224E-4</v>
      </c>
      <c r="DI191" s="578">
        <v>1.2253278579944364E-3</v>
      </c>
      <c r="DJ191" s="578">
        <v>4.3484202810321909E-4</v>
      </c>
      <c r="DK191" s="578">
        <v>2.9909377967080359E-3</v>
      </c>
      <c r="DL191" s="578">
        <v>9.3684502916593015E-4</v>
      </c>
      <c r="DM191" s="578">
        <v>1.2583418165365908E-3</v>
      </c>
      <c r="DN191" s="578">
        <v>1.4194932739126846E-3</v>
      </c>
      <c r="DO191" s="578">
        <v>0</v>
      </c>
      <c r="DP191" s="578">
        <v>7.8878177037686235E-4</v>
      </c>
      <c r="DQ191" s="578">
        <v>2.1432680109369708E-3</v>
      </c>
      <c r="DR191" s="578">
        <v>2.9010733971569482E-4</v>
      </c>
      <c r="DS191" s="578">
        <v>8.7812632199674393E-3</v>
      </c>
      <c r="DT191" s="578">
        <v>1.8215746160406446E-2</v>
      </c>
      <c r="DU191" s="578">
        <v>3.4558542489489105E-3</v>
      </c>
      <c r="DV191" s="578">
        <v>5.3719165325799133E-3</v>
      </c>
      <c r="DW191" s="578">
        <v>1.9218125727001466E-3</v>
      </c>
      <c r="DX191" s="578">
        <v>1.2687166348976753E-3</v>
      </c>
      <c r="DY191" s="578">
        <v>1.8972032062734186E-3</v>
      </c>
      <c r="DZ191" s="578">
        <v>1.5406301628709478E-2</v>
      </c>
      <c r="EA191" s="578">
        <v>1.9105047712536145E-2</v>
      </c>
      <c r="EB191" s="578">
        <v>1.9126185333272056E-2</v>
      </c>
      <c r="EC191" s="578">
        <v>5.2417986036142113E-3</v>
      </c>
      <c r="ED191" s="578">
        <v>9.0998724570560199E-3</v>
      </c>
      <c r="EE191" s="578">
        <v>2.5897929576615668E-3</v>
      </c>
      <c r="EF191" s="578">
        <v>1.3213174689714891E-3</v>
      </c>
      <c r="EG191" s="578">
        <v>1.5542603386067166E-2</v>
      </c>
      <c r="EH191" s="578">
        <v>9.2811501597444088E-3</v>
      </c>
      <c r="EI191" s="578">
        <v>2.0305053502382878E-2</v>
      </c>
      <c r="EJ191" s="578">
        <v>5.8031216606436549E-3</v>
      </c>
      <c r="EK191" s="578">
        <v>7.93659786922064E-3</v>
      </c>
      <c r="EL191" s="578">
        <v>3.6405956253170602E-3</v>
      </c>
      <c r="EM191" s="578">
        <v>6.3587750303788345E-3</v>
      </c>
      <c r="EN191" s="578">
        <v>8.4959392290464564E-3</v>
      </c>
      <c r="EO191" s="578">
        <v>9.1003460889194424E-4</v>
      </c>
      <c r="EP191" s="578">
        <v>8.1148541005197241E-5</v>
      </c>
      <c r="EQ191" s="578">
        <v>6.8024905182026783E-3</v>
      </c>
      <c r="ER191" s="578">
        <v>1.9117647058823531E-2</v>
      </c>
      <c r="ES191" s="578">
        <v>1.2771226976750516E-2</v>
      </c>
      <c r="ET191" s="578">
        <v>1.2757539178286212E-2</v>
      </c>
      <c r="EU191" s="578">
        <v>1.9654318669842647E-2</v>
      </c>
      <c r="EV191" s="578">
        <v>5.9222934741606937E-3</v>
      </c>
      <c r="EW191" s="578">
        <v>7.1948041846536771E-4</v>
      </c>
      <c r="EX191" s="578">
        <v>7.2273831091238484E-3</v>
      </c>
      <c r="EY191" s="578">
        <v>8.9082450757200832E-4</v>
      </c>
      <c r="EZ191" s="578">
        <v>3.041785441145797E-3</v>
      </c>
      <c r="FA191" s="578">
        <v>9.6531842404123346E-3</v>
      </c>
      <c r="FB191" s="578">
        <v>1.1174559915271673E-2</v>
      </c>
      <c r="FC191" s="578">
        <v>1.2344074844074845E-3</v>
      </c>
      <c r="FD191" s="578">
        <v>2.6841509619642771E-3</v>
      </c>
      <c r="FE191" s="578">
        <v>1.0094862323707186E-2</v>
      </c>
      <c r="FF191" s="578">
        <v>8.5699551025361002E-4</v>
      </c>
      <c r="FG191" s="578">
        <v>1.4613778705636743E-3</v>
      </c>
      <c r="FH191" s="578">
        <v>1.6582669484636644E-3</v>
      </c>
      <c r="FI191" s="578">
        <v>1.3242038627995607E-3</v>
      </c>
      <c r="FJ191" s="578">
        <v>7.3809564489398416E-4</v>
      </c>
      <c r="FK191" s="578">
        <v>1.2210238174890715E-2</v>
      </c>
      <c r="FL191" s="578">
        <v>2.692106638787245E-3</v>
      </c>
      <c r="FM191" s="578">
        <v>2.6273936371633468E-3</v>
      </c>
      <c r="FN191" s="578">
        <v>1.0070316658417922E-2</v>
      </c>
      <c r="FO191" s="578">
        <v>1.8097168176909597E-3</v>
      </c>
      <c r="FP191" s="578">
        <v>1.3645101314089433E-2</v>
      </c>
      <c r="FQ191" s="578">
        <v>1.1732816822232241E-2</v>
      </c>
      <c r="FR191" s="578">
        <v>3.9081012557751881E-3</v>
      </c>
      <c r="FS191" s="578">
        <v>3.9636710209115886E-3</v>
      </c>
      <c r="FT191" s="578">
        <v>3.6367786752994767E-3</v>
      </c>
      <c r="FU191" s="578">
        <v>1.7806903177108351E-2</v>
      </c>
      <c r="FV191" s="578">
        <v>2.3040509404717021E-4</v>
      </c>
      <c r="FW191" s="578">
        <v>4.1224446905337354E-4</v>
      </c>
      <c r="FX191" s="578">
        <v>4.422992835760654E-3</v>
      </c>
      <c r="FY191" s="578">
        <v>3.1399976615139645E-3</v>
      </c>
      <c r="FZ191" s="578">
        <v>1.801778389920436E-3</v>
      </c>
      <c r="GA191" s="578">
        <v>1.6548853424207721E-3</v>
      </c>
      <c r="GB191" s="578">
        <v>7.0229554898381752E-3</v>
      </c>
      <c r="GC191" s="578">
        <v>1.0535135295925754E-3</v>
      </c>
      <c r="GD191" s="578">
        <v>6.2974195693572604E-3</v>
      </c>
      <c r="GE191" s="578">
        <v>5.0124382727509008E-4</v>
      </c>
      <c r="GF191" s="578">
        <v>0</v>
      </c>
      <c r="GG191" s="579">
        <v>4.8520772270605811E-3</v>
      </c>
      <c r="GH191" s="572"/>
    </row>
    <row r="192" spans="1:190">
      <c r="A192" s="572" t="s">
        <v>9390</v>
      </c>
      <c r="B192" s="580" t="s">
        <v>9488</v>
      </c>
      <c r="C192" s="581" t="s">
        <v>9216</v>
      </c>
      <c r="D192" s="582">
        <v>0.46001071141658484</v>
      </c>
      <c r="E192" s="582">
        <v>0.83233532934131738</v>
      </c>
      <c r="F192" s="582">
        <v>0.41139315091093354</v>
      </c>
      <c r="G192" s="582">
        <v>0.38898210290827739</v>
      </c>
      <c r="H192" s="582">
        <v>0.41964285714285715</v>
      </c>
      <c r="I192" s="582">
        <v>0.494217299234403</v>
      </c>
      <c r="J192" s="582">
        <v>0.7783665383562306</v>
      </c>
      <c r="K192" s="582">
        <v>0.35849525771731022</v>
      </c>
      <c r="L192" s="582">
        <v>9.0813253012048192E-2</v>
      </c>
      <c r="M192" s="582">
        <v>0.48164303889494731</v>
      </c>
      <c r="N192" s="582">
        <v>0.52811387900355877</v>
      </c>
      <c r="O192" s="582">
        <v>0.45532977139353598</v>
      </c>
      <c r="P192" s="582">
        <v>0.53038674033149169</v>
      </c>
      <c r="Q192" s="582">
        <v>0</v>
      </c>
      <c r="R192" s="582">
        <v>0.56706800067831098</v>
      </c>
      <c r="S192" s="582">
        <v>0.46591970121381887</v>
      </c>
      <c r="T192" s="582">
        <v>0.7707541258943128</v>
      </c>
      <c r="U192" s="582">
        <v>0.63039860755135613</v>
      </c>
      <c r="V192" s="582">
        <v>0.76679399564296158</v>
      </c>
      <c r="W192" s="582">
        <v>0.60782259151684503</v>
      </c>
      <c r="X192" s="582">
        <v>0.63921588698945642</v>
      </c>
      <c r="Y192" s="582">
        <v>0.72411323871515276</v>
      </c>
      <c r="Z192" s="582">
        <v>0.657655070230864</v>
      </c>
      <c r="AA192" s="582">
        <v>0.38949663439109611</v>
      </c>
      <c r="AB192" s="582">
        <v>0.62040600584727701</v>
      </c>
      <c r="AC192" s="582">
        <v>0.8195560162390948</v>
      </c>
      <c r="AD192" s="582">
        <v>0</v>
      </c>
      <c r="AE192" s="582">
        <v>0.6854438936457864</v>
      </c>
      <c r="AF192" s="582">
        <v>0.67283622847606761</v>
      </c>
      <c r="AG192" s="582">
        <v>0</v>
      </c>
      <c r="AH192" s="582">
        <v>0.48245275742383342</v>
      </c>
      <c r="AI192" s="582">
        <v>0.59084530571333116</v>
      </c>
      <c r="AJ192" s="582">
        <v>0.60294712510835013</v>
      </c>
      <c r="AK192" s="582">
        <v>0.63569468695435272</v>
      </c>
      <c r="AL192" s="582">
        <v>0.62263730385164051</v>
      </c>
      <c r="AM192" s="582">
        <v>0.6366662840087246</v>
      </c>
      <c r="AN192" s="582">
        <v>0.52713077984817114</v>
      </c>
      <c r="AO192" s="582">
        <v>0.59371052887262366</v>
      </c>
      <c r="AP192" s="582">
        <v>0.90636912325285901</v>
      </c>
      <c r="AQ192" s="582">
        <v>0.8446577836629976</v>
      </c>
      <c r="AR192" s="582">
        <v>0.70755262753987647</v>
      </c>
      <c r="AS192" s="582">
        <v>0.56064086705542793</v>
      </c>
      <c r="AT192" s="582">
        <v>0.55532069215625324</v>
      </c>
      <c r="AU192" s="582">
        <v>0.4643903077502004</v>
      </c>
      <c r="AV192" s="582">
        <v>0.68917380624288538</v>
      </c>
      <c r="AW192" s="582">
        <v>0.77766453896905008</v>
      </c>
      <c r="AX192" s="582">
        <v>0.61714523968882695</v>
      </c>
      <c r="AY192" s="582">
        <v>0.8783698065334602</v>
      </c>
      <c r="AZ192" s="582">
        <v>0.81548816601487439</v>
      </c>
      <c r="BA192" s="582">
        <v>0.64528668610301265</v>
      </c>
      <c r="BB192" s="582">
        <v>0.65170993141386602</v>
      </c>
      <c r="BC192" s="582">
        <v>0.74112397269387043</v>
      </c>
      <c r="BD192" s="582">
        <v>0.67591500142823435</v>
      </c>
      <c r="BE192" s="582">
        <v>0.4727150188499098</v>
      </c>
      <c r="BF192" s="582">
        <v>0.66597497522299309</v>
      </c>
      <c r="BG192" s="582">
        <v>0.60809647495361785</v>
      </c>
      <c r="BH192" s="582">
        <v>0.72336887813994388</v>
      </c>
      <c r="BI192" s="582">
        <v>0.61588506370290053</v>
      </c>
      <c r="BJ192" s="582">
        <v>0.69989402105558329</v>
      </c>
      <c r="BK192" s="582">
        <v>0.68953257634218934</v>
      </c>
      <c r="BL192" s="582">
        <v>0.88504084842949204</v>
      </c>
      <c r="BM192" s="582">
        <v>0.64244281242199608</v>
      </c>
      <c r="BN192" s="582">
        <v>0.60632098765432096</v>
      </c>
      <c r="BO192" s="582">
        <v>0.48221477482349989</v>
      </c>
      <c r="BP192" s="582">
        <v>0.60284718187100528</v>
      </c>
      <c r="BQ192" s="582">
        <v>0.59678406498636849</v>
      </c>
      <c r="BR192" s="582">
        <v>0.50411274577790111</v>
      </c>
      <c r="BS192" s="582">
        <v>0.54046754402824282</v>
      </c>
      <c r="BT192" s="582">
        <v>0.52649790566381349</v>
      </c>
      <c r="BU192" s="582">
        <v>0.53445875391576747</v>
      </c>
      <c r="BV192" s="582">
        <v>0.47742891793558817</v>
      </c>
      <c r="BW192" s="582">
        <v>0.72597403621768475</v>
      </c>
      <c r="BX192" s="582">
        <v>0</v>
      </c>
      <c r="BY192" s="582">
        <v>0.94146476349677444</v>
      </c>
      <c r="BZ192" s="582">
        <v>0.77013371890883608</v>
      </c>
      <c r="CA192" s="582">
        <v>0.85959476537975454</v>
      </c>
      <c r="CB192" s="582">
        <v>0.56618267560188629</v>
      </c>
      <c r="CC192" s="582">
        <v>0.82416521169794854</v>
      </c>
      <c r="CD192" s="582">
        <v>0.70239673387063983</v>
      </c>
      <c r="CE192" s="582">
        <v>0</v>
      </c>
      <c r="CF192" s="582">
        <v>0.74001263224380232</v>
      </c>
      <c r="CG192" s="582">
        <v>0.78389535955964762</v>
      </c>
      <c r="CH192" s="582">
        <v>0.62317012486547163</v>
      </c>
      <c r="CI192" s="582">
        <v>0.58357997363643144</v>
      </c>
      <c r="CJ192" s="582">
        <v>0.74861358212193529</v>
      </c>
      <c r="CK192" s="582">
        <v>0.48910456191311891</v>
      </c>
      <c r="CL192" s="582">
        <v>0.56378323292269883</v>
      </c>
      <c r="CM192" s="582">
        <v>0.5622860127739393</v>
      </c>
      <c r="CN192" s="582">
        <v>0.62967966036279432</v>
      </c>
      <c r="CO192" s="582">
        <v>0.55859241544243254</v>
      </c>
      <c r="CP192" s="582">
        <v>0.53097811994241617</v>
      </c>
      <c r="CQ192" s="582">
        <v>0.48748168439829265</v>
      </c>
      <c r="CR192" s="582">
        <v>0.60381198467076991</v>
      </c>
      <c r="CS192" s="582">
        <v>0.51689456435755454</v>
      </c>
      <c r="CT192" s="582">
        <v>0.52086553323029361</v>
      </c>
      <c r="CU192" s="582">
        <v>0.52651435757702791</v>
      </c>
      <c r="CV192" s="582">
        <v>0.52258492190839645</v>
      </c>
      <c r="CW192" s="582">
        <v>0.4703128657252087</v>
      </c>
      <c r="CX192" s="582">
        <v>0.58583543924272929</v>
      </c>
      <c r="CY192" s="582">
        <v>0.66903562597307442</v>
      </c>
      <c r="CZ192" s="582">
        <v>0.70245376955903271</v>
      </c>
      <c r="DA192" s="582">
        <v>0.44438971107922298</v>
      </c>
      <c r="DB192" s="582">
        <v>0.56035089619320955</v>
      </c>
      <c r="DC192" s="582">
        <v>0.51921682378535172</v>
      </c>
      <c r="DD192" s="582">
        <v>0.57198067632850247</v>
      </c>
      <c r="DE192" s="582">
        <v>0.63964054009849713</v>
      </c>
      <c r="DF192" s="582">
        <v>0.63961778097292121</v>
      </c>
      <c r="DG192" s="582">
        <v>0.6500062331731663</v>
      </c>
      <c r="DH192" s="582">
        <v>0.66842242385111184</v>
      </c>
      <c r="DI192" s="582">
        <v>0.66753874685388792</v>
      </c>
      <c r="DJ192" s="582">
        <v>0.57082334232006859</v>
      </c>
      <c r="DK192" s="582">
        <v>0.63415612308747893</v>
      </c>
      <c r="DL192" s="582">
        <v>0.63535011742127723</v>
      </c>
      <c r="DM192" s="582">
        <v>0.66361271349394868</v>
      </c>
      <c r="DN192" s="582">
        <v>0.66970372204341011</v>
      </c>
      <c r="DO192" s="582">
        <v>0</v>
      </c>
      <c r="DP192" s="582">
        <v>0.7957055214723926</v>
      </c>
      <c r="DQ192" s="582">
        <v>0.77682433869938305</v>
      </c>
      <c r="DR192" s="582">
        <v>0.74226130334890572</v>
      </c>
      <c r="DS192" s="582">
        <v>0.62461702154934817</v>
      </c>
      <c r="DT192" s="582">
        <v>0.65822332694312224</v>
      </c>
      <c r="DU192" s="582">
        <v>0.57270830679067397</v>
      </c>
      <c r="DV192" s="582">
        <v>0.68347502185508491</v>
      </c>
      <c r="DW192" s="582">
        <v>0.63984558067398301</v>
      </c>
      <c r="DX192" s="582">
        <v>0.59333647958714608</v>
      </c>
      <c r="DY192" s="582">
        <v>0.67483518047145497</v>
      </c>
      <c r="DZ192" s="582">
        <v>0.54078173339418611</v>
      </c>
      <c r="EA192" s="582">
        <v>0.5492450801664096</v>
      </c>
      <c r="EB192" s="582">
        <v>0.55655131210073994</v>
      </c>
      <c r="EC192" s="582">
        <v>0.51381247572533462</v>
      </c>
      <c r="ED192" s="582">
        <v>0.49753959710902662</v>
      </c>
      <c r="EE192" s="582">
        <v>0.6804395593119027</v>
      </c>
      <c r="EF192" s="582">
        <v>0.69044289791860425</v>
      </c>
      <c r="EG192" s="582">
        <v>0.50152650568970303</v>
      </c>
      <c r="EH192" s="582">
        <v>0.51653887113951014</v>
      </c>
      <c r="EI192" s="582">
        <v>0.36118604442046581</v>
      </c>
      <c r="EJ192" s="582">
        <v>0.27847973850452556</v>
      </c>
      <c r="EK192" s="582">
        <v>0.33761022737831647</v>
      </c>
      <c r="EL192" s="582">
        <v>0.33996598131956673</v>
      </c>
      <c r="EM192" s="582">
        <v>0.30297890699524627</v>
      </c>
      <c r="EN192" s="582">
        <v>0.27737589829945686</v>
      </c>
      <c r="EO192" s="582">
        <v>0.25865271542902618</v>
      </c>
      <c r="EP192" s="582">
        <v>9.7585317897077528E-2</v>
      </c>
      <c r="EQ192" s="582">
        <v>0.32428594185853393</v>
      </c>
      <c r="ER192" s="582">
        <v>0.43333333333333335</v>
      </c>
      <c r="ES192" s="582">
        <v>0.24832790142272965</v>
      </c>
      <c r="ET192" s="582">
        <v>0.24786170763928547</v>
      </c>
      <c r="EU192" s="582">
        <v>0.85623599263109729</v>
      </c>
      <c r="EV192" s="582">
        <v>0.55769520935496042</v>
      </c>
      <c r="EW192" s="582">
        <v>0.35857348422976704</v>
      </c>
      <c r="EX192" s="582">
        <v>0.82093435608834753</v>
      </c>
      <c r="EY192" s="582">
        <v>0.32059784222508164</v>
      </c>
      <c r="EZ192" s="582">
        <v>0.36251998887575609</v>
      </c>
      <c r="FA192" s="582">
        <v>0.43620599283655104</v>
      </c>
      <c r="FB192" s="582">
        <v>0.31435153485767869</v>
      </c>
      <c r="FC192" s="582">
        <v>0.21816528066528065</v>
      </c>
      <c r="FD192" s="582">
        <v>0.46605816070462036</v>
      </c>
      <c r="FE192" s="582">
        <v>0.55972968435191406</v>
      </c>
      <c r="FF192" s="582">
        <v>0.40407338308457713</v>
      </c>
      <c r="FG192" s="582">
        <v>0.56534446764091861</v>
      </c>
      <c r="FH192" s="582">
        <v>0.54456185986018535</v>
      </c>
      <c r="FI192" s="582">
        <v>0.34065217774280498</v>
      </c>
      <c r="FJ192" s="582">
        <v>0.26788999185588908</v>
      </c>
      <c r="FK192" s="582">
        <v>0.15639842714886668</v>
      </c>
      <c r="FL192" s="582">
        <v>0.36506795608991116</v>
      </c>
      <c r="FM192" s="582">
        <v>0.31977303047427075</v>
      </c>
      <c r="FN192" s="582">
        <v>0.42327079850962301</v>
      </c>
      <c r="FO192" s="582">
        <v>0.43222820949935459</v>
      </c>
      <c r="FP192" s="582">
        <v>0.35801846658053132</v>
      </c>
      <c r="FQ192" s="582">
        <v>0.29206532084356057</v>
      </c>
      <c r="FR192" s="582">
        <v>0.22892041621044915</v>
      </c>
      <c r="FS192" s="582">
        <v>0.38879295845713968</v>
      </c>
      <c r="FT192" s="582">
        <v>0.34421254143904373</v>
      </c>
      <c r="FU192" s="582">
        <v>0.24545392163590202</v>
      </c>
      <c r="FV192" s="582">
        <v>0.7060868836663734</v>
      </c>
      <c r="FW192" s="582">
        <v>0.54582784347643332</v>
      </c>
      <c r="FX192" s="582">
        <v>0.69953920150684468</v>
      </c>
      <c r="FY192" s="582">
        <v>0.26935164135835693</v>
      </c>
      <c r="FZ192" s="582">
        <v>0.51847039409571083</v>
      </c>
      <c r="GA192" s="582">
        <v>0.59320696522126948</v>
      </c>
      <c r="GB192" s="582">
        <v>0.30873648116442393</v>
      </c>
      <c r="GC192" s="582">
        <v>0.29660248083844803</v>
      </c>
      <c r="GD192" s="582">
        <v>0.27733499921072341</v>
      </c>
      <c r="GE192" s="582">
        <v>1</v>
      </c>
      <c r="GF192" s="582">
        <v>0.56792442816961208</v>
      </c>
      <c r="GG192" s="583">
        <v>0.47933920678612141</v>
      </c>
      <c r="GH192" s="572"/>
    </row>
    <row r="193" spans="1:189">
      <c r="A193" s="572" t="s">
        <v>9391</v>
      </c>
      <c r="B193" s="584" t="s">
        <v>9489</v>
      </c>
      <c r="C193" s="570" t="s">
        <v>9555</v>
      </c>
      <c r="D193" s="585">
        <v>1.3612425243238419E-3</v>
      </c>
      <c r="E193" s="585">
        <v>2.2811519817507843E-3</v>
      </c>
      <c r="F193" s="585">
        <v>1.5319710575314054E-3</v>
      </c>
      <c r="G193" s="585">
        <v>1.3982102908277406E-3</v>
      </c>
      <c r="H193" s="585">
        <v>0</v>
      </c>
      <c r="I193" s="585">
        <v>1.0913829613943639E-2</v>
      </c>
      <c r="J193" s="585">
        <v>1.3045789109181981E-3</v>
      </c>
      <c r="K193" s="585">
        <v>1.3853859543177862E-2</v>
      </c>
      <c r="L193" s="585">
        <v>6.6265060240963854E-3</v>
      </c>
      <c r="M193" s="585">
        <v>1.6357688113413305E-2</v>
      </c>
      <c r="N193" s="585">
        <v>2.8469750889679717E-3</v>
      </c>
      <c r="O193" s="585">
        <v>2.794079004992555E-2</v>
      </c>
      <c r="P193" s="585">
        <v>0</v>
      </c>
      <c r="Q193" s="585">
        <v>0</v>
      </c>
      <c r="R193" s="585">
        <v>4.9686281159911819E-2</v>
      </c>
      <c r="S193" s="585">
        <v>6.2558356676003735E-2</v>
      </c>
      <c r="T193" s="585">
        <v>8.8242144316910669E-3</v>
      </c>
      <c r="U193" s="585">
        <v>8.7028040243295971E-3</v>
      </c>
      <c r="V193" s="585">
        <v>7.3935360649377783E-3</v>
      </c>
      <c r="W193" s="585">
        <v>8.1344902386117132E-3</v>
      </c>
      <c r="X193" s="585">
        <v>1.5201146483775208E-2</v>
      </c>
      <c r="Y193" s="585">
        <v>6.9864892512635545E-3</v>
      </c>
      <c r="Z193" s="585">
        <v>1.3152349841769179E-2</v>
      </c>
      <c r="AA193" s="585">
        <v>1.4771547989679433E-2</v>
      </c>
      <c r="AB193" s="585">
        <v>1.1025585966535075E-2</v>
      </c>
      <c r="AC193" s="585">
        <v>3.4205752785695775E-3</v>
      </c>
      <c r="AD193" s="585">
        <v>0</v>
      </c>
      <c r="AE193" s="585">
        <v>1.1716989634970707E-2</v>
      </c>
      <c r="AF193" s="585">
        <v>7.5855268148372901E-3</v>
      </c>
      <c r="AG193" s="585">
        <v>0</v>
      </c>
      <c r="AH193" s="585">
        <v>1.4269186270728885E-2</v>
      </c>
      <c r="AI193" s="585">
        <v>1.3765452723020381E-2</v>
      </c>
      <c r="AJ193" s="585">
        <v>1.2193007801213521E-2</v>
      </c>
      <c r="AK193" s="585">
        <v>1.3220254427538039E-2</v>
      </c>
      <c r="AL193" s="585">
        <v>1.0476105563480742E-2</v>
      </c>
      <c r="AM193" s="585">
        <v>5.6250717483641369E-3</v>
      </c>
      <c r="AN193" s="585">
        <v>1.1559696342305038E-2</v>
      </c>
      <c r="AO193" s="585">
        <v>1.6776241215143959E-2</v>
      </c>
      <c r="AP193" s="585">
        <v>4.685514612452351E-3</v>
      </c>
      <c r="AQ193" s="585">
        <v>1.6076305553256641E-2</v>
      </c>
      <c r="AR193" s="585">
        <v>3.252694837011063E-2</v>
      </c>
      <c r="AS193" s="585">
        <v>2.0616127702185308E-2</v>
      </c>
      <c r="AT193" s="585">
        <v>2.4639933685628432E-2</v>
      </c>
      <c r="AU193" s="585">
        <v>2.0426694589420983E-2</v>
      </c>
      <c r="AV193" s="585">
        <v>4.1219819064166316E-2</v>
      </c>
      <c r="AW193" s="585">
        <v>3.5723864184948773E-2</v>
      </c>
      <c r="AX193" s="585">
        <v>7.011268501958547E-3</v>
      </c>
      <c r="AY193" s="585">
        <v>2.0615287028227084E-3</v>
      </c>
      <c r="AZ193" s="585">
        <v>4.2554874878495373E-3</v>
      </c>
      <c r="BA193" s="585">
        <v>5.9697348327085939E-3</v>
      </c>
      <c r="BB193" s="585">
        <v>2.2818760255456788E-2</v>
      </c>
      <c r="BC193" s="585">
        <v>6.8265323876487869E-3</v>
      </c>
      <c r="BD193" s="585">
        <v>1.8703660005712937E-2</v>
      </c>
      <c r="BE193" s="585">
        <v>1.6522630422420512E-2</v>
      </c>
      <c r="BF193" s="585">
        <v>1.8381442021803765E-2</v>
      </c>
      <c r="BG193" s="585">
        <v>2.7717996289424861E-2</v>
      </c>
      <c r="BH193" s="585">
        <v>8.883911394492388E-3</v>
      </c>
      <c r="BI193" s="585">
        <v>1.7023583626999187E-2</v>
      </c>
      <c r="BJ193" s="585">
        <v>9.4680021938053863E-3</v>
      </c>
      <c r="BK193" s="585">
        <v>3.0591996472274282E-3</v>
      </c>
      <c r="BL193" s="585">
        <v>6.9391586745826354E-3</v>
      </c>
      <c r="BM193" s="585">
        <v>1.8661390455645705E-2</v>
      </c>
      <c r="BN193" s="585">
        <v>7.7530864197530866E-3</v>
      </c>
      <c r="BO193" s="585">
        <v>1.9982422422035715E-2</v>
      </c>
      <c r="BP193" s="585">
        <v>3.2611853573503775E-2</v>
      </c>
      <c r="BQ193" s="585">
        <v>1.5161631335892729E-2</v>
      </c>
      <c r="BR193" s="585">
        <v>1.5981564657057815E-2</v>
      </c>
      <c r="BS193" s="585">
        <v>1.5436438491963139E-2</v>
      </c>
      <c r="BT193" s="585">
        <v>1.4751411400473502E-2</v>
      </c>
      <c r="BU193" s="585">
        <v>2.3494604942568744E-2</v>
      </c>
      <c r="BV193" s="585">
        <v>2.044872658671338E-2</v>
      </c>
      <c r="BW193" s="585">
        <v>1.8516744847977447E-2</v>
      </c>
      <c r="BX193" s="585">
        <v>0</v>
      </c>
      <c r="BY193" s="585">
        <v>9.6468091708498704E-4</v>
      </c>
      <c r="BZ193" s="585">
        <v>3.8189634715040206E-3</v>
      </c>
      <c r="CA193" s="585">
        <v>1.9145313083101007E-3</v>
      </c>
      <c r="CB193" s="585">
        <v>6.049888309754281E-3</v>
      </c>
      <c r="CC193" s="585">
        <v>1.6641204714098648E-3</v>
      </c>
      <c r="CD193" s="585">
        <v>5.7661496921738139E-3</v>
      </c>
      <c r="CE193" s="585">
        <v>0</v>
      </c>
      <c r="CF193" s="585">
        <v>1.2395389231012159E-2</v>
      </c>
      <c r="CG193" s="585">
        <v>7.5330902694037364E-3</v>
      </c>
      <c r="CH193" s="585">
        <v>3.1175864742573455E-2</v>
      </c>
      <c r="CI193" s="585">
        <v>5.3224562887059469E-3</v>
      </c>
      <c r="CJ193" s="585">
        <v>6.9255803862009113E-3</v>
      </c>
      <c r="CK193" s="585">
        <v>1.449867368654624E-2</v>
      </c>
      <c r="CL193" s="585">
        <v>1.6447861403351017E-2</v>
      </c>
      <c r="CM193" s="585">
        <v>1.5841584158415842E-2</v>
      </c>
      <c r="CN193" s="585">
        <v>1.084282130451563E-2</v>
      </c>
      <c r="CO193" s="585">
        <v>2.0157157499145883E-2</v>
      </c>
      <c r="CP193" s="585">
        <v>1.4503250266012143E-2</v>
      </c>
      <c r="CQ193" s="585">
        <v>1.0129324074663949E-2</v>
      </c>
      <c r="CR193" s="585">
        <v>5.7426547439321796E-3</v>
      </c>
      <c r="CS193" s="585">
        <v>3.6162278223528084E-2</v>
      </c>
      <c r="CT193" s="585">
        <v>2.1200898194861626E-2</v>
      </c>
      <c r="CU193" s="585">
        <v>9.8834303403576088E-3</v>
      </c>
      <c r="CV193" s="585">
        <v>1.5983842689250558E-2</v>
      </c>
      <c r="CW193" s="585">
        <v>2.0285558242958572E-2</v>
      </c>
      <c r="CX193" s="585">
        <v>1.6625976213931842E-2</v>
      </c>
      <c r="CY193" s="585">
        <v>8.5172634856671859E-3</v>
      </c>
      <c r="CZ193" s="585">
        <v>2.0465860597439545E-2</v>
      </c>
      <c r="DA193" s="585">
        <v>1.9661176672163799E-2</v>
      </c>
      <c r="DB193" s="585">
        <v>1.7815562895976605E-2</v>
      </c>
      <c r="DC193" s="585">
        <v>1.5228426395939087E-2</v>
      </c>
      <c r="DD193" s="585">
        <v>3.864734299516908E-2</v>
      </c>
      <c r="DE193" s="585">
        <v>9.5135115488760059E-3</v>
      </c>
      <c r="DF193" s="585">
        <v>1.5666187395159358E-2</v>
      </c>
      <c r="DG193" s="585">
        <v>1.4571409200163593E-2</v>
      </c>
      <c r="DH193" s="585">
        <v>1.2596141865180504E-2</v>
      </c>
      <c r="DI193" s="585">
        <v>3.5468273943568683E-2</v>
      </c>
      <c r="DJ193" s="585">
        <v>1.8698207208438421E-2</v>
      </c>
      <c r="DK193" s="585">
        <v>1.5317080477487033E-2</v>
      </c>
      <c r="DL193" s="585">
        <v>1.2037574808716952E-2</v>
      </c>
      <c r="DM193" s="585">
        <v>1.497285374957584E-2</v>
      </c>
      <c r="DN193" s="585">
        <v>4.2791119914170173E-2</v>
      </c>
      <c r="DO193" s="585">
        <v>0</v>
      </c>
      <c r="DP193" s="585">
        <v>8.238387379491674E-3</v>
      </c>
      <c r="DQ193" s="585">
        <v>4.2392580510444491E-3</v>
      </c>
      <c r="DR193" s="585">
        <v>7.002590958654702E-3</v>
      </c>
      <c r="DS193" s="585">
        <v>1.4870460343302524E-2</v>
      </c>
      <c r="DT193" s="585">
        <v>1.0941110438883584E-2</v>
      </c>
      <c r="DU193" s="585">
        <v>1.4611733978850809E-2</v>
      </c>
      <c r="DV193" s="585">
        <v>6.3221376173523041E-3</v>
      </c>
      <c r="DW193" s="585">
        <v>2.3264046932685988E-2</v>
      </c>
      <c r="DX193" s="585">
        <v>2.1966572074750088E-2</v>
      </c>
      <c r="DY193" s="585">
        <v>6.7666914357085266E-3</v>
      </c>
      <c r="DZ193" s="585">
        <v>2.6467581591254719E-2</v>
      </c>
      <c r="EA193" s="585">
        <v>2.2920269870206764E-2</v>
      </c>
      <c r="EB193" s="585">
        <v>1.5070392328078802E-2</v>
      </c>
      <c r="EC193" s="585">
        <v>2.1260784067868143E-2</v>
      </c>
      <c r="ED193" s="585">
        <v>1.3229188338413946E-2</v>
      </c>
      <c r="EE193" s="585">
        <v>7.718070443907701E-3</v>
      </c>
      <c r="EF193" s="585">
        <v>1.2000897982745904E-2</v>
      </c>
      <c r="EG193" s="585">
        <v>5.8284762697751874E-3</v>
      </c>
      <c r="EH193" s="585">
        <v>1.3652822151224707E-2</v>
      </c>
      <c r="EI193" s="585">
        <v>2.5059571980936966E-2</v>
      </c>
      <c r="EJ193" s="585">
        <v>3.0594682913370187E-2</v>
      </c>
      <c r="EK193" s="585">
        <v>1.7099832973368659E-2</v>
      </c>
      <c r="EL193" s="585">
        <v>3.1277789382590793E-2</v>
      </c>
      <c r="EM193" s="585">
        <v>3.0226446012753174E-2</v>
      </c>
      <c r="EN193" s="585">
        <v>1.1318319040729686E-2</v>
      </c>
      <c r="EO193" s="585">
        <v>1.0339332601891375E-2</v>
      </c>
      <c r="EP193" s="585">
        <v>0</v>
      </c>
      <c r="EQ193" s="585">
        <v>1.6852009395368069E-2</v>
      </c>
      <c r="ER193" s="585">
        <v>1.9607843137254902E-2</v>
      </c>
      <c r="ES193" s="585">
        <v>3.8939654761823761E-2</v>
      </c>
      <c r="ET193" s="585">
        <v>1.2158618560443942E-2</v>
      </c>
      <c r="EU193" s="585">
        <v>3.5788460861504523E-3</v>
      </c>
      <c r="EV193" s="585">
        <v>1.8634477555639382E-2</v>
      </c>
      <c r="EW193" s="585">
        <v>7.4738459145179487E-2</v>
      </c>
      <c r="EX193" s="585">
        <v>1.1139806498862892E-2</v>
      </c>
      <c r="EY193" s="585">
        <v>3.3653370286053648E-2</v>
      </c>
      <c r="EZ193" s="585">
        <v>1.6138844469164988E-2</v>
      </c>
      <c r="FA193" s="585">
        <v>2.9199790338079845E-2</v>
      </c>
      <c r="FB193" s="585">
        <v>2.8956715023425089E-2</v>
      </c>
      <c r="FC193" s="585">
        <v>3.1076749826749826E-2</v>
      </c>
      <c r="FD193" s="585">
        <v>7.6981744821138613E-3</v>
      </c>
      <c r="FE193" s="585">
        <v>2.4324210879785091E-2</v>
      </c>
      <c r="FF193" s="585">
        <v>2.2634540711078753E-2</v>
      </c>
      <c r="FG193" s="585">
        <v>1.9311064718162839E-3</v>
      </c>
      <c r="FH193" s="585">
        <v>4.0643797756462367E-2</v>
      </c>
      <c r="FI193" s="585">
        <v>1.7420180749423045E-2</v>
      </c>
      <c r="FJ193" s="585">
        <v>7.8377100810424465E-3</v>
      </c>
      <c r="FK193" s="585">
        <v>4.5971424707429145E-3</v>
      </c>
      <c r="FL193" s="585">
        <v>1.8269733403031885E-2</v>
      </c>
      <c r="FM193" s="585">
        <v>1.8187855732203922E-2</v>
      </c>
      <c r="FN193" s="585">
        <v>1.3932596860496605E-2</v>
      </c>
      <c r="FO193" s="585">
        <v>7.3913687153189184E-3</v>
      </c>
      <c r="FP193" s="585">
        <v>1.9333186272965052E-2</v>
      </c>
      <c r="FQ193" s="585">
        <v>2.0114990510221687E-2</v>
      </c>
      <c r="FR193" s="585">
        <v>1.7191910183708775E-2</v>
      </c>
      <c r="FS193" s="585">
        <v>3.7814654930761901E-2</v>
      </c>
      <c r="FT193" s="585">
        <v>7.2683693639009513E-3</v>
      </c>
      <c r="FU193" s="585">
        <v>4.7347835037397932E-3</v>
      </c>
      <c r="FV193" s="585">
        <v>2.2851996145951153E-2</v>
      </c>
      <c r="FW193" s="585">
        <v>1.369298295247872E-2</v>
      </c>
      <c r="FX193" s="585">
        <v>1.0003587725494154E-2</v>
      </c>
      <c r="FY193" s="585">
        <v>1.7506513397650626E-2</v>
      </c>
      <c r="FZ193" s="585">
        <v>2.2881719312378996E-2</v>
      </c>
      <c r="GA193" s="585">
        <v>1.5388963401385659E-2</v>
      </c>
      <c r="GB193" s="585">
        <v>4.4033789424532704E-2</v>
      </c>
      <c r="GC193" s="585">
        <v>2.383915203315717E-2</v>
      </c>
      <c r="GD193" s="585">
        <v>2.3611125105376822E-2</v>
      </c>
      <c r="GE193" s="585">
        <v>0</v>
      </c>
      <c r="GF193" s="585">
        <v>4.2137663853951072E-3</v>
      </c>
      <c r="GG193" s="586">
        <v>1.4331326107127335E-2</v>
      </c>
    </row>
    <row r="194" spans="1:189">
      <c r="A194" s="572" t="s">
        <v>9392</v>
      </c>
      <c r="B194" s="577" t="s">
        <v>9556</v>
      </c>
      <c r="C194" s="573" t="s">
        <v>9557</v>
      </c>
      <c r="D194" s="587">
        <v>5.2552887619387666E-2</v>
      </c>
      <c r="E194" s="587">
        <v>0.24693470202452239</v>
      </c>
      <c r="F194" s="587">
        <v>6.2245162506776024E-2</v>
      </c>
      <c r="G194" s="587">
        <v>7.8579418344519023E-2</v>
      </c>
      <c r="H194" s="587">
        <v>7.1428571428571425E-2</v>
      </c>
      <c r="I194" s="587">
        <v>0.10425150676005863</v>
      </c>
      <c r="J194" s="587">
        <v>5.5066114770732338E-2</v>
      </c>
      <c r="K194" s="587">
        <v>0.35032503285851302</v>
      </c>
      <c r="L194" s="587">
        <v>0.27319277108433737</v>
      </c>
      <c r="M194" s="587">
        <v>0.23155216284987276</v>
      </c>
      <c r="N194" s="587">
        <v>0.16014234875444841</v>
      </c>
      <c r="O194" s="587">
        <v>0.15779101340106857</v>
      </c>
      <c r="P194" s="587">
        <v>7.18232044198895E-2</v>
      </c>
      <c r="Q194" s="587">
        <v>0</v>
      </c>
      <c r="R194" s="587">
        <v>0.20010174665083941</v>
      </c>
      <c r="S194" s="587">
        <v>0.15126050420168066</v>
      </c>
      <c r="T194" s="587">
        <v>0.10402075822636571</v>
      </c>
      <c r="U194" s="587">
        <v>0.15110363031253587</v>
      </c>
      <c r="V194" s="587">
        <v>4.2190157868035455E-2</v>
      </c>
      <c r="W194" s="587">
        <v>0.16342512592374719</v>
      </c>
      <c r="X194" s="587">
        <v>0.17550414576722284</v>
      </c>
      <c r="Y194" s="587">
        <v>8.8956497359228309E-2</v>
      </c>
      <c r="Z194" s="587">
        <v>0.18220567590999498</v>
      </c>
      <c r="AA194" s="587">
        <v>7.4781259223291721E-2</v>
      </c>
      <c r="AB194" s="587">
        <v>0.10326885912026561</v>
      </c>
      <c r="AC194" s="587">
        <v>4.3327286861881316E-2</v>
      </c>
      <c r="AD194" s="587">
        <v>0</v>
      </c>
      <c r="AE194" s="587">
        <v>0.21946822893195134</v>
      </c>
      <c r="AF194" s="587">
        <v>0.14351816733672154</v>
      </c>
      <c r="AG194" s="587">
        <v>0</v>
      </c>
      <c r="AH194" s="587">
        <v>0.27419976860779022</v>
      </c>
      <c r="AI194" s="587">
        <v>0.17293685265619779</v>
      </c>
      <c r="AJ194" s="587">
        <v>0.25056342097659634</v>
      </c>
      <c r="AK194" s="587">
        <v>0.23709154402594163</v>
      </c>
      <c r="AL194" s="587">
        <v>0.18050106990014264</v>
      </c>
      <c r="AM194" s="587">
        <v>0.13959361726552635</v>
      </c>
      <c r="AN194" s="587">
        <v>0.13983781918564528</v>
      </c>
      <c r="AO194" s="587">
        <v>0.22712698772549147</v>
      </c>
      <c r="AP194" s="587">
        <v>3.661054637865311E-2</v>
      </c>
      <c r="AQ194" s="587">
        <v>7.6802118679135972E-2</v>
      </c>
      <c r="AR194" s="587">
        <v>0.10606972927661483</v>
      </c>
      <c r="AS194" s="587">
        <v>0.18746539435707132</v>
      </c>
      <c r="AT194" s="587">
        <v>0.20712879494352918</v>
      </c>
      <c r="AU194" s="587">
        <v>0.22363017620785</v>
      </c>
      <c r="AV194" s="587">
        <v>6.4346054760050328E-2</v>
      </c>
      <c r="AW194" s="587">
        <v>4.3555221799066672E-2</v>
      </c>
      <c r="AX194" s="587">
        <v>0.11292640911135737</v>
      </c>
      <c r="AY194" s="587">
        <v>1.7602283539486202E-2</v>
      </c>
      <c r="AZ194" s="587">
        <v>3.7078689784569477E-2</v>
      </c>
      <c r="BA194" s="587">
        <v>8.829654310703873E-2</v>
      </c>
      <c r="BB194" s="587">
        <v>8.9409875931106941E-2</v>
      </c>
      <c r="BC194" s="587">
        <v>6.5614541435107004E-2</v>
      </c>
      <c r="BD194" s="587">
        <v>0.10493175523789416</v>
      </c>
      <c r="BE194" s="587">
        <v>7.1608595839680989E-2</v>
      </c>
      <c r="BF194" s="587">
        <v>8.8732656095143705E-2</v>
      </c>
      <c r="BG194" s="587">
        <v>9.0886827458256034E-2</v>
      </c>
      <c r="BH194" s="587">
        <v>8.3301269719122745E-2</v>
      </c>
      <c r="BI194" s="587">
        <v>9.3629709948495524E-2</v>
      </c>
      <c r="BJ194" s="587">
        <v>0.12776854528434933</v>
      </c>
      <c r="BK194" s="587">
        <v>7.1932532245617903E-3</v>
      </c>
      <c r="BL194" s="587">
        <v>1.9751864819607248E-2</v>
      </c>
      <c r="BM194" s="587">
        <v>0.18938712137346367</v>
      </c>
      <c r="BN194" s="587">
        <v>0.11096296296296296</v>
      </c>
      <c r="BO194" s="587">
        <v>0.25326199283375667</v>
      </c>
      <c r="BP194" s="587">
        <v>0.22850087158628704</v>
      </c>
      <c r="BQ194" s="587">
        <v>0.19890947532409725</v>
      </c>
      <c r="BR194" s="587">
        <v>0.18677520190327845</v>
      </c>
      <c r="BS194" s="587">
        <v>0.17009417643667116</v>
      </c>
      <c r="BT194" s="587">
        <v>0.24039337097067928</v>
      </c>
      <c r="BU194" s="587">
        <v>0.17435317322195151</v>
      </c>
      <c r="BV194" s="587">
        <v>0.20617167497641828</v>
      </c>
      <c r="BW194" s="587">
        <v>2.705114669052483E-2</v>
      </c>
      <c r="BX194" s="587">
        <v>0</v>
      </c>
      <c r="BY194" s="587">
        <v>1.482931028442447E-2</v>
      </c>
      <c r="BZ194" s="587">
        <v>5.7919106406697535E-2</v>
      </c>
      <c r="CA194" s="587">
        <v>2.9178962421247064E-2</v>
      </c>
      <c r="CB194" s="587">
        <v>0.14336684040704889</v>
      </c>
      <c r="CC194" s="587">
        <v>6.3831296377127894E-2</v>
      </c>
      <c r="CD194" s="587">
        <v>4.8829284558267391E-2</v>
      </c>
      <c r="CE194" s="587">
        <v>0</v>
      </c>
      <c r="CF194" s="587">
        <v>9.0162640138954683E-2</v>
      </c>
      <c r="CG194" s="587">
        <v>0.12840301323610775</v>
      </c>
      <c r="CH194" s="587">
        <v>0.19587330609977666</v>
      </c>
      <c r="CI194" s="587">
        <v>0.19479195165021015</v>
      </c>
      <c r="CJ194" s="587">
        <v>0.14345845085701889</v>
      </c>
      <c r="CK194" s="587">
        <v>0.28397480508739548</v>
      </c>
      <c r="CL194" s="587">
        <v>0.12720528729430808</v>
      </c>
      <c r="CM194" s="587">
        <v>0.19468623121304937</v>
      </c>
      <c r="CN194" s="587">
        <v>0.19000868390582787</v>
      </c>
      <c r="CO194" s="587">
        <v>0.13734198838401093</v>
      </c>
      <c r="CP194" s="587">
        <v>0.25584556095031163</v>
      </c>
      <c r="CQ194" s="587">
        <v>0.18939924826399948</v>
      </c>
      <c r="CR194" s="587">
        <v>0.11489664382766229</v>
      </c>
      <c r="CS194" s="587">
        <v>0.20680302859080121</v>
      </c>
      <c r="CT194" s="587">
        <v>0.25770610364235513</v>
      </c>
      <c r="CU194" s="587">
        <v>0.22328813504667624</v>
      </c>
      <c r="CV194" s="587">
        <v>0.19433378971953932</v>
      </c>
      <c r="CW194" s="587">
        <v>0.16673168448154793</v>
      </c>
      <c r="CX194" s="587">
        <v>0.2246255764480804</v>
      </c>
      <c r="CY194" s="587">
        <v>0.16661782214488507</v>
      </c>
      <c r="CZ194" s="587">
        <v>9.1589615931721199E-2</v>
      </c>
      <c r="DA194" s="587">
        <v>0.22805251547407424</v>
      </c>
      <c r="DB194" s="587">
        <v>0.21227053663291276</v>
      </c>
      <c r="DC194" s="587">
        <v>0.15953589557650472</v>
      </c>
      <c r="DD194" s="587">
        <v>0.13429951690821257</v>
      </c>
      <c r="DE194" s="587">
        <v>0.1302360659312701</v>
      </c>
      <c r="DF194" s="587">
        <v>0.23465332694304658</v>
      </c>
      <c r="DG194" s="587">
        <v>0.17113340958946352</v>
      </c>
      <c r="DH194" s="587">
        <v>0.14332642357925263</v>
      </c>
      <c r="DI194" s="587">
        <v>0.17320174857597032</v>
      </c>
      <c r="DJ194" s="587">
        <v>0.16881809936761544</v>
      </c>
      <c r="DK194" s="587">
        <v>0.13015894490924509</v>
      </c>
      <c r="DL194" s="587">
        <v>0.15641019166182671</v>
      </c>
      <c r="DM194" s="587">
        <v>0.2217367944802624</v>
      </c>
      <c r="DN194" s="587">
        <v>8.5937113146818525E-2</v>
      </c>
      <c r="DO194" s="587">
        <v>0</v>
      </c>
      <c r="DP194" s="587">
        <v>7.2392638036809814E-2</v>
      </c>
      <c r="DQ194" s="587">
        <v>0.15125798800715473</v>
      </c>
      <c r="DR194" s="587">
        <v>0.13044159672412126</v>
      </c>
      <c r="DS194" s="587">
        <v>0.14632020203315088</v>
      </c>
      <c r="DT194" s="587">
        <v>0.1853720050441362</v>
      </c>
      <c r="DU194" s="587">
        <v>0.17210791183590265</v>
      </c>
      <c r="DV194" s="587">
        <v>0.14500373753626677</v>
      </c>
      <c r="DW194" s="587">
        <v>0.19914361334479677</v>
      </c>
      <c r="DX194" s="587">
        <v>0.22150444050822216</v>
      </c>
      <c r="DY194" s="587">
        <v>0.20235253197577904</v>
      </c>
      <c r="DZ194" s="587">
        <v>0.2916132661258406</v>
      </c>
      <c r="EA194" s="587">
        <v>0.27782118316405235</v>
      </c>
      <c r="EB194" s="587">
        <v>0.28726044395422584</v>
      </c>
      <c r="EC194" s="587">
        <v>0.28992895742032559</v>
      </c>
      <c r="ED194" s="587">
        <v>0.37101880580003799</v>
      </c>
      <c r="EE194" s="587">
        <v>5.0230952066382846E-2</v>
      </c>
      <c r="EF194" s="587">
        <v>7.031204900420128E-2</v>
      </c>
      <c r="EG194" s="587">
        <v>7.8823202886483493E-2</v>
      </c>
      <c r="EH194" s="587">
        <v>0.10908413205537806</v>
      </c>
      <c r="EI194" s="587">
        <v>0.42269692473698406</v>
      </c>
      <c r="EJ194" s="587">
        <v>0.29731179848239875</v>
      </c>
      <c r="EK194" s="587">
        <v>0.3764490183502664</v>
      </c>
      <c r="EL194" s="587">
        <v>0.203422756706753</v>
      </c>
      <c r="EM194" s="587">
        <v>0.29614317436065912</v>
      </c>
      <c r="EN194" s="587">
        <v>0.14492225749726401</v>
      </c>
      <c r="EO194" s="587">
        <v>0.14513082239945793</v>
      </c>
      <c r="EP194" s="587">
        <v>0</v>
      </c>
      <c r="EQ194" s="587">
        <v>0.17616993007704065</v>
      </c>
      <c r="ER194" s="587">
        <v>0.28186274509803921</v>
      </c>
      <c r="ES194" s="587">
        <v>0.50252090548475548</v>
      </c>
      <c r="ET194" s="587">
        <v>0.43885378254146401</v>
      </c>
      <c r="EU194" s="587">
        <v>1.368175257852927E-2</v>
      </c>
      <c r="EV194" s="587">
        <v>0.14481327800829877</v>
      </c>
      <c r="EW194" s="587">
        <v>0.31177808890444525</v>
      </c>
      <c r="EX194" s="587">
        <v>9.499672358632387E-2</v>
      </c>
      <c r="EY194" s="587">
        <v>0.26427793724636245</v>
      </c>
      <c r="EZ194" s="587">
        <v>0.18552283946325523</v>
      </c>
      <c r="FA194" s="587">
        <v>0.2920197431641478</v>
      </c>
      <c r="FB194" s="587">
        <v>0.19097602849462184</v>
      </c>
      <c r="FC194" s="587">
        <v>0.55641458766458762</v>
      </c>
      <c r="FD194" s="587">
        <v>4.9507946661418098E-2</v>
      </c>
      <c r="FE194" s="587">
        <v>0.13734049697783748</v>
      </c>
      <c r="FF194" s="587">
        <v>0.30702812158718601</v>
      </c>
      <c r="FG194" s="587">
        <v>0.14451983298538623</v>
      </c>
      <c r="FH194" s="587">
        <v>0.20834010729962607</v>
      </c>
      <c r="FI194" s="587">
        <v>0.21981784122472708</v>
      </c>
      <c r="FJ194" s="587">
        <v>0.27675739092301821</v>
      </c>
      <c r="FK194" s="587">
        <v>0.50400584887491517</v>
      </c>
      <c r="FL194" s="587">
        <v>0.34806586513329846</v>
      </c>
      <c r="FM194" s="587">
        <v>0.23820731359195588</v>
      </c>
      <c r="FN194" s="587">
        <v>0.34504281565456124</v>
      </c>
      <c r="FO194" s="587">
        <v>0.37752277247626204</v>
      </c>
      <c r="FP194" s="587">
        <v>0.48545678000819337</v>
      </c>
      <c r="FQ194" s="587">
        <v>0.55320398292396489</v>
      </c>
      <c r="FR194" s="587">
        <v>0.55599160481952459</v>
      </c>
      <c r="FS194" s="587">
        <v>0.45165106239838537</v>
      </c>
      <c r="FT194" s="587">
        <v>0.10708523343346148</v>
      </c>
      <c r="FU194" s="587">
        <v>0.13298565840938723</v>
      </c>
      <c r="FV194" s="587">
        <v>0.12006199991621633</v>
      </c>
      <c r="FW194" s="587">
        <v>0.33825871169561811</v>
      </c>
      <c r="FX194" s="587">
        <v>0.13501059500184992</v>
      </c>
      <c r="FY194" s="587">
        <v>0.39637606068639025</v>
      </c>
      <c r="FZ194" s="587">
        <v>0.21219838619560558</v>
      </c>
      <c r="GA194" s="587">
        <v>0.25467100781373803</v>
      </c>
      <c r="GB194" s="587">
        <v>0.24985968238695588</v>
      </c>
      <c r="GC194" s="587">
        <v>0.21348398163663945</v>
      </c>
      <c r="GD194" s="587">
        <v>0.26096170833039456</v>
      </c>
      <c r="GE194" s="587">
        <v>0</v>
      </c>
      <c r="GF194" s="587">
        <v>1.0608714111341082E-2</v>
      </c>
      <c r="GG194" s="588">
        <v>0.21379923781600618</v>
      </c>
    </row>
    <row r="195" spans="1:189">
      <c r="A195" s="572" t="s">
        <v>9393</v>
      </c>
      <c r="B195" s="577" t="s">
        <v>9558</v>
      </c>
      <c r="C195" s="573" t="s">
        <v>9559</v>
      </c>
      <c r="D195" s="587">
        <v>4.8870838168347764E-3</v>
      </c>
      <c r="E195" s="587">
        <v>2.2811519817507842E-2</v>
      </c>
      <c r="F195" s="587">
        <v>5.5386645926135429E-3</v>
      </c>
      <c r="G195" s="587">
        <v>4.1946308724832215E-3</v>
      </c>
      <c r="H195" s="587">
        <v>0</v>
      </c>
      <c r="I195" s="587">
        <v>9.9364717380680898E-3</v>
      </c>
      <c r="J195" s="587">
        <v>5.492116155840809E-3</v>
      </c>
      <c r="K195" s="587">
        <v>3.5877943945152924E-2</v>
      </c>
      <c r="L195" s="587">
        <v>1.8222891566265061E-2</v>
      </c>
      <c r="M195" s="587">
        <v>1.708469647400945E-2</v>
      </c>
      <c r="N195" s="587">
        <v>1.2811387900355872E-2</v>
      </c>
      <c r="O195" s="587">
        <v>1.4474029955329771E-2</v>
      </c>
      <c r="P195" s="587">
        <v>5.5248618784530384E-3</v>
      </c>
      <c r="Q195" s="587">
        <v>0</v>
      </c>
      <c r="R195" s="587">
        <v>2.6567181052512576E-2</v>
      </c>
      <c r="S195" s="587">
        <v>2.2408963585434174E-2</v>
      </c>
      <c r="T195" s="587">
        <v>1.3528275210518201E-2</v>
      </c>
      <c r="U195" s="587">
        <v>1.9576527294288666E-2</v>
      </c>
      <c r="V195" s="587">
        <v>5.6551971112238503E-3</v>
      </c>
      <c r="W195" s="587">
        <v>2.2145422013064207E-2</v>
      </c>
      <c r="X195" s="587">
        <v>2.3467089773774184E-2</v>
      </c>
      <c r="Y195" s="587">
        <v>1.1449658631951442E-2</v>
      </c>
      <c r="Z195" s="587">
        <v>2.4224481086115683E-2</v>
      </c>
      <c r="AA195" s="587">
        <v>1.1558272162082392E-2</v>
      </c>
      <c r="AB195" s="587">
        <v>1.393270676070762E-2</v>
      </c>
      <c r="AC195" s="587">
        <v>5.7873369612162044E-3</v>
      </c>
      <c r="AD195" s="587">
        <v>0</v>
      </c>
      <c r="AE195" s="587">
        <v>2.8841820639927896E-2</v>
      </c>
      <c r="AF195" s="587">
        <v>1.9115527573389971E-2</v>
      </c>
      <c r="AG195" s="587">
        <v>0</v>
      </c>
      <c r="AH195" s="587">
        <v>3.6637099884303893E-2</v>
      </c>
      <c r="AI195" s="587">
        <v>2.3053792181757436E-2</v>
      </c>
      <c r="AJ195" s="587">
        <v>3.3458537994799191E-2</v>
      </c>
      <c r="AK195" s="587">
        <v>3.167872287353455E-2</v>
      </c>
      <c r="AL195" s="587">
        <v>2.3983594864479315E-2</v>
      </c>
      <c r="AM195" s="587">
        <v>1.9228561588795774E-2</v>
      </c>
      <c r="AN195" s="587">
        <v>1.8633540372670808E-2</v>
      </c>
      <c r="AO195" s="587">
        <v>3.0249052692942969E-2</v>
      </c>
      <c r="AP195" s="587">
        <v>4.7649301143583228E-3</v>
      </c>
      <c r="AQ195" s="587">
        <v>1.0220971613010015E-2</v>
      </c>
      <c r="AR195" s="587">
        <v>1.413239825735841E-2</v>
      </c>
      <c r="AS195" s="587">
        <v>2.4951404841844847E-2</v>
      </c>
      <c r="AT195" s="587">
        <v>2.7561910682830794E-2</v>
      </c>
      <c r="AU195" s="587">
        <v>2.9817902194008605E-2</v>
      </c>
      <c r="AV195" s="587">
        <v>8.5674914624648008E-3</v>
      </c>
      <c r="AW195" s="587">
        <v>5.7930590570187202E-3</v>
      </c>
      <c r="AX195" s="587">
        <v>1.504295636335707E-2</v>
      </c>
      <c r="AY195" s="587">
        <v>2.3786869647954329E-3</v>
      </c>
      <c r="AZ195" s="587">
        <v>4.922350068946809E-3</v>
      </c>
      <c r="BA195" s="587">
        <v>1.1661807580174927E-2</v>
      </c>
      <c r="BB195" s="587">
        <v>1.1899281085101108E-2</v>
      </c>
      <c r="BC195" s="587">
        <v>8.6994790547248405E-3</v>
      </c>
      <c r="BD195" s="587">
        <v>1.3922179858170122E-2</v>
      </c>
      <c r="BE195" s="587">
        <v>9.3652810637386702E-3</v>
      </c>
      <c r="BF195" s="587">
        <v>1.1831020812685828E-2</v>
      </c>
      <c r="BG195" s="587">
        <v>1.2133580705009276E-2</v>
      </c>
      <c r="BH195" s="587">
        <v>1.1020722255812675E-2</v>
      </c>
      <c r="BI195" s="587">
        <v>1.2035782054757386E-2</v>
      </c>
      <c r="BJ195" s="587">
        <v>1.6985496967022815E-2</v>
      </c>
      <c r="BK195" s="587">
        <v>9.6461250137801788E-4</v>
      </c>
      <c r="BL195" s="587">
        <v>2.625970467346628E-3</v>
      </c>
      <c r="BM195" s="587">
        <v>2.5240624076834823E-2</v>
      </c>
      <c r="BN195" s="587">
        <v>1.4765432098765432E-2</v>
      </c>
      <c r="BO195" s="587">
        <v>3.3803034546701305E-2</v>
      </c>
      <c r="BP195" s="587">
        <v>3.0505520046484602E-2</v>
      </c>
      <c r="BQ195" s="587">
        <v>2.6511990207533521E-2</v>
      </c>
      <c r="BR195" s="587">
        <v>2.4868509489720803E-2</v>
      </c>
      <c r="BS195" s="587">
        <v>2.2679223524889488E-2</v>
      </c>
      <c r="BT195" s="587">
        <v>3.1870333272627935E-2</v>
      </c>
      <c r="BU195" s="587">
        <v>2.3204548091425921E-2</v>
      </c>
      <c r="BV195" s="587">
        <v>2.7388492116965368E-2</v>
      </c>
      <c r="BW195" s="587">
        <v>3.6046410739779618E-3</v>
      </c>
      <c r="BX195" s="587">
        <v>0</v>
      </c>
      <c r="BY195" s="587">
        <v>1.9643956417943315E-3</v>
      </c>
      <c r="BZ195" s="587">
        <v>7.6765580763903073E-3</v>
      </c>
      <c r="CA195" s="587">
        <v>3.8729666924864447E-3</v>
      </c>
      <c r="CB195" s="587">
        <v>1.8968726731198808E-2</v>
      </c>
      <c r="CC195" s="587">
        <v>8.4951986032300308E-3</v>
      </c>
      <c r="CD195" s="587">
        <v>6.5062337852454886E-3</v>
      </c>
      <c r="CE195" s="587">
        <v>0</v>
      </c>
      <c r="CF195" s="587">
        <v>1.1842728564661297E-2</v>
      </c>
      <c r="CG195" s="587">
        <v>1.708777256025763E-2</v>
      </c>
      <c r="CH195" s="587">
        <v>2.6141899945610034E-2</v>
      </c>
      <c r="CI195" s="587">
        <v>2.5965627875743028E-2</v>
      </c>
      <c r="CJ195" s="587">
        <v>1.9127793447602518E-2</v>
      </c>
      <c r="CK195" s="587">
        <v>3.7888186228529352E-2</v>
      </c>
      <c r="CL195" s="587">
        <v>1.6859994604801726E-2</v>
      </c>
      <c r="CM195" s="587">
        <v>2.5970510720136761E-2</v>
      </c>
      <c r="CN195" s="587">
        <v>2.5291875723658819E-2</v>
      </c>
      <c r="CO195" s="587">
        <v>1.8278100444140757E-2</v>
      </c>
      <c r="CP195" s="587">
        <v>3.4058495846633938E-2</v>
      </c>
      <c r="CQ195" s="587">
        <v>2.5164044084856979E-2</v>
      </c>
      <c r="CR195" s="587">
        <v>1.5294390895366392E-2</v>
      </c>
      <c r="CS195" s="587">
        <v>2.7573737145440164E-2</v>
      </c>
      <c r="CT195" s="587">
        <v>3.435303724009215E-2</v>
      </c>
      <c r="CU195" s="587">
        <v>2.9666414072199023E-2</v>
      </c>
      <c r="CV195" s="587">
        <v>2.5413070818335572E-2</v>
      </c>
      <c r="CW195" s="587">
        <v>2.2197082000468129E-2</v>
      </c>
      <c r="CX195" s="587">
        <v>2.9796833283362602E-2</v>
      </c>
      <c r="CY195" s="587">
        <v>2.2190676801904938E-2</v>
      </c>
      <c r="CZ195" s="587">
        <v>1.2215504978662873E-2</v>
      </c>
      <c r="DA195" s="587">
        <v>3.034846115953824E-2</v>
      </c>
      <c r="DB195" s="587">
        <v>2.8212487139221313E-2</v>
      </c>
      <c r="DC195" s="587">
        <v>2.030456852791878E-2</v>
      </c>
      <c r="DD195" s="587">
        <v>1.7874396135265702E-2</v>
      </c>
      <c r="DE195" s="587">
        <v>1.7327857233721627E-2</v>
      </c>
      <c r="DF195" s="587">
        <v>3.1202572090422556E-2</v>
      </c>
      <c r="DG195" s="587">
        <v>2.2770765761726566E-2</v>
      </c>
      <c r="DH195" s="587">
        <v>1.905279731765612E-2</v>
      </c>
      <c r="DI195" s="587">
        <v>2.3082527487084382E-2</v>
      </c>
      <c r="DJ195" s="587">
        <v>2.2400576476288684E-2</v>
      </c>
      <c r="DK195" s="587">
        <v>1.7237755395405358E-2</v>
      </c>
      <c r="DL195" s="587">
        <v>2.0815130931037096E-2</v>
      </c>
      <c r="DM195" s="587">
        <v>2.9606379368849679E-2</v>
      </c>
      <c r="DN195" s="587">
        <v>1.1454980605760503E-2</v>
      </c>
      <c r="DO195" s="587">
        <v>0</v>
      </c>
      <c r="DP195" s="587">
        <v>9.6625766871165641E-3</v>
      </c>
      <c r="DQ195" s="587">
        <v>2.0164054558778337E-2</v>
      </c>
      <c r="DR195" s="587">
        <v>1.7393102114449013E-2</v>
      </c>
      <c r="DS195" s="587">
        <v>1.8898944966477368E-2</v>
      </c>
      <c r="DT195" s="587">
        <v>2.4345975260407174E-2</v>
      </c>
      <c r="DU195" s="587">
        <v>2.3498216333290866E-2</v>
      </c>
      <c r="DV195" s="587">
        <v>1.9283153213647708E-2</v>
      </c>
      <c r="DW195" s="587">
        <v>2.6534499907280972E-2</v>
      </c>
      <c r="DX195" s="587">
        <v>2.951145215957636E-2</v>
      </c>
      <c r="DY195" s="587">
        <v>2.2877108662313638E-2</v>
      </c>
      <c r="DZ195" s="587">
        <v>3.6267457977072433E-2</v>
      </c>
      <c r="EA195" s="587">
        <v>3.4946900744124133E-2</v>
      </c>
      <c r="EB195" s="587">
        <v>3.4403388636119921E-2</v>
      </c>
      <c r="EC195" s="587">
        <v>3.5163477447115635E-2</v>
      </c>
      <c r="ED195" s="587">
        <v>4.5951642228473734E-2</v>
      </c>
      <c r="EE195" s="587">
        <v>7.3127338541994023E-3</v>
      </c>
      <c r="EF195" s="587">
        <v>9.5891728937493991E-3</v>
      </c>
      <c r="EG195" s="587">
        <v>1.0546766583402719E-2</v>
      </c>
      <c r="EH195" s="587">
        <v>1.6565495207667733E-2</v>
      </c>
      <c r="EI195" s="587">
        <v>5.070362377484039E-2</v>
      </c>
      <c r="EJ195" s="587">
        <v>3.286937718673074E-2</v>
      </c>
      <c r="EK195" s="587">
        <v>4.460653556851378E-2</v>
      </c>
      <c r="EL195" s="587">
        <v>2.9436602906508312E-2</v>
      </c>
      <c r="EM195" s="587">
        <v>4.1281571228967355E-2</v>
      </c>
      <c r="EN195" s="587">
        <v>1.4919987395854862E-2</v>
      </c>
      <c r="EO195" s="587">
        <v>8.0878833422301372E-3</v>
      </c>
      <c r="EP195" s="587">
        <v>0</v>
      </c>
      <c r="EQ195" s="587">
        <v>2.5505102715234255E-2</v>
      </c>
      <c r="ER195" s="587">
        <v>3.9705882352941174E-2</v>
      </c>
      <c r="ES195" s="587">
        <v>6.1535949268903392E-2</v>
      </c>
      <c r="ET195" s="587">
        <v>6.259647988382E-2</v>
      </c>
      <c r="EU195" s="587">
        <v>1.936097062999425E-3</v>
      </c>
      <c r="EV195" s="587">
        <v>1.9464353074311581E-2</v>
      </c>
      <c r="EW195" s="587">
        <v>3.4068370085170926E-2</v>
      </c>
      <c r="EX195" s="587">
        <v>9.7328759202867828E-3</v>
      </c>
      <c r="EY195" s="587">
        <v>3.3430664159160649E-2</v>
      </c>
      <c r="EZ195" s="587">
        <v>2.6107209900577071E-2</v>
      </c>
      <c r="FA195" s="587">
        <v>2.64698174194112E-2</v>
      </c>
      <c r="FB195" s="587">
        <v>2.4359393814697261E-2</v>
      </c>
      <c r="FC195" s="587">
        <v>8.2315488565488565E-2</v>
      </c>
      <c r="FD195" s="587">
        <v>4.8713280519608326E-3</v>
      </c>
      <c r="FE195" s="587">
        <v>1.8636668905305576E-2</v>
      </c>
      <c r="FF195" s="587">
        <v>3.8098380050964692E-2</v>
      </c>
      <c r="FG195" s="587">
        <v>1.6388308977035491E-2</v>
      </c>
      <c r="FH195" s="587">
        <v>2.7117541863111688E-2</v>
      </c>
      <c r="FI195" s="587">
        <v>3.5583207568221455E-2</v>
      </c>
      <c r="FJ195" s="587">
        <v>6.1405457123818959E-2</v>
      </c>
      <c r="FK195" s="587">
        <v>8.9827818152052444E-2</v>
      </c>
      <c r="FL195" s="587">
        <v>3.3442237323575534E-2</v>
      </c>
      <c r="FM195" s="587">
        <v>3.1132575603106265E-2</v>
      </c>
      <c r="FN195" s="587">
        <v>4.4797220951189223E-2</v>
      </c>
      <c r="FO195" s="587">
        <v>5.1890101913546538E-2</v>
      </c>
      <c r="FP195" s="587">
        <v>4.8230548640216808E-2</v>
      </c>
      <c r="FQ195" s="587">
        <v>7.4869063322702559E-2</v>
      </c>
      <c r="FR195" s="587">
        <v>7.3878055100959281E-2</v>
      </c>
      <c r="FS195" s="587">
        <v>3.1356169759488704E-2</v>
      </c>
      <c r="FT195" s="587">
        <v>9.2501802825377556E-3</v>
      </c>
      <c r="FU195" s="587">
        <v>1.7498112948603581E-2</v>
      </c>
      <c r="FV195" s="587">
        <v>1.3991872983955427E-2</v>
      </c>
      <c r="FW195" s="587">
        <v>3.8443817545447935E-2</v>
      </c>
      <c r="FX195" s="587">
        <v>1.5718722321258396E-2</v>
      </c>
      <c r="FY195" s="587">
        <v>4.4964980725341247E-2</v>
      </c>
      <c r="FZ195" s="587">
        <v>2.555839970894349E-2</v>
      </c>
      <c r="GA195" s="587">
        <v>2.2528004809459476E-2</v>
      </c>
      <c r="GB195" s="587">
        <v>1.701734278531641E-2</v>
      </c>
      <c r="GC195" s="587">
        <v>2.4989340921935888E-2</v>
      </c>
      <c r="GD195" s="587">
        <v>3.1403132252528207E-2</v>
      </c>
      <c r="GE195" s="587">
        <v>0</v>
      </c>
      <c r="GF195" s="587">
        <v>1.3957437775301172E-3</v>
      </c>
      <c r="GG195" s="588">
        <v>2.7957877922219532E-2</v>
      </c>
    </row>
    <row r="196" spans="1:189">
      <c r="A196" s="572" t="s">
        <v>9394</v>
      </c>
      <c r="B196" s="577" t="s">
        <v>9560</v>
      </c>
      <c r="C196" s="573" t="s">
        <v>9561</v>
      </c>
      <c r="D196" s="587">
        <v>2.1869142194055162E-3</v>
      </c>
      <c r="E196" s="587">
        <v>1.1405759908753921E-2</v>
      </c>
      <c r="F196" s="587">
        <v>2.7575479035565299E-3</v>
      </c>
      <c r="G196" s="587">
        <v>2.2371364653243847E-3</v>
      </c>
      <c r="H196" s="587">
        <v>0</v>
      </c>
      <c r="I196" s="587">
        <v>4.8867893793777487E-3</v>
      </c>
      <c r="J196" s="587">
        <v>2.7541110341606405E-3</v>
      </c>
      <c r="K196" s="587">
        <v>1.3072359774075521E-2</v>
      </c>
      <c r="L196" s="587">
        <v>8.1325301204819272E-3</v>
      </c>
      <c r="M196" s="587">
        <v>7.6335877862595417E-3</v>
      </c>
      <c r="N196" s="587">
        <v>5.6939501779359435E-3</v>
      </c>
      <c r="O196" s="587">
        <v>6.6786371200840853E-3</v>
      </c>
      <c r="P196" s="587">
        <v>0</v>
      </c>
      <c r="Q196" s="587">
        <v>0</v>
      </c>
      <c r="R196" s="587">
        <v>1.1418235260867108E-2</v>
      </c>
      <c r="S196" s="587">
        <v>1.027077497665733E-2</v>
      </c>
      <c r="T196" s="587">
        <v>4.658135499256995E-3</v>
      </c>
      <c r="U196" s="587">
        <v>5.3746987490914657E-3</v>
      </c>
      <c r="V196" s="587">
        <v>2.8126771912023634E-3</v>
      </c>
      <c r="W196" s="587">
        <v>7.8005318822995939E-3</v>
      </c>
      <c r="X196" s="587">
        <v>5.7836011874296241E-3</v>
      </c>
      <c r="Y196" s="587">
        <v>5.3345861528086144E-3</v>
      </c>
      <c r="Z196" s="587">
        <v>6.6218055223764422E-3</v>
      </c>
      <c r="AA196" s="587">
        <v>7.7118619862328978E-3</v>
      </c>
      <c r="AB196" s="587">
        <v>5.9381245767331234E-3</v>
      </c>
      <c r="AC196" s="587">
        <v>3.4032996458495291E-3</v>
      </c>
      <c r="AD196" s="587">
        <v>0</v>
      </c>
      <c r="AE196" s="587">
        <v>1.8026137899954935E-2</v>
      </c>
      <c r="AF196" s="587">
        <v>1.0468027004475461E-2</v>
      </c>
      <c r="AG196" s="587">
        <v>0</v>
      </c>
      <c r="AH196" s="587">
        <v>1.6968762051677595E-2</v>
      </c>
      <c r="AI196" s="587">
        <v>1.1760775141997996E-2</v>
      </c>
      <c r="AJ196" s="587">
        <v>6.7032649523259174E-3</v>
      </c>
      <c r="AK196" s="587">
        <v>1.3968570715889249E-2</v>
      </c>
      <c r="AL196" s="587">
        <v>1.4666547788873038E-2</v>
      </c>
      <c r="AM196" s="587">
        <v>4.3623005395476986E-3</v>
      </c>
      <c r="AN196" s="587">
        <v>9.1873706004140781E-3</v>
      </c>
      <c r="AO196" s="587">
        <v>1.350519804385141E-2</v>
      </c>
      <c r="AP196" s="587">
        <v>4.9237611181702666E-3</v>
      </c>
      <c r="AQ196" s="587">
        <v>5.2139369361913429E-3</v>
      </c>
      <c r="AR196" s="587">
        <v>7.0012632970873328E-3</v>
      </c>
      <c r="AS196" s="587">
        <v>9.4834187430052428E-3</v>
      </c>
      <c r="AT196" s="587">
        <v>1.0050771940731531E-2</v>
      </c>
      <c r="AU196" s="587">
        <v>1.457764107262643E-2</v>
      </c>
      <c r="AV196" s="587">
        <v>6.2309028817925825E-3</v>
      </c>
      <c r="AW196" s="587">
        <v>6.6512900284289005E-3</v>
      </c>
      <c r="AX196" s="587">
        <v>1.0280999352637181E-2</v>
      </c>
      <c r="AY196" s="587">
        <v>1.2686330478908975E-3</v>
      </c>
      <c r="AZ196" s="587">
        <v>4.2667902434613556E-3</v>
      </c>
      <c r="BA196" s="587">
        <v>6.1085658753297235E-3</v>
      </c>
      <c r="BB196" s="587">
        <v>8.6765591245528909E-3</v>
      </c>
      <c r="BC196" s="587">
        <v>5.4039116951702538E-3</v>
      </c>
      <c r="BD196" s="587">
        <v>1.3450241557893167E-2</v>
      </c>
      <c r="BE196" s="587">
        <v>5.3109708581096735E-3</v>
      </c>
      <c r="BF196" s="587">
        <v>3.8714073339940537E-3</v>
      </c>
      <c r="BG196" s="587">
        <v>5.1948051948051948E-3</v>
      </c>
      <c r="BH196" s="587">
        <v>1.2573517286868575E-2</v>
      </c>
      <c r="BI196" s="587">
        <v>6.1805367308213604E-3</v>
      </c>
      <c r="BJ196" s="587">
        <v>9.5216102201640413E-3</v>
      </c>
      <c r="BK196" s="587">
        <v>1.1024142872891633E-3</v>
      </c>
      <c r="BL196" s="587">
        <v>2.2327091896280509E-3</v>
      </c>
      <c r="BM196" s="587">
        <v>8.9448264964722204E-3</v>
      </c>
      <c r="BN196" s="587">
        <v>7.8024691358024693E-3</v>
      </c>
      <c r="BO196" s="587">
        <v>1.0710732946369071E-2</v>
      </c>
      <c r="BP196" s="587">
        <v>7.6990122022080184E-3</v>
      </c>
      <c r="BQ196" s="587">
        <v>6.2037500695487678E-3</v>
      </c>
      <c r="BR196" s="587">
        <v>1.3143716727299883E-2</v>
      </c>
      <c r="BS196" s="587">
        <v>7.7182192459815694E-3</v>
      </c>
      <c r="BT196" s="587">
        <v>2.1307594245128392E-2</v>
      </c>
      <c r="BU196" s="587">
        <v>1.3719689059055575E-2</v>
      </c>
      <c r="BV196" s="587">
        <v>1.1184476485648834E-2</v>
      </c>
      <c r="BW196" s="587">
        <v>2.1206422323308922E-3</v>
      </c>
      <c r="BX196" s="587">
        <v>0</v>
      </c>
      <c r="BY196" s="587">
        <v>4.479322546257138E-4</v>
      </c>
      <c r="BZ196" s="587">
        <v>4.3597993388557457E-3</v>
      </c>
      <c r="CA196" s="587">
        <v>3.432357931114505E-3</v>
      </c>
      <c r="CB196" s="587">
        <v>9.4998758997269801E-3</v>
      </c>
      <c r="CC196" s="587">
        <v>5.6143605412483635E-3</v>
      </c>
      <c r="CD196" s="587">
        <v>3.4645694906432225E-3</v>
      </c>
      <c r="CE196" s="587">
        <v>0</v>
      </c>
      <c r="CF196" s="587">
        <v>2.0764250750039476E-2</v>
      </c>
      <c r="CG196" s="587">
        <v>1.0044120359204982E-2</v>
      </c>
      <c r="CH196" s="587">
        <v>7.0244060500156223E-3</v>
      </c>
      <c r="CI196" s="587">
        <v>9.2023776954261692E-3</v>
      </c>
      <c r="CJ196" s="587">
        <v>5.5196354957691473E-3</v>
      </c>
      <c r="CK196" s="587">
        <v>1.4357469212381615E-2</v>
      </c>
      <c r="CL196" s="587">
        <v>2.1763630368971616E-2</v>
      </c>
      <c r="CM196" s="587">
        <v>1.1149891967614027E-2</v>
      </c>
      <c r="CN196" s="587">
        <v>1.2507236588189889E-2</v>
      </c>
      <c r="CO196" s="587">
        <v>5.1247010591048857E-3</v>
      </c>
      <c r="CP196" s="587">
        <v>1.1740300616075181E-2</v>
      </c>
      <c r="CQ196" s="587">
        <v>1.0129324074663949E-2</v>
      </c>
      <c r="CR196" s="587">
        <v>9.3746370920915114E-3</v>
      </c>
      <c r="CS196" s="587">
        <v>5.8198666515990507E-3</v>
      </c>
      <c r="CT196" s="587">
        <v>1.3443760753550494E-2</v>
      </c>
      <c r="CU196" s="587">
        <v>1.1431243248472341E-2</v>
      </c>
      <c r="CV196" s="587">
        <v>1.4732394540712334E-2</v>
      </c>
      <c r="CW196" s="587">
        <v>9.362565342903955E-3</v>
      </c>
      <c r="CX196" s="587">
        <v>1.2485544181265259E-2</v>
      </c>
      <c r="CY196" s="587">
        <v>5.4766920047623407E-3</v>
      </c>
      <c r="CZ196" s="587">
        <v>4.6586059743954477E-3</v>
      </c>
      <c r="DA196" s="587">
        <v>1.0730119294939068E-2</v>
      </c>
      <c r="DB196" s="587">
        <v>1.0342773596144474E-2</v>
      </c>
      <c r="DC196" s="587">
        <v>1.8854242204496011E-2</v>
      </c>
      <c r="DD196" s="587">
        <v>2.1739130434782608E-2</v>
      </c>
      <c r="DE196" s="587">
        <v>1.1412579279262907E-2</v>
      </c>
      <c r="DF196" s="587">
        <v>1.1572409936895919E-2</v>
      </c>
      <c r="DG196" s="587">
        <v>1.3305090862168138E-2</v>
      </c>
      <c r="DH196" s="587">
        <v>1.0319321258254891E-2</v>
      </c>
      <c r="DI196" s="587">
        <v>1.3776659160153663E-2</v>
      </c>
      <c r="DJ196" s="587">
        <v>1.8934264309408737E-2</v>
      </c>
      <c r="DK196" s="587">
        <v>4.1435843417883297E-2</v>
      </c>
      <c r="DL196" s="587">
        <v>8.4871594151662844E-3</v>
      </c>
      <c r="DM196" s="587">
        <v>1.2003732609433323E-2</v>
      </c>
      <c r="DN196" s="587">
        <v>5.6532144920359824E-3</v>
      </c>
      <c r="DO196" s="587">
        <v>0</v>
      </c>
      <c r="DP196" s="587">
        <v>4.57931638913234E-3</v>
      </c>
      <c r="DQ196" s="587">
        <v>1.0172643390145696E-2</v>
      </c>
      <c r="DR196" s="587">
        <v>8.3064067038137439E-3</v>
      </c>
      <c r="DS196" s="587">
        <v>1.386734523824785E-2</v>
      </c>
      <c r="DT196" s="587">
        <v>2.3682656772773328E-2</v>
      </c>
      <c r="DU196" s="587">
        <v>1.3584533061536501E-2</v>
      </c>
      <c r="DV196" s="587">
        <v>1.7674112176766461E-2</v>
      </c>
      <c r="DW196" s="587">
        <v>1.3233533943593116E-2</v>
      </c>
      <c r="DX196" s="587">
        <v>9.3529545162021853E-3</v>
      </c>
      <c r="DY196" s="587">
        <v>1.0987968569666882E-2</v>
      </c>
      <c r="DZ196" s="587">
        <v>1.308895674008855E-2</v>
      </c>
      <c r="EA196" s="587">
        <v>1.2616498943802268E-2</v>
      </c>
      <c r="EB196" s="587">
        <v>1.2416318151875851E-2</v>
      </c>
      <c r="EC196" s="587">
        <v>1.2807848630067863E-2</v>
      </c>
      <c r="ED196" s="587">
        <v>1.6657470307821731E-2</v>
      </c>
      <c r="EE196" s="587">
        <v>6.3763550235441556E-3</v>
      </c>
      <c r="EF196" s="587">
        <v>7.648888746351945E-3</v>
      </c>
      <c r="EG196" s="587">
        <v>3.6081043574798777E-3</v>
      </c>
      <c r="EH196" s="587">
        <v>1.089989350372737E-2</v>
      </c>
      <c r="EI196" s="587">
        <v>9.1156370829961336E-3</v>
      </c>
      <c r="EJ196" s="587">
        <v>1.8032187238524747E-2</v>
      </c>
      <c r="EK196" s="587">
        <v>1.5703789487520596E-2</v>
      </c>
      <c r="EL196" s="587">
        <v>4.1122318044821103E-2</v>
      </c>
      <c r="EM196" s="587">
        <v>3.0568826367641296E-2</v>
      </c>
      <c r="EN196" s="587">
        <v>5.631206779132686E-3</v>
      </c>
      <c r="EO196" s="587">
        <v>3.2186072530940193E-3</v>
      </c>
      <c r="EP196" s="587">
        <v>0</v>
      </c>
      <c r="EQ196" s="587">
        <v>3.4097187151529117E-2</v>
      </c>
      <c r="ER196" s="587">
        <v>5.2941176470588235E-2</v>
      </c>
      <c r="ES196" s="587">
        <v>1.5907900197998245E-2</v>
      </c>
      <c r="ET196" s="587">
        <v>1.3608218462920586E-2</v>
      </c>
      <c r="EU196" s="587">
        <v>1.3846027480844372E-3</v>
      </c>
      <c r="EV196" s="587">
        <v>1.3938136552244436E-2</v>
      </c>
      <c r="EW196" s="587">
        <v>1.849259129623148E-2</v>
      </c>
      <c r="EX196" s="587">
        <v>9.2125043364298647E-3</v>
      </c>
      <c r="EY196" s="587">
        <v>2.1577749183410867E-2</v>
      </c>
      <c r="EZ196" s="587">
        <v>1.615622610025725E-2</v>
      </c>
      <c r="FA196" s="587">
        <v>1.3562505459945837E-2</v>
      </c>
      <c r="FB196" s="587">
        <v>1.1778316699103135E-2</v>
      </c>
      <c r="FC196" s="587">
        <v>2.468814968814969E-2</v>
      </c>
      <c r="FD196" s="587">
        <v>1.077596811494366E-3</v>
      </c>
      <c r="FE196" s="587">
        <v>1.4670080591000672E-2</v>
      </c>
      <c r="FF196" s="587">
        <v>1.4462747239412693E-2</v>
      </c>
      <c r="FG196" s="587">
        <v>2.6096033402922755E-3</v>
      </c>
      <c r="FH196" s="587">
        <v>1.5428385628353114E-2</v>
      </c>
      <c r="FI196" s="587">
        <v>2.8225214485791968E-2</v>
      </c>
      <c r="FJ196" s="587">
        <v>4.0020047042206998E-2</v>
      </c>
      <c r="FK196" s="587">
        <v>4.9184645279768811E-2</v>
      </c>
      <c r="FL196" s="587">
        <v>1.1761630946157868E-2</v>
      </c>
      <c r="FM196" s="587">
        <v>1.9720016545006495E-2</v>
      </c>
      <c r="FN196" s="587">
        <v>3.2149560637612408E-2</v>
      </c>
      <c r="FO196" s="587">
        <v>1.7956549961800367E-2</v>
      </c>
      <c r="FP196" s="587">
        <v>9.4066114139854402E-3</v>
      </c>
      <c r="FQ196" s="587">
        <v>1.1153968174456077E-2</v>
      </c>
      <c r="FR196" s="587">
        <v>6.0512535573293237E-3</v>
      </c>
      <c r="FS196" s="587">
        <v>1.6213488815383752E-2</v>
      </c>
      <c r="FT196" s="587">
        <v>2.9052725508811796E-3</v>
      </c>
      <c r="FU196" s="587">
        <v>6.587524874768407E-3</v>
      </c>
      <c r="FV196" s="587">
        <v>5.2993171630849149E-3</v>
      </c>
      <c r="FW196" s="587">
        <v>1.24562495453186E-2</v>
      </c>
      <c r="FX196" s="587">
        <v>9.5186842016750199E-3</v>
      </c>
      <c r="FY196" s="587">
        <v>1.0530327575480884E-2</v>
      </c>
      <c r="FZ196" s="587">
        <v>7.4929726311595054E-3</v>
      </c>
      <c r="GA196" s="587">
        <v>2.7126723702761029E-3</v>
      </c>
      <c r="GB196" s="587">
        <v>4.4429980331951386E-3</v>
      </c>
      <c r="GC196" s="587">
        <v>7.4985374753353895E-3</v>
      </c>
      <c r="GD196" s="587">
        <v>9.3168223388784208E-3</v>
      </c>
      <c r="GE196" s="587">
        <v>0</v>
      </c>
      <c r="GF196" s="587">
        <v>6.5806930955792601E-4</v>
      </c>
      <c r="GG196" s="588">
        <v>1.2998577052567533E-2</v>
      </c>
    </row>
    <row r="197" spans="1:189">
      <c r="A197" s="572" t="s">
        <v>9134</v>
      </c>
      <c r="B197" s="577" t="s">
        <v>9562</v>
      </c>
      <c r="C197" s="573" t="s">
        <v>9563</v>
      </c>
      <c r="D197" s="587">
        <v>0.29362670713201822</v>
      </c>
      <c r="E197" s="587">
        <v>0.61362988309096089</v>
      </c>
      <c r="F197" s="587">
        <v>0.33373400268684156</v>
      </c>
      <c r="G197" s="587">
        <v>0.26649888143176736</v>
      </c>
      <c r="H197" s="587">
        <v>0.4017857142857143</v>
      </c>
      <c r="I197" s="587">
        <v>0.24319921811369929</v>
      </c>
      <c r="J197" s="587">
        <v>4.7915089629402954E-2</v>
      </c>
      <c r="K197" s="587">
        <v>0.1276686440979006</v>
      </c>
      <c r="L197" s="587">
        <v>0.60045180722891567</v>
      </c>
      <c r="M197" s="587">
        <v>0.16139585605234461</v>
      </c>
      <c r="N197" s="587">
        <v>9.6797153024911028E-2</v>
      </c>
      <c r="O197" s="587">
        <v>0.14730226854690373</v>
      </c>
      <c r="P197" s="587">
        <v>0.21546961325966851</v>
      </c>
      <c r="Q197" s="587">
        <v>0</v>
      </c>
      <c r="R197" s="587">
        <v>2.6510655135379573E-2</v>
      </c>
      <c r="S197" s="587">
        <v>9.990662931839403E-2</v>
      </c>
      <c r="T197" s="587">
        <v>4.1903537230640032E-2</v>
      </c>
      <c r="U197" s="587">
        <v>0.13426226999732221</v>
      </c>
      <c r="V197" s="587">
        <v>9.7384284819003852E-2</v>
      </c>
      <c r="W197" s="587">
        <v>0.11111621750799662</v>
      </c>
      <c r="X197" s="587">
        <v>7.0068584297266867E-2</v>
      </c>
      <c r="Y197" s="587">
        <v>9.0009775022922053E-2</v>
      </c>
      <c r="Z197" s="587">
        <v>4.3596013495921432E-2</v>
      </c>
      <c r="AA197" s="587">
        <v>5.7753277541344149E-2</v>
      </c>
      <c r="AB197" s="587">
        <v>0.18554368114170561</v>
      </c>
      <c r="AC197" s="587">
        <v>8.566986265871987E-2</v>
      </c>
      <c r="AD197" s="587">
        <v>0</v>
      </c>
      <c r="AE197" s="587">
        <v>-9.7341144659756643E-2</v>
      </c>
      <c r="AF197" s="587">
        <v>5.9925661837214594E-3</v>
      </c>
      <c r="AG197" s="587">
        <v>0</v>
      </c>
      <c r="AH197" s="587">
        <v>-0.21172387196297723</v>
      </c>
      <c r="AI197" s="587">
        <v>-1.4300033411293017E-2</v>
      </c>
      <c r="AJ197" s="587">
        <v>-8.2057208899162098E-3</v>
      </c>
      <c r="AK197" s="587">
        <v>-2.8186580194562234E-2</v>
      </c>
      <c r="AL197" s="587">
        <v>-9.9411554921540659E-3</v>
      </c>
      <c r="AM197" s="587">
        <v>9.3732062908965671E-2</v>
      </c>
      <c r="AN197" s="587">
        <v>0.17563837129054521</v>
      </c>
      <c r="AO197" s="587">
        <v>4.3592317906532368E-2</v>
      </c>
      <c r="AP197" s="587">
        <v>-1.3103557814485387E-2</v>
      </c>
      <c r="AQ197" s="587">
        <v>-3.4263014152114545E-2</v>
      </c>
      <c r="AR197" s="587">
        <v>8.6754271006741518E-2</v>
      </c>
      <c r="AS197" s="587">
        <v>0.10576662543441126</v>
      </c>
      <c r="AT197" s="587">
        <v>6.3620350222774846E-2</v>
      </c>
      <c r="AU197" s="587">
        <v>9.5368204054253045E-2</v>
      </c>
      <c r="AV197" s="587">
        <v>6.6562818285303457E-2</v>
      </c>
      <c r="AW197" s="587">
        <v>-6.5493751005739426E-2</v>
      </c>
      <c r="AX197" s="587">
        <v>9.7872480496823538E-2</v>
      </c>
      <c r="AY197" s="587">
        <v>1.5857913098636219E-2</v>
      </c>
      <c r="AZ197" s="587">
        <v>1.2043086104392252E-2</v>
      </c>
      <c r="BA197" s="587">
        <v>-3.512425378314591E-2</v>
      </c>
      <c r="BB197" s="587">
        <v>3.4942333345138174E-2</v>
      </c>
      <c r="BC197" s="587">
        <v>2.8278424268476158E-2</v>
      </c>
      <c r="BD197" s="587">
        <v>3.2029707274059536E-2</v>
      </c>
      <c r="BE197" s="587">
        <v>0.13489093730035592</v>
      </c>
      <c r="BF197" s="587">
        <v>7.1636521308225967E-2</v>
      </c>
      <c r="BG197" s="587">
        <v>9.0693877551020402E-2</v>
      </c>
      <c r="BH197" s="587">
        <v>8.1020172593854786E-2</v>
      </c>
      <c r="BI197" s="587">
        <v>0.13982108972621307</v>
      </c>
      <c r="BJ197" s="587">
        <v>3.3439037364794373E-2</v>
      </c>
      <c r="BK197" s="587">
        <v>3.8033292911476134E-2</v>
      </c>
      <c r="BL197" s="587">
        <v>6.3809813771756232E-3</v>
      </c>
      <c r="BM197" s="587">
        <v>-7.2731103309769006E-3</v>
      </c>
      <c r="BN197" s="587">
        <v>4.7851851851851854E-2</v>
      </c>
      <c r="BO197" s="587">
        <v>2.8355916979747153E-2</v>
      </c>
      <c r="BP197" s="587">
        <v>3.6243463102847179E-2</v>
      </c>
      <c r="BQ197" s="587">
        <v>8.7158515551104432E-2</v>
      </c>
      <c r="BR197" s="587">
        <v>9.1611278845230598E-2</v>
      </c>
      <c r="BS197" s="587">
        <v>9.4055049212498867E-2</v>
      </c>
      <c r="BT197" s="587">
        <v>1.4387179020214897E-2</v>
      </c>
      <c r="BU197" s="587">
        <v>9.2731175310360833E-2</v>
      </c>
      <c r="BV197" s="587">
        <v>0.14923864708260343</v>
      </c>
      <c r="BW197" s="587">
        <v>0.10751273005080753</v>
      </c>
      <c r="BX197" s="587">
        <v>0</v>
      </c>
      <c r="BY197" s="587">
        <v>2.9709920072870318E-2</v>
      </c>
      <c r="BZ197" s="587">
        <v>0.12075540421962351</v>
      </c>
      <c r="CA197" s="587">
        <v>8.036170686502947E-2</v>
      </c>
      <c r="CB197" s="587">
        <v>0.15967982129560684</v>
      </c>
      <c r="CC197" s="587">
        <v>6.5435399388913143E-2</v>
      </c>
      <c r="CD197" s="587">
        <v>0.1867126440520824</v>
      </c>
      <c r="CE197" s="587">
        <v>0</v>
      </c>
      <c r="CF197" s="587">
        <v>6.8687825675035521E-2</v>
      </c>
      <c r="CG197" s="587">
        <v>1.7343131552440806E-2</v>
      </c>
      <c r="CH197" s="587">
        <v>3.3432469651557058E-2</v>
      </c>
      <c r="CI197" s="587">
        <v>5.9467256945308029E-2</v>
      </c>
      <c r="CJ197" s="587">
        <v>2.945541332176177E-2</v>
      </c>
      <c r="CK197" s="587">
        <v>2.6092569618848781E-2</v>
      </c>
      <c r="CL197" s="587">
        <v>0.1291325720109103</v>
      </c>
      <c r="CM197" s="587">
        <v>9.7219650022556212E-2</v>
      </c>
      <c r="CN197" s="587">
        <v>4.9353531455036667E-2</v>
      </c>
      <c r="CO197" s="587">
        <v>0.12453023573624872</v>
      </c>
      <c r="CP197" s="587">
        <v>4.6648247002333755E-2</v>
      </c>
      <c r="CQ197" s="587">
        <v>0.1678027648595273</v>
      </c>
      <c r="CR197" s="587">
        <v>0.14266055045871559</v>
      </c>
      <c r="CS197" s="587">
        <v>0.10515312464685275</v>
      </c>
      <c r="CT197" s="587">
        <v>4.1235309556443382E-2</v>
      </c>
      <c r="CU197" s="587">
        <v>8.3074020927720357E-2</v>
      </c>
      <c r="CV197" s="587">
        <v>0.13757875759697175</v>
      </c>
      <c r="CW197" s="587">
        <v>0.14683623312787702</v>
      </c>
      <c r="CX197" s="587">
        <v>1.5012635456375552E-2</v>
      </c>
      <c r="CY197" s="587">
        <v>8.0593460939646488E-3</v>
      </c>
      <c r="CZ197" s="587">
        <v>3.705547652916074E-2</v>
      </c>
      <c r="DA197" s="587">
        <v>4.4441112848300532E-2</v>
      </c>
      <c r="DB197" s="587">
        <v>6.3356257107272428E-3</v>
      </c>
      <c r="DC197" s="587">
        <v>0.14285714285714285</v>
      </c>
      <c r="DD197" s="587">
        <v>3.0917874396135265E-2</v>
      </c>
      <c r="DE197" s="587">
        <v>-1.7268795318661746E-2</v>
      </c>
      <c r="DF197" s="587">
        <v>-9.5734483584950875E-2</v>
      </c>
      <c r="DG197" s="587">
        <v>-4.0659972749004333E-2</v>
      </c>
      <c r="DH197" s="587">
        <v>-4.8957306781753716E-2</v>
      </c>
      <c r="DI197" s="587">
        <v>-9.875480196052458E-2</v>
      </c>
      <c r="DJ197" s="587">
        <v>1.2784355626234641E-2</v>
      </c>
      <c r="DK197" s="587">
        <v>2.3640005121799781E-2</v>
      </c>
      <c r="DL197" s="587">
        <v>-4.2622661043913032E-2</v>
      </c>
      <c r="DM197" s="587">
        <v>-5.9043094672548355E-2</v>
      </c>
      <c r="DN197" s="587">
        <v>-7.163489312536106E-2</v>
      </c>
      <c r="DO197" s="587">
        <v>0</v>
      </c>
      <c r="DP197" s="587">
        <v>8.0631025416301495E-3</v>
      </c>
      <c r="DQ197" s="587">
        <v>-1.0070207786681796E-2</v>
      </c>
      <c r="DR197" s="587">
        <v>2.3475352547109099E-3</v>
      </c>
      <c r="DS197" s="587">
        <v>3.6804389349673748E-2</v>
      </c>
      <c r="DT197" s="587">
        <v>5.3371626005000401E-2</v>
      </c>
      <c r="DU197" s="587">
        <v>6.6967129570645939E-3</v>
      </c>
      <c r="DV197" s="587">
        <v>1.0984555739968833E-2</v>
      </c>
      <c r="DW197" s="587">
        <v>-3.5536674589929027E-2</v>
      </c>
      <c r="DX197" s="587">
        <v>8.3477877136745593E-3</v>
      </c>
      <c r="DY197" s="587">
        <v>-4.1264169736446856E-3</v>
      </c>
      <c r="DZ197" s="587">
        <v>2.8820292935297913E-2</v>
      </c>
      <c r="EA197" s="587">
        <v>3.3428825183137341E-2</v>
      </c>
      <c r="EB197" s="587">
        <v>3.4254025154342262E-2</v>
      </c>
      <c r="EC197" s="587">
        <v>1.3740607424760005E-2</v>
      </c>
      <c r="ED197" s="587">
        <v>1.9267125580049026E-2</v>
      </c>
      <c r="EE197" s="587">
        <v>4.6725303649696834E-2</v>
      </c>
      <c r="EF197" s="587">
        <v>3.397261152624996E-2</v>
      </c>
      <c r="EG197" s="587">
        <v>0.15986677768526228</v>
      </c>
      <c r="EH197" s="587">
        <v>0.12646432374866878</v>
      </c>
      <c r="EI197" s="587">
        <v>3.5366648682672419E-2</v>
      </c>
      <c r="EJ197" s="587">
        <v>0.2149887164019747</v>
      </c>
      <c r="EK197" s="587">
        <v>7.5919496336518996E-2</v>
      </c>
      <c r="EL197" s="587">
        <v>0.27301930709319328</v>
      </c>
      <c r="EM197" s="587">
        <v>0.22232359495414478</v>
      </c>
      <c r="EN197" s="587">
        <v>0.1808762591439346</v>
      </c>
      <c r="EO197" s="587">
        <v>0.26234209816161191</v>
      </c>
      <c r="EP197" s="587">
        <v>0.49310004215993164</v>
      </c>
      <c r="EQ197" s="587">
        <v>4.3817935933893486E-2</v>
      </c>
      <c r="ER197" s="587">
        <v>-1.9607843137254902E-2</v>
      </c>
      <c r="ES197" s="587">
        <v>5.9977818753359509E-2</v>
      </c>
      <c r="ET197" s="587">
        <v>4.1860841059453473E-2</v>
      </c>
      <c r="EU197" s="587">
        <v>2.7433908686622155E-2</v>
      </c>
      <c r="EV197" s="587">
        <v>3.3477932855526214E-2</v>
      </c>
      <c r="EW197" s="587">
        <v>5.9396025356823395E-2</v>
      </c>
      <c r="EX197" s="587">
        <v>2.19712446517365E-3</v>
      </c>
      <c r="EY197" s="587">
        <v>5.6146689102246856E-2</v>
      </c>
      <c r="EZ197" s="587">
        <v>5.2892303413752347E-2</v>
      </c>
      <c r="FA197" s="587">
        <v>3.7870184327771471E-2</v>
      </c>
      <c r="FB197" s="587">
        <v>0.26585198851850228</v>
      </c>
      <c r="FC197" s="587">
        <v>4.3095980595980595E-3</v>
      </c>
      <c r="FD197" s="587">
        <v>0.23744525906608277</v>
      </c>
      <c r="FE197" s="587">
        <v>0.14168485560779046</v>
      </c>
      <c r="FF197" s="587">
        <v>9.41822897706589E-2</v>
      </c>
      <c r="FG197" s="587">
        <v>0.20579331941544884</v>
      </c>
      <c r="FH197" s="587">
        <v>9.7935295073971709E-2</v>
      </c>
      <c r="FI197" s="587">
        <v>0</v>
      </c>
      <c r="FJ197" s="587">
        <v>0</v>
      </c>
      <c r="FK197" s="587">
        <v>0</v>
      </c>
      <c r="FL197" s="587">
        <v>3.7349712493465761E-2</v>
      </c>
      <c r="FM197" s="587">
        <v>6.740342435028808E-3</v>
      </c>
      <c r="FN197" s="587">
        <v>5.404390822415419E-2</v>
      </c>
      <c r="FO197" s="587">
        <v>4.1841841147959573E-2</v>
      </c>
      <c r="FP197" s="587">
        <v>2.8030756625594806E-2</v>
      </c>
      <c r="FQ197" s="587">
        <v>1.4679935658746458E-2</v>
      </c>
      <c r="FR197" s="587">
        <v>3.0781550213498123E-2</v>
      </c>
      <c r="FS197" s="587">
        <v>-5.7408757077983966E-3</v>
      </c>
      <c r="FT197" s="587">
        <v>9.0348788345706685E-2</v>
      </c>
      <c r="FU197" s="587">
        <v>0.17546146984148769</v>
      </c>
      <c r="FV197" s="587">
        <v>2.5051317498219598E-2</v>
      </c>
      <c r="FW197" s="587">
        <v>9.6028711614785829E-3</v>
      </c>
      <c r="FX197" s="587">
        <v>5.3507562252643144E-2</v>
      </c>
      <c r="FY197" s="587">
        <v>0.11005165197972479</v>
      </c>
      <c r="FZ197" s="587">
        <v>5.1346352914679733E-2</v>
      </c>
      <c r="GA197" s="587">
        <v>3.1322748383913794E-2</v>
      </c>
      <c r="GB197" s="587">
        <v>0.19386470080511653</v>
      </c>
      <c r="GC197" s="587">
        <v>0.19501898803208631</v>
      </c>
      <c r="GD197" s="587">
        <v>0.14876688128272558</v>
      </c>
      <c r="GE197" s="587">
        <v>0</v>
      </c>
      <c r="GF197" s="587">
        <v>0.35371225388738525</v>
      </c>
      <c r="GG197" s="588">
        <v>9.6888587189489395E-2</v>
      </c>
    </row>
    <row r="198" spans="1:189">
      <c r="A198" s="572" t="s">
        <v>9395</v>
      </c>
      <c r="B198" s="577" t="s">
        <v>9564</v>
      </c>
      <c r="C198" s="573" t="s">
        <v>9565</v>
      </c>
      <c r="D198" s="587">
        <v>0.30741765598500403</v>
      </c>
      <c r="E198" s="587">
        <v>0.37154262902765894</v>
      </c>
      <c r="F198" s="587">
        <v>0.12734214805911051</v>
      </c>
      <c r="G198" s="587">
        <v>0.20525727069351229</v>
      </c>
      <c r="H198" s="587">
        <v>0.3392857142857143</v>
      </c>
      <c r="I198" s="587">
        <v>0.12656784492588369</v>
      </c>
      <c r="J198" s="587">
        <v>0.10578363317173735</v>
      </c>
      <c r="K198" s="587">
        <v>6.9127206848779793E-2</v>
      </c>
      <c r="L198" s="587">
        <v>1.6566265060240965E-2</v>
      </c>
      <c r="M198" s="587">
        <v>0.14503816793893129</v>
      </c>
      <c r="N198" s="587">
        <v>0.14804270462633451</v>
      </c>
      <c r="O198" s="587">
        <v>0.13966015590785671</v>
      </c>
      <c r="P198" s="587">
        <v>0.1270718232044199</v>
      </c>
      <c r="Q198" s="587">
        <v>0</v>
      </c>
      <c r="R198" s="587">
        <v>6.9809507659261777E-2</v>
      </c>
      <c r="S198" s="587">
        <v>0.1419234360410831</v>
      </c>
      <c r="T198" s="587">
        <v>6.0965808629360033E-2</v>
      </c>
      <c r="U198" s="587">
        <v>3.6503959297655028E-2</v>
      </c>
      <c r="V198" s="587">
        <v>1.8756155062818945E-2</v>
      </c>
      <c r="W198" s="587">
        <v>6.1463656752086475E-2</v>
      </c>
      <c r="X198" s="587">
        <v>4.6422356433616543E-2</v>
      </c>
      <c r="Y198" s="587">
        <v>6.1950154960634697E-2</v>
      </c>
      <c r="Z198" s="587">
        <v>4.8040970911833625E-2</v>
      </c>
      <c r="AA198" s="587">
        <v>8.4149743413974659E-2</v>
      </c>
      <c r="AB198" s="587">
        <v>4.0295006689681376E-2</v>
      </c>
      <c r="AC198" s="587">
        <v>2.3874924419106849E-2</v>
      </c>
      <c r="AD198" s="587">
        <v>0</v>
      </c>
      <c r="AE198" s="587">
        <v>7.1203244704821991E-2</v>
      </c>
      <c r="AF198" s="587">
        <v>9.3681256163240537E-2</v>
      </c>
      <c r="AG198" s="587">
        <v>0</v>
      </c>
      <c r="AH198" s="587">
        <v>0.33127651369070577</v>
      </c>
      <c r="AI198" s="587">
        <v>0.18356164383561643</v>
      </c>
      <c r="AJ198" s="587">
        <v>5.6688818260618321E-2</v>
      </c>
      <c r="AK198" s="587">
        <v>4.7143926166126213E-2</v>
      </c>
      <c r="AL198" s="587">
        <v>0.10984308131241084</v>
      </c>
      <c r="AM198" s="587">
        <v>7.0887383767650095E-2</v>
      </c>
      <c r="AN198" s="587">
        <v>8.027087646652864E-2</v>
      </c>
      <c r="AO198" s="587">
        <v>4.7122453606244133E-2</v>
      </c>
      <c r="AP198" s="587">
        <v>4.582274459974587E-2</v>
      </c>
      <c r="AQ198" s="587">
        <v>6.2546553008358846E-2</v>
      </c>
      <c r="AR198" s="587">
        <v>2.9622545720728699E-2</v>
      </c>
      <c r="AS198" s="587">
        <v>5.7948989809742592E-2</v>
      </c>
      <c r="AT198" s="587">
        <v>7.7919386592063003E-2</v>
      </c>
      <c r="AU198" s="587">
        <v>0.11442057557958803</v>
      </c>
      <c r="AV198" s="587">
        <v>9.7178119944880473E-2</v>
      </c>
      <c r="AW198" s="587">
        <v>0.15812905648232581</v>
      </c>
      <c r="AX198" s="587">
        <v>0.12745366966940608</v>
      </c>
      <c r="AY198" s="587">
        <v>6.2004440215667617E-2</v>
      </c>
      <c r="AZ198" s="587">
        <v>0.10465221420982436</v>
      </c>
      <c r="BA198" s="587">
        <v>0.2569762598917118</v>
      </c>
      <c r="BB198" s="587">
        <v>0.15381709577268596</v>
      </c>
      <c r="BC198" s="587">
        <v>0.12970411536532694</v>
      </c>
      <c r="BD198" s="587">
        <v>0.11479278182789156</v>
      </c>
      <c r="BE198" s="587">
        <v>0.26250166735701097</v>
      </c>
      <c r="BF198" s="587">
        <v>0.11530599603567888</v>
      </c>
      <c r="BG198" s="587">
        <v>0.13804823747680892</v>
      </c>
      <c r="BH198" s="587">
        <v>6.3595888528554939E-2</v>
      </c>
      <c r="BI198" s="587">
        <v>8.7720249390078608E-2</v>
      </c>
      <c r="BJ198" s="587">
        <v>8.6255314411074591E-2</v>
      </c>
      <c r="BK198" s="587">
        <v>2.2930217175614595E-2</v>
      </c>
      <c r="BL198" s="587">
        <v>7.0431826254630334E-2</v>
      </c>
      <c r="BM198" s="587">
        <v>8.3940761707165704E-2</v>
      </c>
      <c r="BN198" s="587">
        <v>0.19190123456790123</v>
      </c>
      <c r="BO198" s="587">
        <v>0.13552119450266079</v>
      </c>
      <c r="BP198" s="587">
        <v>3.8567693201626958E-2</v>
      </c>
      <c r="BQ198" s="587">
        <v>4.2591665275691318E-2</v>
      </c>
      <c r="BR198" s="587">
        <v>0.13906521715937822</v>
      </c>
      <c r="BS198" s="587">
        <v>0.10850015679213409</v>
      </c>
      <c r="BT198" s="587">
        <v>0.12802768166089964</v>
      </c>
      <c r="BU198" s="587">
        <v>0.10868430212321616</v>
      </c>
      <c r="BV198" s="587">
        <v>8.4624713650451419E-2</v>
      </c>
      <c r="BW198" s="587">
        <v>8.8559912650273187E-2</v>
      </c>
      <c r="BX198" s="587">
        <v>0</v>
      </c>
      <c r="BY198" s="587">
        <v>9.4941618662008846E-3</v>
      </c>
      <c r="BZ198" s="587">
        <v>3.0584820172074107E-2</v>
      </c>
      <c r="CA198" s="587">
        <v>1.9720770077490693E-2</v>
      </c>
      <c r="CB198" s="587">
        <v>4.8976172747580045E-2</v>
      </c>
      <c r="CC198" s="587">
        <v>1.7159537319947619E-2</v>
      </c>
      <c r="CD198" s="587">
        <v>3.7191258874909525E-2</v>
      </c>
      <c r="CE198" s="587">
        <v>0</v>
      </c>
      <c r="CF198" s="587">
        <v>4.6897205116058743E-2</v>
      </c>
      <c r="CG198" s="587">
        <v>2.8600207124515883E-2</v>
      </c>
      <c r="CH198" s="587">
        <v>5.663499704905512E-2</v>
      </c>
      <c r="CI198" s="587">
        <v>9.0805083691894453E-2</v>
      </c>
      <c r="CJ198" s="587">
        <v>2.8552831416793229E-2</v>
      </c>
      <c r="CK198" s="587">
        <v>0.10396683712063905</v>
      </c>
      <c r="CL198" s="587">
        <v>0.11894463927104877</v>
      </c>
      <c r="CM198" s="587">
        <v>8.6145736875845855E-2</v>
      </c>
      <c r="CN198" s="587">
        <v>7.3029235816287147E-2</v>
      </c>
      <c r="CO198" s="587">
        <v>0.12418858899897506</v>
      </c>
      <c r="CP198" s="587">
        <v>9.778516948773662E-2</v>
      </c>
      <c r="CQ198" s="587">
        <v>9.893610243995668E-2</v>
      </c>
      <c r="CR198" s="587">
        <v>9.696028335849495E-2</v>
      </c>
      <c r="CS198" s="587">
        <v>0.10040682563001468</v>
      </c>
      <c r="CT198" s="587">
        <v>0.10547957189933219</v>
      </c>
      <c r="CU198" s="587">
        <v>0.1044370636699289</v>
      </c>
      <c r="CV198" s="587">
        <v>8.082992076226822E-2</v>
      </c>
      <c r="CW198" s="587">
        <v>0.15959272840758368</v>
      </c>
      <c r="CX198" s="587">
        <v>0.10919318684770349</v>
      </c>
      <c r="CY198" s="587">
        <v>0.10535763348291968</v>
      </c>
      <c r="CZ198" s="587">
        <v>0.11434921763869133</v>
      </c>
      <c r="DA198" s="587">
        <v>0.21121843610117583</v>
      </c>
      <c r="DB198" s="587">
        <v>0.15048464829154709</v>
      </c>
      <c r="DC198" s="587">
        <v>0.11602610587382162</v>
      </c>
      <c r="DD198" s="587">
        <v>0.17294685990338166</v>
      </c>
      <c r="DE198" s="587">
        <v>0.20275501117633163</v>
      </c>
      <c r="DF198" s="587">
        <v>0.15191908299384935</v>
      </c>
      <c r="DG198" s="587">
        <v>0.1656558719771844</v>
      </c>
      <c r="DH198" s="587">
        <v>0.19060726543650389</v>
      </c>
      <c r="DI198" s="587">
        <v>0.18105047026096172</v>
      </c>
      <c r="DJ198" s="587">
        <v>0.18285728484637653</v>
      </c>
      <c r="DK198" s="587">
        <v>0.13248791424367687</v>
      </c>
      <c r="DL198" s="587">
        <v>0.19879043458498522</v>
      </c>
      <c r="DM198" s="587">
        <v>0.1057572672774573</v>
      </c>
      <c r="DN198" s="587">
        <v>0.23786415779483369</v>
      </c>
      <c r="DO198" s="587">
        <v>0</v>
      </c>
      <c r="DP198" s="587">
        <v>0.10354951796669588</v>
      </c>
      <c r="DQ198" s="587">
        <v>8.3390460881418965E-2</v>
      </c>
      <c r="DR198" s="587">
        <v>9.0516824558419945E-2</v>
      </c>
      <c r="DS198" s="587">
        <v>0.12706231492045586</v>
      </c>
      <c r="DT198" s="587">
        <v>3.3552252731633002E-2</v>
      </c>
      <c r="DU198" s="587">
        <v>0.12257930946617404</v>
      </c>
      <c r="DV198" s="587">
        <v>0.107172268747862</v>
      </c>
      <c r="DW198" s="587">
        <v>0.12857600431564928</v>
      </c>
      <c r="DX198" s="587">
        <v>0.10684187622964383</v>
      </c>
      <c r="DY198" s="587">
        <v>2.0790185135412878E-2</v>
      </c>
      <c r="DZ198" s="587">
        <v>2.6011185904614986E-2</v>
      </c>
      <c r="EA198" s="587">
        <v>2.9829516998217041E-2</v>
      </c>
      <c r="EB198" s="587">
        <v>2.5142852765905294E-2</v>
      </c>
      <c r="EC198" s="587">
        <v>7.515895127329221E-2</v>
      </c>
      <c r="ED198" s="587">
        <v>3.7806080451556298E-2</v>
      </c>
      <c r="EE198" s="587">
        <v>0.1735417823778635</v>
      </c>
      <c r="EF198" s="587">
        <v>0.15653442801706166</v>
      </c>
      <c r="EG198" s="587">
        <v>0.22175964474049403</v>
      </c>
      <c r="EH198" s="587">
        <v>0.1842119275825346</v>
      </c>
      <c r="EI198" s="587">
        <v>5.0405763870155565E-2</v>
      </c>
      <c r="EJ198" s="587">
        <v>8.5226889744283385E-2</v>
      </c>
      <c r="EK198" s="587">
        <v>9.3005164907636773E-2</v>
      </c>
      <c r="EL198" s="587">
        <v>7.1143803527200025E-2</v>
      </c>
      <c r="EM198" s="587">
        <v>7.7706487019232676E-2</v>
      </c>
      <c r="EN198" s="587">
        <v>0.28374234687827177</v>
      </c>
      <c r="EO198" s="587">
        <v>0.2753485018899961</v>
      </c>
      <c r="EP198" s="587">
        <v>0.3664033847336276</v>
      </c>
      <c r="EQ198" s="587">
        <v>0.33886367564965986</v>
      </c>
      <c r="ER198" s="587">
        <v>0.13823529411764707</v>
      </c>
      <c r="ES198" s="587">
        <v>5.57456913268604E-2</v>
      </c>
      <c r="ET198" s="587">
        <v>8.8698553447702444E-2</v>
      </c>
      <c r="EU198" s="587">
        <v>8.8215622543210165E-2</v>
      </c>
      <c r="EV198" s="587">
        <v>0.1847604677480196</v>
      </c>
      <c r="EW198" s="587">
        <v>0.13024540115894684</v>
      </c>
      <c r="EX198" s="587">
        <v>0.13918976217091317</v>
      </c>
      <c r="EY198" s="587">
        <v>0.1687617539344749</v>
      </c>
      <c r="EZ198" s="587">
        <v>0.21975596189946464</v>
      </c>
      <c r="FA198" s="587">
        <v>9.12684546169302E-2</v>
      </c>
      <c r="FB198" s="587">
        <v>9.1679961683368352E-2</v>
      </c>
      <c r="FC198" s="587">
        <v>6.0897435897435896E-2</v>
      </c>
      <c r="FD198" s="587">
        <v>0.20002214240023619</v>
      </c>
      <c r="FE198" s="587">
        <v>6.5774009402283409E-2</v>
      </c>
      <c r="FF198" s="587">
        <v>8.7656231039922344E-2</v>
      </c>
      <c r="FG198" s="587">
        <v>3.1732776617954074E-2</v>
      </c>
      <c r="FH198" s="587">
        <v>4.4756950089416353E-2</v>
      </c>
      <c r="FI198" s="587">
        <v>0</v>
      </c>
      <c r="FJ198" s="587">
        <v>0</v>
      </c>
      <c r="FK198" s="587">
        <v>8.3320029651111363E-2</v>
      </c>
      <c r="FL198" s="587">
        <v>4.8052796654469418E-2</v>
      </c>
      <c r="FM198" s="587">
        <v>6.7741315328016402E-2</v>
      </c>
      <c r="FN198" s="587">
        <v>7.4677598588063915E-2</v>
      </c>
      <c r="FO198" s="587">
        <v>7.0917627929154167E-2</v>
      </c>
      <c r="FP198" s="587">
        <v>3.0126366873601613E-2</v>
      </c>
      <c r="FQ198" s="587">
        <v>2.5883996504644704E-2</v>
      </c>
      <c r="FR198" s="587">
        <v>7.5157409633913166E-2</v>
      </c>
      <c r="FS198" s="587">
        <v>6.2639457307843247E-2</v>
      </c>
      <c r="FT198" s="587">
        <v>0.43288561008129572</v>
      </c>
      <c r="FU198" s="587">
        <v>0.36293144856927195</v>
      </c>
      <c r="FV198" s="587">
        <v>8.1877592057308032E-2</v>
      </c>
      <c r="FW198" s="587">
        <v>1.9181492648306969E-2</v>
      </c>
      <c r="FX198" s="587">
        <v>5.0923278732635968E-2</v>
      </c>
      <c r="FY198" s="587">
        <v>8.5972386228637884E-2</v>
      </c>
      <c r="FZ198" s="587">
        <v>0.13429745801986287</v>
      </c>
      <c r="GA198" s="587">
        <v>4.7976155274967451E-2</v>
      </c>
      <c r="GB198" s="587">
        <v>0.13344087086534698</v>
      </c>
      <c r="GC198" s="587">
        <v>0.13536533370350906</v>
      </c>
      <c r="GD198" s="587">
        <v>0.15171575295306994</v>
      </c>
      <c r="GE198" s="587">
        <v>0</v>
      </c>
      <c r="GF198" s="587">
        <v>4.9042084593748342E-2</v>
      </c>
      <c r="GG198" s="588">
        <v>0.11171574769218955</v>
      </c>
    </row>
    <row r="199" spans="1:189">
      <c r="A199" s="572" t="s">
        <v>9396</v>
      </c>
      <c r="B199" s="577" t="s">
        <v>9566</v>
      </c>
      <c r="C199" s="573" t="s">
        <v>9567</v>
      </c>
      <c r="D199" s="587">
        <v>0</v>
      </c>
      <c r="E199" s="587">
        <v>0</v>
      </c>
      <c r="F199" s="587">
        <v>0</v>
      </c>
      <c r="G199" s="587">
        <v>0</v>
      </c>
      <c r="H199" s="587">
        <v>0</v>
      </c>
      <c r="I199" s="587">
        <v>0</v>
      </c>
      <c r="J199" s="587">
        <v>0</v>
      </c>
      <c r="K199" s="587">
        <v>0</v>
      </c>
      <c r="L199" s="587">
        <v>0</v>
      </c>
      <c r="M199" s="587">
        <v>0</v>
      </c>
      <c r="N199" s="587">
        <v>0</v>
      </c>
      <c r="O199" s="587">
        <v>0</v>
      </c>
      <c r="P199" s="587">
        <v>0</v>
      </c>
      <c r="Q199" s="587">
        <v>0</v>
      </c>
      <c r="R199" s="587">
        <v>0</v>
      </c>
      <c r="S199" s="587">
        <v>0</v>
      </c>
      <c r="T199" s="587">
        <v>0</v>
      </c>
      <c r="U199" s="587">
        <v>0</v>
      </c>
      <c r="V199" s="587">
        <v>0</v>
      </c>
      <c r="W199" s="587">
        <v>0</v>
      </c>
      <c r="X199" s="587">
        <v>0</v>
      </c>
      <c r="Y199" s="587">
        <v>0</v>
      </c>
      <c r="Z199" s="587">
        <v>0</v>
      </c>
      <c r="AA199" s="587">
        <v>0</v>
      </c>
      <c r="AB199" s="587">
        <v>0</v>
      </c>
      <c r="AC199" s="587">
        <v>0</v>
      </c>
      <c r="AD199" s="587">
        <v>0</v>
      </c>
      <c r="AE199" s="587">
        <v>0</v>
      </c>
      <c r="AF199" s="587">
        <v>0</v>
      </c>
      <c r="AG199" s="587">
        <v>0</v>
      </c>
      <c r="AH199" s="587">
        <v>0</v>
      </c>
      <c r="AI199" s="587">
        <v>0</v>
      </c>
      <c r="AJ199" s="587">
        <v>0</v>
      </c>
      <c r="AK199" s="587">
        <v>0</v>
      </c>
      <c r="AL199" s="587">
        <v>0</v>
      </c>
      <c r="AM199" s="587">
        <v>0</v>
      </c>
      <c r="AN199" s="587">
        <v>0</v>
      </c>
      <c r="AO199" s="587">
        <v>0</v>
      </c>
      <c r="AP199" s="587">
        <v>0</v>
      </c>
      <c r="AQ199" s="587">
        <v>0</v>
      </c>
      <c r="AR199" s="587">
        <v>0</v>
      </c>
      <c r="AS199" s="587">
        <v>0</v>
      </c>
      <c r="AT199" s="587">
        <v>0</v>
      </c>
      <c r="AU199" s="587">
        <v>0</v>
      </c>
      <c r="AV199" s="587">
        <v>0</v>
      </c>
      <c r="AW199" s="587">
        <v>0</v>
      </c>
      <c r="AX199" s="587">
        <v>0</v>
      </c>
      <c r="AY199" s="587">
        <v>0</v>
      </c>
      <c r="AZ199" s="587">
        <v>0</v>
      </c>
      <c r="BA199" s="587">
        <v>0</v>
      </c>
      <c r="BB199" s="587">
        <v>0</v>
      </c>
      <c r="BC199" s="587">
        <v>0</v>
      </c>
      <c r="BD199" s="587">
        <v>0</v>
      </c>
      <c r="BE199" s="587">
        <v>0</v>
      </c>
      <c r="BF199" s="587">
        <v>0</v>
      </c>
      <c r="BG199" s="587">
        <v>0</v>
      </c>
      <c r="BH199" s="587">
        <v>0</v>
      </c>
      <c r="BI199" s="587">
        <v>0</v>
      </c>
      <c r="BJ199" s="587">
        <v>0</v>
      </c>
      <c r="BK199" s="587">
        <v>0</v>
      </c>
      <c r="BL199" s="587">
        <v>0</v>
      </c>
      <c r="BM199" s="587">
        <v>0</v>
      </c>
      <c r="BN199" s="587">
        <v>0</v>
      </c>
      <c r="BO199" s="587">
        <v>0</v>
      </c>
      <c r="BP199" s="587">
        <v>0</v>
      </c>
      <c r="BQ199" s="587">
        <v>0</v>
      </c>
      <c r="BR199" s="587">
        <v>0</v>
      </c>
      <c r="BS199" s="587">
        <v>0</v>
      </c>
      <c r="BT199" s="587">
        <v>0</v>
      </c>
      <c r="BU199" s="587">
        <v>0</v>
      </c>
      <c r="BV199" s="587">
        <v>0</v>
      </c>
      <c r="BW199" s="587">
        <v>0</v>
      </c>
      <c r="BX199" s="587">
        <v>0</v>
      </c>
      <c r="BY199" s="587">
        <v>0</v>
      </c>
      <c r="BZ199" s="587">
        <v>0</v>
      </c>
      <c r="CA199" s="587">
        <v>0</v>
      </c>
      <c r="CB199" s="587">
        <v>0</v>
      </c>
      <c r="CC199" s="587">
        <v>0</v>
      </c>
      <c r="CD199" s="587">
        <v>0</v>
      </c>
      <c r="CE199" s="587">
        <v>0</v>
      </c>
      <c r="CF199" s="587">
        <v>0</v>
      </c>
      <c r="CG199" s="587">
        <v>0</v>
      </c>
      <c r="CH199" s="587">
        <v>0</v>
      </c>
      <c r="CI199" s="587">
        <v>0</v>
      </c>
      <c r="CJ199" s="587">
        <v>0</v>
      </c>
      <c r="CK199" s="587">
        <v>0</v>
      </c>
      <c r="CL199" s="587">
        <v>0</v>
      </c>
      <c r="CM199" s="587">
        <v>0</v>
      </c>
      <c r="CN199" s="587">
        <v>0</v>
      </c>
      <c r="CO199" s="587">
        <v>0</v>
      </c>
      <c r="CP199" s="587">
        <v>0</v>
      </c>
      <c r="CQ199" s="587">
        <v>0</v>
      </c>
      <c r="CR199" s="587">
        <v>0</v>
      </c>
      <c r="CS199" s="587">
        <v>0</v>
      </c>
      <c r="CT199" s="587">
        <v>0</v>
      </c>
      <c r="CU199" s="587">
        <v>0</v>
      </c>
      <c r="CV199" s="587">
        <v>0</v>
      </c>
      <c r="CW199" s="587">
        <v>0</v>
      </c>
      <c r="CX199" s="587">
        <v>0</v>
      </c>
      <c r="CY199" s="587">
        <v>0</v>
      </c>
      <c r="CZ199" s="587">
        <v>0</v>
      </c>
      <c r="DA199" s="587">
        <v>0</v>
      </c>
      <c r="DB199" s="587">
        <v>0</v>
      </c>
      <c r="DC199" s="587">
        <v>0</v>
      </c>
      <c r="DD199" s="587">
        <v>0</v>
      </c>
      <c r="DE199" s="587">
        <v>0</v>
      </c>
      <c r="DF199" s="587">
        <v>0</v>
      </c>
      <c r="DG199" s="587">
        <v>0</v>
      </c>
      <c r="DH199" s="587">
        <v>0</v>
      </c>
      <c r="DI199" s="587">
        <v>0</v>
      </c>
      <c r="DJ199" s="587">
        <v>0</v>
      </c>
      <c r="DK199" s="587">
        <v>0</v>
      </c>
      <c r="DL199" s="587">
        <v>0</v>
      </c>
      <c r="DM199" s="587">
        <v>0</v>
      </c>
      <c r="DN199" s="587">
        <v>0</v>
      </c>
      <c r="DO199" s="587">
        <v>0</v>
      </c>
      <c r="DP199" s="587">
        <v>0</v>
      </c>
      <c r="DQ199" s="587">
        <v>0</v>
      </c>
      <c r="DR199" s="587">
        <v>0</v>
      </c>
      <c r="DS199" s="587">
        <v>0</v>
      </c>
      <c r="DT199" s="587">
        <v>0</v>
      </c>
      <c r="DU199" s="587">
        <v>0</v>
      </c>
      <c r="DV199" s="587">
        <v>0</v>
      </c>
      <c r="DW199" s="587">
        <v>0</v>
      </c>
      <c r="DX199" s="587">
        <v>0</v>
      </c>
      <c r="DY199" s="587">
        <v>0</v>
      </c>
      <c r="DZ199" s="587">
        <v>0</v>
      </c>
      <c r="EA199" s="587">
        <v>0</v>
      </c>
      <c r="EB199" s="587">
        <v>0</v>
      </c>
      <c r="EC199" s="587">
        <v>0</v>
      </c>
      <c r="ED199" s="587">
        <v>0</v>
      </c>
      <c r="EE199" s="587">
        <v>0</v>
      </c>
      <c r="EF199" s="587">
        <v>0</v>
      </c>
      <c r="EG199" s="587">
        <v>0</v>
      </c>
      <c r="EH199" s="587">
        <v>2.5516506922257719E-2</v>
      </c>
      <c r="EI199" s="587">
        <v>2.6857971405449151E-2</v>
      </c>
      <c r="EJ199" s="587">
        <v>0</v>
      </c>
      <c r="EK199" s="587">
        <v>0</v>
      </c>
      <c r="EL199" s="587">
        <v>0</v>
      </c>
      <c r="EM199" s="587">
        <v>0</v>
      </c>
      <c r="EN199" s="587">
        <v>0</v>
      </c>
      <c r="EO199" s="587">
        <v>0</v>
      </c>
      <c r="EP199" s="587">
        <v>0</v>
      </c>
      <c r="EQ199" s="587">
        <v>0</v>
      </c>
      <c r="ER199" s="587">
        <v>0</v>
      </c>
      <c r="ES199" s="587">
        <v>0</v>
      </c>
      <c r="ET199" s="587">
        <v>0</v>
      </c>
      <c r="EU199" s="587">
        <v>0</v>
      </c>
      <c r="EV199" s="587">
        <v>0</v>
      </c>
      <c r="EW199" s="587">
        <v>0</v>
      </c>
      <c r="EX199" s="587">
        <v>0</v>
      </c>
      <c r="EY199" s="587">
        <v>0</v>
      </c>
      <c r="EZ199" s="587">
        <v>0</v>
      </c>
      <c r="FA199" s="587">
        <v>0</v>
      </c>
      <c r="FB199" s="587">
        <v>8.0950630234385805E-4</v>
      </c>
      <c r="FC199" s="587">
        <v>0</v>
      </c>
      <c r="FD199" s="587">
        <v>0</v>
      </c>
      <c r="FE199" s="587">
        <v>0</v>
      </c>
      <c r="FF199" s="587">
        <v>0</v>
      </c>
      <c r="FG199" s="587">
        <v>0</v>
      </c>
      <c r="FH199" s="587">
        <v>0</v>
      </c>
      <c r="FI199" s="587">
        <v>0.35262579936696598</v>
      </c>
      <c r="FJ199" s="587">
        <v>0.34608712490104621</v>
      </c>
      <c r="FK199" s="587">
        <v>0.10565699683863837</v>
      </c>
      <c r="FL199" s="587">
        <v>0.10158128593831678</v>
      </c>
      <c r="FM199" s="587">
        <v>0.29373212236313961</v>
      </c>
      <c r="FN199" s="587">
        <v>0</v>
      </c>
      <c r="FO199" s="587">
        <v>0</v>
      </c>
      <c r="FP199" s="587">
        <v>1.5756468030126366E-3</v>
      </c>
      <c r="FQ199" s="587">
        <v>2.6660432911998306E-3</v>
      </c>
      <c r="FR199" s="587">
        <v>0</v>
      </c>
      <c r="FS199" s="587">
        <v>0</v>
      </c>
      <c r="FT199" s="587">
        <v>0</v>
      </c>
      <c r="FU199" s="587">
        <v>0</v>
      </c>
      <c r="FV199" s="587">
        <v>0</v>
      </c>
      <c r="FW199" s="587">
        <v>0</v>
      </c>
      <c r="FX199" s="587">
        <v>0</v>
      </c>
      <c r="FY199" s="587">
        <v>0</v>
      </c>
      <c r="FZ199" s="587">
        <v>0</v>
      </c>
      <c r="GA199" s="587">
        <v>0</v>
      </c>
      <c r="GB199" s="587">
        <v>0</v>
      </c>
      <c r="GC199" s="587">
        <v>0</v>
      </c>
      <c r="GD199" s="587">
        <v>0</v>
      </c>
      <c r="GE199" s="587">
        <v>0</v>
      </c>
      <c r="GF199" s="587">
        <v>0</v>
      </c>
      <c r="GG199" s="588">
        <v>1.5321634478799685E-2</v>
      </c>
    </row>
    <row r="200" spans="1:189">
      <c r="A200" s="572" t="s">
        <v>9397</v>
      </c>
      <c r="B200" s="577" t="s">
        <v>9568</v>
      </c>
      <c r="C200" s="573" t="s">
        <v>9569</v>
      </c>
      <c r="D200" s="587">
        <v>6.1813799875033472E-2</v>
      </c>
      <c r="E200" s="587">
        <v>3.2506415739948676E-2</v>
      </c>
      <c r="F200" s="587">
        <v>5.562233378114026E-2</v>
      </c>
      <c r="G200" s="587">
        <v>5.3411633109619688E-2</v>
      </c>
      <c r="H200" s="587">
        <v>7.1428571428571425E-2</v>
      </c>
      <c r="I200" s="587">
        <v>3.5347776510832381E-2</v>
      </c>
      <c r="J200" s="587">
        <v>1.6750148979690443E-2</v>
      </c>
      <c r="K200" s="587">
        <v>3.1615217931867431E-2</v>
      </c>
      <c r="L200" s="587">
        <v>2.4397590361445783E-2</v>
      </c>
      <c r="M200" s="587">
        <v>1.7448200654307525E-2</v>
      </c>
      <c r="N200" s="587">
        <v>4.5551601423487548E-2</v>
      </c>
      <c r="O200" s="587">
        <v>5.1677323289830955E-2</v>
      </c>
      <c r="P200" s="587">
        <v>4.9723756906077346E-2</v>
      </c>
      <c r="Q200" s="587">
        <v>0</v>
      </c>
      <c r="R200" s="587">
        <v>4.8838392402916736E-2</v>
      </c>
      <c r="S200" s="587">
        <v>4.5751633986928102E-2</v>
      </c>
      <c r="T200" s="587">
        <v>7.4989420783813307E-3</v>
      </c>
      <c r="U200" s="587">
        <v>1.4077502773421062E-2</v>
      </c>
      <c r="V200" s="587">
        <v>5.9237816705959595E-2</v>
      </c>
      <c r="W200" s="587">
        <v>1.8101155679743127E-2</v>
      </c>
      <c r="X200" s="587">
        <v>2.438837137885147E-2</v>
      </c>
      <c r="Y200" s="587">
        <v>2.6555478938235493E-2</v>
      </c>
      <c r="Z200" s="587">
        <v>2.4605630816224095E-2</v>
      </c>
      <c r="AA200" s="587">
        <v>0.35983928860453379</v>
      </c>
      <c r="AB200" s="587">
        <v>1.9606547628879603E-2</v>
      </c>
      <c r="AC200" s="587">
        <v>1.6169992225965275E-2</v>
      </c>
      <c r="AD200" s="587">
        <v>0</v>
      </c>
      <c r="AE200" s="587">
        <v>6.2640829202343401E-2</v>
      </c>
      <c r="AF200" s="587">
        <v>4.6802700447546079E-2</v>
      </c>
      <c r="AG200" s="587">
        <v>0</v>
      </c>
      <c r="AH200" s="587">
        <v>5.5919784033937527E-2</v>
      </c>
      <c r="AI200" s="587">
        <v>1.8376211159371866E-2</v>
      </c>
      <c r="AJ200" s="587">
        <v>4.5651545796012716E-2</v>
      </c>
      <c r="AK200" s="587">
        <v>4.9388875031179842E-2</v>
      </c>
      <c r="AL200" s="587">
        <v>4.7833452211126962E-2</v>
      </c>
      <c r="AM200" s="587">
        <v>2.9904718172425668E-2</v>
      </c>
      <c r="AN200" s="587">
        <v>3.7741545893719808E-2</v>
      </c>
      <c r="AO200" s="587">
        <v>2.791721993717006E-2</v>
      </c>
      <c r="AP200" s="587">
        <v>9.9269377382465059E-3</v>
      </c>
      <c r="AQ200" s="587">
        <v>1.8745344699164116E-2</v>
      </c>
      <c r="AR200" s="587">
        <v>1.6340216531482071E-2</v>
      </c>
      <c r="AS200" s="587">
        <v>3.312717205631148E-2</v>
      </c>
      <c r="AT200" s="587">
        <v>3.3758159776188998E-2</v>
      </c>
      <c r="AU200" s="587">
        <v>3.7376679046481572E-2</v>
      </c>
      <c r="AV200" s="587">
        <v>2.6720987358456655E-2</v>
      </c>
      <c r="AW200" s="587">
        <v>3.79767204849005E-2</v>
      </c>
      <c r="AX200" s="587">
        <v>1.2266976815633263E-2</v>
      </c>
      <c r="AY200" s="587">
        <v>2.0456707897240724E-2</v>
      </c>
      <c r="AZ200" s="587">
        <v>1.7293216086081788E-2</v>
      </c>
      <c r="BA200" s="587">
        <v>2.0824656393169511E-2</v>
      </c>
      <c r="BB200" s="587">
        <v>2.6726163072092173E-2</v>
      </c>
      <c r="BC200" s="587">
        <v>1.434902309967556E-2</v>
      </c>
      <c r="BD200" s="587">
        <v>2.6254672810144191E-2</v>
      </c>
      <c r="BE200" s="587">
        <v>2.7088408534059714E-2</v>
      </c>
      <c r="BF200" s="587">
        <v>2.4265981169474728E-2</v>
      </c>
      <c r="BG200" s="587">
        <v>2.7228200371057516E-2</v>
      </c>
      <c r="BH200" s="587">
        <v>1.6242510855823667E-2</v>
      </c>
      <c r="BI200" s="587">
        <v>2.7703984819734344E-2</v>
      </c>
      <c r="BJ200" s="587">
        <v>1.6672096197541453E-2</v>
      </c>
      <c r="BK200" s="587">
        <v>0.24126336677323337</v>
      </c>
      <c r="BL200" s="587">
        <v>6.5966407875374233E-3</v>
      </c>
      <c r="BM200" s="587">
        <v>3.8660153843687671E-2</v>
      </c>
      <c r="BN200" s="587">
        <v>1.2641975308641975E-2</v>
      </c>
      <c r="BO200" s="587">
        <v>3.6159588955099915E-2</v>
      </c>
      <c r="BP200" s="587">
        <v>2.3097036606624054E-2</v>
      </c>
      <c r="BQ200" s="587">
        <v>2.6734546263840205E-2</v>
      </c>
      <c r="BR200" s="587">
        <v>2.4441765440133142E-2</v>
      </c>
      <c r="BS200" s="587">
        <v>4.1049192267618884E-2</v>
      </c>
      <c r="BT200" s="587">
        <v>2.2764523766162812E-2</v>
      </c>
      <c r="BU200" s="587">
        <v>2.9353753335653789E-2</v>
      </c>
      <c r="BV200" s="587">
        <v>2.3514351165611104E-2</v>
      </c>
      <c r="BW200" s="587">
        <v>2.6662399841346215E-2</v>
      </c>
      <c r="BX200" s="587">
        <v>0</v>
      </c>
      <c r="BY200" s="587">
        <v>1.1260866736400627E-3</v>
      </c>
      <c r="BZ200" s="587">
        <v>4.7516294060187302E-3</v>
      </c>
      <c r="CA200" s="587">
        <v>1.9255073272766616E-3</v>
      </c>
      <c r="CB200" s="587">
        <v>4.7275999007197818E-2</v>
      </c>
      <c r="CC200" s="587">
        <v>1.3634875600174597E-2</v>
      </c>
      <c r="CD200" s="587">
        <v>9.1331256760383544E-3</v>
      </c>
      <c r="CE200" s="587">
        <v>0</v>
      </c>
      <c r="CF200" s="587">
        <v>9.237328280435813E-3</v>
      </c>
      <c r="CG200" s="587">
        <v>7.0933053384215974E-3</v>
      </c>
      <c r="CH200" s="587">
        <v>2.6558503928807008E-2</v>
      </c>
      <c r="CI200" s="587">
        <v>3.0865272216280746E-2</v>
      </c>
      <c r="CJ200" s="587">
        <v>1.8355391625081364E-2</v>
      </c>
      <c r="CK200" s="587">
        <v>3.0126983166409473E-2</v>
      </c>
      <c r="CL200" s="587">
        <v>5.8657794562839071E-3</v>
      </c>
      <c r="CM200" s="587">
        <v>6.7051309447491514E-3</v>
      </c>
      <c r="CN200" s="587">
        <v>9.2869548436896945E-3</v>
      </c>
      <c r="CO200" s="587">
        <v>1.1786812435941237E-2</v>
      </c>
      <c r="CP200" s="587">
        <v>8.4497974731081848E-3</v>
      </c>
      <c r="CQ200" s="587">
        <v>1.0957507804038988E-2</v>
      </c>
      <c r="CR200" s="587">
        <v>1.1261758216235047E-2</v>
      </c>
      <c r="CS200" s="587">
        <v>1.1865747542095153E-3</v>
      </c>
      <c r="CT200" s="587">
        <v>5.71578548307136E-3</v>
      </c>
      <c r="CU200" s="587">
        <v>1.1713396643180756E-2</v>
      </c>
      <c r="CV200" s="587">
        <v>8.5433019645257818E-3</v>
      </c>
      <c r="CW200" s="587">
        <v>4.6812826714519775E-3</v>
      </c>
      <c r="CX200" s="587">
        <v>6.4248083265515911E-3</v>
      </c>
      <c r="CY200" s="587">
        <v>1.4754098360655738E-2</v>
      </c>
      <c r="CZ200" s="587">
        <v>1.7211948790896159E-2</v>
      </c>
      <c r="DA200" s="587">
        <v>1.1158467370585338E-2</v>
      </c>
      <c r="DB200" s="587">
        <v>1.4187469540261005E-2</v>
      </c>
      <c r="DC200" s="587">
        <v>7.9767947788252358E-3</v>
      </c>
      <c r="DD200" s="587">
        <v>1.1594202898550725E-2</v>
      </c>
      <c r="DE200" s="587">
        <v>6.3877732749377577E-3</v>
      </c>
      <c r="DF200" s="587">
        <v>1.1113108075724899E-2</v>
      </c>
      <c r="DG200" s="587">
        <v>3.2215663417397332E-3</v>
      </c>
      <c r="DH200" s="587">
        <v>4.6329334737939083E-3</v>
      </c>
      <c r="DI200" s="587">
        <v>4.6363756788978675E-3</v>
      </c>
      <c r="DJ200" s="587">
        <v>4.6838698455689597E-3</v>
      </c>
      <c r="DK200" s="587">
        <v>5.5687492903166574E-3</v>
      </c>
      <c r="DL200" s="587">
        <v>1.0737102598419233E-2</v>
      </c>
      <c r="DM200" s="587">
        <v>1.1367492365117068E-2</v>
      </c>
      <c r="DN200" s="587">
        <v>1.8238837996203679E-2</v>
      </c>
      <c r="DO200" s="587">
        <v>0</v>
      </c>
      <c r="DP200" s="587">
        <v>-2.1910604732690623E-3</v>
      </c>
      <c r="DQ200" s="587">
        <v>-3.5978535801243411E-2</v>
      </c>
      <c r="DR200" s="587">
        <v>1.7339749040478311E-3</v>
      </c>
      <c r="DS200" s="587">
        <v>1.7565731280526107E-2</v>
      </c>
      <c r="DT200" s="587">
        <v>1.0511046804044057E-2</v>
      </c>
      <c r="DU200" s="587">
        <v>7.4300866352401573E-2</v>
      </c>
      <c r="DV200" s="587">
        <v>1.008501311305097E-2</v>
      </c>
      <c r="DW200" s="587">
        <v>4.939395471939851E-3</v>
      </c>
      <c r="DX200" s="587">
        <v>9.1506953425228455E-3</v>
      </c>
      <c r="DY200" s="587">
        <v>6.5516750723308717E-2</v>
      </c>
      <c r="DZ200" s="587">
        <v>3.6964682383968557E-2</v>
      </c>
      <c r="EA200" s="587">
        <v>3.9202854516274796E-2</v>
      </c>
      <c r="EB200" s="587">
        <v>3.4939565237373044E-2</v>
      </c>
      <c r="EC200" s="587">
        <v>4.0937407297537823E-2</v>
      </c>
      <c r="ED200" s="587">
        <v>3.005400222521732E-2</v>
      </c>
      <c r="EE200" s="587">
        <v>2.7660374115410617E-2</v>
      </c>
      <c r="EF200" s="587">
        <v>2.1275776915429267E-2</v>
      </c>
      <c r="EG200" s="587">
        <v>1.8040521787399389E-2</v>
      </c>
      <c r="EH200" s="587">
        <v>4.4472843450479235E-2</v>
      </c>
      <c r="EI200" s="587">
        <v>1.8613434043701107E-2</v>
      </c>
      <c r="EJ200" s="587">
        <v>4.3032254643530873E-2</v>
      </c>
      <c r="EK200" s="587">
        <v>4.004899750026629E-2</v>
      </c>
      <c r="EL200" s="587">
        <v>2.8795022529915549E-2</v>
      </c>
      <c r="EM200" s="587">
        <v>9.7984111968271431E-3</v>
      </c>
      <c r="EN200" s="587">
        <v>8.1228971915118534E-2</v>
      </c>
      <c r="EO200" s="587">
        <v>3.8495251864881529E-2</v>
      </c>
      <c r="EP200" s="587">
        <v>4.2911255209363237E-2</v>
      </c>
      <c r="EQ200" s="587">
        <v>4.819023925650507E-2</v>
      </c>
      <c r="ER200" s="587">
        <v>5.3921568627450983E-2</v>
      </c>
      <c r="ES200" s="587">
        <v>3.1890645093249688E-2</v>
      </c>
      <c r="ET200" s="587">
        <v>9.4376373906671737E-2</v>
      </c>
      <c r="EU200" s="587">
        <v>7.5566455064947254E-3</v>
      </c>
      <c r="EV200" s="587">
        <v>4.7416069407770656E-2</v>
      </c>
      <c r="EW200" s="587">
        <v>1.3281219616536383E-2</v>
      </c>
      <c r="EX200" s="587">
        <v>-8.7403153066337738E-2</v>
      </c>
      <c r="EY200" s="587">
        <v>0.10155399386320894</v>
      </c>
      <c r="EZ200" s="587">
        <v>0.12092400750886463</v>
      </c>
      <c r="FA200" s="587">
        <v>7.340351183716258E-2</v>
      </c>
      <c r="FB200" s="587">
        <v>7.7344954246029204E-2</v>
      </c>
      <c r="FC200" s="587">
        <v>2.2132709632709632E-2</v>
      </c>
      <c r="FD200" s="587">
        <v>3.3326772622152244E-2</v>
      </c>
      <c r="FE200" s="587">
        <v>3.783999328408328E-2</v>
      </c>
      <c r="FF200" s="587">
        <v>3.187947457832787E-2</v>
      </c>
      <c r="FG200" s="587">
        <v>3.1680584551148222E-2</v>
      </c>
      <c r="FH200" s="587">
        <v>2.123231994797594E-2</v>
      </c>
      <c r="FI200" s="587">
        <v>5.6755788620655228E-3</v>
      </c>
      <c r="FJ200" s="587">
        <v>2.2780729780678523E-6</v>
      </c>
      <c r="FK200" s="587">
        <v>7.0090915839042056E-3</v>
      </c>
      <c r="FL200" s="587">
        <v>3.7885520125457393E-2</v>
      </c>
      <c r="FM200" s="587">
        <v>3.1330649624533212E-2</v>
      </c>
      <c r="FN200" s="587">
        <v>1.2092971135618703E-2</v>
      </c>
      <c r="FO200" s="587">
        <v>1.6090387804241619E-2</v>
      </c>
      <c r="FP200" s="587">
        <v>1.9821636781898969E-2</v>
      </c>
      <c r="FQ200" s="587">
        <v>5.3682646228856721E-3</v>
      </c>
      <c r="FR200" s="587">
        <v>1.57608073941089E-2</v>
      </c>
      <c r="FS200" s="587">
        <v>3.5241352245332737E-2</v>
      </c>
      <c r="FT200" s="587">
        <v>6.0491924898704559E-3</v>
      </c>
      <c r="FU200" s="587">
        <v>5.4347080216839358E-2</v>
      </c>
      <c r="FV200" s="587">
        <v>2.4779020568891124E-2</v>
      </c>
      <c r="FW200" s="587">
        <v>2.2544114199801152E-2</v>
      </c>
      <c r="FX200" s="587">
        <v>2.5783974078683304E-2</v>
      </c>
      <c r="FY200" s="587">
        <v>6.53178422021755E-2</v>
      </c>
      <c r="FZ200" s="587">
        <v>2.7767310715817103E-2</v>
      </c>
      <c r="GA200" s="587">
        <v>3.2196750020829008E-2</v>
      </c>
      <c r="GB200" s="587">
        <v>4.8613567651955722E-2</v>
      </c>
      <c r="GC200" s="587">
        <v>0.10320714306961618</v>
      </c>
      <c r="GD200" s="587">
        <v>9.6899654397614027E-2</v>
      </c>
      <c r="GE200" s="587">
        <v>0</v>
      </c>
      <c r="GF200" s="587">
        <v>1.7502520830016452E-2</v>
      </c>
      <c r="GG200" s="588">
        <v>3.0450910777735898E-2</v>
      </c>
    </row>
    <row r="201" spans="1:189">
      <c r="A201" s="572" t="s">
        <v>9398</v>
      </c>
      <c r="B201" s="577" t="s">
        <v>9570</v>
      </c>
      <c r="C201" s="573" t="s">
        <v>9571</v>
      </c>
      <c r="D201" s="587">
        <v>-0.18385700258859233</v>
      </c>
      <c r="E201" s="587">
        <v>-1.133447390932421</v>
      </c>
      <c r="F201" s="587">
        <v>-1.6498149850338213E-4</v>
      </c>
      <c r="G201" s="587">
        <v>-5.5928411633109618E-4</v>
      </c>
      <c r="H201" s="587">
        <v>-0.30357142857142855</v>
      </c>
      <c r="I201" s="587">
        <v>-2.9320736276266492E-2</v>
      </c>
      <c r="J201" s="587">
        <v>-1.3432331008713298E-2</v>
      </c>
      <c r="K201" s="587">
        <v>-3.5522716777379133E-5</v>
      </c>
      <c r="L201" s="587">
        <v>-3.8403614457831324E-2</v>
      </c>
      <c r="M201" s="587">
        <v>-7.8153398764085794E-2</v>
      </c>
      <c r="N201" s="587">
        <v>0</v>
      </c>
      <c r="O201" s="587">
        <v>-8.53989664535342E-4</v>
      </c>
      <c r="P201" s="587">
        <v>0</v>
      </c>
      <c r="Q201" s="587">
        <v>0</v>
      </c>
      <c r="R201" s="587">
        <v>0</v>
      </c>
      <c r="S201" s="587">
        <v>0</v>
      </c>
      <c r="T201" s="587">
        <v>-1.2153797200526173E-2</v>
      </c>
      <c r="U201" s="587">
        <v>0</v>
      </c>
      <c r="V201" s="587">
        <v>-2.2382046614342416E-4</v>
      </c>
      <c r="W201" s="587">
        <v>-9.1915143939115405E-6</v>
      </c>
      <c r="X201" s="587">
        <v>-5.1182311393182519E-5</v>
      </c>
      <c r="Y201" s="587">
        <v>-1.5355879032196955E-2</v>
      </c>
      <c r="Z201" s="587">
        <v>-1.0199781509943445E-4</v>
      </c>
      <c r="AA201" s="587">
        <v>-6.1885312235202274E-5</v>
      </c>
      <c r="AB201" s="587">
        <v>-1.6517731785071275E-5</v>
      </c>
      <c r="AC201" s="587">
        <v>-1.2092942904033861E-3</v>
      </c>
      <c r="AD201" s="587">
        <v>0</v>
      </c>
      <c r="AE201" s="587">
        <v>0</v>
      </c>
      <c r="AF201" s="587">
        <v>0</v>
      </c>
      <c r="AG201" s="587">
        <v>0</v>
      </c>
      <c r="AH201" s="587">
        <v>0</v>
      </c>
      <c r="AI201" s="587">
        <v>0</v>
      </c>
      <c r="AJ201" s="587">
        <v>0</v>
      </c>
      <c r="AK201" s="587">
        <v>0</v>
      </c>
      <c r="AL201" s="587">
        <v>0</v>
      </c>
      <c r="AM201" s="587">
        <v>0</v>
      </c>
      <c r="AN201" s="587">
        <v>0</v>
      </c>
      <c r="AO201" s="587">
        <v>0</v>
      </c>
      <c r="AP201" s="587">
        <v>0</v>
      </c>
      <c r="AQ201" s="587">
        <v>0</v>
      </c>
      <c r="AR201" s="587">
        <v>0</v>
      </c>
      <c r="AS201" s="587">
        <v>0</v>
      </c>
      <c r="AT201" s="587">
        <v>0</v>
      </c>
      <c r="AU201" s="587">
        <v>-8.1804944290832937E-6</v>
      </c>
      <c r="AV201" s="587">
        <v>0</v>
      </c>
      <c r="AW201" s="587">
        <v>0</v>
      </c>
      <c r="AX201" s="587">
        <v>0</v>
      </c>
      <c r="AY201" s="587">
        <v>0</v>
      </c>
      <c r="AZ201" s="587">
        <v>0</v>
      </c>
      <c r="BA201" s="587">
        <v>0</v>
      </c>
      <c r="BB201" s="587">
        <v>0</v>
      </c>
      <c r="BC201" s="587">
        <v>0</v>
      </c>
      <c r="BD201" s="587">
        <v>0</v>
      </c>
      <c r="BE201" s="587">
        <v>-3.5102252862588722E-6</v>
      </c>
      <c r="BF201" s="587">
        <v>0</v>
      </c>
      <c r="BG201" s="587">
        <v>0</v>
      </c>
      <c r="BH201" s="587">
        <v>-6.8707744736986755E-6</v>
      </c>
      <c r="BI201" s="587">
        <v>0</v>
      </c>
      <c r="BJ201" s="587">
        <v>-4.1236943352810916E-6</v>
      </c>
      <c r="BK201" s="587">
        <v>-4.0789328629699043E-3</v>
      </c>
      <c r="BL201" s="587">
        <v>0</v>
      </c>
      <c r="BM201" s="587">
        <v>-4.580044289028275E-6</v>
      </c>
      <c r="BN201" s="587">
        <v>0</v>
      </c>
      <c r="BO201" s="587">
        <v>-9.6580098704860878E-6</v>
      </c>
      <c r="BP201" s="587">
        <v>-7.2632190586868097E-5</v>
      </c>
      <c r="BQ201" s="587">
        <v>-5.5639014076670561E-5</v>
      </c>
      <c r="BR201" s="587">
        <v>0</v>
      </c>
      <c r="BS201" s="587">
        <v>0</v>
      </c>
      <c r="BT201" s="587">
        <v>0</v>
      </c>
      <c r="BU201" s="587">
        <v>0</v>
      </c>
      <c r="BV201" s="587">
        <v>0</v>
      </c>
      <c r="BW201" s="587">
        <v>-2.2536049227745932E-6</v>
      </c>
      <c r="BX201" s="587">
        <v>0</v>
      </c>
      <c r="BY201" s="587">
        <v>-1.2512074151556252E-6</v>
      </c>
      <c r="BZ201" s="587">
        <v>0</v>
      </c>
      <c r="CA201" s="587">
        <v>-1.5680027095086821E-6</v>
      </c>
      <c r="CB201" s="587">
        <v>0</v>
      </c>
      <c r="CC201" s="587">
        <v>0</v>
      </c>
      <c r="CD201" s="587">
        <v>0</v>
      </c>
      <c r="CE201" s="587">
        <v>0</v>
      </c>
      <c r="CF201" s="587">
        <v>0</v>
      </c>
      <c r="CG201" s="587">
        <v>0</v>
      </c>
      <c r="CH201" s="587">
        <v>-1.1572332866582575E-5</v>
      </c>
      <c r="CI201" s="587">
        <v>0</v>
      </c>
      <c r="CJ201" s="587">
        <v>-8.6786721631590359E-6</v>
      </c>
      <c r="CK201" s="587">
        <v>-1.0086033868901732E-5</v>
      </c>
      <c r="CL201" s="587">
        <v>-2.9973323741869736E-6</v>
      </c>
      <c r="CM201" s="587">
        <v>-4.7486763064795691E-6</v>
      </c>
      <c r="CN201" s="587">
        <v>0</v>
      </c>
      <c r="CO201" s="587">
        <v>0</v>
      </c>
      <c r="CP201" s="587">
        <v>-8.9415846276277076E-6</v>
      </c>
      <c r="CQ201" s="587">
        <v>0</v>
      </c>
      <c r="CR201" s="587">
        <v>-2.9032632679131342E-6</v>
      </c>
      <c r="CS201" s="587">
        <v>0</v>
      </c>
      <c r="CT201" s="587">
        <v>0</v>
      </c>
      <c r="CU201" s="587">
        <v>-8.0615255630975599E-6</v>
      </c>
      <c r="CV201" s="587">
        <v>0</v>
      </c>
      <c r="CW201" s="587">
        <v>0</v>
      </c>
      <c r="CX201" s="587">
        <v>0</v>
      </c>
      <c r="CY201" s="587">
        <v>-9.1583478340507378E-6</v>
      </c>
      <c r="CZ201" s="587">
        <v>0</v>
      </c>
      <c r="DA201" s="587">
        <v>0</v>
      </c>
      <c r="DB201" s="587">
        <v>0</v>
      </c>
      <c r="DC201" s="587">
        <v>0</v>
      </c>
      <c r="DD201" s="587">
        <v>0</v>
      </c>
      <c r="DE201" s="587">
        <v>-4.5432242353753609E-6</v>
      </c>
      <c r="DF201" s="587">
        <v>-9.9848230689352183E-6</v>
      </c>
      <c r="DG201" s="587">
        <v>-4.3741566079290336E-6</v>
      </c>
      <c r="DH201" s="587">
        <v>0</v>
      </c>
      <c r="DI201" s="587">
        <v>0</v>
      </c>
      <c r="DJ201" s="587">
        <v>0</v>
      </c>
      <c r="DK201" s="587">
        <v>-2.4159432929790273E-6</v>
      </c>
      <c r="DL201" s="587">
        <v>-5.0503775157193002E-6</v>
      </c>
      <c r="DM201" s="587">
        <v>-1.4138672095916751E-5</v>
      </c>
      <c r="DN201" s="587">
        <v>-8.2528678715853762E-6</v>
      </c>
      <c r="DO201" s="587">
        <v>0</v>
      </c>
      <c r="DP201" s="587">
        <v>0</v>
      </c>
      <c r="DQ201" s="587">
        <v>0</v>
      </c>
      <c r="DR201" s="587">
        <v>-3.3345671231689056E-6</v>
      </c>
      <c r="DS201" s="587">
        <v>-6.4096811824579843E-6</v>
      </c>
      <c r="DT201" s="587">
        <v>0</v>
      </c>
      <c r="DU201" s="587">
        <v>-8.7590775895018475E-5</v>
      </c>
      <c r="DV201" s="587">
        <v>0</v>
      </c>
      <c r="DW201" s="587">
        <v>0</v>
      </c>
      <c r="DX201" s="587">
        <v>-1.225813173814179E-5</v>
      </c>
      <c r="DY201" s="587">
        <v>0</v>
      </c>
      <c r="DZ201" s="587">
        <v>-1.5157052323828739E-5</v>
      </c>
      <c r="EA201" s="587">
        <v>-1.1129586224243354E-5</v>
      </c>
      <c r="EB201" s="587">
        <v>-3.8298328660937236E-5</v>
      </c>
      <c r="EC201" s="587">
        <v>-2.810509286301902E-3</v>
      </c>
      <c r="ED201" s="587">
        <v>-3.1523912040596645E-2</v>
      </c>
      <c r="EE201" s="587">
        <v>-5.1308429076999846E-6</v>
      </c>
      <c r="EF201" s="587">
        <v>-1.7767230043937013E-3</v>
      </c>
      <c r="EG201" s="587">
        <v>0</v>
      </c>
      <c r="EH201" s="587">
        <v>-4.7406815761448347E-2</v>
      </c>
      <c r="EI201" s="587">
        <v>-5.6199982016005753E-6</v>
      </c>
      <c r="EJ201" s="587">
        <v>-5.3564511533895286E-4</v>
      </c>
      <c r="EK201" s="587">
        <v>-4.430625024079484E-4</v>
      </c>
      <c r="EL201" s="587">
        <v>-1.8183581510548774E-2</v>
      </c>
      <c r="EM201" s="587">
        <v>-1.1027418135471792E-2</v>
      </c>
      <c r="EN201" s="587">
        <v>-1.5246949762994636E-5</v>
      </c>
      <c r="EO201" s="587">
        <v>-1.615212942189165E-3</v>
      </c>
      <c r="EP201" s="587">
        <v>0</v>
      </c>
      <c r="EQ201" s="587">
        <v>-7.7820220377644985E-3</v>
      </c>
      <c r="ER201" s="587">
        <v>0</v>
      </c>
      <c r="ES201" s="587">
        <v>-1.4846466309680142E-2</v>
      </c>
      <c r="ET201" s="587">
        <v>-1.4575501761648144E-5</v>
      </c>
      <c r="EU201" s="587">
        <v>-2.346784318787182E-5</v>
      </c>
      <c r="EV201" s="587">
        <v>-2.019992455677103E-2</v>
      </c>
      <c r="EW201" s="587">
        <v>-5.7363979310076619E-4</v>
      </c>
      <c r="EX201" s="587">
        <v>0</v>
      </c>
      <c r="EY201" s="587">
        <v>0</v>
      </c>
      <c r="EZ201" s="587">
        <v>-1.7381631092261696E-5</v>
      </c>
      <c r="FA201" s="587">
        <v>0</v>
      </c>
      <c r="FB201" s="587">
        <v>-6.1083996397696952E-3</v>
      </c>
      <c r="FC201" s="587">
        <v>0</v>
      </c>
      <c r="FD201" s="587">
        <v>-7.3808000787285341E-6</v>
      </c>
      <c r="FE201" s="587">
        <v>0</v>
      </c>
      <c r="FF201" s="587">
        <v>-1.5168062128382477E-5</v>
      </c>
      <c r="FG201" s="587">
        <v>0</v>
      </c>
      <c r="FH201" s="587">
        <v>-1.6257519102584946E-5</v>
      </c>
      <c r="FI201" s="587">
        <v>0</v>
      </c>
      <c r="FJ201" s="587">
        <v>0</v>
      </c>
      <c r="FK201" s="587">
        <v>0</v>
      </c>
      <c r="FL201" s="587">
        <v>-1.4767381076842656E-3</v>
      </c>
      <c r="FM201" s="587">
        <v>-2.6565221697261335E-2</v>
      </c>
      <c r="FN201" s="587">
        <v>-7.4705613193011288E-6</v>
      </c>
      <c r="FO201" s="587">
        <v>-1.5838859447637788E-2</v>
      </c>
      <c r="FP201" s="587">
        <v>0</v>
      </c>
      <c r="FQ201" s="587">
        <v>-5.5658523824631125E-6</v>
      </c>
      <c r="FR201" s="587">
        <v>-3.7330071134913539E-3</v>
      </c>
      <c r="FS201" s="587">
        <v>-1.7968268206536974E-2</v>
      </c>
      <c r="FT201" s="587">
        <v>-5.1879866980021065E-6</v>
      </c>
      <c r="FU201" s="587">
        <v>0</v>
      </c>
      <c r="FV201" s="587">
        <v>0</v>
      </c>
      <c r="FW201" s="587">
        <v>-8.0832248833994816E-6</v>
      </c>
      <c r="FX201" s="587">
        <v>-5.6058210846142636E-6</v>
      </c>
      <c r="FY201" s="587">
        <v>-7.1404153758134489E-5</v>
      </c>
      <c r="FZ201" s="587">
        <v>-1.2993594158080067E-5</v>
      </c>
      <c r="GA201" s="587">
        <v>-3.2672958389353844E-6</v>
      </c>
      <c r="GB201" s="587">
        <v>-9.4331168433017789E-6</v>
      </c>
      <c r="GC201" s="587">
        <v>-4.957710727494472E-6</v>
      </c>
      <c r="GD201" s="587">
        <v>-1.0075871310971616E-5</v>
      </c>
      <c r="GE201" s="587">
        <v>0</v>
      </c>
      <c r="GF201" s="587">
        <v>-5.0575810645863183E-3</v>
      </c>
      <c r="GG201" s="588">
        <v>-2.8031058222565243E-3</v>
      </c>
    </row>
    <row r="202" spans="1:189">
      <c r="A202" s="572" t="s">
        <v>9399</v>
      </c>
      <c r="B202" s="580" t="s">
        <v>9572</v>
      </c>
      <c r="C202" s="581" t="s">
        <v>9573</v>
      </c>
      <c r="D202" s="589">
        <v>0.53998928858341511</v>
      </c>
      <c r="E202" s="589">
        <v>0.16766467065868262</v>
      </c>
      <c r="F202" s="589">
        <v>0.58860684908906646</v>
      </c>
      <c r="G202" s="589">
        <v>0.61101789709172261</v>
      </c>
      <c r="H202" s="589">
        <v>0.5803571428571429</v>
      </c>
      <c r="I202" s="589">
        <v>0.50578270076559695</v>
      </c>
      <c r="J202" s="589">
        <v>0.22163346164376943</v>
      </c>
      <c r="K202" s="589">
        <v>0.64150474228268983</v>
      </c>
      <c r="L202" s="589">
        <v>0.90918674698795177</v>
      </c>
      <c r="M202" s="589">
        <v>0.51835696110505269</v>
      </c>
      <c r="N202" s="589">
        <v>0.47188612099644128</v>
      </c>
      <c r="O202" s="589">
        <v>0.54467022860646408</v>
      </c>
      <c r="P202" s="589">
        <v>0.46961325966850831</v>
      </c>
      <c r="Q202" s="589">
        <v>0</v>
      </c>
      <c r="R202" s="589">
        <v>0.43293199932168902</v>
      </c>
      <c r="S202" s="589">
        <v>0.53408029878618113</v>
      </c>
      <c r="T202" s="589">
        <v>0.2292458741056872</v>
      </c>
      <c r="U202" s="589">
        <v>0.36960139244864387</v>
      </c>
      <c r="V202" s="589">
        <v>0.23320600435703842</v>
      </c>
      <c r="W202" s="589">
        <v>0.39217740848315502</v>
      </c>
      <c r="X202" s="589">
        <v>0.36078411301054358</v>
      </c>
      <c r="Y202" s="589">
        <v>0.27588676128484718</v>
      </c>
      <c r="Z202" s="589">
        <v>0.342344929769136</v>
      </c>
      <c r="AA202" s="589">
        <v>0.61050336560890384</v>
      </c>
      <c r="AB202" s="589">
        <v>0.37959399415272294</v>
      </c>
      <c r="AC202" s="589">
        <v>0.18044398376090523</v>
      </c>
      <c r="AD202" s="589">
        <v>0</v>
      </c>
      <c r="AE202" s="589">
        <v>0.3145561063542136</v>
      </c>
      <c r="AF202" s="589">
        <v>0.32716377152393233</v>
      </c>
      <c r="AG202" s="589">
        <v>0</v>
      </c>
      <c r="AH202" s="589">
        <v>0.51754724257616658</v>
      </c>
      <c r="AI202" s="589">
        <v>0.4091546942866689</v>
      </c>
      <c r="AJ202" s="589">
        <v>0.39705287489164981</v>
      </c>
      <c r="AK202" s="589">
        <v>0.36430531304564728</v>
      </c>
      <c r="AL202" s="589">
        <v>0.37736269614835949</v>
      </c>
      <c r="AM202" s="589">
        <v>0.3633337159912754</v>
      </c>
      <c r="AN202" s="589">
        <v>0.47286922015182886</v>
      </c>
      <c r="AO202" s="589">
        <v>0.40628947112737634</v>
      </c>
      <c r="AP202" s="589">
        <v>9.3630876747141045E-2</v>
      </c>
      <c r="AQ202" s="589">
        <v>0.1553422163370024</v>
      </c>
      <c r="AR202" s="589">
        <v>0.29244737246012348</v>
      </c>
      <c r="AS202" s="589">
        <v>0.43935913294457207</v>
      </c>
      <c r="AT202" s="589">
        <v>0.44467930784374676</v>
      </c>
      <c r="AU202" s="589">
        <v>0.5356096922497996</v>
      </c>
      <c r="AV202" s="589">
        <v>0.31082619375711462</v>
      </c>
      <c r="AW202" s="589">
        <v>0.22233546103094995</v>
      </c>
      <c r="AX202" s="589">
        <v>0.38285476031117305</v>
      </c>
      <c r="AY202" s="589">
        <v>0.1216301934665398</v>
      </c>
      <c r="AZ202" s="589">
        <v>0.18451183398512558</v>
      </c>
      <c r="BA202" s="589">
        <v>0.35471331389698735</v>
      </c>
      <c r="BB202" s="589">
        <v>0.34829006858613404</v>
      </c>
      <c r="BC202" s="589">
        <v>0.25887602730612957</v>
      </c>
      <c r="BD202" s="589">
        <v>0.32408499857176565</v>
      </c>
      <c r="BE202" s="589">
        <v>0.52728498115009026</v>
      </c>
      <c r="BF202" s="589">
        <v>0.33402502477700696</v>
      </c>
      <c r="BG202" s="589">
        <v>0.39190352504638221</v>
      </c>
      <c r="BH202" s="589">
        <v>0.27663112186005606</v>
      </c>
      <c r="BI202" s="589">
        <v>0.38411493629709947</v>
      </c>
      <c r="BJ202" s="589">
        <v>0.30010597894441671</v>
      </c>
      <c r="BK202" s="589">
        <v>0.3104674236578106</v>
      </c>
      <c r="BL202" s="589">
        <v>0.11495915157050794</v>
      </c>
      <c r="BM202" s="589">
        <v>0.35755718757800387</v>
      </c>
      <c r="BN202" s="589">
        <v>0.39367901234567904</v>
      </c>
      <c r="BO202" s="589">
        <v>0.51778522517650016</v>
      </c>
      <c r="BP202" s="589">
        <v>0.39715281812899478</v>
      </c>
      <c r="BQ202" s="589">
        <v>0.40321593501363157</v>
      </c>
      <c r="BR202" s="589">
        <v>0.49588725422209895</v>
      </c>
      <c r="BS202" s="589">
        <v>0.45953245597175718</v>
      </c>
      <c r="BT202" s="589">
        <v>0.47350209433618651</v>
      </c>
      <c r="BU202" s="589">
        <v>0.46554124608423253</v>
      </c>
      <c r="BV202" s="589">
        <v>0.52257108206441183</v>
      </c>
      <c r="BW202" s="589">
        <v>0.27402596378231531</v>
      </c>
      <c r="BX202" s="589">
        <v>0</v>
      </c>
      <c r="BY202" s="589">
        <v>5.8535236503225611E-2</v>
      </c>
      <c r="BZ202" s="589">
        <v>0.22986628109116394</v>
      </c>
      <c r="CA202" s="589">
        <v>0.14040523462024543</v>
      </c>
      <c r="CB202" s="589">
        <v>0.43381732439811366</v>
      </c>
      <c r="CC202" s="589">
        <v>0.17583478830205151</v>
      </c>
      <c r="CD202" s="589">
        <v>0.29760326612936017</v>
      </c>
      <c r="CE202" s="589">
        <v>0</v>
      </c>
      <c r="CF202" s="589">
        <v>0.25998736775619768</v>
      </c>
      <c r="CG202" s="589">
        <v>0.21610464044035241</v>
      </c>
      <c r="CH202" s="589">
        <v>0.37682987513452837</v>
      </c>
      <c r="CI202" s="589">
        <v>0.41642002636356851</v>
      </c>
      <c r="CJ202" s="589">
        <v>0.25138641787806465</v>
      </c>
      <c r="CK202" s="589">
        <v>0.51089543808688109</v>
      </c>
      <c r="CL202" s="589">
        <v>0.43621676707730123</v>
      </c>
      <c r="CM202" s="589">
        <v>0.43771398722606075</v>
      </c>
      <c r="CN202" s="589">
        <v>0.37032033963720573</v>
      </c>
      <c r="CO202" s="589">
        <v>0.44140758455756746</v>
      </c>
      <c r="CP202" s="589">
        <v>0.46902188005758383</v>
      </c>
      <c r="CQ202" s="589">
        <v>0.51251831560170735</v>
      </c>
      <c r="CR202" s="589">
        <v>0.39618801532923004</v>
      </c>
      <c r="CS202" s="589">
        <v>0.48310543564244546</v>
      </c>
      <c r="CT202" s="589">
        <v>0.47913446676970634</v>
      </c>
      <c r="CU202" s="589">
        <v>0.47348564242297214</v>
      </c>
      <c r="CV202" s="589">
        <v>0.47741507809160355</v>
      </c>
      <c r="CW202" s="589">
        <v>0.5296871342747913</v>
      </c>
      <c r="CX202" s="589">
        <v>0.41416456075727076</v>
      </c>
      <c r="CY202" s="589">
        <v>0.33096437402692552</v>
      </c>
      <c r="CZ202" s="589">
        <v>0.29754623044096729</v>
      </c>
      <c r="DA202" s="589">
        <v>0.55561028892077702</v>
      </c>
      <c r="DB202" s="589">
        <v>0.43964910380679051</v>
      </c>
      <c r="DC202" s="589">
        <v>0.48078317621464828</v>
      </c>
      <c r="DD202" s="589">
        <v>0.42801932367149759</v>
      </c>
      <c r="DE202" s="589">
        <v>0.36035945990150292</v>
      </c>
      <c r="DF202" s="589">
        <v>0.36038221902707884</v>
      </c>
      <c r="DG202" s="589">
        <v>0.3499937668268337</v>
      </c>
      <c r="DH202" s="589">
        <v>0.33157757614888822</v>
      </c>
      <c r="DI202" s="589">
        <v>0.33246125314611208</v>
      </c>
      <c r="DJ202" s="589">
        <v>0.42917665767993141</v>
      </c>
      <c r="DK202" s="589">
        <v>0.36584387691252113</v>
      </c>
      <c r="DL202" s="589">
        <v>0.36464988257872277</v>
      </c>
      <c r="DM202" s="589">
        <v>0.33638728650605138</v>
      </c>
      <c r="DN202" s="589">
        <v>0.33029627795658989</v>
      </c>
      <c r="DO202" s="589">
        <v>0</v>
      </c>
      <c r="DP202" s="589">
        <v>0.20429447852760735</v>
      </c>
      <c r="DQ202" s="589">
        <v>0.22317566130061697</v>
      </c>
      <c r="DR202" s="589">
        <v>0.25773869665109422</v>
      </c>
      <c r="DS202" s="589">
        <v>0.37538297845065188</v>
      </c>
      <c r="DT202" s="589">
        <v>0.34177667305687776</v>
      </c>
      <c r="DU202" s="589">
        <v>0.42729169320932603</v>
      </c>
      <c r="DV202" s="589">
        <v>0.31652497814491504</v>
      </c>
      <c r="DW202" s="589">
        <v>0.36015441932601694</v>
      </c>
      <c r="DX202" s="589">
        <v>0.40666352041285386</v>
      </c>
      <c r="DY202" s="589">
        <v>0.32516481952854498</v>
      </c>
      <c r="DZ202" s="589">
        <v>0.45921826660581389</v>
      </c>
      <c r="EA202" s="589">
        <v>0.45075491983359045</v>
      </c>
      <c r="EB202" s="589">
        <v>0.44344868789926006</v>
      </c>
      <c r="EC202" s="589">
        <v>0.48618752427466533</v>
      </c>
      <c r="ED202" s="589">
        <v>0.50246040289097338</v>
      </c>
      <c r="EE202" s="589">
        <v>0.31956044068809736</v>
      </c>
      <c r="EF202" s="589">
        <v>0.3095571020813957</v>
      </c>
      <c r="EG202" s="589">
        <v>0.49847349431029697</v>
      </c>
      <c r="EH202" s="589">
        <v>0.48346112886048986</v>
      </c>
      <c r="EI202" s="589">
        <v>0.63881395557953424</v>
      </c>
      <c r="EJ202" s="589">
        <v>0.72152026149547444</v>
      </c>
      <c r="EK202" s="589">
        <v>0.66238977262168353</v>
      </c>
      <c r="EL202" s="589">
        <v>0.66003401868043332</v>
      </c>
      <c r="EM202" s="589">
        <v>0.69702109300475379</v>
      </c>
      <c r="EN202" s="589">
        <v>0.72262410170054314</v>
      </c>
      <c r="EO202" s="589">
        <v>0.74134728457097387</v>
      </c>
      <c r="EP202" s="589">
        <v>0.90241468210292242</v>
      </c>
      <c r="EQ202" s="589">
        <v>0.67571405814146601</v>
      </c>
      <c r="ER202" s="589">
        <v>0.56666666666666665</v>
      </c>
      <c r="ES202" s="589">
        <v>0.75167209857727035</v>
      </c>
      <c r="ET202" s="589">
        <v>0.7521382923607145</v>
      </c>
      <c r="EU202" s="589">
        <v>0.14376400736890277</v>
      </c>
      <c r="EV202" s="589">
        <v>0.44230479064503958</v>
      </c>
      <c r="EW202" s="589">
        <v>0.64142651577023291</v>
      </c>
      <c r="EX202" s="589">
        <v>0.17906564391165247</v>
      </c>
      <c r="EY202" s="589">
        <v>0.6794021577749183</v>
      </c>
      <c r="EZ202" s="589">
        <v>0.63748001112424391</v>
      </c>
      <c r="FA202" s="589">
        <v>0.56379400716344896</v>
      </c>
      <c r="FB202" s="589">
        <v>0.68564846514232136</v>
      </c>
      <c r="FC202" s="589">
        <v>0.78183471933471937</v>
      </c>
      <c r="FD202" s="589">
        <v>0.53394183929537964</v>
      </c>
      <c r="FE202" s="589">
        <v>0.44027031564808594</v>
      </c>
      <c r="FF202" s="589">
        <v>0.59592661691542292</v>
      </c>
      <c r="FG202" s="589">
        <v>0.43465553235908144</v>
      </c>
      <c r="FH202" s="589">
        <v>0.45543814013981465</v>
      </c>
      <c r="FI202" s="589">
        <v>0.65934782225719502</v>
      </c>
      <c r="FJ202" s="589">
        <v>0.73211000814411087</v>
      </c>
      <c r="FK202" s="589">
        <v>0.84360157285113335</v>
      </c>
      <c r="FL202" s="589">
        <v>0.63493204391008884</v>
      </c>
      <c r="FM202" s="589">
        <v>0.68022696952572925</v>
      </c>
      <c r="FN202" s="589">
        <v>0.57672920149037699</v>
      </c>
      <c r="FO202" s="589">
        <v>0.56777179050064541</v>
      </c>
      <c r="FP202" s="589">
        <v>0.64198153341946873</v>
      </c>
      <c r="FQ202" s="589">
        <v>0.70793467915643937</v>
      </c>
      <c r="FR202" s="589">
        <v>0.77107958378955088</v>
      </c>
      <c r="FS202" s="589">
        <v>0.61120704154286032</v>
      </c>
      <c r="FT202" s="589">
        <v>0.65578745856095622</v>
      </c>
      <c r="FU202" s="589">
        <v>0.75454607836409804</v>
      </c>
      <c r="FV202" s="589">
        <v>0.2939131163336266</v>
      </c>
      <c r="FW202" s="589">
        <v>0.45417215652356663</v>
      </c>
      <c r="FX202" s="589">
        <v>0.30046079849315527</v>
      </c>
      <c r="FY202" s="589">
        <v>0.73064835864164313</v>
      </c>
      <c r="FZ202" s="589">
        <v>0.48152960590428917</v>
      </c>
      <c r="GA202" s="589">
        <v>0.40679303477873058</v>
      </c>
      <c r="GB202" s="589">
        <v>0.69126351883557602</v>
      </c>
      <c r="GC202" s="589">
        <v>0.70339751916155191</v>
      </c>
      <c r="GD202" s="589">
        <v>0.72266500078927653</v>
      </c>
      <c r="GE202" s="589">
        <v>0</v>
      </c>
      <c r="GF202" s="589">
        <v>0.43207557183038792</v>
      </c>
      <c r="GG202" s="590">
        <v>0.52066079321387859</v>
      </c>
    </row>
    <row r="203" spans="1:189">
      <c r="A203" s="572" t="s">
        <v>9400</v>
      </c>
      <c r="B203" s="591" t="s">
        <v>9490</v>
      </c>
      <c r="C203" s="592" t="s">
        <v>9126</v>
      </c>
      <c r="D203" s="593">
        <v>1</v>
      </c>
      <c r="E203" s="593">
        <v>1</v>
      </c>
      <c r="F203" s="593">
        <v>1</v>
      </c>
      <c r="G203" s="593">
        <v>1</v>
      </c>
      <c r="H203" s="593">
        <v>1</v>
      </c>
      <c r="I203" s="593">
        <v>1</v>
      </c>
      <c r="J203" s="593">
        <v>1</v>
      </c>
      <c r="K203" s="593">
        <v>1</v>
      </c>
      <c r="L203" s="593">
        <v>1</v>
      </c>
      <c r="M203" s="593">
        <v>1</v>
      </c>
      <c r="N203" s="593">
        <v>1</v>
      </c>
      <c r="O203" s="593">
        <v>1</v>
      </c>
      <c r="P203" s="593">
        <v>1</v>
      </c>
      <c r="Q203" s="593">
        <v>0</v>
      </c>
      <c r="R203" s="593">
        <v>1</v>
      </c>
      <c r="S203" s="593">
        <v>1</v>
      </c>
      <c r="T203" s="593">
        <v>1</v>
      </c>
      <c r="U203" s="593">
        <v>1</v>
      </c>
      <c r="V203" s="593">
        <v>1</v>
      </c>
      <c r="W203" s="593">
        <v>1</v>
      </c>
      <c r="X203" s="593">
        <v>1</v>
      </c>
      <c r="Y203" s="593">
        <v>1</v>
      </c>
      <c r="Z203" s="593">
        <v>1</v>
      </c>
      <c r="AA203" s="593">
        <v>1</v>
      </c>
      <c r="AB203" s="593">
        <v>1</v>
      </c>
      <c r="AC203" s="593">
        <v>1</v>
      </c>
      <c r="AD203" s="593">
        <v>0</v>
      </c>
      <c r="AE203" s="593">
        <v>1</v>
      </c>
      <c r="AF203" s="593">
        <v>1</v>
      </c>
      <c r="AG203" s="593">
        <v>0</v>
      </c>
      <c r="AH203" s="593">
        <v>1</v>
      </c>
      <c r="AI203" s="593">
        <v>1</v>
      </c>
      <c r="AJ203" s="593">
        <v>1</v>
      </c>
      <c r="AK203" s="593">
        <v>1</v>
      </c>
      <c r="AL203" s="593">
        <v>1</v>
      </c>
      <c r="AM203" s="593">
        <v>1</v>
      </c>
      <c r="AN203" s="593">
        <v>1</v>
      </c>
      <c r="AO203" s="593">
        <v>1</v>
      </c>
      <c r="AP203" s="593">
        <v>1</v>
      </c>
      <c r="AQ203" s="593">
        <v>1</v>
      </c>
      <c r="AR203" s="593">
        <v>1</v>
      </c>
      <c r="AS203" s="593">
        <v>1</v>
      </c>
      <c r="AT203" s="593">
        <v>1</v>
      </c>
      <c r="AU203" s="593">
        <v>1</v>
      </c>
      <c r="AV203" s="593">
        <v>1</v>
      </c>
      <c r="AW203" s="593">
        <v>1</v>
      </c>
      <c r="AX203" s="593">
        <v>1</v>
      </c>
      <c r="AY203" s="593">
        <v>1</v>
      </c>
      <c r="AZ203" s="593">
        <v>1</v>
      </c>
      <c r="BA203" s="593">
        <v>1</v>
      </c>
      <c r="BB203" s="593">
        <v>1</v>
      </c>
      <c r="BC203" s="593">
        <v>1</v>
      </c>
      <c r="BD203" s="593">
        <v>1</v>
      </c>
      <c r="BE203" s="593">
        <v>1</v>
      </c>
      <c r="BF203" s="593">
        <v>1</v>
      </c>
      <c r="BG203" s="593">
        <v>1</v>
      </c>
      <c r="BH203" s="593">
        <v>1</v>
      </c>
      <c r="BI203" s="593">
        <v>1</v>
      </c>
      <c r="BJ203" s="593">
        <v>1</v>
      </c>
      <c r="BK203" s="593">
        <v>1</v>
      </c>
      <c r="BL203" s="593">
        <v>1</v>
      </c>
      <c r="BM203" s="593">
        <v>1</v>
      </c>
      <c r="BN203" s="593">
        <v>1</v>
      </c>
      <c r="BO203" s="593">
        <v>1</v>
      </c>
      <c r="BP203" s="593">
        <v>1</v>
      </c>
      <c r="BQ203" s="593">
        <v>1</v>
      </c>
      <c r="BR203" s="593">
        <v>1</v>
      </c>
      <c r="BS203" s="593">
        <v>1</v>
      </c>
      <c r="BT203" s="593">
        <v>1</v>
      </c>
      <c r="BU203" s="593">
        <v>1</v>
      </c>
      <c r="BV203" s="593">
        <v>1</v>
      </c>
      <c r="BW203" s="593">
        <v>1</v>
      </c>
      <c r="BX203" s="593">
        <v>0</v>
      </c>
      <c r="BY203" s="593">
        <v>1</v>
      </c>
      <c r="BZ203" s="593">
        <v>1</v>
      </c>
      <c r="CA203" s="593">
        <v>1</v>
      </c>
      <c r="CB203" s="593">
        <v>1</v>
      </c>
      <c r="CC203" s="593">
        <v>1</v>
      </c>
      <c r="CD203" s="593">
        <v>1</v>
      </c>
      <c r="CE203" s="593">
        <v>0</v>
      </c>
      <c r="CF203" s="593">
        <v>1</v>
      </c>
      <c r="CG203" s="593">
        <v>1</v>
      </c>
      <c r="CH203" s="593">
        <v>1</v>
      </c>
      <c r="CI203" s="593">
        <v>1</v>
      </c>
      <c r="CJ203" s="593">
        <v>1</v>
      </c>
      <c r="CK203" s="593">
        <v>1</v>
      </c>
      <c r="CL203" s="593">
        <v>1</v>
      </c>
      <c r="CM203" s="593">
        <v>1</v>
      </c>
      <c r="CN203" s="593">
        <v>1</v>
      </c>
      <c r="CO203" s="593">
        <v>1</v>
      </c>
      <c r="CP203" s="593">
        <v>1</v>
      </c>
      <c r="CQ203" s="593">
        <v>1</v>
      </c>
      <c r="CR203" s="593">
        <v>1</v>
      </c>
      <c r="CS203" s="593">
        <v>1</v>
      </c>
      <c r="CT203" s="593">
        <v>1</v>
      </c>
      <c r="CU203" s="593">
        <v>1</v>
      </c>
      <c r="CV203" s="593">
        <v>1</v>
      </c>
      <c r="CW203" s="593">
        <v>1</v>
      </c>
      <c r="CX203" s="593">
        <v>1</v>
      </c>
      <c r="CY203" s="593">
        <v>1</v>
      </c>
      <c r="CZ203" s="593">
        <v>1</v>
      </c>
      <c r="DA203" s="593">
        <v>1</v>
      </c>
      <c r="DB203" s="593">
        <v>1</v>
      </c>
      <c r="DC203" s="593">
        <v>1</v>
      </c>
      <c r="DD203" s="593">
        <v>1</v>
      </c>
      <c r="DE203" s="593">
        <v>1</v>
      </c>
      <c r="DF203" s="593">
        <v>1</v>
      </c>
      <c r="DG203" s="593">
        <v>1</v>
      </c>
      <c r="DH203" s="593">
        <v>1</v>
      </c>
      <c r="DI203" s="593">
        <v>1</v>
      </c>
      <c r="DJ203" s="593">
        <v>1</v>
      </c>
      <c r="DK203" s="593">
        <v>1</v>
      </c>
      <c r="DL203" s="593">
        <v>1</v>
      </c>
      <c r="DM203" s="593">
        <v>1</v>
      </c>
      <c r="DN203" s="593">
        <v>1</v>
      </c>
      <c r="DO203" s="593">
        <v>0</v>
      </c>
      <c r="DP203" s="593">
        <v>1</v>
      </c>
      <c r="DQ203" s="593">
        <v>1</v>
      </c>
      <c r="DR203" s="593">
        <v>1</v>
      </c>
      <c r="DS203" s="593">
        <v>1</v>
      </c>
      <c r="DT203" s="593">
        <v>1</v>
      </c>
      <c r="DU203" s="593">
        <v>1</v>
      </c>
      <c r="DV203" s="593">
        <v>1</v>
      </c>
      <c r="DW203" s="593">
        <v>1</v>
      </c>
      <c r="DX203" s="593">
        <v>1</v>
      </c>
      <c r="DY203" s="593">
        <v>1</v>
      </c>
      <c r="DZ203" s="593">
        <v>1</v>
      </c>
      <c r="EA203" s="593">
        <v>1</v>
      </c>
      <c r="EB203" s="593">
        <v>1</v>
      </c>
      <c r="EC203" s="593">
        <v>1</v>
      </c>
      <c r="ED203" s="593">
        <v>1</v>
      </c>
      <c r="EE203" s="593">
        <v>1</v>
      </c>
      <c r="EF203" s="593">
        <v>1</v>
      </c>
      <c r="EG203" s="593">
        <v>1</v>
      </c>
      <c r="EH203" s="593">
        <v>1</v>
      </c>
      <c r="EI203" s="593">
        <v>1</v>
      </c>
      <c r="EJ203" s="593">
        <v>1</v>
      </c>
      <c r="EK203" s="593">
        <v>1</v>
      </c>
      <c r="EL203" s="593">
        <v>1</v>
      </c>
      <c r="EM203" s="593">
        <v>1</v>
      </c>
      <c r="EN203" s="593">
        <v>1</v>
      </c>
      <c r="EO203" s="593">
        <v>1</v>
      </c>
      <c r="EP203" s="593">
        <v>1</v>
      </c>
      <c r="EQ203" s="593">
        <v>1</v>
      </c>
      <c r="ER203" s="593">
        <v>1</v>
      </c>
      <c r="ES203" s="593">
        <v>1</v>
      </c>
      <c r="ET203" s="593">
        <v>1</v>
      </c>
      <c r="EU203" s="593">
        <v>1</v>
      </c>
      <c r="EV203" s="593">
        <v>1</v>
      </c>
      <c r="EW203" s="593">
        <v>1</v>
      </c>
      <c r="EX203" s="593">
        <v>1</v>
      </c>
      <c r="EY203" s="593">
        <v>1</v>
      </c>
      <c r="EZ203" s="593">
        <v>1</v>
      </c>
      <c r="FA203" s="593">
        <v>1</v>
      </c>
      <c r="FB203" s="593">
        <v>1</v>
      </c>
      <c r="FC203" s="593">
        <v>1</v>
      </c>
      <c r="FD203" s="593">
        <v>1</v>
      </c>
      <c r="FE203" s="593">
        <v>1</v>
      </c>
      <c r="FF203" s="593">
        <v>1</v>
      </c>
      <c r="FG203" s="593">
        <v>1</v>
      </c>
      <c r="FH203" s="593">
        <v>1</v>
      </c>
      <c r="FI203" s="593">
        <v>1</v>
      </c>
      <c r="FJ203" s="593">
        <v>1</v>
      </c>
      <c r="FK203" s="593">
        <v>1</v>
      </c>
      <c r="FL203" s="593">
        <v>1</v>
      </c>
      <c r="FM203" s="593">
        <v>1</v>
      </c>
      <c r="FN203" s="593">
        <v>1</v>
      </c>
      <c r="FO203" s="593">
        <v>1</v>
      </c>
      <c r="FP203" s="593">
        <v>1</v>
      </c>
      <c r="FQ203" s="593">
        <v>1</v>
      </c>
      <c r="FR203" s="593">
        <v>1</v>
      </c>
      <c r="FS203" s="593">
        <v>1</v>
      </c>
      <c r="FT203" s="593">
        <v>1</v>
      </c>
      <c r="FU203" s="593">
        <v>1</v>
      </c>
      <c r="FV203" s="593">
        <v>1</v>
      </c>
      <c r="FW203" s="593">
        <v>1</v>
      </c>
      <c r="FX203" s="593">
        <v>1</v>
      </c>
      <c r="FY203" s="593">
        <v>1</v>
      </c>
      <c r="FZ203" s="593">
        <v>1</v>
      </c>
      <c r="GA203" s="593">
        <v>1</v>
      </c>
      <c r="GB203" s="593">
        <v>1</v>
      </c>
      <c r="GC203" s="593">
        <v>1</v>
      </c>
      <c r="GD203" s="593">
        <v>1</v>
      </c>
      <c r="GE203" s="593">
        <v>1</v>
      </c>
      <c r="GF203" s="593">
        <v>1</v>
      </c>
      <c r="GG203" s="594">
        <v>1</v>
      </c>
    </row>
    <row r="204" spans="1:189">
      <c r="A204" s="568" t="s">
        <v>9574</v>
      </c>
    </row>
    <row r="210" spans="2:2">
      <c r="B210" s="566"/>
    </row>
    <row r="211" spans="2:2">
      <c r="B211" s="566"/>
    </row>
    <row r="212" spans="2:2">
      <c r="B212" s="566"/>
    </row>
    <row r="213" spans="2:2">
      <c r="B213" s="566"/>
    </row>
    <row r="214" spans="2:2">
      <c r="B214" s="566"/>
    </row>
    <row r="215" spans="2:2">
      <c r="B215" s="566"/>
    </row>
    <row r="216" spans="2:2">
      <c r="B216" s="566"/>
    </row>
    <row r="217" spans="2:2">
      <c r="B217" s="566"/>
    </row>
    <row r="218" spans="2:2">
      <c r="B218" s="566"/>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3C00-FC2B-41DF-8240-FC88C3E95479}">
  <dimension ref="A1:I111"/>
  <sheetViews>
    <sheetView workbookViewId="0">
      <pane xSplit="3" ySplit="4" topLeftCell="D95" activePane="bottomRight" state="frozen"/>
      <selection pane="topRight" activeCell="C1" sqref="C1"/>
      <selection pane="bottomLeft" activeCell="A5" sqref="A5"/>
      <selection pane="bottomRight" activeCell="K106" sqref="K106"/>
    </sheetView>
  </sheetViews>
  <sheetFormatPr defaultColWidth="8.58203125" defaultRowHeight="13"/>
  <cols>
    <col min="1" max="1" width="4" style="52" customWidth="1"/>
    <col min="2" max="2" width="3.33203125" style="52" customWidth="1"/>
    <col min="3" max="3" width="20.08203125" style="52" customWidth="1"/>
    <col min="4" max="4" width="12.83203125" style="52" customWidth="1"/>
    <col min="5" max="8" width="10.08203125" style="52" customWidth="1"/>
    <col min="9" max="9" width="6.33203125" style="52" customWidth="1"/>
    <col min="10" max="11" width="10.75" style="52" customWidth="1"/>
    <col min="12" max="12" width="9.33203125" style="52" bestFit="1" customWidth="1"/>
    <col min="13" max="13" width="3.33203125" style="52" customWidth="1"/>
    <col min="14" max="14" width="13.33203125" style="52" customWidth="1"/>
    <col min="15" max="18" width="9.58203125" style="52" customWidth="1"/>
    <col min="19" max="16384" width="8.58203125" style="52"/>
  </cols>
  <sheetData>
    <row r="1" spans="1:9">
      <c r="B1" s="507" t="s">
        <v>9230</v>
      </c>
      <c r="D1" s="52" t="s">
        <v>9218</v>
      </c>
    </row>
    <row r="2" spans="1:9">
      <c r="B2" s="52" t="s">
        <v>9219</v>
      </c>
    </row>
    <row r="3" spans="1:9" ht="51" customHeight="1">
      <c r="B3" s="511" t="s">
        <v>42</v>
      </c>
      <c r="C3" s="515" t="s">
        <v>9220</v>
      </c>
      <c r="D3" s="508" t="s">
        <v>9221</v>
      </c>
      <c r="E3" s="560" t="s">
        <v>9217</v>
      </c>
      <c r="F3" s="561" t="s">
        <v>9222</v>
      </c>
      <c r="G3" s="512" t="s">
        <v>9223</v>
      </c>
      <c r="H3" s="139" t="s">
        <v>9224</v>
      </c>
      <c r="I3" s="534"/>
    </row>
    <row r="4" spans="1:9">
      <c r="B4" s="513"/>
      <c r="C4" s="516"/>
      <c r="D4" s="510" t="s">
        <v>9225</v>
      </c>
      <c r="E4" s="509" t="s">
        <v>9226</v>
      </c>
      <c r="F4" s="524" t="s">
        <v>9227</v>
      </c>
      <c r="G4" s="63" t="s">
        <v>9228</v>
      </c>
      <c r="H4" s="61" t="s">
        <v>9229</v>
      </c>
      <c r="I4" s="531"/>
    </row>
    <row r="5" spans="1:9">
      <c r="A5" s="52">
        <v>1</v>
      </c>
      <c r="B5" s="136" t="s">
        <v>29</v>
      </c>
      <c r="C5" s="137" t="s">
        <v>9052</v>
      </c>
      <c r="D5" s="521">
        <v>11214164</v>
      </c>
      <c r="E5" s="3">
        <v>4538840</v>
      </c>
      <c r="F5" s="3">
        <v>678282</v>
      </c>
      <c r="G5" s="525">
        <f t="shared" ref="G5:G11" si="0">IF(E5&gt;0,E5/D5,0)</f>
        <v>0.40474171770628642</v>
      </c>
      <c r="H5" s="517">
        <f t="shared" ref="H5:H11" si="1">IF(F5&gt;0,F5/D5,0)</f>
        <v>6.0484401690576312E-2</v>
      </c>
      <c r="I5" s="532"/>
    </row>
    <row r="6" spans="1:9">
      <c r="A6" s="52">
        <v>2</v>
      </c>
      <c r="B6" s="196" t="s">
        <v>22</v>
      </c>
      <c r="C6" s="133" t="s">
        <v>9053</v>
      </c>
      <c r="D6" s="503">
        <v>3930608</v>
      </c>
      <c r="E6" s="7">
        <v>279203</v>
      </c>
      <c r="F6" s="7">
        <v>75918</v>
      </c>
      <c r="G6" s="526">
        <f t="shared" si="0"/>
        <v>7.1033031022172649E-2</v>
      </c>
      <c r="H6" s="518">
        <f t="shared" si="1"/>
        <v>1.931456914553677E-2</v>
      </c>
      <c r="I6" s="532"/>
    </row>
    <row r="7" spans="1:9">
      <c r="A7" s="52">
        <v>3</v>
      </c>
      <c r="B7" s="196" t="s">
        <v>115</v>
      </c>
      <c r="C7" s="133" t="s">
        <v>9054</v>
      </c>
      <c r="D7" s="503">
        <v>917361</v>
      </c>
      <c r="E7" s="7">
        <v>0</v>
      </c>
      <c r="F7" s="7">
        <v>0</v>
      </c>
      <c r="G7" s="526">
        <f t="shared" si="0"/>
        <v>0</v>
      </c>
      <c r="H7" s="518">
        <f t="shared" si="1"/>
        <v>0</v>
      </c>
      <c r="I7" s="532"/>
    </row>
    <row r="8" spans="1:9">
      <c r="A8" s="52">
        <v>4</v>
      </c>
      <c r="B8" s="196" t="s">
        <v>119</v>
      </c>
      <c r="C8" s="133" t="s">
        <v>1595</v>
      </c>
      <c r="D8" s="503">
        <v>1116418</v>
      </c>
      <c r="E8" s="7">
        <v>275994</v>
      </c>
      <c r="F8" s="7">
        <v>40270</v>
      </c>
      <c r="G8" s="526">
        <f t="shared" si="0"/>
        <v>0.24721385717535904</v>
      </c>
      <c r="H8" s="518">
        <f t="shared" si="1"/>
        <v>3.6070719031760505E-2</v>
      </c>
      <c r="I8" s="532"/>
    </row>
    <row r="9" spans="1:9">
      <c r="A9" s="52">
        <v>5</v>
      </c>
      <c r="B9" s="196" t="s">
        <v>327</v>
      </c>
      <c r="C9" s="133" t="s">
        <v>1596</v>
      </c>
      <c r="D9" s="503">
        <v>2324692</v>
      </c>
      <c r="E9" s="7">
        <v>641416</v>
      </c>
      <c r="F9" s="7">
        <v>85698</v>
      </c>
      <c r="G9" s="526">
        <f t="shared" si="0"/>
        <v>0.27591440070340501</v>
      </c>
      <c r="H9" s="518">
        <f t="shared" si="1"/>
        <v>3.6864238359318138E-2</v>
      </c>
      <c r="I9" s="532"/>
    </row>
    <row r="10" spans="1:9">
      <c r="A10" s="52">
        <v>6</v>
      </c>
      <c r="B10" s="196" t="s">
        <v>696</v>
      </c>
      <c r="C10" s="133" t="s">
        <v>9055</v>
      </c>
      <c r="D10" s="503">
        <v>1631719</v>
      </c>
      <c r="E10" s="7">
        <v>403797</v>
      </c>
      <c r="F10" s="7">
        <v>1038988</v>
      </c>
      <c r="G10" s="526">
        <f t="shared" si="0"/>
        <v>0.24746724160226116</v>
      </c>
      <c r="H10" s="518">
        <f t="shared" si="1"/>
        <v>0.63674443945311665</v>
      </c>
      <c r="I10" s="532"/>
    </row>
    <row r="11" spans="1:9">
      <c r="A11" s="52">
        <v>7</v>
      </c>
      <c r="B11" s="196" t="s">
        <v>9127</v>
      </c>
      <c r="C11" s="133" t="s">
        <v>9056</v>
      </c>
      <c r="D11" s="503">
        <v>1279836</v>
      </c>
      <c r="E11" s="7">
        <v>118967</v>
      </c>
      <c r="F11" s="7">
        <v>501888</v>
      </c>
      <c r="G11" s="526">
        <f t="shared" si="0"/>
        <v>9.2954878593819831E-2</v>
      </c>
      <c r="H11" s="518">
        <f t="shared" si="1"/>
        <v>0.39215024425004452</v>
      </c>
      <c r="I11" s="532"/>
    </row>
    <row r="12" spans="1:9">
      <c r="A12" s="52">
        <v>8</v>
      </c>
      <c r="B12" s="196" t="s">
        <v>5377</v>
      </c>
      <c r="C12" s="133" t="s">
        <v>1597</v>
      </c>
      <c r="D12" s="503">
        <v>46206665</v>
      </c>
      <c r="E12" s="7">
        <v>17067455</v>
      </c>
      <c r="F12" s="7">
        <v>1472051</v>
      </c>
      <c r="G12" s="526">
        <f t="shared" ref="G12:G75" si="2">IF(E12&gt;0,E12/D12,0)</f>
        <v>0.36937214577161109</v>
      </c>
      <c r="H12" s="518">
        <f t="shared" ref="H12:H75" si="3">IF(F12&gt;0,F12/D12,0)</f>
        <v>3.1857979795771887E-2</v>
      </c>
      <c r="I12" s="532"/>
    </row>
    <row r="13" spans="1:9">
      <c r="A13" s="52">
        <v>9</v>
      </c>
      <c r="B13" s="196" t="s">
        <v>5379</v>
      </c>
      <c r="C13" s="133" t="s">
        <v>9057</v>
      </c>
      <c r="D13" s="503">
        <v>11283568</v>
      </c>
      <c r="E13" s="7">
        <v>3767736</v>
      </c>
      <c r="F13" s="7">
        <v>512503</v>
      </c>
      <c r="G13" s="526">
        <f t="shared" si="2"/>
        <v>0.33391352806133662</v>
      </c>
      <c r="H13" s="518">
        <f t="shared" si="3"/>
        <v>4.5420296133279831E-2</v>
      </c>
      <c r="I13" s="532"/>
    </row>
    <row r="14" spans="1:9">
      <c r="A14" s="52">
        <v>10</v>
      </c>
      <c r="B14" s="196" t="s">
        <v>5693</v>
      </c>
      <c r="C14" s="133" t="s">
        <v>9058</v>
      </c>
      <c r="D14" s="503">
        <v>2654619</v>
      </c>
      <c r="E14" s="7">
        <v>882912</v>
      </c>
      <c r="F14" s="7">
        <v>263133</v>
      </c>
      <c r="G14" s="526">
        <f t="shared" si="2"/>
        <v>0.33259462092300252</v>
      </c>
      <c r="H14" s="518">
        <f t="shared" si="3"/>
        <v>9.9122698963580086E-2</v>
      </c>
      <c r="I14" s="532"/>
    </row>
    <row r="15" spans="1:9">
      <c r="A15" s="52">
        <v>11</v>
      </c>
      <c r="B15" s="196" t="s">
        <v>5695</v>
      </c>
      <c r="C15" s="133" t="s">
        <v>175</v>
      </c>
      <c r="D15" s="503">
        <v>3566369</v>
      </c>
      <c r="E15" s="7">
        <v>1351655</v>
      </c>
      <c r="F15" s="7">
        <v>53127</v>
      </c>
      <c r="G15" s="526">
        <f t="shared" si="2"/>
        <v>0.37900032217642088</v>
      </c>
      <c r="H15" s="518">
        <f t="shared" si="3"/>
        <v>1.4896663805680232E-2</v>
      </c>
      <c r="I15" s="532"/>
    </row>
    <row r="16" spans="1:9">
      <c r="A16" s="52">
        <v>12</v>
      </c>
      <c r="B16" s="196" t="s">
        <v>9128</v>
      </c>
      <c r="C16" s="133" t="s">
        <v>9059</v>
      </c>
      <c r="D16" s="503">
        <v>1858290</v>
      </c>
      <c r="E16" s="7">
        <v>406922</v>
      </c>
      <c r="F16" s="7">
        <v>41150</v>
      </c>
      <c r="G16" s="526">
        <f t="shared" si="2"/>
        <v>0.21897658600110856</v>
      </c>
      <c r="H16" s="518">
        <f t="shared" si="3"/>
        <v>2.2144014120508641E-2</v>
      </c>
      <c r="I16" s="532"/>
    </row>
    <row r="17" spans="1:9">
      <c r="A17" s="52">
        <v>13</v>
      </c>
      <c r="B17" s="196" t="s">
        <v>9129</v>
      </c>
      <c r="C17" s="133" t="s">
        <v>9060</v>
      </c>
      <c r="D17" s="503">
        <v>9294061</v>
      </c>
      <c r="E17" s="7">
        <v>6759119</v>
      </c>
      <c r="F17" s="7">
        <v>359160</v>
      </c>
      <c r="G17" s="526">
        <f t="shared" si="2"/>
        <v>0.72725141356399536</v>
      </c>
      <c r="H17" s="518">
        <f t="shared" si="3"/>
        <v>3.8644033001289747E-2</v>
      </c>
      <c r="I17" s="532"/>
    </row>
    <row r="18" spans="1:9">
      <c r="A18" s="52">
        <v>14</v>
      </c>
      <c r="B18" s="196" t="s">
        <v>9130</v>
      </c>
      <c r="C18" s="133" t="s">
        <v>9061</v>
      </c>
      <c r="D18" s="503">
        <v>3352904</v>
      </c>
      <c r="E18" s="7">
        <v>625270</v>
      </c>
      <c r="F18" s="7">
        <v>320749</v>
      </c>
      <c r="G18" s="526">
        <f t="shared" si="2"/>
        <v>0.1864861027932801</v>
      </c>
      <c r="H18" s="518">
        <f t="shared" si="3"/>
        <v>9.5663043141109919E-2</v>
      </c>
      <c r="I18" s="532"/>
    </row>
    <row r="19" spans="1:9">
      <c r="A19" s="52">
        <v>15</v>
      </c>
      <c r="B19" s="196" t="s">
        <v>9131</v>
      </c>
      <c r="C19" s="133" t="s">
        <v>9062</v>
      </c>
      <c r="D19" s="503">
        <v>3807077</v>
      </c>
      <c r="E19" s="7">
        <v>1865389</v>
      </c>
      <c r="F19" s="7">
        <v>98530</v>
      </c>
      <c r="G19" s="526">
        <f t="shared" si="2"/>
        <v>0.48997932009255396</v>
      </c>
      <c r="H19" s="518">
        <f t="shared" si="3"/>
        <v>2.5880747880854524E-2</v>
      </c>
      <c r="I19" s="532"/>
    </row>
    <row r="20" spans="1:9">
      <c r="A20" s="52">
        <v>16</v>
      </c>
      <c r="B20" s="196" t="s">
        <v>9132</v>
      </c>
      <c r="C20" s="133" t="s">
        <v>9063</v>
      </c>
      <c r="D20" s="503">
        <v>6022222</v>
      </c>
      <c r="E20" s="7">
        <v>1354025</v>
      </c>
      <c r="F20" s="7">
        <v>420947</v>
      </c>
      <c r="G20" s="526">
        <f t="shared" si="2"/>
        <v>0.22483810792760545</v>
      </c>
      <c r="H20" s="518">
        <f t="shared" si="3"/>
        <v>6.9898950918780484E-2</v>
      </c>
      <c r="I20" s="532"/>
    </row>
    <row r="21" spans="1:9">
      <c r="A21" s="52">
        <v>17</v>
      </c>
      <c r="B21" s="196" t="s">
        <v>9133</v>
      </c>
      <c r="C21" s="133" t="s">
        <v>9064</v>
      </c>
      <c r="D21" s="503">
        <v>4745480</v>
      </c>
      <c r="E21" s="7">
        <v>940630</v>
      </c>
      <c r="F21" s="7">
        <v>348514</v>
      </c>
      <c r="G21" s="526">
        <f t="shared" si="2"/>
        <v>0.19821598658091488</v>
      </c>
      <c r="H21" s="518">
        <f t="shared" si="3"/>
        <v>7.3441253571819923E-2</v>
      </c>
      <c r="I21" s="532"/>
    </row>
    <row r="22" spans="1:9">
      <c r="A22" s="52">
        <v>18</v>
      </c>
      <c r="B22" s="196" t="s">
        <v>9134</v>
      </c>
      <c r="C22" s="133" t="s">
        <v>231</v>
      </c>
      <c r="D22" s="503">
        <v>5472744</v>
      </c>
      <c r="E22" s="7">
        <v>306953</v>
      </c>
      <c r="F22" s="7">
        <v>193348</v>
      </c>
      <c r="G22" s="526">
        <f t="shared" si="2"/>
        <v>5.6087586044587502E-2</v>
      </c>
      <c r="H22" s="518">
        <f t="shared" si="3"/>
        <v>3.5329260787641446E-2</v>
      </c>
      <c r="I22" s="532"/>
    </row>
    <row r="23" spans="1:9">
      <c r="A23" s="52">
        <v>19</v>
      </c>
      <c r="B23" s="196" t="s">
        <v>5383</v>
      </c>
      <c r="C23" s="133" t="s">
        <v>234</v>
      </c>
      <c r="D23" s="503">
        <v>593314</v>
      </c>
      <c r="E23" s="7">
        <v>174374</v>
      </c>
      <c r="F23" s="7">
        <v>29943</v>
      </c>
      <c r="G23" s="526">
        <f t="shared" si="2"/>
        <v>0.2938983405077244</v>
      </c>
      <c r="H23" s="518">
        <f t="shared" si="3"/>
        <v>5.046737477962765E-2</v>
      </c>
      <c r="I23" s="532"/>
    </row>
    <row r="24" spans="1:9">
      <c r="A24" s="52">
        <v>20</v>
      </c>
      <c r="B24" s="196" t="s">
        <v>5385</v>
      </c>
      <c r="C24" s="133" t="s">
        <v>9065</v>
      </c>
      <c r="D24" s="503">
        <v>2506900</v>
      </c>
      <c r="E24" s="7">
        <v>378185</v>
      </c>
      <c r="F24" s="7">
        <v>126366</v>
      </c>
      <c r="G24" s="526">
        <f t="shared" si="2"/>
        <v>0.15085763293310464</v>
      </c>
      <c r="H24" s="518">
        <f t="shared" si="3"/>
        <v>5.0407275918465035E-2</v>
      </c>
      <c r="I24" s="532"/>
    </row>
    <row r="25" spans="1:9">
      <c r="A25" s="52">
        <v>21</v>
      </c>
      <c r="B25" s="196" t="s">
        <v>5906</v>
      </c>
      <c r="C25" s="133" t="s">
        <v>9066</v>
      </c>
      <c r="D25" s="503">
        <v>3278547</v>
      </c>
      <c r="E25" s="7">
        <v>72517</v>
      </c>
      <c r="F25" s="7">
        <v>164445</v>
      </c>
      <c r="G25" s="526">
        <f t="shared" si="2"/>
        <v>2.2118639751084856E-2</v>
      </c>
      <c r="H25" s="518">
        <f t="shared" si="3"/>
        <v>5.0157890065324673E-2</v>
      </c>
      <c r="I25" s="532"/>
    </row>
    <row r="26" spans="1:9">
      <c r="A26" s="52">
        <v>22</v>
      </c>
      <c r="B26" s="196" t="s">
        <v>5908</v>
      </c>
      <c r="C26" s="133" t="s">
        <v>9067</v>
      </c>
      <c r="D26" s="503">
        <v>6474580</v>
      </c>
      <c r="E26" s="7">
        <v>648961</v>
      </c>
      <c r="F26" s="7">
        <v>201384</v>
      </c>
      <c r="G26" s="526">
        <f t="shared" si="2"/>
        <v>0.1002321386097631</v>
      </c>
      <c r="H26" s="518">
        <f t="shared" si="3"/>
        <v>3.1103793605145043E-2</v>
      </c>
      <c r="I26" s="532"/>
    </row>
    <row r="27" spans="1:9">
      <c r="A27" s="52">
        <v>23</v>
      </c>
      <c r="B27" s="196" t="s">
        <v>9135</v>
      </c>
      <c r="C27" s="133" t="s">
        <v>9068</v>
      </c>
      <c r="D27" s="503">
        <v>3137312</v>
      </c>
      <c r="E27" s="7">
        <v>514705</v>
      </c>
      <c r="F27" s="7">
        <v>110931</v>
      </c>
      <c r="G27" s="526">
        <f t="shared" si="2"/>
        <v>0.16405923287196172</v>
      </c>
      <c r="H27" s="518">
        <f t="shared" si="3"/>
        <v>3.5358612723248438E-2</v>
      </c>
      <c r="I27" s="532"/>
    </row>
    <row r="28" spans="1:9">
      <c r="A28" s="52">
        <v>24</v>
      </c>
      <c r="B28" s="196" t="s">
        <v>9136</v>
      </c>
      <c r="C28" s="133" t="s">
        <v>9069</v>
      </c>
      <c r="D28" s="503">
        <v>648706</v>
      </c>
      <c r="E28" s="7">
        <v>128886</v>
      </c>
      <c r="F28" s="7">
        <v>26102</v>
      </c>
      <c r="G28" s="526">
        <f t="shared" si="2"/>
        <v>0.19868168322784127</v>
      </c>
      <c r="H28" s="518">
        <f t="shared" si="3"/>
        <v>4.0237025709643506E-2</v>
      </c>
      <c r="I28" s="532"/>
    </row>
    <row r="29" spans="1:9">
      <c r="A29" s="52">
        <v>25</v>
      </c>
      <c r="B29" s="196" t="s">
        <v>5463</v>
      </c>
      <c r="C29" s="133" t="s">
        <v>301</v>
      </c>
      <c r="D29" s="503">
        <v>10823961</v>
      </c>
      <c r="E29" s="7">
        <v>3390791</v>
      </c>
      <c r="F29" s="7">
        <v>377736</v>
      </c>
      <c r="G29" s="526">
        <f t="shared" si="2"/>
        <v>0.31326711173478916</v>
      </c>
      <c r="H29" s="518">
        <f t="shared" si="3"/>
        <v>3.489813017618966E-2</v>
      </c>
      <c r="I29" s="532"/>
    </row>
    <row r="30" spans="1:9">
      <c r="A30" s="52">
        <v>26</v>
      </c>
      <c r="B30" s="196" t="s">
        <v>5465</v>
      </c>
      <c r="C30" s="133" t="s">
        <v>9070</v>
      </c>
      <c r="D30" s="503">
        <v>11051014</v>
      </c>
      <c r="E30" s="7">
        <v>3953305</v>
      </c>
      <c r="F30" s="7">
        <v>208771</v>
      </c>
      <c r="G30" s="526">
        <f t="shared" si="2"/>
        <v>0.35773233116888642</v>
      </c>
      <c r="H30" s="518">
        <f t="shared" si="3"/>
        <v>1.8891569588093907E-2</v>
      </c>
      <c r="I30" s="532"/>
    </row>
    <row r="31" spans="1:9">
      <c r="A31" s="52">
        <v>27</v>
      </c>
      <c r="B31" s="196" t="s">
        <v>5471</v>
      </c>
      <c r="C31" s="133" t="s">
        <v>6441</v>
      </c>
      <c r="D31" s="503">
        <v>20828536</v>
      </c>
      <c r="E31" s="7">
        <v>4977455</v>
      </c>
      <c r="F31" s="7">
        <v>468469</v>
      </c>
      <c r="G31" s="526">
        <f t="shared" si="2"/>
        <v>0.23897286876043519</v>
      </c>
      <c r="H31" s="518">
        <f t="shared" si="3"/>
        <v>2.2491691206717554E-2</v>
      </c>
      <c r="I31" s="532"/>
    </row>
    <row r="32" spans="1:9">
      <c r="A32" s="52">
        <v>28</v>
      </c>
      <c r="B32" s="196" t="s">
        <v>9137</v>
      </c>
      <c r="C32" s="133" t="s">
        <v>6454</v>
      </c>
      <c r="D32" s="503">
        <v>1619719</v>
      </c>
      <c r="E32" s="7">
        <v>88726</v>
      </c>
      <c r="F32" s="7">
        <v>78993</v>
      </c>
      <c r="G32" s="526">
        <f t="shared" si="2"/>
        <v>5.4778637529102267E-2</v>
      </c>
      <c r="H32" s="518">
        <f t="shared" si="3"/>
        <v>4.8769570524269952E-2</v>
      </c>
      <c r="I32" s="532"/>
    </row>
    <row r="33" spans="1:9">
      <c r="A33" s="52">
        <v>29</v>
      </c>
      <c r="B33" s="196" t="s">
        <v>9138</v>
      </c>
      <c r="C33" s="133" t="s">
        <v>6460</v>
      </c>
      <c r="D33" s="503">
        <v>13864697</v>
      </c>
      <c r="E33" s="7">
        <v>2575305</v>
      </c>
      <c r="F33" s="7">
        <v>462626</v>
      </c>
      <c r="G33" s="526">
        <f t="shared" si="2"/>
        <v>0.18574549447420308</v>
      </c>
      <c r="H33" s="518">
        <f t="shared" si="3"/>
        <v>3.3367191508043778E-2</v>
      </c>
      <c r="I33" s="532"/>
    </row>
    <row r="34" spans="1:9">
      <c r="A34" s="52">
        <v>30</v>
      </c>
      <c r="B34" s="196" t="s">
        <v>9139</v>
      </c>
      <c r="C34" s="133" t="s">
        <v>9071</v>
      </c>
      <c r="D34" s="503">
        <v>4435630</v>
      </c>
      <c r="E34" s="7">
        <v>1111246</v>
      </c>
      <c r="F34" s="7">
        <v>153163</v>
      </c>
      <c r="G34" s="526">
        <f t="shared" si="2"/>
        <v>0.25052720808543544</v>
      </c>
      <c r="H34" s="518">
        <f t="shared" si="3"/>
        <v>3.4530156933738836E-2</v>
      </c>
      <c r="I34" s="532"/>
    </row>
    <row r="35" spans="1:9">
      <c r="A35" s="52">
        <v>31</v>
      </c>
      <c r="B35" s="196" t="s">
        <v>9140</v>
      </c>
      <c r="C35" s="133" t="s">
        <v>9072</v>
      </c>
      <c r="D35" s="503">
        <v>1408962</v>
      </c>
      <c r="E35" s="7">
        <v>1022560</v>
      </c>
      <c r="F35" s="7">
        <v>43070</v>
      </c>
      <c r="G35" s="526">
        <f t="shared" si="2"/>
        <v>0.72575413673328304</v>
      </c>
      <c r="H35" s="518">
        <f t="shared" si="3"/>
        <v>3.0568602985744115E-2</v>
      </c>
      <c r="I35" s="532"/>
    </row>
    <row r="36" spans="1:9">
      <c r="A36" s="52">
        <v>32</v>
      </c>
      <c r="B36" s="196" t="s">
        <v>9141</v>
      </c>
      <c r="C36" s="133" t="s">
        <v>9073</v>
      </c>
      <c r="D36" s="503">
        <v>1622516</v>
      </c>
      <c r="E36" s="7">
        <v>287343</v>
      </c>
      <c r="F36" s="7">
        <v>97136</v>
      </c>
      <c r="G36" s="526">
        <f t="shared" si="2"/>
        <v>0.17709717500474573</v>
      </c>
      <c r="H36" s="518">
        <f t="shared" si="3"/>
        <v>5.9867514403555956E-2</v>
      </c>
      <c r="I36" s="532"/>
    </row>
    <row r="37" spans="1:9">
      <c r="A37" s="52">
        <v>33</v>
      </c>
      <c r="B37" s="196" t="s">
        <v>9142</v>
      </c>
      <c r="C37" s="133" t="s">
        <v>9074</v>
      </c>
      <c r="D37" s="503">
        <v>3618930</v>
      </c>
      <c r="E37" s="7">
        <v>734024</v>
      </c>
      <c r="F37" s="7">
        <v>218145</v>
      </c>
      <c r="G37" s="526">
        <f t="shared" si="2"/>
        <v>0.20282901299555395</v>
      </c>
      <c r="H37" s="518">
        <f t="shared" si="3"/>
        <v>6.0278866957912972E-2</v>
      </c>
      <c r="I37" s="532"/>
    </row>
    <row r="38" spans="1:9">
      <c r="A38" s="52">
        <v>34</v>
      </c>
      <c r="B38" s="196" t="s">
        <v>9143</v>
      </c>
      <c r="C38" s="133" t="s">
        <v>6506</v>
      </c>
      <c r="D38" s="503">
        <v>890191</v>
      </c>
      <c r="E38" s="7">
        <v>187627</v>
      </c>
      <c r="F38" s="7">
        <v>33482</v>
      </c>
      <c r="G38" s="526">
        <f t="shared" si="2"/>
        <v>0.21077162092180218</v>
      </c>
      <c r="H38" s="518">
        <f t="shared" si="3"/>
        <v>3.7612152897524238E-2</v>
      </c>
      <c r="I38" s="532"/>
    </row>
    <row r="39" spans="1:9">
      <c r="A39" s="52">
        <v>35</v>
      </c>
      <c r="B39" s="196" t="s">
        <v>9144</v>
      </c>
      <c r="C39" s="133" t="s">
        <v>379</v>
      </c>
      <c r="D39" s="503">
        <v>2249046</v>
      </c>
      <c r="E39" s="7">
        <v>381722</v>
      </c>
      <c r="F39" s="7">
        <v>130586</v>
      </c>
      <c r="G39" s="526">
        <f t="shared" si="2"/>
        <v>0.16972618612513929</v>
      </c>
      <c r="H39" s="518">
        <f t="shared" si="3"/>
        <v>5.8062840866749725E-2</v>
      </c>
      <c r="I39" s="532"/>
    </row>
    <row r="40" spans="1:9">
      <c r="A40" s="52">
        <v>36</v>
      </c>
      <c r="B40" s="196" t="s">
        <v>9145</v>
      </c>
      <c r="C40" s="133" t="s">
        <v>9075</v>
      </c>
      <c r="D40" s="503">
        <v>9480169</v>
      </c>
      <c r="E40" s="7">
        <v>70867</v>
      </c>
      <c r="F40" s="7">
        <v>106631</v>
      </c>
      <c r="G40" s="526">
        <f t="shared" si="2"/>
        <v>7.4752886789254498E-3</v>
      </c>
      <c r="H40" s="518">
        <f t="shared" si="3"/>
        <v>1.124779526609705E-2</v>
      </c>
      <c r="I40" s="532"/>
    </row>
    <row r="41" spans="1:9">
      <c r="A41" s="52">
        <v>37</v>
      </c>
      <c r="B41" s="196" t="s">
        <v>9146</v>
      </c>
      <c r="C41" s="133" t="s">
        <v>9076</v>
      </c>
      <c r="D41" s="503">
        <v>16117701</v>
      </c>
      <c r="E41" s="7">
        <v>1572762</v>
      </c>
      <c r="F41" s="7">
        <v>584236</v>
      </c>
      <c r="G41" s="526">
        <f t="shared" si="2"/>
        <v>9.7579797515787145E-2</v>
      </c>
      <c r="H41" s="518">
        <f t="shared" si="3"/>
        <v>3.62480976660381E-2</v>
      </c>
      <c r="I41" s="532"/>
    </row>
    <row r="42" spans="1:9">
      <c r="A42" s="52">
        <v>38</v>
      </c>
      <c r="B42" s="196" t="s">
        <v>9147</v>
      </c>
      <c r="C42" s="133" t="s">
        <v>9077</v>
      </c>
      <c r="D42" s="503">
        <v>1952269</v>
      </c>
      <c r="E42" s="7">
        <v>62822</v>
      </c>
      <c r="F42" s="7">
        <v>69158</v>
      </c>
      <c r="G42" s="526">
        <f t="shared" si="2"/>
        <v>3.2178967140286507E-2</v>
      </c>
      <c r="H42" s="518">
        <f t="shared" si="3"/>
        <v>3.5424421532073702E-2</v>
      </c>
      <c r="I42" s="532"/>
    </row>
    <row r="43" spans="1:9">
      <c r="A43" s="52">
        <v>39</v>
      </c>
      <c r="B43" s="196" t="s">
        <v>9148</v>
      </c>
      <c r="C43" s="133" t="s">
        <v>412</v>
      </c>
      <c r="D43" s="503">
        <v>2471455</v>
      </c>
      <c r="E43" s="7">
        <v>131190</v>
      </c>
      <c r="F43" s="7">
        <v>81206</v>
      </c>
      <c r="G43" s="526">
        <f t="shared" si="2"/>
        <v>5.3082091318676652E-2</v>
      </c>
      <c r="H43" s="518">
        <f t="shared" si="3"/>
        <v>3.2857567708090986E-2</v>
      </c>
      <c r="I43" s="532"/>
    </row>
    <row r="44" spans="1:9">
      <c r="A44" s="52">
        <v>40</v>
      </c>
      <c r="B44" s="196" t="s">
        <v>9149</v>
      </c>
      <c r="C44" s="133" t="s">
        <v>9078</v>
      </c>
      <c r="D44" s="522">
        <v>4468624</v>
      </c>
      <c r="E44" s="519">
        <v>775112</v>
      </c>
      <c r="F44" s="519">
        <v>211630</v>
      </c>
      <c r="G44" s="526">
        <f t="shared" si="2"/>
        <v>0.17345652710991125</v>
      </c>
      <c r="H44" s="518">
        <f t="shared" si="3"/>
        <v>4.7359097565604087E-2</v>
      </c>
      <c r="I44" s="532"/>
    </row>
    <row r="45" spans="1:9">
      <c r="A45" s="52">
        <v>41</v>
      </c>
      <c r="B45" s="196" t="s">
        <v>9150</v>
      </c>
      <c r="C45" s="133" t="s">
        <v>9079</v>
      </c>
      <c r="D45" s="522">
        <v>6216931</v>
      </c>
      <c r="E45" s="519">
        <v>682066</v>
      </c>
      <c r="F45" s="519">
        <v>210112</v>
      </c>
      <c r="G45" s="526">
        <f t="shared" si="2"/>
        <v>0.10971104553034286</v>
      </c>
      <c r="H45" s="518">
        <f t="shared" si="3"/>
        <v>3.3796739902694752E-2</v>
      </c>
      <c r="I45" s="532"/>
    </row>
    <row r="46" spans="1:9">
      <c r="A46" s="52">
        <v>42</v>
      </c>
      <c r="B46" s="196" t="s">
        <v>9151</v>
      </c>
      <c r="C46" s="133" t="s">
        <v>9080</v>
      </c>
      <c r="D46" s="522">
        <v>5246942</v>
      </c>
      <c r="E46" s="519">
        <v>624578</v>
      </c>
      <c r="F46" s="519">
        <v>395475</v>
      </c>
      <c r="G46" s="526">
        <f t="shared" si="2"/>
        <v>0.11903657406542706</v>
      </c>
      <c r="H46" s="518">
        <f t="shared" si="3"/>
        <v>7.5372474100152048E-2</v>
      </c>
      <c r="I46" s="532"/>
    </row>
    <row r="47" spans="1:9">
      <c r="A47" s="52">
        <v>43</v>
      </c>
      <c r="B47" s="196" t="s">
        <v>9152</v>
      </c>
      <c r="C47" s="133" t="s">
        <v>6740</v>
      </c>
      <c r="D47" s="522">
        <v>9275200</v>
      </c>
      <c r="E47" s="519">
        <v>1469527</v>
      </c>
      <c r="F47" s="519">
        <v>295613</v>
      </c>
      <c r="G47" s="526">
        <f t="shared" si="2"/>
        <v>0.15843615232016561</v>
      </c>
      <c r="H47" s="518">
        <f t="shared" si="3"/>
        <v>3.1871334310850437E-2</v>
      </c>
      <c r="I47" s="532"/>
    </row>
    <row r="48" spans="1:9">
      <c r="A48" s="52">
        <v>44</v>
      </c>
      <c r="B48" s="196" t="s">
        <v>9153</v>
      </c>
      <c r="C48" s="133" t="s">
        <v>9081</v>
      </c>
      <c r="D48" s="522">
        <v>12033538</v>
      </c>
      <c r="E48" s="519">
        <v>1395896</v>
      </c>
      <c r="F48" s="519">
        <v>179084</v>
      </c>
      <c r="G48" s="526">
        <f t="shared" si="2"/>
        <v>0.1160004647012375</v>
      </c>
      <c r="H48" s="518">
        <f t="shared" si="3"/>
        <v>1.4882073750878586E-2</v>
      </c>
      <c r="I48" s="532"/>
    </row>
    <row r="49" spans="1:9">
      <c r="A49" s="52">
        <v>45</v>
      </c>
      <c r="B49" s="196" t="s">
        <v>5421</v>
      </c>
      <c r="C49" s="133" t="s">
        <v>9082</v>
      </c>
      <c r="D49" s="522">
        <v>19605449</v>
      </c>
      <c r="E49" s="519">
        <v>2648839</v>
      </c>
      <c r="F49" s="519">
        <v>251687</v>
      </c>
      <c r="G49" s="526">
        <f t="shared" si="2"/>
        <v>0.13510728573469549</v>
      </c>
      <c r="H49" s="518">
        <f t="shared" si="3"/>
        <v>1.2837604484345143E-2</v>
      </c>
      <c r="I49" s="532"/>
    </row>
    <row r="50" spans="1:9">
      <c r="A50" s="52">
        <v>46</v>
      </c>
      <c r="B50" s="196" t="s">
        <v>9154</v>
      </c>
      <c r="C50" s="133" t="s">
        <v>9083</v>
      </c>
      <c r="D50" s="522">
        <v>9011503</v>
      </c>
      <c r="E50" s="519">
        <v>1954066</v>
      </c>
      <c r="F50" s="519">
        <v>154137</v>
      </c>
      <c r="G50" s="526">
        <f t="shared" si="2"/>
        <v>0.21684129717317965</v>
      </c>
      <c r="H50" s="518">
        <f t="shared" si="3"/>
        <v>1.71044719177256E-2</v>
      </c>
      <c r="I50" s="532"/>
    </row>
    <row r="51" spans="1:9">
      <c r="A51" s="52">
        <v>47</v>
      </c>
      <c r="B51" s="196" t="s">
        <v>9155</v>
      </c>
      <c r="C51" s="133" t="s">
        <v>9084</v>
      </c>
      <c r="D51" s="522">
        <v>7416025</v>
      </c>
      <c r="E51" s="519">
        <v>648541</v>
      </c>
      <c r="F51" s="519">
        <v>93907</v>
      </c>
      <c r="G51" s="526">
        <f t="shared" si="2"/>
        <v>8.745129634811101E-2</v>
      </c>
      <c r="H51" s="518">
        <f t="shared" si="3"/>
        <v>1.2662713515663714E-2</v>
      </c>
      <c r="I51" s="532"/>
    </row>
    <row r="52" spans="1:9">
      <c r="A52" s="52">
        <v>48</v>
      </c>
      <c r="B52" s="196" t="s">
        <v>9156</v>
      </c>
      <c r="C52" s="133" t="s">
        <v>6900</v>
      </c>
      <c r="D52" s="522">
        <v>7421369</v>
      </c>
      <c r="E52" s="519">
        <v>471938</v>
      </c>
      <c r="F52" s="519">
        <v>86924</v>
      </c>
      <c r="G52" s="526">
        <f t="shared" si="2"/>
        <v>6.3591771275623141E-2</v>
      </c>
      <c r="H52" s="518">
        <f t="shared" si="3"/>
        <v>1.1712663795588118E-2</v>
      </c>
      <c r="I52" s="532"/>
    </row>
    <row r="53" spans="1:9">
      <c r="A53" s="52">
        <v>49</v>
      </c>
      <c r="B53" s="196" t="s">
        <v>9157</v>
      </c>
      <c r="C53" s="133" t="s">
        <v>9085</v>
      </c>
      <c r="D53" s="522">
        <v>9093353</v>
      </c>
      <c r="E53" s="519">
        <v>965080</v>
      </c>
      <c r="F53" s="519">
        <v>107946</v>
      </c>
      <c r="G53" s="526">
        <f t="shared" si="2"/>
        <v>0.10613026899978478</v>
      </c>
      <c r="H53" s="518">
        <f t="shared" si="3"/>
        <v>1.1870868754352767E-2</v>
      </c>
      <c r="I53" s="532"/>
    </row>
    <row r="54" spans="1:9">
      <c r="A54" s="52">
        <v>50</v>
      </c>
      <c r="B54" s="196" t="s">
        <v>9158</v>
      </c>
      <c r="C54" s="133" t="s">
        <v>9086</v>
      </c>
      <c r="D54" s="522">
        <v>5078268</v>
      </c>
      <c r="E54" s="519">
        <v>2184796</v>
      </c>
      <c r="F54" s="519">
        <v>43213</v>
      </c>
      <c r="G54" s="526">
        <f t="shared" si="2"/>
        <v>0.43022463564349106</v>
      </c>
      <c r="H54" s="518">
        <f t="shared" si="3"/>
        <v>8.5093972984489983E-3</v>
      </c>
      <c r="I54" s="532"/>
    </row>
    <row r="55" spans="1:9">
      <c r="A55" s="52">
        <v>51</v>
      </c>
      <c r="B55" s="196" t="s">
        <v>9159</v>
      </c>
      <c r="C55" s="133" t="s">
        <v>9087</v>
      </c>
      <c r="D55" s="522">
        <v>2589358</v>
      </c>
      <c r="E55" s="519">
        <v>382789</v>
      </c>
      <c r="F55" s="519">
        <v>41092</v>
      </c>
      <c r="G55" s="526">
        <f t="shared" si="2"/>
        <v>0.14783162467298844</v>
      </c>
      <c r="H55" s="518">
        <f t="shared" si="3"/>
        <v>1.5869570758465998E-2</v>
      </c>
      <c r="I55" s="532"/>
    </row>
    <row r="56" spans="1:9">
      <c r="A56" s="52">
        <v>52</v>
      </c>
      <c r="B56" s="196" t="s">
        <v>9160</v>
      </c>
      <c r="C56" s="133" t="s">
        <v>9088</v>
      </c>
      <c r="D56" s="522">
        <v>3943871</v>
      </c>
      <c r="E56" s="519">
        <v>877719</v>
      </c>
      <c r="F56" s="519">
        <v>39505</v>
      </c>
      <c r="G56" s="526">
        <f t="shared" si="2"/>
        <v>0.22255266462822948</v>
      </c>
      <c r="H56" s="518">
        <f t="shared" si="3"/>
        <v>1.0016808359096938E-2</v>
      </c>
      <c r="I56" s="532"/>
    </row>
    <row r="57" spans="1:9">
      <c r="A57" s="52">
        <v>53</v>
      </c>
      <c r="B57" s="196" t="s">
        <v>9161</v>
      </c>
      <c r="C57" s="133" t="s">
        <v>9089</v>
      </c>
      <c r="D57" s="522">
        <v>5397254</v>
      </c>
      <c r="E57" s="519">
        <v>1779142</v>
      </c>
      <c r="F57" s="519">
        <v>80499</v>
      </c>
      <c r="G57" s="526">
        <f t="shared" si="2"/>
        <v>0.32963836795526019</v>
      </c>
      <c r="H57" s="518">
        <f t="shared" si="3"/>
        <v>1.4914806677617914E-2</v>
      </c>
      <c r="I57" s="532"/>
    </row>
    <row r="58" spans="1:9">
      <c r="A58" s="52">
        <v>54</v>
      </c>
      <c r="B58" s="196" t="s">
        <v>9162</v>
      </c>
      <c r="C58" s="133" t="s">
        <v>9090</v>
      </c>
      <c r="D58" s="522">
        <v>2768462</v>
      </c>
      <c r="E58" s="519">
        <v>814813</v>
      </c>
      <c r="F58" s="519">
        <v>34802</v>
      </c>
      <c r="G58" s="526">
        <f t="shared" si="2"/>
        <v>0.29431973420621271</v>
      </c>
      <c r="H58" s="518">
        <f t="shared" si="3"/>
        <v>1.2570878704493686E-2</v>
      </c>
      <c r="I58" s="532"/>
    </row>
    <row r="59" spans="1:9">
      <c r="A59" s="52">
        <v>55</v>
      </c>
      <c r="B59" s="196" t="s">
        <v>9163</v>
      </c>
      <c r="C59" s="133" t="s">
        <v>562</v>
      </c>
      <c r="D59" s="522">
        <v>19766906</v>
      </c>
      <c r="E59" s="519">
        <v>3360416</v>
      </c>
      <c r="F59" s="519">
        <v>418150</v>
      </c>
      <c r="G59" s="526">
        <f t="shared" si="2"/>
        <v>0.1700021237516888</v>
      </c>
      <c r="H59" s="518">
        <f t="shared" si="3"/>
        <v>2.1154044037038473E-2</v>
      </c>
      <c r="I59" s="532"/>
    </row>
    <row r="60" spans="1:9">
      <c r="A60" s="52">
        <v>56</v>
      </c>
      <c r="B60" s="196" t="s">
        <v>9164</v>
      </c>
      <c r="C60" s="133" t="s">
        <v>9091</v>
      </c>
      <c r="D60" s="522">
        <v>5147455</v>
      </c>
      <c r="E60" s="519">
        <v>494788</v>
      </c>
      <c r="F60" s="519">
        <v>92018</v>
      </c>
      <c r="G60" s="526">
        <f t="shared" si="2"/>
        <v>9.6122841287587746E-2</v>
      </c>
      <c r="H60" s="518">
        <f t="shared" si="3"/>
        <v>1.7876406884567229E-2</v>
      </c>
      <c r="I60" s="532"/>
    </row>
    <row r="61" spans="1:9">
      <c r="A61" s="52">
        <v>57</v>
      </c>
      <c r="B61" s="196" t="s">
        <v>9165</v>
      </c>
      <c r="C61" s="133" t="s">
        <v>9092</v>
      </c>
      <c r="D61" s="522">
        <v>29184153</v>
      </c>
      <c r="E61" s="519">
        <v>959976</v>
      </c>
      <c r="F61" s="519">
        <v>455118</v>
      </c>
      <c r="G61" s="526">
        <f t="shared" si="2"/>
        <v>3.2893742024995551E-2</v>
      </c>
      <c r="H61" s="518">
        <f t="shared" si="3"/>
        <v>1.5594696203792517E-2</v>
      </c>
      <c r="I61" s="532"/>
    </row>
    <row r="62" spans="1:9">
      <c r="A62" s="52">
        <v>58</v>
      </c>
      <c r="B62" s="196" t="s">
        <v>9166</v>
      </c>
      <c r="C62" s="133" t="s">
        <v>9093</v>
      </c>
      <c r="D62" s="522">
        <v>2924608</v>
      </c>
      <c r="E62" s="519">
        <v>225401</v>
      </c>
      <c r="F62" s="519">
        <v>10309</v>
      </c>
      <c r="G62" s="526">
        <f t="shared" si="2"/>
        <v>7.7070499704575787E-2</v>
      </c>
      <c r="H62" s="518">
        <f t="shared" si="3"/>
        <v>3.5249168435564698E-3</v>
      </c>
      <c r="I62" s="532"/>
    </row>
    <row r="63" spans="1:9">
      <c r="A63" s="52">
        <v>59</v>
      </c>
      <c r="B63" s="196" t="s">
        <v>9167</v>
      </c>
      <c r="C63" s="133" t="s">
        <v>9094</v>
      </c>
      <c r="D63" s="522">
        <v>5194746</v>
      </c>
      <c r="E63" s="519">
        <v>747767</v>
      </c>
      <c r="F63" s="519">
        <v>76212</v>
      </c>
      <c r="G63" s="526">
        <f t="shared" si="2"/>
        <v>0.14394678777364667</v>
      </c>
      <c r="H63" s="518">
        <f t="shared" si="3"/>
        <v>1.4670977175784918E-2</v>
      </c>
      <c r="I63" s="532"/>
    </row>
    <row r="64" spans="1:9">
      <c r="A64" s="52">
        <v>60</v>
      </c>
      <c r="B64" s="196" t="s">
        <v>9168</v>
      </c>
      <c r="C64" s="133" t="s">
        <v>600</v>
      </c>
      <c r="D64" s="522">
        <v>9313293</v>
      </c>
      <c r="E64" s="519">
        <v>5195576</v>
      </c>
      <c r="F64" s="519">
        <v>499411</v>
      </c>
      <c r="G64" s="526">
        <f t="shared" si="2"/>
        <v>0.55786669655942323</v>
      </c>
      <c r="H64" s="518">
        <f t="shared" si="3"/>
        <v>5.3623460574041854E-2</v>
      </c>
      <c r="I64" s="532"/>
    </row>
    <row r="65" spans="1:9">
      <c r="A65" s="52">
        <v>61</v>
      </c>
      <c r="B65" s="196" t="s">
        <v>9169</v>
      </c>
      <c r="C65" s="133" t="s">
        <v>7058</v>
      </c>
      <c r="D65" s="522">
        <v>995232</v>
      </c>
      <c r="E65" s="519">
        <v>0</v>
      </c>
      <c r="F65" s="519">
        <v>0</v>
      </c>
      <c r="G65" s="526">
        <f t="shared" si="2"/>
        <v>0</v>
      </c>
      <c r="H65" s="518">
        <f t="shared" si="3"/>
        <v>0</v>
      </c>
      <c r="I65" s="532"/>
    </row>
    <row r="66" spans="1:9">
      <c r="A66" s="52">
        <v>62</v>
      </c>
      <c r="B66" s="196" t="s">
        <v>9170</v>
      </c>
      <c r="C66" s="133" t="s">
        <v>9095</v>
      </c>
      <c r="D66" s="522">
        <v>29276041</v>
      </c>
      <c r="E66" s="519">
        <v>0</v>
      </c>
      <c r="F66" s="519">
        <v>0</v>
      </c>
      <c r="G66" s="526">
        <f t="shared" si="2"/>
        <v>0</v>
      </c>
      <c r="H66" s="518">
        <f t="shared" si="3"/>
        <v>0</v>
      </c>
      <c r="I66" s="532"/>
    </row>
    <row r="67" spans="1:9">
      <c r="A67" s="52">
        <v>63</v>
      </c>
      <c r="B67" s="196" t="s">
        <v>9171</v>
      </c>
      <c r="C67" s="133" t="s">
        <v>611</v>
      </c>
      <c r="D67" s="522">
        <v>11183962</v>
      </c>
      <c r="E67" s="519">
        <v>0</v>
      </c>
      <c r="F67" s="519">
        <v>0</v>
      </c>
      <c r="G67" s="526">
        <f t="shared" si="2"/>
        <v>0</v>
      </c>
      <c r="H67" s="518">
        <f t="shared" si="3"/>
        <v>0</v>
      </c>
      <c r="I67" s="532"/>
    </row>
    <row r="68" spans="1:9">
      <c r="A68" s="52">
        <v>64</v>
      </c>
      <c r="B68" s="196" t="s">
        <v>9172</v>
      </c>
      <c r="C68" s="133" t="s">
        <v>9096</v>
      </c>
      <c r="D68" s="522">
        <v>12246214</v>
      </c>
      <c r="E68" s="519">
        <v>0</v>
      </c>
      <c r="F68" s="519">
        <v>0</v>
      </c>
      <c r="G68" s="526">
        <f t="shared" si="2"/>
        <v>0</v>
      </c>
      <c r="H68" s="518">
        <f t="shared" si="3"/>
        <v>0</v>
      </c>
      <c r="I68" s="532"/>
    </row>
    <row r="69" spans="1:9">
      <c r="A69" s="52">
        <v>65</v>
      </c>
      <c r="B69" s="196" t="s">
        <v>9173</v>
      </c>
      <c r="C69" s="133" t="s">
        <v>621</v>
      </c>
      <c r="D69" s="522">
        <v>8130352</v>
      </c>
      <c r="E69" s="519">
        <v>0</v>
      </c>
      <c r="F69" s="519">
        <v>0</v>
      </c>
      <c r="G69" s="526">
        <f t="shared" si="2"/>
        <v>0</v>
      </c>
      <c r="H69" s="518">
        <f t="shared" si="3"/>
        <v>0</v>
      </c>
      <c r="I69" s="532"/>
    </row>
    <row r="70" spans="1:9">
      <c r="A70" s="52">
        <v>66</v>
      </c>
      <c r="B70" s="196" t="s">
        <v>9174</v>
      </c>
      <c r="C70" s="133" t="s">
        <v>9097</v>
      </c>
      <c r="D70" s="522">
        <v>20342666</v>
      </c>
      <c r="E70" s="519">
        <v>0</v>
      </c>
      <c r="F70" s="519">
        <v>0</v>
      </c>
      <c r="G70" s="526">
        <f t="shared" si="2"/>
        <v>0</v>
      </c>
      <c r="H70" s="518">
        <f t="shared" si="3"/>
        <v>0</v>
      </c>
      <c r="I70" s="532"/>
    </row>
    <row r="71" spans="1:9">
      <c r="A71" s="52">
        <v>67</v>
      </c>
      <c r="B71" s="196" t="s">
        <v>9175</v>
      </c>
      <c r="C71" s="133" t="s">
        <v>9098</v>
      </c>
      <c r="D71" s="522">
        <v>4291043</v>
      </c>
      <c r="E71" s="519">
        <v>0</v>
      </c>
      <c r="F71" s="519">
        <v>0</v>
      </c>
      <c r="G71" s="526">
        <f t="shared" si="2"/>
        <v>0</v>
      </c>
      <c r="H71" s="518">
        <f t="shared" si="3"/>
        <v>0</v>
      </c>
      <c r="I71" s="532"/>
    </row>
    <row r="72" spans="1:9">
      <c r="A72" s="52">
        <v>68</v>
      </c>
      <c r="B72" s="196" t="s">
        <v>9176</v>
      </c>
      <c r="C72" s="133" t="s">
        <v>9099</v>
      </c>
      <c r="D72" s="522">
        <v>4545590</v>
      </c>
      <c r="E72" s="519">
        <v>0</v>
      </c>
      <c r="F72" s="519">
        <v>0</v>
      </c>
      <c r="G72" s="526">
        <f t="shared" si="2"/>
        <v>0</v>
      </c>
      <c r="H72" s="518">
        <f t="shared" si="3"/>
        <v>0</v>
      </c>
      <c r="I72" s="532"/>
    </row>
    <row r="73" spans="1:9">
      <c r="A73" s="52">
        <v>69</v>
      </c>
      <c r="B73" s="196" t="s">
        <v>9177</v>
      </c>
      <c r="C73" s="133" t="s">
        <v>9100</v>
      </c>
      <c r="D73" s="522">
        <v>4901980</v>
      </c>
      <c r="E73" s="519">
        <v>0</v>
      </c>
      <c r="F73" s="519">
        <v>0</v>
      </c>
      <c r="G73" s="526">
        <f t="shared" si="2"/>
        <v>0</v>
      </c>
      <c r="H73" s="518">
        <f t="shared" si="3"/>
        <v>0</v>
      </c>
      <c r="I73" s="532"/>
    </row>
    <row r="74" spans="1:9">
      <c r="A74" s="52">
        <v>70</v>
      </c>
      <c r="B74" s="196" t="s">
        <v>9178</v>
      </c>
      <c r="C74" s="133" t="s">
        <v>9101</v>
      </c>
      <c r="D74" s="522">
        <v>360209</v>
      </c>
      <c r="E74" s="562">
        <v>0</v>
      </c>
      <c r="F74" s="519">
        <v>0</v>
      </c>
      <c r="G74" s="526">
        <f t="shared" si="2"/>
        <v>0</v>
      </c>
      <c r="H74" s="518">
        <f t="shared" si="3"/>
        <v>0</v>
      </c>
      <c r="I74" s="532"/>
    </row>
    <row r="75" spans="1:9">
      <c r="A75" s="52">
        <v>71</v>
      </c>
      <c r="B75" s="196" t="s">
        <v>9179</v>
      </c>
      <c r="C75" s="133" t="s">
        <v>1598</v>
      </c>
      <c r="D75" s="522">
        <v>35448224</v>
      </c>
      <c r="E75" s="519">
        <v>0</v>
      </c>
      <c r="F75" s="519">
        <v>0</v>
      </c>
      <c r="G75" s="526">
        <f t="shared" si="2"/>
        <v>0</v>
      </c>
      <c r="H75" s="518">
        <f t="shared" si="3"/>
        <v>0</v>
      </c>
      <c r="I75" s="532"/>
    </row>
    <row r="76" spans="1:9">
      <c r="A76" s="52">
        <v>72</v>
      </c>
      <c r="B76" s="196" t="s">
        <v>9180</v>
      </c>
      <c r="C76" s="133" t="s">
        <v>9102</v>
      </c>
      <c r="D76" s="522">
        <v>15298865</v>
      </c>
      <c r="E76" s="519">
        <v>0</v>
      </c>
      <c r="F76" s="519">
        <v>0</v>
      </c>
      <c r="G76" s="526">
        <f t="shared" ref="G76:G110" si="4">IF(E76&gt;0,E76/D76,0)</f>
        <v>0</v>
      </c>
      <c r="H76" s="518">
        <f t="shared" ref="H76:H110" si="5">IF(F76&gt;0,F76/D76,0)</f>
        <v>0</v>
      </c>
      <c r="I76" s="532"/>
    </row>
    <row r="77" spans="1:9">
      <c r="A77" s="52">
        <v>73</v>
      </c>
      <c r="B77" s="196" t="s">
        <v>9181</v>
      </c>
      <c r="C77" s="133" t="s">
        <v>7187</v>
      </c>
      <c r="D77" s="522">
        <v>14087379</v>
      </c>
      <c r="E77" s="519">
        <v>0</v>
      </c>
      <c r="F77" s="519">
        <v>0</v>
      </c>
      <c r="G77" s="526">
        <f t="shared" si="4"/>
        <v>0</v>
      </c>
      <c r="H77" s="518">
        <f t="shared" si="5"/>
        <v>0</v>
      </c>
      <c r="I77" s="532"/>
    </row>
    <row r="78" spans="1:9">
      <c r="A78" s="52">
        <v>74</v>
      </c>
      <c r="B78" s="196" t="s">
        <v>9182</v>
      </c>
      <c r="C78" s="133" t="s">
        <v>9103</v>
      </c>
      <c r="D78" s="522">
        <v>51332699</v>
      </c>
      <c r="E78" s="519">
        <v>0</v>
      </c>
      <c r="F78" s="519">
        <v>0</v>
      </c>
      <c r="G78" s="526">
        <f t="shared" si="4"/>
        <v>0</v>
      </c>
      <c r="H78" s="518">
        <f t="shared" si="5"/>
        <v>0</v>
      </c>
      <c r="I78" s="532"/>
    </row>
    <row r="79" spans="1:9">
      <c r="A79" s="52">
        <v>75</v>
      </c>
      <c r="B79" s="196" t="s">
        <v>9183</v>
      </c>
      <c r="C79" s="133" t="s">
        <v>9104</v>
      </c>
      <c r="D79" s="522">
        <v>7268994</v>
      </c>
      <c r="E79" s="519">
        <v>0</v>
      </c>
      <c r="F79" s="519">
        <v>110965</v>
      </c>
      <c r="G79" s="526">
        <f t="shared" si="4"/>
        <v>0</v>
      </c>
      <c r="H79" s="518">
        <f t="shared" si="5"/>
        <v>1.5265523674940438E-2</v>
      </c>
      <c r="I79" s="532"/>
    </row>
    <row r="80" spans="1:9">
      <c r="A80" s="52">
        <v>76</v>
      </c>
      <c r="B80" s="196" t="s">
        <v>9184</v>
      </c>
      <c r="C80" s="133" t="s">
        <v>9105</v>
      </c>
      <c r="D80" s="522">
        <v>6371885</v>
      </c>
      <c r="E80" s="519">
        <v>0</v>
      </c>
      <c r="F80" s="519">
        <v>10345390</v>
      </c>
      <c r="G80" s="526">
        <f t="shared" si="4"/>
        <v>0</v>
      </c>
      <c r="H80" s="518">
        <f t="shared" si="5"/>
        <v>1.623599609848577</v>
      </c>
      <c r="I80" s="532"/>
    </row>
    <row r="81" spans="1:9">
      <c r="A81" s="52">
        <v>77</v>
      </c>
      <c r="B81" s="196" t="s">
        <v>9185</v>
      </c>
      <c r="C81" s="133" t="s">
        <v>9106</v>
      </c>
      <c r="D81" s="522">
        <v>4690808</v>
      </c>
      <c r="E81" s="519">
        <v>0</v>
      </c>
      <c r="F81" s="519">
        <v>1256452</v>
      </c>
      <c r="G81" s="526">
        <f t="shared" si="4"/>
        <v>0</v>
      </c>
      <c r="H81" s="518">
        <f t="shared" si="5"/>
        <v>0.26785406693260522</v>
      </c>
      <c r="I81" s="532"/>
    </row>
    <row r="82" spans="1:9">
      <c r="A82" s="52">
        <v>78</v>
      </c>
      <c r="B82" s="196" t="s">
        <v>9186</v>
      </c>
      <c r="C82" s="133" t="s">
        <v>9107</v>
      </c>
      <c r="D82" s="522">
        <v>2950316</v>
      </c>
      <c r="E82" s="519">
        <v>0</v>
      </c>
      <c r="F82" s="519">
        <v>32721</v>
      </c>
      <c r="G82" s="526">
        <f t="shared" si="4"/>
        <v>0</v>
      </c>
      <c r="H82" s="518">
        <f t="shared" si="5"/>
        <v>1.1090676388563123E-2</v>
      </c>
      <c r="I82" s="532"/>
    </row>
    <row r="83" spans="1:9">
      <c r="A83" s="52">
        <v>79</v>
      </c>
      <c r="B83" s="196" t="s">
        <v>9187</v>
      </c>
      <c r="C83" s="133" t="s">
        <v>9108</v>
      </c>
      <c r="D83" s="522">
        <v>78575</v>
      </c>
      <c r="E83" s="519">
        <v>0</v>
      </c>
      <c r="F83" s="519">
        <v>862635</v>
      </c>
      <c r="G83" s="526">
        <f t="shared" si="4"/>
        <v>0</v>
      </c>
      <c r="H83" s="518">
        <f t="shared" si="5"/>
        <v>10.978491886732421</v>
      </c>
      <c r="I83" s="532"/>
    </row>
    <row r="84" spans="1:9">
      <c r="A84" s="52">
        <v>80</v>
      </c>
      <c r="B84" s="196" t="s">
        <v>9188</v>
      </c>
      <c r="C84" s="133" t="s">
        <v>687</v>
      </c>
      <c r="D84" s="522">
        <v>227987</v>
      </c>
      <c r="E84" s="519">
        <v>0</v>
      </c>
      <c r="F84" s="519">
        <v>1822540</v>
      </c>
      <c r="G84" s="526">
        <f t="shared" si="4"/>
        <v>0</v>
      </c>
      <c r="H84" s="518">
        <f t="shared" si="5"/>
        <v>7.9940522924552715</v>
      </c>
      <c r="I84" s="532"/>
    </row>
    <row r="85" spans="1:9">
      <c r="A85" s="52">
        <v>81</v>
      </c>
      <c r="B85" s="196" t="s">
        <v>9189</v>
      </c>
      <c r="C85" s="133" t="s">
        <v>9109</v>
      </c>
      <c r="D85" s="522">
        <v>7996420</v>
      </c>
      <c r="E85" s="519">
        <v>0</v>
      </c>
      <c r="F85" s="519">
        <v>0</v>
      </c>
      <c r="G85" s="526">
        <f t="shared" si="4"/>
        <v>0</v>
      </c>
      <c r="H85" s="518">
        <f t="shared" si="5"/>
        <v>0</v>
      </c>
      <c r="I85" s="532"/>
    </row>
    <row r="86" spans="1:9">
      <c r="A86" s="52">
        <v>82</v>
      </c>
      <c r="B86" s="196" t="s">
        <v>9190</v>
      </c>
      <c r="C86" s="133" t="s">
        <v>9110</v>
      </c>
      <c r="D86" s="522">
        <v>1430486</v>
      </c>
      <c r="E86" s="519">
        <v>0</v>
      </c>
      <c r="F86" s="519">
        <v>0</v>
      </c>
      <c r="G86" s="526">
        <f t="shared" si="4"/>
        <v>0</v>
      </c>
      <c r="H86" s="518">
        <f t="shared" si="5"/>
        <v>0</v>
      </c>
      <c r="I86" s="532"/>
    </row>
    <row r="87" spans="1:9">
      <c r="A87" s="52">
        <v>83</v>
      </c>
      <c r="B87" s="196" t="s">
        <v>9191</v>
      </c>
      <c r="C87" s="133" t="s">
        <v>9111</v>
      </c>
      <c r="D87" s="522">
        <v>16353543</v>
      </c>
      <c r="E87" s="519">
        <v>0</v>
      </c>
      <c r="F87" s="519">
        <v>0</v>
      </c>
      <c r="G87" s="526">
        <f t="shared" si="4"/>
        <v>0</v>
      </c>
      <c r="H87" s="518">
        <f t="shared" si="5"/>
        <v>0</v>
      </c>
      <c r="I87" s="532"/>
    </row>
    <row r="88" spans="1:9">
      <c r="A88" s="52">
        <v>84</v>
      </c>
      <c r="B88" s="196" t="s">
        <v>9192</v>
      </c>
      <c r="C88" s="133" t="s">
        <v>9112</v>
      </c>
      <c r="D88" s="522">
        <v>4724439</v>
      </c>
      <c r="E88" s="519">
        <v>0</v>
      </c>
      <c r="F88" s="519">
        <v>0</v>
      </c>
      <c r="G88" s="526">
        <f t="shared" si="4"/>
        <v>0</v>
      </c>
      <c r="H88" s="518">
        <f t="shared" si="5"/>
        <v>0</v>
      </c>
      <c r="I88" s="532"/>
    </row>
    <row r="89" spans="1:9">
      <c r="A89" s="52">
        <v>85</v>
      </c>
      <c r="B89" s="196" t="s">
        <v>9193</v>
      </c>
      <c r="C89" s="133" t="s">
        <v>7357</v>
      </c>
      <c r="D89" s="522">
        <v>19077634</v>
      </c>
      <c r="E89" s="519">
        <v>537103</v>
      </c>
      <c r="F89" s="519">
        <v>40209</v>
      </c>
      <c r="G89" s="526">
        <f t="shared" si="4"/>
        <v>2.8153543568348149E-2</v>
      </c>
      <c r="H89" s="518">
        <f t="shared" si="5"/>
        <v>2.107651294704574E-3</v>
      </c>
      <c r="I89" s="532"/>
    </row>
    <row r="90" spans="1:9">
      <c r="A90" s="52">
        <v>86</v>
      </c>
      <c r="B90" s="196" t="s">
        <v>9194</v>
      </c>
      <c r="C90" s="133" t="s">
        <v>9113</v>
      </c>
      <c r="D90" s="522">
        <v>3550730</v>
      </c>
      <c r="E90" s="519">
        <v>0</v>
      </c>
      <c r="F90" s="519">
        <v>0</v>
      </c>
      <c r="G90" s="526">
        <f t="shared" si="4"/>
        <v>0</v>
      </c>
      <c r="H90" s="518">
        <f t="shared" si="5"/>
        <v>0</v>
      </c>
      <c r="I90" s="532"/>
    </row>
    <row r="91" spans="1:9">
      <c r="A91" s="52">
        <v>87</v>
      </c>
      <c r="B91" s="196" t="s">
        <v>9195</v>
      </c>
      <c r="C91" s="133" t="s">
        <v>9114</v>
      </c>
      <c r="D91" s="522">
        <v>8782732</v>
      </c>
      <c r="E91" s="519">
        <v>1752282</v>
      </c>
      <c r="F91" s="519">
        <v>184973</v>
      </c>
      <c r="G91" s="526">
        <f t="shared" si="4"/>
        <v>0.19951445632179143</v>
      </c>
      <c r="H91" s="518">
        <f t="shared" si="5"/>
        <v>2.1060986490308482E-2</v>
      </c>
      <c r="I91" s="532"/>
    </row>
    <row r="92" spans="1:9">
      <c r="A92" s="52">
        <v>88</v>
      </c>
      <c r="B92" s="196" t="s">
        <v>9196</v>
      </c>
      <c r="C92" s="133" t="s">
        <v>9115</v>
      </c>
      <c r="D92" s="522">
        <v>39739035</v>
      </c>
      <c r="E92" s="519">
        <v>0</v>
      </c>
      <c r="F92" s="519">
        <v>0</v>
      </c>
      <c r="G92" s="526">
        <f t="shared" si="4"/>
        <v>0</v>
      </c>
      <c r="H92" s="518">
        <f t="shared" si="5"/>
        <v>0</v>
      </c>
      <c r="I92" s="532"/>
    </row>
    <row r="93" spans="1:9">
      <c r="A93" s="52">
        <v>89</v>
      </c>
      <c r="B93" s="196" t="s">
        <v>9197</v>
      </c>
      <c r="C93" s="133" t="s">
        <v>9116</v>
      </c>
      <c r="D93" s="522">
        <v>25020820</v>
      </c>
      <c r="E93" s="519">
        <v>0</v>
      </c>
      <c r="F93" s="519">
        <v>631</v>
      </c>
      <c r="G93" s="526">
        <f t="shared" si="4"/>
        <v>0</v>
      </c>
      <c r="H93" s="518">
        <f t="shared" si="5"/>
        <v>2.5218997618783076E-5</v>
      </c>
      <c r="I93" s="532"/>
    </row>
    <row r="94" spans="1:9">
      <c r="A94" s="52">
        <v>90</v>
      </c>
      <c r="B94" s="196" t="s">
        <v>9198</v>
      </c>
      <c r="C94" s="133" t="s">
        <v>9117</v>
      </c>
      <c r="D94" s="522">
        <v>18660325</v>
      </c>
      <c r="E94" s="519">
        <v>0</v>
      </c>
      <c r="F94" s="519">
        <v>0</v>
      </c>
      <c r="G94" s="526">
        <f t="shared" si="4"/>
        <v>0</v>
      </c>
      <c r="H94" s="518">
        <f t="shared" si="5"/>
        <v>0</v>
      </c>
      <c r="I94" s="532"/>
    </row>
    <row r="95" spans="1:9">
      <c r="A95" s="52">
        <v>91</v>
      </c>
      <c r="B95" s="196" t="s">
        <v>9199</v>
      </c>
      <c r="C95" s="133" t="s">
        <v>9118</v>
      </c>
      <c r="D95" s="522">
        <v>45782259</v>
      </c>
      <c r="E95" s="519">
        <v>0</v>
      </c>
      <c r="F95" s="519">
        <v>0</v>
      </c>
      <c r="G95" s="526">
        <f t="shared" si="4"/>
        <v>0</v>
      </c>
      <c r="H95" s="518">
        <f t="shared" si="5"/>
        <v>0</v>
      </c>
      <c r="I95" s="532"/>
    </row>
    <row r="96" spans="1:9">
      <c r="A96" s="52">
        <v>92</v>
      </c>
      <c r="B96" s="196" t="s">
        <v>9200</v>
      </c>
      <c r="C96" s="133" t="s">
        <v>1599</v>
      </c>
      <c r="D96" s="522">
        <v>1966987</v>
      </c>
      <c r="E96" s="519">
        <v>0</v>
      </c>
      <c r="F96" s="519">
        <v>0</v>
      </c>
      <c r="G96" s="526">
        <f t="shared" si="4"/>
        <v>0</v>
      </c>
      <c r="H96" s="518">
        <f t="shared" si="5"/>
        <v>0</v>
      </c>
      <c r="I96" s="532"/>
    </row>
    <row r="97" spans="1:9">
      <c r="A97" s="52">
        <v>93</v>
      </c>
      <c r="B97" s="196" t="s">
        <v>9201</v>
      </c>
      <c r="C97" s="133" t="s">
        <v>9119</v>
      </c>
      <c r="D97" s="522">
        <v>9909287</v>
      </c>
      <c r="E97" s="519">
        <v>0</v>
      </c>
      <c r="F97" s="519">
        <v>0</v>
      </c>
      <c r="G97" s="526">
        <f t="shared" si="4"/>
        <v>0</v>
      </c>
      <c r="H97" s="518">
        <f t="shared" si="5"/>
        <v>0</v>
      </c>
      <c r="I97" s="532"/>
    </row>
    <row r="98" spans="1:9">
      <c r="A98" s="52">
        <v>94</v>
      </c>
      <c r="B98" s="196" t="s">
        <v>9202</v>
      </c>
      <c r="C98" s="133" t="s">
        <v>9120</v>
      </c>
      <c r="D98" s="522">
        <v>9928272</v>
      </c>
      <c r="E98" s="519">
        <v>0</v>
      </c>
      <c r="F98" s="519">
        <v>0</v>
      </c>
      <c r="G98" s="526">
        <f t="shared" si="4"/>
        <v>0</v>
      </c>
      <c r="H98" s="518">
        <f t="shared" si="5"/>
        <v>0</v>
      </c>
      <c r="I98" s="532"/>
    </row>
    <row r="99" spans="1:9">
      <c r="A99" s="52">
        <v>95</v>
      </c>
      <c r="B99" s="196" t="s">
        <v>9203</v>
      </c>
      <c r="C99" s="133" t="s">
        <v>9121</v>
      </c>
      <c r="D99" s="522">
        <v>4431793</v>
      </c>
      <c r="E99" s="519">
        <v>0</v>
      </c>
      <c r="F99" s="519">
        <v>0</v>
      </c>
      <c r="G99" s="526">
        <f t="shared" si="4"/>
        <v>0</v>
      </c>
      <c r="H99" s="518">
        <f t="shared" si="5"/>
        <v>0</v>
      </c>
      <c r="I99" s="532"/>
    </row>
    <row r="100" spans="1:9">
      <c r="A100" s="52">
        <v>96</v>
      </c>
      <c r="B100" s="196" t="s">
        <v>9204</v>
      </c>
      <c r="C100" s="133" t="s">
        <v>9122</v>
      </c>
      <c r="D100" s="522">
        <v>10083688</v>
      </c>
      <c r="E100" s="519">
        <v>0</v>
      </c>
      <c r="F100" s="519">
        <v>0</v>
      </c>
      <c r="G100" s="526">
        <f t="shared" si="4"/>
        <v>0</v>
      </c>
      <c r="H100" s="518">
        <f t="shared" si="5"/>
        <v>0</v>
      </c>
      <c r="I100" s="532"/>
    </row>
    <row r="101" spans="1:9">
      <c r="A101" s="52">
        <v>97</v>
      </c>
      <c r="B101" s="196" t="s">
        <v>9205</v>
      </c>
      <c r="C101" s="133" t="s">
        <v>7520</v>
      </c>
      <c r="D101" s="522">
        <v>7213238</v>
      </c>
      <c r="E101" s="519">
        <v>0</v>
      </c>
      <c r="F101" s="519">
        <v>0</v>
      </c>
      <c r="G101" s="526">
        <f t="shared" si="4"/>
        <v>0</v>
      </c>
      <c r="H101" s="518">
        <f t="shared" si="5"/>
        <v>0</v>
      </c>
      <c r="I101" s="532"/>
    </row>
    <row r="102" spans="1:9">
      <c r="A102" s="52">
        <v>98</v>
      </c>
      <c r="B102" s="196" t="s">
        <v>9206</v>
      </c>
      <c r="C102" s="133" t="s">
        <v>9123</v>
      </c>
      <c r="D102" s="522">
        <v>11581646</v>
      </c>
      <c r="E102" s="519">
        <v>0</v>
      </c>
      <c r="F102" s="519">
        <v>0</v>
      </c>
      <c r="G102" s="526">
        <f t="shared" si="4"/>
        <v>0</v>
      </c>
      <c r="H102" s="518">
        <f t="shared" si="5"/>
        <v>0</v>
      </c>
      <c r="I102" s="532"/>
    </row>
    <row r="103" spans="1:9">
      <c r="A103" s="52">
        <v>99</v>
      </c>
      <c r="B103" s="196" t="s">
        <v>9207</v>
      </c>
      <c r="C103" s="133" t="s">
        <v>795</v>
      </c>
      <c r="D103" s="522">
        <v>45910033</v>
      </c>
      <c r="E103" s="519">
        <v>0</v>
      </c>
      <c r="F103" s="519">
        <v>0</v>
      </c>
      <c r="G103" s="526">
        <f t="shared" si="4"/>
        <v>0</v>
      </c>
      <c r="H103" s="518">
        <f t="shared" si="5"/>
        <v>0</v>
      </c>
      <c r="I103" s="532"/>
    </row>
    <row r="104" spans="1:9">
      <c r="A104" s="52">
        <v>100</v>
      </c>
      <c r="B104" s="196" t="s">
        <v>9208</v>
      </c>
      <c r="C104" s="133" t="s">
        <v>1600</v>
      </c>
      <c r="D104" s="522">
        <v>5075910</v>
      </c>
      <c r="E104" s="519">
        <v>0</v>
      </c>
      <c r="F104" s="519">
        <v>0</v>
      </c>
      <c r="G104" s="526">
        <f t="shared" si="4"/>
        <v>0</v>
      </c>
      <c r="H104" s="518">
        <f t="shared" si="5"/>
        <v>0</v>
      </c>
      <c r="I104" s="532"/>
    </row>
    <row r="105" spans="1:9">
      <c r="A105" s="52">
        <v>101</v>
      </c>
      <c r="B105" s="196" t="s">
        <v>9209</v>
      </c>
      <c r="C105" s="133" t="s">
        <v>9124</v>
      </c>
      <c r="D105" s="522">
        <v>27554253</v>
      </c>
      <c r="E105" s="519">
        <v>0</v>
      </c>
      <c r="F105" s="519">
        <v>0</v>
      </c>
      <c r="G105" s="526">
        <f t="shared" si="4"/>
        <v>0</v>
      </c>
      <c r="H105" s="518">
        <f t="shared" si="5"/>
        <v>0</v>
      </c>
      <c r="I105" s="532"/>
    </row>
    <row r="106" spans="1:9">
      <c r="A106" s="52">
        <v>102</v>
      </c>
      <c r="B106" s="196" t="s">
        <v>9210</v>
      </c>
      <c r="C106" s="133" t="s">
        <v>1601</v>
      </c>
      <c r="D106" s="522">
        <v>5264550</v>
      </c>
      <c r="E106" s="519">
        <v>0</v>
      </c>
      <c r="F106" s="519">
        <v>0</v>
      </c>
      <c r="G106" s="526">
        <f t="shared" si="4"/>
        <v>0</v>
      </c>
      <c r="H106" s="518">
        <f t="shared" si="5"/>
        <v>0</v>
      </c>
      <c r="I106" s="532"/>
    </row>
    <row r="107" spans="1:9">
      <c r="A107" s="52">
        <v>103</v>
      </c>
      <c r="B107" s="196" t="s">
        <v>9211</v>
      </c>
      <c r="C107" s="133" t="s">
        <v>9125</v>
      </c>
      <c r="D107" s="522">
        <v>9639163</v>
      </c>
      <c r="E107" s="519">
        <v>0</v>
      </c>
      <c r="F107" s="519">
        <v>0</v>
      </c>
      <c r="G107" s="526">
        <f t="shared" si="4"/>
        <v>0</v>
      </c>
      <c r="H107" s="518">
        <f t="shared" si="5"/>
        <v>0</v>
      </c>
      <c r="I107" s="532"/>
    </row>
    <row r="108" spans="1:9">
      <c r="A108" s="52">
        <v>104</v>
      </c>
      <c r="B108" s="196" t="s">
        <v>9212</v>
      </c>
      <c r="C108" s="133" t="s">
        <v>820</v>
      </c>
      <c r="D108" s="522">
        <v>7273554</v>
      </c>
      <c r="E108" s="519">
        <v>990</v>
      </c>
      <c r="F108" s="519">
        <v>351</v>
      </c>
      <c r="G108" s="526">
        <f t="shared" si="4"/>
        <v>1.3610952774943308E-4</v>
      </c>
      <c r="H108" s="518">
        <f t="shared" si="5"/>
        <v>4.8257014383889908E-5</v>
      </c>
      <c r="I108" s="532"/>
    </row>
    <row r="109" spans="1:9">
      <c r="A109" s="52">
        <v>105</v>
      </c>
      <c r="B109" s="196" t="s">
        <v>9213</v>
      </c>
      <c r="C109" s="133" t="s">
        <v>823</v>
      </c>
      <c r="D109" s="522">
        <v>1463403</v>
      </c>
      <c r="E109" s="519">
        <v>0</v>
      </c>
      <c r="F109" s="519">
        <v>0</v>
      </c>
      <c r="G109" s="526">
        <f t="shared" si="4"/>
        <v>0</v>
      </c>
      <c r="H109" s="518">
        <f t="shared" si="5"/>
        <v>0</v>
      </c>
      <c r="I109" s="532"/>
    </row>
    <row r="110" spans="1:9">
      <c r="A110" s="52">
        <v>106</v>
      </c>
      <c r="B110" s="196" t="s">
        <v>9214</v>
      </c>
      <c r="C110" s="133" t="s">
        <v>7669</v>
      </c>
      <c r="D110" s="522">
        <v>4961663</v>
      </c>
      <c r="E110" s="519">
        <v>117815</v>
      </c>
      <c r="F110" s="519">
        <v>150860</v>
      </c>
      <c r="G110" s="526">
        <f t="shared" si="4"/>
        <v>2.3745062895242985E-2</v>
      </c>
      <c r="H110" s="518">
        <f t="shared" si="5"/>
        <v>3.0405128280578508E-2</v>
      </c>
      <c r="I110" s="532"/>
    </row>
    <row r="111" spans="1:9">
      <c r="B111" s="191" t="s">
        <v>9215</v>
      </c>
      <c r="C111" s="520" t="s">
        <v>9216</v>
      </c>
      <c r="D111" s="523">
        <v>1017818388</v>
      </c>
      <c r="E111" s="514">
        <f>SUM(E5:E110)</f>
        <v>95118672</v>
      </c>
      <c r="F111" s="514">
        <f>SUM(F5:F110)</f>
        <v>28861406</v>
      </c>
      <c r="G111" s="527">
        <f t="shared" ref="G111" si="6">IF(E111&gt;0,E111/D111,0)</f>
        <v>9.3453481604814551E-2</v>
      </c>
      <c r="H111" s="533">
        <f t="shared" ref="H111" si="7">IF(F111&gt;0,F111/D111,0)</f>
        <v>2.8356145202595811E-2</v>
      </c>
      <c r="I111" s="532"/>
    </row>
  </sheetData>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DB66-CC89-4ED2-9F33-BB3F869AD997}">
  <dimension ref="A1:M401"/>
  <sheetViews>
    <sheetView workbookViewId="0">
      <pane xSplit="2" ySplit="5" topLeftCell="C380" activePane="bottomRight" state="frozen"/>
      <selection pane="topRight" activeCell="C1" sqref="C1"/>
      <selection pane="bottomLeft" activeCell="A6" sqref="A6"/>
      <selection pane="bottomRight" activeCell="N50" sqref="N50"/>
    </sheetView>
  </sheetViews>
  <sheetFormatPr defaultColWidth="9" defaultRowHeight="13"/>
  <cols>
    <col min="1" max="1" width="10.75" style="133" customWidth="1"/>
    <col min="2" max="2" width="25.33203125" style="133" customWidth="1"/>
    <col min="3" max="12" width="10.58203125" style="133" customWidth="1"/>
    <col min="13" max="13" width="10.25" style="133" customWidth="1"/>
    <col min="14" max="16384" width="9" style="133"/>
  </cols>
  <sheetData>
    <row r="1" spans="1:13">
      <c r="A1" s="134" t="s">
        <v>834</v>
      </c>
      <c r="B1" s="135"/>
      <c r="K1" s="133" t="s">
        <v>835</v>
      </c>
    </row>
    <row r="2" spans="1:13" ht="13.5" customHeight="1">
      <c r="A2" s="136"/>
      <c r="B2" s="137"/>
      <c r="C2" s="138"/>
      <c r="D2" s="138"/>
      <c r="E2" s="138"/>
      <c r="F2" s="138"/>
      <c r="G2" s="139"/>
      <c r="H2" s="139"/>
      <c r="I2" s="139"/>
      <c r="J2" s="139"/>
      <c r="K2" s="139"/>
      <c r="L2" s="140"/>
      <c r="M2" s="141"/>
    </row>
    <row r="3" spans="1:13">
      <c r="A3" s="1774" t="s">
        <v>836</v>
      </c>
      <c r="B3" s="1775"/>
      <c r="C3" s="1776" t="s">
        <v>837</v>
      </c>
      <c r="D3" s="1776" t="s">
        <v>838</v>
      </c>
      <c r="E3" s="1776" t="s">
        <v>839</v>
      </c>
      <c r="F3" s="1770" t="s">
        <v>840</v>
      </c>
      <c r="G3" s="1778" t="s">
        <v>841</v>
      </c>
      <c r="H3" s="1769" t="s">
        <v>842</v>
      </c>
      <c r="I3" s="139"/>
      <c r="J3" s="139"/>
      <c r="K3" s="139"/>
      <c r="L3" s="140"/>
      <c r="M3" s="142" t="s">
        <v>843</v>
      </c>
    </row>
    <row r="4" spans="1:13">
      <c r="A4" s="1774"/>
      <c r="B4" s="1775"/>
      <c r="C4" s="1776"/>
      <c r="D4" s="1776"/>
      <c r="E4" s="1776"/>
      <c r="F4" s="1770"/>
      <c r="G4" s="1776"/>
      <c r="H4" s="1770"/>
      <c r="I4" s="1769" t="s">
        <v>844</v>
      </c>
      <c r="J4" s="139"/>
      <c r="K4" s="139"/>
      <c r="L4" s="1772" t="s">
        <v>845</v>
      </c>
      <c r="M4" s="142" t="s">
        <v>846</v>
      </c>
    </row>
    <row r="5" spans="1:13" ht="29.25" customHeight="1">
      <c r="A5" s="143"/>
      <c r="B5" s="144"/>
      <c r="C5" s="1777"/>
      <c r="D5" s="1777"/>
      <c r="E5" s="1777"/>
      <c r="F5" s="1771"/>
      <c r="G5" s="1777"/>
      <c r="H5" s="1771"/>
      <c r="I5" s="1771"/>
      <c r="J5" s="145" t="s">
        <v>847</v>
      </c>
      <c r="K5" s="145" t="s">
        <v>848</v>
      </c>
      <c r="L5" s="1773"/>
      <c r="M5" s="146" t="s">
        <v>849</v>
      </c>
    </row>
    <row r="6" spans="1:13">
      <c r="A6" s="147" t="s">
        <v>850</v>
      </c>
      <c r="B6" s="148" t="s">
        <v>851</v>
      </c>
      <c r="C6" s="149">
        <f>D6+E6+F6</f>
        <v>43336</v>
      </c>
      <c r="D6" s="150">
        <v>17394</v>
      </c>
      <c r="E6" s="150">
        <v>23866</v>
      </c>
      <c r="F6" s="150">
        <f>G6+H6</f>
        <v>2076</v>
      </c>
      <c r="G6" s="150">
        <v>251</v>
      </c>
      <c r="H6" s="150">
        <f>I6+L6</f>
        <v>1825</v>
      </c>
      <c r="I6" s="150">
        <f>J6+K6</f>
        <v>926</v>
      </c>
      <c r="J6" s="150">
        <v>364</v>
      </c>
      <c r="K6" s="150">
        <v>562</v>
      </c>
      <c r="L6" s="151">
        <v>899</v>
      </c>
      <c r="M6" s="151">
        <v>44669</v>
      </c>
    </row>
    <row r="7" spans="1:13">
      <c r="A7" s="152" t="s">
        <v>852</v>
      </c>
      <c r="B7" s="153" t="s">
        <v>853</v>
      </c>
      <c r="C7" s="154">
        <f t="shared" ref="C7:C70" si="0">D7+E7+F7</f>
        <v>213</v>
      </c>
      <c r="D7" s="155">
        <v>87</v>
      </c>
      <c r="E7" s="155">
        <v>95</v>
      </c>
      <c r="F7" s="155">
        <f t="shared" ref="F7:F70" si="1">G7+H7</f>
        <v>31</v>
      </c>
      <c r="G7" s="155">
        <v>6</v>
      </c>
      <c r="H7" s="155">
        <f t="shared" ref="H7:H70" si="2">I7+L7</f>
        <v>25</v>
      </c>
      <c r="I7" s="155">
        <f t="shared" ref="I7:I70" si="3">J7+K7</f>
        <v>15</v>
      </c>
      <c r="J7" s="155">
        <v>6</v>
      </c>
      <c r="K7" s="155">
        <v>9</v>
      </c>
      <c r="L7" s="156">
        <v>10</v>
      </c>
      <c r="M7" s="156">
        <v>143</v>
      </c>
    </row>
    <row r="8" spans="1:13">
      <c r="A8" s="157" t="s">
        <v>854</v>
      </c>
      <c r="B8" s="158" t="s">
        <v>855</v>
      </c>
      <c r="C8" s="159">
        <f t="shared" si="0"/>
        <v>288</v>
      </c>
      <c r="D8" s="150">
        <v>117</v>
      </c>
      <c r="E8" s="150">
        <v>148</v>
      </c>
      <c r="F8" s="160">
        <f t="shared" si="1"/>
        <v>23</v>
      </c>
      <c r="G8" s="150">
        <v>2</v>
      </c>
      <c r="H8" s="160">
        <f t="shared" si="2"/>
        <v>21</v>
      </c>
      <c r="I8" s="160">
        <f t="shared" si="3"/>
        <v>12</v>
      </c>
      <c r="J8" s="150">
        <v>5</v>
      </c>
      <c r="K8" s="150">
        <v>7</v>
      </c>
      <c r="L8" s="151">
        <v>9</v>
      </c>
      <c r="M8" s="161">
        <v>555</v>
      </c>
    </row>
    <row r="9" spans="1:13">
      <c r="A9" s="157" t="s">
        <v>856</v>
      </c>
      <c r="B9" s="158" t="s">
        <v>857</v>
      </c>
      <c r="C9" s="159">
        <f t="shared" si="0"/>
        <v>4847</v>
      </c>
      <c r="D9" s="155">
        <v>2231</v>
      </c>
      <c r="E9" s="155">
        <v>2131</v>
      </c>
      <c r="F9" s="155">
        <f t="shared" si="1"/>
        <v>485</v>
      </c>
      <c r="G9" s="155">
        <v>90</v>
      </c>
      <c r="H9" s="155">
        <f t="shared" si="2"/>
        <v>395</v>
      </c>
      <c r="I9" s="155">
        <f t="shared" si="3"/>
        <v>227</v>
      </c>
      <c r="J9" s="155">
        <v>89</v>
      </c>
      <c r="K9" s="155">
        <v>138</v>
      </c>
      <c r="L9" s="156">
        <v>168</v>
      </c>
      <c r="M9" s="161">
        <v>2952</v>
      </c>
    </row>
    <row r="10" spans="1:13">
      <c r="A10" s="147" t="s">
        <v>858</v>
      </c>
      <c r="B10" s="148" t="s">
        <v>859</v>
      </c>
      <c r="C10" s="149">
        <f t="shared" si="0"/>
        <v>10326</v>
      </c>
      <c r="D10" s="150">
        <v>3438</v>
      </c>
      <c r="E10" s="150">
        <v>5783</v>
      </c>
      <c r="F10" s="150">
        <f t="shared" si="1"/>
        <v>1105</v>
      </c>
      <c r="G10" s="150">
        <v>64</v>
      </c>
      <c r="H10" s="150">
        <f t="shared" si="2"/>
        <v>1041</v>
      </c>
      <c r="I10" s="150">
        <f t="shared" si="3"/>
        <v>626</v>
      </c>
      <c r="J10" s="150">
        <v>246</v>
      </c>
      <c r="K10" s="150">
        <v>380</v>
      </c>
      <c r="L10" s="151">
        <v>415</v>
      </c>
      <c r="M10" s="151">
        <v>33256</v>
      </c>
    </row>
    <row r="11" spans="1:13">
      <c r="A11" s="152" t="s">
        <v>860</v>
      </c>
      <c r="B11" s="153" t="s">
        <v>861</v>
      </c>
      <c r="C11" s="154">
        <f t="shared" si="0"/>
        <v>2028</v>
      </c>
      <c r="D11" s="155">
        <v>654</v>
      </c>
      <c r="E11" s="155">
        <v>1100</v>
      </c>
      <c r="F11" s="155">
        <f t="shared" si="1"/>
        <v>274</v>
      </c>
      <c r="G11" s="155">
        <v>16</v>
      </c>
      <c r="H11" s="155">
        <f t="shared" si="2"/>
        <v>258</v>
      </c>
      <c r="I11" s="155">
        <f t="shared" si="3"/>
        <v>155</v>
      </c>
      <c r="J11" s="155">
        <v>61</v>
      </c>
      <c r="K11" s="155">
        <v>94</v>
      </c>
      <c r="L11" s="156">
        <v>103</v>
      </c>
      <c r="M11" s="156">
        <v>9173</v>
      </c>
    </row>
    <row r="12" spans="1:13">
      <c r="A12" s="157" t="s">
        <v>862</v>
      </c>
      <c r="B12" s="158" t="s">
        <v>863</v>
      </c>
      <c r="C12" s="159">
        <f t="shared" si="0"/>
        <v>1641</v>
      </c>
      <c r="D12" s="150">
        <v>580</v>
      </c>
      <c r="E12" s="150">
        <v>846</v>
      </c>
      <c r="F12" s="160">
        <f t="shared" si="1"/>
        <v>215</v>
      </c>
      <c r="G12" s="150">
        <v>8</v>
      </c>
      <c r="H12" s="160">
        <f t="shared" si="2"/>
        <v>207</v>
      </c>
      <c r="I12" s="160">
        <f t="shared" si="3"/>
        <v>77</v>
      </c>
      <c r="J12" s="150">
        <v>30</v>
      </c>
      <c r="K12" s="150">
        <v>47</v>
      </c>
      <c r="L12" s="151">
        <v>130</v>
      </c>
      <c r="M12" s="161">
        <v>3576</v>
      </c>
    </row>
    <row r="13" spans="1:13">
      <c r="A13" s="147" t="s">
        <v>864</v>
      </c>
      <c r="B13" s="148" t="s">
        <v>865</v>
      </c>
      <c r="C13" s="149">
        <f t="shared" si="0"/>
        <v>0</v>
      </c>
      <c r="D13" s="150">
        <v>0</v>
      </c>
      <c r="E13" s="150">
        <v>0</v>
      </c>
      <c r="F13" s="150">
        <f t="shared" si="1"/>
        <v>0</v>
      </c>
      <c r="G13" s="150">
        <v>0</v>
      </c>
      <c r="H13" s="150">
        <f t="shared" si="2"/>
        <v>0</v>
      </c>
      <c r="I13" s="150">
        <f t="shared" si="3"/>
        <v>0</v>
      </c>
      <c r="J13" s="150">
        <v>0</v>
      </c>
      <c r="K13" s="150">
        <v>0</v>
      </c>
      <c r="L13" s="151">
        <v>0</v>
      </c>
      <c r="M13" s="151">
        <v>0</v>
      </c>
    </row>
    <row r="14" spans="1:13">
      <c r="A14" s="157" t="s">
        <v>866</v>
      </c>
      <c r="B14" s="158" t="s">
        <v>867</v>
      </c>
      <c r="C14" s="159">
        <f t="shared" si="0"/>
        <v>56</v>
      </c>
      <c r="D14" s="160">
        <v>23</v>
      </c>
      <c r="E14" s="160">
        <v>29</v>
      </c>
      <c r="F14" s="160">
        <f t="shared" si="1"/>
        <v>4</v>
      </c>
      <c r="G14" s="160">
        <v>0</v>
      </c>
      <c r="H14" s="160">
        <f t="shared" si="2"/>
        <v>4</v>
      </c>
      <c r="I14" s="160">
        <f t="shared" si="3"/>
        <v>2</v>
      </c>
      <c r="J14" s="160">
        <v>1</v>
      </c>
      <c r="K14" s="160">
        <v>1</v>
      </c>
      <c r="L14" s="161">
        <v>2</v>
      </c>
      <c r="M14" s="161">
        <v>77</v>
      </c>
    </row>
    <row r="15" spans="1:13">
      <c r="A15" s="152" t="s">
        <v>868</v>
      </c>
      <c r="B15" s="153" t="s">
        <v>869</v>
      </c>
      <c r="C15" s="154">
        <f t="shared" si="0"/>
        <v>29</v>
      </c>
      <c r="D15" s="160">
        <v>9</v>
      </c>
      <c r="E15" s="160">
        <v>11</v>
      </c>
      <c r="F15" s="155">
        <f t="shared" si="1"/>
        <v>9</v>
      </c>
      <c r="G15" s="160">
        <v>1</v>
      </c>
      <c r="H15" s="155">
        <f t="shared" si="2"/>
        <v>8</v>
      </c>
      <c r="I15" s="155">
        <f t="shared" si="3"/>
        <v>5</v>
      </c>
      <c r="J15" s="160">
        <v>2</v>
      </c>
      <c r="K15" s="160">
        <v>3</v>
      </c>
      <c r="L15" s="161">
        <v>3</v>
      </c>
      <c r="M15" s="156">
        <v>35</v>
      </c>
    </row>
    <row r="16" spans="1:13">
      <c r="A16" s="157" t="s">
        <v>870</v>
      </c>
      <c r="B16" s="158" t="s">
        <v>871</v>
      </c>
      <c r="C16" s="159">
        <f t="shared" si="0"/>
        <v>26</v>
      </c>
      <c r="D16" s="150">
        <v>8</v>
      </c>
      <c r="E16" s="150">
        <v>9</v>
      </c>
      <c r="F16" s="160">
        <f t="shared" si="1"/>
        <v>9</v>
      </c>
      <c r="G16" s="150">
        <v>1</v>
      </c>
      <c r="H16" s="160">
        <f t="shared" si="2"/>
        <v>8</v>
      </c>
      <c r="I16" s="160">
        <f t="shared" si="3"/>
        <v>5</v>
      </c>
      <c r="J16" s="150">
        <v>2</v>
      </c>
      <c r="K16" s="150">
        <v>3</v>
      </c>
      <c r="L16" s="151">
        <v>3</v>
      </c>
      <c r="M16" s="161">
        <v>679</v>
      </c>
    </row>
    <row r="17" spans="1:13">
      <c r="A17" s="157" t="s">
        <v>872</v>
      </c>
      <c r="B17" s="158" t="s">
        <v>873</v>
      </c>
      <c r="C17" s="159">
        <f t="shared" si="0"/>
        <v>546</v>
      </c>
      <c r="D17" s="160">
        <v>206</v>
      </c>
      <c r="E17" s="160">
        <v>261</v>
      </c>
      <c r="F17" s="160">
        <f t="shared" si="1"/>
        <v>79</v>
      </c>
      <c r="G17" s="160">
        <v>8</v>
      </c>
      <c r="H17" s="160">
        <f t="shared" si="2"/>
        <v>71</v>
      </c>
      <c r="I17" s="160">
        <f t="shared" si="3"/>
        <v>54</v>
      </c>
      <c r="J17" s="160">
        <v>21</v>
      </c>
      <c r="K17" s="160">
        <v>33</v>
      </c>
      <c r="L17" s="161">
        <v>17</v>
      </c>
      <c r="M17" s="161">
        <v>790</v>
      </c>
    </row>
    <row r="18" spans="1:13">
      <c r="A18" s="157" t="s">
        <v>874</v>
      </c>
      <c r="B18" s="158" t="s">
        <v>875</v>
      </c>
      <c r="C18" s="159">
        <f t="shared" si="0"/>
        <v>1391</v>
      </c>
      <c r="D18" s="160">
        <v>394</v>
      </c>
      <c r="E18" s="160">
        <v>660</v>
      </c>
      <c r="F18" s="160">
        <f t="shared" si="1"/>
        <v>337</v>
      </c>
      <c r="G18" s="160">
        <v>24</v>
      </c>
      <c r="H18" s="160">
        <f t="shared" si="2"/>
        <v>313</v>
      </c>
      <c r="I18" s="160">
        <f t="shared" si="3"/>
        <v>226</v>
      </c>
      <c r="J18" s="160">
        <v>89</v>
      </c>
      <c r="K18" s="160">
        <v>137</v>
      </c>
      <c r="L18" s="161">
        <v>87</v>
      </c>
      <c r="M18" s="161">
        <v>4636</v>
      </c>
    </row>
    <row r="19" spans="1:13">
      <c r="A19" s="157" t="s">
        <v>876</v>
      </c>
      <c r="B19" s="158" t="s">
        <v>877</v>
      </c>
      <c r="C19" s="159">
        <f t="shared" si="0"/>
        <v>12</v>
      </c>
      <c r="D19" s="160">
        <v>5</v>
      </c>
      <c r="E19" s="160">
        <v>7</v>
      </c>
      <c r="F19" s="160">
        <f t="shared" si="1"/>
        <v>0</v>
      </c>
      <c r="G19" s="160">
        <v>0</v>
      </c>
      <c r="H19" s="160">
        <f t="shared" si="2"/>
        <v>0</v>
      </c>
      <c r="I19" s="160">
        <f t="shared" si="3"/>
        <v>0</v>
      </c>
      <c r="J19" s="160">
        <v>0</v>
      </c>
      <c r="K19" s="160">
        <v>0</v>
      </c>
      <c r="L19" s="161">
        <v>0</v>
      </c>
      <c r="M19" s="161">
        <v>34</v>
      </c>
    </row>
    <row r="20" spans="1:13">
      <c r="A20" s="147" t="s">
        <v>878</v>
      </c>
      <c r="B20" s="148" t="s">
        <v>879</v>
      </c>
      <c r="C20" s="149">
        <f t="shared" si="0"/>
        <v>571</v>
      </c>
      <c r="D20" s="150">
        <v>214</v>
      </c>
      <c r="E20" s="150">
        <v>235</v>
      </c>
      <c r="F20" s="150">
        <f t="shared" si="1"/>
        <v>122</v>
      </c>
      <c r="G20" s="150">
        <v>24</v>
      </c>
      <c r="H20" s="150">
        <f t="shared" si="2"/>
        <v>98</v>
      </c>
      <c r="I20" s="150">
        <f t="shared" si="3"/>
        <v>82</v>
      </c>
      <c r="J20" s="150">
        <v>57</v>
      </c>
      <c r="K20" s="150">
        <v>25</v>
      </c>
      <c r="L20" s="151">
        <v>16</v>
      </c>
      <c r="M20" s="151">
        <v>12518</v>
      </c>
    </row>
    <row r="21" spans="1:13">
      <c r="A21" s="157" t="s">
        <v>880</v>
      </c>
      <c r="B21" s="158" t="s">
        <v>881</v>
      </c>
      <c r="C21" s="159">
        <f t="shared" si="0"/>
        <v>1826</v>
      </c>
      <c r="D21" s="160">
        <v>912</v>
      </c>
      <c r="E21" s="160">
        <v>738</v>
      </c>
      <c r="F21" s="160">
        <f t="shared" si="1"/>
        <v>176</v>
      </c>
      <c r="G21" s="160">
        <v>27</v>
      </c>
      <c r="H21" s="160">
        <f t="shared" si="2"/>
        <v>149</v>
      </c>
      <c r="I21" s="160">
        <f t="shared" si="3"/>
        <v>118</v>
      </c>
      <c r="J21" s="160">
        <v>82</v>
      </c>
      <c r="K21" s="160">
        <v>36</v>
      </c>
      <c r="L21" s="161">
        <v>31</v>
      </c>
      <c r="M21" s="161">
        <v>18258</v>
      </c>
    </row>
    <row r="22" spans="1:13">
      <c r="A22" s="157" t="s">
        <v>882</v>
      </c>
      <c r="B22" s="158" t="s">
        <v>883</v>
      </c>
      <c r="C22" s="159">
        <f t="shared" si="0"/>
        <v>55</v>
      </c>
      <c r="D22" s="160">
        <v>8</v>
      </c>
      <c r="E22" s="160">
        <v>8</v>
      </c>
      <c r="F22" s="160">
        <f t="shared" si="1"/>
        <v>39</v>
      </c>
      <c r="G22" s="160">
        <v>6</v>
      </c>
      <c r="H22" s="160">
        <f t="shared" si="2"/>
        <v>33</v>
      </c>
      <c r="I22" s="160">
        <f t="shared" si="3"/>
        <v>32</v>
      </c>
      <c r="J22" s="160">
        <v>22</v>
      </c>
      <c r="K22" s="160">
        <v>10</v>
      </c>
      <c r="L22" s="161">
        <v>1</v>
      </c>
      <c r="M22" s="161">
        <v>1871</v>
      </c>
    </row>
    <row r="23" spans="1:13">
      <c r="A23" s="157" t="s">
        <v>884</v>
      </c>
      <c r="B23" s="158" t="s">
        <v>885</v>
      </c>
      <c r="C23" s="159">
        <f t="shared" si="0"/>
        <v>847</v>
      </c>
      <c r="D23" s="160">
        <v>116</v>
      </c>
      <c r="E23" s="160">
        <v>124</v>
      </c>
      <c r="F23" s="160">
        <f t="shared" si="1"/>
        <v>607</v>
      </c>
      <c r="G23" s="160">
        <v>52</v>
      </c>
      <c r="H23" s="160">
        <f t="shared" si="2"/>
        <v>555</v>
      </c>
      <c r="I23" s="160">
        <f t="shared" si="3"/>
        <v>535</v>
      </c>
      <c r="J23" s="160">
        <v>371</v>
      </c>
      <c r="K23" s="160">
        <v>164</v>
      </c>
      <c r="L23" s="161">
        <v>20</v>
      </c>
      <c r="M23" s="161">
        <v>20680</v>
      </c>
    </row>
    <row r="24" spans="1:13">
      <c r="A24" s="157" t="s">
        <v>886</v>
      </c>
      <c r="B24" s="158" t="s">
        <v>887</v>
      </c>
      <c r="C24" s="159">
        <f t="shared" si="0"/>
        <v>213</v>
      </c>
      <c r="D24" s="160">
        <v>34</v>
      </c>
      <c r="E24" s="160">
        <v>37</v>
      </c>
      <c r="F24" s="160">
        <f t="shared" si="1"/>
        <v>142</v>
      </c>
      <c r="G24" s="160">
        <v>12</v>
      </c>
      <c r="H24" s="160">
        <f t="shared" si="2"/>
        <v>130</v>
      </c>
      <c r="I24" s="160">
        <f t="shared" si="3"/>
        <v>125</v>
      </c>
      <c r="J24" s="160">
        <v>87</v>
      </c>
      <c r="K24" s="160">
        <v>38</v>
      </c>
      <c r="L24" s="161">
        <v>5</v>
      </c>
      <c r="M24" s="161">
        <v>8415</v>
      </c>
    </row>
    <row r="25" spans="1:13">
      <c r="A25" s="152" t="s">
        <v>888</v>
      </c>
      <c r="B25" s="153" t="s">
        <v>889</v>
      </c>
      <c r="C25" s="154">
        <f t="shared" si="0"/>
        <v>38</v>
      </c>
      <c r="D25" s="160">
        <v>11</v>
      </c>
      <c r="E25" s="160">
        <v>13</v>
      </c>
      <c r="F25" s="155">
        <f t="shared" si="1"/>
        <v>14</v>
      </c>
      <c r="G25" s="160">
        <v>3</v>
      </c>
      <c r="H25" s="155">
        <f t="shared" si="2"/>
        <v>11</v>
      </c>
      <c r="I25" s="155">
        <f t="shared" si="3"/>
        <v>11</v>
      </c>
      <c r="J25" s="160">
        <v>8</v>
      </c>
      <c r="K25" s="160">
        <v>3</v>
      </c>
      <c r="L25" s="161">
        <v>0</v>
      </c>
      <c r="M25" s="156">
        <v>347</v>
      </c>
    </row>
    <row r="26" spans="1:13">
      <c r="A26" s="157" t="s">
        <v>890</v>
      </c>
      <c r="B26" s="158" t="s">
        <v>891</v>
      </c>
      <c r="C26" s="159">
        <f t="shared" si="0"/>
        <v>2256</v>
      </c>
      <c r="D26" s="150">
        <v>389</v>
      </c>
      <c r="E26" s="150">
        <v>198</v>
      </c>
      <c r="F26" s="160">
        <f t="shared" si="1"/>
        <v>1669</v>
      </c>
      <c r="G26" s="150">
        <v>272</v>
      </c>
      <c r="H26" s="160">
        <f t="shared" si="2"/>
        <v>1397</v>
      </c>
      <c r="I26" s="160">
        <f t="shared" si="3"/>
        <v>1364</v>
      </c>
      <c r="J26" s="150">
        <v>1050</v>
      </c>
      <c r="K26" s="150">
        <v>314</v>
      </c>
      <c r="L26" s="151">
        <v>33</v>
      </c>
      <c r="M26" s="161">
        <v>18696</v>
      </c>
    </row>
    <row r="27" spans="1:13">
      <c r="A27" s="157" t="s">
        <v>892</v>
      </c>
      <c r="B27" s="158" t="s">
        <v>893</v>
      </c>
      <c r="C27" s="159">
        <f t="shared" si="0"/>
        <v>872</v>
      </c>
      <c r="D27" s="155">
        <v>4</v>
      </c>
      <c r="E27" s="155">
        <v>2</v>
      </c>
      <c r="F27" s="155">
        <f t="shared" si="1"/>
        <v>866</v>
      </c>
      <c r="G27" s="155">
        <v>3</v>
      </c>
      <c r="H27" s="155">
        <f t="shared" si="2"/>
        <v>863</v>
      </c>
      <c r="I27" s="155">
        <f t="shared" si="3"/>
        <v>659</v>
      </c>
      <c r="J27" s="155">
        <v>349</v>
      </c>
      <c r="K27" s="155">
        <v>310</v>
      </c>
      <c r="L27" s="156">
        <v>204</v>
      </c>
      <c r="M27" s="161">
        <v>9455</v>
      </c>
    </row>
    <row r="28" spans="1:13">
      <c r="A28" s="162" t="s">
        <v>894</v>
      </c>
      <c r="B28" s="163" t="s">
        <v>895</v>
      </c>
      <c r="C28" s="164">
        <f t="shared" si="0"/>
        <v>2804</v>
      </c>
      <c r="D28" s="150">
        <v>1531</v>
      </c>
      <c r="E28" s="150">
        <v>762</v>
      </c>
      <c r="F28" s="165">
        <f t="shared" si="1"/>
        <v>511</v>
      </c>
      <c r="G28" s="150">
        <v>112</v>
      </c>
      <c r="H28" s="165">
        <f t="shared" si="2"/>
        <v>399</v>
      </c>
      <c r="I28" s="165">
        <f t="shared" si="3"/>
        <v>341</v>
      </c>
      <c r="J28" s="150">
        <v>272</v>
      </c>
      <c r="K28" s="150">
        <v>69</v>
      </c>
      <c r="L28" s="151">
        <v>58</v>
      </c>
      <c r="M28" s="166">
        <v>6640</v>
      </c>
    </row>
    <row r="29" spans="1:13">
      <c r="A29" s="157" t="s">
        <v>896</v>
      </c>
      <c r="B29" s="158" t="s">
        <v>897</v>
      </c>
      <c r="C29" s="159">
        <f t="shared" si="0"/>
        <v>255</v>
      </c>
      <c r="D29" s="150">
        <v>39</v>
      </c>
      <c r="E29" s="150">
        <v>34</v>
      </c>
      <c r="F29" s="160">
        <f t="shared" si="1"/>
        <v>182</v>
      </c>
      <c r="G29" s="150">
        <v>14</v>
      </c>
      <c r="H29" s="160">
        <f t="shared" si="2"/>
        <v>168</v>
      </c>
      <c r="I29" s="160">
        <f t="shared" si="3"/>
        <v>160</v>
      </c>
      <c r="J29" s="150">
        <v>136</v>
      </c>
      <c r="K29" s="150">
        <v>24</v>
      </c>
      <c r="L29" s="151">
        <v>8</v>
      </c>
      <c r="M29" s="161">
        <v>2751</v>
      </c>
    </row>
    <row r="30" spans="1:13">
      <c r="A30" s="162" t="s">
        <v>898</v>
      </c>
      <c r="B30" s="163" t="s">
        <v>899</v>
      </c>
      <c r="C30" s="164">
        <f t="shared" si="0"/>
        <v>166</v>
      </c>
      <c r="D30" s="150">
        <v>49</v>
      </c>
      <c r="E30" s="150">
        <v>58</v>
      </c>
      <c r="F30" s="165">
        <f t="shared" si="1"/>
        <v>59</v>
      </c>
      <c r="G30" s="150">
        <v>6</v>
      </c>
      <c r="H30" s="165">
        <f t="shared" si="2"/>
        <v>53</v>
      </c>
      <c r="I30" s="165">
        <f t="shared" si="3"/>
        <v>41</v>
      </c>
      <c r="J30" s="150">
        <v>28</v>
      </c>
      <c r="K30" s="150">
        <v>13</v>
      </c>
      <c r="L30" s="151">
        <v>12</v>
      </c>
      <c r="M30" s="166">
        <v>1405</v>
      </c>
    </row>
    <row r="31" spans="1:13">
      <c r="A31" s="157" t="s">
        <v>900</v>
      </c>
      <c r="B31" s="158" t="s">
        <v>901</v>
      </c>
      <c r="C31" s="159">
        <f t="shared" si="0"/>
        <v>4147</v>
      </c>
      <c r="D31" s="150">
        <v>1830</v>
      </c>
      <c r="E31" s="150">
        <v>657</v>
      </c>
      <c r="F31" s="160">
        <f t="shared" si="1"/>
        <v>1660</v>
      </c>
      <c r="G31" s="150">
        <v>85</v>
      </c>
      <c r="H31" s="160">
        <f t="shared" si="2"/>
        <v>1575</v>
      </c>
      <c r="I31" s="160">
        <f t="shared" si="3"/>
        <v>1248</v>
      </c>
      <c r="J31" s="150">
        <v>971</v>
      </c>
      <c r="K31" s="150">
        <v>277</v>
      </c>
      <c r="L31" s="151">
        <v>327</v>
      </c>
      <c r="M31" s="161">
        <v>26420</v>
      </c>
    </row>
    <row r="32" spans="1:13">
      <c r="A32" s="157" t="s">
        <v>902</v>
      </c>
      <c r="B32" s="158" t="s">
        <v>903</v>
      </c>
      <c r="C32" s="159">
        <f t="shared" si="0"/>
        <v>2096</v>
      </c>
      <c r="D32" s="155">
        <v>453</v>
      </c>
      <c r="E32" s="155">
        <v>563</v>
      </c>
      <c r="F32" s="155">
        <f t="shared" si="1"/>
        <v>1080</v>
      </c>
      <c r="G32" s="155">
        <v>57</v>
      </c>
      <c r="H32" s="155">
        <f t="shared" si="2"/>
        <v>1023</v>
      </c>
      <c r="I32" s="155">
        <f t="shared" si="3"/>
        <v>729</v>
      </c>
      <c r="J32" s="155">
        <v>511</v>
      </c>
      <c r="K32" s="155">
        <v>218</v>
      </c>
      <c r="L32" s="156">
        <v>294</v>
      </c>
      <c r="M32" s="161">
        <v>19248</v>
      </c>
    </row>
    <row r="33" spans="1:13">
      <c r="A33" s="147" t="s">
        <v>904</v>
      </c>
      <c r="B33" s="148" t="s">
        <v>905</v>
      </c>
      <c r="C33" s="149">
        <f t="shared" si="0"/>
        <v>18</v>
      </c>
      <c r="D33" s="150">
        <v>9</v>
      </c>
      <c r="E33" s="150">
        <v>5</v>
      </c>
      <c r="F33" s="150">
        <f t="shared" si="1"/>
        <v>4</v>
      </c>
      <c r="G33" s="150">
        <v>0</v>
      </c>
      <c r="H33" s="150">
        <f t="shared" si="2"/>
        <v>4</v>
      </c>
      <c r="I33" s="150">
        <f t="shared" si="3"/>
        <v>3</v>
      </c>
      <c r="J33" s="150">
        <v>2</v>
      </c>
      <c r="K33" s="150">
        <v>1</v>
      </c>
      <c r="L33" s="151">
        <v>1</v>
      </c>
      <c r="M33" s="151">
        <v>87</v>
      </c>
    </row>
    <row r="34" spans="1:13">
      <c r="A34" s="152" t="s">
        <v>906</v>
      </c>
      <c r="B34" s="153" t="s">
        <v>907</v>
      </c>
      <c r="C34" s="154">
        <f t="shared" si="0"/>
        <v>11</v>
      </c>
      <c r="D34" s="155">
        <v>2</v>
      </c>
      <c r="E34" s="155">
        <v>2</v>
      </c>
      <c r="F34" s="155">
        <f t="shared" si="1"/>
        <v>7</v>
      </c>
      <c r="G34" s="155">
        <v>1</v>
      </c>
      <c r="H34" s="155">
        <f t="shared" si="2"/>
        <v>6</v>
      </c>
      <c r="I34" s="155">
        <f t="shared" si="3"/>
        <v>5</v>
      </c>
      <c r="J34" s="155">
        <v>4</v>
      </c>
      <c r="K34" s="155">
        <v>1</v>
      </c>
      <c r="L34" s="156">
        <v>1</v>
      </c>
      <c r="M34" s="156">
        <v>94</v>
      </c>
    </row>
    <row r="35" spans="1:13">
      <c r="A35" s="162" t="s">
        <v>908</v>
      </c>
      <c r="B35" s="163" t="s">
        <v>909</v>
      </c>
      <c r="C35" s="164">
        <f t="shared" si="0"/>
        <v>0</v>
      </c>
      <c r="D35" s="150">
        <v>0</v>
      </c>
      <c r="E35" s="150">
        <v>0</v>
      </c>
      <c r="F35" s="165">
        <f t="shared" si="1"/>
        <v>0</v>
      </c>
      <c r="G35" s="150">
        <v>0</v>
      </c>
      <c r="H35" s="165">
        <f t="shared" si="2"/>
        <v>0</v>
      </c>
      <c r="I35" s="165">
        <f t="shared" si="3"/>
        <v>0</v>
      </c>
      <c r="J35" s="150">
        <v>0</v>
      </c>
      <c r="K35" s="150">
        <v>0</v>
      </c>
      <c r="L35" s="151">
        <v>0</v>
      </c>
      <c r="M35" s="166">
        <v>0</v>
      </c>
    </row>
    <row r="36" spans="1:13">
      <c r="A36" s="157" t="s">
        <v>910</v>
      </c>
      <c r="B36" s="158" t="s">
        <v>911</v>
      </c>
      <c r="C36" s="159">
        <f t="shared" si="0"/>
        <v>364</v>
      </c>
      <c r="D36" s="150">
        <v>10</v>
      </c>
      <c r="E36" s="150">
        <v>4</v>
      </c>
      <c r="F36" s="160">
        <f t="shared" si="1"/>
        <v>350</v>
      </c>
      <c r="G36" s="150">
        <v>51</v>
      </c>
      <c r="H36" s="160">
        <f t="shared" si="2"/>
        <v>299</v>
      </c>
      <c r="I36" s="160">
        <f t="shared" si="3"/>
        <v>291</v>
      </c>
      <c r="J36" s="150">
        <v>259</v>
      </c>
      <c r="K36" s="150">
        <v>32</v>
      </c>
      <c r="L36" s="151">
        <v>8</v>
      </c>
      <c r="M36" s="161">
        <v>4972</v>
      </c>
    </row>
    <row r="37" spans="1:13">
      <c r="A37" s="157" t="s">
        <v>912</v>
      </c>
      <c r="B37" s="158" t="s">
        <v>913</v>
      </c>
      <c r="C37" s="159">
        <f t="shared" si="0"/>
        <v>666</v>
      </c>
      <c r="D37" s="155">
        <v>4</v>
      </c>
      <c r="E37" s="155">
        <v>1</v>
      </c>
      <c r="F37" s="155">
        <f t="shared" si="1"/>
        <v>661</v>
      </c>
      <c r="G37" s="155">
        <v>63</v>
      </c>
      <c r="H37" s="155">
        <f t="shared" si="2"/>
        <v>598</v>
      </c>
      <c r="I37" s="155">
        <f t="shared" si="3"/>
        <v>584</v>
      </c>
      <c r="J37" s="155">
        <v>528</v>
      </c>
      <c r="K37" s="155">
        <v>56</v>
      </c>
      <c r="L37" s="156">
        <v>14</v>
      </c>
      <c r="M37" s="161">
        <v>12719</v>
      </c>
    </row>
    <row r="38" spans="1:13">
      <c r="A38" s="162" t="s">
        <v>914</v>
      </c>
      <c r="B38" s="163" t="s">
        <v>915</v>
      </c>
      <c r="C38" s="164">
        <f t="shared" si="0"/>
        <v>30</v>
      </c>
      <c r="D38" s="150">
        <v>0</v>
      </c>
      <c r="E38" s="150">
        <v>0</v>
      </c>
      <c r="F38" s="165">
        <f t="shared" si="1"/>
        <v>30</v>
      </c>
      <c r="G38" s="150">
        <v>2</v>
      </c>
      <c r="H38" s="165">
        <f t="shared" si="2"/>
        <v>28</v>
      </c>
      <c r="I38" s="165">
        <f t="shared" si="3"/>
        <v>28</v>
      </c>
      <c r="J38" s="150">
        <v>26</v>
      </c>
      <c r="K38" s="150">
        <v>2</v>
      </c>
      <c r="L38" s="151">
        <v>0</v>
      </c>
      <c r="M38" s="166">
        <v>1071</v>
      </c>
    </row>
    <row r="39" spans="1:13">
      <c r="A39" s="157" t="s">
        <v>916</v>
      </c>
      <c r="B39" s="158" t="s">
        <v>917</v>
      </c>
      <c r="C39" s="159">
        <f t="shared" si="0"/>
        <v>2877</v>
      </c>
      <c r="D39" s="150">
        <v>18</v>
      </c>
      <c r="E39" s="150">
        <v>12</v>
      </c>
      <c r="F39" s="160">
        <f t="shared" si="1"/>
        <v>2847</v>
      </c>
      <c r="G39" s="150">
        <v>87</v>
      </c>
      <c r="H39" s="160">
        <f t="shared" si="2"/>
        <v>2760</v>
      </c>
      <c r="I39" s="160">
        <f t="shared" si="3"/>
        <v>2701</v>
      </c>
      <c r="J39" s="150">
        <v>1401</v>
      </c>
      <c r="K39" s="150">
        <v>1300</v>
      </c>
      <c r="L39" s="151">
        <v>59</v>
      </c>
      <c r="M39" s="161">
        <v>93559</v>
      </c>
    </row>
    <row r="40" spans="1:13">
      <c r="A40" s="157">
        <v>111102</v>
      </c>
      <c r="B40" s="158" t="s">
        <v>918</v>
      </c>
      <c r="C40" s="159">
        <f t="shared" si="0"/>
        <v>2562</v>
      </c>
      <c r="D40" s="160">
        <v>17</v>
      </c>
      <c r="E40" s="160">
        <v>6</v>
      </c>
      <c r="F40" s="160">
        <f t="shared" si="1"/>
        <v>2539</v>
      </c>
      <c r="G40" s="160">
        <v>66</v>
      </c>
      <c r="H40" s="160">
        <f t="shared" si="2"/>
        <v>2473</v>
      </c>
      <c r="I40" s="160">
        <f t="shared" si="3"/>
        <v>2436</v>
      </c>
      <c r="J40" s="160">
        <v>1579</v>
      </c>
      <c r="K40" s="160">
        <v>857</v>
      </c>
      <c r="L40" s="161">
        <v>37</v>
      </c>
      <c r="M40" s="161">
        <v>107620</v>
      </c>
    </row>
    <row r="41" spans="1:13">
      <c r="A41" s="152">
        <v>111109</v>
      </c>
      <c r="B41" s="153" t="s">
        <v>919</v>
      </c>
      <c r="C41" s="154">
        <f t="shared" si="0"/>
        <v>5129</v>
      </c>
      <c r="D41" s="155">
        <v>12</v>
      </c>
      <c r="E41" s="155">
        <v>4</v>
      </c>
      <c r="F41" s="155">
        <f t="shared" si="1"/>
        <v>5113</v>
      </c>
      <c r="G41" s="155">
        <v>135</v>
      </c>
      <c r="H41" s="155">
        <f t="shared" si="2"/>
        <v>4978</v>
      </c>
      <c r="I41" s="155">
        <f t="shared" si="3"/>
        <v>4873</v>
      </c>
      <c r="J41" s="160">
        <v>2029</v>
      </c>
      <c r="K41" s="160">
        <v>2844</v>
      </c>
      <c r="L41" s="161">
        <v>105</v>
      </c>
      <c r="M41" s="156">
        <v>103664</v>
      </c>
    </row>
    <row r="42" spans="1:13">
      <c r="A42" s="157">
        <v>111201</v>
      </c>
      <c r="B42" s="158" t="s">
        <v>920</v>
      </c>
      <c r="C42" s="159">
        <f t="shared" si="0"/>
        <v>267</v>
      </c>
      <c r="D42" s="160">
        <v>4</v>
      </c>
      <c r="E42" s="160">
        <v>1</v>
      </c>
      <c r="F42" s="160">
        <f t="shared" si="1"/>
        <v>262</v>
      </c>
      <c r="G42" s="160">
        <v>17</v>
      </c>
      <c r="H42" s="160">
        <f t="shared" si="2"/>
        <v>245</v>
      </c>
      <c r="I42" s="160">
        <f t="shared" si="3"/>
        <v>236</v>
      </c>
      <c r="J42" s="150">
        <v>127</v>
      </c>
      <c r="K42" s="150">
        <v>109</v>
      </c>
      <c r="L42" s="151">
        <v>9</v>
      </c>
      <c r="M42" s="161">
        <v>6618</v>
      </c>
    </row>
    <row r="43" spans="1:13">
      <c r="A43" s="157">
        <v>111202</v>
      </c>
      <c r="B43" s="158" t="s">
        <v>921</v>
      </c>
      <c r="C43" s="159">
        <f t="shared" si="0"/>
        <v>991</v>
      </c>
      <c r="D43" s="160">
        <v>72</v>
      </c>
      <c r="E43" s="160">
        <v>57</v>
      </c>
      <c r="F43" s="160">
        <f t="shared" si="1"/>
        <v>862</v>
      </c>
      <c r="G43" s="160">
        <v>79</v>
      </c>
      <c r="H43" s="160">
        <f t="shared" si="2"/>
        <v>783</v>
      </c>
      <c r="I43" s="160">
        <f t="shared" si="3"/>
        <v>732</v>
      </c>
      <c r="J43" s="160">
        <v>304</v>
      </c>
      <c r="K43" s="160">
        <v>428</v>
      </c>
      <c r="L43" s="161">
        <v>51</v>
      </c>
      <c r="M43" s="161">
        <v>14264</v>
      </c>
    </row>
    <row r="44" spans="1:13">
      <c r="A44" s="157">
        <v>111203</v>
      </c>
      <c r="B44" s="158" t="s">
        <v>922</v>
      </c>
      <c r="C44" s="159">
        <f t="shared" si="0"/>
        <v>40</v>
      </c>
      <c r="D44" s="160">
        <v>1</v>
      </c>
      <c r="E44" s="160">
        <v>0</v>
      </c>
      <c r="F44" s="160">
        <f t="shared" si="1"/>
        <v>39</v>
      </c>
      <c r="G44" s="160">
        <v>2</v>
      </c>
      <c r="H44" s="160">
        <f t="shared" si="2"/>
        <v>37</v>
      </c>
      <c r="I44" s="160">
        <f t="shared" si="3"/>
        <v>35</v>
      </c>
      <c r="J44" s="160">
        <v>20</v>
      </c>
      <c r="K44" s="160">
        <v>15</v>
      </c>
      <c r="L44" s="161">
        <v>2</v>
      </c>
      <c r="M44" s="161">
        <v>808</v>
      </c>
    </row>
    <row r="45" spans="1:13">
      <c r="A45" s="157">
        <v>111204</v>
      </c>
      <c r="B45" s="158" t="s">
        <v>923</v>
      </c>
      <c r="C45" s="159">
        <f t="shared" si="0"/>
        <v>2439</v>
      </c>
      <c r="D45" s="160">
        <v>77</v>
      </c>
      <c r="E45" s="160">
        <v>26</v>
      </c>
      <c r="F45" s="160">
        <f t="shared" si="1"/>
        <v>2336</v>
      </c>
      <c r="G45" s="160">
        <v>147</v>
      </c>
      <c r="H45" s="160">
        <f t="shared" si="2"/>
        <v>2189</v>
      </c>
      <c r="I45" s="160">
        <f t="shared" si="3"/>
        <v>2064</v>
      </c>
      <c r="J45" s="160">
        <v>1182</v>
      </c>
      <c r="K45" s="160">
        <v>882</v>
      </c>
      <c r="L45" s="161">
        <v>125</v>
      </c>
      <c r="M45" s="161">
        <v>36347</v>
      </c>
    </row>
    <row r="46" spans="1:13">
      <c r="A46" s="157">
        <v>111209</v>
      </c>
      <c r="B46" s="158" t="s">
        <v>924</v>
      </c>
      <c r="C46" s="159">
        <f t="shared" si="0"/>
        <v>3013</v>
      </c>
      <c r="D46" s="160">
        <v>195</v>
      </c>
      <c r="E46" s="160">
        <v>117</v>
      </c>
      <c r="F46" s="160">
        <f t="shared" si="1"/>
        <v>2701</v>
      </c>
      <c r="G46" s="160">
        <v>205</v>
      </c>
      <c r="H46" s="160">
        <f t="shared" si="2"/>
        <v>2496</v>
      </c>
      <c r="I46" s="160">
        <f t="shared" si="3"/>
        <v>2393</v>
      </c>
      <c r="J46" s="160">
        <v>1067</v>
      </c>
      <c r="K46" s="160">
        <v>1326</v>
      </c>
      <c r="L46" s="161">
        <v>103</v>
      </c>
      <c r="M46" s="161">
        <v>46527</v>
      </c>
    </row>
    <row r="47" spans="1:13">
      <c r="A47" s="147">
        <v>111301</v>
      </c>
      <c r="B47" s="148" t="s">
        <v>925</v>
      </c>
      <c r="C47" s="149">
        <f t="shared" si="0"/>
        <v>348</v>
      </c>
      <c r="D47" s="150">
        <v>11</v>
      </c>
      <c r="E47" s="150">
        <v>4</v>
      </c>
      <c r="F47" s="150">
        <f t="shared" si="1"/>
        <v>333</v>
      </c>
      <c r="G47" s="150">
        <v>32</v>
      </c>
      <c r="H47" s="150">
        <f t="shared" si="2"/>
        <v>301</v>
      </c>
      <c r="I47" s="150">
        <f t="shared" si="3"/>
        <v>295</v>
      </c>
      <c r="J47" s="150">
        <v>211</v>
      </c>
      <c r="K47" s="150">
        <v>84</v>
      </c>
      <c r="L47" s="151">
        <v>6</v>
      </c>
      <c r="M47" s="151">
        <v>58775</v>
      </c>
    </row>
    <row r="48" spans="1:13">
      <c r="A48" s="152">
        <v>111302</v>
      </c>
      <c r="B48" s="153" t="s">
        <v>926</v>
      </c>
      <c r="C48" s="154">
        <f t="shared" si="0"/>
        <v>1360</v>
      </c>
      <c r="D48" s="155">
        <v>117</v>
      </c>
      <c r="E48" s="155">
        <v>78</v>
      </c>
      <c r="F48" s="155">
        <f t="shared" si="1"/>
        <v>1165</v>
      </c>
      <c r="G48" s="155">
        <v>123</v>
      </c>
      <c r="H48" s="155">
        <f t="shared" si="2"/>
        <v>1042</v>
      </c>
      <c r="I48" s="155">
        <f t="shared" si="3"/>
        <v>1011</v>
      </c>
      <c r="J48" s="155">
        <v>820</v>
      </c>
      <c r="K48" s="155">
        <v>191</v>
      </c>
      <c r="L48" s="156">
        <v>31</v>
      </c>
      <c r="M48" s="156">
        <v>75261</v>
      </c>
    </row>
    <row r="49" spans="1:13">
      <c r="A49" s="157">
        <v>111401</v>
      </c>
      <c r="B49" s="158" t="s">
        <v>927</v>
      </c>
      <c r="C49" s="159">
        <f t="shared" si="0"/>
        <v>5203</v>
      </c>
      <c r="D49" s="150">
        <v>400</v>
      </c>
      <c r="E49" s="150">
        <v>229</v>
      </c>
      <c r="F49" s="160">
        <f t="shared" si="1"/>
        <v>4574</v>
      </c>
      <c r="G49" s="150">
        <v>360</v>
      </c>
      <c r="H49" s="160">
        <f t="shared" si="2"/>
        <v>4214</v>
      </c>
      <c r="I49" s="160">
        <f t="shared" si="3"/>
        <v>4084</v>
      </c>
      <c r="J49" s="150">
        <v>1912</v>
      </c>
      <c r="K49" s="150">
        <v>2172</v>
      </c>
      <c r="L49" s="151">
        <v>130</v>
      </c>
      <c r="M49" s="161">
        <v>78973</v>
      </c>
    </row>
    <row r="50" spans="1:13">
      <c r="A50" s="157">
        <v>111402</v>
      </c>
      <c r="B50" s="158" t="s">
        <v>928</v>
      </c>
      <c r="C50" s="159">
        <f t="shared" si="0"/>
        <v>6144</v>
      </c>
      <c r="D50" s="160">
        <v>99</v>
      </c>
      <c r="E50" s="160">
        <v>16</v>
      </c>
      <c r="F50" s="160">
        <f t="shared" si="1"/>
        <v>6029</v>
      </c>
      <c r="G50" s="160">
        <v>95</v>
      </c>
      <c r="H50" s="160">
        <f t="shared" si="2"/>
        <v>5934</v>
      </c>
      <c r="I50" s="160">
        <f t="shared" si="3"/>
        <v>5798</v>
      </c>
      <c r="J50" s="160">
        <v>2393</v>
      </c>
      <c r="K50" s="160">
        <v>3405</v>
      </c>
      <c r="L50" s="161">
        <v>136</v>
      </c>
      <c r="M50" s="161">
        <v>92630</v>
      </c>
    </row>
    <row r="51" spans="1:13">
      <c r="A51" s="157">
        <v>111403</v>
      </c>
      <c r="B51" s="158" t="s">
        <v>929</v>
      </c>
      <c r="C51" s="159">
        <f t="shared" si="0"/>
        <v>8914</v>
      </c>
      <c r="D51" s="160">
        <v>393</v>
      </c>
      <c r="E51" s="160">
        <v>181</v>
      </c>
      <c r="F51" s="160">
        <f t="shared" si="1"/>
        <v>8340</v>
      </c>
      <c r="G51" s="160">
        <v>342</v>
      </c>
      <c r="H51" s="160">
        <f t="shared" si="2"/>
        <v>7998</v>
      </c>
      <c r="I51" s="160">
        <f t="shared" si="3"/>
        <v>7734</v>
      </c>
      <c r="J51" s="160">
        <v>3884</v>
      </c>
      <c r="K51" s="160">
        <v>3850</v>
      </c>
      <c r="L51" s="161">
        <v>264</v>
      </c>
      <c r="M51" s="161">
        <v>154785</v>
      </c>
    </row>
    <row r="52" spans="1:13">
      <c r="A52" s="162">
        <v>111501</v>
      </c>
      <c r="B52" s="163" t="s">
        <v>930</v>
      </c>
      <c r="C52" s="164">
        <f t="shared" si="0"/>
        <v>3156</v>
      </c>
      <c r="D52" s="150">
        <v>188</v>
      </c>
      <c r="E52" s="150">
        <v>97</v>
      </c>
      <c r="F52" s="165">
        <f t="shared" si="1"/>
        <v>2871</v>
      </c>
      <c r="G52" s="150">
        <v>193</v>
      </c>
      <c r="H52" s="165">
        <f t="shared" si="2"/>
        <v>2678</v>
      </c>
      <c r="I52" s="165">
        <f t="shared" si="3"/>
        <v>2481</v>
      </c>
      <c r="J52" s="150">
        <v>1249</v>
      </c>
      <c r="K52" s="150">
        <v>1232</v>
      </c>
      <c r="L52" s="151">
        <v>197</v>
      </c>
      <c r="M52" s="166">
        <v>39076</v>
      </c>
    </row>
    <row r="53" spans="1:13">
      <c r="A53" s="157">
        <v>111601</v>
      </c>
      <c r="B53" s="158" t="s">
        <v>931</v>
      </c>
      <c r="C53" s="159">
        <f t="shared" si="0"/>
        <v>635</v>
      </c>
      <c r="D53" s="150">
        <v>12</v>
      </c>
      <c r="E53" s="150">
        <v>4</v>
      </c>
      <c r="F53" s="160">
        <f t="shared" si="1"/>
        <v>619</v>
      </c>
      <c r="G53" s="150">
        <v>27</v>
      </c>
      <c r="H53" s="160">
        <f t="shared" si="2"/>
        <v>592</v>
      </c>
      <c r="I53" s="160">
        <f t="shared" si="3"/>
        <v>556</v>
      </c>
      <c r="J53" s="150">
        <v>449</v>
      </c>
      <c r="K53" s="150">
        <v>107</v>
      </c>
      <c r="L53" s="151">
        <v>36</v>
      </c>
      <c r="M53" s="161">
        <v>31780</v>
      </c>
    </row>
    <row r="54" spans="1:13">
      <c r="A54" s="157">
        <v>111602</v>
      </c>
      <c r="B54" s="158" t="s">
        <v>932</v>
      </c>
      <c r="C54" s="159">
        <f t="shared" si="0"/>
        <v>80</v>
      </c>
      <c r="D54" s="160">
        <v>0</v>
      </c>
      <c r="E54" s="160">
        <v>0</v>
      </c>
      <c r="F54" s="160">
        <f t="shared" si="1"/>
        <v>80</v>
      </c>
      <c r="G54" s="160">
        <v>5</v>
      </c>
      <c r="H54" s="160">
        <f t="shared" si="2"/>
        <v>75</v>
      </c>
      <c r="I54" s="160">
        <f t="shared" si="3"/>
        <v>69</v>
      </c>
      <c r="J54" s="160">
        <v>56</v>
      </c>
      <c r="K54" s="160">
        <v>13</v>
      </c>
      <c r="L54" s="161">
        <v>6</v>
      </c>
      <c r="M54" s="161">
        <v>5040</v>
      </c>
    </row>
    <row r="55" spans="1:13">
      <c r="A55" s="157">
        <v>111603</v>
      </c>
      <c r="B55" s="158" t="s">
        <v>933</v>
      </c>
      <c r="C55" s="159">
        <f t="shared" si="0"/>
        <v>217</v>
      </c>
      <c r="D55" s="160">
        <v>1</v>
      </c>
      <c r="E55" s="160">
        <v>0</v>
      </c>
      <c r="F55" s="160">
        <f t="shared" si="1"/>
        <v>216</v>
      </c>
      <c r="G55" s="160">
        <v>6</v>
      </c>
      <c r="H55" s="160">
        <f t="shared" si="2"/>
        <v>210</v>
      </c>
      <c r="I55" s="160">
        <f t="shared" si="3"/>
        <v>210</v>
      </c>
      <c r="J55" s="160">
        <v>191</v>
      </c>
      <c r="K55" s="160">
        <v>19</v>
      </c>
      <c r="L55" s="161">
        <v>0</v>
      </c>
      <c r="M55" s="161">
        <v>18809</v>
      </c>
    </row>
    <row r="56" spans="1:13">
      <c r="A56" s="157">
        <v>111604</v>
      </c>
      <c r="B56" s="158" t="s">
        <v>934</v>
      </c>
      <c r="C56" s="159">
        <f t="shared" si="0"/>
        <v>1401</v>
      </c>
      <c r="D56" s="160">
        <v>3</v>
      </c>
      <c r="E56" s="160">
        <v>1</v>
      </c>
      <c r="F56" s="160">
        <f t="shared" si="1"/>
        <v>1397</v>
      </c>
      <c r="G56" s="160">
        <v>67</v>
      </c>
      <c r="H56" s="160">
        <f t="shared" si="2"/>
        <v>1330</v>
      </c>
      <c r="I56" s="160">
        <f t="shared" si="3"/>
        <v>1316</v>
      </c>
      <c r="J56" s="160">
        <v>1081</v>
      </c>
      <c r="K56" s="160">
        <v>235</v>
      </c>
      <c r="L56" s="161">
        <v>14</v>
      </c>
      <c r="M56" s="161">
        <v>115501</v>
      </c>
    </row>
    <row r="57" spans="1:13">
      <c r="A57" s="157">
        <v>111605</v>
      </c>
      <c r="B57" s="158" t="s">
        <v>935</v>
      </c>
      <c r="C57" s="159">
        <f t="shared" si="0"/>
        <v>3657</v>
      </c>
      <c r="D57" s="160">
        <v>165</v>
      </c>
      <c r="E57" s="160">
        <v>26</v>
      </c>
      <c r="F57" s="160">
        <f t="shared" si="1"/>
        <v>3466</v>
      </c>
      <c r="G57" s="160">
        <v>225</v>
      </c>
      <c r="H57" s="160">
        <f t="shared" si="2"/>
        <v>3241</v>
      </c>
      <c r="I57" s="160">
        <f t="shared" si="3"/>
        <v>3179</v>
      </c>
      <c r="J57" s="160">
        <v>2003</v>
      </c>
      <c r="K57" s="160">
        <v>1176</v>
      </c>
      <c r="L57" s="161">
        <v>62</v>
      </c>
      <c r="M57" s="156">
        <v>92808</v>
      </c>
    </row>
    <row r="58" spans="1:13">
      <c r="A58" s="147" t="s">
        <v>936</v>
      </c>
      <c r="B58" s="148" t="s">
        <v>937</v>
      </c>
      <c r="C58" s="149">
        <f t="shared" si="0"/>
        <v>1060</v>
      </c>
      <c r="D58" s="150">
        <v>6</v>
      </c>
      <c r="E58" s="150">
        <v>3</v>
      </c>
      <c r="F58" s="150">
        <f t="shared" si="1"/>
        <v>1051</v>
      </c>
      <c r="G58" s="150">
        <v>25</v>
      </c>
      <c r="H58" s="150">
        <f t="shared" si="2"/>
        <v>1026</v>
      </c>
      <c r="I58" s="150">
        <f t="shared" si="3"/>
        <v>1007</v>
      </c>
      <c r="J58" s="150">
        <v>405</v>
      </c>
      <c r="K58" s="150">
        <v>602</v>
      </c>
      <c r="L58" s="151">
        <v>19</v>
      </c>
      <c r="M58" s="161">
        <v>20828</v>
      </c>
    </row>
    <row r="59" spans="1:13">
      <c r="A59" s="157" t="s">
        <v>938</v>
      </c>
      <c r="B59" s="158" t="s">
        <v>939</v>
      </c>
      <c r="C59" s="159">
        <f t="shared" si="0"/>
        <v>141</v>
      </c>
      <c r="D59" s="160">
        <v>0</v>
      </c>
      <c r="E59" s="160">
        <v>0</v>
      </c>
      <c r="F59" s="160">
        <f t="shared" si="1"/>
        <v>141</v>
      </c>
      <c r="G59" s="160">
        <v>3</v>
      </c>
      <c r="H59" s="160">
        <f t="shared" si="2"/>
        <v>138</v>
      </c>
      <c r="I59" s="160">
        <f t="shared" si="3"/>
        <v>135</v>
      </c>
      <c r="J59" s="160">
        <v>69</v>
      </c>
      <c r="K59" s="160">
        <v>66</v>
      </c>
      <c r="L59" s="161">
        <v>3</v>
      </c>
      <c r="M59" s="161">
        <v>3120</v>
      </c>
    </row>
    <row r="60" spans="1:13">
      <c r="A60" s="157" t="s">
        <v>940</v>
      </c>
      <c r="B60" s="158" t="s">
        <v>941</v>
      </c>
      <c r="C60" s="159">
        <f t="shared" si="0"/>
        <v>21519</v>
      </c>
      <c r="D60" s="160">
        <v>408</v>
      </c>
      <c r="E60" s="160">
        <v>180</v>
      </c>
      <c r="F60" s="160">
        <f t="shared" si="1"/>
        <v>20931</v>
      </c>
      <c r="G60" s="160">
        <v>336</v>
      </c>
      <c r="H60" s="160">
        <f t="shared" si="2"/>
        <v>20595</v>
      </c>
      <c r="I60" s="160">
        <f t="shared" si="3"/>
        <v>19310</v>
      </c>
      <c r="J60" s="160">
        <v>4071</v>
      </c>
      <c r="K60" s="160">
        <v>15239</v>
      </c>
      <c r="L60" s="161">
        <v>1285</v>
      </c>
      <c r="M60" s="161">
        <v>225998</v>
      </c>
    </row>
    <row r="61" spans="1:13">
      <c r="A61" s="152" t="s">
        <v>942</v>
      </c>
      <c r="B61" s="153" t="s">
        <v>943</v>
      </c>
      <c r="C61" s="154">
        <f t="shared" si="0"/>
        <v>7325</v>
      </c>
      <c r="D61" s="160">
        <v>387</v>
      </c>
      <c r="E61" s="160">
        <v>172</v>
      </c>
      <c r="F61" s="155">
        <f t="shared" si="1"/>
        <v>6766</v>
      </c>
      <c r="G61" s="160">
        <v>429</v>
      </c>
      <c r="H61" s="155">
        <f t="shared" si="2"/>
        <v>6337</v>
      </c>
      <c r="I61" s="155">
        <f t="shared" si="3"/>
        <v>6130</v>
      </c>
      <c r="J61" s="160">
        <v>2951</v>
      </c>
      <c r="K61" s="160">
        <v>3179</v>
      </c>
      <c r="L61" s="161">
        <v>207</v>
      </c>
      <c r="M61" s="156">
        <v>122611</v>
      </c>
    </row>
    <row r="62" spans="1:13">
      <c r="A62" s="157" t="s">
        <v>944</v>
      </c>
      <c r="B62" s="158" t="s">
        <v>945</v>
      </c>
      <c r="C62" s="159">
        <f t="shared" si="0"/>
        <v>3908</v>
      </c>
      <c r="D62" s="150">
        <v>50</v>
      </c>
      <c r="E62" s="150">
        <v>17</v>
      </c>
      <c r="F62" s="160">
        <f t="shared" si="1"/>
        <v>3841</v>
      </c>
      <c r="G62" s="150">
        <v>563</v>
      </c>
      <c r="H62" s="160">
        <f t="shared" si="2"/>
        <v>3278</v>
      </c>
      <c r="I62" s="160">
        <f t="shared" si="3"/>
        <v>3057</v>
      </c>
      <c r="J62" s="150">
        <v>2241</v>
      </c>
      <c r="K62" s="150">
        <v>816</v>
      </c>
      <c r="L62" s="151">
        <v>221</v>
      </c>
      <c r="M62" s="161">
        <v>115974</v>
      </c>
    </row>
    <row r="63" spans="1:13">
      <c r="A63" s="157" t="s">
        <v>946</v>
      </c>
      <c r="B63" s="158" t="s">
        <v>947</v>
      </c>
      <c r="C63" s="159">
        <f t="shared" si="0"/>
        <v>317</v>
      </c>
      <c r="D63" s="160">
        <v>0</v>
      </c>
      <c r="E63" s="160">
        <v>0</v>
      </c>
      <c r="F63" s="160">
        <f t="shared" si="1"/>
        <v>317</v>
      </c>
      <c r="G63" s="160">
        <v>7</v>
      </c>
      <c r="H63" s="160">
        <f t="shared" si="2"/>
        <v>310</v>
      </c>
      <c r="I63" s="160">
        <f t="shared" si="3"/>
        <v>304</v>
      </c>
      <c r="J63" s="160">
        <v>225</v>
      </c>
      <c r="K63" s="160">
        <v>79</v>
      </c>
      <c r="L63" s="161">
        <v>6</v>
      </c>
      <c r="M63" s="161">
        <v>58441</v>
      </c>
    </row>
    <row r="64" spans="1:13">
      <c r="A64" s="157" t="s">
        <v>948</v>
      </c>
      <c r="B64" s="158" t="s">
        <v>949</v>
      </c>
      <c r="C64" s="159">
        <f t="shared" si="0"/>
        <v>1</v>
      </c>
      <c r="D64" s="160">
        <v>0</v>
      </c>
      <c r="E64" s="160">
        <v>0</v>
      </c>
      <c r="F64" s="160">
        <f t="shared" si="1"/>
        <v>1</v>
      </c>
      <c r="G64" s="160">
        <v>0</v>
      </c>
      <c r="H64" s="160">
        <f t="shared" si="2"/>
        <v>1</v>
      </c>
      <c r="I64" s="160">
        <f t="shared" si="3"/>
        <v>1</v>
      </c>
      <c r="J64" s="160">
        <v>1</v>
      </c>
      <c r="K64" s="160">
        <v>0</v>
      </c>
      <c r="L64" s="161">
        <v>0</v>
      </c>
      <c r="M64" s="161">
        <v>297</v>
      </c>
    </row>
    <row r="65" spans="1:13">
      <c r="A65" s="157" t="s">
        <v>950</v>
      </c>
      <c r="B65" s="158" t="s">
        <v>951</v>
      </c>
      <c r="C65" s="159">
        <f t="shared" si="0"/>
        <v>417</v>
      </c>
      <c r="D65" s="160">
        <v>0</v>
      </c>
      <c r="E65" s="160">
        <v>0</v>
      </c>
      <c r="F65" s="160">
        <f t="shared" si="1"/>
        <v>417</v>
      </c>
      <c r="G65" s="160">
        <v>38</v>
      </c>
      <c r="H65" s="160">
        <f t="shared" si="2"/>
        <v>379</v>
      </c>
      <c r="I65" s="160">
        <f t="shared" si="3"/>
        <v>362</v>
      </c>
      <c r="J65" s="160">
        <v>261</v>
      </c>
      <c r="K65" s="160">
        <v>101</v>
      </c>
      <c r="L65" s="161">
        <v>17</v>
      </c>
      <c r="M65" s="156">
        <v>35354</v>
      </c>
    </row>
    <row r="66" spans="1:13">
      <c r="A66" s="147" t="s">
        <v>952</v>
      </c>
      <c r="B66" s="148" t="s">
        <v>953</v>
      </c>
      <c r="C66" s="149">
        <f t="shared" si="0"/>
        <v>3513</v>
      </c>
      <c r="D66" s="150">
        <v>461</v>
      </c>
      <c r="E66" s="150">
        <v>595</v>
      </c>
      <c r="F66" s="150">
        <f t="shared" si="1"/>
        <v>2457</v>
      </c>
      <c r="G66" s="150">
        <v>360</v>
      </c>
      <c r="H66" s="150">
        <f t="shared" si="2"/>
        <v>2097</v>
      </c>
      <c r="I66" s="150">
        <f t="shared" si="3"/>
        <v>1458</v>
      </c>
      <c r="J66" s="150">
        <v>861</v>
      </c>
      <c r="K66" s="150">
        <v>597</v>
      </c>
      <c r="L66" s="151">
        <v>639</v>
      </c>
      <c r="M66" s="161">
        <v>52909</v>
      </c>
    </row>
    <row r="67" spans="1:13">
      <c r="A67" s="157" t="s">
        <v>954</v>
      </c>
      <c r="B67" s="158" t="s">
        <v>955</v>
      </c>
      <c r="C67" s="159">
        <f t="shared" si="0"/>
        <v>1732</v>
      </c>
      <c r="D67" s="160">
        <v>21</v>
      </c>
      <c r="E67" s="160">
        <v>14</v>
      </c>
      <c r="F67" s="160">
        <f t="shared" si="1"/>
        <v>1697</v>
      </c>
      <c r="G67" s="160">
        <v>60</v>
      </c>
      <c r="H67" s="160">
        <f t="shared" si="2"/>
        <v>1637</v>
      </c>
      <c r="I67" s="160">
        <f t="shared" si="3"/>
        <v>1599</v>
      </c>
      <c r="J67" s="160">
        <v>1152</v>
      </c>
      <c r="K67" s="160">
        <v>447</v>
      </c>
      <c r="L67" s="161">
        <v>38</v>
      </c>
      <c r="M67" s="161">
        <v>66168</v>
      </c>
    </row>
    <row r="68" spans="1:13">
      <c r="A68" s="152" t="s">
        <v>956</v>
      </c>
      <c r="B68" s="153" t="s">
        <v>957</v>
      </c>
      <c r="C68" s="154">
        <f t="shared" si="0"/>
        <v>134</v>
      </c>
      <c r="D68" s="160">
        <v>7</v>
      </c>
      <c r="E68" s="160">
        <v>2</v>
      </c>
      <c r="F68" s="155">
        <f t="shared" si="1"/>
        <v>125</v>
      </c>
      <c r="G68" s="160">
        <v>13</v>
      </c>
      <c r="H68" s="155">
        <f t="shared" si="2"/>
        <v>112</v>
      </c>
      <c r="I68" s="155">
        <f t="shared" si="3"/>
        <v>108</v>
      </c>
      <c r="J68" s="160">
        <v>82</v>
      </c>
      <c r="K68" s="160">
        <v>26</v>
      </c>
      <c r="L68" s="161">
        <v>4</v>
      </c>
      <c r="M68" s="156">
        <v>2005</v>
      </c>
    </row>
    <row r="69" spans="1:13">
      <c r="A69" s="157" t="s">
        <v>958</v>
      </c>
      <c r="B69" s="158" t="s">
        <v>959</v>
      </c>
      <c r="C69" s="159">
        <f t="shared" si="0"/>
        <v>568</v>
      </c>
      <c r="D69" s="150">
        <v>1</v>
      </c>
      <c r="E69" s="150">
        <v>1</v>
      </c>
      <c r="F69" s="160">
        <f t="shared" si="1"/>
        <v>566</v>
      </c>
      <c r="G69" s="150">
        <v>47</v>
      </c>
      <c r="H69" s="160">
        <f t="shared" si="2"/>
        <v>519</v>
      </c>
      <c r="I69" s="160">
        <f t="shared" si="3"/>
        <v>504</v>
      </c>
      <c r="J69" s="150">
        <v>381</v>
      </c>
      <c r="K69" s="150">
        <v>123</v>
      </c>
      <c r="L69" s="151">
        <v>15</v>
      </c>
      <c r="M69" s="161">
        <v>56148</v>
      </c>
    </row>
    <row r="70" spans="1:13">
      <c r="A70" s="157" t="s">
        <v>960</v>
      </c>
      <c r="B70" s="158" t="s">
        <v>961</v>
      </c>
      <c r="C70" s="159">
        <f t="shared" si="0"/>
        <v>125</v>
      </c>
      <c r="D70" s="155">
        <v>11</v>
      </c>
      <c r="E70" s="155">
        <v>4</v>
      </c>
      <c r="F70" s="155">
        <f t="shared" si="1"/>
        <v>110</v>
      </c>
      <c r="G70" s="155">
        <v>17</v>
      </c>
      <c r="H70" s="155">
        <f t="shared" si="2"/>
        <v>93</v>
      </c>
      <c r="I70" s="155">
        <f t="shared" si="3"/>
        <v>85</v>
      </c>
      <c r="J70" s="155">
        <v>61</v>
      </c>
      <c r="K70" s="155">
        <v>24</v>
      </c>
      <c r="L70" s="156">
        <v>8</v>
      </c>
      <c r="M70" s="156">
        <v>1737</v>
      </c>
    </row>
    <row r="71" spans="1:13">
      <c r="A71" s="162" t="s">
        <v>962</v>
      </c>
      <c r="B71" s="163" t="s">
        <v>963</v>
      </c>
      <c r="C71" s="164">
        <f t="shared" ref="C71:C134" si="4">D71+E71+F71</f>
        <v>0</v>
      </c>
      <c r="D71" s="150">
        <v>0</v>
      </c>
      <c r="E71" s="150">
        <v>0</v>
      </c>
      <c r="F71" s="165">
        <f t="shared" ref="F71:F134" si="5">G71+H71</f>
        <v>0</v>
      </c>
      <c r="G71" s="150">
        <v>0</v>
      </c>
      <c r="H71" s="165">
        <f t="shared" ref="H71:H134" si="6">I71+L71</f>
        <v>0</v>
      </c>
      <c r="I71" s="165">
        <f t="shared" ref="I71:I134" si="7">J71+K71</f>
        <v>0</v>
      </c>
      <c r="J71" s="150">
        <v>0</v>
      </c>
      <c r="K71" s="150">
        <v>0</v>
      </c>
      <c r="L71" s="151">
        <v>0</v>
      </c>
      <c r="M71" s="166">
        <v>0</v>
      </c>
    </row>
    <row r="72" spans="1:13">
      <c r="A72" s="157" t="s">
        <v>964</v>
      </c>
      <c r="B72" s="158" t="s">
        <v>965</v>
      </c>
      <c r="C72" s="159">
        <f t="shared" si="4"/>
        <v>288</v>
      </c>
      <c r="D72" s="150">
        <v>85</v>
      </c>
      <c r="E72" s="150">
        <v>38</v>
      </c>
      <c r="F72" s="160">
        <f t="shared" si="5"/>
        <v>165</v>
      </c>
      <c r="G72" s="150">
        <v>19</v>
      </c>
      <c r="H72" s="160">
        <f t="shared" si="6"/>
        <v>146</v>
      </c>
      <c r="I72" s="160">
        <f t="shared" si="7"/>
        <v>142</v>
      </c>
      <c r="J72" s="150">
        <v>100</v>
      </c>
      <c r="K72" s="150">
        <v>42</v>
      </c>
      <c r="L72" s="151">
        <v>4</v>
      </c>
      <c r="M72" s="166">
        <v>2219</v>
      </c>
    </row>
    <row r="73" spans="1:13">
      <c r="A73" s="147" t="s">
        <v>966</v>
      </c>
      <c r="B73" s="148" t="s">
        <v>967</v>
      </c>
      <c r="C73" s="149">
        <f t="shared" si="4"/>
        <v>219</v>
      </c>
      <c r="D73" s="150">
        <v>70</v>
      </c>
      <c r="E73" s="150">
        <v>23</v>
      </c>
      <c r="F73" s="150">
        <f t="shared" si="5"/>
        <v>126</v>
      </c>
      <c r="G73" s="150">
        <v>19</v>
      </c>
      <c r="H73" s="150">
        <f t="shared" si="6"/>
        <v>107</v>
      </c>
      <c r="I73" s="150">
        <f t="shared" si="7"/>
        <v>106</v>
      </c>
      <c r="J73" s="150">
        <v>84</v>
      </c>
      <c r="K73" s="150">
        <v>22</v>
      </c>
      <c r="L73" s="151">
        <v>1</v>
      </c>
      <c r="M73" s="161">
        <v>2342</v>
      </c>
    </row>
    <row r="74" spans="1:13">
      <c r="A74" s="157" t="s">
        <v>968</v>
      </c>
      <c r="B74" s="158" t="s">
        <v>969</v>
      </c>
      <c r="C74" s="159">
        <f t="shared" si="4"/>
        <v>0</v>
      </c>
      <c r="D74" s="160">
        <v>0</v>
      </c>
      <c r="E74" s="160">
        <v>0</v>
      </c>
      <c r="F74" s="160">
        <f t="shared" si="5"/>
        <v>0</v>
      </c>
      <c r="G74" s="160">
        <v>0</v>
      </c>
      <c r="H74" s="160">
        <f t="shared" si="6"/>
        <v>0</v>
      </c>
      <c r="I74" s="160">
        <f t="shared" si="7"/>
        <v>0</v>
      </c>
      <c r="J74" s="160">
        <v>0</v>
      </c>
      <c r="K74" s="160">
        <v>0</v>
      </c>
      <c r="L74" s="161">
        <v>0</v>
      </c>
      <c r="M74" s="161">
        <v>0</v>
      </c>
    </row>
    <row r="75" spans="1:13">
      <c r="A75" s="152" t="s">
        <v>970</v>
      </c>
      <c r="B75" s="153" t="s">
        <v>971</v>
      </c>
      <c r="C75" s="154">
        <f t="shared" si="4"/>
        <v>1154</v>
      </c>
      <c r="D75" s="160">
        <v>387</v>
      </c>
      <c r="E75" s="160">
        <v>155</v>
      </c>
      <c r="F75" s="155">
        <f t="shared" si="5"/>
        <v>612</v>
      </c>
      <c r="G75" s="160">
        <v>100</v>
      </c>
      <c r="H75" s="155">
        <f t="shared" si="6"/>
        <v>512</v>
      </c>
      <c r="I75" s="155">
        <f t="shared" si="7"/>
        <v>502</v>
      </c>
      <c r="J75" s="160">
        <v>340</v>
      </c>
      <c r="K75" s="160">
        <v>162</v>
      </c>
      <c r="L75" s="161">
        <v>10</v>
      </c>
      <c r="M75" s="156">
        <v>10841</v>
      </c>
    </row>
    <row r="76" spans="1:13">
      <c r="A76" s="157" t="s">
        <v>972</v>
      </c>
      <c r="B76" s="158" t="s">
        <v>973</v>
      </c>
      <c r="C76" s="159">
        <f t="shared" si="4"/>
        <v>0</v>
      </c>
      <c r="D76" s="150">
        <v>0</v>
      </c>
      <c r="E76" s="150">
        <v>0</v>
      </c>
      <c r="F76" s="160">
        <f t="shared" si="5"/>
        <v>0</v>
      </c>
      <c r="G76" s="150">
        <v>0</v>
      </c>
      <c r="H76" s="160">
        <f t="shared" si="6"/>
        <v>0</v>
      </c>
      <c r="I76" s="160">
        <f t="shared" si="7"/>
        <v>0</v>
      </c>
      <c r="J76" s="150">
        <v>0</v>
      </c>
      <c r="K76" s="150">
        <v>0</v>
      </c>
      <c r="L76" s="151">
        <v>0</v>
      </c>
      <c r="M76" s="166">
        <v>0</v>
      </c>
    </row>
    <row r="77" spans="1:13">
      <c r="A77" s="162" t="s">
        <v>974</v>
      </c>
      <c r="B77" s="163" t="s">
        <v>975</v>
      </c>
      <c r="C77" s="164">
        <f t="shared" si="4"/>
        <v>308</v>
      </c>
      <c r="D77" s="150">
        <v>50</v>
      </c>
      <c r="E77" s="150">
        <v>22</v>
      </c>
      <c r="F77" s="165">
        <f t="shared" si="5"/>
        <v>236</v>
      </c>
      <c r="G77" s="150">
        <v>22</v>
      </c>
      <c r="H77" s="165">
        <f t="shared" si="6"/>
        <v>214</v>
      </c>
      <c r="I77" s="165">
        <f t="shared" si="7"/>
        <v>208</v>
      </c>
      <c r="J77" s="150">
        <v>165</v>
      </c>
      <c r="K77" s="150">
        <v>43</v>
      </c>
      <c r="L77" s="151">
        <v>6</v>
      </c>
      <c r="M77" s="166">
        <v>2593</v>
      </c>
    </row>
    <row r="78" spans="1:13">
      <c r="A78" s="157" t="s">
        <v>976</v>
      </c>
      <c r="B78" s="158" t="s">
        <v>977</v>
      </c>
      <c r="C78" s="159">
        <f t="shared" si="4"/>
        <v>1087</v>
      </c>
      <c r="D78" s="150">
        <v>234</v>
      </c>
      <c r="E78" s="150">
        <v>86</v>
      </c>
      <c r="F78" s="160">
        <f t="shared" si="5"/>
        <v>767</v>
      </c>
      <c r="G78" s="150">
        <v>74</v>
      </c>
      <c r="H78" s="160">
        <f t="shared" si="6"/>
        <v>693</v>
      </c>
      <c r="I78" s="160">
        <f t="shared" si="7"/>
        <v>682</v>
      </c>
      <c r="J78" s="150">
        <v>520</v>
      </c>
      <c r="K78" s="150">
        <v>162</v>
      </c>
      <c r="L78" s="151">
        <v>11</v>
      </c>
      <c r="M78" s="166">
        <v>14965</v>
      </c>
    </row>
    <row r="79" spans="1:13">
      <c r="A79" s="147" t="s">
        <v>978</v>
      </c>
      <c r="B79" s="148" t="s">
        <v>979</v>
      </c>
      <c r="C79" s="149">
        <f t="shared" si="4"/>
        <v>798</v>
      </c>
      <c r="D79" s="150">
        <v>162</v>
      </c>
      <c r="E79" s="150">
        <v>73</v>
      </c>
      <c r="F79" s="150">
        <f t="shared" si="5"/>
        <v>563</v>
      </c>
      <c r="G79" s="150">
        <v>48</v>
      </c>
      <c r="H79" s="150">
        <f t="shared" si="6"/>
        <v>515</v>
      </c>
      <c r="I79" s="150">
        <f t="shared" si="7"/>
        <v>504</v>
      </c>
      <c r="J79" s="150">
        <v>359</v>
      </c>
      <c r="K79" s="150">
        <v>145</v>
      </c>
      <c r="L79" s="151">
        <v>11</v>
      </c>
      <c r="M79" s="161">
        <v>4997</v>
      </c>
    </row>
    <row r="80" spans="1:13">
      <c r="A80" s="152" t="s">
        <v>980</v>
      </c>
      <c r="B80" s="153" t="s">
        <v>981</v>
      </c>
      <c r="C80" s="154">
        <f t="shared" si="4"/>
        <v>2067</v>
      </c>
      <c r="D80" s="155">
        <v>389</v>
      </c>
      <c r="E80" s="155">
        <v>141</v>
      </c>
      <c r="F80" s="155">
        <f t="shared" si="5"/>
        <v>1537</v>
      </c>
      <c r="G80" s="155">
        <v>133</v>
      </c>
      <c r="H80" s="155">
        <f t="shared" si="6"/>
        <v>1404</v>
      </c>
      <c r="I80" s="155">
        <f t="shared" si="7"/>
        <v>1375</v>
      </c>
      <c r="J80" s="155">
        <v>1011</v>
      </c>
      <c r="K80" s="155">
        <v>364</v>
      </c>
      <c r="L80" s="156">
        <v>29</v>
      </c>
      <c r="M80" s="156">
        <v>12308</v>
      </c>
    </row>
    <row r="81" spans="1:13">
      <c r="A81" s="162" t="s">
        <v>982</v>
      </c>
      <c r="B81" s="163" t="s">
        <v>983</v>
      </c>
      <c r="C81" s="164">
        <f t="shared" si="4"/>
        <v>1376</v>
      </c>
      <c r="D81" s="150">
        <v>333</v>
      </c>
      <c r="E81" s="150">
        <v>170</v>
      </c>
      <c r="F81" s="165">
        <f t="shared" si="5"/>
        <v>873</v>
      </c>
      <c r="G81" s="150">
        <v>93</v>
      </c>
      <c r="H81" s="165">
        <f t="shared" si="6"/>
        <v>780</v>
      </c>
      <c r="I81" s="165">
        <f t="shared" si="7"/>
        <v>767</v>
      </c>
      <c r="J81" s="150">
        <v>402</v>
      </c>
      <c r="K81" s="150">
        <v>365</v>
      </c>
      <c r="L81" s="151">
        <v>13</v>
      </c>
      <c r="M81" s="166">
        <v>8018</v>
      </c>
    </row>
    <row r="82" spans="1:13">
      <c r="A82" s="147" t="s">
        <v>984</v>
      </c>
      <c r="B82" s="148" t="s">
        <v>985</v>
      </c>
      <c r="C82" s="149">
        <f t="shared" si="4"/>
        <v>566</v>
      </c>
      <c r="D82" s="150">
        <v>113</v>
      </c>
      <c r="E82" s="150">
        <v>43</v>
      </c>
      <c r="F82" s="150">
        <f t="shared" si="5"/>
        <v>410</v>
      </c>
      <c r="G82" s="150">
        <v>54</v>
      </c>
      <c r="H82" s="150">
        <f t="shared" si="6"/>
        <v>356</v>
      </c>
      <c r="I82" s="150">
        <f t="shared" si="7"/>
        <v>347</v>
      </c>
      <c r="J82" s="150">
        <v>212</v>
      </c>
      <c r="K82" s="150">
        <v>135</v>
      </c>
      <c r="L82" s="151">
        <v>9</v>
      </c>
      <c r="M82" s="161">
        <v>5142</v>
      </c>
    </row>
    <row r="83" spans="1:13">
      <c r="A83" s="157" t="s">
        <v>986</v>
      </c>
      <c r="B83" s="158" t="s">
        <v>987</v>
      </c>
      <c r="C83" s="159">
        <f t="shared" si="4"/>
        <v>275</v>
      </c>
      <c r="D83" s="160">
        <v>27</v>
      </c>
      <c r="E83" s="160">
        <v>8</v>
      </c>
      <c r="F83" s="160">
        <f t="shared" si="5"/>
        <v>240</v>
      </c>
      <c r="G83" s="160">
        <v>15</v>
      </c>
      <c r="H83" s="160">
        <f t="shared" si="6"/>
        <v>225</v>
      </c>
      <c r="I83" s="160">
        <f t="shared" si="7"/>
        <v>222</v>
      </c>
      <c r="J83" s="160">
        <v>172</v>
      </c>
      <c r="K83" s="160">
        <v>50</v>
      </c>
      <c r="L83" s="161">
        <v>3</v>
      </c>
      <c r="M83" s="161">
        <v>7223</v>
      </c>
    </row>
    <row r="84" spans="1:13">
      <c r="A84" s="152" t="s">
        <v>988</v>
      </c>
      <c r="B84" s="153" t="s">
        <v>989</v>
      </c>
      <c r="C84" s="154">
        <f t="shared" si="4"/>
        <v>1231</v>
      </c>
      <c r="D84" s="160">
        <v>269</v>
      </c>
      <c r="E84" s="160">
        <v>90</v>
      </c>
      <c r="F84" s="155">
        <f t="shared" si="5"/>
        <v>872</v>
      </c>
      <c r="G84" s="160">
        <v>103</v>
      </c>
      <c r="H84" s="155">
        <f t="shared" si="6"/>
        <v>769</v>
      </c>
      <c r="I84" s="155">
        <f t="shared" si="7"/>
        <v>747</v>
      </c>
      <c r="J84" s="160">
        <v>481</v>
      </c>
      <c r="K84" s="160">
        <v>266</v>
      </c>
      <c r="L84" s="161">
        <v>22</v>
      </c>
      <c r="M84" s="156">
        <v>10067</v>
      </c>
    </row>
    <row r="85" spans="1:13">
      <c r="A85" s="157" t="s">
        <v>990</v>
      </c>
      <c r="B85" s="158" t="s">
        <v>991</v>
      </c>
      <c r="C85" s="159">
        <f t="shared" si="4"/>
        <v>615</v>
      </c>
      <c r="D85" s="150">
        <v>105</v>
      </c>
      <c r="E85" s="150">
        <v>30</v>
      </c>
      <c r="F85" s="160">
        <f t="shared" si="5"/>
        <v>480</v>
      </c>
      <c r="G85" s="150">
        <v>81</v>
      </c>
      <c r="H85" s="160">
        <f t="shared" si="6"/>
        <v>399</v>
      </c>
      <c r="I85" s="160">
        <f t="shared" si="7"/>
        <v>388</v>
      </c>
      <c r="J85" s="150">
        <v>338</v>
      </c>
      <c r="K85" s="150">
        <v>50</v>
      </c>
      <c r="L85" s="151">
        <v>11</v>
      </c>
      <c r="M85" s="161">
        <v>9635</v>
      </c>
    </row>
    <row r="86" spans="1:13">
      <c r="A86" s="157" t="s">
        <v>992</v>
      </c>
      <c r="B86" s="158" t="s">
        <v>993</v>
      </c>
      <c r="C86" s="159">
        <f t="shared" si="4"/>
        <v>232</v>
      </c>
      <c r="D86" s="160">
        <v>15</v>
      </c>
      <c r="E86" s="160">
        <v>3</v>
      </c>
      <c r="F86" s="160">
        <f t="shared" si="5"/>
        <v>214</v>
      </c>
      <c r="G86" s="160">
        <v>16</v>
      </c>
      <c r="H86" s="160">
        <f t="shared" si="6"/>
        <v>198</v>
      </c>
      <c r="I86" s="160">
        <f t="shared" si="7"/>
        <v>196</v>
      </c>
      <c r="J86" s="160">
        <v>164</v>
      </c>
      <c r="K86" s="160">
        <v>32</v>
      </c>
      <c r="L86" s="161">
        <v>2</v>
      </c>
      <c r="M86" s="161">
        <v>6051</v>
      </c>
    </row>
    <row r="87" spans="1:13">
      <c r="A87" s="152" t="s">
        <v>994</v>
      </c>
      <c r="B87" s="153" t="s">
        <v>995</v>
      </c>
      <c r="C87" s="154">
        <f t="shared" si="4"/>
        <v>96</v>
      </c>
      <c r="D87" s="160">
        <v>2</v>
      </c>
      <c r="E87" s="160">
        <v>1</v>
      </c>
      <c r="F87" s="155">
        <f t="shared" si="5"/>
        <v>93</v>
      </c>
      <c r="G87" s="160">
        <v>11</v>
      </c>
      <c r="H87" s="155">
        <f t="shared" si="6"/>
        <v>82</v>
      </c>
      <c r="I87" s="155">
        <f t="shared" si="7"/>
        <v>80</v>
      </c>
      <c r="J87" s="160">
        <v>70</v>
      </c>
      <c r="K87" s="160">
        <v>10</v>
      </c>
      <c r="L87" s="161">
        <v>2</v>
      </c>
      <c r="M87" s="156">
        <v>1736</v>
      </c>
    </row>
    <row r="88" spans="1:13">
      <c r="A88" s="157" t="s">
        <v>996</v>
      </c>
      <c r="B88" s="158" t="s">
        <v>997</v>
      </c>
      <c r="C88" s="159">
        <f t="shared" si="4"/>
        <v>1539</v>
      </c>
      <c r="D88" s="150">
        <v>327</v>
      </c>
      <c r="E88" s="150">
        <v>99</v>
      </c>
      <c r="F88" s="160">
        <f t="shared" si="5"/>
        <v>1113</v>
      </c>
      <c r="G88" s="150">
        <v>118</v>
      </c>
      <c r="H88" s="160">
        <f t="shared" si="6"/>
        <v>995</v>
      </c>
      <c r="I88" s="160">
        <f t="shared" si="7"/>
        <v>978</v>
      </c>
      <c r="J88" s="150">
        <v>802</v>
      </c>
      <c r="K88" s="150">
        <v>176</v>
      </c>
      <c r="L88" s="151">
        <v>17</v>
      </c>
      <c r="M88" s="161">
        <v>23184</v>
      </c>
    </row>
    <row r="89" spans="1:13">
      <c r="A89" s="147" t="s">
        <v>998</v>
      </c>
      <c r="B89" s="148" t="s">
        <v>999</v>
      </c>
      <c r="C89" s="149">
        <f t="shared" si="4"/>
        <v>1530</v>
      </c>
      <c r="D89" s="150">
        <v>345</v>
      </c>
      <c r="E89" s="150">
        <v>92</v>
      </c>
      <c r="F89" s="150">
        <f t="shared" si="5"/>
        <v>1093</v>
      </c>
      <c r="G89" s="150">
        <v>144</v>
      </c>
      <c r="H89" s="150">
        <f t="shared" si="6"/>
        <v>949</v>
      </c>
      <c r="I89" s="150">
        <f t="shared" si="7"/>
        <v>934</v>
      </c>
      <c r="J89" s="150">
        <v>790</v>
      </c>
      <c r="K89" s="150">
        <v>144</v>
      </c>
      <c r="L89" s="151">
        <v>15</v>
      </c>
      <c r="M89" s="151">
        <v>15029</v>
      </c>
    </row>
    <row r="90" spans="1:13">
      <c r="A90" s="157" t="s">
        <v>1000</v>
      </c>
      <c r="B90" s="158" t="s">
        <v>1001</v>
      </c>
      <c r="C90" s="159">
        <f t="shared" si="4"/>
        <v>45</v>
      </c>
      <c r="D90" s="160">
        <v>2</v>
      </c>
      <c r="E90" s="160">
        <v>1</v>
      </c>
      <c r="F90" s="160">
        <f t="shared" si="5"/>
        <v>42</v>
      </c>
      <c r="G90" s="160">
        <v>2</v>
      </c>
      <c r="H90" s="160">
        <f t="shared" si="6"/>
        <v>40</v>
      </c>
      <c r="I90" s="160">
        <f t="shared" si="7"/>
        <v>39</v>
      </c>
      <c r="J90" s="160">
        <v>33</v>
      </c>
      <c r="K90" s="160">
        <v>6</v>
      </c>
      <c r="L90" s="161">
        <v>1</v>
      </c>
      <c r="M90" s="160">
        <v>1000</v>
      </c>
    </row>
    <row r="91" spans="1:13">
      <c r="A91" s="157" t="s">
        <v>1002</v>
      </c>
      <c r="B91" s="158" t="s">
        <v>1003</v>
      </c>
      <c r="C91" s="159">
        <f t="shared" si="4"/>
        <v>2025</v>
      </c>
      <c r="D91" s="160">
        <v>974</v>
      </c>
      <c r="E91" s="160">
        <v>260</v>
      </c>
      <c r="F91" s="160">
        <f t="shared" si="5"/>
        <v>791</v>
      </c>
      <c r="G91" s="160">
        <v>184</v>
      </c>
      <c r="H91" s="160">
        <f t="shared" si="6"/>
        <v>607</v>
      </c>
      <c r="I91" s="160">
        <f t="shared" si="7"/>
        <v>587</v>
      </c>
      <c r="J91" s="160">
        <v>484</v>
      </c>
      <c r="K91" s="160">
        <v>103</v>
      </c>
      <c r="L91" s="161">
        <v>20</v>
      </c>
      <c r="M91" s="160">
        <v>9111</v>
      </c>
    </row>
    <row r="92" spans="1:13">
      <c r="A92" s="152" t="s">
        <v>1004</v>
      </c>
      <c r="B92" s="153" t="s">
        <v>1005</v>
      </c>
      <c r="C92" s="154">
        <f t="shared" si="4"/>
        <v>475</v>
      </c>
      <c r="D92" s="160">
        <v>94</v>
      </c>
      <c r="E92" s="160">
        <v>21</v>
      </c>
      <c r="F92" s="155">
        <f t="shared" si="5"/>
        <v>360</v>
      </c>
      <c r="G92" s="160">
        <v>45</v>
      </c>
      <c r="H92" s="155">
        <f t="shared" si="6"/>
        <v>315</v>
      </c>
      <c r="I92" s="155">
        <f t="shared" si="7"/>
        <v>309</v>
      </c>
      <c r="J92" s="160">
        <v>219</v>
      </c>
      <c r="K92" s="160">
        <v>90</v>
      </c>
      <c r="L92" s="161">
        <v>6</v>
      </c>
      <c r="M92" s="161">
        <v>5737</v>
      </c>
    </row>
    <row r="93" spans="1:13">
      <c r="A93" s="162" t="s">
        <v>1006</v>
      </c>
      <c r="B93" s="163" t="s">
        <v>1007</v>
      </c>
      <c r="C93" s="164">
        <f t="shared" si="4"/>
        <v>90</v>
      </c>
      <c r="D93" s="150">
        <v>0</v>
      </c>
      <c r="E93" s="150">
        <v>0</v>
      </c>
      <c r="F93" s="165">
        <f t="shared" si="5"/>
        <v>90</v>
      </c>
      <c r="G93" s="150">
        <v>3</v>
      </c>
      <c r="H93" s="165">
        <f t="shared" si="6"/>
        <v>87</v>
      </c>
      <c r="I93" s="165">
        <f t="shared" si="7"/>
        <v>86</v>
      </c>
      <c r="J93" s="150">
        <v>77</v>
      </c>
      <c r="K93" s="150">
        <v>9</v>
      </c>
      <c r="L93" s="151">
        <v>1</v>
      </c>
      <c r="M93" s="151">
        <v>12592</v>
      </c>
    </row>
    <row r="94" spans="1:13">
      <c r="A94" s="157" t="s">
        <v>1008</v>
      </c>
      <c r="B94" s="158" t="s">
        <v>1009</v>
      </c>
      <c r="C94" s="159">
        <f t="shared" si="4"/>
        <v>187</v>
      </c>
      <c r="D94" s="150">
        <v>5</v>
      </c>
      <c r="E94" s="150">
        <v>1</v>
      </c>
      <c r="F94" s="160">
        <f t="shared" si="5"/>
        <v>181</v>
      </c>
      <c r="G94" s="150">
        <v>5</v>
      </c>
      <c r="H94" s="160">
        <f t="shared" si="6"/>
        <v>176</v>
      </c>
      <c r="I94" s="160">
        <f t="shared" si="7"/>
        <v>175</v>
      </c>
      <c r="J94" s="150">
        <v>160</v>
      </c>
      <c r="K94" s="150">
        <v>15</v>
      </c>
      <c r="L94" s="151">
        <v>1</v>
      </c>
      <c r="M94" s="151">
        <v>12124</v>
      </c>
    </row>
    <row r="95" spans="1:13">
      <c r="A95" s="157" t="s">
        <v>1010</v>
      </c>
      <c r="B95" s="158" t="s">
        <v>1011</v>
      </c>
      <c r="C95" s="154">
        <f t="shared" si="4"/>
        <v>530</v>
      </c>
      <c r="D95" s="155">
        <v>1</v>
      </c>
      <c r="E95" s="155">
        <v>0</v>
      </c>
      <c r="F95" s="155">
        <f t="shared" si="5"/>
        <v>529</v>
      </c>
      <c r="G95" s="155">
        <v>14</v>
      </c>
      <c r="H95" s="155">
        <f t="shared" si="6"/>
        <v>515</v>
      </c>
      <c r="I95" s="155">
        <f t="shared" si="7"/>
        <v>512</v>
      </c>
      <c r="J95" s="155">
        <v>474</v>
      </c>
      <c r="K95" s="155">
        <v>38</v>
      </c>
      <c r="L95" s="156">
        <v>3</v>
      </c>
      <c r="M95" s="156">
        <v>36208</v>
      </c>
    </row>
    <row r="96" spans="1:13">
      <c r="A96" s="147" t="s">
        <v>1012</v>
      </c>
      <c r="B96" s="148" t="s">
        <v>1013</v>
      </c>
      <c r="C96" s="149">
        <f t="shared" si="4"/>
        <v>302</v>
      </c>
      <c r="D96" s="150">
        <v>0</v>
      </c>
      <c r="E96" s="150">
        <v>0</v>
      </c>
      <c r="F96" s="150">
        <f t="shared" si="5"/>
        <v>302</v>
      </c>
      <c r="G96" s="150">
        <v>12</v>
      </c>
      <c r="H96" s="150">
        <f t="shared" si="6"/>
        <v>290</v>
      </c>
      <c r="I96" s="150">
        <f t="shared" si="7"/>
        <v>285</v>
      </c>
      <c r="J96" s="150">
        <v>224</v>
      </c>
      <c r="K96" s="150">
        <v>61</v>
      </c>
      <c r="L96" s="151">
        <v>5</v>
      </c>
      <c r="M96" s="151">
        <v>30559</v>
      </c>
    </row>
    <row r="97" spans="1:13">
      <c r="A97" s="152" t="s">
        <v>1014</v>
      </c>
      <c r="B97" s="153" t="s">
        <v>1015</v>
      </c>
      <c r="C97" s="154">
        <f t="shared" si="4"/>
        <v>1910</v>
      </c>
      <c r="D97" s="155">
        <v>84</v>
      </c>
      <c r="E97" s="155">
        <v>24</v>
      </c>
      <c r="F97" s="155">
        <f t="shared" si="5"/>
        <v>1802</v>
      </c>
      <c r="G97" s="155">
        <v>72</v>
      </c>
      <c r="H97" s="155">
        <f t="shared" si="6"/>
        <v>1730</v>
      </c>
      <c r="I97" s="155">
        <f t="shared" si="7"/>
        <v>1722</v>
      </c>
      <c r="J97" s="155">
        <v>1509</v>
      </c>
      <c r="K97" s="155">
        <v>213</v>
      </c>
      <c r="L97" s="156">
        <v>8</v>
      </c>
      <c r="M97" s="156">
        <v>54140</v>
      </c>
    </row>
    <row r="98" spans="1:13">
      <c r="A98" s="157" t="s">
        <v>1016</v>
      </c>
      <c r="B98" s="158" t="s">
        <v>1017</v>
      </c>
      <c r="C98" s="159">
        <f t="shared" si="4"/>
        <v>3155</v>
      </c>
      <c r="D98" s="150">
        <v>92</v>
      </c>
      <c r="E98" s="150">
        <v>37</v>
      </c>
      <c r="F98" s="160">
        <f t="shared" si="5"/>
        <v>3026</v>
      </c>
      <c r="G98" s="150">
        <v>228</v>
      </c>
      <c r="H98" s="160">
        <f t="shared" si="6"/>
        <v>2798</v>
      </c>
      <c r="I98" s="160">
        <f t="shared" si="7"/>
        <v>2777</v>
      </c>
      <c r="J98" s="150">
        <v>2113</v>
      </c>
      <c r="K98" s="150">
        <v>664</v>
      </c>
      <c r="L98" s="151">
        <v>21</v>
      </c>
      <c r="M98" s="151">
        <v>57118</v>
      </c>
    </row>
    <row r="99" spans="1:13">
      <c r="A99" s="157" t="s">
        <v>1018</v>
      </c>
      <c r="B99" s="158" t="s">
        <v>1019</v>
      </c>
      <c r="C99" s="154">
        <f t="shared" si="4"/>
        <v>1809</v>
      </c>
      <c r="D99" s="155">
        <v>185</v>
      </c>
      <c r="E99" s="155">
        <v>67</v>
      </c>
      <c r="F99" s="155">
        <f t="shared" si="5"/>
        <v>1557</v>
      </c>
      <c r="G99" s="155">
        <v>122</v>
      </c>
      <c r="H99" s="155">
        <f t="shared" si="6"/>
        <v>1435</v>
      </c>
      <c r="I99" s="155">
        <f t="shared" si="7"/>
        <v>1411</v>
      </c>
      <c r="J99" s="155">
        <v>972</v>
      </c>
      <c r="K99" s="155">
        <v>439</v>
      </c>
      <c r="L99" s="156">
        <v>24</v>
      </c>
      <c r="M99" s="156">
        <v>27767</v>
      </c>
    </row>
    <row r="100" spans="1:13">
      <c r="A100" s="147" t="s">
        <v>1020</v>
      </c>
      <c r="B100" s="148" t="s">
        <v>1021</v>
      </c>
      <c r="C100" s="149">
        <f t="shared" si="4"/>
        <v>183</v>
      </c>
      <c r="D100" s="150">
        <v>4</v>
      </c>
      <c r="E100" s="150">
        <v>2</v>
      </c>
      <c r="F100" s="150">
        <f t="shared" si="5"/>
        <v>177</v>
      </c>
      <c r="G100" s="150">
        <v>7</v>
      </c>
      <c r="H100" s="150">
        <f t="shared" si="6"/>
        <v>170</v>
      </c>
      <c r="I100" s="150">
        <f t="shared" si="7"/>
        <v>168</v>
      </c>
      <c r="J100" s="150">
        <v>142</v>
      </c>
      <c r="K100" s="150">
        <v>26</v>
      </c>
      <c r="L100" s="151">
        <v>2</v>
      </c>
      <c r="M100" s="151">
        <v>5099</v>
      </c>
    </row>
    <row r="101" spans="1:13">
      <c r="A101" s="152" t="s">
        <v>1022</v>
      </c>
      <c r="B101" s="153" t="s">
        <v>1023</v>
      </c>
      <c r="C101" s="154">
        <f t="shared" si="4"/>
        <v>2620</v>
      </c>
      <c r="D101" s="155">
        <v>154</v>
      </c>
      <c r="E101" s="155">
        <v>45</v>
      </c>
      <c r="F101" s="155">
        <f t="shared" si="5"/>
        <v>2421</v>
      </c>
      <c r="G101" s="155">
        <v>196</v>
      </c>
      <c r="H101" s="155">
        <f t="shared" si="6"/>
        <v>2225</v>
      </c>
      <c r="I101" s="155">
        <f t="shared" si="7"/>
        <v>2184</v>
      </c>
      <c r="J101" s="155">
        <v>1706</v>
      </c>
      <c r="K101" s="155">
        <v>478</v>
      </c>
      <c r="L101" s="156">
        <v>41</v>
      </c>
      <c r="M101" s="156">
        <v>43156</v>
      </c>
    </row>
    <row r="102" spans="1:13">
      <c r="A102" s="157" t="s">
        <v>1024</v>
      </c>
      <c r="B102" s="158" t="s">
        <v>1025</v>
      </c>
      <c r="C102" s="159">
        <f t="shared" si="4"/>
        <v>8824</v>
      </c>
      <c r="D102" s="150">
        <v>877</v>
      </c>
      <c r="E102" s="150">
        <v>335</v>
      </c>
      <c r="F102" s="160">
        <f t="shared" si="5"/>
        <v>7612</v>
      </c>
      <c r="G102" s="150">
        <v>790</v>
      </c>
      <c r="H102" s="160">
        <f t="shared" si="6"/>
        <v>6822</v>
      </c>
      <c r="I102" s="160">
        <f t="shared" si="7"/>
        <v>6685</v>
      </c>
      <c r="J102" s="150">
        <v>5465</v>
      </c>
      <c r="K102" s="150">
        <v>1220</v>
      </c>
      <c r="L102" s="151">
        <v>137</v>
      </c>
      <c r="M102" s="151">
        <v>122242</v>
      </c>
    </row>
    <row r="103" spans="1:13">
      <c r="A103" s="162" t="s">
        <v>1026</v>
      </c>
      <c r="B103" s="163" t="s">
        <v>1027</v>
      </c>
      <c r="C103" s="164">
        <f t="shared" si="4"/>
        <v>230</v>
      </c>
      <c r="D103" s="150">
        <v>0</v>
      </c>
      <c r="E103" s="150">
        <v>0</v>
      </c>
      <c r="F103" s="165">
        <f t="shared" si="5"/>
        <v>230</v>
      </c>
      <c r="G103" s="150">
        <v>11</v>
      </c>
      <c r="H103" s="165">
        <f t="shared" si="6"/>
        <v>219</v>
      </c>
      <c r="I103" s="165">
        <f t="shared" si="7"/>
        <v>211</v>
      </c>
      <c r="J103" s="150">
        <v>192</v>
      </c>
      <c r="K103" s="150">
        <v>19</v>
      </c>
      <c r="L103" s="151">
        <v>8</v>
      </c>
      <c r="M103" s="151">
        <v>16691</v>
      </c>
    </row>
    <row r="104" spans="1:13">
      <c r="A104" s="157" t="s">
        <v>1028</v>
      </c>
      <c r="B104" s="158" t="s">
        <v>1029</v>
      </c>
      <c r="C104" s="159">
        <f t="shared" si="4"/>
        <v>137</v>
      </c>
      <c r="D104" s="150">
        <v>0</v>
      </c>
      <c r="E104" s="150">
        <v>0</v>
      </c>
      <c r="F104" s="160">
        <f t="shared" si="5"/>
        <v>137</v>
      </c>
      <c r="G104" s="150">
        <v>1</v>
      </c>
      <c r="H104" s="160">
        <f t="shared" si="6"/>
        <v>136</v>
      </c>
      <c r="I104" s="160">
        <f t="shared" si="7"/>
        <v>136</v>
      </c>
      <c r="J104" s="150">
        <v>128</v>
      </c>
      <c r="K104" s="150">
        <v>8</v>
      </c>
      <c r="L104" s="151">
        <v>0</v>
      </c>
      <c r="M104" s="151">
        <v>18643</v>
      </c>
    </row>
    <row r="105" spans="1:13">
      <c r="A105" s="147" t="s">
        <v>1030</v>
      </c>
      <c r="B105" s="148" t="s">
        <v>1031</v>
      </c>
      <c r="C105" s="149">
        <f t="shared" si="4"/>
        <v>155</v>
      </c>
      <c r="D105" s="150">
        <v>0</v>
      </c>
      <c r="E105" s="150">
        <v>0</v>
      </c>
      <c r="F105" s="150">
        <f t="shared" si="5"/>
        <v>155</v>
      </c>
      <c r="G105" s="150">
        <v>5</v>
      </c>
      <c r="H105" s="150">
        <f t="shared" si="6"/>
        <v>150</v>
      </c>
      <c r="I105" s="150">
        <f t="shared" si="7"/>
        <v>150</v>
      </c>
      <c r="J105" s="150">
        <v>139</v>
      </c>
      <c r="K105" s="150">
        <v>11</v>
      </c>
      <c r="L105" s="151">
        <v>0</v>
      </c>
      <c r="M105" s="151">
        <v>9175</v>
      </c>
    </row>
    <row r="106" spans="1:13">
      <c r="A106" s="157" t="s">
        <v>1032</v>
      </c>
      <c r="B106" s="158" t="s">
        <v>1033</v>
      </c>
      <c r="C106" s="159">
        <f t="shared" si="4"/>
        <v>419</v>
      </c>
      <c r="D106" s="160">
        <v>0</v>
      </c>
      <c r="E106" s="160">
        <v>0</v>
      </c>
      <c r="F106" s="160">
        <f t="shared" si="5"/>
        <v>419</v>
      </c>
      <c r="G106" s="160">
        <v>19</v>
      </c>
      <c r="H106" s="160">
        <f t="shared" si="6"/>
        <v>400</v>
      </c>
      <c r="I106" s="160">
        <f t="shared" si="7"/>
        <v>400</v>
      </c>
      <c r="J106" s="160">
        <v>370</v>
      </c>
      <c r="K106" s="160">
        <v>30</v>
      </c>
      <c r="L106" s="161">
        <v>0</v>
      </c>
      <c r="M106" s="161">
        <v>24554</v>
      </c>
    </row>
    <row r="107" spans="1:13">
      <c r="A107" s="157" t="s">
        <v>1034</v>
      </c>
      <c r="B107" s="158" t="s">
        <v>1035</v>
      </c>
      <c r="C107" s="159">
        <f t="shared" si="4"/>
        <v>437</v>
      </c>
      <c r="D107" s="160">
        <v>28</v>
      </c>
      <c r="E107" s="160">
        <v>9</v>
      </c>
      <c r="F107" s="160">
        <f t="shared" si="5"/>
        <v>400</v>
      </c>
      <c r="G107" s="160">
        <v>28</v>
      </c>
      <c r="H107" s="160">
        <f t="shared" si="6"/>
        <v>372</v>
      </c>
      <c r="I107" s="160">
        <f t="shared" si="7"/>
        <v>365</v>
      </c>
      <c r="J107" s="160">
        <v>251</v>
      </c>
      <c r="K107" s="160">
        <v>114</v>
      </c>
      <c r="L107" s="161">
        <v>7</v>
      </c>
      <c r="M107" s="161">
        <v>7826</v>
      </c>
    </row>
    <row r="108" spans="1:13">
      <c r="A108" s="152" t="s">
        <v>1036</v>
      </c>
      <c r="B108" s="153" t="s">
        <v>1037</v>
      </c>
      <c r="C108" s="154">
        <f t="shared" si="4"/>
        <v>1109</v>
      </c>
      <c r="D108" s="160">
        <v>2</v>
      </c>
      <c r="E108" s="160">
        <v>0</v>
      </c>
      <c r="F108" s="155">
        <f t="shared" si="5"/>
        <v>1107</v>
      </c>
      <c r="G108" s="160">
        <v>35</v>
      </c>
      <c r="H108" s="155">
        <f t="shared" si="6"/>
        <v>1072</v>
      </c>
      <c r="I108" s="155">
        <f t="shared" si="7"/>
        <v>1066</v>
      </c>
      <c r="J108" s="160">
        <v>971</v>
      </c>
      <c r="K108" s="160">
        <v>95</v>
      </c>
      <c r="L108" s="161">
        <v>6</v>
      </c>
      <c r="M108" s="156">
        <v>49584</v>
      </c>
    </row>
    <row r="109" spans="1:13">
      <c r="A109" s="157" t="s">
        <v>1038</v>
      </c>
      <c r="B109" s="158" t="s">
        <v>1039</v>
      </c>
      <c r="C109" s="159">
        <f t="shared" si="4"/>
        <v>0</v>
      </c>
      <c r="D109" s="150">
        <v>0</v>
      </c>
      <c r="E109" s="150">
        <v>0</v>
      </c>
      <c r="F109" s="160">
        <f t="shared" si="5"/>
        <v>0</v>
      </c>
      <c r="G109" s="150">
        <v>0</v>
      </c>
      <c r="H109" s="160">
        <f t="shared" si="6"/>
        <v>0</v>
      </c>
      <c r="I109" s="160">
        <f t="shared" si="7"/>
        <v>0</v>
      </c>
      <c r="J109" s="150">
        <v>0</v>
      </c>
      <c r="K109" s="150">
        <v>0</v>
      </c>
      <c r="L109" s="151">
        <v>0</v>
      </c>
      <c r="M109" s="161">
        <v>0</v>
      </c>
    </row>
    <row r="110" spans="1:13">
      <c r="A110" s="157" t="s">
        <v>1040</v>
      </c>
      <c r="B110" s="158" t="s">
        <v>1041</v>
      </c>
      <c r="C110" s="159">
        <f t="shared" si="4"/>
        <v>14</v>
      </c>
      <c r="D110" s="155">
        <v>0</v>
      </c>
      <c r="E110" s="155">
        <v>0</v>
      </c>
      <c r="F110" s="155">
        <f t="shared" si="5"/>
        <v>14</v>
      </c>
      <c r="G110" s="155">
        <v>0</v>
      </c>
      <c r="H110" s="155">
        <f t="shared" si="6"/>
        <v>14</v>
      </c>
      <c r="I110" s="155">
        <f t="shared" si="7"/>
        <v>14</v>
      </c>
      <c r="J110" s="155">
        <v>13</v>
      </c>
      <c r="K110" s="155">
        <v>1</v>
      </c>
      <c r="L110" s="156">
        <v>0</v>
      </c>
      <c r="M110" s="161">
        <v>6306</v>
      </c>
    </row>
    <row r="111" spans="1:13">
      <c r="A111" s="147" t="s">
        <v>1042</v>
      </c>
      <c r="B111" s="148" t="s">
        <v>1043</v>
      </c>
      <c r="C111" s="149">
        <f t="shared" si="4"/>
        <v>907</v>
      </c>
      <c r="D111" s="150">
        <v>0</v>
      </c>
      <c r="E111" s="150">
        <v>0</v>
      </c>
      <c r="F111" s="150">
        <f t="shared" si="5"/>
        <v>907</v>
      </c>
      <c r="G111" s="150">
        <v>7</v>
      </c>
      <c r="H111" s="150">
        <f t="shared" si="6"/>
        <v>900</v>
      </c>
      <c r="I111" s="150">
        <f t="shared" si="7"/>
        <v>898</v>
      </c>
      <c r="J111" s="150">
        <v>851</v>
      </c>
      <c r="K111" s="150">
        <v>47</v>
      </c>
      <c r="L111" s="151">
        <v>2</v>
      </c>
      <c r="M111" s="151">
        <v>166496</v>
      </c>
    </row>
    <row r="112" spans="1:13">
      <c r="A112" s="157" t="s">
        <v>1044</v>
      </c>
      <c r="B112" s="158" t="s">
        <v>1045</v>
      </c>
      <c r="C112" s="159">
        <f t="shared" si="4"/>
        <v>89</v>
      </c>
      <c r="D112" s="155">
        <v>0</v>
      </c>
      <c r="E112" s="155">
        <v>0</v>
      </c>
      <c r="F112" s="155">
        <f t="shared" si="5"/>
        <v>89</v>
      </c>
      <c r="G112" s="155">
        <v>2</v>
      </c>
      <c r="H112" s="155">
        <f t="shared" si="6"/>
        <v>87</v>
      </c>
      <c r="I112" s="155">
        <f t="shared" si="7"/>
        <v>87</v>
      </c>
      <c r="J112" s="155">
        <v>80</v>
      </c>
      <c r="K112" s="155">
        <v>7</v>
      </c>
      <c r="L112" s="156">
        <v>0</v>
      </c>
      <c r="M112" s="161">
        <v>10452</v>
      </c>
    </row>
    <row r="113" spans="1:13">
      <c r="A113" s="162" t="s">
        <v>1046</v>
      </c>
      <c r="B113" s="163" t="s">
        <v>1047</v>
      </c>
      <c r="C113" s="164">
        <f t="shared" si="4"/>
        <v>97</v>
      </c>
      <c r="D113" s="150">
        <v>0</v>
      </c>
      <c r="E113" s="150">
        <v>0</v>
      </c>
      <c r="F113" s="165">
        <f t="shared" si="5"/>
        <v>97</v>
      </c>
      <c r="G113" s="150">
        <v>0</v>
      </c>
      <c r="H113" s="165">
        <f t="shared" si="6"/>
        <v>97</v>
      </c>
      <c r="I113" s="165">
        <f t="shared" si="7"/>
        <v>96</v>
      </c>
      <c r="J113" s="150">
        <v>86</v>
      </c>
      <c r="K113" s="150">
        <v>10</v>
      </c>
      <c r="L113" s="151">
        <v>1</v>
      </c>
      <c r="M113" s="166">
        <v>7203</v>
      </c>
    </row>
    <row r="114" spans="1:13">
      <c r="A114" s="147" t="s">
        <v>1048</v>
      </c>
      <c r="B114" s="148" t="s">
        <v>1049</v>
      </c>
      <c r="C114" s="149">
        <f t="shared" si="4"/>
        <v>2</v>
      </c>
      <c r="D114" s="150">
        <v>0</v>
      </c>
      <c r="E114" s="150">
        <v>0</v>
      </c>
      <c r="F114" s="150">
        <f t="shared" si="5"/>
        <v>2</v>
      </c>
      <c r="G114" s="150">
        <v>0</v>
      </c>
      <c r="H114" s="150">
        <f t="shared" si="6"/>
        <v>2</v>
      </c>
      <c r="I114" s="150">
        <f t="shared" si="7"/>
        <v>2</v>
      </c>
      <c r="J114" s="150">
        <v>2</v>
      </c>
      <c r="K114" s="150">
        <v>0</v>
      </c>
      <c r="L114" s="151">
        <v>0</v>
      </c>
      <c r="M114" s="151">
        <v>165</v>
      </c>
    </row>
    <row r="115" spans="1:13">
      <c r="A115" s="157" t="s">
        <v>1050</v>
      </c>
      <c r="B115" s="158" t="s">
        <v>1051</v>
      </c>
      <c r="C115" s="159">
        <f t="shared" si="4"/>
        <v>47</v>
      </c>
      <c r="D115" s="160">
        <v>0</v>
      </c>
      <c r="E115" s="160">
        <v>0</v>
      </c>
      <c r="F115" s="160">
        <f t="shared" si="5"/>
        <v>47</v>
      </c>
      <c r="G115" s="160">
        <v>0</v>
      </c>
      <c r="H115" s="160">
        <f t="shared" si="6"/>
        <v>47</v>
      </c>
      <c r="I115" s="160">
        <f t="shared" si="7"/>
        <v>47</v>
      </c>
      <c r="J115" s="160">
        <v>45</v>
      </c>
      <c r="K115" s="160">
        <v>2</v>
      </c>
      <c r="L115" s="161">
        <v>0</v>
      </c>
      <c r="M115" s="161">
        <v>5595</v>
      </c>
    </row>
    <row r="116" spans="1:13">
      <c r="A116" s="152" t="s">
        <v>1052</v>
      </c>
      <c r="B116" s="153" t="s">
        <v>1053</v>
      </c>
      <c r="C116" s="154">
        <f t="shared" si="4"/>
        <v>1174</v>
      </c>
      <c r="D116" s="160">
        <v>3</v>
      </c>
      <c r="E116" s="160">
        <v>1</v>
      </c>
      <c r="F116" s="155">
        <f t="shared" si="5"/>
        <v>1170</v>
      </c>
      <c r="G116" s="160">
        <v>17</v>
      </c>
      <c r="H116" s="155">
        <f t="shared" si="6"/>
        <v>1153</v>
      </c>
      <c r="I116" s="155">
        <f t="shared" si="7"/>
        <v>1146</v>
      </c>
      <c r="J116" s="160">
        <v>1056</v>
      </c>
      <c r="K116" s="160">
        <v>90</v>
      </c>
      <c r="L116" s="161">
        <v>7</v>
      </c>
      <c r="M116" s="156">
        <v>78951</v>
      </c>
    </row>
    <row r="117" spans="1:13">
      <c r="A117" s="157" t="s">
        <v>1054</v>
      </c>
      <c r="B117" s="158" t="s">
        <v>1055</v>
      </c>
      <c r="C117" s="159">
        <f t="shared" si="4"/>
        <v>229</v>
      </c>
      <c r="D117" s="150">
        <v>0</v>
      </c>
      <c r="E117" s="150">
        <v>0</v>
      </c>
      <c r="F117" s="160">
        <f t="shared" si="5"/>
        <v>229</v>
      </c>
      <c r="G117" s="150">
        <v>2</v>
      </c>
      <c r="H117" s="160">
        <f t="shared" si="6"/>
        <v>227</v>
      </c>
      <c r="I117" s="160">
        <f t="shared" si="7"/>
        <v>225</v>
      </c>
      <c r="J117" s="150">
        <v>208</v>
      </c>
      <c r="K117" s="150">
        <v>17</v>
      </c>
      <c r="L117" s="151">
        <v>2</v>
      </c>
      <c r="M117" s="151">
        <v>15785</v>
      </c>
    </row>
    <row r="118" spans="1:13">
      <c r="A118" s="157" t="s">
        <v>1056</v>
      </c>
      <c r="B118" s="158" t="s">
        <v>1057</v>
      </c>
      <c r="C118" s="159">
        <f t="shared" si="4"/>
        <v>386</v>
      </c>
      <c r="D118" s="160">
        <v>0</v>
      </c>
      <c r="E118" s="160">
        <v>0</v>
      </c>
      <c r="F118" s="160">
        <f t="shared" si="5"/>
        <v>386</v>
      </c>
      <c r="G118" s="160">
        <v>5</v>
      </c>
      <c r="H118" s="160">
        <f t="shared" si="6"/>
        <v>381</v>
      </c>
      <c r="I118" s="160">
        <f t="shared" si="7"/>
        <v>380</v>
      </c>
      <c r="J118" s="160">
        <v>342</v>
      </c>
      <c r="K118" s="160">
        <v>38</v>
      </c>
      <c r="L118" s="161">
        <v>1</v>
      </c>
      <c r="M118" s="161">
        <v>54639</v>
      </c>
    </row>
    <row r="119" spans="1:13">
      <c r="A119" s="157" t="s">
        <v>1058</v>
      </c>
      <c r="B119" s="158" t="s">
        <v>1059</v>
      </c>
      <c r="C119" s="159">
        <f t="shared" si="4"/>
        <v>0</v>
      </c>
      <c r="D119" s="160">
        <v>0</v>
      </c>
      <c r="E119" s="160">
        <v>0</v>
      </c>
      <c r="F119" s="160">
        <f t="shared" si="5"/>
        <v>0</v>
      </c>
      <c r="G119" s="160">
        <v>0</v>
      </c>
      <c r="H119" s="160">
        <f t="shared" si="6"/>
        <v>0</v>
      </c>
      <c r="I119" s="160">
        <f t="shared" si="7"/>
        <v>0</v>
      </c>
      <c r="J119" s="160">
        <v>0</v>
      </c>
      <c r="K119" s="160">
        <v>0</v>
      </c>
      <c r="L119" s="161">
        <v>0</v>
      </c>
      <c r="M119" s="161">
        <v>1</v>
      </c>
    </row>
    <row r="120" spans="1:13">
      <c r="A120" s="157" t="s">
        <v>1060</v>
      </c>
      <c r="B120" s="158" t="s">
        <v>1061</v>
      </c>
      <c r="C120" s="159">
        <f t="shared" si="4"/>
        <v>404</v>
      </c>
      <c r="D120" s="160">
        <v>0</v>
      </c>
      <c r="E120" s="160">
        <v>0</v>
      </c>
      <c r="F120" s="160">
        <f t="shared" si="5"/>
        <v>404</v>
      </c>
      <c r="G120" s="160">
        <v>4</v>
      </c>
      <c r="H120" s="160">
        <f t="shared" si="6"/>
        <v>400</v>
      </c>
      <c r="I120" s="160">
        <f t="shared" si="7"/>
        <v>399</v>
      </c>
      <c r="J120" s="160">
        <v>364</v>
      </c>
      <c r="K120" s="160">
        <v>35</v>
      </c>
      <c r="L120" s="161">
        <v>1</v>
      </c>
      <c r="M120" s="156">
        <v>27282</v>
      </c>
    </row>
    <row r="121" spans="1:13">
      <c r="A121" s="147" t="s">
        <v>1062</v>
      </c>
      <c r="B121" s="148" t="s">
        <v>1063</v>
      </c>
      <c r="C121" s="149">
        <f t="shared" si="4"/>
        <v>1822</v>
      </c>
      <c r="D121" s="150">
        <v>0</v>
      </c>
      <c r="E121" s="150">
        <v>0</v>
      </c>
      <c r="F121" s="150">
        <f t="shared" si="5"/>
        <v>1822</v>
      </c>
      <c r="G121" s="150">
        <v>20</v>
      </c>
      <c r="H121" s="150">
        <f t="shared" si="6"/>
        <v>1802</v>
      </c>
      <c r="I121" s="150">
        <f t="shared" si="7"/>
        <v>1789</v>
      </c>
      <c r="J121" s="150">
        <v>1473</v>
      </c>
      <c r="K121" s="150">
        <v>316</v>
      </c>
      <c r="L121" s="151">
        <v>13</v>
      </c>
      <c r="M121" s="161">
        <v>80519</v>
      </c>
    </row>
    <row r="122" spans="1:13">
      <c r="A122" s="162" t="s">
        <v>1064</v>
      </c>
      <c r="B122" s="163" t="s">
        <v>1065</v>
      </c>
      <c r="C122" s="164">
        <f t="shared" si="4"/>
        <v>4001</v>
      </c>
      <c r="D122" s="150">
        <v>5</v>
      </c>
      <c r="E122" s="150">
        <v>5</v>
      </c>
      <c r="F122" s="165">
        <f t="shared" si="5"/>
        <v>3991</v>
      </c>
      <c r="G122" s="150">
        <v>52</v>
      </c>
      <c r="H122" s="165">
        <f t="shared" si="6"/>
        <v>3939</v>
      </c>
      <c r="I122" s="165">
        <f t="shared" si="7"/>
        <v>3919</v>
      </c>
      <c r="J122" s="150">
        <v>3160</v>
      </c>
      <c r="K122" s="150">
        <v>759</v>
      </c>
      <c r="L122" s="151">
        <v>20</v>
      </c>
      <c r="M122" s="166">
        <v>284882</v>
      </c>
    </row>
    <row r="123" spans="1:13">
      <c r="A123" s="147" t="s">
        <v>1066</v>
      </c>
      <c r="B123" s="148" t="s">
        <v>1067</v>
      </c>
      <c r="C123" s="149">
        <f t="shared" si="4"/>
        <v>1150</v>
      </c>
      <c r="D123" s="150">
        <v>7</v>
      </c>
      <c r="E123" s="150">
        <v>3</v>
      </c>
      <c r="F123" s="150">
        <f t="shared" si="5"/>
        <v>1140</v>
      </c>
      <c r="G123" s="150">
        <v>49</v>
      </c>
      <c r="H123" s="150">
        <f t="shared" si="6"/>
        <v>1091</v>
      </c>
      <c r="I123" s="150">
        <f t="shared" si="7"/>
        <v>1073</v>
      </c>
      <c r="J123" s="150">
        <v>863</v>
      </c>
      <c r="K123" s="150">
        <v>210</v>
      </c>
      <c r="L123" s="151">
        <v>18</v>
      </c>
      <c r="M123" s="166">
        <v>64576</v>
      </c>
    </row>
    <row r="124" spans="1:13">
      <c r="A124" s="162">
        <v>208201</v>
      </c>
      <c r="B124" s="163" t="s">
        <v>1068</v>
      </c>
      <c r="C124" s="164">
        <f t="shared" si="4"/>
        <v>3479</v>
      </c>
      <c r="D124" s="150">
        <v>5</v>
      </c>
      <c r="E124" s="150">
        <v>1</v>
      </c>
      <c r="F124" s="165">
        <f t="shared" si="5"/>
        <v>3473</v>
      </c>
      <c r="G124" s="150">
        <v>95</v>
      </c>
      <c r="H124" s="165">
        <f t="shared" si="6"/>
        <v>3378</v>
      </c>
      <c r="I124" s="165">
        <f t="shared" si="7"/>
        <v>3191</v>
      </c>
      <c r="J124" s="150">
        <v>1957</v>
      </c>
      <c r="K124" s="150">
        <v>1234</v>
      </c>
      <c r="L124" s="151">
        <v>187</v>
      </c>
      <c r="M124" s="166">
        <v>134750</v>
      </c>
    </row>
    <row r="125" spans="1:13">
      <c r="A125" s="157">
        <v>208301</v>
      </c>
      <c r="B125" s="158" t="s">
        <v>1069</v>
      </c>
      <c r="C125" s="159">
        <f t="shared" si="4"/>
        <v>2059</v>
      </c>
      <c r="D125" s="150">
        <v>16</v>
      </c>
      <c r="E125" s="150">
        <v>3</v>
      </c>
      <c r="F125" s="160">
        <f t="shared" si="5"/>
        <v>2040</v>
      </c>
      <c r="G125" s="150">
        <v>78</v>
      </c>
      <c r="H125" s="160">
        <f t="shared" si="6"/>
        <v>1962</v>
      </c>
      <c r="I125" s="160">
        <f t="shared" si="7"/>
        <v>1949</v>
      </c>
      <c r="J125" s="150">
        <v>1701</v>
      </c>
      <c r="K125" s="150">
        <v>248</v>
      </c>
      <c r="L125" s="151">
        <v>13</v>
      </c>
      <c r="M125" s="151">
        <v>129225</v>
      </c>
    </row>
    <row r="126" spans="1:13">
      <c r="A126" s="157">
        <v>208302</v>
      </c>
      <c r="B126" s="158" t="s">
        <v>1070</v>
      </c>
      <c r="C126" s="154">
        <f t="shared" si="4"/>
        <v>273</v>
      </c>
      <c r="D126" s="155">
        <v>2</v>
      </c>
      <c r="E126" s="155">
        <v>1</v>
      </c>
      <c r="F126" s="155">
        <f t="shared" si="5"/>
        <v>270</v>
      </c>
      <c r="G126" s="155">
        <v>6</v>
      </c>
      <c r="H126" s="155">
        <f t="shared" si="6"/>
        <v>264</v>
      </c>
      <c r="I126" s="155">
        <f t="shared" si="7"/>
        <v>264</v>
      </c>
      <c r="J126" s="155">
        <v>228</v>
      </c>
      <c r="K126" s="155">
        <v>36</v>
      </c>
      <c r="L126" s="156">
        <v>0</v>
      </c>
      <c r="M126" s="156">
        <v>16319</v>
      </c>
    </row>
    <row r="127" spans="1:13">
      <c r="A127" s="162" t="s">
        <v>1071</v>
      </c>
      <c r="B127" s="163" t="s">
        <v>1072</v>
      </c>
      <c r="C127" s="164">
        <f t="shared" si="4"/>
        <v>336</v>
      </c>
      <c r="D127" s="150">
        <v>0</v>
      </c>
      <c r="E127" s="150">
        <v>0</v>
      </c>
      <c r="F127" s="165">
        <f t="shared" si="5"/>
        <v>336</v>
      </c>
      <c r="G127" s="150">
        <v>8</v>
      </c>
      <c r="H127" s="165">
        <f t="shared" si="6"/>
        <v>328</v>
      </c>
      <c r="I127" s="165">
        <f t="shared" si="7"/>
        <v>313</v>
      </c>
      <c r="J127" s="150">
        <v>262</v>
      </c>
      <c r="K127" s="150">
        <v>51</v>
      </c>
      <c r="L127" s="151">
        <v>15</v>
      </c>
      <c r="M127" s="166">
        <v>18445</v>
      </c>
    </row>
    <row r="128" spans="1:13">
      <c r="A128" s="147" t="s">
        <v>1073</v>
      </c>
      <c r="B128" s="148" t="s">
        <v>1074</v>
      </c>
      <c r="C128" s="149">
        <f t="shared" si="4"/>
        <v>281</v>
      </c>
      <c r="D128" s="150">
        <v>2</v>
      </c>
      <c r="E128" s="150">
        <v>1</v>
      </c>
      <c r="F128" s="150">
        <f t="shared" si="5"/>
        <v>278</v>
      </c>
      <c r="G128" s="150">
        <v>9</v>
      </c>
      <c r="H128" s="150">
        <f t="shared" si="6"/>
        <v>269</v>
      </c>
      <c r="I128" s="150">
        <f t="shared" si="7"/>
        <v>264</v>
      </c>
      <c r="J128" s="150">
        <v>221</v>
      </c>
      <c r="K128" s="150">
        <v>43</v>
      </c>
      <c r="L128" s="151">
        <v>5</v>
      </c>
      <c r="M128" s="151">
        <v>12205</v>
      </c>
    </row>
    <row r="129" spans="1:13">
      <c r="A129" s="157">
        <v>208902</v>
      </c>
      <c r="B129" s="158" t="s">
        <v>1075</v>
      </c>
      <c r="C129" s="159">
        <f>D129+E129+F129</f>
        <v>183</v>
      </c>
      <c r="D129" s="160">
        <v>0</v>
      </c>
      <c r="E129" s="160">
        <v>0</v>
      </c>
      <c r="F129" s="160">
        <f>G129+H129</f>
        <v>183</v>
      </c>
      <c r="G129" s="160">
        <v>1</v>
      </c>
      <c r="H129" s="160">
        <f>I129+L129</f>
        <v>182</v>
      </c>
      <c r="I129" s="160">
        <f>J129+K129</f>
        <v>182</v>
      </c>
      <c r="J129" s="160">
        <v>161</v>
      </c>
      <c r="K129" s="160">
        <v>21</v>
      </c>
      <c r="L129" s="161">
        <v>0</v>
      </c>
      <c r="M129" s="161">
        <v>6143</v>
      </c>
    </row>
    <row r="130" spans="1:13">
      <c r="A130" s="152" t="s">
        <v>1076</v>
      </c>
      <c r="B130" s="153" t="s">
        <v>1077</v>
      </c>
      <c r="C130" s="154">
        <f t="shared" si="4"/>
        <v>5585</v>
      </c>
      <c r="D130" s="160">
        <v>62</v>
      </c>
      <c r="E130" s="160">
        <v>15</v>
      </c>
      <c r="F130" s="155">
        <f t="shared" si="5"/>
        <v>5508</v>
      </c>
      <c r="G130" s="160">
        <v>195</v>
      </c>
      <c r="H130" s="155">
        <f t="shared" si="6"/>
        <v>5313</v>
      </c>
      <c r="I130" s="155">
        <f t="shared" si="7"/>
        <v>5078</v>
      </c>
      <c r="J130" s="160">
        <v>4258</v>
      </c>
      <c r="K130" s="160">
        <v>820</v>
      </c>
      <c r="L130" s="161">
        <v>235</v>
      </c>
      <c r="M130" s="156">
        <v>224153</v>
      </c>
    </row>
    <row r="131" spans="1:13">
      <c r="A131" s="157" t="s">
        <v>1078</v>
      </c>
      <c r="B131" s="158" t="s">
        <v>1079</v>
      </c>
      <c r="C131" s="159">
        <f t="shared" si="4"/>
        <v>35</v>
      </c>
      <c r="D131" s="150">
        <v>0</v>
      </c>
      <c r="E131" s="150">
        <v>0</v>
      </c>
      <c r="F131" s="160">
        <f t="shared" si="5"/>
        <v>35</v>
      </c>
      <c r="G131" s="150">
        <v>1</v>
      </c>
      <c r="H131" s="160">
        <f t="shared" si="6"/>
        <v>34</v>
      </c>
      <c r="I131" s="160">
        <f t="shared" si="7"/>
        <v>34</v>
      </c>
      <c r="J131" s="150">
        <v>31</v>
      </c>
      <c r="K131" s="150">
        <v>3</v>
      </c>
      <c r="L131" s="151">
        <v>0</v>
      </c>
      <c r="M131" s="166">
        <v>36284</v>
      </c>
    </row>
    <row r="132" spans="1:13">
      <c r="A132" s="147" t="s">
        <v>1080</v>
      </c>
      <c r="B132" s="148" t="s">
        <v>1081</v>
      </c>
      <c r="C132" s="149">
        <f t="shared" si="4"/>
        <v>101</v>
      </c>
      <c r="D132" s="150">
        <v>0</v>
      </c>
      <c r="E132" s="150">
        <v>0</v>
      </c>
      <c r="F132" s="150">
        <f t="shared" si="5"/>
        <v>101</v>
      </c>
      <c r="G132" s="150">
        <v>1</v>
      </c>
      <c r="H132" s="150">
        <f t="shared" si="6"/>
        <v>100</v>
      </c>
      <c r="I132" s="150">
        <f t="shared" si="7"/>
        <v>100</v>
      </c>
      <c r="J132" s="150">
        <v>93</v>
      </c>
      <c r="K132" s="150">
        <v>7</v>
      </c>
      <c r="L132" s="151">
        <v>0</v>
      </c>
      <c r="M132" s="151">
        <v>66167</v>
      </c>
    </row>
    <row r="133" spans="1:13">
      <c r="A133" s="152" t="s">
        <v>1082</v>
      </c>
      <c r="B133" s="153" t="s">
        <v>1083</v>
      </c>
      <c r="C133" s="154">
        <f t="shared" si="4"/>
        <v>187</v>
      </c>
      <c r="D133" s="155">
        <v>0</v>
      </c>
      <c r="E133" s="155">
        <v>0</v>
      </c>
      <c r="F133" s="155">
        <f t="shared" si="5"/>
        <v>187</v>
      </c>
      <c r="G133" s="155">
        <v>11</v>
      </c>
      <c r="H133" s="155">
        <f t="shared" si="6"/>
        <v>176</v>
      </c>
      <c r="I133" s="155">
        <f t="shared" si="7"/>
        <v>174</v>
      </c>
      <c r="J133" s="155">
        <v>142</v>
      </c>
      <c r="K133" s="155">
        <v>32</v>
      </c>
      <c r="L133" s="156">
        <v>2</v>
      </c>
      <c r="M133" s="156">
        <v>12661</v>
      </c>
    </row>
    <row r="134" spans="1:13">
      <c r="A134" s="162" t="s">
        <v>1084</v>
      </c>
      <c r="B134" s="163" t="s">
        <v>1085</v>
      </c>
      <c r="C134" s="164">
        <f t="shared" si="4"/>
        <v>23217</v>
      </c>
      <c r="D134" s="150">
        <v>917</v>
      </c>
      <c r="E134" s="150">
        <v>292</v>
      </c>
      <c r="F134" s="165">
        <f t="shared" si="5"/>
        <v>22008</v>
      </c>
      <c r="G134" s="150">
        <v>1326</v>
      </c>
      <c r="H134" s="165">
        <f t="shared" si="6"/>
        <v>20682</v>
      </c>
      <c r="I134" s="165">
        <f t="shared" si="7"/>
        <v>20381</v>
      </c>
      <c r="J134" s="150">
        <v>15063</v>
      </c>
      <c r="K134" s="150">
        <v>5318</v>
      </c>
      <c r="L134" s="151">
        <v>301</v>
      </c>
      <c r="M134" s="166">
        <v>436677</v>
      </c>
    </row>
    <row r="135" spans="1:13">
      <c r="A135" s="157" t="s">
        <v>1086</v>
      </c>
      <c r="B135" s="158" t="s">
        <v>1087</v>
      </c>
      <c r="C135" s="159">
        <f t="shared" ref="C135:C198" si="8">D135+E135+F135</f>
        <v>373</v>
      </c>
      <c r="D135" s="150">
        <v>1</v>
      </c>
      <c r="E135" s="150">
        <v>0</v>
      </c>
      <c r="F135" s="160">
        <f t="shared" ref="F135:F198" si="9">G135+H135</f>
        <v>372</v>
      </c>
      <c r="G135" s="150">
        <v>2</v>
      </c>
      <c r="H135" s="160">
        <f t="shared" ref="H135:H198" si="10">I135+L135</f>
        <v>370</v>
      </c>
      <c r="I135" s="160">
        <f t="shared" ref="I135:I198" si="11">J135+K135</f>
        <v>370</v>
      </c>
      <c r="J135" s="150">
        <v>299</v>
      </c>
      <c r="K135" s="150">
        <v>71</v>
      </c>
      <c r="L135" s="151">
        <v>0</v>
      </c>
      <c r="M135" s="166">
        <v>20250</v>
      </c>
    </row>
    <row r="136" spans="1:13">
      <c r="A136" s="162" t="s">
        <v>1088</v>
      </c>
      <c r="B136" s="163" t="s">
        <v>1089</v>
      </c>
      <c r="C136" s="164">
        <f t="shared" si="8"/>
        <v>7254</v>
      </c>
      <c r="D136" s="150">
        <v>445</v>
      </c>
      <c r="E136" s="150">
        <v>114</v>
      </c>
      <c r="F136" s="165">
        <f t="shared" si="9"/>
        <v>6695</v>
      </c>
      <c r="G136" s="150">
        <v>338</v>
      </c>
      <c r="H136" s="165">
        <f t="shared" si="10"/>
        <v>6357</v>
      </c>
      <c r="I136" s="165">
        <f t="shared" si="11"/>
        <v>6274</v>
      </c>
      <c r="J136" s="150">
        <v>4807</v>
      </c>
      <c r="K136" s="150">
        <v>1467</v>
      </c>
      <c r="L136" s="151">
        <v>83</v>
      </c>
      <c r="M136" s="166">
        <v>103541</v>
      </c>
    </row>
    <row r="137" spans="1:13">
      <c r="A137" s="157" t="s">
        <v>1090</v>
      </c>
      <c r="B137" s="158" t="s">
        <v>1091</v>
      </c>
      <c r="C137" s="159">
        <f t="shared" si="8"/>
        <v>1835</v>
      </c>
      <c r="D137" s="150">
        <v>489</v>
      </c>
      <c r="E137" s="150">
        <v>197</v>
      </c>
      <c r="F137" s="160">
        <f t="shared" si="9"/>
        <v>1149</v>
      </c>
      <c r="G137" s="150">
        <v>111</v>
      </c>
      <c r="H137" s="160">
        <f t="shared" si="10"/>
        <v>1038</v>
      </c>
      <c r="I137" s="160">
        <f t="shared" si="11"/>
        <v>1029</v>
      </c>
      <c r="J137" s="150">
        <v>738</v>
      </c>
      <c r="K137" s="150">
        <v>291</v>
      </c>
      <c r="L137" s="151">
        <v>9</v>
      </c>
      <c r="M137" s="166">
        <v>13768</v>
      </c>
    </row>
    <row r="138" spans="1:13">
      <c r="A138" s="162" t="s">
        <v>1092</v>
      </c>
      <c r="B138" s="163" t="s">
        <v>1093</v>
      </c>
      <c r="C138" s="164">
        <f t="shared" si="8"/>
        <v>4974</v>
      </c>
      <c r="D138" s="150">
        <v>1624</v>
      </c>
      <c r="E138" s="150">
        <v>698</v>
      </c>
      <c r="F138" s="165">
        <f t="shared" si="9"/>
        <v>2652</v>
      </c>
      <c r="G138" s="150">
        <v>382</v>
      </c>
      <c r="H138" s="165">
        <f t="shared" si="10"/>
        <v>2270</v>
      </c>
      <c r="I138" s="165">
        <f t="shared" si="11"/>
        <v>2175</v>
      </c>
      <c r="J138" s="150">
        <v>1381</v>
      </c>
      <c r="K138" s="150">
        <v>794</v>
      </c>
      <c r="L138" s="151">
        <v>95</v>
      </c>
      <c r="M138" s="166">
        <v>35946</v>
      </c>
    </row>
    <row r="139" spans="1:13">
      <c r="A139" s="157" t="s">
        <v>1094</v>
      </c>
      <c r="B139" s="158" t="s">
        <v>1095</v>
      </c>
      <c r="C139" s="159">
        <f t="shared" si="8"/>
        <v>2191</v>
      </c>
      <c r="D139" s="150">
        <v>42</v>
      </c>
      <c r="E139" s="150">
        <v>18</v>
      </c>
      <c r="F139" s="160">
        <f t="shared" si="9"/>
        <v>2131</v>
      </c>
      <c r="G139" s="150">
        <v>49</v>
      </c>
      <c r="H139" s="160">
        <f t="shared" si="10"/>
        <v>2082</v>
      </c>
      <c r="I139" s="160">
        <f t="shared" si="11"/>
        <v>2076</v>
      </c>
      <c r="J139" s="150">
        <v>1858</v>
      </c>
      <c r="K139" s="150">
        <v>218</v>
      </c>
      <c r="L139" s="151">
        <v>6</v>
      </c>
      <c r="M139" s="151">
        <v>60584</v>
      </c>
    </row>
    <row r="140" spans="1:13">
      <c r="A140" s="157" t="s">
        <v>1096</v>
      </c>
      <c r="B140" s="158" t="s">
        <v>1097</v>
      </c>
      <c r="C140" s="159">
        <f t="shared" si="8"/>
        <v>13</v>
      </c>
      <c r="D140" s="160">
        <v>0</v>
      </c>
      <c r="E140" s="160">
        <v>0</v>
      </c>
      <c r="F140" s="160">
        <f t="shared" si="9"/>
        <v>13</v>
      </c>
      <c r="G140" s="160">
        <v>0</v>
      </c>
      <c r="H140" s="160">
        <f t="shared" si="10"/>
        <v>13</v>
      </c>
      <c r="I140" s="160">
        <f t="shared" si="11"/>
        <v>13</v>
      </c>
      <c r="J140" s="160">
        <v>12</v>
      </c>
      <c r="K140" s="160">
        <v>1</v>
      </c>
      <c r="L140" s="161">
        <v>0</v>
      </c>
      <c r="M140" s="161">
        <v>390</v>
      </c>
    </row>
    <row r="141" spans="1:13">
      <c r="A141" s="157" t="s">
        <v>1098</v>
      </c>
      <c r="B141" s="158" t="s">
        <v>1099</v>
      </c>
      <c r="C141" s="159">
        <f t="shared" si="8"/>
        <v>1498</v>
      </c>
      <c r="D141" s="160">
        <v>89</v>
      </c>
      <c r="E141" s="160">
        <v>39</v>
      </c>
      <c r="F141" s="160">
        <f t="shared" si="9"/>
        <v>1370</v>
      </c>
      <c r="G141" s="160">
        <v>54</v>
      </c>
      <c r="H141" s="160">
        <f t="shared" si="10"/>
        <v>1316</v>
      </c>
      <c r="I141" s="160">
        <f t="shared" si="11"/>
        <v>1295</v>
      </c>
      <c r="J141" s="160">
        <v>1118</v>
      </c>
      <c r="K141" s="160">
        <v>177</v>
      </c>
      <c r="L141" s="161">
        <v>21</v>
      </c>
      <c r="M141" s="156">
        <v>32759</v>
      </c>
    </row>
    <row r="142" spans="1:13">
      <c r="A142" s="147" t="s">
        <v>1100</v>
      </c>
      <c r="B142" s="148" t="s">
        <v>1101</v>
      </c>
      <c r="C142" s="149">
        <f t="shared" si="8"/>
        <v>286</v>
      </c>
      <c r="D142" s="150">
        <v>0</v>
      </c>
      <c r="E142" s="150">
        <v>0</v>
      </c>
      <c r="F142" s="150">
        <f t="shared" si="9"/>
        <v>286</v>
      </c>
      <c r="G142" s="150">
        <v>5</v>
      </c>
      <c r="H142" s="150">
        <f t="shared" si="10"/>
        <v>281</v>
      </c>
      <c r="I142" s="150">
        <f t="shared" si="11"/>
        <v>278</v>
      </c>
      <c r="J142" s="150">
        <v>265</v>
      </c>
      <c r="K142" s="150">
        <v>13</v>
      </c>
      <c r="L142" s="151">
        <v>3</v>
      </c>
      <c r="M142" s="151">
        <v>18093</v>
      </c>
    </row>
    <row r="143" spans="1:13">
      <c r="A143" s="157" t="s">
        <v>1102</v>
      </c>
      <c r="B143" s="158" t="s">
        <v>1103</v>
      </c>
      <c r="C143" s="159">
        <f t="shared" si="8"/>
        <v>1865</v>
      </c>
      <c r="D143" s="160">
        <v>6</v>
      </c>
      <c r="E143" s="160">
        <v>3</v>
      </c>
      <c r="F143" s="160">
        <f t="shared" si="9"/>
        <v>1856</v>
      </c>
      <c r="G143" s="160">
        <v>201</v>
      </c>
      <c r="H143" s="160">
        <f t="shared" si="10"/>
        <v>1655</v>
      </c>
      <c r="I143" s="160">
        <f t="shared" si="11"/>
        <v>1568</v>
      </c>
      <c r="J143" s="160">
        <v>1318</v>
      </c>
      <c r="K143" s="160">
        <v>250</v>
      </c>
      <c r="L143" s="161">
        <v>87</v>
      </c>
      <c r="M143" s="161">
        <v>40194</v>
      </c>
    </row>
    <row r="144" spans="1:13">
      <c r="A144" s="152" t="s">
        <v>1104</v>
      </c>
      <c r="B144" s="153" t="s">
        <v>1105</v>
      </c>
      <c r="C144" s="154">
        <f t="shared" si="8"/>
        <v>2341</v>
      </c>
      <c r="D144" s="160">
        <v>49</v>
      </c>
      <c r="E144" s="160">
        <v>18</v>
      </c>
      <c r="F144" s="155">
        <f t="shared" si="9"/>
        <v>2274</v>
      </c>
      <c r="G144" s="160">
        <v>134</v>
      </c>
      <c r="H144" s="155">
        <f t="shared" si="10"/>
        <v>2140</v>
      </c>
      <c r="I144" s="155">
        <f t="shared" si="11"/>
        <v>2115</v>
      </c>
      <c r="J144" s="160">
        <v>1835</v>
      </c>
      <c r="K144" s="160">
        <v>280</v>
      </c>
      <c r="L144" s="161">
        <v>25</v>
      </c>
      <c r="M144" s="161">
        <v>40570</v>
      </c>
    </row>
    <row r="145" spans="1:13">
      <c r="A145" s="157" t="s">
        <v>1106</v>
      </c>
      <c r="B145" s="158" t="s">
        <v>1107</v>
      </c>
      <c r="C145" s="159">
        <f t="shared" si="8"/>
        <v>516</v>
      </c>
      <c r="D145" s="150">
        <v>120</v>
      </c>
      <c r="E145" s="150">
        <v>53</v>
      </c>
      <c r="F145" s="160">
        <f t="shared" si="9"/>
        <v>343</v>
      </c>
      <c r="G145" s="150">
        <v>27</v>
      </c>
      <c r="H145" s="160">
        <f t="shared" si="10"/>
        <v>316</v>
      </c>
      <c r="I145" s="160">
        <f t="shared" si="11"/>
        <v>312</v>
      </c>
      <c r="J145" s="150">
        <v>244</v>
      </c>
      <c r="K145" s="150">
        <v>68</v>
      </c>
      <c r="L145" s="151">
        <v>4</v>
      </c>
      <c r="M145" s="151">
        <v>5491</v>
      </c>
    </row>
    <row r="146" spans="1:13">
      <c r="A146" s="147" t="s">
        <v>1108</v>
      </c>
      <c r="B146" s="148" t="s">
        <v>1109</v>
      </c>
      <c r="C146" s="149">
        <f t="shared" si="8"/>
        <v>1006</v>
      </c>
      <c r="D146" s="150">
        <v>11</v>
      </c>
      <c r="E146" s="150">
        <v>2</v>
      </c>
      <c r="F146" s="150">
        <f t="shared" si="9"/>
        <v>993</v>
      </c>
      <c r="G146" s="150">
        <v>40</v>
      </c>
      <c r="H146" s="150">
        <f t="shared" si="10"/>
        <v>953</v>
      </c>
      <c r="I146" s="150">
        <f t="shared" si="11"/>
        <v>939</v>
      </c>
      <c r="J146" s="150">
        <v>833</v>
      </c>
      <c r="K146" s="150">
        <v>106</v>
      </c>
      <c r="L146" s="151">
        <v>14</v>
      </c>
      <c r="M146" s="151">
        <v>23139</v>
      </c>
    </row>
    <row r="147" spans="1:13">
      <c r="A147" s="152" t="s">
        <v>1110</v>
      </c>
      <c r="B147" s="153" t="s">
        <v>1111</v>
      </c>
      <c r="C147" s="154">
        <f t="shared" si="8"/>
        <v>636</v>
      </c>
      <c r="D147" s="155">
        <v>113</v>
      </c>
      <c r="E147" s="155">
        <v>29</v>
      </c>
      <c r="F147" s="155">
        <f t="shared" si="9"/>
        <v>494</v>
      </c>
      <c r="G147" s="155">
        <v>53</v>
      </c>
      <c r="H147" s="155">
        <f t="shared" si="10"/>
        <v>441</v>
      </c>
      <c r="I147" s="155">
        <f t="shared" si="11"/>
        <v>437</v>
      </c>
      <c r="J147" s="155">
        <v>381</v>
      </c>
      <c r="K147" s="155">
        <v>56</v>
      </c>
      <c r="L147" s="156">
        <v>4</v>
      </c>
      <c r="M147" s="156">
        <v>11337</v>
      </c>
    </row>
    <row r="148" spans="1:13">
      <c r="A148" s="157" t="s">
        <v>1112</v>
      </c>
      <c r="B148" s="158" t="s">
        <v>1113</v>
      </c>
      <c r="C148" s="159">
        <f t="shared" si="8"/>
        <v>167</v>
      </c>
      <c r="D148" s="150">
        <v>2</v>
      </c>
      <c r="E148" s="150">
        <v>0</v>
      </c>
      <c r="F148" s="160">
        <f t="shared" si="9"/>
        <v>165</v>
      </c>
      <c r="G148" s="150">
        <v>4</v>
      </c>
      <c r="H148" s="160">
        <f t="shared" si="10"/>
        <v>161</v>
      </c>
      <c r="I148" s="160">
        <f t="shared" si="11"/>
        <v>159</v>
      </c>
      <c r="J148" s="150">
        <v>144</v>
      </c>
      <c r="K148" s="150">
        <v>15</v>
      </c>
      <c r="L148" s="151">
        <v>2</v>
      </c>
      <c r="M148" s="151">
        <v>5721</v>
      </c>
    </row>
    <row r="149" spans="1:13">
      <c r="A149" s="157" t="s">
        <v>1114</v>
      </c>
      <c r="B149" s="158" t="s">
        <v>1115</v>
      </c>
      <c r="C149" s="159">
        <f t="shared" si="8"/>
        <v>139</v>
      </c>
      <c r="D149" s="160">
        <v>3</v>
      </c>
      <c r="E149" s="160">
        <v>2</v>
      </c>
      <c r="F149" s="160">
        <f t="shared" si="9"/>
        <v>134</v>
      </c>
      <c r="G149" s="160">
        <v>7</v>
      </c>
      <c r="H149" s="160">
        <f t="shared" si="10"/>
        <v>127</v>
      </c>
      <c r="I149" s="160">
        <f t="shared" si="11"/>
        <v>127</v>
      </c>
      <c r="J149" s="160">
        <v>106</v>
      </c>
      <c r="K149" s="160">
        <v>21</v>
      </c>
      <c r="L149" s="161">
        <v>0</v>
      </c>
      <c r="M149" s="161">
        <v>2659</v>
      </c>
    </row>
    <row r="150" spans="1:13">
      <c r="A150" s="157" t="s">
        <v>1116</v>
      </c>
      <c r="B150" s="158" t="s">
        <v>1117</v>
      </c>
      <c r="C150" s="159">
        <f t="shared" si="8"/>
        <v>1625</v>
      </c>
      <c r="D150" s="160">
        <v>220</v>
      </c>
      <c r="E150" s="160">
        <v>67</v>
      </c>
      <c r="F150" s="160">
        <f t="shared" si="9"/>
        <v>1338</v>
      </c>
      <c r="G150" s="160">
        <v>170</v>
      </c>
      <c r="H150" s="160">
        <f t="shared" si="10"/>
        <v>1168</v>
      </c>
      <c r="I150" s="160">
        <f t="shared" si="11"/>
        <v>1142</v>
      </c>
      <c r="J150" s="160">
        <v>982</v>
      </c>
      <c r="K150" s="160">
        <v>160</v>
      </c>
      <c r="L150" s="161">
        <v>26</v>
      </c>
      <c r="M150" s="161">
        <v>21304</v>
      </c>
    </row>
    <row r="151" spans="1:13">
      <c r="A151" s="147" t="s">
        <v>1118</v>
      </c>
      <c r="B151" s="148" t="s">
        <v>1119</v>
      </c>
      <c r="C151" s="149">
        <f t="shared" si="8"/>
        <v>217</v>
      </c>
      <c r="D151" s="150">
        <v>0</v>
      </c>
      <c r="E151" s="150">
        <v>0</v>
      </c>
      <c r="F151" s="150">
        <f t="shared" si="9"/>
        <v>217</v>
      </c>
      <c r="G151" s="150">
        <v>3</v>
      </c>
      <c r="H151" s="150">
        <f t="shared" si="10"/>
        <v>214</v>
      </c>
      <c r="I151" s="150">
        <f t="shared" si="11"/>
        <v>212</v>
      </c>
      <c r="J151" s="150">
        <v>193</v>
      </c>
      <c r="K151" s="150">
        <v>19</v>
      </c>
      <c r="L151" s="151">
        <v>2</v>
      </c>
      <c r="M151" s="151">
        <v>197814</v>
      </c>
    </row>
    <row r="152" spans="1:13">
      <c r="A152" s="157" t="s">
        <v>1120</v>
      </c>
      <c r="B152" s="158" t="s">
        <v>1121</v>
      </c>
      <c r="C152" s="159">
        <f t="shared" si="8"/>
        <v>33</v>
      </c>
      <c r="D152" s="160">
        <v>0</v>
      </c>
      <c r="E152" s="160">
        <v>0</v>
      </c>
      <c r="F152" s="160">
        <f t="shared" si="9"/>
        <v>33</v>
      </c>
      <c r="G152" s="160">
        <v>1</v>
      </c>
      <c r="H152" s="160">
        <f t="shared" si="10"/>
        <v>32</v>
      </c>
      <c r="I152" s="160">
        <f t="shared" si="11"/>
        <v>32</v>
      </c>
      <c r="J152" s="160">
        <v>31</v>
      </c>
      <c r="K152" s="160">
        <v>1</v>
      </c>
      <c r="L152" s="161">
        <v>0</v>
      </c>
      <c r="M152" s="161">
        <v>5301</v>
      </c>
    </row>
    <row r="153" spans="1:13">
      <c r="A153" s="157" t="s">
        <v>1122</v>
      </c>
      <c r="B153" s="158" t="s">
        <v>1123</v>
      </c>
      <c r="C153" s="159">
        <f t="shared" si="8"/>
        <v>2056</v>
      </c>
      <c r="D153" s="160">
        <v>0</v>
      </c>
      <c r="E153" s="160">
        <v>0</v>
      </c>
      <c r="F153" s="160">
        <f t="shared" si="9"/>
        <v>2056</v>
      </c>
      <c r="G153" s="160">
        <v>20</v>
      </c>
      <c r="H153" s="160">
        <f t="shared" si="10"/>
        <v>2036</v>
      </c>
      <c r="I153" s="160">
        <f t="shared" si="11"/>
        <v>2015</v>
      </c>
      <c r="J153" s="160">
        <v>1883</v>
      </c>
      <c r="K153" s="160">
        <v>132</v>
      </c>
      <c r="L153" s="161">
        <v>21</v>
      </c>
      <c r="M153" s="161">
        <v>489569</v>
      </c>
    </row>
    <row r="154" spans="1:13">
      <c r="A154" s="152" t="s">
        <v>1124</v>
      </c>
      <c r="B154" s="153" t="s">
        <v>1125</v>
      </c>
      <c r="C154" s="154">
        <f t="shared" si="8"/>
        <v>1420</v>
      </c>
      <c r="D154" s="160">
        <v>0</v>
      </c>
      <c r="E154" s="160">
        <v>0</v>
      </c>
      <c r="F154" s="155">
        <f t="shared" si="9"/>
        <v>1420</v>
      </c>
      <c r="G154" s="160">
        <v>14</v>
      </c>
      <c r="H154" s="155">
        <f t="shared" si="10"/>
        <v>1406</v>
      </c>
      <c r="I154" s="155">
        <f t="shared" si="11"/>
        <v>1392</v>
      </c>
      <c r="J154" s="160">
        <v>1301</v>
      </c>
      <c r="K154" s="160">
        <v>91</v>
      </c>
      <c r="L154" s="161">
        <v>14</v>
      </c>
      <c r="M154" s="161">
        <v>194783</v>
      </c>
    </row>
    <row r="155" spans="1:13">
      <c r="A155" s="162" t="s">
        <v>1126</v>
      </c>
      <c r="B155" s="163" t="s">
        <v>1127</v>
      </c>
      <c r="C155" s="164">
        <f t="shared" si="8"/>
        <v>4793</v>
      </c>
      <c r="D155" s="150">
        <v>0</v>
      </c>
      <c r="E155" s="150">
        <v>0</v>
      </c>
      <c r="F155" s="165">
        <f t="shared" si="9"/>
        <v>4793</v>
      </c>
      <c r="G155" s="150">
        <v>20</v>
      </c>
      <c r="H155" s="165">
        <f t="shared" si="10"/>
        <v>4773</v>
      </c>
      <c r="I155" s="165">
        <f t="shared" si="11"/>
        <v>4769</v>
      </c>
      <c r="J155" s="150">
        <v>4528</v>
      </c>
      <c r="K155" s="150">
        <v>241</v>
      </c>
      <c r="L155" s="151">
        <v>4</v>
      </c>
      <c r="M155" s="151">
        <v>799228</v>
      </c>
    </row>
    <row r="156" spans="1:13">
      <c r="A156" s="162" t="s">
        <v>1128</v>
      </c>
      <c r="B156" s="163" t="s">
        <v>1129</v>
      </c>
      <c r="C156" s="164">
        <f t="shared" si="8"/>
        <v>2326</v>
      </c>
      <c r="D156" s="150">
        <v>0</v>
      </c>
      <c r="E156" s="150">
        <v>0</v>
      </c>
      <c r="F156" s="165">
        <f t="shared" si="9"/>
        <v>2326</v>
      </c>
      <c r="G156" s="150">
        <v>28</v>
      </c>
      <c r="H156" s="165">
        <f t="shared" si="10"/>
        <v>2298</v>
      </c>
      <c r="I156" s="165">
        <f t="shared" si="11"/>
        <v>2294</v>
      </c>
      <c r="J156" s="150">
        <v>2169</v>
      </c>
      <c r="K156" s="150">
        <v>125</v>
      </c>
      <c r="L156" s="151">
        <v>4</v>
      </c>
      <c r="M156" s="166">
        <v>181201</v>
      </c>
    </row>
    <row r="157" spans="1:13">
      <c r="A157" s="157" t="s">
        <v>1130</v>
      </c>
      <c r="B157" s="158" t="s">
        <v>1131</v>
      </c>
      <c r="C157" s="159">
        <f t="shared" si="8"/>
        <v>3995</v>
      </c>
      <c r="D157" s="150">
        <v>1</v>
      </c>
      <c r="E157" s="150">
        <v>0</v>
      </c>
      <c r="F157" s="160">
        <f t="shared" si="9"/>
        <v>3994</v>
      </c>
      <c r="G157" s="150">
        <v>72</v>
      </c>
      <c r="H157" s="160">
        <f t="shared" si="10"/>
        <v>3922</v>
      </c>
      <c r="I157" s="160">
        <f t="shared" si="11"/>
        <v>3917</v>
      </c>
      <c r="J157" s="150">
        <v>3707</v>
      </c>
      <c r="K157" s="150">
        <v>210</v>
      </c>
      <c r="L157" s="151">
        <v>5</v>
      </c>
      <c r="M157" s="161">
        <v>433999</v>
      </c>
    </row>
    <row r="158" spans="1:13">
      <c r="A158" s="157" t="s">
        <v>1132</v>
      </c>
      <c r="B158" s="158" t="s">
        <v>1133</v>
      </c>
      <c r="C158" s="159">
        <f t="shared" si="8"/>
        <v>1528</v>
      </c>
      <c r="D158" s="155">
        <v>0</v>
      </c>
      <c r="E158" s="155">
        <v>0</v>
      </c>
      <c r="F158" s="155">
        <f t="shared" si="9"/>
        <v>1528</v>
      </c>
      <c r="G158" s="155">
        <v>11</v>
      </c>
      <c r="H158" s="155">
        <f t="shared" si="10"/>
        <v>1517</v>
      </c>
      <c r="I158" s="155">
        <f t="shared" si="11"/>
        <v>1514</v>
      </c>
      <c r="J158" s="155">
        <v>1429</v>
      </c>
      <c r="K158" s="155">
        <v>85</v>
      </c>
      <c r="L158" s="156">
        <v>3</v>
      </c>
      <c r="M158" s="156">
        <v>203755</v>
      </c>
    </row>
    <row r="159" spans="1:13">
      <c r="A159" s="147" t="s">
        <v>1134</v>
      </c>
      <c r="B159" s="148" t="s">
        <v>1135</v>
      </c>
      <c r="C159" s="149">
        <f t="shared" si="8"/>
        <v>1999</v>
      </c>
      <c r="D159" s="150">
        <v>0</v>
      </c>
      <c r="E159" s="150">
        <v>0</v>
      </c>
      <c r="F159" s="150">
        <f t="shared" si="9"/>
        <v>1999</v>
      </c>
      <c r="G159" s="150">
        <v>42</v>
      </c>
      <c r="H159" s="150">
        <f t="shared" si="10"/>
        <v>1957</v>
      </c>
      <c r="I159" s="150">
        <f t="shared" si="11"/>
        <v>1957</v>
      </c>
      <c r="J159" s="150">
        <v>1765</v>
      </c>
      <c r="K159" s="150">
        <v>192</v>
      </c>
      <c r="L159" s="151">
        <v>0</v>
      </c>
      <c r="M159" s="161">
        <v>75397</v>
      </c>
    </row>
    <row r="160" spans="1:13">
      <c r="A160" s="157" t="s">
        <v>1136</v>
      </c>
      <c r="B160" s="158" t="s">
        <v>1137</v>
      </c>
      <c r="C160" s="159">
        <f t="shared" si="8"/>
        <v>706</v>
      </c>
      <c r="D160" s="160">
        <v>2</v>
      </c>
      <c r="E160" s="160">
        <v>1</v>
      </c>
      <c r="F160" s="160">
        <f t="shared" si="9"/>
        <v>703</v>
      </c>
      <c r="G160" s="160">
        <v>14</v>
      </c>
      <c r="H160" s="160">
        <f t="shared" si="10"/>
        <v>689</v>
      </c>
      <c r="I160" s="160">
        <f t="shared" si="11"/>
        <v>686</v>
      </c>
      <c r="J160" s="160">
        <v>661</v>
      </c>
      <c r="K160" s="160">
        <v>25</v>
      </c>
      <c r="L160" s="161">
        <v>3</v>
      </c>
      <c r="M160" s="161">
        <v>19557</v>
      </c>
    </row>
    <row r="161" spans="1:13">
      <c r="A161" s="152" t="s">
        <v>1138</v>
      </c>
      <c r="B161" s="153" t="s">
        <v>1139</v>
      </c>
      <c r="C161" s="154">
        <f t="shared" si="8"/>
        <v>2635</v>
      </c>
      <c r="D161" s="160">
        <v>118</v>
      </c>
      <c r="E161" s="160">
        <v>26</v>
      </c>
      <c r="F161" s="155">
        <f t="shared" si="9"/>
        <v>2491</v>
      </c>
      <c r="G161" s="160">
        <v>164</v>
      </c>
      <c r="H161" s="155">
        <f t="shared" si="10"/>
        <v>2327</v>
      </c>
      <c r="I161" s="155">
        <f t="shared" si="11"/>
        <v>2312</v>
      </c>
      <c r="J161" s="160">
        <v>2049</v>
      </c>
      <c r="K161" s="160">
        <v>263</v>
      </c>
      <c r="L161" s="161">
        <v>15</v>
      </c>
      <c r="M161" s="156">
        <v>66206</v>
      </c>
    </row>
    <row r="162" spans="1:13">
      <c r="A162" s="157" t="s">
        <v>1140</v>
      </c>
      <c r="B162" s="158" t="s">
        <v>1141</v>
      </c>
      <c r="C162" s="159">
        <f t="shared" si="8"/>
        <v>2405</v>
      </c>
      <c r="D162" s="150">
        <v>111</v>
      </c>
      <c r="E162" s="150">
        <v>43</v>
      </c>
      <c r="F162" s="160">
        <f t="shared" si="9"/>
        <v>2251</v>
      </c>
      <c r="G162" s="150">
        <v>181</v>
      </c>
      <c r="H162" s="160">
        <f t="shared" si="10"/>
        <v>2070</v>
      </c>
      <c r="I162" s="160">
        <f t="shared" si="11"/>
        <v>2054</v>
      </c>
      <c r="J162" s="150">
        <v>1903</v>
      </c>
      <c r="K162" s="150">
        <v>151</v>
      </c>
      <c r="L162" s="151">
        <v>16</v>
      </c>
      <c r="M162" s="161">
        <v>124378</v>
      </c>
    </row>
    <row r="163" spans="1:13">
      <c r="A163" s="157" t="s">
        <v>1142</v>
      </c>
      <c r="B163" s="158" t="s">
        <v>1143</v>
      </c>
      <c r="C163" s="159">
        <f t="shared" si="8"/>
        <v>3816</v>
      </c>
      <c r="D163" s="155">
        <v>884</v>
      </c>
      <c r="E163" s="155">
        <v>197</v>
      </c>
      <c r="F163" s="155">
        <f t="shared" si="9"/>
        <v>2735</v>
      </c>
      <c r="G163" s="155">
        <v>323</v>
      </c>
      <c r="H163" s="155">
        <f t="shared" si="10"/>
        <v>2412</v>
      </c>
      <c r="I163" s="155">
        <f t="shared" si="11"/>
        <v>2372</v>
      </c>
      <c r="J163" s="155">
        <v>2102</v>
      </c>
      <c r="K163" s="155">
        <v>270</v>
      </c>
      <c r="L163" s="156">
        <v>40</v>
      </c>
      <c r="M163" s="156">
        <v>58902</v>
      </c>
    </row>
    <row r="164" spans="1:13">
      <c r="A164" s="147" t="s">
        <v>1144</v>
      </c>
      <c r="B164" s="148" t="s">
        <v>1145</v>
      </c>
      <c r="C164" s="149">
        <f t="shared" si="8"/>
        <v>0</v>
      </c>
      <c r="D164" s="150">
        <v>0</v>
      </c>
      <c r="E164" s="150">
        <v>0</v>
      </c>
      <c r="F164" s="150">
        <f t="shared" si="9"/>
        <v>0</v>
      </c>
      <c r="G164" s="150">
        <v>0</v>
      </c>
      <c r="H164" s="150">
        <f t="shared" si="10"/>
        <v>0</v>
      </c>
      <c r="I164" s="150">
        <f t="shared" si="11"/>
        <v>0</v>
      </c>
      <c r="J164" s="150">
        <v>0</v>
      </c>
      <c r="K164" s="150">
        <v>0</v>
      </c>
      <c r="L164" s="151">
        <v>0</v>
      </c>
      <c r="M164" s="161">
        <v>0</v>
      </c>
    </row>
    <row r="165" spans="1:13">
      <c r="A165" s="157" t="s">
        <v>1146</v>
      </c>
      <c r="B165" s="158" t="s">
        <v>1147</v>
      </c>
      <c r="C165" s="159">
        <f t="shared" si="8"/>
        <v>277</v>
      </c>
      <c r="D165" s="160">
        <v>5</v>
      </c>
      <c r="E165" s="160">
        <v>0</v>
      </c>
      <c r="F165" s="160">
        <f t="shared" si="9"/>
        <v>272</v>
      </c>
      <c r="G165" s="160">
        <v>9</v>
      </c>
      <c r="H165" s="160">
        <f t="shared" si="10"/>
        <v>263</v>
      </c>
      <c r="I165" s="160">
        <f t="shared" si="11"/>
        <v>262</v>
      </c>
      <c r="J165" s="160">
        <v>210</v>
      </c>
      <c r="K165" s="160">
        <v>52</v>
      </c>
      <c r="L165" s="161">
        <v>1</v>
      </c>
      <c r="M165" s="161">
        <v>17463</v>
      </c>
    </row>
    <row r="166" spans="1:13">
      <c r="A166" s="157" t="s">
        <v>1148</v>
      </c>
      <c r="B166" s="158" t="s">
        <v>1149</v>
      </c>
      <c r="C166" s="159">
        <f t="shared" si="8"/>
        <v>315</v>
      </c>
      <c r="D166" s="160">
        <v>10</v>
      </c>
      <c r="E166" s="160">
        <v>2</v>
      </c>
      <c r="F166" s="160">
        <f t="shared" si="9"/>
        <v>303</v>
      </c>
      <c r="G166" s="160">
        <v>17</v>
      </c>
      <c r="H166" s="160">
        <f t="shared" si="10"/>
        <v>286</v>
      </c>
      <c r="I166" s="160">
        <f t="shared" si="11"/>
        <v>283</v>
      </c>
      <c r="J166" s="160">
        <v>243</v>
      </c>
      <c r="K166" s="160">
        <v>40</v>
      </c>
      <c r="L166" s="161">
        <v>3</v>
      </c>
      <c r="M166" s="161">
        <v>27847</v>
      </c>
    </row>
    <row r="167" spans="1:13">
      <c r="A167" s="152" t="s">
        <v>1150</v>
      </c>
      <c r="B167" s="153" t="s">
        <v>1151</v>
      </c>
      <c r="C167" s="154">
        <f t="shared" si="8"/>
        <v>601</v>
      </c>
      <c r="D167" s="160">
        <v>24</v>
      </c>
      <c r="E167" s="160">
        <v>7</v>
      </c>
      <c r="F167" s="155">
        <f t="shared" si="9"/>
        <v>570</v>
      </c>
      <c r="G167" s="160">
        <v>19</v>
      </c>
      <c r="H167" s="155">
        <f t="shared" si="10"/>
        <v>551</v>
      </c>
      <c r="I167" s="155">
        <f t="shared" si="11"/>
        <v>549</v>
      </c>
      <c r="J167" s="160">
        <v>500</v>
      </c>
      <c r="K167" s="160">
        <v>49</v>
      </c>
      <c r="L167" s="161">
        <v>2</v>
      </c>
      <c r="M167" s="156">
        <v>77649</v>
      </c>
    </row>
    <row r="168" spans="1:13">
      <c r="A168" s="157" t="s">
        <v>1152</v>
      </c>
      <c r="B168" s="158" t="s">
        <v>1153</v>
      </c>
      <c r="C168" s="159">
        <f t="shared" si="8"/>
        <v>222</v>
      </c>
      <c r="D168" s="150">
        <v>2</v>
      </c>
      <c r="E168" s="150">
        <v>1</v>
      </c>
      <c r="F168" s="160">
        <f t="shared" si="9"/>
        <v>219</v>
      </c>
      <c r="G168" s="150">
        <v>6</v>
      </c>
      <c r="H168" s="160">
        <f t="shared" si="10"/>
        <v>213</v>
      </c>
      <c r="I168" s="160">
        <f t="shared" si="11"/>
        <v>212</v>
      </c>
      <c r="J168" s="150">
        <v>176</v>
      </c>
      <c r="K168" s="150">
        <v>36</v>
      </c>
      <c r="L168" s="151">
        <v>1</v>
      </c>
      <c r="M168" s="161">
        <v>12623</v>
      </c>
    </row>
    <row r="169" spans="1:13">
      <c r="A169" s="157" t="s">
        <v>1154</v>
      </c>
      <c r="B169" s="158" t="s">
        <v>1155</v>
      </c>
      <c r="C169" s="159">
        <f t="shared" si="8"/>
        <v>1</v>
      </c>
      <c r="D169" s="155">
        <v>0</v>
      </c>
      <c r="E169" s="155">
        <v>0</v>
      </c>
      <c r="F169" s="155">
        <f t="shared" si="9"/>
        <v>1</v>
      </c>
      <c r="G169" s="155">
        <v>0</v>
      </c>
      <c r="H169" s="155">
        <f t="shared" si="10"/>
        <v>1</v>
      </c>
      <c r="I169" s="155">
        <f t="shared" si="11"/>
        <v>1</v>
      </c>
      <c r="J169" s="155">
        <v>1</v>
      </c>
      <c r="K169" s="155">
        <v>0</v>
      </c>
      <c r="L169" s="156">
        <v>0</v>
      </c>
      <c r="M169" s="156">
        <v>43</v>
      </c>
    </row>
    <row r="170" spans="1:13">
      <c r="A170" s="147" t="s">
        <v>1156</v>
      </c>
      <c r="B170" s="148" t="s">
        <v>1157</v>
      </c>
      <c r="C170" s="149">
        <f t="shared" si="8"/>
        <v>224</v>
      </c>
      <c r="D170" s="150">
        <v>12</v>
      </c>
      <c r="E170" s="150">
        <v>6</v>
      </c>
      <c r="F170" s="150">
        <f t="shared" si="9"/>
        <v>206</v>
      </c>
      <c r="G170" s="150">
        <v>7</v>
      </c>
      <c r="H170" s="150">
        <f t="shared" si="10"/>
        <v>199</v>
      </c>
      <c r="I170" s="150">
        <f t="shared" si="11"/>
        <v>197</v>
      </c>
      <c r="J170" s="150">
        <v>175</v>
      </c>
      <c r="K170" s="150">
        <v>22</v>
      </c>
      <c r="L170" s="151">
        <v>2</v>
      </c>
      <c r="M170" s="161">
        <v>15937</v>
      </c>
    </row>
    <row r="171" spans="1:13">
      <c r="A171" s="157" t="s">
        <v>1158</v>
      </c>
      <c r="B171" s="158" t="s">
        <v>1159</v>
      </c>
      <c r="C171" s="159">
        <f t="shared" si="8"/>
        <v>8</v>
      </c>
      <c r="D171" s="160">
        <v>0</v>
      </c>
      <c r="E171" s="160">
        <v>0</v>
      </c>
      <c r="F171" s="160">
        <f t="shared" si="9"/>
        <v>8</v>
      </c>
      <c r="G171" s="160">
        <v>0</v>
      </c>
      <c r="H171" s="160">
        <f t="shared" si="10"/>
        <v>8</v>
      </c>
      <c r="I171" s="160">
        <f t="shared" si="11"/>
        <v>8</v>
      </c>
      <c r="J171" s="160">
        <v>7</v>
      </c>
      <c r="K171" s="160">
        <v>1</v>
      </c>
      <c r="L171" s="161">
        <v>0</v>
      </c>
      <c r="M171" s="161">
        <v>445</v>
      </c>
    </row>
    <row r="172" spans="1:13">
      <c r="A172" s="157" t="s">
        <v>1160</v>
      </c>
      <c r="B172" s="158" t="s">
        <v>1161</v>
      </c>
      <c r="C172" s="159">
        <f t="shared" si="8"/>
        <v>2018</v>
      </c>
      <c r="D172" s="160">
        <v>140</v>
      </c>
      <c r="E172" s="160">
        <v>35</v>
      </c>
      <c r="F172" s="160">
        <f t="shared" si="9"/>
        <v>1843</v>
      </c>
      <c r="G172" s="160">
        <v>127</v>
      </c>
      <c r="H172" s="160">
        <f t="shared" si="10"/>
        <v>1716</v>
      </c>
      <c r="I172" s="160">
        <f t="shared" si="11"/>
        <v>1696</v>
      </c>
      <c r="J172" s="160">
        <v>1405</v>
      </c>
      <c r="K172" s="160">
        <v>291</v>
      </c>
      <c r="L172" s="161">
        <v>20</v>
      </c>
      <c r="M172" s="161">
        <v>43566</v>
      </c>
    </row>
    <row r="173" spans="1:13">
      <c r="A173" s="157" t="s">
        <v>1162</v>
      </c>
      <c r="B173" s="158" t="s">
        <v>1163</v>
      </c>
      <c r="C173" s="159">
        <f t="shared" si="8"/>
        <v>0</v>
      </c>
      <c r="D173" s="160">
        <v>0</v>
      </c>
      <c r="E173" s="160">
        <v>0</v>
      </c>
      <c r="F173" s="160">
        <f t="shared" si="9"/>
        <v>0</v>
      </c>
      <c r="G173" s="160">
        <v>0</v>
      </c>
      <c r="H173" s="160">
        <f t="shared" si="10"/>
        <v>0</v>
      </c>
      <c r="I173" s="160">
        <f t="shared" si="11"/>
        <v>0</v>
      </c>
      <c r="J173" s="160">
        <v>0</v>
      </c>
      <c r="K173" s="160">
        <v>0</v>
      </c>
      <c r="L173" s="161">
        <v>0</v>
      </c>
      <c r="M173" s="161">
        <v>0</v>
      </c>
    </row>
    <row r="174" spans="1:13">
      <c r="A174" s="152" t="s">
        <v>1164</v>
      </c>
      <c r="B174" s="153" t="s">
        <v>1165</v>
      </c>
      <c r="C174" s="154">
        <f t="shared" si="8"/>
        <v>1890</v>
      </c>
      <c r="D174" s="160">
        <v>145</v>
      </c>
      <c r="E174" s="160">
        <v>19</v>
      </c>
      <c r="F174" s="155">
        <f t="shared" si="9"/>
        <v>1726</v>
      </c>
      <c r="G174" s="160">
        <v>75</v>
      </c>
      <c r="H174" s="155">
        <f t="shared" si="10"/>
        <v>1651</v>
      </c>
      <c r="I174" s="155">
        <f t="shared" si="11"/>
        <v>1619</v>
      </c>
      <c r="J174" s="160">
        <v>1356</v>
      </c>
      <c r="K174" s="160">
        <v>263</v>
      </c>
      <c r="L174" s="161">
        <v>32</v>
      </c>
      <c r="M174" s="156">
        <v>81030</v>
      </c>
    </row>
    <row r="175" spans="1:13">
      <c r="A175" s="157" t="s">
        <v>1166</v>
      </c>
      <c r="B175" s="158" t="s">
        <v>1167</v>
      </c>
      <c r="C175" s="159">
        <f t="shared" si="8"/>
        <v>5319</v>
      </c>
      <c r="D175" s="150">
        <v>478</v>
      </c>
      <c r="E175" s="150">
        <v>117</v>
      </c>
      <c r="F175" s="160">
        <f t="shared" si="9"/>
        <v>4724</v>
      </c>
      <c r="G175" s="150">
        <v>593</v>
      </c>
      <c r="H175" s="160">
        <f t="shared" si="10"/>
        <v>4131</v>
      </c>
      <c r="I175" s="160">
        <f t="shared" si="11"/>
        <v>4028</v>
      </c>
      <c r="J175" s="150">
        <v>3611</v>
      </c>
      <c r="K175" s="150">
        <v>417</v>
      </c>
      <c r="L175" s="151">
        <v>103</v>
      </c>
      <c r="M175" s="166">
        <v>86413</v>
      </c>
    </row>
    <row r="176" spans="1:13">
      <c r="A176" s="162" t="s">
        <v>1168</v>
      </c>
      <c r="B176" s="163" t="s">
        <v>1169</v>
      </c>
      <c r="C176" s="164">
        <f t="shared" si="8"/>
        <v>2263</v>
      </c>
      <c r="D176" s="150">
        <v>140</v>
      </c>
      <c r="E176" s="150">
        <v>39</v>
      </c>
      <c r="F176" s="165">
        <f t="shared" si="9"/>
        <v>2084</v>
      </c>
      <c r="G176" s="150">
        <v>174</v>
      </c>
      <c r="H176" s="165">
        <f t="shared" si="10"/>
        <v>1910</v>
      </c>
      <c r="I176" s="165">
        <f t="shared" si="11"/>
        <v>1889</v>
      </c>
      <c r="J176" s="150">
        <v>1601</v>
      </c>
      <c r="K176" s="150">
        <v>288</v>
      </c>
      <c r="L176" s="151">
        <v>21</v>
      </c>
      <c r="M176" s="166">
        <v>40207</v>
      </c>
    </row>
    <row r="177" spans="1:13">
      <c r="A177" s="157" t="s">
        <v>1170</v>
      </c>
      <c r="B177" s="158" t="s">
        <v>1171</v>
      </c>
      <c r="C177" s="159">
        <f t="shared" si="8"/>
        <v>4294</v>
      </c>
      <c r="D177" s="150">
        <v>149</v>
      </c>
      <c r="E177" s="150">
        <v>62</v>
      </c>
      <c r="F177" s="160">
        <f t="shared" si="9"/>
        <v>4083</v>
      </c>
      <c r="G177" s="150">
        <v>167</v>
      </c>
      <c r="H177" s="160">
        <f t="shared" si="10"/>
        <v>3916</v>
      </c>
      <c r="I177" s="160">
        <f t="shared" si="11"/>
        <v>3891</v>
      </c>
      <c r="J177" s="150">
        <v>3126</v>
      </c>
      <c r="K177" s="150">
        <v>765</v>
      </c>
      <c r="L177" s="151">
        <v>25</v>
      </c>
      <c r="M177" s="166">
        <v>115225</v>
      </c>
    </row>
    <row r="178" spans="1:13">
      <c r="A178" s="147" t="s">
        <v>1172</v>
      </c>
      <c r="B178" s="148" t="s">
        <v>1173</v>
      </c>
      <c r="C178" s="149">
        <f t="shared" si="8"/>
        <v>3195</v>
      </c>
      <c r="D178" s="150">
        <v>252</v>
      </c>
      <c r="E178" s="150">
        <v>63</v>
      </c>
      <c r="F178" s="150">
        <f t="shared" si="9"/>
        <v>2880</v>
      </c>
      <c r="G178" s="150">
        <v>237</v>
      </c>
      <c r="H178" s="150">
        <f t="shared" si="10"/>
        <v>2643</v>
      </c>
      <c r="I178" s="150">
        <f t="shared" si="11"/>
        <v>2601</v>
      </c>
      <c r="J178" s="150">
        <v>2125</v>
      </c>
      <c r="K178" s="150">
        <v>476</v>
      </c>
      <c r="L178" s="151">
        <v>42</v>
      </c>
      <c r="M178" s="161">
        <v>47593</v>
      </c>
    </row>
    <row r="179" spans="1:13">
      <c r="A179" s="157" t="s">
        <v>1174</v>
      </c>
      <c r="B179" s="158" t="s">
        <v>1175</v>
      </c>
      <c r="C179" s="159">
        <f t="shared" si="8"/>
        <v>6972</v>
      </c>
      <c r="D179" s="160">
        <v>912</v>
      </c>
      <c r="E179" s="160">
        <v>202</v>
      </c>
      <c r="F179" s="160">
        <f t="shared" si="9"/>
        <v>5858</v>
      </c>
      <c r="G179" s="160">
        <v>854</v>
      </c>
      <c r="H179" s="160">
        <f t="shared" si="10"/>
        <v>5004</v>
      </c>
      <c r="I179" s="160">
        <f t="shared" si="11"/>
        <v>4892</v>
      </c>
      <c r="J179" s="160">
        <v>4213</v>
      </c>
      <c r="K179" s="160">
        <v>679</v>
      </c>
      <c r="L179" s="161">
        <v>112</v>
      </c>
      <c r="M179" s="161">
        <v>65392</v>
      </c>
    </row>
    <row r="180" spans="1:13">
      <c r="A180" s="157" t="s">
        <v>1176</v>
      </c>
      <c r="B180" s="158" t="s">
        <v>1177</v>
      </c>
      <c r="C180" s="159">
        <f t="shared" si="8"/>
        <v>8408</v>
      </c>
      <c r="D180" s="160">
        <v>1188</v>
      </c>
      <c r="E180" s="160">
        <v>275</v>
      </c>
      <c r="F180" s="160">
        <f t="shared" si="9"/>
        <v>6945</v>
      </c>
      <c r="G180" s="160">
        <v>633</v>
      </c>
      <c r="H180" s="160">
        <f t="shared" si="10"/>
        <v>6312</v>
      </c>
      <c r="I180" s="160">
        <f t="shared" si="11"/>
        <v>6254</v>
      </c>
      <c r="J180" s="160">
        <v>4973</v>
      </c>
      <c r="K180" s="160">
        <v>1281</v>
      </c>
      <c r="L180" s="161">
        <v>58</v>
      </c>
      <c r="M180" s="161">
        <v>105074</v>
      </c>
    </row>
    <row r="181" spans="1:13">
      <c r="A181" s="152" t="s">
        <v>1178</v>
      </c>
      <c r="B181" s="153" t="s">
        <v>1179</v>
      </c>
      <c r="C181" s="154">
        <f t="shared" si="8"/>
        <v>18165</v>
      </c>
      <c r="D181" s="160">
        <v>1954</v>
      </c>
      <c r="E181" s="160">
        <v>522</v>
      </c>
      <c r="F181" s="155">
        <f t="shared" si="9"/>
        <v>15689</v>
      </c>
      <c r="G181" s="160">
        <v>1663</v>
      </c>
      <c r="H181" s="155">
        <f t="shared" si="10"/>
        <v>14026</v>
      </c>
      <c r="I181" s="155">
        <f t="shared" si="11"/>
        <v>13847</v>
      </c>
      <c r="J181" s="160">
        <v>11316</v>
      </c>
      <c r="K181" s="160">
        <v>2531</v>
      </c>
      <c r="L181" s="161">
        <v>179</v>
      </c>
      <c r="M181" s="156">
        <v>178529</v>
      </c>
    </row>
    <row r="182" spans="1:13">
      <c r="A182" s="157" t="s">
        <v>1180</v>
      </c>
      <c r="B182" s="158" t="s">
        <v>1181</v>
      </c>
      <c r="C182" s="159">
        <f t="shared" si="8"/>
        <v>985</v>
      </c>
      <c r="D182" s="150">
        <v>22</v>
      </c>
      <c r="E182" s="150">
        <v>4</v>
      </c>
      <c r="F182" s="160">
        <f t="shared" si="9"/>
        <v>959</v>
      </c>
      <c r="G182" s="150">
        <v>25</v>
      </c>
      <c r="H182" s="160">
        <f t="shared" si="10"/>
        <v>934</v>
      </c>
      <c r="I182" s="160">
        <f t="shared" si="11"/>
        <v>932</v>
      </c>
      <c r="J182" s="150">
        <v>864</v>
      </c>
      <c r="K182" s="150">
        <v>68</v>
      </c>
      <c r="L182" s="151">
        <v>2</v>
      </c>
      <c r="M182" s="161">
        <v>26987</v>
      </c>
    </row>
    <row r="183" spans="1:13">
      <c r="A183" s="157" t="s">
        <v>1182</v>
      </c>
      <c r="B183" s="158" t="s">
        <v>1183</v>
      </c>
      <c r="C183" s="159">
        <f t="shared" si="8"/>
        <v>7489</v>
      </c>
      <c r="D183" s="160">
        <v>65</v>
      </c>
      <c r="E183" s="160">
        <v>21</v>
      </c>
      <c r="F183" s="160">
        <f t="shared" si="9"/>
        <v>7403</v>
      </c>
      <c r="G183" s="160">
        <v>152</v>
      </c>
      <c r="H183" s="160">
        <f t="shared" si="10"/>
        <v>7251</v>
      </c>
      <c r="I183" s="160">
        <f t="shared" si="11"/>
        <v>7226</v>
      </c>
      <c r="J183" s="160">
        <v>6698</v>
      </c>
      <c r="K183" s="160">
        <v>528</v>
      </c>
      <c r="L183" s="161">
        <v>25</v>
      </c>
      <c r="M183" s="161">
        <v>370832</v>
      </c>
    </row>
    <row r="184" spans="1:13">
      <c r="A184" s="157" t="s">
        <v>1184</v>
      </c>
      <c r="B184" s="158" t="s">
        <v>1185</v>
      </c>
      <c r="C184" s="159">
        <f t="shared" si="8"/>
        <v>5190</v>
      </c>
      <c r="D184" s="160">
        <v>59</v>
      </c>
      <c r="E184" s="160">
        <v>23</v>
      </c>
      <c r="F184" s="160">
        <f t="shared" si="9"/>
        <v>5108</v>
      </c>
      <c r="G184" s="160">
        <v>76</v>
      </c>
      <c r="H184" s="160">
        <f t="shared" si="10"/>
        <v>5032</v>
      </c>
      <c r="I184" s="160">
        <f t="shared" si="11"/>
        <v>4998</v>
      </c>
      <c r="J184" s="160">
        <v>4637</v>
      </c>
      <c r="K184" s="160">
        <v>361</v>
      </c>
      <c r="L184" s="161">
        <v>34</v>
      </c>
      <c r="M184" s="156">
        <v>269441</v>
      </c>
    </row>
    <row r="185" spans="1:13">
      <c r="A185" s="162" t="s">
        <v>1186</v>
      </c>
      <c r="B185" s="163" t="s">
        <v>1187</v>
      </c>
      <c r="C185" s="164">
        <f t="shared" si="8"/>
        <v>8757</v>
      </c>
      <c r="D185" s="150">
        <v>321</v>
      </c>
      <c r="E185" s="150">
        <v>122</v>
      </c>
      <c r="F185" s="165">
        <f t="shared" si="9"/>
        <v>8314</v>
      </c>
      <c r="G185" s="150">
        <v>424</v>
      </c>
      <c r="H185" s="165">
        <f t="shared" si="10"/>
        <v>7890</v>
      </c>
      <c r="I185" s="165">
        <f t="shared" si="11"/>
        <v>7802</v>
      </c>
      <c r="J185" s="150">
        <v>6451</v>
      </c>
      <c r="K185" s="150">
        <v>1351</v>
      </c>
      <c r="L185" s="151">
        <v>88</v>
      </c>
      <c r="M185" s="166">
        <v>210585</v>
      </c>
    </row>
    <row r="186" spans="1:13">
      <c r="A186" s="157" t="s">
        <v>1188</v>
      </c>
      <c r="B186" s="158" t="s">
        <v>1189</v>
      </c>
      <c r="C186" s="159">
        <f t="shared" si="8"/>
        <v>3406</v>
      </c>
      <c r="D186" s="150">
        <v>80</v>
      </c>
      <c r="E186" s="150">
        <v>17</v>
      </c>
      <c r="F186" s="160">
        <f t="shared" si="9"/>
        <v>3309</v>
      </c>
      <c r="G186" s="150">
        <v>251</v>
      </c>
      <c r="H186" s="160">
        <f t="shared" si="10"/>
        <v>3058</v>
      </c>
      <c r="I186" s="160">
        <f t="shared" si="11"/>
        <v>3003</v>
      </c>
      <c r="J186" s="150">
        <v>2609</v>
      </c>
      <c r="K186" s="150">
        <v>394</v>
      </c>
      <c r="L186" s="151">
        <v>55</v>
      </c>
      <c r="M186" s="166">
        <v>82912</v>
      </c>
    </row>
    <row r="187" spans="1:13">
      <c r="A187" s="162" t="s">
        <v>1190</v>
      </c>
      <c r="B187" s="163" t="s">
        <v>1191</v>
      </c>
      <c r="C187" s="164">
        <f t="shared" si="8"/>
        <v>157</v>
      </c>
      <c r="D187" s="150">
        <v>2</v>
      </c>
      <c r="E187" s="150">
        <v>1</v>
      </c>
      <c r="F187" s="165">
        <f t="shared" si="9"/>
        <v>154</v>
      </c>
      <c r="G187" s="150">
        <v>4</v>
      </c>
      <c r="H187" s="165">
        <f t="shared" si="10"/>
        <v>150</v>
      </c>
      <c r="I187" s="165">
        <f t="shared" si="11"/>
        <v>148</v>
      </c>
      <c r="J187" s="150">
        <v>125</v>
      </c>
      <c r="K187" s="150">
        <v>23</v>
      </c>
      <c r="L187" s="151">
        <v>2</v>
      </c>
      <c r="M187" s="166">
        <v>5854</v>
      </c>
    </row>
    <row r="188" spans="1:13">
      <c r="A188" s="157" t="s">
        <v>1192</v>
      </c>
      <c r="B188" s="158" t="s">
        <v>1193</v>
      </c>
      <c r="C188" s="159">
        <f t="shared" si="8"/>
        <v>30</v>
      </c>
      <c r="D188" s="150">
        <v>0</v>
      </c>
      <c r="E188" s="150">
        <v>0</v>
      </c>
      <c r="F188" s="160">
        <f t="shared" si="9"/>
        <v>30</v>
      </c>
      <c r="G188" s="150">
        <v>1</v>
      </c>
      <c r="H188" s="160">
        <f t="shared" si="10"/>
        <v>29</v>
      </c>
      <c r="I188" s="160">
        <f t="shared" si="11"/>
        <v>29</v>
      </c>
      <c r="J188" s="150">
        <v>25</v>
      </c>
      <c r="K188" s="150">
        <v>4</v>
      </c>
      <c r="L188" s="151">
        <v>0</v>
      </c>
      <c r="M188" s="161">
        <v>657</v>
      </c>
    </row>
    <row r="189" spans="1:13">
      <c r="A189" s="157" t="s">
        <v>1194</v>
      </c>
      <c r="B189" s="158" t="s">
        <v>1195</v>
      </c>
      <c r="C189" s="159">
        <f t="shared" si="8"/>
        <v>6721</v>
      </c>
      <c r="D189" s="155">
        <v>439</v>
      </c>
      <c r="E189" s="155">
        <v>82</v>
      </c>
      <c r="F189" s="155">
        <f t="shared" si="9"/>
        <v>6200</v>
      </c>
      <c r="G189" s="155">
        <v>500</v>
      </c>
      <c r="H189" s="155">
        <f t="shared" si="10"/>
        <v>5700</v>
      </c>
      <c r="I189" s="155">
        <f t="shared" si="11"/>
        <v>5626</v>
      </c>
      <c r="J189" s="155">
        <v>4795</v>
      </c>
      <c r="K189" s="155">
        <v>831</v>
      </c>
      <c r="L189" s="156">
        <v>74</v>
      </c>
      <c r="M189" s="156">
        <v>111180</v>
      </c>
    </row>
    <row r="190" spans="1:13">
      <c r="A190" s="162" t="s">
        <v>1196</v>
      </c>
      <c r="B190" s="163" t="s">
        <v>1197</v>
      </c>
      <c r="C190" s="164">
        <f t="shared" si="8"/>
        <v>739</v>
      </c>
      <c r="D190" s="150">
        <v>33</v>
      </c>
      <c r="E190" s="150">
        <v>9</v>
      </c>
      <c r="F190" s="165">
        <f t="shared" si="9"/>
        <v>697</v>
      </c>
      <c r="G190" s="150">
        <v>44</v>
      </c>
      <c r="H190" s="165">
        <f t="shared" si="10"/>
        <v>653</v>
      </c>
      <c r="I190" s="165">
        <f t="shared" si="11"/>
        <v>646</v>
      </c>
      <c r="J190" s="150">
        <v>548</v>
      </c>
      <c r="K190" s="150">
        <v>98</v>
      </c>
      <c r="L190" s="151">
        <v>7</v>
      </c>
      <c r="M190" s="166">
        <v>15697</v>
      </c>
    </row>
    <row r="191" spans="1:13">
      <c r="A191" s="157" t="s">
        <v>1198</v>
      </c>
      <c r="B191" s="158" t="s">
        <v>1199</v>
      </c>
      <c r="C191" s="159">
        <f t="shared" si="8"/>
        <v>8250</v>
      </c>
      <c r="D191" s="150">
        <v>253</v>
      </c>
      <c r="E191" s="150">
        <v>51</v>
      </c>
      <c r="F191" s="160">
        <f t="shared" si="9"/>
        <v>7946</v>
      </c>
      <c r="G191" s="150">
        <v>403</v>
      </c>
      <c r="H191" s="160">
        <f t="shared" si="10"/>
        <v>7543</v>
      </c>
      <c r="I191" s="160">
        <f t="shared" si="11"/>
        <v>7439</v>
      </c>
      <c r="J191" s="150">
        <v>6613</v>
      </c>
      <c r="K191" s="150">
        <v>826</v>
      </c>
      <c r="L191" s="151">
        <v>104</v>
      </c>
      <c r="M191" s="166">
        <v>344440</v>
      </c>
    </row>
    <row r="192" spans="1:13">
      <c r="A192" s="162" t="s">
        <v>1200</v>
      </c>
      <c r="B192" s="163" t="s">
        <v>1201</v>
      </c>
      <c r="C192" s="164">
        <f t="shared" si="8"/>
        <v>961</v>
      </c>
      <c r="D192" s="150">
        <v>66</v>
      </c>
      <c r="E192" s="150">
        <v>25</v>
      </c>
      <c r="F192" s="165">
        <f t="shared" si="9"/>
        <v>870</v>
      </c>
      <c r="G192" s="150">
        <v>73</v>
      </c>
      <c r="H192" s="165">
        <f t="shared" si="10"/>
        <v>797</v>
      </c>
      <c r="I192" s="165">
        <f t="shared" si="11"/>
        <v>786</v>
      </c>
      <c r="J192" s="150">
        <v>652</v>
      </c>
      <c r="K192" s="150">
        <v>134</v>
      </c>
      <c r="L192" s="151">
        <v>11</v>
      </c>
      <c r="M192" s="166">
        <v>17698</v>
      </c>
    </row>
    <row r="193" spans="1:13">
      <c r="A193" s="157" t="s">
        <v>1202</v>
      </c>
      <c r="B193" s="158" t="s">
        <v>1203</v>
      </c>
      <c r="C193" s="159">
        <f t="shared" si="8"/>
        <v>2246</v>
      </c>
      <c r="D193" s="150">
        <v>157</v>
      </c>
      <c r="E193" s="150">
        <v>35</v>
      </c>
      <c r="F193" s="160">
        <f t="shared" si="9"/>
        <v>2054</v>
      </c>
      <c r="G193" s="150">
        <v>217</v>
      </c>
      <c r="H193" s="160">
        <f t="shared" si="10"/>
        <v>1837</v>
      </c>
      <c r="I193" s="160">
        <f t="shared" si="11"/>
        <v>1817</v>
      </c>
      <c r="J193" s="150">
        <v>1610</v>
      </c>
      <c r="K193" s="150">
        <v>207</v>
      </c>
      <c r="L193" s="151">
        <v>20</v>
      </c>
      <c r="M193" s="166">
        <v>34291</v>
      </c>
    </row>
    <row r="194" spans="1:13">
      <c r="A194" s="147" t="s">
        <v>1204</v>
      </c>
      <c r="B194" s="148" t="s">
        <v>1205</v>
      </c>
      <c r="C194" s="149">
        <f t="shared" si="8"/>
        <v>3682</v>
      </c>
      <c r="D194" s="150">
        <v>62</v>
      </c>
      <c r="E194" s="150">
        <v>12</v>
      </c>
      <c r="F194" s="150">
        <f t="shared" si="9"/>
        <v>3608</v>
      </c>
      <c r="G194" s="150">
        <v>275</v>
      </c>
      <c r="H194" s="150">
        <f t="shared" si="10"/>
        <v>3333</v>
      </c>
      <c r="I194" s="150">
        <f t="shared" si="11"/>
        <v>3293</v>
      </c>
      <c r="J194" s="150">
        <v>2957</v>
      </c>
      <c r="K194" s="150">
        <v>336</v>
      </c>
      <c r="L194" s="151">
        <v>40</v>
      </c>
      <c r="M194" s="161">
        <v>75293</v>
      </c>
    </row>
    <row r="195" spans="1:13">
      <c r="A195" s="152" t="s">
        <v>1206</v>
      </c>
      <c r="B195" s="153" t="s">
        <v>1207</v>
      </c>
      <c r="C195" s="154">
        <f t="shared" si="8"/>
        <v>2008</v>
      </c>
      <c r="D195" s="155">
        <v>89</v>
      </c>
      <c r="E195" s="155">
        <v>30</v>
      </c>
      <c r="F195" s="155">
        <f t="shared" si="9"/>
        <v>1889</v>
      </c>
      <c r="G195" s="155">
        <v>138</v>
      </c>
      <c r="H195" s="155">
        <f t="shared" si="10"/>
        <v>1751</v>
      </c>
      <c r="I195" s="155">
        <f t="shared" si="11"/>
        <v>1738</v>
      </c>
      <c r="J195" s="155">
        <v>1571</v>
      </c>
      <c r="K195" s="155">
        <v>167</v>
      </c>
      <c r="L195" s="156">
        <v>13</v>
      </c>
      <c r="M195" s="156">
        <v>48753</v>
      </c>
    </row>
    <row r="196" spans="1:13">
      <c r="A196" s="157" t="s">
        <v>1208</v>
      </c>
      <c r="B196" s="158" t="s">
        <v>1209</v>
      </c>
      <c r="C196" s="159">
        <f t="shared" si="8"/>
        <v>3148</v>
      </c>
      <c r="D196" s="150">
        <v>353</v>
      </c>
      <c r="E196" s="150">
        <v>81</v>
      </c>
      <c r="F196" s="160">
        <f t="shared" si="9"/>
        <v>2714</v>
      </c>
      <c r="G196" s="150">
        <v>295</v>
      </c>
      <c r="H196" s="160">
        <f t="shared" si="10"/>
        <v>2419</v>
      </c>
      <c r="I196" s="160">
        <f t="shared" si="11"/>
        <v>2399</v>
      </c>
      <c r="J196" s="150">
        <v>2080</v>
      </c>
      <c r="K196" s="150">
        <v>319</v>
      </c>
      <c r="L196" s="151">
        <v>20</v>
      </c>
      <c r="M196" s="161">
        <v>58606</v>
      </c>
    </row>
    <row r="197" spans="1:13">
      <c r="A197" s="157" t="s">
        <v>1210</v>
      </c>
      <c r="B197" s="158" t="s">
        <v>1211</v>
      </c>
      <c r="C197" s="159">
        <f t="shared" si="8"/>
        <v>2631</v>
      </c>
      <c r="D197" s="160">
        <v>92</v>
      </c>
      <c r="E197" s="160">
        <v>20</v>
      </c>
      <c r="F197" s="160">
        <f t="shared" si="9"/>
        <v>2519</v>
      </c>
      <c r="G197" s="160">
        <v>237</v>
      </c>
      <c r="H197" s="160">
        <f t="shared" si="10"/>
        <v>2282</v>
      </c>
      <c r="I197" s="160">
        <f t="shared" si="11"/>
        <v>2257</v>
      </c>
      <c r="J197" s="160">
        <v>2031</v>
      </c>
      <c r="K197" s="160">
        <v>226</v>
      </c>
      <c r="L197" s="161">
        <v>25</v>
      </c>
      <c r="M197" s="161">
        <v>57292</v>
      </c>
    </row>
    <row r="198" spans="1:13">
      <c r="A198" s="157" t="s">
        <v>1212</v>
      </c>
      <c r="B198" s="158" t="s">
        <v>1213</v>
      </c>
      <c r="C198" s="159">
        <f t="shared" si="8"/>
        <v>1874</v>
      </c>
      <c r="D198" s="160">
        <v>91</v>
      </c>
      <c r="E198" s="160">
        <v>25</v>
      </c>
      <c r="F198" s="160">
        <f t="shared" si="9"/>
        <v>1758</v>
      </c>
      <c r="G198" s="160">
        <v>128</v>
      </c>
      <c r="H198" s="160">
        <f t="shared" si="10"/>
        <v>1630</v>
      </c>
      <c r="I198" s="160">
        <f t="shared" si="11"/>
        <v>1612</v>
      </c>
      <c r="J198" s="160">
        <v>1379</v>
      </c>
      <c r="K198" s="160">
        <v>233</v>
      </c>
      <c r="L198" s="161">
        <v>18</v>
      </c>
      <c r="M198" s="156">
        <v>45515</v>
      </c>
    </row>
    <row r="199" spans="1:13">
      <c r="A199" s="162" t="s">
        <v>1214</v>
      </c>
      <c r="B199" s="163" t="s">
        <v>1215</v>
      </c>
      <c r="C199" s="164">
        <f t="shared" ref="C199:C262" si="12">D199+E199+F199</f>
        <v>866</v>
      </c>
      <c r="D199" s="150">
        <v>13</v>
      </c>
      <c r="E199" s="150">
        <v>3</v>
      </c>
      <c r="F199" s="165">
        <f t="shared" ref="F199:F262" si="13">G199+H199</f>
        <v>850</v>
      </c>
      <c r="G199" s="150">
        <v>40</v>
      </c>
      <c r="H199" s="165">
        <f t="shared" ref="H199:H262" si="14">I199+L199</f>
        <v>810</v>
      </c>
      <c r="I199" s="165">
        <f t="shared" ref="I199:I262" si="15">J199+K199</f>
        <v>800</v>
      </c>
      <c r="J199" s="150">
        <v>708</v>
      </c>
      <c r="K199" s="150">
        <v>92</v>
      </c>
      <c r="L199" s="151">
        <v>10</v>
      </c>
      <c r="M199" s="166">
        <v>25634</v>
      </c>
    </row>
    <row r="200" spans="1:13">
      <c r="A200" s="157" t="s">
        <v>1216</v>
      </c>
      <c r="B200" s="158" t="s">
        <v>1217</v>
      </c>
      <c r="C200" s="159">
        <f t="shared" si="12"/>
        <v>3030</v>
      </c>
      <c r="D200" s="150">
        <v>224</v>
      </c>
      <c r="E200" s="150">
        <v>39</v>
      </c>
      <c r="F200" s="160">
        <f t="shared" si="13"/>
        <v>2767</v>
      </c>
      <c r="G200" s="150">
        <v>321</v>
      </c>
      <c r="H200" s="160">
        <f t="shared" si="14"/>
        <v>2446</v>
      </c>
      <c r="I200" s="160">
        <f t="shared" si="15"/>
        <v>2425</v>
      </c>
      <c r="J200" s="150">
        <v>2171</v>
      </c>
      <c r="K200" s="150">
        <v>254</v>
      </c>
      <c r="L200" s="151">
        <v>21</v>
      </c>
      <c r="M200" s="161">
        <v>32070</v>
      </c>
    </row>
    <row r="201" spans="1:13">
      <c r="A201" s="157" t="s">
        <v>1218</v>
      </c>
      <c r="B201" s="158" t="s">
        <v>1219</v>
      </c>
      <c r="C201" s="159">
        <f t="shared" si="12"/>
        <v>180</v>
      </c>
      <c r="D201" s="160">
        <v>3</v>
      </c>
      <c r="E201" s="160">
        <v>1</v>
      </c>
      <c r="F201" s="160">
        <f t="shared" si="13"/>
        <v>176</v>
      </c>
      <c r="G201" s="160">
        <v>13</v>
      </c>
      <c r="H201" s="160">
        <f t="shared" si="14"/>
        <v>163</v>
      </c>
      <c r="I201" s="160">
        <f t="shared" si="15"/>
        <v>159</v>
      </c>
      <c r="J201" s="160">
        <v>138</v>
      </c>
      <c r="K201" s="160">
        <v>21</v>
      </c>
      <c r="L201" s="161">
        <v>4</v>
      </c>
      <c r="M201" s="161">
        <v>4103</v>
      </c>
    </row>
    <row r="202" spans="1:13">
      <c r="A202" s="157" t="s">
        <v>1220</v>
      </c>
      <c r="B202" s="158" t="s">
        <v>1221</v>
      </c>
      <c r="C202" s="159">
        <f t="shared" si="12"/>
        <v>1827</v>
      </c>
      <c r="D202" s="160">
        <v>33</v>
      </c>
      <c r="E202" s="160">
        <v>11</v>
      </c>
      <c r="F202" s="160">
        <f t="shared" si="13"/>
        <v>1783</v>
      </c>
      <c r="G202" s="160">
        <v>103</v>
      </c>
      <c r="H202" s="160">
        <f t="shared" si="14"/>
        <v>1680</v>
      </c>
      <c r="I202" s="160">
        <f t="shared" si="15"/>
        <v>1671</v>
      </c>
      <c r="J202" s="160">
        <v>1434</v>
      </c>
      <c r="K202" s="160">
        <v>237</v>
      </c>
      <c r="L202" s="161">
        <v>9</v>
      </c>
      <c r="M202" s="161">
        <v>59329</v>
      </c>
    </row>
    <row r="203" spans="1:13">
      <c r="A203" s="157" t="s">
        <v>1222</v>
      </c>
      <c r="B203" s="158" t="s">
        <v>1223</v>
      </c>
      <c r="C203" s="159">
        <f t="shared" si="12"/>
        <v>2462</v>
      </c>
      <c r="D203" s="160">
        <v>138</v>
      </c>
      <c r="E203" s="160">
        <v>27</v>
      </c>
      <c r="F203" s="160">
        <f t="shared" si="13"/>
        <v>2297</v>
      </c>
      <c r="G203" s="160">
        <v>214</v>
      </c>
      <c r="H203" s="160">
        <f t="shared" si="14"/>
        <v>2083</v>
      </c>
      <c r="I203" s="160">
        <f t="shared" si="15"/>
        <v>2048</v>
      </c>
      <c r="J203" s="160">
        <v>1807</v>
      </c>
      <c r="K203" s="160">
        <v>241</v>
      </c>
      <c r="L203" s="161">
        <v>35</v>
      </c>
      <c r="M203" s="156">
        <v>44580</v>
      </c>
    </row>
    <row r="204" spans="1:13">
      <c r="A204" s="147" t="s">
        <v>1224</v>
      </c>
      <c r="B204" s="148" t="s">
        <v>1225</v>
      </c>
      <c r="C204" s="149">
        <f t="shared" si="12"/>
        <v>34</v>
      </c>
      <c r="D204" s="150">
        <v>1</v>
      </c>
      <c r="E204" s="150">
        <v>0</v>
      </c>
      <c r="F204" s="150">
        <f t="shared" si="13"/>
        <v>33</v>
      </c>
      <c r="G204" s="150">
        <v>1</v>
      </c>
      <c r="H204" s="150">
        <f t="shared" si="14"/>
        <v>32</v>
      </c>
      <c r="I204" s="150">
        <f t="shared" si="15"/>
        <v>32</v>
      </c>
      <c r="J204" s="150">
        <v>28</v>
      </c>
      <c r="K204" s="150">
        <v>4</v>
      </c>
      <c r="L204" s="151">
        <v>0</v>
      </c>
      <c r="M204" s="161">
        <v>882</v>
      </c>
    </row>
    <row r="205" spans="1:13">
      <c r="A205" s="152" t="s">
        <v>1226</v>
      </c>
      <c r="B205" s="153" t="s">
        <v>1227</v>
      </c>
      <c r="C205" s="154">
        <f t="shared" si="12"/>
        <v>3638</v>
      </c>
      <c r="D205" s="155">
        <v>106</v>
      </c>
      <c r="E205" s="155">
        <v>47</v>
      </c>
      <c r="F205" s="155">
        <f t="shared" si="13"/>
        <v>3485</v>
      </c>
      <c r="G205" s="155">
        <v>105</v>
      </c>
      <c r="H205" s="155">
        <f t="shared" si="14"/>
        <v>3380</v>
      </c>
      <c r="I205" s="155">
        <f t="shared" si="15"/>
        <v>3365</v>
      </c>
      <c r="J205" s="155">
        <v>2852</v>
      </c>
      <c r="K205" s="155">
        <v>513</v>
      </c>
      <c r="L205" s="156">
        <v>15</v>
      </c>
      <c r="M205" s="156">
        <v>108308</v>
      </c>
    </row>
    <row r="206" spans="1:13">
      <c r="A206" s="157" t="s">
        <v>1228</v>
      </c>
      <c r="B206" s="158" t="s">
        <v>1229</v>
      </c>
      <c r="C206" s="159">
        <f t="shared" si="12"/>
        <v>1072</v>
      </c>
      <c r="D206" s="150">
        <v>17</v>
      </c>
      <c r="E206" s="150">
        <v>8</v>
      </c>
      <c r="F206" s="160">
        <f t="shared" si="13"/>
        <v>1047</v>
      </c>
      <c r="G206" s="150">
        <v>62</v>
      </c>
      <c r="H206" s="160">
        <f t="shared" si="14"/>
        <v>985</v>
      </c>
      <c r="I206" s="160">
        <f t="shared" si="15"/>
        <v>963</v>
      </c>
      <c r="J206" s="150">
        <v>751</v>
      </c>
      <c r="K206" s="150">
        <v>212</v>
      </c>
      <c r="L206" s="151">
        <v>22</v>
      </c>
      <c r="M206" s="166">
        <v>56240</v>
      </c>
    </row>
    <row r="207" spans="1:13">
      <c r="A207" s="162" t="s">
        <v>1230</v>
      </c>
      <c r="B207" s="163" t="s">
        <v>1231</v>
      </c>
      <c r="C207" s="164">
        <f t="shared" si="12"/>
        <v>2339</v>
      </c>
      <c r="D207" s="150">
        <v>63</v>
      </c>
      <c r="E207" s="150">
        <v>11</v>
      </c>
      <c r="F207" s="165">
        <f t="shared" si="13"/>
        <v>2265</v>
      </c>
      <c r="G207" s="150">
        <v>153</v>
      </c>
      <c r="H207" s="165">
        <f t="shared" si="14"/>
        <v>2112</v>
      </c>
      <c r="I207" s="165">
        <f t="shared" si="15"/>
        <v>2096</v>
      </c>
      <c r="J207" s="150">
        <v>1731</v>
      </c>
      <c r="K207" s="150">
        <v>365</v>
      </c>
      <c r="L207" s="151">
        <v>16</v>
      </c>
      <c r="M207" s="166">
        <v>46691</v>
      </c>
    </row>
    <row r="208" spans="1:13">
      <c r="A208" s="157" t="s">
        <v>1232</v>
      </c>
      <c r="B208" s="158" t="s">
        <v>1233</v>
      </c>
      <c r="C208" s="159">
        <f t="shared" si="12"/>
        <v>997</v>
      </c>
      <c r="D208" s="150">
        <v>35</v>
      </c>
      <c r="E208" s="150">
        <v>6</v>
      </c>
      <c r="F208" s="160">
        <f t="shared" si="13"/>
        <v>956</v>
      </c>
      <c r="G208" s="150">
        <v>54</v>
      </c>
      <c r="H208" s="160">
        <f t="shared" si="14"/>
        <v>902</v>
      </c>
      <c r="I208" s="160">
        <f t="shared" si="15"/>
        <v>898</v>
      </c>
      <c r="J208" s="150">
        <v>670</v>
      </c>
      <c r="K208" s="150">
        <v>228</v>
      </c>
      <c r="L208" s="151">
        <v>4</v>
      </c>
      <c r="M208" s="166">
        <v>18467</v>
      </c>
    </row>
    <row r="209" spans="1:13">
      <c r="A209" s="162" t="s">
        <v>1234</v>
      </c>
      <c r="B209" s="163" t="s">
        <v>1235</v>
      </c>
      <c r="C209" s="164">
        <f t="shared" si="12"/>
        <v>56</v>
      </c>
      <c r="D209" s="150">
        <v>4</v>
      </c>
      <c r="E209" s="150">
        <v>1</v>
      </c>
      <c r="F209" s="165">
        <f t="shared" si="13"/>
        <v>51</v>
      </c>
      <c r="G209" s="150">
        <v>2</v>
      </c>
      <c r="H209" s="165">
        <f t="shared" si="14"/>
        <v>49</v>
      </c>
      <c r="I209" s="165">
        <f t="shared" si="15"/>
        <v>49</v>
      </c>
      <c r="J209" s="150">
        <v>38</v>
      </c>
      <c r="K209" s="150">
        <v>11</v>
      </c>
      <c r="L209" s="151">
        <v>0</v>
      </c>
      <c r="M209" s="166">
        <v>1379</v>
      </c>
    </row>
    <row r="210" spans="1:13">
      <c r="A210" s="157" t="s">
        <v>1236</v>
      </c>
      <c r="B210" s="158" t="s">
        <v>1237</v>
      </c>
      <c r="C210" s="159">
        <f t="shared" si="12"/>
        <v>42</v>
      </c>
      <c r="D210" s="150">
        <v>0</v>
      </c>
      <c r="E210" s="150">
        <v>0</v>
      </c>
      <c r="F210" s="160">
        <f t="shared" si="13"/>
        <v>42</v>
      </c>
      <c r="G210" s="150">
        <v>0</v>
      </c>
      <c r="H210" s="160">
        <f t="shared" si="14"/>
        <v>42</v>
      </c>
      <c r="I210" s="160">
        <f t="shared" si="15"/>
        <v>42</v>
      </c>
      <c r="J210" s="150">
        <v>37</v>
      </c>
      <c r="K210" s="150">
        <v>5</v>
      </c>
      <c r="L210" s="151">
        <v>0</v>
      </c>
      <c r="M210" s="166">
        <v>2070</v>
      </c>
    </row>
    <row r="211" spans="1:13">
      <c r="A211" s="147">
        <v>321101</v>
      </c>
      <c r="B211" s="148" t="s">
        <v>1238</v>
      </c>
      <c r="C211" s="149">
        <f t="shared" si="12"/>
        <v>3469</v>
      </c>
      <c r="D211" s="150">
        <v>0</v>
      </c>
      <c r="E211" s="150">
        <v>0</v>
      </c>
      <c r="F211" s="150">
        <f t="shared" si="13"/>
        <v>3469</v>
      </c>
      <c r="G211" s="150">
        <v>19</v>
      </c>
      <c r="H211" s="150">
        <f t="shared" si="14"/>
        <v>3450</v>
      </c>
      <c r="I211" s="150">
        <f t="shared" si="15"/>
        <v>3444</v>
      </c>
      <c r="J211" s="150">
        <v>3135</v>
      </c>
      <c r="K211" s="150">
        <v>309</v>
      </c>
      <c r="L211" s="151">
        <v>6</v>
      </c>
      <c r="M211" s="161">
        <v>102843</v>
      </c>
    </row>
    <row r="212" spans="1:13">
      <c r="A212" s="157">
        <v>321102</v>
      </c>
      <c r="B212" s="158" t="s">
        <v>1239</v>
      </c>
      <c r="C212" s="159">
        <f t="shared" si="12"/>
        <v>498</v>
      </c>
      <c r="D212" s="160">
        <v>0</v>
      </c>
      <c r="E212" s="160">
        <v>0</v>
      </c>
      <c r="F212" s="160">
        <f t="shared" si="13"/>
        <v>498</v>
      </c>
      <c r="G212" s="160">
        <v>1</v>
      </c>
      <c r="H212" s="160">
        <f t="shared" si="14"/>
        <v>497</v>
      </c>
      <c r="I212" s="160">
        <f t="shared" si="15"/>
        <v>497</v>
      </c>
      <c r="J212" s="160">
        <v>469</v>
      </c>
      <c r="K212" s="160">
        <v>28</v>
      </c>
      <c r="L212" s="161">
        <v>0</v>
      </c>
      <c r="M212" s="161">
        <v>25936</v>
      </c>
    </row>
    <row r="213" spans="1:13">
      <c r="A213" s="157">
        <v>321103</v>
      </c>
      <c r="B213" s="158" t="s">
        <v>1240</v>
      </c>
      <c r="C213" s="159">
        <f t="shared" si="12"/>
        <v>914</v>
      </c>
      <c r="D213" s="160">
        <v>0</v>
      </c>
      <c r="E213" s="160">
        <v>0</v>
      </c>
      <c r="F213" s="160">
        <f t="shared" si="13"/>
        <v>914</v>
      </c>
      <c r="G213" s="160">
        <v>4</v>
      </c>
      <c r="H213" s="160">
        <f t="shared" si="14"/>
        <v>910</v>
      </c>
      <c r="I213" s="160">
        <f t="shared" si="15"/>
        <v>909</v>
      </c>
      <c r="J213" s="160">
        <v>839</v>
      </c>
      <c r="K213" s="160">
        <v>70</v>
      </c>
      <c r="L213" s="161">
        <v>1</v>
      </c>
      <c r="M213" s="161">
        <v>91329</v>
      </c>
    </row>
    <row r="214" spans="1:13">
      <c r="A214" s="152">
        <v>321104</v>
      </c>
      <c r="B214" s="153" t="s">
        <v>1241</v>
      </c>
      <c r="C214" s="154">
        <f>D214+E214+F214</f>
        <v>0</v>
      </c>
      <c r="D214" s="160">
        <v>0</v>
      </c>
      <c r="E214" s="160">
        <v>0</v>
      </c>
      <c r="F214" s="155">
        <f>G214+H214</f>
        <v>0</v>
      </c>
      <c r="G214" s="160">
        <v>0</v>
      </c>
      <c r="H214" s="155">
        <f>I214+L214</f>
        <v>0</v>
      </c>
      <c r="I214" s="155">
        <f>J214+K214</f>
        <v>0</v>
      </c>
      <c r="J214" s="160">
        <v>0</v>
      </c>
      <c r="K214" s="160">
        <v>0</v>
      </c>
      <c r="L214" s="161">
        <v>0</v>
      </c>
      <c r="M214" s="156">
        <v>0</v>
      </c>
    </row>
    <row r="215" spans="1:13">
      <c r="A215" s="157" t="s">
        <v>1242</v>
      </c>
      <c r="B215" s="158" t="s">
        <v>1243</v>
      </c>
      <c r="C215" s="159">
        <f t="shared" si="12"/>
        <v>0</v>
      </c>
      <c r="D215" s="150">
        <v>0</v>
      </c>
      <c r="E215" s="150">
        <v>0</v>
      </c>
      <c r="F215" s="160">
        <f t="shared" si="13"/>
        <v>0</v>
      </c>
      <c r="G215" s="150">
        <v>0</v>
      </c>
      <c r="H215" s="160">
        <f t="shared" si="14"/>
        <v>0</v>
      </c>
      <c r="I215" s="160">
        <f t="shared" si="15"/>
        <v>0</v>
      </c>
      <c r="J215" s="150">
        <v>0</v>
      </c>
      <c r="K215" s="150">
        <v>0</v>
      </c>
      <c r="L215" s="151">
        <v>0</v>
      </c>
      <c r="M215" s="161">
        <v>0</v>
      </c>
    </row>
    <row r="216" spans="1:13">
      <c r="A216" s="157" t="s">
        <v>1244</v>
      </c>
      <c r="B216" s="158" t="s">
        <v>1245</v>
      </c>
      <c r="C216" s="159">
        <f t="shared" si="12"/>
        <v>1375</v>
      </c>
      <c r="D216" s="160">
        <v>22</v>
      </c>
      <c r="E216" s="160">
        <v>7</v>
      </c>
      <c r="F216" s="160">
        <f t="shared" si="13"/>
        <v>1346</v>
      </c>
      <c r="G216" s="160">
        <v>47</v>
      </c>
      <c r="H216" s="160">
        <f t="shared" si="14"/>
        <v>1299</v>
      </c>
      <c r="I216" s="160">
        <f t="shared" si="15"/>
        <v>1286</v>
      </c>
      <c r="J216" s="160">
        <v>995</v>
      </c>
      <c r="K216" s="160">
        <v>291</v>
      </c>
      <c r="L216" s="161">
        <v>13</v>
      </c>
      <c r="M216" s="161">
        <v>20969</v>
      </c>
    </row>
    <row r="217" spans="1:13">
      <c r="A217" s="157" t="s">
        <v>1246</v>
      </c>
      <c r="B217" s="158" t="s">
        <v>1247</v>
      </c>
      <c r="C217" s="159">
        <f t="shared" si="12"/>
        <v>3898</v>
      </c>
      <c r="D217" s="160">
        <v>73</v>
      </c>
      <c r="E217" s="160">
        <v>25</v>
      </c>
      <c r="F217" s="160">
        <f t="shared" si="13"/>
        <v>3800</v>
      </c>
      <c r="G217" s="160">
        <v>107</v>
      </c>
      <c r="H217" s="160">
        <f t="shared" si="14"/>
        <v>3693</v>
      </c>
      <c r="I217" s="160">
        <f t="shared" si="15"/>
        <v>3652</v>
      </c>
      <c r="J217" s="160">
        <v>3020</v>
      </c>
      <c r="K217" s="160">
        <v>632</v>
      </c>
      <c r="L217" s="161">
        <v>41</v>
      </c>
      <c r="M217" s="156">
        <v>79183</v>
      </c>
    </row>
    <row r="218" spans="1:13">
      <c r="A218" s="147" t="s">
        <v>1248</v>
      </c>
      <c r="B218" s="148" t="s">
        <v>1249</v>
      </c>
      <c r="C218" s="149">
        <f t="shared" si="12"/>
        <v>6088</v>
      </c>
      <c r="D218" s="150">
        <v>70</v>
      </c>
      <c r="E218" s="150">
        <v>22</v>
      </c>
      <c r="F218" s="150">
        <f t="shared" si="13"/>
        <v>5996</v>
      </c>
      <c r="G218" s="150">
        <v>194</v>
      </c>
      <c r="H218" s="150">
        <f t="shared" si="14"/>
        <v>5802</v>
      </c>
      <c r="I218" s="150">
        <f t="shared" si="15"/>
        <v>5778</v>
      </c>
      <c r="J218" s="150">
        <v>4755</v>
      </c>
      <c r="K218" s="150">
        <v>1023</v>
      </c>
      <c r="L218" s="151">
        <v>24</v>
      </c>
      <c r="M218" s="161">
        <v>135984</v>
      </c>
    </row>
    <row r="219" spans="1:13">
      <c r="A219" s="157" t="s">
        <v>1250</v>
      </c>
      <c r="B219" s="158" t="s">
        <v>1251</v>
      </c>
      <c r="C219" s="159">
        <f t="shared" si="12"/>
        <v>1437</v>
      </c>
      <c r="D219" s="160">
        <v>37</v>
      </c>
      <c r="E219" s="160">
        <v>10</v>
      </c>
      <c r="F219" s="160">
        <f t="shared" si="13"/>
        <v>1390</v>
      </c>
      <c r="G219" s="160">
        <v>64</v>
      </c>
      <c r="H219" s="160">
        <f t="shared" si="14"/>
        <v>1326</v>
      </c>
      <c r="I219" s="160">
        <f t="shared" si="15"/>
        <v>1319</v>
      </c>
      <c r="J219" s="160">
        <v>1099</v>
      </c>
      <c r="K219" s="160">
        <v>220</v>
      </c>
      <c r="L219" s="161">
        <v>7</v>
      </c>
      <c r="M219" s="161">
        <v>29847</v>
      </c>
    </row>
    <row r="220" spans="1:13">
      <c r="A220" s="157" t="s">
        <v>1252</v>
      </c>
      <c r="B220" s="158" t="s">
        <v>1253</v>
      </c>
      <c r="C220" s="159">
        <f t="shared" si="12"/>
        <v>6232</v>
      </c>
      <c r="D220" s="160">
        <v>263</v>
      </c>
      <c r="E220" s="160">
        <v>64</v>
      </c>
      <c r="F220" s="160">
        <f t="shared" si="13"/>
        <v>5905</v>
      </c>
      <c r="G220" s="160">
        <v>411</v>
      </c>
      <c r="H220" s="160">
        <f t="shared" si="14"/>
        <v>5494</v>
      </c>
      <c r="I220" s="160">
        <f t="shared" si="15"/>
        <v>5410</v>
      </c>
      <c r="J220" s="160">
        <v>4383</v>
      </c>
      <c r="K220" s="160">
        <v>1027</v>
      </c>
      <c r="L220" s="161">
        <v>84</v>
      </c>
      <c r="M220" s="161">
        <v>139130</v>
      </c>
    </row>
    <row r="221" spans="1:13">
      <c r="A221" s="157" t="s">
        <v>1254</v>
      </c>
      <c r="B221" s="158" t="s">
        <v>1255</v>
      </c>
      <c r="C221" s="159">
        <f t="shared" si="12"/>
        <v>572</v>
      </c>
      <c r="D221" s="160">
        <v>21</v>
      </c>
      <c r="E221" s="160">
        <v>7</v>
      </c>
      <c r="F221" s="160">
        <f t="shared" si="13"/>
        <v>544</v>
      </c>
      <c r="G221" s="160">
        <v>24</v>
      </c>
      <c r="H221" s="160">
        <f t="shared" si="14"/>
        <v>520</v>
      </c>
      <c r="I221" s="160">
        <f t="shared" si="15"/>
        <v>517</v>
      </c>
      <c r="J221" s="160">
        <v>379</v>
      </c>
      <c r="K221" s="160">
        <v>138</v>
      </c>
      <c r="L221" s="161">
        <v>3</v>
      </c>
      <c r="M221" s="161">
        <v>12689</v>
      </c>
    </row>
    <row r="222" spans="1:13">
      <c r="A222" s="157" t="s">
        <v>1256</v>
      </c>
      <c r="B222" s="158" t="s">
        <v>1257</v>
      </c>
      <c r="C222" s="159">
        <f t="shared" si="12"/>
        <v>16920</v>
      </c>
      <c r="D222" s="160">
        <v>255</v>
      </c>
      <c r="E222" s="160">
        <v>71</v>
      </c>
      <c r="F222" s="160">
        <f t="shared" si="13"/>
        <v>16594</v>
      </c>
      <c r="G222" s="160">
        <v>365</v>
      </c>
      <c r="H222" s="160">
        <f t="shared" si="14"/>
        <v>16229</v>
      </c>
      <c r="I222" s="160">
        <f t="shared" si="15"/>
        <v>16143</v>
      </c>
      <c r="J222" s="160">
        <v>12210</v>
      </c>
      <c r="K222" s="160">
        <v>3933</v>
      </c>
      <c r="L222" s="161">
        <v>86</v>
      </c>
      <c r="M222" s="161">
        <v>484170</v>
      </c>
    </row>
    <row r="223" spans="1:13">
      <c r="A223" s="152" t="s">
        <v>1258</v>
      </c>
      <c r="B223" s="153" t="s">
        <v>1259</v>
      </c>
      <c r="C223" s="154">
        <f t="shared" si="12"/>
        <v>4032</v>
      </c>
      <c r="D223" s="160">
        <v>142</v>
      </c>
      <c r="E223" s="160">
        <v>36</v>
      </c>
      <c r="F223" s="155">
        <f t="shared" si="13"/>
        <v>3854</v>
      </c>
      <c r="G223" s="160">
        <v>220</v>
      </c>
      <c r="H223" s="155">
        <f t="shared" si="14"/>
        <v>3634</v>
      </c>
      <c r="I223" s="155">
        <f t="shared" si="15"/>
        <v>3598</v>
      </c>
      <c r="J223" s="160">
        <v>2798</v>
      </c>
      <c r="K223" s="160">
        <v>800</v>
      </c>
      <c r="L223" s="161">
        <v>36</v>
      </c>
      <c r="M223" s="156">
        <v>112642</v>
      </c>
    </row>
    <row r="224" spans="1:13">
      <c r="A224" s="157" t="s">
        <v>1260</v>
      </c>
      <c r="B224" s="158" t="s">
        <v>1261</v>
      </c>
      <c r="C224" s="159">
        <f t="shared" si="12"/>
        <v>33</v>
      </c>
      <c r="D224" s="150">
        <v>0</v>
      </c>
      <c r="E224" s="150">
        <v>0</v>
      </c>
      <c r="F224" s="160">
        <f t="shared" si="13"/>
        <v>33</v>
      </c>
      <c r="G224" s="150">
        <v>1</v>
      </c>
      <c r="H224" s="160">
        <f t="shared" si="14"/>
        <v>32</v>
      </c>
      <c r="I224" s="160">
        <f t="shared" si="15"/>
        <v>32</v>
      </c>
      <c r="J224" s="150">
        <v>24</v>
      </c>
      <c r="K224" s="150">
        <v>8</v>
      </c>
      <c r="L224" s="151">
        <v>0</v>
      </c>
      <c r="M224" s="161">
        <v>2335</v>
      </c>
    </row>
    <row r="225" spans="1:13">
      <c r="A225" s="157" t="s">
        <v>1262</v>
      </c>
      <c r="B225" s="158" t="s">
        <v>1263</v>
      </c>
      <c r="C225" s="159">
        <f t="shared" si="12"/>
        <v>2714</v>
      </c>
      <c r="D225" s="155">
        <v>46</v>
      </c>
      <c r="E225" s="155">
        <v>11</v>
      </c>
      <c r="F225" s="155">
        <f t="shared" si="13"/>
        <v>2657</v>
      </c>
      <c r="G225" s="155">
        <v>100</v>
      </c>
      <c r="H225" s="155">
        <f t="shared" si="14"/>
        <v>2557</v>
      </c>
      <c r="I225" s="155">
        <f t="shared" si="15"/>
        <v>2538</v>
      </c>
      <c r="J225" s="155">
        <v>1833</v>
      </c>
      <c r="K225" s="155">
        <v>705</v>
      </c>
      <c r="L225" s="156">
        <v>19</v>
      </c>
      <c r="M225" s="156">
        <v>85946</v>
      </c>
    </row>
    <row r="226" spans="1:13">
      <c r="A226" s="162" t="s">
        <v>1264</v>
      </c>
      <c r="B226" s="163" t="s">
        <v>1265</v>
      </c>
      <c r="C226" s="164">
        <f t="shared" si="12"/>
        <v>881</v>
      </c>
      <c r="D226" s="150">
        <v>12</v>
      </c>
      <c r="E226" s="150">
        <v>3</v>
      </c>
      <c r="F226" s="165">
        <f t="shared" si="13"/>
        <v>866</v>
      </c>
      <c r="G226" s="150">
        <v>41</v>
      </c>
      <c r="H226" s="165">
        <f t="shared" si="14"/>
        <v>825</v>
      </c>
      <c r="I226" s="165">
        <f t="shared" si="15"/>
        <v>820</v>
      </c>
      <c r="J226" s="150">
        <v>673</v>
      </c>
      <c r="K226" s="150">
        <v>147</v>
      </c>
      <c r="L226" s="151">
        <v>5</v>
      </c>
      <c r="M226" s="151">
        <v>30196</v>
      </c>
    </row>
    <row r="227" spans="1:13">
      <c r="A227" s="157" t="s">
        <v>1266</v>
      </c>
      <c r="B227" s="158" t="s">
        <v>1267</v>
      </c>
      <c r="C227" s="159">
        <f t="shared" si="12"/>
        <v>2804</v>
      </c>
      <c r="D227" s="150">
        <v>48</v>
      </c>
      <c r="E227" s="150">
        <v>12</v>
      </c>
      <c r="F227" s="160">
        <f t="shared" si="13"/>
        <v>2744</v>
      </c>
      <c r="G227" s="150">
        <v>130</v>
      </c>
      <c r="H227" s="160">
        <f t="shared" si="14"/>
        <v>2614</v>
      </c>
      <c r="I227" s="160">
        <f t="shared" si="15"/>
        <v>2592</v>
      </c>
      <c r="J227" s="150">
        <v>2098</v>
      </c>
      <c r="K227" s="150">
        <v>494</v>
      </c>
      <c r="L227" s="151">
        <v>22</v>
      </c>
      <c r="M227" s="156">
        <v>80489</v>
      </c>
    </row>
    <row r="228" spans="1:13">
      <c r="A228" s="147" t="s">
        <v>1268</v>
      </c>
      <c r="B228" s="148" t="s">
        <v>1269</v>
      </c>
      <c r="C228" s="149">
        <f t="shared" si="12"/>
        <v>1222</v>
      </c>
      <c r="D228" s="150">
        <v>22</v>
      </c>
      <c r="E228" s="150">
        <v>6</v>
      </c>
      <c r="F228" s="150">
        <f t="shared" si="13"/>
        <v>1194</v>
      </c>
      <c r="G228" s="150">
        <v>27</v>
      </c>
      <c r="H228" s="150">
        <f t="shared" si="14"/>
        <v>1167</v>
      </c>
      <c r="I228" s="150">
        <f t="shared" si="15"/>
        <v>1159</v>
      </c>
      <c r="J228" s="150">
        <v>1002</v>
      </c>
      <c r="K228" s="150">
        <v>157</v>
      </c>
      <c r="L228" s="151">
        <v>8</v>
      </c>
      <c r="M228" s="161">
        <v>31590</v>
      </c>
    </row>
    <row r="229" spans="1:13">
      <c r="A229" s="157" t="s">
        <v>1270</v>
      </c>
      <c r="B229" s="158" t="s">
        <v>1271</v>
      </c>
      <c r="C229" s="159">
        <f t="shared" si="12"/>
        <v>1423</v>
      </c>
      <c r="D229" s="160">
        <v>39</v>
      </c>
      <c r="E229" s="160">
        <v>14</v>
      </c>
      <c r="F229" s="160">
        <f t="shared" si="13"/>
        <v>1370</v>
      </c>
      <c r="G229" s="160">
        <v>62</v>
      </c>
      <c r="H229" s="160">
        <f t="shared" si="14"/>
        <v>1308</v>
      </c>
      <c r="I229" s="160">
        <f t="shared" si="15"/>
        <v>1285</v>
      </c>
      <c r="J229" s="160">
        <v>958</v>
      </c>
      <c r="K229" s="160">
        <v>327</v>
      </c>
      <c r="L229" s="161">
        <v>23</v>
      </c>
      <c r="M229" s="161">
        <v>48721</v>
      </c>
    </row>
    <row r="230" spans="1:13">
      <c r="A230" s="157" t="s">
        <v>1272</v>
      </c>
      <c r="B230" s="158" t="s">
        <v>1273</v>
      </c>
      <c r="C230" s="159">
        <f t="shared" si="12"/>
        <v>6828</v>
      </c>
      <c r="D230" s="160">
        <v>36</v>
      </c>
      <c r="E230" s="160">
        <v>5</v>
      </c>
      <c r="F230" s="160">
        <f t="shared" si="13"/>
        <v>6787</v>
      </c>
      <c r="G230" s="160">
        <v>88</v>
      </c>
      <c r="H230" s="160">
        <f t="shared" si="14"/>
        <v>6699</v>
      </c>
      <c r="I230" s="160">
        <f t="shared" si="15"/>
        <v>6290</v>
      </c>
      <c r="J230" s="160">
        <v>5199</v>
      </c>
      <c r="K230" s="160">
        <v>1091</v>
      </c>
      <c r="L230" s="161">
        <v>409</v>
      </c>
      <c r="M230" s="161">
        <v>294136</v>
      </c>
    </row>
    <row r="231" spans="1:13">
      <c r="A231" s="152" t="s">
        <v>1274</v>
      </c>
      <c r="B231" s="153" t="s">
        <v>1275</v>
      </c>
      <c r="C231" s="154">
        <f t="shared" si="12"/>
        <v>980</v>
      </c>
      <c r="D231" s="160">
        <v>23</v>
      </c>
      <c r="E231" s="160">
        <v>6</v>
      </c>
      <c r="F231" s="155">
        <f t="shared" si="13"/>
        <v>951</v>
      </c>
      <c r="G231" s="160">
        <v>34</v>
      </c>
      <c r="H231" s="155">
        <f t="shared" si="14"/>
        <v>917</v>
      </c>
      <c r="I231" s="155">
        <f t="shared" si="15"/>
        <v>914</v>
      </c>
      <c r="J231" s="160">
        <v>781</v>
      </c>
      <c r="K231" s="160">
        <v>133</v>
      </c>
      <c r="L231" s="161">
        <v>3</v>
      </c>
      <c r="M231" s="156">
        <v>39470</v>
      </c>
    </row>
    <row r="232" spans="1:13">
      <c r="A232" s="147">
        <v>341101</v>
      </c>
      <c r="B232" s="148" t="s">
        <v>1276</v>
      </c>
      <c r="C232" s="149">
        <f>D232+E232+F232</f>
        <v>486</v>
      </c>
      <c r="D232" s="150">
        <v>0</v>
      </c>
      <c r="E232" s="150">
        <v>0</v>
      </c>
      <c r="F232" s="150">
        <f>G232+H232</f>
        <v>486</v>
      </c>
      <c r="G232" s="150">
        <v>8</v>
      </c>
      <c r="H232" s="150">
        <f>I232+L232</f>
        <v>478</v>
      </c>
      <c r="I232" s="150">
        <f>J232+K232</f>
        <v>477</v>
      </c>
      <c r="J232" s="150">
        <v>406</v>
      </c>
      <c r="K232" s="150">
        <v>71</v>
      </c>
      <c r="L232" s="151">
        <v>1</v>
      </c>
      <c r="M232" s="161">
        <v>17002</v>
      </c>
    </row>
    <row r="233" spans="1:13">
      <c r="A233" s="157">
        <v>341102</v>
      </c>
      <c r="B233" s="158" t="s">
        <v>1277</v>
      </c>
      <c r="C233" s="159">
        <f>D233+E233+F233</f>
        <v>2381</v>
      </c>
      <c r="D233" s="160">
        <v>0</v>
      </c>
      <c r="E233" s="160">
        <v>0</v>
      </c>
      <c r="F233" s="160">
        <f>G233+H233</f>
        <v>2381</v>
      </c>
      <c r="G233" s="160">
        <v>32</v>
      </c>
      <c r="H233" s="160">
        <f>I233+L233</f>
        <v>2349</v>
      </c>
      <c r="I233" s="160">
        <f>J233+K233</f>
        <v>2263</v>
      </c>
      <c r="J233" s="160">
        <v>1780</v>
      </c>
      <c r="K233" s="160">
        <v>483</v>
      </c>
      <c r="L233" s="161">
        <v>86</v>
      </c>
      <c r="M233" s="161">
        <v>93447</v>
      </c>
    </row>
    <row r="234" spans="1:13">
      <c r="A234" s="157">
        <v>341103</v>
      </c>
      <c r="B234" s="158" t="s">
        <v>1278</v>
      </c>
      <c r="C234" s="159">
        <f>D234+E234+F234</f>
        <v>6811</v>
      </c>
      <c r="D234" s="160">
        <v>5</v>
      </c>
      <c r="E234" s="160">
        <v>1</v>
      </c>
      <c r="F234" s="160">
        <f>G234+H234</f>
        <v>6805</v>
      </c>
      <c r="G234" s="160">
        <v>100</v>
      </c>
      <c r="H234" s="160">
        <f>I234+L234</f>
        <v>6705</v>
      </c>
      <c r="I234" s="160">
        <f>J234+K234</f>
        <v>6696</v>
      </c>
      <c r="J234" s="160">
        <v>5908</v>
      </c>
      <c r="K234" s="160">
        <v>788</v>
      </c>
      <c r="L234" s="161">
        <v>9</v>
      </c>
      <c r="M234" s="161">
        <v>266909</v>
      </c>
    </row>
    <row r="235" spans="1:13">
      <c r="A235" s="157">
        <v>341104</v>
      </c>
      <c r="B235" s="158" t="s">
        <v>1279</v>
      </c>
      <c r="C235" s="159">
        <f>D235+E235+F235</f>
        <v>6</v>
      </c>
      <c r="D235" s="160">
        <v>0</v>
      </c>
      <c r="E235" s="160">
        <v>0</v>
      </c>
      <c r="F235" s="160">
        <f>G235+H235</f>
        <v>6</v>
      </c>
      <c r="G235" s="160">
        <v>0</v>
      </c>
      <c r="H235" s="160">
        <f>I235+L235</f>
        <v>6</v>
      </c>
      <c r="I235" s="160">
        <f>J235+K235</f>
        <v>6</v>
      </c>
      <c r="J235" s="160">
        <v>6</v>
      </c>
      <c r="K235" s="160">
        <v>0</v>
      </c>
      <c r="L235" s="161">
        <v>0</v>
      </c>
      <c r="M235" s="161">
        <v>227</v>
      </c>
    </row>
    <row r="236" spans="1:13">
      <c r="A236" s="152">
        <v>341109</v>
      </c>
      <c r="B236" s="153" t="s">
        <v>1280</v>
      </c>
      <c r="C236" s="154">
        <f>D236+E236+F236</f>
        <v>799</v>
      </c>
      <c r="D236" s="160">
        <v>5</v>
      </c>
      <c r="E236" s="160">
        <v>1</v>
      </c>
      <c r="F236" s="155">
        <f>G236+H236</f>
        <v>793</v>
      </c>
      <c r="G236" s="160">
        <v>28</v>
      </c>
      <c r="H236" s="155">
        <f>I236+L236</f>
        <v>765</v>
      </c>
      <c r="I236" s="155">
        <f>J236+K236</f>
        <v>752</v>
      </c>
      <c r="J236" s="160">
        <v>590</v>
      </c>
      <c r="K236" s="160">
        <v>162</v>
      </c>
      <c r="L236" s="161">
        <v>13</v>
      </c>
      <c r="M236" s="156">
        <v>18425</v>
      </c>
    </row>
    <row r="237" spans="1:13">
      <c r="A237" s="157">
        <v>341201</v>
      </c>
      <c r="B237" s="158" t="s">
        <v>1281</v>
      </c>
      <c r="C237" s="159">
        <f t="shared" si="12"/>
        <v>2</v>
      </c>
      <c r="D237" s="150">
        <v>0</v>
      </c>
      <c r="E237" s="150">
        <v>0</v>
      </c>
      <c r="F237" s="160">
        <f t="shared" si="13"/>
        <v>2</v>
      </c>
      <c r="G237" s="150">
        <v>0</v>
      </c>
      <c r="H237" s="160">
        <f t="shared" si="14"/>
        <v>2</v>
      </c>
      <c r="I237" s="160">
        <f t="shared" si="15"/>
        <v>2</v>
      </c>
      <c r="J237" s="150">
        <v>2</v>
      </c>
      <c r="K237" s="150">
        <v>0</v>
      </c>
      <c r="L237" s="151">
        <v>0</v>
      </c>
      <c r="M237" s="161">
        <v>62</v>
      </c>
    </row>
    <row r="238" spans="1:13">
      <c r="A238" s="152">
        <v>341202</v>
      </c>
      <c r="B238" s="153" t="s">
        <v>1282</v>
      </c>
      <c r="C238" s="154">
        <f t="shared" si="12"/>
        <v>2811</v>
      </c>
      <c r="D238" s="155">
        <v>65</v>
      </c>
      <c r="E238" s="155">
        <v>17</v>
      </c>
      <c r="F238" s="155">
        <f t="shared" si="13"/>
        <v>2729</v>
      </c>
      <c r="G238" s="155">
        <v>108</v>
      </c>
      <c r="H238" s="155">
        <f t="shared" si="14"/>
        <v>2621</v>
      </c>
      <c r="I238" s="155">
        <f t="shared" si="15"/>
        <v>2611</v>
      </c>
      <c r="J238" s="155">
        <v>2138</v>
      </c>
      <c r="K238" s="155">
        <v>473</v>
      </c>
      <c r="L238" s="156">
        <v>10</v>
      </c>
      <c r="M238" s="156">
        <v>70666</v>
      </c>
    </row>
    <row r="239" spans="1:13">
      <c r="A239" s="157" t="s">
        <v>1283</v>
      </c>
      <c r="B239" s="158" t="s">
        <v>1284</v>
      </c>
      <c r="C239" s="159">
        <f t="shared" si="12"/>
        <v>988</v>
      </c>
      <c r="D239" s="150">
        <v>12</v>
      </c>
      <c r="E239" s="150">
        <v>5</v>
      </c>
      <c r="F239" s="160">
        <f t="shared" si="13"/>
        <v>971</v>
      </c>
      <c r="G239" s="150">
        <v>23</v>
      </c>
      <c r="H239" s="160">
        <f t="shared" si="14"/>
        <v>948</v>
      </c>
      <c r="I239" s="160">
        <f t="shared" si="15"/>
        <v>945</v>
      </c>
      <c r="J239" s="150">
        <v>732</v>
      </c>
      <c r="K239" s="150">
        <v>213</v>
      </c>
      <c r="L239" s="151">
        <v>3</v>
      </c>
      <c r="M239" s="161">
        <v>83735</v>
      </c>
    </row>
    <row r="240" spans="1:13">
      <c r="A240" s="157" t="s">
        <v>1285</v>
      </c>
      <c r="B240" s="158" t="s">
        <v>1286</v>
      </c>
      <c r="C240" s="159">
        <f t="shared" si="12"/>
        <v>33</v>
      </c>
      <c r="D240" s="160">
        <v>0</v>
      </c>
      <c r="E240" s="160">
        <v>0</v>
      </c>
      <c r="F240" s="160">
        <f t="shared" si="13"/>
        <v>33</v>
      </c>
      <c r="G240" s="160">
        <v>1</v>
      </c>
      <c r="H240" s="160">
        <f t="shared" si="14"/>
        <v>32</v>
      </c>
      <c r="I240" s="160">
        <f t="shared" si="15"/>
        <v>32</v>
      </c>
      <c r="J240" s="160">
        <v>28</v>
      </c>
      <c r="K240" s="160">
        <v>4</v>
      </c>
      <c r="L240" s="161">
        <v>0</v>
      </c>
      <c r="M240" s="161">
        <v>720</v>
      </c>
    </row>
    <row r="241" spans="1:13">
      <c r="A241" s="157" t="s">
        <v>1287</v>
      </c>
      <c r="B241" s="158" t="s">
        <v>1288</v>
      </c>
      <c r="C241" s="159">
        <f t="shared" si="12"/>
        <v>1071</v>
      </c>
      <c r="D241" s="160">
        <v>14</v>
      </c>
      <c r="E241" s="160">
        <v>4</v>
      </c>
      <c r="F241" s="160">
        <f t="shared" si="13"/>
        <v>1053</v>
      </c>
      <c r="G241" s="160">
        <v>24</v>
      </c>
      <c r="H241" s="160">
        <f t="shared" si="14"/>
        <v>1029</v>
      </c>
      <c r="I241" s="160">
        <f t="shared" si="15"/>
        <v>1021</v>
      </c>
      <c r="J241" s="160">
        <v>883</v>
      </c>
      <c r="K241" s="160">
        <v>138</v>
      </c>
      <c r="L241" s="161">
        <v>8</v>
      </c>
      <c r="M241" s="156">
        <v>36715</v>
      </c>
    </row>
    <row r="242" spans="1:13">
      <c r="A242" s="162" t="s">
        <v>1289</v>
      </c>
      <c r="B242" s="163" t="s">
        <v>1290</v>
      </c>
      <c r="C242" s="164">
        <f t="shared" si="12"/>
        <v>0</v>
      </c>
      <c r="D242" s="150">
        <v>0</v>
      </c>
      <c r="E242" s="150">
        <v>0</v>
      </c>
      <c r="F242" s="165">
        <f t="shared" si="13"/>
        <v>0</v>
      </c>
      <c r="G242" s="150">
        <v>0</v>
      </c>
      <c r="H242" s="165">
        <f t="shared" si="14"/>
        <v>0</v>
      </c>
      <c r="I242" s="165">
        <f t="shared" si="15"/>
        <v>0</v>
      </c>
      <c r="J242" s="150">
        <v>0</v>
      </c>
      <c r="K242" s="150">
        <v>0</v>
      </c>
      <c r="L242" s="151">
        <v>0</v>
      </c>
      <c r="M242" s="166">
        <v>0</v>
      </c>
    </row>
    <row r="243" spans="1:13">
      <c r="A243" s="157" t="s">
        <v>1291</v>
      </c>
      <c r="B243" s="158" t="s">
        <v>1292</v>
      </c>
      <c r="C243" s="159">
        <f t="shared" si="12"/>
        <v>607</v>
      </c>
      <c r="D243" s="150">
        <v>0</v>
      </c>
      <c r="E243" s="150">
        <v>0</v>
      </c>
      <c r="F243" s="160">
        <f t="shared" si="13"/>
        <v>607</v>
      </c>
      <c r="G243" s="150">
        <v>7</v>
      </c>
      <c r="H243" s="160">
        <f t="shared" si="14"/>
        <v>600</v>
      </c>
      <c r="I243" s="160">
        <f t="shared" si="15"/>
        <v>593</v>
      </c>
      <c r="J243" s="150">
        <v>537</v>
      </c>
      <c r="K243" s="150">
        <v>56</v>
      </c>
      <c r="L243" s="151">
        <v>7</v>
      </c>
      <c r="M243" s="166">
        <v>45640</v>
      </c>
    </row>
    <row r="244" spans="1:13">
      <c r="A244" s="162" t="s">
        <v>1293</v>
      </c>
      <c r="B244" s="163" t="s">
        <v>1294</v>
      </c>
      <c r="C244" s="164">
        <f t="shared" si="12"/>
        <v>3278</v>
      </c>
      <c r="D244" s="150">
        <v>0</v>
      </c>
      <c r="E244" s="150">
        <v>0</v>
      </c>
      <c r="F244" s="165">
        <f t="shared" si="13"/>
        <v>3278</v>
      </c>
      <c r="G244" s="150">
        <v>8</v>
      </c>
      <c r="H244" s="165">
        <f t="shared" si="14"/>
        <v>3270</v>
      </c>
      <c r="I244" s="165">
        <f t="shared" si="15"/>
        <v>3236</v>
      </c>
      <c r="J244" s="150">
        <v>3023</v>
      </c>
      <c r="K244" s="150">
        <v>213</v>
      </c>
      <c r="L244" s="151">
        <v>34</v>
      </c>
      <c r="M244" s="166">
        <v>126909</v>
      </c>
    </row>
    <row r="245" spans="1:13">
      <c r="A245" s="157" t="s">
        <v>1295</v>
      </c>
      <c r="B245" s="158" t="s">
        <v>1296</v>
      </c>
      <c r="C245" s="159">
        <f t="shared" si="12"/>
        <v>786</v>
      </c>
      <c r="D245" s="150">
        <v>2</v>
      </c>
      <c r="E245" s="150">
        <v>0</v>
      </c>
      <c r="F245" s="160">
        <f t="shared" si="13"/>
        <v>784</v>
      </c>
      <c r="G245" s="150">
        <v>14</v>
      </c>
      <c r="H245" s="160">
        <f t="shared" si="14"/>
        <v>770</v>
      </c>
      <c r="I245" s="160">
        <f t="shared" si="15"/>
        <v>764</v>
      </c>
      <c r="J245" s="150">
        <v>660</v>
      </c>
      <c r="K245" s="150">
        <v>104</v>
      </c>
      <c r="L245" s="151">
        <v>6</v>
      </c>
      <c r="M245" s="161">
        <v>34816</v>
      </c>
    </row>
    <row r="246" spans="1:13">
      <c r="A246" s="157" t="s">
        <v>1297</v>
      </c>
      <c r="B246" s="158" t="s">
        <v>1298</v>
      </c>
      <c r="C246" s="159">
        <f t="shared" si="12"/>
        <v>6402</v>
      </c>
      <c r="D246" s="160">
        <v>120</v>
      </c>
      <c r="E246" s="160">
        <v>34</v>
      </c>
      <c r="F246" s="160">
        <f t="shared" si="13"/>
        <v>6248</v>
      </c>
      <c r="G246" s="160">
        <v>156</v>
      </c>
      <c r="H246" s="160">
        <f t="shared" si="14"/>
        <v>6092</v>
      </c>
      <c r="I246" s="160">
        <f t="shared" si="15"/>
        <v>6012</v>
      </c>
      <c r="J246" s="160">
        <v>5173</v>
      </c>
      <c r="K246" s="160">
        <v>839</v>
      </c>
      <c r="L246" s="161">
        <v>80</v>
      </c>
      <c r="M246" s="156">
        <v>265073</v>
      </c>
    </row>
    <row r="247" spans="1:13">
      <c r="A247" s="147" t="s">
        <v>1299</v>
      </c>
      <c r="B247" s="148" t="s">
        <v>1300</v>
      </c>
      <c r="C247" s="149">
        <f t="shared" si="12"/>
        <v>1883</v>
      </c>
      <c r="D247" s="150">
        <v>7</v>
      </c>
      <c r="E247" s="150">
        <v>2</v>
      </c>
      <c r="F247" s="150">
        <f t="shared" si="13"/>
        <v>1874</v>
      </c>
      <c r="G247" s="150">
        <v>55</v>
      </c>
      <c r="H247" s="150">
        <f t="shared" si="14"/>
        <v>1819</v>
      </c>
      <c r="I247" s="150">
        <f t="shared" si="15"/>
        <v>1805</v>
      </c>
      <c r="J247" s="150">
        <v>1679</v>
      </c>
      <c r="K247" s="150">
        <v>126</v>
      </c>
      <c r="L247" s="151">
        <v>14</v>
      </c>
      <c r="M247" s="161">
        <v>72200</v>
      </c>
    </row>
    <row r="248" spans="1:13">
      <c r="A248" s="157" t="s">
        <v>1301</v>
      </c>
      <c r="B248" s="158" t="s">
        <v>1302</v>
      </c>
      <c r="C248" s="159">
        <f t="shared" si="12"/>
        <v>562</v>
      </c>
      <c r="D248" s="160">
        <v>126</v>
      </c>
      <c r="E248" s="160">
        <v>58</v>
      </c>
      <c r="F248" s="160">
        <f t="shared" si="13"/>
        <v>378</v>
      </c>
      <c r="G248" s="160">
        <v>37</v>
      </c>
      <c r="H248" s="160">
        <f t="shared" si="14"/>
        <v>341</v>
      </c>
      <c r="I248" s="160">
        <f t="shared" si="15"/>
        <v>321</v>
      </c>
      <c r="J248" s="160">
        <v>270</v>
      </c>
      <c r="K248" s="160">
        <v>51</v>
      </c>
      <c r="L248" s="161">
        <v>20</v>
      </c>
      <c r="M248" s="161">
        <v>6666</v>
      </c>
    </row>
    <row r="249" spans="1:13">
      <c r="A249" s="157" t="s">
        <v>1303</v>
      </c>
      <c r="B249" s="158" t="s">
        <v>1304</v>
      </c>
      <c r="C249" s="159">
        <f t="shared" si="12"/>
        <v>6301</v>
      </c>
      <c r="D249" s="160">
        <v>224</v>
      </c>
      <c r="E249" s="160">
        <v>89</v>
      </c>
      <c r="F249" s="160">
        <f t="shared" si="13"/>
        <v>5988</v>
      </c>
      <c r="G249" s="160">
        <v>388</v>
      </c>
      <c r="H249" s="160">
        <f t="shared" si="14"/>
        <v>5600</v>
      </c>
      <c r="I249" s="160">
        <f t="shared" si="15"/>
        <v>5529</v>
      </c>
      <c r="J249" s="160">
        <v>4974</v>
      </c>
      <c r="K249" s="160">
        <v>555</v>
      </c>
      <c r="L249" s="161">
        <v>71</v>
      </c>
      <c r="M249" s="161">
        <v>199928</v>
      </c>
    </row>
    <row r="250" spans="1:13">
      <c r="A250" s="152" t="s">
        <v>1305</v>
      </c>
      <c r="B250" s="153" t="s">
        <v>1306</v>
      </c>
      <c r="C250" s="154">
        <f t="shared" si="12"/>
        <v>1999</v>
      </c>
      <c r="D250" s="160">
        <v>166</v>
      </c>
      <c r="E250" s="160">
        <v>51</v>
      </c>
      <c r="F250" s="155">
        <f t="shared" si="13"/>
        <v>1782</v>
      </c>
      <c r="G250" s="160">
        <v>169</v>
      </c>
      <c r="H250" s="155">
        <f t="shared" si="14"/>
        <v>1613</v>
      </c>
      <c r="I250" s="155">
        <f t="shared" si="15"/>
        <v>1554</v>
      </c>
      <c r="J250" s="160">
        <v>1386</v>
      </c>
      <c r="K250" s="160">
        <v>168</v>
      </c>
      <c r="L250" s="161">
        <v>59</v>
      </c>
      <c r="M250" s="156">
        <v>33234</v>
      </c>
    </row>
    <row r="251" spans="1:13">
      <c r="A251" s="157" t="s">
        <v>1307</v>
      </c>
      <c r="B251" s="158" t="s">
        <v>1308</v>
      </c>
      <c r="C251" s="159">
        <f t="shared" si="12"/>
        <v>4200</v>
      </c>
      <c r="D251" s="150">
        <v>29</v>
      </c>
      <c r="E251" s="150">
        <v>10</v>
      </c>
      <c r="F251" s="160">
        <f t="shared" si="13"/>
        <v>4161</v>
      </c>
      <c r="G251" s="150">
        <v>125</v>
      </c>
      <c r="H251" s="160">
        <f t="shared" si="14"/>
        <v>4036</v>
      </c>
      <c r="I251" s="160">
        <f t="shared" si="15"/>
        <v>4026</v>
      </c>
      <c r="J251" s="150">
        <v>3531</v>
      </c>
      <c r="K251" s="150">
        <v>495</v>
      </c>
      <c r="L251" s="151">
        <v>10</v>
      </c>
      <c r="M251" s="161">
        <v>121536</v>
      </c>
    </row>
    <row r="252" spans="1:13">
      <c r="A252" s="157" t="s">
        <v>1309</v>
      </c>
      <c r="B252" s="158" t="s">
        <v>1310</v>
      </c>
      <c r="C252" s="159">
        <f t="shared" si="12"/>
        <v>741</v>
      </c>
      <c r="D252" s="160">
        <v>0</v>
      </c>
      <c r="E252" s="160">
        <v>0</v>
      </c>
      <c r="F252" s="160">
        <f t="shared" si="13"/>
        <v>741</v>
      </c>
      <c r="G252" s="160">
        <v>48</v>
      </c>
      <c r="H252" s="160">
        <f t="shared" si="14"/>
        <v>693</v>
      </c>
      <c r="I252" s="160">
        <f t="shared" si="15"/>
        <v>681</v>
      </c>
      <c r="J252" s="160">
        <v>609</v>
      </c>
      <c r="K252" s="160">
        <v>72</v>
      </c>
      <c r="L252" s="161">
        <v>12</v>
      </c>
      <c r="M252" s="156">
        <v>15653</v>
      </c>
    </row>
    <row r="253" spans="1:13">
      <c r="A253" s="147" t="s">
        <v>1311</v>
      </c>
      <c r="B253" s="148" t="s">
        <v>1312</v>
      </c>
      <c r="C253" s="149">
        <f t="shared" si="12"/>
        <v>3295</v>
      </c>
      <c r="D253" s="150">
        <v>1</v>
      </c>
      <c r="E253" s="150">
        <v>0</v>
      </c>
      <c r="F253" s="150">
        <f t="shared" si="13"/>
        <v>3294</v>
      </c>
      <c r="G253" s="150">
        <v>62</v>
      </c>
      <c r="H253" s="150">
        <f t="shared" si="14"/>
        <v>3232</v>
      </c>
      <c r="I253" s="150">
        <f t="shared" si="15"/>
        <v>3223</v>
      </c>
      <c r="J253" s="150">
        <v>2790</v>
      </c>
      <c r="K253" s="150">
        <v>433</v>
      </c>
      <c r="L253" s="151">
        <v>9</v>
      </c>
      <c r="M253" s="161">
        <v>113039</v>
      </c>
    </row>
    <row r="254" spans="1:13">
      <c r="A254" s="152" t="s">
        <v>1313</v>
      </c>
      <c r="B254" s="153" t="s">
        <v>1314</v>
      </c>
      <c r="C254" s="154">
        <f t="shared" si="12"/>
        <v>190</v>
      </c>
      <c r="D254" s="160">
        <v>0</v>
      </c>
      <c r="E254" s="160">
        <v>0</v>
      </c>
      <c r="F254" s="155">
        <f t="shared" si="13"/>
        <v>190</v>
      </c>
      <c r="G254" s="160">
        <v>1</v>
      </c>
      <c r="H254" s="155">
        <f t="shared" si="14"/>
        <v>189</v>
      </c>
      <c r="I254" s="155">
        <f t="shared" si="15"/>
        <v>188</v>
      </c>
      <c r="J254" s="160">
        <v>157</v>
      </c>
      <c r="K254" s="160">
        <v>31</v>
      </c>
      <c r="L254" s="161">
        <v>1</v>
      </c>
      <c r="M254" s="156">
        <v>12545</v>
      </c>
    </row>
    <row r="255" spans="1:13">
      <c r="A255" s="157" t="s">
        <v>1315</v>
      </c>
      <c r="B255" s="158" t="s">
        <v>1316</v>
      </c>
      <c r="C255" s="159">
        <f t="shared" si="12"/>
        <v>150</v>
      </c>
      <c r="D255" s="150">
        <v>9</v>
      </c>
      <c r="E255" s="150">
        <v>2</v>
      </c>
      <c r="F255" s="160">
        <f t="shared" si="13"/>
        <v>139</v>
      </c>
      <c r="G255" s="150">
        <v>8</v>
      </c>
      <c r="H255" s="160">
        <f t="shared" si="14"/>
        <v>131</v>
      </c>
      <c r="I255" s="160">
        <f t="shared" si="15"/>
        <v>130</v>
      </c>
      <c r="J255" s="150">
        <v>91</v>
      </c>
      <c r="K255" s="150">
        <v>39</v>
      </c>
      <c r="L255" s="151">
        <v>1</v>
      </c>
      <c r="M255" s="161">
        <v>4615</v>
      </c>
    </row>
    <row r="256" spans="1:13">
      <c r="A256" s="157" t="s">
        <v>1317</v>
      </c>
      <c r="B256" s="158" t="s">
        <v>1318</v>
      </c>
      <c r="C256" s="159">
        <f t="shared" si="12"/>
        <v>2309</v>
      </c>
      <c r="D256" s="160">
        <v>92</v>
      </c>
      <c r="E256" s="160">
        <v>16</v>
      </c>
      <c r="F256" s="160">
        <f t="shared" si="13"/>
        <v>2201</v>
      </c>
      <c r="G256" s="160">
        <v>118</v>
      </c>
      <c r="H256" s="160">
        <f t="shared" si="14"/>
        <v>2083</v>
      </c>
      <c r="I256" s="160">
        <f t="shared" si="15"/>
        <v>2075</v>
      </c>
      <c r="J256" s="160">
        <v>1819</v>
      </c>
      <c r="K256" s="160">
        <v>256</v>
      </c>
      <c r="L256" s="161">
        <v>8</v>
      </c>
      <c r="M256" s="156">
        <v>74314</v>
      </c>
    </row>
    <row r="257" spans="1:13">
      <c r="A257" s="147" t="s">
        <v>1319</v>
      </c>
      <c r="B257" s="148" t="s">
        <v>1320</v>
      </c>
      <c r="C257" s="149">
        <f t="shared" si="12"/>
        <v>104</v>
      </c>
      <c r="D257" s="150">
        <v>24</v>
      </c>
      <c r="E257" s="150">
        <v>7</v>
      </c>
      <c r="F257" s="150">
        <f t="shared" si="13"/>
        <v>73</v>
      </c>
      <c r="G257" s="150">
        <v>9</v>
      </c>
      <c r="H257" s="150">
        <f t="shared" si="14"/>
        <v>64</v>
      </c>
      <c r="I257" s="150">
        <f t="shared" si="15"/>
        <v>61</v>
      </c>
      <c r="J257" s="150">
        <v>36</v>
      </c>
      <c r="K257" s="150">
        <v>25</v>
      </c>
      <c r="L257" s="151">
        <v>3</v>
      </c>
      <c r="M257" s="161">
        <v>1162</v>
      </c>
    </row>
    <row r="258" spans="1:13">
      <c r="A258" s="213" t="s">
        <v>1321</v>
      </c>
      <c r="B258" s="214" t="s">
        <v>1322</v>
      </c>
      <c r="C258" s="154">
        <f t="shared" si="12"/>
        <v>3701</v>
      </c>
      <c r="D258" s="155">
        <v>343</v>
      </c>
      <c r="E258" s="155">
        <v>186</v>
      </c>
      <c r="F258" s="155">
        <f t="shared" si="13"/>
        <v>3172</v>
      </c>
      <c r="G258" s="155">
        <v>244</v>
      </c>
      <c r="H258" s="155">
        <f t="shared" si="14"/>
        <v>2928</v>
      </c>
      <c r="I258" s="155">
        <f t="shared" si="15"/>
        <v>2876</v>
      </c>
      <c r="J258" s="155">
        <v>2152</v>
      </c>
      <c r="K258" s="155">
        <v>724</v>
      </c>
      <c r="L258" s="156">
        <v>52</v>
      </c>
      <c r="M258" s="156">
        <v>58157</v>
      </c>
    </row>
    <row r="259" spans="1:13">
      <c r="A259" s="157" t="s">
        <v>1323</v>
      </c>
      <c r="B259" s="158" t="s">
        <v>1324</v>
      </c>
      <c r="C259" s="159">
        <f t="shared" si="12"/>
        <v>3059</v>
      </c>
      <c r="D259" s="150">
        <v>680</v>
      </c>
      <c r="E259" s="150">
        <v>197</v>
      </c>
      <c r="F259" s="160">
        <f t="shared" si="13"/>
        <v>2182</v>
      </c>
      <c r="G259" s="150">
        <v>299</v>
      </c>
      <c r="H259" s="160">
        <f t="shared" si="14"/>
        <v>1883</v>
      </c>
      <c r="I259" s="160">
        <f t="shared" si="15"/>
        <v>1856</v>
      </c>
      <c r="J259" s="150">
        <v>1340</v>
      </c>
      <c r="K259" s="150">
        <v>516</v>
      </c>
      <c r="L259" s="151">
        <v>27</v>
      </c>
      <c r="M259" s="161">
        <v>25722</v>
      </c>
    </row>
    <row r="260" spans="1:13">
      <c r="A260" s="157" t="s">
        <v>1325</v>
      </c>
      <c r="B260" s="158" t="s">
        <v>1326</v>
      </c>
      <c r="C260" s="159">
        <f t="shared" si="12"/>
        <v>32</v>
      </c>
      <c r="D260" s="160">
        <v>0</v>
      </c>
      <c r="E260" s="160">
        <v>0</v>
      </c>
      <c r="F260" s="160">
        <f t="shared" si="13"/>
        <v>32</v>
      </c>
      <c r="G260" s="160">
        <v>1</v>
      </c>
      <c r="H260" s="160">
        <f t="shared" si="14"/>
        <v>31</v>
      </c>
      <c r="I260" s="160">
        <f t="shared" si="15"/>
        <v>31</v>
      </c>
      <c r="J260" s="160">
        <v>23</v>
      </c>
      <c r="K260" s="160">
        <v>8</v>
      </c>
      <c r="L260" s="161">
        <v>0</v>
      </c>
      <c r="M260" s="161">
        <v>781</v>
      </c>
    </row>
    <row r="261" spans="1:13">
      <c r="A261" s="157" t="s">
        <v>1327</v>
      </c>
      <c r="B261" s="158" t="s">
        <v>1328</v>
      </c>
      <c r="C261" s="159">
        <f t="shared" si="12"/>
        <v>0</v>
      </c>
      <c r="D261" s="160">
        <v>0</v>
      </c>
      <c r="E261" s="160">
        <v>0</v>
      </c>
      <c r="F261" s="160">
        <f t="shared" si="13"/>
        <v>0</v>
      </c>
      <c r="G261" s="160">
        <v>0</v>
      </c>
      <c r="H261" s="160">
        <f t="shared" si="14"/>
        <v>0</v>
      </c>
      <c r="I261" s="160">
        <f t="shared" si="15"/>
        <v>0</v>
      </c>
      <c r="J261" s="160">
        <v>0</v>
      </c>
      <c r="K261" s="160">
        <v>0</v>
      </c>
      <c r="L261" s="161">
        <v>0</v>
      </c>
      <c r="M261" s="161">
        <v>0</v>
      </c>
    </row>
    <row r="262" spans="1:13">
      <c r="A262" s="157" t="s">
        <v>1329</v>
      </c>
      <c r="B262" s="158" t="s">
        <v>1330</v>
      </c>
      <c r="C262" s="159">
        <f t="shared" si="12"/>
        <v>72</v>
      </c>
      <c r="D262" s="160">
        <v>8</v>
      </c>
      <c r="E262" s="160">
        <v>3</v>
      </c>
      <c r="F262" s="160">
        <f t="shared" si="13"/>
        <v>61</v>
      </c>
      <c r="G262" s="160">
        <v>5</v>
      </c>
      <c r="H262" s="160">
        <f t="shared" si="14"/>
        <v>56</v>
      </c>
      <c r="I262" s="160">
        <f t="shared" si="15"/>
        <v>55</v>
      </c>
      <c r="J262" s="160">
        <v>34</v>
      </c>
      <c r="K262" s="160">
        <v>21</v>
      </c>
      <c r="L262" s="161">
        <v>1</v>
      </c>
      <c r="M262" s="161">
        <v>1048</v>
      </c>
    </row>
    <row r="263" spans="1:13">
      <c r="A263" s="157" t="s">
        <v>1331</v>
      </c>
      <c r="B263" s="158" t="s">
        <v>1332</v>
      </c>
      <c r="C263" s="159">
        <f t="shared" ref="C263:C326" si="16">D263+E263+F263</f>
        <v>1304</v>
      </c>
      <c r="D263" s="160">
        <v>555</v>
      </c>
      <c r="E263" s="160">
        <v>189</v>
      </c>
      <c r="F263" s="160">
        <f t="shared" ref="F263:F326" si="17">G263+H263</f>
        <v>560</v>
      </c>
      <c r="G263" s="160">
        <v>181</v>
      </c>
      <c r="H263" s="160">
        <f t="shared" ref="H263:H326" si="18">I263+L263</f>
        <v>379</v>
      </c>
      <c r="I263" s="160">
        <f t="shared" ref="I263:I326" si="19">J263+K263</f>
        <v>350</v>
      </c>
      <c r="J263" s="160">
        <v>258</v>
      </c>
      <c r="K263" s="160">
        <v>92</v>
      </c>
      <c r="L263" s="161">
        <v>29</v>
      </c>
      <c r="M263" s="161">
        <v>4766</v>
      </c>
    </row>
    <row r="264" spans="1:13">
      <c r="A264" s="157" t="s">
        <v>1333</v>
      </c>
      <c r="B264" s="158" t="s">
        <v>1334</v>
      </c>
      <c r="C264" s="159">
        <f t="shared" si="16"/>
        <v>0</v>
      </c>
      <c r="D264" s="160">
        <v>0</v>
      </c>
      <c r="E264" s="160">
        <v>0</v>
      </c>
      <c r="F264" s="160">
        <f t="shared" si="17"/>
        <v>0</v>
      </c>
      <c r="G264" s="160">
        <v>0</v>
      </c>
      <c r="H264" s="160">
        <f t="shared" si="18"/>
        <v>0</v>
      </c>
      <c r="I264" s="160">
        <f t="shared" si="19"/>
        <v>0</v>
      </c>
      <c r="J264" s="160">
        <v>0</v>
      </c>
      <c r="K264" s="160">
        <v>0</v>
      </c>
      <c r="L264" s="161">
        <v>0</v>
      </c>
      <c r="M264" s="161">
        <v>33</v>
      </c>
    </row>
    <row r="265" spans="1:13">
      <c r="A265" s="157" t="s">
        <v>1335</v>
      </c>
      <c r="B265" s="158" t="s">
        <v>1336</v>
      </c>
      <c r="C265" s="159">
        <f t="shared" si="16"/>
        <v>12224</v>
      </c>
      <c r="D265" s="160">
        <v>2295</v>
      </c>
      <c r="E265" s="160">
        <v>752</v>
      </c>
      <c r="F265" s="160">
        <f t="shared" si="17"/>
        <v>9177</v>
      </c>
      <c r="G265" s="160">
        <v>1293</v>
      </c>
      <c r="H265" s="160">
        <f t="shared" si="18"/>
        <v>7884</v>
      </c>
      <c r="I265" s="160">
        <f t="shared" si="19"/>
        <v>7610</v>
      </c>
      <c r="J265" s="160">
        <v>5837</v>
      </c>
      <c r="K265" s="160">
        <v>1773</v>
      </c>
      <c r="L265" s="161">
        <v>274</v>
      </c>
      <c r="M265" s="156">
        <v>130807</v>
      </c>
    </row>
    <row r="266" spans="1:13">
      <c r="A266" s="162" t="s">
        <v>1337</v>
      </c>
      <c r="B266" s="163" t="s">
        <v>1338</v>
      </c>
      <c r="C266" s="164">
        <f t="shared" si="16"/>
        <v>4132</v>
      </c>
      <c r="D266" s="150">
        <v>556</v>
      </c>
      <c r="E266" s="150">
        <v>159</v>
      </c>
      <c r="F266" s="165">
        <f t="shared" si="17"/>
        <v>3417</v>
      </c>
      <c r="G266" s="150">
        <v>456</v>
      </c>
      <c r="H266" s="165">
        <f t="shared" si="18"/>
        <v>2961</v>
      </c>
      <c r="I266" s="165">
        <f t="shared" si="19"/>
        <v>2854</v>
      </c>
      <c r="J266" s="150">
        <v>2169</v>
      </c>
      <c r="K266" s="150">
        <v>685</v>
      </c>
      <c r="L266" s="151">
        <v>107</v>
      </c>
      <c r="M266" s="166">
        <v>63251</v>
      </c>
    </row>
    <row r="267" spans="1:13">
      <c r="A267" s="157" t="s">
        <v>1339</v>
      </c>
      <c r="B267" s="158" t="s">
        <v>1340</v>
      </c>
      <c r="C267" s="159">
        <f t="shared" si="16"/>
        <v>28075</v>
      </c>
      <c r="D267" s="150">
        <v>2929</v>
      </c>
      <c r="E267" s="150">
        <v>893</v>
      </c>
      <c r="F267" s="160">
        <f t="shared" si="17"/>
        <v>24253</v>
      </c>
      <c r="G267" s="150">
        <v>3942</v>
      </c>
      <c r="H267" s="160">
        <f t="shared" si="18"/>
        <v>20311</v>
      </c>
      <c r="I267" s="160">
        <f t="shared" si="19"/>
        <v>19143</v>
      </c>
      <c r="J267" s="150">
        <v>16518</v>
      </c>
      <c r="K267" s="150">
        <v>2625</v>
      </c>
      <c r="L267" s="151">
        <v>1168</v>
      </c>
      <c r="M267" s="161">
        <v>306772</v>
      </c>
    </row>
    <row r="268" spans="1:13">
      <c r="A268" s="157" t="s">
        <v>1341</v>
      </c>
      <c r="B268" s="158" t="s">
        <v>1342</v>
      </c>
      <c r="C268" s="159">
        <f t="shared" si="16"/>
        <v>23154</v>
      </c>
      <c r="D268" s="160">
        <v>2404</v>
      </c>
      <c r="E268" s="160">
        <v>706</v>
      </c>
      <c r="F268" s="160">
        <f t="shared" si="17"/>
        <v>20044</v>
      </c>
      <c r="G268" s="160">
        <v>3218</v>
      </c>
      <c r="H268" s="160">
        <f t="shared" si="18"/>
        <v>16826</v>
      </c>
      <c r="I268" s="160">
        <f t="shared" si="19"/>
        <v>15873</v>
      </c>
      <c r="J268" s="160">
        <v>14383</v>
      </c>
      <c r="K268" s="160">
        <v>1490</v>
      </c>
      <c r="L268" s="161">
        <v>953</v>
      </c>
      <c r="M268" s="156">
        <v>287011</v>
      </c>
    </row>
    <row r="269" spans="1:13">
      <c r="A269" s="147" t="s">
        <v>1343</v>
      </c>
      <c r="B269" s="148" t="s">
        <v>1344</v>
      </c>
      <c r="C269" s="149">
        <f t="shared" si="16"/>
        <v>1308</v>
      </c>
      <c r="D269" s="150">
        <v>97</v>
      </c>
      <c r="E269" s="150">
        <v>30</v>
      </c>
      <c r="F269" s="150">
        <f t="shared" si="17"/>
        <v>1181</v>
      </c>
      <c r="G269" s="150">
        <v>131</v>
      </c>
      <c r="H269" s="150">
        <f t="shared" si="18"/>
        <v>1050</v>
      </c>
      <c r="I269" s="150">
        <f t="shared" si="19"/>
        <v>1012</v>
      </c>
      <c r="J269" s="150">
        <v>586</v>
      </c>
      <c r="K269" s="150">
        <v>426</v>
      </c>
      <c r="L269" s="151">
        <v>38</v>
      </c>
      <c r="M269" s="161">
        <v>13312</v>
      </c>
    </row>
    <row r="270" spans="1:13">
      <c r="A270" s="152" t="s">
        <v>1345</v>
      </c>
      <c r="B270" s="153" t="s">
        <v>1346</v>
      </c>
      <c r="C270" s="154">
        <f t="shared" si="16"/>
        <v>29042</v>
      </c>
      <c r="D270" s="160">
        <v>3078</v>
      </c>
      <c r="E270" s="160">
        <v>884</v>
      </c>
      <c r="F270" s="155">
        <f t="shared" si="17"/>
        <v>25080</v>
      </c>
      <c r="G270" s="160">
        <v>4028</v>
      </c>
      <c r="H270" s="155">
        <f t="shared" si="18"/>
        <v>21052</v>
      </c>
      <c r="I270" s="155">
        <f t="shared" si="19"/>
        <v>19870</v>
      </c>
      <c r="J270" s="160">
        <v>18005</v>
      </c>
      <c r="K270" s="160">
        <v>1865</v>
      </c>
      <c r="L270" s="161">
        <v>1182</v>
      </c>
      <c r="M270" s="156">
        <v>435941</v>
      </c>
    </row>
    <row r="271" spans="1:13">
      <c r="A271" s="157" t="s">
        <v>1347</v>
      </c>
      <c r="B271" s="158" t="s">
        <v>1348</v>
      </c>
      <c r="C271" s="159">
        <f t="shared" si="16"/>
        <v>21236</v>
      </c>
      <c r="D271" s="150">
        <v>2370</v>
      </c>
      <c r="E271" s="150">
        <v>675</v>
      </c>
      <c r="F271" s="160">
        <f t="shared" si="17"/>
        <v>18191</v>
      </c>
      <c r="G271" s="150">
        <v>2980</v>
      </c>
      <c r="H271" s="160">
        <f t="shared" si="18"/>
        <v>15211</v>
      </c>
      <c r="I271" s="160">
        <f t="shared" si="19"/>
        <v>14340</v>
      </c>
      <c r="J271" s="150">
        <v>12007</v>
      </c>
      <c r="K271" s="150">
        <v>2333</v>
      </c>
      <c r="L271" s="151">
        <v>871</v>
      </c>
      <c r="M271" s="166">
        <v>261108</v>
      </c>
    </row>
    <row r="272" spans="1:13">
      <c r="A272" s="147" t="s">
        <v>1349</v>
      </c>
      <c r="B272" s="148" t="s">
        <v>1350</v>
      </c>
      <c r="C272" s="149">
        <f t="shared" si="16"/>
        <v>15218</v>
      </c>
      <c r="D272" s="150">
        <v>1654</v>
      </c>
      <c r="E272" s="150">
        <v>466</v>
      </c>
      <c r="F272" s="150">
        <f t="shared" si="17"/>
        <v>13098</v>
      </c>
      <c r="G272" s="150">
        <v>2129</v>
      </c>
      <c r="H272" s="150">
        <f t="shared" si="18"/>
        <v>10969</v>
      </c>
      <c r="I272" s="150">
        <f t="shared" si="19"/>
        <v>10344</v>
      </c>
      <c r="J272" s="150">
        <v>8880</v>
      </c>
      <c r="K272" s="150">
        <v>1464</v>
      </c>
      <c r="L272" s="151">
        <v>625</v>
      </c>
      <c r="M272" s="161">
        <v>165302</v>
      </c>
    </row>
    <row r="273" spans="1:13">
      <c r="A273" s="157" t="s">
        <v>1351</v>
      </c>
      <c r="B273" s="158" t="s">
        <v>1352</v>
      </c>
      <c r="C273" s="159">
        <f t="shared" si="16"/>
        <v>11343</v>
      </c>
      <c r="D273" s="160">
        <v>1345</v>
      </c>
      <c r="E273" s="160">
        <v>345</v>
      </c>
      <c r="F273" s="160">
        <f t="shared" si="17"/>
        <v>9653</v>
      </c>
      <c r="G273" s="160">
        <v>1572</v>
      </c>
      <c r="H273" s="160">
        <f t="shared" si="18"/>
        <v>8081</v>
      </c>
      <c r="I273" s="160">
        <f t="shared" si="19"/>
        <v>7623</v>
      </c>
      <c r="J273" s="160">
        <v>6544</v>
      </c>
      <c r="K273" s="160">
        <v>1079</v>
      </c>
      <c r="L273" s="161">
        <v>458</v>
      </c>
      <c r="M273" s="161">
        <v>145818</v>
      </c>
    </row>
    <row r="274" spans="1:13">
      <c r="A274" s="152" t="s">
        <v>1353</v>
      </c>
      <c r="B274" s="153" t="s">
        <v>1354</v>
      </c>
      <c r="C274" s="154">
        <f t="shared" si="16"/>
        <v>1773</v>
      </c>
      <c r="D274" s="160">
        <v>317</v>
      </c>
      <c r="E274" s="160">
        <v>65</v>
      </c>
      <c r="F274" s="155">
        <f t="shared" si="17"/>
        <v>1391</v>
      </c>
      <c r="G274" s="160">
        <v>227</v>
      </c>
      <c r="H274" s="155">
        <f t="shared" si="18"/>
        <v>1164</v>
      </c>
      <c r="I274" s="155">
        <f t="shared" si="19"/>
        <v>1096</v>
      </c>
      <c r="J274" s="160">
        <v>939</v>
      </c>
      <c r="K274" s="160">
        <v>157</v>
      </c>
      <c r="L274" s="161">
        <v>68</v>
      </c>
      <c r="M274" s="156">
        <v>15867</v>
      </c>
    </row>
    <row r="275" spans="1:13">
      <c r="A275" s="157" t="s">
        <v>1355</v>
      </c>
      <c r="B275" s="158" t="s">
        <v>1356</v>
      </c>
      <c r="C275" s="159">
        <f t="shared" si="16"/>
        <v>3535</v>
      </c>
      <c r="D275" s="150">
        <v>356</v>
      </c>
      <c r="E275" s="150">
        <v>97</v>
      </c>
      <c r="F275" s="160">
        <f t="shared" si="17"/>
        <v>3082</v>
      </c>
      <c r="G275" s="150">
        <v>444</v>
      </c>
      <c r="H275" s="160">
        <f t="shared" si="18"/>
        <v>2638</v>
      </c>
      <c r="I275" s="160">
        <f t="shared" si="19"/>
        <v>2504</v>
      </c>
      <c r="J275" s="150">
        <v>2195</v>
      </c>
      <c r="K275" s="150">
        <v>309</v>
      </c>
      <c r="L275" s="151">
        <v>134</v>
      </c>
      <c r="M275" s="161">
        <v>38722</v>
      </c>
    </row>
    <row r="276" spans="1:13">
      <c r="A276" s="157" t="s">
        <v>1357</v>
      </c>
      <c r="B276" s="158" t="s">
        <v>1358</v>
      </c>
      <c r="C276" s="159">
        <f t="shared" si="16"/>
        <v>1350</v>
      </c>
      <c r="D276" s="160">
        <v>155</v>
      </c>
      <c r="E276" s="160">
        <v>40</v>
      </c>
      <c r="F276" s="160">
        <f t="shared" si="17"/>
        <v>1155</v>
      </c>
      <c r="G276" s="160">
        <v>183</v>
      </c>
      <c r="H276" s="160">
        <f t="shared" si="18"/>
        <v>972</v>
      </c>
      <c r="I276" s="160">
        <f t="shared" si="19"/>
        <v>918</v>
      </c>
      <c r="J276" s="160">
        <v>845</v>
      </c>
      <c r="K276" s="160">
        <v>73</v>
      </c>
      <c r="L276" s="161">
        <v>54</v>
      </c>
      <c r="M276" s="161">
        <v>14286</v>
      </c>
    </row>
    <row r="277" spans="1:13">
      <c r="A277" s="157" t="s">
        <v>1359</v>
      </c>
      <c r="B277" s="158" t="s">
        <v>1360</v>
      </c>
      <c r="C277" s="159">
        <f t="shared" si="16"/>
        <v>1109</v>
      </c>
      <c r="D277" s="160">
        <v>112</v>
      </c>
      <c r="E277" s="160">
        <v>34</v>
      </c>
      <c r="F277" s="160">
        <f t="shared" si="17"/>
        <v>963</v>
      </c>
      <c r="G277" s="160">
        <v>155</v>
      </c>
      <c r="H277" s="160">
        <f t="shared" si="18"/>
        <v>808</v>
      </c>
      <c r="I277" s="160">
        <f t="shared" si="19"/>
        <v>761</v>
      </c>
      <c r="J277" s="160">
        <v>674</v>
      </c>
      <c r="K277" s="160">
        <v>87</v>
      </c>
      <c r="L277" s="161">
        <v>47</v>
      </c>
      <c r="M277" s="161">
        <v>8603</v>
      </c>
    </row>
    <row r="278" spans="1:13">
      <c r="A278" s="157" t="s">
        <v>1361</v>
      </c>
      <c r="B278" s="158" t="s">
        <v>1362</v>
      </c>
      <c r="C278" s="159">
        <f t="shared" si="16"/>
        <v>13497</v>
      </c>
      <c r="D278" s="160">
        <v>1350</v>
      </c>
      <c r="E278" s="160">
        <v>417</v>
      </c>
      <c r="F278" s="160">
        <f t="shared" si="17"/>
        <v>11730</v>
      </c>
      <c r="G278" s="160">
        <v>1900</v>
      </c>
      <c r="H278" s="160">
        <f t="shared" si="18"/>
        <v>9830</v>
      </c>
      <c r="I278" s="160">
        <f t="shared" si="19"/>
        <v>9274</v>
      </c>
      <c r="J278" s="160">
        <v>8130</v>
      </c>
      <c r="K278" s="160">
        <v>1144</v>
      </c>
      <c r="L278" s="161">
        <v>556</v>
      </c>
      <c r="M278" s="156">
        <v>159491</v>
      </c>
    </row>
    <row r="279" spans="1:13">
      <c r="A279" s="147">
        <v>461101</v>
      </c>
      <c r="B279" s="148" t="s">
        <v>1363</v>
      </c>
      <c r="C279" s="149">
        <f t="shared" si="16"/>
        <v>4030</v>
      </c>
      <c r="D279" s="150">
        <v>0</v>
      </c>
      <c r="E279" s="150">
        <v>0</v>
      </c>
      <c r="F279" s="150">
        <f t="shared" si="17"/>
        <v>4030</v>
      </c>
      <c r="G279" s="150">
        <v>66</v>
      </c>
      <c r="H279" s="150">
        <f t="shared" si="18"/>
        <v>3964</v>
      </c>
      <c r="I279" s="150">
        <f t="shared" si="19"/>
        <v>3959</v>
      </c>
      <c r="J279" s="150">
        <v>3820</v>
      </c>
      <c r="K279" s="150">
        <v>139</v>
      </c>
      <c r="L279" s="151">
        <v>5</v>
      </c>
      <c r="M279" s="161">
        <v>580915</v>
      </c>
    </row>
    <row r="280" spans="1:13">
      <c r="A280" s="157">
        <v>461102</v>
      </c>
      <c r="B280" s="158" t="s">
        <v>1364</v>
      </c>
      <c r="C280" s="159">
        <f t="shared" si="16"/>
        <v>198</v>
      </c>
      <c r="D280" s="160">
        <v>0</v>
      </c>
      <c r="E280" s="160">
        <v>0</v>
      </c>
      <c r="F280" s="160">
        <f t="shared" si="17"/>
        <v>198</v>
      </c>
      <c r="G280" s="160">
        <v>4</v>
      </c>
      <c r="H280" s="160">
        <f t="shared" si="18"/>
        <v>194</v>
      </c>
      <c r="I280" s="160">
        <f t="shared" si="19"/>
        <v>193</v>
      </c>
      <c r="J280" s="160">
        <v>183</v>
      </c>
      <c r="K280" s="160">
        <v>10</v>
      </c>
      <c r="L280" s="161">
        <v>1</v>
      </c>
      <c r="M280" s="161">
        <v>8273</v>
      </c>
    </row>
    <row r="281" spans="1:13">
      <c r="A281" s="152">
        <v>461103</v>
      </c>
      <c r="B281" s="153" t="s">
        <v>1365</v>
      </c>
      <c r="C281" s="154">
        <f t="shared" si="16"/>
        <v>1467</v>
      </c>
      <c r="D281" s="160">
        <v>0</v>
      </c>
      <c r="E281" s="160">
        <v>0</v>
      </c>
      <c r="F281" s="155">
        <f t="shared" si="17"/>
        <v>1467</v>
      </c>
      <c r="G281" s="160">
        <v>0</v>
      </c>
      <c r="H281" s="155">
        <f t="shared" si="18"/>
        <v>1467</v>
      </c>
      <c r="I281" s="155">
        <f t="shared" si="19"/>
        <v>1463</v>
      </c>
      <c r="J281" s="160">
        <v>1390</v>
      </c>
      <c r="K281" s="160">
        <v>73</v>
      </c>
      <c r="L281" s="161">
        <v>4</v>
      </c>
      <c r="M281" s="156">
        <v>190411</v>
      </c>
    </row>
    <row r="282" spans="1:13">
      <c r="A282" s="157" t="s">
        <v>1366</v>
      </c>
      <c r="B282" s="158" t="s">
        <v>1367</v>
      </c>
      <c r="C282" s="159">
        <f t="shared" si="16"/>
        <v>4048</v>
      </c>
      <c r="D282" s="150">
        <v>0</v>
      </c>
      <c r="E282" s="150">
        <v>0</v>
      </c>
      <c r="F282" s="160">
        <f t="shared" si="17"/>
        <v>4048</v>
      </c>
      <c r="G282" s="150">
        <v>106</v>
      </c>
      <c r="H282" s="160">
        <f t="shared" si="18"/>
        <v>3942</v>
      </c>
      <c r="I282" s="160">
        <f t="shared" si="19"/>
        <v>3930</v>
      </c>
      <c r="J282" s="150">
        <v>3519</v>
      </c>
      <c r="K282" s="150">
        <v>411</v>
      </c>
      <c r="L282" s="151">
        <v>12</v>
      </c>
      <c r="M282" s="166">
        <v>311810</v>
      </c>
    </row>
    <row r="283" spans="1:13">
      <c r="A283" s="162" t="s">
        <v>1368</v>
      </c>
      <c r="B283" s="163" t="s">
        <v>1369</v>
      </c>
      <c r="C283" s="164">
        <f t="shared" si="16"/>
        <v>50</v>
      </c>
      <c r="D283" s="150">
        <v>0</v>
      </c>
      <c r="E283" s="150">
        <v>0</v>
      </c>
      <c r="F283" s="165">
        <f t="shared" si="17"/>
        <v>50</v>
      </c>
      <c r="G283" s="150">
        <v>3</v>
      </c>
      <c r="H283" s="165">
        <f t="shared" si="18"/>
        <v>47</v>
      </c>
      <c r="I283" s="165">
        <f t="shared" si="19"/>
        <v>47</v>
      </c>
      <c r="J283" s="150">
        <v>42</v>
      </c>
      <c r="K283" s="150">
        <v>5</v>
      </c>
      <c r="L283" s="151">
        <v>0</v>
      </c>
      <c r="M283" s="166">
        <v>3603</v>
      </c>
    </row>
    <row r="284" spans="1:13">
      <c r="A284" s="157" t="s">
        <v>1370</v>
      </c>
      <c r="B284" s="158" t="s">
        <v>1371</v>
      </c>
      <c r="C284" s="159">
        <f t="shared" si="16"/>
        <v>2612</v>
      </c>
      <c r="D284" s="150">
        <v>0</v>
      </c>
      <c r="E284" s="150">
        <v>0</v>
      </c>
      <c r="F284" s="160">
        <f t="shared" si="17"/>
        <v>2612</v>
      </c>
      <c r="G284" s="150">
        <v>6</v>
      </c>
      <c r="H284" s="160">
        <f t="shared" si="18"/>
        <v>2606</v>
      </c>
      <c r="I284" s="160">
        <f t="shared" si="19"/>
        <v>2582</v>
      </c>
      <c r="J284" s="150">
        <v>2276</v>
      </c>
      <c r="K284" s="150">
        <v>306</v>
      </c>
      <c r="L284" s="151">
        <v>24</v>
      </c>
      <c r="M284" s="161">
        <v>108020</v>
      </c>
    </row>
    <row r="285" spans="1:13">
      <c r="A285" s="157" t="s">
        <v>1372</v>
      </c>
      <c r="B285" s="158" t="s">
        <v>1373</v>
      </c>
      <c r="C285" s="159">
        <f t="shared" si="16"/>
        <v>99</v>
      </c>
      <c r="D285" s="160">
        <v>0</v>
      </c>
      <c r="E285" s="160">
        <v>0</v>
      </c>
      <c r="F285" s="160">
        <f t="shared" si="17"/>
        <v>99</v>
      </c>
      <c r="G285" s="160">
        <v>0</v>
      </c>
      <c r="H285" s="160">
        <f t="shared" si="18"/>
        <v>99</v>
      </c>
      <c r="I285" s="160">
        <f t="shared" si="19"/>
        <v>98</v>
      </c>
      <c r="J285" s="160">
        <v>83</v>
      </c>
      <c r="K285" s="160">
        <v>15</v>
      </c>
      <c r="L285" s="161">
        <v>1</v>
      </c>
      <c r="M285" s="161">
        <v>7305</v>
      </c>
    </row>
    <row r="286" spans="1:13">
      <c r="A286" s="157" t="s">
        <v>1374</v>
      </c>
      <c r="B286" s="158" t="s">
        <v>1375</v>
      </c>
      <c r="C286" s="159">
        <f t="shared" si="16"/>
        <v>1292</v>
      </c>
      <c r="D286" s="160">
        <v>0</v>
      </c>
      <c r="E286" s="160">
        <v>0</v>
      </c>
      <c r="F286" s="160">
        <f t="shared" si="17"/>
        <v>1292</v>
      </c>
      <c r="G286" s="160">
        <v>0</v>
      </c>
      <c r="H286" s="160">
        <f t="shared" si="18"/>
        <v>1292</v>
      </c>
      <c r="I286" s="160">
        <f t="shared" si="19"/>
        <v>1284</v>
      </c>
      <c r="J286" s="160">
        <v>1122</v>
      </c>
      <c r="K286" s="160">
        <v>162</v>
      </c>
      <c r="L286" s="161">
        <v>8</v>
      </c>
      <c r="M286" s="156">
        <v>72475</v>
      </c>
    </row>
    <row r="287" spans="1:13">
      <c r="A287" s="147" t="s">
        <v>1376</v>
      </c>
      <c r="B287" s="148" t="s">
        <v>1377</v>
      </c>
      <c r="C287" s="149">
        <f t="shared" si="16"/>
        <v>3678</v>
      </c>
      <c r="D287" s="150">
        <v>0</v>
      </c>
      <c r="E287" s="150">
        <v>0</v>
      </c>
      <c r="F287" s="150">
        <f t="shared" si="17"/>
        <v>3678</v>
      </c>
      <c r="G287" s="150">
        <v>0</v>
      </c>
      <c r="H287" s="150">
        <f t="shared" si="18"/>
        <v>3678</v>
      </c>
      <c r="I287" s="150">
        <f t="shared" si="19"/>
        <v>3607</v>
      </c>
      <c r="J287" s="150">
        <v>2928</v>
      </c>
      <c r="K287" s="150">
        <v>679</v>
      </c>
      <c r="L287" s="151">
        <v>71</v>
      </c>
      <c r="M287" s="161">
        <v>40887</v>
      </c>
    </row>
    <row r="288" spans="1:13">
      <c r="A288" s="152" t="s">
        <v>1378</v>
      </c>
      <c r="B288" s="153" t="s">
        <v>1379</v>
      </c>
      <c r="C288" s="154">
        <f t="shared" si="16"/>
        <v>14218</v>
      </c>
      <c r="D288" s="160">
        <v>400</v>
      </c>
      <c r="E288" s="160">
        <v>149</v>
      </c>
      <c r="F288" s="155">
        <f t="shared" si="17"/>
        <v>13669</v>
      </c>
      <c r="G288" s="160">
        <v>1324</v>
      </c>
      <c r="H288" s="155">
        <f t="shared" si="18"/>
        <v>12345</v>
      </c>
      <c r="I288" s="155">
        <f t="shared" si="19"/>
        <v>11976</v>
      </c>
      <c r="J288" s="160">
        <v>9552</v>
      </c>
      <c r="K288" s="160">
        <v>2424</v>
      </c>
      <c r="L288" s="161">
        <v>369</v>
      </c>
      <c r="M288" s="156">
        <v>137049</v>
      </c>
    </row>
    <row r="289" spans="1:13">
      <c r="A289" s="157" t="s">
        <v>1380</v>
      </c>
      <c r="B289" s="158" t="s">
        <v>1381</v>
      </c>
      <c r="C289" s="159">
        <f t="shared" si="16"/>
        <v>68692</v>
      </c>
      <c r="D289" s="150">
        <v>1576</v>
      </c>
      <c r="E289" s="150">
        <v>604</v>
      </c>
      <c r="F289" s="160">
        <f t="shared" si="17"/>
        <v>66512</v>
      </c>
      <c r="G289" s="150">
        <v>5826</v>
      </c>
      <c r="H289" s="160">
        <f t="shared" si="18"/>
        <v>60686</v>
      </c>
      <c r="I289" s="160">
        <f t="shared" si="19"/>
        <v>59459</v>
      </c>
      <c r="J289" s="150">
        <v>48397</v>
      </c>
      <c r="K289" s="150">
        <v>11062</v>
      </c>
      <c r="L289" s="151">
        <v>1227</v>
      </c>
      <c r="M289" s="166">
        <v>1112677</v>
      </c>
    </row>
    <row r="290" spans="1:13">
      <c r="A290" s="162" t="s">
        <v>1382</v>
      </c>
      <c r="B290" s="163" t="s">
        <v>1383</v>
      </c>
      <c r="C290" s="164">
        <f t="shared" si="16"/>
        <v>307366</v>
      </c>
      <c r="D290" s="150">
        <v>22840</v>
      </c>
      <c r="E290" s="150">
        <v>10813</v>
      </c>
      <c r="F290" s="165">
        <f t="shared" si="17"/>
        <v>273713</v>
      </c>
      <c r="G290" s="150">
        <v>15076</v>
      </c>
      <c r="H290" s="165">
        <f t="shared" si="18"/>
        <v>258637</v>
      </c>
      <c r="I290" s="165">
        <f t="shared" si="19"/>
        <v>249075</v>
      </c>
      <c r="J290" s="150">
        <v>93067</v>
      </c>
      <c r="K290" s="150">
        <v>156008</v>
      </c>
      <c r="L290" s="151">
        <v>9562</v>
      </c>
      <c r="M290" s="166">
        <v>1764988</v>
      </c>
    </row>
    <row r="291" spans="1:13">
      <c r="A291" s="157" t="s">
        <v>1384</v>
      </c>
      <c r="B291" s="158" t="s">
        <v>1385</v>
      </c>
      <c r="C291" s="159">
        <f t="shared" si="16"/>
        <v>27382</v>
      </c>
      <c r="D291" s="150">
        <v>27</v>
      </c>
      <c r="E291" s="150">
        <v>6</v>
      </c>
      <c r="F291" s="160">
        <f t="shared" si="17"/>
        <v>27349</v>
      </c>
      <c r="G291" s="150">
        <v>471</v>
      </c>
      <c r="H291" s="160">
        <f t="shared" si="18"/>
        <v>26878</v>
      </c>
      <c r="I291" s="160">
        <f t="shared" si="19"/>
        <v>26627</v>
      </c>
      <c r="J291" s="150">
        <v>21290</v>
      </c>
      <c r="K291" s="150">
        <v>5337</v>
      </c>
      <c r="L291" s="151">
        <v>251</v>
      </c>
      <c r="M291" s="166">
        <v>670220</v>
      </c>
    </row>
    <row r="292" spans="1:13">
      <c r="A292" s="147" t="s">
        <v>1386</v>
      </c>
      <c r="B292" s="148" t="s">
        <v>1387</v>
      </c>
      <c r="C292" s="149">
        <f t="shared" si="16"/>
        <v>24051</v>
      </c>
      <c r="D292" s="150">
        <v>1319</v>
      </c>
      <c r="E292" s="150">
        <v>165</v>
      </c>
      <c r="F292" s="150">
        <f t="shared" si="17"/>
        <v>22567</v>
      </c>
      <c r="G292" s="150">
        <v>991</v>
      </c>
      <c r="H292" s="150">
        <f t="shared" si="18"/>
        <v>21576</v>
      </c>
      <c r="I292" s="150">
        <f t="shared" si="19"/>
        <v>21442</v>
      </c>
      <c r="J292" s="150">
        <v>17562</v>
      </c>
      <c r="K292" s="150">
        <v>3880</v>
      </c>
      <c r="L292" s="151">
        <v>134</v>
      </c>
      <c r="M292" s="161">
        <v>349735</v>
      </c>
    </row>
    <row r="293" spans="1:13">
      <c r="A293" s="152" t="s">
        <v>1388</v>
      </c>
      <c r="B293" s="153" t="s">
        <v>1389</v>
      </c>
      <c r="C293" s="154">
        <f t="shared" si="16"/>
        <v>9407</v>
      </c>
      <c r="D293" s="160">
        <v>672</v>
      </c>
      <c r="E293" s="160">
        <v>84</v>
      </c>
      <c r="F293" s="155">
        <f t="shared" si="17"/>
        <v>8651</v>
      </c>
      <c r="G293" s="160">
        <v>531</v>
      </c>
      <c r="H293" s="155">
        <f t="shared" si="18"/>
        <v>8120</v>
      </c>
      <c r="I293" s="155">
        <f t="shared" si="19"/>
        <v>8058</v>
      </c>
      <c r="J293" s="160">
        <v>6549</v>
      </c>
      <c r="K293" s="160">
        <v>1509</v>
      </c>
      <c r="L293" s="161">
        <v>62</v>
      </c>
      <c r="M293" s="156">
        <v>155551</v>
      </c>
    </row>
    <row r="294" spans="1:13">
      <c r="A294" s="157" t="s">
        <v>1390</v>
      </c>
      <c r="B294" s="158" t="s">
        <v>1391</v>
      </c>
      <c r="C294" s="159">
        <f t="shared" si="16"/>
        <v>12639</v>
      </c>
      <c r="D294" s="150">
        <v>758</v>
      </c>
      <c r="E294" s="150">
        <v>165</v>
      </c>
      <c r="F294" s="160">
        <f t="shared" si="17"/>
        <v>11716</v>
      </c>
      <c r="G294" s="150">
        <v>2666</v>
      </c>
      <c r="H294" s="160">
        <f t="shared" si="18"/>
        <v>9050</v>
      </c>
      <c r="I294" s="160">
        <f t="shared" si="19"/>
        <v>8710</v>
      </c>
      <c r="J294" s="150">
        <v>5920</v>
      </c>
      <c r="K294" s="150">
        <v>2790</v>
      </c>
      <c r="L294" s="151">
        <v>340</v>
      </c>
      <c r="M294" s="161">
        <v>258971</v>
      </c>
    </row>
    <row r="295" spans="1:13">
      <c r="A295" s="157" t="s">
        <v>1392</v>
      </c>
      <c r="B295" s="158" t="s">
        <v>1393</v>
      </c>
      <c r="C295" s="159">
        <f t="shared" si="16"/>
        <v>7537</v>
      </c>
      <c r="D295" s="160">
        <v>817</v>
      </c>
      <c r="E295" s="160">
        <v>303</v>
      </c>
      <c r="F295" s="160">
        <f t="shared" si="17"/>
        <v>6417</v>
      </c>
      <c r="G295" s="160">
        <v>2130</v>
      </c>
      <c r="H295" s="160">
        <f t="shared" si="18"/>
        <v>4287</v>
      </c>
      <c r="I295" s="160">
        <f t="shared" si="19"/>
        <v>4111</v>
      </c>
      <c r="J295" s="160">
        <v>2860</v>
      </c>
      <c r="K295" s="160">
        <v>1251</v>
      </c>
      <c r="L295" s="161">
        <v>176</v>
      </c>
      <c r="M295" s="156">
        <v>331311</v>
      </c>
    </row>
    <row r="296" spans="1:13">
      <c r="A296" s="162" t="s">
        <v>1394</v>
      </c>
      <c r="B296" s="163" t="s">
        <v>1395</v>
      </c>
      <c r="C296" s="164">
        <f t="shared" si="16"/>
        <v>16153</v>
      </c>
      <c r="D296" s="150">
        <v>5257</v>
      </c>
      <c r="E296" s="150">
        <v>982</v>
      </c>
      <c r="F296" s="165">
        <f t="shared" si="17"/>
        <v>9914</v>
      </c>
      <c r="G296" s="150">
        <v>3670</v>
      </c>
      <c r="H296" s="165">
        <f t="shared" si="18"/>
        <v>6244</v>
      </c>
      <c r="I296" s="165">
        <f t="shared" si="19"/>
        <v>5977</v>
      </c>
      <c r="J296" s="150">
        <v>4364</v>
      </c>
      <c r="K296" s="150">
        <v>1613</v>
      </c>
      <c r="L296" s="151">
        <v>267</v>
      </c>
      <c r="M296" s="166">
        <v>507673</v>
      </c>
    </row>
    <row r="297" spans="1:13">
      <c r="A297" s="167" t="s">
        <v>1396</v>
      </c>
      <c r="B297" s="168" t="s">
        <v>1397</v>
      </c>
      <c r="C297" s="169">
        <f t="shared" si="16"/>
        <v>7954</v>
      </c>
      <c r="D297" s="170">
        <v>0</v>
      </c>
      <c r="E297" s="170">
        <v>0</v>
      </c>
      <c r="F297" s="171">
        <f t="shared" si="17"/>
        <v>7954</v>
      </c>
      <c r="G297" s="170">
        <v>73</v>
      </c>
      <c r="H297" s="171">
        <f t="shared" si="18"/>
        <v>7881</v>
      </c>
      <c r="I297" s="171">
        <f t="shared" si="19"/>
        <v>7810</v>
      </c>
      <c r="J297" s="170">
        <v>7133</v>
      </c>
      <c r="K297" s="170">
        <v>677</v>
      </c>
      <c r="L297" s="172">
        <v>71</v>
      </c>
      <c r="M297" s="173">
        <v>295039</v>
      </c>
    </row>
    <row r="298" spans="1:13">
      <c r="A298" s="162" t="s">
        <v>1398</v>
      </c>
      <c r="B298" s="163" t="s">
        <v>1399</v>
      </c>
      <c r="C298" s="164">
        <f t="shared" si="16"/>
        <v>87</v>
      </c>
      <c r="D298" s="150">
        <v>0</v>
      </c>
      <c r="E298" s="150">
        <v>0</v>
      </c>
      <c r="F298" s="165">
        <f t="shared" si="17"/>
        <v>87</v>
      </c>
      <c r="G298" s="150">
        <v>2</v>
      </c>
      <c r="H298" s="165">
        <f t="shared" si="18"/>
        <v>85</v>
      </c>
      <c r="I298" s="165">
        <f t="shared" si="19"/>
        <v>84</v>
      </c>
      <c r="J298" s="150">
        <v>77</v>
      </c>
      <c r="K298" s="150">
        <v>7</v>
      </c>
      <c r="L298" s="151">
        <v>1</v>
      </c>
      <c r="M298" s="166">
        <v>2040</v>
      </c>
    </row>
    <row r="299" spans="1:13">
      <c r="A299" s="167" t="s">
        <v>1400</v>
      </c>
      <c r="B299" s="168" t="s">
        <v>1401</v>
      </c>
      <c r="C299" s="169">
        <f t="shared" si="16"/>
        <v>9884</v>
      </c>
      <c r="D299" s="170">
        <v>11</v>
      </c>
      <c r="E299" s="170">
        <v>1</v>
      </c>
      <c r="F299" s="171">
        <f t="shared" si="17"/>
        <v>9872</v>
      </c>
      <c r="G299" s="170">
        <v>292</v>
      </c>
      <c r="H299" s="171">
        <f t="shared" si="18"/>
        <v>9580</v>
      </c>
      <c r="I299" s="171">
        <f t="shared" si="19"/>
        <v>9342</v>
      </c>
      <c r="J299" s="170">
        <v>7305</v>
      </c>
      <c r="K299" s="170">
        <v>2037</v>
      </c>
      <c r="L299" s="172">
        <v>238</v>
      </c>
      <c r="M299" s="174">
        <v>80503</v>
      </c>
    </row>
    <row r="300" spans="1:13">
      <c r="A300" s="167" t="s">
        <v>1402</v>
      </c>
      <c r="B300" s="168" t="s">
        <v>1403</v>
      </c>
      <c r="C300" s="169">
        <f t="shared" si="16"/>
        <v>13856</v>
      </c>
      <c r="D300" s="171">
        <v>1338</v>
      </c>
      <c r="E300" s="171">
        <v>65</v>
      </c>
      <c r="F300" s="171">
        <f t="shared" si="17"/>
        <v>12453</v>
      </c>
      <c r="G300" s="171">
        <v>412</v>
      </c>
      <c r="H300" s="171">
        <f t="shared" si="18"/>
        <v>12041</v>
      </c>
      <c r="I300" s="171">
        <f t="shared" si="19"/>
        <v>11902</v>
      </c>
      <c r="J300" s="171">
        <v>9258</v>
      </c>
      <c r="K300" s="171">
        <v>2644</v>
      </c>
      <c r="L300" s="174">
        <v>139</v>
      </c>
      <c r="M300" s="174">
        <v>66468</v>
      </c>
    </row>
    <row r="301" spans="1:13">
      <c r="A301" s="162" t="s">
        <v>1404</v>
      </c>
      <c r="B301" s="163" t="s">
        <v>1405</v>
      </c>
      <c r="C301" s="164">
        <f t="shared" si="16"/>
        <v>97677</v>
      </c>
      <c r="D301" s="150">
        <v>4385</v>
      </c>
      <c r="E301" s="150">
        <v>589</v>
      </c>
      <c r="F301" s="165">
        <f t="shared" si="17"/>
        <v>92703</v>
      </c>
      <c r="G301" s="150">
        <v>4827</v>
      </c>
      <c r="H301" s="165">
        <f t="shared" si="18"/>
        <v>87876</v>
      </c>
      <c r="I301" s="165">
        <f t="shared" si="19"/>
        <v>85174</v>
      </c>
      <c r="J301" s="150">
        <v>63561</v>
      </c>
      <c r="K301" s="150">
        <v>21613</v>
      </c>
      <c r="L301" s="151">
        <v>2702</v>
      </c>
      <c r="M301" s="156">
        <v>754691</v>
      </c>
    </row>
    <row r="302" spans="1:13">
      <c r="A302" s="167" t="s">
        <v>1406</v>
      </c>
      <c r="B302" s="168" t="s">
        <v>1407</v>
      </c>
      <c r="C302" s="169">
        <f t="shared" si="16"/>
        <v>196</v>
      </c>
      <c r="D302" s="170">
        <v>0</v>
      </c>
      <c r="E302" s="170">
        <v>0</v>
      </c>
      <c r="F302" s="171">
        <f t="shared" si="17"/>
        <v>196</v>
      </c>
      <c r="G302" s="170">
        <v>16</v>
      </c>
      <c r="H302" s="171">
        <f t="shared" si="18"/>
        <v>180</v>
      </c>
      <c r="I302" s="171">
        <f t="shared" si="19"/>
        <v>179</v>
      </c>
      <c r="J302" s="170">
        <v>170</v>
      </c>
      <c r="K302" s="170">
        <v>9</v>
      </c>
      <c r="L302" s="172">
        <v>1</v>
      </c>
      <c r="M302" s="173">
        <v>85223</v>
      </c>
    </row>
    <row r="303" spans="1:13">
      <c r="A303" s="175" t="s">
        <v>1408</v>
      </c>
      <c r="B303" s="176" t="s">
        <v>1409</v>
      </c>
      <c r="C303" s="177">
        <f t="shared" si="16"/>
        <v>1704</v>
      </c>
      <c r="D303" s="170">
        <v>56</v>
      </c>
      <c r="E303" s="170">
        <v>49</v>
      </c>
      <c r="F303" s="178">
        <f t="shared" si="17"/>
        <v>1599</v>
      </c>
      <c r="G303" s="170">
        <v>187</v>
      </c>
      <c r="H303" s="178">
        <f t="shared" si="18"/>
        <v>1412</v>
      </c>
      <c r="I303" s="178">
        <f t="shared" si="19"/>
        <v>1370</v>
      </c>
      <c r="J303" s="170">
        <v>1223</v>
      </c>
      <c r="K303" s="170">
        <v>147</v>
      </c>
      <c r="L303" s="172">
        <v>42</v>
      </c>
      <c r="M303" s="173">
        <v>53020</v>
      </c>
    </row>
    <row r="304" spans="1:13">
      <c r="A304" s="157" t="s">
        <v>1410</v>
      </c>
      <c r="B304" s="158" t="s">
        <v>1411</v>
      </c>
      <c r="C304" s="159">
        <f t="shared" si="16"/>
        <v>5744</v>
      </c>
      <c r="D304" s="150">
        <v>14</v>
      </c>
      <c r="E304" s="150">
        <v>2</v>
      </c>
      <c r="F304" s="160">
        <f t="shared" si="17"/>
        <v>5728</v>
      </c>
      <c r="G304" s="150">
        <v>221</v>
      </c>
      <c r="H304" s="160">
        <f t="shared" si="18"/>
        <v>5507</v>
      </c>
      <c r="I304" s="160">
        <f t="shared" si="19"/>
        <v>5332</v>
      </c>
      <c r="J304" s="150">
        <v>4806</v>
      </c>
      <c r="K304" s="150">
        <v>526</v>
      </c>
      <c r="L304" s="151">
        <v>175</v>
      </c>
      <c r="M304" s="166">
        <v>102852</v>
      </c>
    </row>
    <row r="305" spans="1:13">
      <c r="A305" s="175" t="s">
        <v>1412</v>
      </c>
      <c r="B305" s="176" t="s">
        <v>1413</v>
      </c>
      <c r="C305" s="177">
        <f t="shared" si="16"/>
        <v>665</v>
      </c>
      <c r="D305" s="170">
        <v>0</v>
      </c>
      <c r="E305" s="170">
        <v>0</v>
      </c>
      <c r="F305" s="178">
        <f t="shared" si="17"/>
        <v>665</v>
      </c>
      <c r="G305" s="170">
        <v>9</v>
      </c>
      <c r="H305" s="178">
        <f t="shared" si="18"/>
        <v>656</v>
      </c>
      <c r="I305" s="178">
        <f t="shared" si="19"/>
        <v>653</v>
      </c>
      <c r="J305" s="170">
        <v>616</v>
      </c>
      <c r="K305" s="170">
        <v>37</v>
      </c>
      <c r="L305" s="172">
        <v>3</v>
      </c>
      <c r="M305" s="173">
        <v>51886</v>
      </c>
    </row>
    <row r="306" spans="1:13">
      <c r="A306" s="157" t="s">
        <v>1414</v>
      </c>
      <c r="B306" s="158" t="s">
        <v>1415</v>
      </c>
      <c r="C306" s="159">
        <f t="shared" si="16"/>
        <v>2884</v>
      </c>
      <c r="D306" s="150">
        <v>62</v>
      </c>
      <c r="E306" s="150">
        <v>13</v>
      </c>
      <c r="F306" s="160">
        <f t="shared" si="17"/>
        <v>2809</v>
      </c>
      <c r="G306" s="150">
        <v>86</v>
      </c>
      <c r="H306" s="160">
        <f t="shared" si="18"/>
        <v>2723</v>
      </c>
      <c r="I306" s="160">
        <f t="shared" si="19"/>
        <v>2637</v>
      </c>
      <c r="J306" s="150">
        <v>1925</v>
      </c>
      <c r="K306" s="150">
        <v>712</v>
      </c>
      <c r="L306" s="151">
        <v>86</v>
      </c>
      <c r="M306" s="166">
        <v>40412</v>
      </c>
    </row>
    <row r="307" spans="1:13">
      <c r="A307" s="162" t="s">
        <v>1416</v>
      </c>
      <c r="B307" s="163" t="s">
        <v>1417</v>
      </c>
      <c r="C307" s="164">
        <f t="shared" si="16"/>
        <v>5582</v>
      </c>
      <c r="D307" s="150">
        <v>38</v>
      </c>
      <c r="E307" s="150">
        <v>14</v>
      </c>
      <c r="F307" s="165">
        <f t="shared" si="17"/>
        <v>5530</v>
      </c>
      <c r="G307" s="150">
        <v>193</v>
      </c>
      <c r="H307" s="165">
        <f t="shared" si="18"/>
        <v>5337</v>
      </c>
      <c r="I307" s="165">
        <f t="shared" si="19"/>
        <v>5135</v>
      </c>
      <c r="J307" s="150">
        <v>3047</v>
      </c>
      <c r="K307" s="150">
        <v>2088</v>
      </c>
      <c r="L307" s="151">
        <v>202</v>
      </c>
      <c r="M307" s="166">
        <v>115064</v>
      </c>
    </row>
    <row r="308" spans="1:13">
      <c r="A308" s="157" t="s">
        <v>1418</v>
      </c>
      <c r="B308" s="158" t="s">
        <v>1419</v>
      </c>
      <c r="C308" s="159">
        <f t="shared" si="16"/>
        <v>3211</v>
      </c>
      <c r="D308" s="150">
        <v>39</v>
      </c>
      <c r="E308" s="150">
        <v>13</v>
      </c>
      <c r="F308" s="160">
        <f t="shared" si="17"/>
        <v>3159</v>
      </c>
      <c r="G308" s="150">
        <v>127</v>
      </c>
      <c r="H308" s="160">
        <f t="shared" si="18"/>
        <v>3032</v>
      </c>
      <c r="I308" s="160">
        <f t="shared" si="19"/>
        <v>2887</v>
      </c>
      <c r="J308" s="150">
        <v>1490</v>
      </c>
      <c r="K308" s="150">
        <v>1397</v>
      </c>
      <c r="L308" s="151">
        <v>145</v>
      </c>
      <c r="M308" s="166">
        <v>45788</v>
      </c>
    </row>
    <row r="309" spans="1:13">
      <c r="A309" s="147" t="s">
        <v>1420</v>
      </c>
      <c r="B309" s="148" t="s">
        <v>1421</v>
      </c>
      <c r="C309" s="149">
        <f t="shared" si="16"/>
        <v>9497</v>
      </c>
      <c r="D309" s="150">
        <v>2964</v>
      </c>
      <c r="E309" s="150">
        <v>694</v>
      </c>
      <c r="F309" s="150">
        <f t="shared" si="17"/>
        <v>5839</v>
      </c>
      <c r="G309" s="150">
        <v>618</v>
      </c>
      <c r="H309" s="150">
        <f t="shared" si="18"/>
        <v>5221</v>
      </c>
      <c r="I309" s="150">
        <f t="shared" si="19"/>
        <v>4936</v>
      </c>
      <c r="J309" s="150">
        <v>3183</v>
      </c>
      <c r="K309" s="150">
        <v>1753</v>
      </c>
      <c r="L309" s="151">
        <v>285</v>
      </c>
      <c r="M309" s="161">
        <v>203057</v>
      </c>
    </row>
    <row r="310" spans="1:13">
      <c r="A310" s="157" t="s">
        <v>1422</v>
      </c>
      <c r="B310" s="158" t="s">
        <v>1423</v>
      </c>
      <c r="C310" s="159">
        <f t="shared" si="16"/>
        <v>346</v>
      </c>
      <c r="D310" s="160">
        <v>0</v>
      </c>
      <c r="E310" s="160">
        <v>0</v>
      </c>
      <c r="F310" s="160">
        <f t="shared" si="17"/>
        <v>346</v>
      </c>
      <c r="G310" s="160">
        <v>0</v>
      </c>
      <c r="H310" s="160">
        <f t="shared" si="18"/>
        <v>346</v>
      </c>
      <c r="I310" s="160">
        <f t="shared" si="19"/>
        <v>334</v>
      </c>
      <c r="J310" s="160">
        <v>249</v>
      </c>
      <c r="K310" s="160">
        <v>85</v>
      </c>
      <c r="L310" s="161">
        <v>12</v>
      </c>
      <c r="M310" s="161">
        <v>7243</v>
      </c>
    </row>
    <row r="311" spans="1:13">
      <c r="A311" s="157" t="s">
        <v>1424</v>
      </c>
      <c r="B311" s="158" t="s">
        <v>1425</v>
      </c>
      <c r="C311" s="159">
        <f t="shared" si="16"/>
        <v>434</v>
      </c>
      <c r="D311" s="160">
        <v>0</v>
      </c>
      <c r="E311" s="160">
        <v>0</v>
      </c>
      <c r="F311" s="160">
        <f t="shared" si="17"/>
        <v>434</v>
      </c>
      <c r="G311" s="160">
        <v>6</v>
      </c>
      <c r="H311" s="160">
        <f t="shared" si="18"/>
        <v>428</v>
      </c>
      <c r="I311" s="160">
        <f t="shared" si="19"/>
        <v>421</v>
      </c>
      <c r="J311" s="160">
        <v>352</v>
      </c>
      <c r="K311" s="160">
        <v>69</v>
      </c>
      <c r="L311" s="161">
        <v>7</v>
      </c>
      <c r="M311" s="161">
        <v>9944</v>
      </c>
    </row>
    <row r="312" spans="1:13">
      <c r="A312" s="157" t="s">
        <v>1426</v>
      </c>
      <c r="B312" s="158" t="s">
        <v>1427</v>
      </c>
      <c r="C312" s="159">
        <f t="shared" si="16"/>
        <v>505</v>
      </c>
      <c r="D312" s="160">
        <v>4</v>
      </c>
      <c r="E312" s="160">
        <v>1</v>
      </c>
      <c r="F312" s="160">
        <f t="shared" si="17"/>
        <v>500</v>
      </c>
      <c r="G312" s="160">
        <v>15</v>
      </c>
      <c r="H312" s="160">
        <f t="shared" si="18"/>
        <v>485</v>
      </c>
      <c r="I312" s="160">
        <f t="shared" si="19"/>
        <v>467</v>
      </c>
      <c r="J312" s="160">
        <v>344</v>
      </c>
      <c r="K312" s="160">
        <v>123</v>
      </c>
      <c r="L312" s="161">
        <v>18</v>
      </c>
      <c r="M312" s="161">
        <v>4934</v>
      </c>
    </row>
    <row r="313" spans="1:13">
      <c r="A313" s="157" t="s">
        <v>1428</v>
      </c>
      <c r="B313" s="158" t="s">
        <v>1429</v>
      </c>
      <c r="C313" s="159">
        <f t="shared" si="16"/>
        <v>77</v>
      </c>
      <c r="D313" s="160">
        <v>0</v>
      </c>
      <c r="E313" s="160">
        <v>0</v>
      </c>
      <c r="F313" s="160">
        <f t="shared" si="17"/>
        <v>77</v>
      </c>
      <c r="G313" s="160">
        <v>0</v>
      </c>
      <c r="H313" s="160">
        <f t="shared" si="18"/>
        <v>77</v>
      </c>
      <c r="I313" s="160">
        <f t="shared" si="19"/>
        <v>76</v>
      </c>
      <c r="J313" s="160">
        <v>64</v>
      </c>
      <c r="K313" s="160">
        <v>12</v>
      </c>
      <c r="L313" s="161">
        <v>1</v>
      </c>
      <c r="M313" s="161">
        <v>1728</v>
      </c>
    </row>
    <row r="314" spans="1:13">
      <c r="A314" s="157" t="s">
        <v>1430</v>
      </c>
      <c r="B314" s="158" t="s">
        <v>1431</v>
      </c>
      <c r="C314" s="159">
        <f t="shared" si="16"/>
        <v>359</v>
      </c>
      <c r="D314" s="160">
        <v>0</v>
      </c>
      <c r="E314" s="160">
        <v>0</v>
      </c>
      <c r="F314" s="160">
        <f t="shared" si="17"/>
        <v>359</v>
      </c>
      <c r="G314" s="160">
        <v>10</v>
      </c>
      <c r="H314" s="160">
        <f t="shared" si="18"/>
        <v>349</v>
      </c>
      <c r="I314" s="160">
        <f t="shared" si="19"/>
        <v>343</v>
      </c>
      <c r="J314" s="160">
        <v>287</v>
      </c>
      <c r="K314" s="160">
        <v>56</v>
      </c>
      <c r="L314" s="161">
        <v>6</v>
      </c>
      <c r="M314" s="161">
        <v>10585</v>
      </c>
    </row>
    <row r="315" spans="1:13">
      <c r="A315" s="157" t="s">
        <v>1432</v>
      </c>
      <c r="B315" s="158" t="s">
        <v>1433</v>
      </c>
      <c r="C315" s="159">
        <f t="shared" si="16"/>
        <v>656</v>
      </c>
      <c r="D315" s="160">
        <v>5</v>
      </c>
      <c r="E315" s="160">
        <v>1</v>
      </c>
      <c r="F315" s="160">
        <f t="shared" si="17"/>
        <v>650</v>
      </c>
      <c r="G315" s="160">
        <v>19</v>
      </c>
      <c r="H315" s="160">
        <f t="shared" si="18"/>
        <v>631</v>
      </c>
      <c r="I315" s="160">
        <f t="shared" si="19"/>
        <v>608</v>
      </c>
      <c r="J315" s="160">
        <v>448</v>
      </c>
      <c r="K315" s="160">
        <v>160</v>
      </c>
      <c r="L315" s="161">
        <v>23</v>
      </c>
      <c r="M315" s="161">
        <v>6842</v>
      </c>
    </row>
    <row r="316" spans="1:13">
      <c r="A316" s="179" t="s">
        <v>1434</v>
      </c>
      <c r="B316" s="180" t="s">
        <v>1435</v>
      </c>
      <c r="C316" s="181">
        <f t="shared" si="16"/>
        <v>4237</v>
      </c>
      <c r="D316" s="171">
        <v>57</v>
      </c>
      <c r="E316" s="171">
        <v>11</v>
      </c>
      <c r="F316" s="182">
        <f t="shared" si="17"/>
        <v>4169</v>
      </c>
      <c r="G316" s="171">
        <v>209</v>
      </c>
      <c r="H316" s="182">
        <f t="shared" si="18"/>
        <v>3960</v>
      </c>
      <c r="I316" s="182">
        <f t="shared" si="19"/>
        <v>3844</v>
      </c>
      <c r="J316" s="171">
        <v>2944</v>
      </c>
      <c r="K316" s="171">
        <v>900</v>
      </c>
      <c r="L316" s="174">
        <v>116</v>
      </c>
      <c r="M316" s="183">
        <v>52144</v>
      </c>
    </row>
    <row r="317" spans="1:13">
      <c r="A317" s="157" t="s">
        <v>1436</v>
      </c>
      <c r="B317" s="158" t="s">
        <v>1437</v>
      </c>
      <c r="C317" s="159">
        <f t="shared" si="16"/>
        <v>8502</v>
      </c>
      <c r="D317" s="150">
        <v>107</v>
      </c>
      <c r="E317" s="150">
        <v>22</v>
      </c>
      <c r="F317" s="160">
        <f t="shared" si="17"/>
        <v>8373</v>
      </c>
      <c r="G317" s="150">
        <v>7</v>
      </c>
      <c r="H317" s="160">
        <f t="shared" si="18"/>
        <v>8366</v>
      </c>
      <c r="I317" s="160">
        <f t="shared" si="19"/>
        <v>8070</v>
      </c>
      <c r="J317" s="150">
        <v>3104</v>
      </c>
      <c r="K317" s="150">
        <v>4966</v>
      </c>
      <c r="L317" s="151">
        <v>296</v>
      </c>
      <c r="M317" s="166">
        <v>46176</v>
      </c>
    </row>
    <row r="318" spans="1:13">
      <c r="A318" s="147" t="s">
        <v>1438</v>
      </c>
      <c r="B318" s="148" t="s">
        <v>1439</v>
      </c>
      <c r="C318" s="149">
        <f t="shared" si="16"/>
        <v>649</v>
      </c>
      <c r="D318" s="150">
        <v>0</v>
      </c>
      <c r="E318" s="150">
        <v>0</v>
      </c>
      <c r="F318" s="150">
        <f t="shared" si="17"/>
        <v>649</v>
      </c>
      <c r="G318" s="150">
        <v>14</v>
      </c>
      <c r="H318" s="150">
        <f t="shared" si="18"/>
        <v>635</v>
      </c>
      <c r="I318" s="150">
        <f t="shared" si="19"/>
        <v>628</v>
      </c>
      <c r="J318" s="150">
        <v>528</v>
      </c>
      <c r="K318" s="150">
        <v>100</v>
      </c>
      <c r="L318" s="151">
        <v>7</v>
      </c>
      <c r="M318" s="161">
        <v>71427</v>
      </c>
    </row>
    <row r="319" spans="1:13">
      <c r="A319" s="157" t="s">
        <v>1440</v>
      </c>
      <c r="B319" s="158" t="s">
        <v>1441</v>
      </c>
      <c r="C319" s="159">
        <f t="shared" si="16"/>
        <v>1688</v>
      </c>
      <c r="D319" s="160">
        <v>0</v>
      </c>
      <c r="E319" s="160">
        <v>0</v>
      </c>
      <c r="F319" s="160">
        <f t="shared" si="17"/>
        <v>1688</v>
      </c>
      <c r="G319" s="160">
        <v>7</v>
      </c>
      <c r="H319" s="160">
        <f t="shared" si="18"/>
        <v>1681</v>
      </c>
      <c r="I319" s="160">
        <f t="shared" si="19"/>
        <v>1679</v>
      </c>
      <c r="J319" s="160">
        <v>1502</v>
      </c>
      <c r="K319" s="160">
        <v>177</v>
      </c>
      <c r="L319" s="161">
        <v>2</v>
      </c>
      <c r="M319" s="161">
        <v>319451</v>
      </c>
    </row>
    <row r="320" spans="1:13">
      <c r="A320" s="157" t="s">
        <v>1442</v>
      </c>
      <c r="B320" s="158" t="s">
        <v>1443</v>
      </c>
      <c r="C320" s="159">
        <f t="shared" si="16"/>
        <v>1237</v>
      </c>
      <c r="D320" s="160">
        <v>41</v>
      </c>
      <c r="E320" s="160">
        <v>15</v>
      </c>
      <c r="F320" s="160">
        <f t="shared" si="17"/>
        <v>1181</v>
      </c>
      <c r="G320" s="160">
        <v>19</v>
      </c>
      <c r="H320" s="160">
        <f t="shared" si="18"/>
        <v>1162</v>
      </c>
      <c r="I320" s="160">
        <f t="shared" si="19"/>
        <v>1153</v>
      </c>
      <c r="J320" s="160">
        <v>742</v>
      </c>
      <c r="K320" s="160">
        <v>411</v>
      </c>
      <c r="L320" s="161">
        <v>9</v>
      </c>
      <c r="M320" s="156">
        <v>15582</v>
      </c>
    </row>
    <row r="321" spans="1:13">
      <c r="A321" s="147" t="s">
        <v>1444</v>
      </c>
      <c r="B321" s="148" t="s">
        <v>1445</v>
      </c>
      <c r="C321" s="149">
        <f t="shared" si="16"/>
        <v>538</v>
      </c>
      <c r="D321" s="150">
        <v>0</v>
      </c>
      <c r="E321" s="150">
        <v>0</v>
      </c>
      <c r="F321" s="150">
        <f t="shared" si="17"/>
        <v>538</v>
      </c>
      <c r="G321" s="150">
        <v>0</v>
      </c>
      <c r="H321" s="150">
        <f t="shared" si="18"/>
        <v>538</v>
      </c>
      <c r="I321" s="150">
        <f t="shared" si="19"/>
        <v>538</v>
      </c>
      <c r="J321" s="150">
        <v>384</v>
      </c>
      <c r="K321" s="150">
        <v>154</v>
      </c>
      <c r="L321" s="151">
        <v>0</v>
      </c>
      <c r="M321" s="161">
        <v>30131</v>
      </c>
    </row>
    <row r="322" spans="1:13">
      <c r="A322" s="157" t="s">
        <v>1446</v>
      </c>
      <c r="B322" s="158" t="s">
        <v>1447</v>
      </c>
      <c r="C322" s="159">
        <f t="shared" si="16"/>
        <v>222</v>
      </c>
      <c r="D322" s="160">
        <v>0</v>
      </c>
      <c r="E322" s="160">
        <v>0</v>
      </c>
      <c r="F322" s="160">
        <f t="shared" si="17"/>
        <v>222</v>
      </c>
      <c r="G322" s="160">
        <v>10</v>
      </c>
      <c r="H322" s="160">
        <f t="shared" si="18"/>
        <v>212</v>
      </c>
      <c r="I322" s="160">
        <f t="shared" si="19"/>
        <v>207</v>
      </c>
      <c r="J322" s="160">
        <v>170</v>
      </c>
      <c r="K322" s="160">
        <v>37</v>
      </c>
      <c r="L322" s="161">
        <v>5</v>
      </c>
      <c r="M322" s="161">
        <v>17164</v>
      </c>
    </row>
    <row r="323" spans="1:13">
      <c r="A323" s="152" t="s">
        <v>1448</v>
      </c>
      <c r="B323" s="153" t="s">
        <v>1449</v>
      </c>
      <c r="C323" s="154">
        <f t="shared" si="16"/>
        <v>6</v>
      </c>
      <c r="D323" s="160">
        <v>0</v>
      </c>
      <c r="E323" s="160">
        <v>0</v>
      </c>
      <c r="F323" s="155">
        <f t="shared" si="17"/>
        <v>6</v>
      </c>
      <c r="G323" s="160">
        <v>0</v>
      </c>
      <c r="H323" s="155">
        <f t="shared" si="18"/>
        <v>6</v>
      </c>
      <c r="I323" s="155">
        <f t="shared" si="19"/>
        <v>6</v>
      </c>
      <c r="J323" s="160">
        <v>5</v>
      </c>
      <c r="K323" s="160">
        <v>1</v>
      </c>
      <c r="L323" s="161">
        <v>0</v>
      </c>
      <c r="M323" s="156">
        <v>353</v>
      </c>
    </row>
    <row r="324" spans="1:13">
      <c r="A324" s="157" t="s">
        <v>1450</v>
      </c>
      <c r="B324" s="158" t="s">
        <v>1451</v>
      </c>
      <c r="C324" s="159">
        <f t="shared" si="16"/>
        <v>15972</v>
      </c>
      <c r="D324" s="150">
        <v>640</v>
      </c>
      <c r="E324" s="150">
        <v>51</v>
      </c>
      <c r="F324" s="160">
        <f t="shared" si="17"/>
        <v>15281</v>
      </c>
      <c r="G324" s="150">
        <v>755</v>
      </c>
      <c r="H324" s="160">
        <f t="shared" si="18"/>
        <v>14526</v>
      </c>
      <c r="I324" s="160">
        <f t="shared" si="19"/>
        <v>14358</v>
      </c>
      <c r="J324" s="150">
        <v>12939</v>
      </c>
      <c r="K324" s="150">
        <v>1419</v>
      </c>
      <c r="L324" s="151">
        <v>168</v>
      </c>
      <c r="M324" s="166">
        <v>263712</v>
      </c>
    </row>
    <row r="325" spans="1:13">
      <c r="A325" s="162" t="s">
        <v>1452</v>
      </c>
      <c r="B325" s="163" t="s">
        <v>1453</v>
      </c>
      <c r="C325" s="164">
        <f t="shared" si="16"/>
        <v>637</v>
      </c>
      <c r="D325" s="150">
        <v>86</v>
      </c>
      <c r="E325" s="150">
        <v>6</v>
      </c>
      <c r="F325" s="165">
        <f t="shared" si="17"/>
        <v>545</v>
      </c>
      <c r="G325" s="150">
        <v>45</v>
      </c>
      <c r="H325" s="165">
        <f t="shared" si="18"/>
        <v>500</v>
      </c>
      <c r="I325" s="165">
        <f t="shared" si="19"/>
        <v>493</v>
      </c>
      <c r="J325" s="150">
        <v>398</v>
      </c>
      <c r="K325" s="150">
        <v>95</v>
      </c>
      <c r="L325" s="151">
        <v>7</v>
      </c>
      <c r="M325" s="166">
        <v>19160</v>
      </c>
    </row>
    <row r="326" spans="1:13">
      <c r="A326" s="157" t="s">
        <v>1454</v>
      </c>
      <c r="B326" s="158" t="s">
        <v>1455</v>
      </c>
      <c r="C326" s="159">
        <f t="shared" si="16"/>
        <v>584</v>
      </c>
      <c r="D326" s="150">
        <v>96</v>
      </c>
      <c r="E326" s="150">
        <v>2</v>
      </c>
      <c r="F326" s="160">
        <f t="shared" si="17"/>
        <v>486</v>
      </c>
      <c r="G326" s="150">
        <v>59</v>
      </c>
      <c r="H326" s="160">
        <f t="shared" si="18"/>
        <v>427</v>
      </c>
      <c r="I326" s="160">
        <f t="shared" si="19"/>
        <v>413</v>
      </c>
      <c r="J326" s="150">
        <v>343</v>
      </c>
      <c r="K326" s="150">
        <v>70</v>
      </c>
      <c r="L326" s="151">
        <v>14</v>
      </c>
      <c r="M326" s="161">
        <v>11968</v>
      </c>
    </row>
    <row r="327" spans="1:13">
      <c r="A327" s="157" t="s">
        <v>1456</v>
      </c>
      <c r="B327" s="158" t="s">
        <v>1457</v>
      </c>
      <c r="C327" s="159">
        <f t="shared" ref="C327:C392" si="20">D327+E327+F327</f>
        <v>953</v>
      </c>
      <c r="D327" s="160">
        <v>10</v>
      </c>
      <c r="E327" s="160">
        <v>2</v>
      </c>
      <c r="F327" s="160">
        <f t="shared" ref="F327:F392" si="21">G327+H327</f>
        <v>941</v>
      </c>
      <c r="G327" s="160">
        <v>33</v>
      </c>
      <c r="H327" s="160">
        <f t="shared" ref="H327:H392" si="22">I327+L327</f>
        <v>908</v>
      </c>
      <c r="I327" s="160">
        <f t="shared" ref="I327:I392" si="23">J327+K327</f>
        <v>893</v>
      </c>
      <c r="J327" s="160">
        <v>715</v>
      </c>
      <c r="K327" s="160">
        <v>178</v>
      </c>
      <c r="L327" s="161">
        <v>15</v>
      </c>
      <c r="M327" s="161">
        <v>33744</v>
      </c>
    </row>
    <row r="328" spans="1:13">
      <c r="A328" s="157" t="s">
        <v>1458</v>
      </c>
      <c r="B328" s="158" t="s">
        <v>1459</v>
      </c>
      <c r="C328" s="159">
        <f t="shared" si="20"/>
        <v>693</v>
      </c>
      <c r="D328" s="160">
        <v>36</v>
      </c>
      <c r="E328" s="160">
        <v>3</v>
      </c>
      <c r="F328" s="160">
        <f t="shared" si="21"/>
        <v>654</v>
      </c>
      <c r="G328" s="160">
        <v>58</v>
      </c>
      <c r="H328" s="160">
        <f t="shared" si="22"/>
        <v>596</v>
      </c>
      <c r="I328" s="160">
        <f t="shared" si="23"/>
        <v>575</v>
      </c>
      <c r="J328" s="160">
        <v>428</v>
      </c>
      <c r="K328" s="160">
        <v>147</v>
      </c>
      <c r="L328" s="161">
        <v>21</v>
      </c>
      <c r="M328" s="156">
        <v>15798</v>
      </c>
    </row>
    <row r="329" spans="1:13">
      <c r="A329" s="162" t="s">
        <v>1460</v>
      </c>
      <c r="B329" s="163" t="s">
        <v>1461</v>
      </c>
      <c r="C329" s="164">
        <f t="shared" si="20"/>
        <v>14651</v>
      </c>
      <c r="D329" s="150">
        <v>0</v>
      </c>
      <c r="E329" s="150">
        <v>0</v>
      </c>
      <c r="F329" s="165">
        <f t="shared" si="21"/>
        <v>14651</v>
      </c>
      <c r="G329" s="150">
        <v>0</v>
      </c>
      <c r="H329" s="165">
        <f t="shared" si="22"/>
        <v>14651</v>
      </c>
      <c r="I329" s="165">
        <f t="shared" si="23"/>
        <v>14585</v>
      </c>
      <c r="J329" s="150">
        <v>12560</v>
      </c>
      <c r="K329" s="150">
        <v>2025</v>
      </c>
      <c r="L329" s="151">
        <v>66</v>
      </c>
      <c r="M329" s="166">
        <v>340582</v>
      </c>
    </row>
    <row r="330" spans="1:13">
      <c r="A330" s="157" t="s">
        <v>1462</v>
      </c>
      <c r="B330" s="158" t="s">
        <v>1463</v>
      </c>
      <c r="C330" s="159">
        <f t="shared" si="20"/>
        <v>48409</v>
      </c>
      <c r="D330" s="150">
        <v>0</v>
      </c>
      <c r="E330" s="150">
        <v>0</v>
      </c>
      <c r="F330" s="160">
        <f t="shared" si="21"/>
        <v>48409</v>
      </c>
      <c r="G330" s="150">
        <v>0</v>
      </c>
      <c r="H330" s="160">
        <f t="shared" si="22"/>
        <v>48409</v>
      </c>
      <c r="I330" s="160">
        <f t="shared" si="23"/>
        <v>47775</v>
      </c>
      <c r="J330" s="150">
        <v>40682</v>
      </c>
      <c r="K330" s="150">
        <v>7093</v>
      </c>
      <c r="L330" s="151">
        <v>634</v>
      </c>
      <c r="M330" s="166">
        <v>877935</v>
      </c>
    </row>
    <row r="331" spans="1:13">
      <c r="A331" s="147" t="s">
        <v>1464</v>
      </c>
      <c r="B331" s="148" t="s">
        <v>1465</v>
      </c>
      <c r="C331" s="149">
        <f t="shared" si="20"/>
        <v>61577</v>
      </c>
      <c r="D331" s="150">
        <v>0</v>
      </c>
      <c r="E331" s="150">
        <v>0</v>
      </c>
      <c r="F331" s="150">
        <f t="shared" si="21"/>
        <v>61577</v>
      </c>
      <c r="G331" s="150">
        <v>28</v>
      </c>
      <c r="H331" s="150">
        <f t="shared" si="22"/>
        <v>61549</v>
      </c>
      <c r="I331" s="150">
        <f t="shared" si="23"/>
        <v>60349</v>
      </c>
      <c r="J331" s="150">
        <v>45667</v>
      </c>
      <c r="K331" s="150">
        <v>14682</v>
      </c>
      <c r="L331" s="151">
        <v>1200</v>
      </c>
      <c r="M331" s="161">
        <v>669404</v>
      </c>
    </row>
    <row r="332" spans="1:13">
      <c r="A332" s="157" t="s">
        <v>1466</v>
      </c>
      <c r="B332" s="158" t="s">
        <v>1467</v>
      </c>
      <c r="C332" s="159">
        <f t="shared" si="20"/>
        <v>30099</v>
      </c>
      <c r="D332" s="160">
        <v>45</v>
      </c>
      <c r="E332" s="160">
        <v>12</v>
      </c>
      <c r="F332" s="160">
        <f t="shared" si="21"/>
        <v>30042</v>
      </c>
      <c r="G332" s="160">
        <v>444</v>
      </c>
      <c r="H332" s="160">
        <f t="shared" si="22"/>
        <v>29598</v>
      </c>
      <c r="I332" s="160">
        <f t="shared" si="23"/>
        <v>27769</v>
      </c>
      <c r="J332" s="160">
        <v>17020</v>
      </c>
      <c r="K332" s="160">
        <v>10749</v>
      </c>
      <c r="L332" s="161">
        <v>1829</v>
      </c>
      <c r="M332" s="161">
        <v>288589</v>
      </c>
    </row>
    <row r="333" spans="1:13">
      <c r="A333" s="157" t="s">
        <v>1468</v>
      </c>
      <c r="B333" s="158" t="s">
        <v>1469</v>
      </c>
      <c r="C333" s="159">
        <f>D333+E333+F333</f>
        <v>3372</v>
      </c>
      <c r="D333" s="160">
        <v>33</v>
      </c>
      <c r="E333" s="160">
        <v>18</v>
      </c>
      <c r="F333" s="160">
        <f>G333+H333</f>
        <v>3321</v>
      </c>
      <c r="G333" s="160">
        <v>25</v>
      </c>
      <c r="H333" s="160">
        <f>I333+L333</f>
        <v>3296</v>
      </c>
      <c r="I333" s="160">
        <f>J333+K333</f>
        <v>3206</v>
      </c>
      <c r="J333" s="160">
        <v>2078</v>
      </c>
      <c r="K333" s="160">
        <v>1128</v>
      </c>
      <c r="L333" s="161">
        <v>90</v>
      </c>
      <c r="M333" s="161">
        <v>25135</v>
      </c>
    </row>
    <row r="334" spans="1:13">
      <c r="A334" s="152" t="s">
        <v>1470</v>
      </c>
      <c r="B334" s="153" t="s">
        <v>1471</v>
      </c>
      <c r="C334" s="154">
        <f>D334+E334+F334</f>
        <v>27</v>
      </c>
      <c r="D334" s="160">
        <v>0</v>
      </c>
      <c r="E334" s="160">
        <v>0</v>
      </c>
      <c r="F334" s="155">
        <f>G334+H334</f>
        <v>27</v>
      </c>
      <c r="G334" s="160">
        <v>0</v>
      </c>
      <c r="H334" s="155">
        <f>I334+L334</f>
        <v>27</v>
      </c>
      <c r="I334" s="155">
        <f>J334+K334</f>
        <v>26</v>
      </c>
      <c r="J334" s="160">
        <v>17</v>
      </c>
      <c r="K334" s="160">
        <v>9</v>
      </c>
      <c r="L334" s="161">
        <v>1</v>
      </c>
      <c r="M334" s="156">
        <v>309</v>
      </c>
    </row>
    <row r="335" spans="1:13">
      <c r="A335" s="157" t="s">
        <v>1472</v>
      </c>
      <c r="B335" s="184" t="s">
        <v>1473</v>
      </c>
      <c r="C335" s="185">
        <f t="shared" si="20"/>
        <v>2046</v>
      </c>
      <c r="D335" s="186">
        <v>0</v>
      </c>
      <c r="E335" s="186">
        <v>0</v>
      </c>
      <c r="F335" s="187">
        <f t="shared" si="21"/>
        <v>2046</v>
      </c>
      <c r="G335" s="186">
        <v>0</v>
      </c>
      <c r="H335" s="187">
        <f t="shared" si="22"/>
        <v>2046</v>
      </c>
      <c r="I335" s="187">
        <f t="shared" si="23"/>
        <v>1899</v>
      </c>
      <c r="J335" s="186">
        <v>797</v>
      </c>
      <c r="K335" s="186">
        <v>1102</v>
      </c>
      <c r="L335" s="188">
        <v>147</v>
      </c>
      <c r="M335" s="189">
        <v>21346</v>
      </c>
    </row>
    <row r="336" spans="1:13">
      <c r="A336" s="157" t="s">
        <v>1474</v>
      </c>
      <c r="B336" s="184" t="s">
        <v>1475</v>
      </c>
      <c r="C336" s="185">
        <f t="shared" si="20"/>
        <v>1600</v>
      </c>
      <c r="D336" s="187">
        <v>60</v>
      </c>
      <c r="E336" s="187">
        <v>10</v>
      </c>
      <c r="F336" s="187">
        <f t="shared" si="21"/>
        <v>1530</v>
      </c>
      <c r="G336" s="187">
        <v>57</v>
      </c>
      <c r="H336" s="187">
        <f t="shared" si="22"/>
        <v>1473</v>
      </c>
      <c r="I336" s="187">
        <f t="shared" si="23"/>
        <v>1350</v>
      </c>
      <c r="J336" s="187">
        <v>606</v>
      </c>
      <c r="K336" s="187">
        <v>744</v>
      </c>
      <c r="L336" s="189">
        <v>123</v>
      </c>
      <c r="M336" s="189">
        <v>16164</v>
      </c>
    </row>
    <row r="337" spans="1:13">
      <c r="A337" s="157" t="s">
        <v>1476</v>
      </c>
      <c r="B337" s="158" t="s">
        <v>1477</v>
      </c>
      <c r="C337" s="159">
        <f t="shared" si="20"/>
        <v>665</v>
      </c>
      <c r="D337" s="160">
        <v>0</v>
      </c>
      <c r="E337" s="160">
        <v>0</v>
      </c>
      <c r="F337" s="160">
        <f t="shared" si="21"/>
        <v>665</v>
      </c>
      <c r="G337" s="160">
        <v>0</v>
      </c>
      <c r="H337" s="160">
        <f t="shared" si="22"/>
        <v>665</v>
      </c>
      <c r="I337" s="160">
        <f t="shared" si="23"/>
        <v>658</v>
      </c>
      <c r="J337" s="160">
        <v>545</v>
      </c>
      <c r="K337" s="160">
        <v>113</v>
      </c>
      <c r="L337" s="161">
        <v>7</v>
      </c>
      <c r="M337" s="161">
        <v>10138</v>
      </c>
    </row>
    <row r="338" spans="1:13">
      <c r="A338" s="157" t="s">
        <v>1478</v>
      </c>
      <c r="B338" s="158" t="s">
        <v>1479</v>
      </c>
      <c r="C338" s="159">
        <f t="shared" si="20"/>
        <v>4624</v>
      </c>
      <c r="D338" s="160">
        <v>163</v>
      </c>
      <c r="E338" s="160">
        <v>13</v>
      </c>
      <c r="F338" s="160">
        <f t="shared" si="21"/>
        <v>4448</v>
      </c>
      <c r="G338" s="160">
        <v>272</v>
      </c>
      <c r="H338" s="160">
        <f t="shared" si="22"/>
        <v>4176</v>
      </c>
      <c r="I338" s="160">
        <f t="shared" si="23"/>
        <v>3974</v>
      </c>
      <c r="J338" s="160">
        <v>2767</v>
      </c>
      <c r="K338" s="160">
        <v>1207</v>
      </c>
      <c r="L338" s="161">
        <v>202</v>
      </c>
      <c r="M338" s="156">
        <v>28872</v>
      </c>
    </row>
    <row r="339" spans="1:13">
      <c r="A339" s="147" t="s">
        <v>1480</v>
      </c>
      <c r="B339" s="148" t="s">
        <v>1481</v>
      </c>
      <c r="C339" s="149">
        <f t="shared" si="20"/>
        <v>5231</v>
      </c>
      <c r="D339" s="150">
        <v>0</v>
      </c>
      <c r="E339" s="150">
        <v>0</v>
      </c>
      <c r="F339" s="150">
        <f t="shared" si="21"/>
        <v>5231</v>
      </c>
      <c r="G339" s="150">
        <v>9</v>
      </c>
      <c r="H339" s="150">
        <f t="shared" si="22"/>
        <v>5222</v>
      </c>
      <c r="I339" s="150">
        <f t="shared" si="23"/>
        <v>4908</v>
      </c>
      <c r="J339" s="150">
        <v>2581</v>
      </c>
      <c r="K339" s="150">
        <v>2327</v>
      </c>
      <c r="L339" s="151">
        <v>314</v>
      </c>
      <c r="M339" s="161">
        <v>94915</v>
      </c>
    </row>
    <row r="340" spans="1:13">
      <c r="A340" s="157" t="s">
        <v>1482</v>
      </c>
      <c r="B340" s="158" t="s">
        <v>1483</v>
      </c>
      <c r="C340" s="159">
        <f t="shared" si="20"/>
        <v>690</v>
      </c>
      <c r="D340" s="160">
        <v>0</v>
      </c>
      <c r="E340" s="160">
        <v>0</v>
      </c>
      <c r="F340" s="160">
        <f t="shared" si="21"/>
        <v>690</v>
      </c>
      <c r="G340" s="160">
        <v>1</v>
      </c>
      <c r="H340" s="160">
        <f t="shared" si="22"/>
        <v>689</v>
      </c>
      <c r="I340" s="160">
        <f t="shared" si="23"/>
        <v>648</v>
      </c>
      <c r="J340" s="160">
        <v>341</v>
      </c>
      <c r="K340" s="160">
        <v>307</v>
      </c>
      <c r="L340" s="161">
        <v>41</v>
      </c>
      <c r="M340" s="161">
        <v>6579</v>
      </c>
    </row>
    <row r="341" spans="1:13">
      <c r="A341" s="157" t="s">
        <v>1484</v>
      </c>
      <c r="B341" s="158" t="s">
        <v>1485</v>
      </c>
      <c r="C341" s="159">
        <f t="shared" si="20"/>
        <v>2078</v>
      </c>
      <c r="D341" s="160">
        <v>0</v>
      </c>
      <c r="E341" s="160">
        <v>0</v>
      </c>
      <c r="F341" s="160">
        <f t="shared" si="21"/>
        <v>2078</v>
      </c>
      <c r="G341" s="160">
        <v>20</v>
      </c>
      <c r="H341" s="160">
        <f t="shared" si="22"/>
        <v>2058</v>
      </c>
      <c r="I341" s="160">
        <f t="shared" si="23"/>
        <v>1934</v>
      </c>
      <c r="J341" s="160">
        <v>1017</v>
      </c>
      <c r="K341" s="160">
        <v>917</v>
      </c>
      <c r="L341" s="161">
        <v>124</v>
      </c>
      <c r="M341" s="161">
        <v>27281</v>
      </c>
    </row>
    <row r="342" spans="1:13">
      <c r="A342" s="157" t="s">
        <v>1486</v>
      </c>
      <c r="B342" s="158" t="s">
        <v>1487</v>
      </c>
      <c r="C342" s="159">
        <f t="shared" si="20"/>
        <v>1675</v>
      </c>
      <c r="D342" s="160">
        <v>0</v>
      </c>
      <c r="E342" s="160">
        <v>0</v>
      </c>
      <c r="F342" s="160">
        <f t="shared" si="21"/>
        <v>1675</v>
      </c>
      <c r="G342" s="160">
        <v>16</v>
      </c>
      <c r="H342" s="160">
        <f t="shared" si="22"/>
        <v>1659</v>
      </c>
      <c r="I342" s="160">
        <f t="shared" si="23"/>
        <v>1559</v>
      </c>
      <c r="J342" s="160">
        <v>820</v>
      </c>
      <c r="K342" s="160">
        <v>739</v>
      </c>
      <c r="L342" s="161">
        <v>100</v>
      </c>
      <c r="M342" s="161">
        <v>16339</v>
      </c>
    </row>
    <row r="343" spans="1:13">
      <c r="A343" s="157" t="s">
        <v>1488</v>
      </c>
      <c r="B343" s="158" t="s">
        <v>1489</v>
      </c>
      <c r="C343" s="159">
        <f t="shared" si="20"/>
        <v>2640</v>
      </c>
      <c r="D343" s="160">
        <v>0</v>
      </c>
      <c r="E343" s="160">
        <v>0</v>
      </c>
      <c r="F343" s="160">
        <f t="shared" si="21"/>
        <v>2640</v>
      </c>
      <c r="G343" s="160">
        <v>26</v>
      </c>
      <c r="H343" s="160">
        <f t="shared" si="22"/>
        <v>2614</v>
      </c>
      <c r="I343" s="160">
        <f t="shared" si="23"/>
        <v>2457</v>
      </c>
      <c r="J343" s="160">
        <v>1292</v>
      </c>
      <c r="K343" s="160">
        <v>1165</v>
      </c>
      <c r="L343" s="161">
        <v>157</v>
      </c>
      <c r="M343" s="161">
        <v>25721</v>
      </c>
    </row>
    <row r="344" spans="1:13">
      <c r="A344" s="152" t="s">
        <v>1490</v>
      </c>
      <c r="B344" s="153" t="s">
        <v>1491</v>
      </c>
      <c r="C344" s="154">
        <f t="shared" si="20"/>
        <v>70</v>
      </c>
      <c r="D344" s="160">
        <v>0</v>
      </c>
      <c r="E344" s="160">
        <v>0</v>
      </c>
      <c r="F344" s="155">
        <f t="shared" si="21"/>
        <v>70</v>
      </c>
      <c r="G344" s="160">
        <v>1</v>
      </c>
      <c r="H344" s="155">
        <f t="shared" si="22"/>
        <v>69</v>
      </c>
      <c r="I344" s="155">
        <f t="shared" si="23"/>
        <v>65</v>
      </c>
      <c r="J344" s="160">
        <v>34</v>
      </c>
      <c r="K344" s="160">
        <v>31</v>
      </c>
      <c r="L344" s="161">
        <v>4</v>
      </c>
      <c r="M344" s="156">
        <v>818</v>
      </c>
    </row>
    <row r="345" spans="1:13">
      <c r="A345" s="157" t="s">
        <v>1492</v>
      </c>
      <c r="B345" s="158" t="s">
        <v>1493</v>
      </c>
      <c r="C345" s="159">
        <f t="shared" si="20"/>
        <v>24961</v>
      </c>
      <c r="D345" s="150">
        <v>0</v>
      </c>
      <c r="E345" s="150">
        <v>0</v>
      </c>
      <c r="F345" s="160">
        <f t="shared" si="21"/>
        <v>24961</v>
      </c>
      <c r="G345" s="150">
        <v>321</v>
      </c>
      <c r="H345" s="160">
        <f t="shared" si="22"/>
        <v>24640</v>
      </c>
      <c r="I345" s="160">
        <f t="shared" si="23"/>
        <v>24266</v>
      </c>
      <c r="J345" s="150">
        <v>19962</v>
      </c>
      <c r="K345" s="150">
        <v>4304</v>
      </c>
      <c r="L345" s="151">
        <v>374</v>
      </c>
      <c r="M345" s="166">
        <v>535435</v>
      </c>
    </row>
    <row r="346" spans="1:13">
      <c r="A346" s="147" t="s">
        <v>1494</v>
      </c>
      <c r="B346" s="148" t="s">
        <v>1495</v>
      </c>
      <c r="C346" s="149">
        <f t="shared" si="20"/>
        <v>67670</v>
      </c>
      <c r="D346" s="150">
        <v>1377</v>
      </c>
      <c r="E346" s="150">
        <v>736</v>
      </c>
      <c r="F346" s="150">
        <f t="shared" si="21"/>
        <v>65557</v>
      </c>
      <c r="G346" s="150">
        <v>2303</v>
      </c>
      <c r="H346" s="150">
        <f t="shared" si="22"/>
        <v>63254</v>
      </c>
      <c r="I346" s="150">
        <f t="shared" si="23"/>
        <v>61955</v>
      </c>
      <c r="J346" s="150">
        <v>45850</v>
      </c>
      <c r="K346" s="150">
        <v>16105</v>
      </c>
      <c r="L346" s="151">
        <v>1299</v>
      </c>
      <c r="M346" s="161">
        <v>725811</v>
      </c>
    </row>
    <row r="347" spans="1:13">
      <c r="A347" s="157" t="s">
        <v>1496</v>
      </c>
      <c r="B347" s="158" t="s">
        <v>1497</v>
      </c>
      <c r="C347" s="159">
        <f t="shared" si="20"/>
        <v>66691</v>
      </c>
      <c r="D347" s="160">
        <v>1060</v>
      </c>
      <c r="E347" s="160">
        <v>567</v>
      </c>
      <c r="F347" s="160">
        <f t="shared" si="21"/>
        <v>65064</v>
      </c>
      <c r="G347" s="160">
        <v>2286</v>
      </c>
      <c r="H347" s="160">
        <f t="shared" si="22"/>
        <v>62778</v>
      </c>
      <c r="I347" s="160">
        <f t="shared" si="23"/>
        <v>61489</v>
      </c>
      <c r="J347" s="160">
        <v>45505</v>
      </c>
      <c r="K347" s="160">
        <v>15984</v>
      </c>
      <c r="L347" s="161">
        <v>1289</v>
      </c>
      <c r="M347" s="161">
        <v>720350</v>
      </c>
    </row>
    <row r="348" spans="1:13">
      <c r="A348" s="157" t="s">
        <v>1498</v>
      </c>
      <c r="B348" s="158" t="s">
        <v>1499</v>
      </c>
      <c r="C348" s="159">
        <f t="shared" si="20"/>
        <v>25521</v>
      </c>
      <c r="D348" s="160">
        <v>2527</v>
      </c>
      <c r="E348" s="160">
        <v>1534</v>
      </c>
      <c r="F348" s="160">
        <f t="shared" si="21"/>
        <v>21460</v>
      </c>
      <c r="G348" s="160">
        <v>1155</v>
      </c>
      <c r="H348" s="160">
        <f t="shared" si="22"/>
        <v>20305</v>
      </c>
      <c r="I348" s="160">
        <f t="shared" si="23"/>
        <v>19816</v>
      </c>
      <c r="J348" s="160">
        <v>12481</v>
      </c>
      <c r="K348" s="160">
        <v>7335</v>
      </c>
      <c r="L348" s="161">
        <v>489</v>
      </c>
      <c r="M348" s="161">
        <v>168619</v>
      </c>
    </row>
    <row r="349" spans="1:13">
      <c r="A349" s="157" t="s">
        <v>1500</v>
      </c>
      <c r="B349" s="158" t="s">
        <v>1501</v>
      </c>
      <c r="C349" s="159">
        <f t="shared" si="20"/>
        <v>13573</v>
      </c>
      <c r="D349" s="160">
        <v>943</v>
      </c>
      <c r="E349" s="160">
        <v>235</v>
      </c>
      <c r="F349" s="160">
        <f t="shared" si="21"/>
        <v>12395</v>
      </c>
      <c r="G349" s="160">
        <v>837</v>
      </c>
      <c r="H349" s="160">
        <f t="shared" si="22"/>
        <v>11558</v>
      </c>
      <c r="I349" s="160">
        <f t="shared" si="23"/>
        <v>11195</v>
      </c>
      <c r="J349" s="160">
        <v>5306</v>
      </c>
      <c r="K349" s="160">
        <v>5889</v>
      </c>
      <c r="L349" s="161">
        <v>363</v>
      </c>
      <c r="M349" s="161">
        <v>352262</v>
      </c>
    </row>
    <row r="350" spans="1:13">
      <c r="A350" s="152" t="s">
        <v>1502</v>
      </c>
      <c r="B350" s="153" t="s">
        <v>1503</v>
      </c>
      <c r="C350" s="154">
        <f t="shared" si="20"/>
        <v>10620</v>
      </c>
      <c r="D350" s="160">
        <v>2838</v>
      </c>
      <c r="E350" s="160">
        <v>758</v>
      </c>
      <c r="F350" s="155">
        <f t="shared" si="21"/>
        <v>7024</v>
      </c>
      <c r="G350" s="160">
        <v>475</v>
      </c>
      <c r="H350" s="155">
        <f t="shared" si="22"/>
        <v>6549</v>
      </c>
      <c r="I350" s="155">
        <f t="shared" si="23"/>
        <v>6341</v>
      </c>
      <c r="J350" s="160">
        <v>3631</v>
      </c>
      <c r="K350" s="160">
        <v>2710</v>
      </c>
      <c r="L350" s="161">
        <v>208</v>
      </c>
      <c r="M350" s="156">
        <v>52611</v>
      </c>
    </row>
    <row r="351" spans="1:13">
      <c r="A351" s="157" t="s">
        <v>1504</v>
      </c>
      <c r="B351" s="158" t="s">
        <v>1505</v>
      </c>
      <c r="C351" s="159">
        <f t="shared" si="20"/>
        <v>2730</v>
      </c>
      <c r="D351" s="150">
        <v>0</v>
      </c>
      <c r="E351" s="150">
        <v>0</v>
      </c>
      <c r="F351" s="160">
        <f t="shared" si="21"/>
        <v>2730</v>
      </c>
      <c r="G351" s="150">
        <v>0</v>
      </c>
      <c r="H351" s="160">
        <f t="shared" si="22"/>
        <v>2730</v>
      </c>
      <c r="I351" s="160">
        <f t="shared" si="23"/>
        <v>2519</v>
      </c>
      <c r="J351" s="150">
        <v>1854</v>
      </c>
      <c r="K351" s="150">
        <v>665</v>
      </c>
      <c r="L351" s="151">
        <v>211</v>
      </c>
      <c r="M351" s="161">
        <v>26817</v>
      </c>
    </row>
    <row r="352" spans="1:13">
      <c r="A352" s="157" t="s">
        <v>1506</v>
      </c>
      <c r="B352" s="158" t="s">
        <v>1507</v>
      </c>
      <c r="C352" s="159">
        <f t="shared" si="20"/>
        <v>4523</v>
      </c>
      <c r="D352" s="160">
        <v>163</v>
      </c>
      <c r="E352" s="160">
        <v>6</v>
      </c>
      <c r="F352" s="160">
        <f t="shared" si="21"/>
        <v>4354</v>
      </c>
      <c r="G352" s="160">
        <v>128</v>
      </c>
      <c r="H352" s="160">
        <f t="shared" si="22"/>
        <v>4226</v>
      </c>
      <c r="I352" s="160">
        <f t="shared" si="23"/>
        <v>3719</v>
      </c>
      <c r="J352" s="160">
        <v>2217</v>
      </c>
      <c r="K352" s="160">
        <v>1502</v>
      </c>
      <c r="L352" s="161">
        <v>507</v>
      </c>
      <c r="M352" s="156">
        <v>36649</v>
      </c>
    </row>
    <row r="353" spans="1:13">
      <c r="A353" s="147" t="s">
        <v>1508</v>
      </c>
      <c r="B353" s="148" t="s">
        <v>1509</v>
      </c>
      <c r="C353" s="149">
        <f t="shared" si="20"/>
        <v>3418</v>
      </c>
      <c r="D353" s="150">
        <v>0</v>
      </c>
      <c r="E353" s="150">
        <v>0</v>
      </c>
      <c r="F353" s="150">
        <f t="shared" si="21"/>
        <v>3418</v>
      </c>
      <c r="G353" s="150">
        <v>45</v>
      </c>
      <c r="H353" s="150">
        <f t="shared" si="22"/>
        <v>3373</v>
      </c>
      <c r="I353" s="150">
        <f t="shared" si="23"/>
        <v>3333</v>
      </c>
      <c r="J353" s="150">
        <v>2518</v>
      </c>
      <c r="K353" s="150">
        <v>815</v>
      </c>
      <c r="L353" s="151">
        <v>40</v>
      </c>
      <c r="M353" s="161">
        <v>51024</v>
      </c>
    </row>
    <row r="354" spans="1:13">
      <c r="A354" s="157" t="s">
        <v>1510</v>
      </c>
      <c r="B354" s="158" t="s">
        <v>1511</v>
      </c>
      <c r="C354" s="159">
        <f t="shared" si="20"/>
        <v>7535</v>
      </c>
      <c r="D354" s="160">
        <v>0</v>
      </c>
      <c r="E354" s="160">
        <v>0</v>
      </c>
      <c r="F354" s="160">
        <f t="shared" si="21"/>
        <v>7535</v>
      </c>
      <c r="G354" s="160">
        <v>0</v>
      </c>
      <c r="H354" s="160">
        <f t="shared" si="22"/>
        <v>7535</v>
      </c>
      <c r="I354" s="160">
        <f t="shared" si="23"/>
        <v>7160</v>
      </c>
      <c r="J354" s="160">
        <v>3985</v>
      </c>
      <c r="K354" s="160">
        <v>3175</v>
      </c>
      <c r="L354" s="161">
        <v>375</v>
      </c>
      <c r="M354" s="161">
        <v>45333</v>
      </c>
    </row>
    <row r="355" spans="1:13">
      <c r="A355" s="157" t="s">
        <v>1512</v>
      </c>
      <c r="B355" s="158" t="s">
        <v>1513</v>
      </c>
      <c r="C355" s="159">
        <f t="shared" si="20"/>
        <v>21765</v>
      </c>
      <c r="D355" s="160">
        <v>0</v>
      </c>
      <c r="E355" s="160">
        <v>0</v>
      </c>
      <c r="F355" s="160">
        <f t="shared" si="21"/>
        <v>21765</v>
      </c>
      <c r="G355" s="160">
        <v>369</v>
      </c>
      <c r="H355" s="160">
        <f t="shared" si="22"/>
        <v>21396</v>
      </c>
      <c r="I355" s="160">
        <f t="shared" si="23"/>
        <v>20332</v>
      </c>
      <c r="J355" s="160">
        <v>11316</v>
      </c>
      <c r="K355" s="160">
        <v>9016</v>
      </c>
      <c r="L355" s="161">
        <v>1064</v>
      </c>
      <c r="M355" s="161">
        <v>124187</v>
      </c>
    </row>
    <row r="356" spans="1:13">
      <c r="A356" s="157" t="s">
        <v>1514</v>
      </c>
      <c r="B356" s="158" t="s">
        <v>1515</v>
      </c>
      <c r="C356" s="159">
        <f t="shared" si="20"/>
        <v>8730</v>
      </c>
      <c r="D356" s="160">
        <v>0</v>
      </c>
      <c r="E356" s="160">
        <v>0</v>
      </c>
      <c r="F356" s="160">
        <f t="shared" si="21"/>
        <v>8730</v>
      </c>
      <c r="G356" s="160">
        <v>148</v>
      </c>
      <c r="H356" s="160">
        <f t="shared" si="22"/>
        <v>8582</v>
      </c>
      <c r="I356" s="160">
        <f t="shared" si="23"/>
        <v>8155</v>
      </c>
      <c r="J356" s="160">
        <v>4539</v>
      </c>
      <c r="K356" s="160">
        <v>3616</v>
      </c>
      <c r="L356" s="161">
        <v>427</v>
      </c>
      <c r="M356" s="161">
        <v>47583</v>
      </c>
    </row>
    <row r="357" spans="1:13">
      <c r="A357" s="152" t="s">
        <v>1516</v>
      </c>
      <c r="B357" s="153" t="s">
        <v>1517</v>
      </c>
      <c r="C357" s="154">
        <f t="shared" si="20"/>
        <v>15778</v>
      </c>
      <c r="D357" s="160">
        <v>78</v>
      </c>
      <c r="E357" s="160">
        <v>19</v>
      </c>
      <c r="F357" s="155">
        <f t="shared" si="21"/>
        <v>15681</v>
      </c>
      <c r="G357" s="160">
        <v>204</v>
      </c>
      <c r="H357" s="155">
        <f t="shared" si="22"/>
        <v>15477</v>
      </c>
      <c r="I357" s="155">
        <f t="shared" si="23"/>
        <v>15078</v>
      </c>
      <c r="J357" s="160">
        <v>9018</v>
      </c>
      <c r="K357" s="160">
        <v>6060</v>
      </c>
      <c r="L357" s="161">
        <v>399</v>
      </c>
      <c r="M357" s="156">
        <v>91207</v>
      </c>
    </row>
    <row r="358" spans="1:13">
      <c r="A358" s="157" t="s">
        <v>1518</v>
      </c>
      <c r="B358" s="158" t="s">
        <v>1519</v>
      </c>
      <c r="C358" s="159">
        <f t="shared" si="20"/>
        <v>26700</v>
      </c>
      <c r="D358" s="150">
        <v>0</v>
      </c>
      <c r="E358" s="150">
        <v>0</v>
      </c>
      <c r="F358" s="160">
        <f t="shared" si="21"/>
        <v>26700</v>
      </c>
      <c r="G358" s="150">
        <v>384</v>
      </c>
      <c r="H358" s="160">
        <f t="shared" si="22"/>
        <v>26316</v>
      </c>
      <c r="I358" s="160">
        <f t="shared" si="23"/>
        <v>25640</v>
      </c>
      <c r="J358" s="150">
        <v>17465</v>
      </c>
      <c r="K358" s="150">
        <v>8175</v>
      </c>
      <c r="L358" s="151">
        <v>676</v>
      </c>
      <c r="M358" s="161">
        <v>148973</v>
      </c>
    </row>
    <row r="359" spans="1:13">
      <c r="A359" s="157" t="s">
        <v>1520</v>
      </c>
      <c r="B359" s="158" t="s">
        <v>1521</v>
      </c>
      <c r="C359" s="159">
        <f t="shared" si="20"/>
        <v>48283</v>
      </c>
      <c r="D359" s="160">
        <v>0</v>
      </c>
      <c r="E359" s="160">
        <v>0</v>
      </c>
      <c r="F359" s="160">
        <f t="shared" si="21"/>
        <v>48283</v>
      </c>
      <c r="G359" s="160">
        <v>835</v>
      </c>
      <c r="H359" s="160">
        <f t="shared" si="22"/>
        <v>47448</v>
      </c>
      <c r="I359" s="160">
        <f t="shared" si="23"/>
        <v>43785</v>
      </c>
      <c r="J359" s="160">
        <v>23530</v>
      </c>
      <c r="K359" s="160">
        <v>20255</v>
      </c>
      <c r="L359" s="161">
        <v>3663</v>
      </c>
      <c r="M359" s="156">
        <v>279368</v>
      </c>
    </row>
    <row r="360" spans="1:13">
      <c r="A360" s="147" t="s">
        <v>1522</v>
      </c>
      <c r="B360" s="148" t="s">
        <v>1523</v>
      </c>
      <c r="C360" s="149">
        <f t="shared" si="20"/>
        <v>3674</v>
      </c>
      <c r="D360" s="150">
        <v>0</v>
      </c>
      <c r="E360" s="150">
        <v>0</v>
      </c>
      <c r="F360" s="150">
        <f t="shared" si="21"/>
        <v>3674</v>
      </c>
      <c r="G360" s="150">
        <v>400</v>
      </c>
      <c r="H360" s="150">
        <f t="shared" si="22"/>
        <v>3274</v>
      </c>
      <c r="I360" s="150">
        <f t="shared" si="23"/>
        <v>3186</v>
      </c>
      <c r="J360" s="150">
        <v>2492</v>
      </c>
      <c r="K360" s="150">
        <v>694</v>
      </c>
      <c r="L360" s="151">
        <v>88</v>
      </c>
      <c r="M360" s="161">
        <v>36088</v>
      </c>
    </row>
    <row r="361" spans="1:13">
      <c r="A361" s="152" t="s">
        <v>1524</v>
      </c>
      <c r="B361" s="153" t="s">
        <v>1525</v>
      </c>
      <c r="C361" s="154">
        <f t="shared" si="20"/>
        <v>19843</v>
      </c>
      <c r="D361" s="155">
        <v>1105</v>
      </c>
      <c r="E361" s="155">
        <v>587</v>
      </c>
      <c r="F361" s="155">
        <f t="shared" si="21"/>
        <v>18151</v>
      </c>
      <c r="G361" s="155">
        <v>3849</v>
      </c>
      <c r="H361" s="155">
        <f t="shared" si="22"/>
        <v>14302</v>
      </c>
      <c r="I361" s="155">
        <f t="shared" si="23"/>
        <v>13272</v>
      </c>
      <c r="J361" s="155">
        <v>8859</v>
      </c>
      <c r="K361" s="155">
        <v>4413</v>
      </c>
      <c r="L361" s="156">
        <v>1030</v>
      </c>
      <c r="M361" s="156">
        <v>142282</v>
      </c>
    </row>
    <row r="362" spans="1:13">
      <c r="A362" s="157" t="s">
        <v>1526</v>
      </c>
      <c r="B362" s="158" t="s">
        <v>1527</v>
      </c>
      <c r="C362" s="159">
        <f t="shared" si="20"/>
        <v>5297</v>
      </c>
      <c r="D362" s="150">
        <v>218</v>
      </c>
      <c r="E362" s="150">
        <v>48</v>
      </c>
      <c r="F362" s="160">
        <f t="shared" si="21"/>
        <v>5031</v>
      </c>
      <c r="G362" s="150">
        <v>364</v>
      </c>
      <c r="H362" s="160">
        <f t="shared" si="22"/>
        <v>4667</v>
      </c>
      <c r="I362" s="160">
        <f t="shared" si="23"/>
        <v>4517</v>
      </c>
      <c r="J362" s="150">
        <v>3161</v>
      </c>
      <c r="K362" s="150">
        <v>1356</v>
      </c>
      <c r="L362" s="151">
        <v>150</v>
      </c>
      <c r="M362" s="166">
        <v>192753</v>
      </c>
    </row>
    <row r="363" spans="1:13">
      <c r="A363" s="162" t="s">
        <v>1528</v>
      </c>
      <c r="B363" s="163" t="s">
        <v>1529</v>
      </c>
      <c r="C363" s="164">
        <f t="shared" si="20"/>
        <v>1275</v>
      </c>
      <c r="D363" s="150">
        <v>20</v>
      </c>
      <c r="E363" s="150">
        <v>5</v>
      </c>
      <c r="F363" s="165">
        <f t="shared" si="21"/>
        <v>1250</v>
      </c>
      <c r="G363" s="150">
        <v>59</v>
      </c>
      <c r="H363" s="165">
        <f t="shared" si="22"/>
        <v>1191</v>
      </c>
      <c r="I363" s="165">
        <f t="shared" si="23"/>
        <v>1151</v>
      </c>
      <c r="J363" s="150">
        <v>690</v>
      </c>
      <c r="K363" s="150">
        <v>461</v>
      </c>
      <c r="L363" s="151">
        <v>40</v>
      </c>
      <c r="M363" s="166">
        <v>29146</v>
      </c>
    </row>
    <row r="364" spans="1:13">
      <c r="A364" s="157" t="s">
        <v>1530</v>
      </c>
      <c r="B364" s="158" t="s">
        <v>1531</v>
      </c>
      <c r="C364" s="159">
        <f t="shared" si="20"/>
        <v>1241</v>
      </c>
      <c r="D364" s="150">
        <v>56</v>
      </c>
      <c r="E364" s="150">
        <v>6</v>
      </c>
      <c r="F364" s="160">
        <f t="shared" si="21"/>
        <v>1179</v>
      </c>
      <c r="G364" s="150">
        <v>172</v>
      </c>
      <c r="H364" s="160">
        <f t="shared" si="22"/>
        <v>1007</v>
      </c>
      <c r="I364" s="160">
        <f t="shared" si="23"/>
        <v>975</v>
      </c>
      <c r="J364" s="150">
        <v>805</v>
      </c>
      <c r="K364" s="150">
        <v>170</v>
      </c>
      <c r="L364" s="151">
        <v>32</v>
      </c>
      <c r="M364" s="166">
        <v>47742</v>
      </c>
    </row>
    <row r="365" spans="1:13">
      <c r="A365" s="162" t="s">
        <v>1532</v>
      </c>
      <c r="B365" s="163" t="s">
        <v>1533</v>
      </c>
      <c r="C365" s="164">
        <f t="shared" si="20"/>
        <v>14255</v>
      </c>
      <c r="D365" s="150">
        <v>1195</v>
      </c>
      <c r="E365" s="150">
        <v>613</v>
      </c>
      <c r="F365" s="165">
        <f t="shared" si="21"/>
        <v>12447</v>
      </c>
      <c r="G365" s="150">
        <v>1922</v>
      </c>
      <c r="H365" s="165">
        <f t="shared" si="22"/>
        <v>10525</v>
      </c>
      <c r="I365" s="165">
        <f t="shared" si="23"/>
        <v>10238</v>
      </c>
      <c r="J365" s="150">
        <v>8482</v>
      </c>
      <c r="K365" s="150">
        <v>1756</v>
      </c>
      <c r="L365" s="151">
        <v>287</v>
      </c>
      <c r="M365" s="166">
        <v>123713</v>
      </c>
    </row>
    <row r="366" spans="1:13">
      <c r="A366" s="162" t="s">
        <v>1534</v>
      </c>
      <c r="B366" s="163" t="s">
        <v>1535</v>
      </c>
      <c r="C366" s="164">
        <f t="shared" si="20"/>
        <v>10163</v>
      </c>
      <c r="D366" s="150">
        <v>1208</v>
      </c>
      <c r="E366" s="150">
        <v>260</v>
      </c>
      <c r="F366" s="165">
        <f t="shared" si="21"/>
        <v>8695</v>
      </c>
      <c r="G366" s="150">
        <v>640</v>
      </c>
      <c r="H366" s="165">
        <f t="shared" si="22"/>
        <v>8055</v>
      </c>
      <c r="I366" s="165">
        <f t="shared" si="23"/>
        <v>7880</v>
      </c>
      <c r="J366" s="150">
        <v>6645</v>
      </c>
      <c r="K366" s="150">
        <v>1235</v>
      </c>
      <c r="L366" s="151">
        <v>175</v>
      </c>
      <c r="M366" s="166">
        <v>356772</v>
      </c>
    </row>
    <row r="367" spans="1:13">
      <c r="A367" s="157" t="s">
        <v>1536</v>
      </c>
      <c r="B367" s="158" t="s">
        <v>1537</v>
      </c>
      <c r="C367" s="159">
        <f t="shared" si="20"/>
        <v>11022</v>
      </c>
      <c r="D367" s="150">
        <v>3747</v>
      </c>
      <c r="E367" s="150">
        <v>955</v>
      </c>
      <c r="F367" s="160">
        <f t="shared" si="21"/>
        <v>6320</v>
      </c>
      <c r="G367" s="150">
        <v>367</v>
      </c>
      <c r="H367" s="160">
        <f t="shared" si="22"/>
        <v>5953</v>
      </c>
      <c r="I367" s="160">
        <f t="shared" si="23"/>
        <v>5804</v>
      </c>
      <c r="J367" s="150">
        <v>4711</v>
      </c>
      <c r="K367" s="150">
        <v>1093</v>
      </c>
      <c r="L367" s="151">
        <v>149</v>
      </c>
      <c r="M367" s="161">
        <v>61820</v>
      </c>
    </row>
    <row r="368" spans="1:13">
      <c r="A368" s="157" t="s">
        <v>1538</v>
      </c>
      <c r="B368" s="158" t="s">
        <v>1539</v>
      </c>
      <c r="C368" s="159">
        <f t="shared" si="20"/>
        <v>8531</v>
      </c>
      <c r="D368" s="160">
        <v>988</v>
      </c>
      <c r="E368" s="160">
        <v>224</v>
      </c>
      <c r="F368" s="160">
        <f t="shared" si="21"/>
        <v>7319</v>
      </c>
      <c r="G368" s="160">
        <v>1240</v>
      </c>
      <c r="H368" s="160">
        <f t="shared" si="22"/>
        <v>6079</v>
      </c>
      <c r="I368" s="160">
        <f t="shared" si="23"/>
        <v>5839</v>
      </c>
      <c r="J368" s="160">
        <v>4884</v>
      </c>
      <c r="K368" s="160">
        <v>955</v>
      </c>
      <c r="L368" s="161">
        <v>240</v>
      </c>
      <c r="M368" s="161">
        <v>92174</v>
      </c>
    </row>
    <row r="369" spans="1:13">
      <c r="A369" s="157" t="s">
        <v>1540</v>
      </c>
      <c r="B369" s="158" t="s">
        <v>1541</v>
      </c>
      <c r="C369" s="159">
        <f t="shared" si="20"/>
        <v>40669</v>
      </c>
      <c r="D369" s="160">
        <v>8</v>
      </c>
      <c r="E369" s="160">
        <v>1</v>
      </c>
      <c r="F369" s="160">
        <f t="shared" si="21"/>
        <v>40660</v>
      </c>
      <c r="G369" s="160">
        <v>277</v>
      </c>
      <c r="H369" s="160">
        <f t="shared" si="22"/>
        <v>40383</v>
      </c>
      <c r="I369" s="160">
        <f t="shared" si="23"/>
        <v>37171</v>
      </c>
      <c r="J369" s="160">
        <v>11838</v>
      </c>
      <c r="K369" s="160">
        <v>25333</v>
      </c>
      <c r="L369" s="161">
        <v>3212</v>
      </c>
      <c r="M369" s="161">
        <v>158848</v>
      </c>
    </row>
    <row r="370" spans="1:13">
      <c r="A370" s="157" t="s">
        <v>1542</v>
      </c>
      <c r="B370" s="158" t="s">
        <v>1543</v>
      </c>
      <c r="C370" s="159">
        <f t="shared" si="20"/>
        <v>36372</v>
      </c>
      <c r="D370" s="160">
        <v>1540</v>
      </c>
      <c r="E370" s="160">
        <v>194</v>
      </c>
      <c r="F370" s="160">
        <f t="shared" si="21"/>
        <v>34638</v>
      </c>
      <c r="G370" s="160">
        <v>790</v>
      </c>
      <c r="H370" s="160">
        <f t="shared" si="22"/>
        <v>33848</v>
      </c>
      <c r="I370" s="160">
        <f t="shared" si="23"/>
        <v>32538</v>
      </c>
      <c r="J370" s="160">
        <v>9779</v>
      </c>
      <c r="K370" s="160">
        <v>22759</v>
      </c>
      <c r="L370" s="161">
        <v>1310</v>
      </c>
      <c r="M370" s="161">
        <v>220246</v>
      </c>
    </row>
    <row r="371" spans="1:13">
      <c r="A371" s="157" t="s">
        <v>1544</v>
      </c>
      <c r="B371" s="158" t="s">
        <v>1545</v>
      </c>
      <c r="C371" s="159">
        <f t="shared" si="20"/>
        <v>13197</v>
      </c>
      <c r="D371" s="160">
        <v>218</v>
      </c>
      <c r="E371" s="160">
        <v>4</v>
      </c>
      <c r="F371" s="160">
        <f t="shared" si="21"/>
        <v>12975</v>
      </c>
      <c r="G371" s="160">
        <v>200</v>
      </c>
      <c r="H371" s="160">
        <f t="shared" si="22"/>
        <v>12775</v>
      </c>
      <c r="I371" s="160">
        <f t="shared" si="23"/>
        <v>12085</v>
      </c>
      <c r="J371" s="160">
        <v>6762</v>
      </c>
      <c r="K371" s="160">
        <v>5323</v>
      </c>
      <c r="L371" s="161">
        <v>690</v>
      </c>
      <c r="M371" s="161">
        <v>83500</v>
      </c>
    </row>
    <row r="372" spans="1:13">
      <c r="A372" s="157" t="s">
        <v>1546</v>
      </c>
      <c r="B372" s="158" t="s">
        <v>1547</v>
      </c>
      <c r="C372" s="159">
        <f t="shared" si="20"/>
        <v>46270</v>
      </c>
      <c r="D372" s="160">
        <v>9888</v>
      </c>
      <c r="E372" s="160">
        <v>561</v>
      </c>
      <c r="F372" s="160">
        <f t="shared" si="21"/>
        <v>35821</v>
      </c>
      <c r="G372" s="160">
        <v>2317</v>
      </c>
      <c r="H372" s="160">
        <f t="shared" si="22"/>
        <v>33504</v>
      </c>
      <c r="I372" s="160">
        <f t="shared" si="23"/>
        <v>31569</v>
      </c>
      <c r="J372" s="160">
        <v>19127</v>
      </c>
      <c r="K372" s="160">
        <v>12442</v>
      </c>
      <c r="L372" s="161">
        <v>1935</v>
      </c>
      <c r="M372" s="156">
        <v>503795</v>
      </c>
    </row>
    <row r="373" spans="1:13">
      <c r="A373" s="175" t="s">
        <v>1548</v>
      </c>
      <c r="B373" s="176" t="s">
        <v>1549</v>
      </c>
      <c r="C373" s="177">
        <f t="shared" si="20"/>
        <v>22541</v>
      </c>
      <c r="D373" s="170">
        <v>672</v>
      </c>
      <c r="E373" s="170">
        <v>576</v>
      </c>
      <c r="F373" s="178">
        <f t="shared" si="21"/>
        <v>21293</v>
      </c>
      <c r="G373" s="170">
        <v>835</v>
      </c>
      <c r="H373" s="178">
        <f t="shared" si="22"/>
        <v>20458</v>
      </c>
      <c r="I373" s="178">
        <f t="shared" si="23"/>
        <v>18693</v>
      </c>
      <c r="J373" s="170">
        <v>8522</v>
      </c>
      <c r="K373" s="170">
        <v>10171</v>
      </c>
      <c r="L373" s="172">
        <v>1765</v>
      </c>
      <c r="M373" s="173">
        <v>230883</v>
      </c>
    </row>
    <row r="374" spans="1:13">
      <c r="A374" s="167" t="s">
        <v>1550</v>
      </c>
      <c r="B374" s="168" t="s">
        <v>1551</v>
      </c>
      <c r="C374" s="169">
        <f t="shared" si="20"/>
        <v>186242</v>
      </c>
      <c r="D374" s="170">
        <v>17792</v>
      </c>
      <c r="E374" s="170">
        <v>7888</v>
      </c>
      <c r="F374" s="171">
        <f t="shared" si="21"/>
        <v>160562</v>
      </c>
      <c r="G374" s="170">
        <v>4512</v>
      </c>
      <c r="H374" s="171">
        <f t="shared" si="22"/>
        <v>156050</v>
      </c>
      <c r="I374" s="171">
        <f t="shared" si="23"/>
        <v>143136</v>
      </c>
      <c r="J374" s="170">
        <v>29716</v>
      </c>
      <c r="K374" s="170">
        <v>113420</v>
      </c>
      <c r="L374" s="172">
        <v>12914</v>
      </c>
      <c r="M374" s="174">
        <v>1097153</v>
      </c>
    </row>
    <row r="375" spans="1:13">
      <c r="A375" s="157" t="s">
        <v>1552</v>
      </c>
      <c r="B375" s="158" t="s">
        <v>1553</v>
      </c>
      <c r="C375" s="159">
        <f t="shared" si="20"/>
        <v>34695</v>
      </c>
      <c r="D375" s="155">
        <v>548</v>
      </c>
      <c r="E375" s="155">
        <v>300</v>
      </c>
      <c r="F375" s="155">
        <f t="shared" si="21"/>
        <v>33847</v>
      </c>
      <c r="G375" s="155">
        <v>414</v>
      </c>
      <c r="H375" s="155">
        <f t="shared" si="22"/>
        <v>33433</v>
      </c>
      <c r="I375" s="155">
        <f t="shared" si="23"/>
        <v>32322</v>
      </c>
      <c r="J375" s="155">
        <v>8219</v>
      </c>
      <c r="K375" s="155">
        <v>24103</v>
      </c>
      <c r="L375" s="156">
        <v>1111</v>
      </c>
      <c r="M375" s="156">
        <v>127101</v>
      </c>
    </row>
    <row r="376" spans="1:13">
      <c r="A376" s="147" t="s">
        <v>1554</v>
      </c>
      <c r="B376" s="148" t="s">
        <v>1555</v>
      </c>
      <c r="C376" s="149">
        <f t="shared" si="20"/>
        <v>7696</v>
      </c>
      <c r="D376" s="150">
        <v>824</v>
      </c>
      <c r="E376" s="150">
        <v>460</v>
      </c>
      <c r="F376" s="150">
        <f t="shared" si="21"/>
        <v>6412</v>
      </c>
      <c r="G376" s="150">
        <v>344</v>
      </c>
      <c r="H376" s="150">
        <f t="shared" si="22"/>
        <v>6068</v>
      </c>
      <c r="I376" s="150">
        <f t="shared" si="23"/>
        <v>5816</v>
      </c>
      <c r="J376" s="150">
        <v>1748</v>
      </c>
      <c r="K376" s="150">
        <v>4068</v>
      </c>
      <c r="L376" s="151">
        <v>252</v>
      </c>
      <c r="M376" s="161">
        <v>57813</v>
      </c>
    </row>
    <row r="377" spans="1:13">
      <c r="A377" s="157" t="s">
        <v>1556</v>
      </c>
      <c r="B377" s="158" t="s">
        <v>1557</v>
      </c>
      <c r="C377" s="159">
        <f t="shared" si="20"/>
        <v>4296</v>
      </c>
      <c r="D377" s="160">
        <v>1745</v>
      </c>
      <c r="E377" s="160">
        <v>1089</v>
      </c>
      <c r="F377" s="160">
        <f t="shared" si="21"/>
        <v>1462</v>
      </c>
      <c r="G377" s="160">
        <v>95</v>
      </c>
      <c r="H377" s="160">
        <f t="shared" si="22"/>
        <v>1367</v>
      </c>
      <c r="I377" s="160">
        <f t="shared" si="23"/>
        <v>1331</v>
      </c>
      <c r="J377" s="160">
        <v>1098</v>
      </c>
      <c r="K377" s="160">
        <v>233</v>
      </c>
      <c r="L377" s="161">
        <v>36</v>
      </c>
      <c r="M377" s="161">
        <v>20323</v>
      </c>
    </row>
    <row r="378" spans="1:13">
      <c r="A378" s="157" t="s">
        <v>1558</v>
      </c>
      <c r="B378" s="158" t="s">
        <v>1559</v>
      </c>
      <c r="C378" s="159">
        <f t="shared" si="20"/>
        <v>15215</v>
      </c>
      <c r="D378" s="160">
        <v>4965</v>
      </c>
      <c r="E378" s="160">
        <v>1095</v>
      </c>
      <c r="F378" s="160">
        <f t="shared" si="21"/>
        <v>9155</v>
      </c>
      <c r="G378" s="160">
        <v>699</v>
      </c>
      <c r="H378" s="160">
        <f t="shared" si="22"/>
        <v>8456</v>
      </c>
      <c r="I378" s="160">
        <f t="shared" si="23"/>
        <v>8145</v>
      </c>
      <c r="J378" s="160">
        <v>5916</v>
      </c>
      <c r="K378" s="160">
        <v>2229</v>
      </c>
      <c r="L378" s="161">
        <v>311</v>
      </c>
      <c r="M378" s="161">
        <v>89004</v>
      </c>
    </row>
    <row r="379" spans="1:13">
      <c r="A379" s="157" t="s">
        <v>1560</v>
      </c>
      <c r="B379" s="158" t="s">
        <v>1561</v>
      </c>
      <c r="C379" s="159">
        <f t="shared" si="20"/>
        <v>2979</v>
      </c>
      <c r="D379" s="160">
        <v>133</v>
      </c>
      <c r="E379" s="160">
        <v>118</v>
      </c>
      <c r="F379" s="160">
        <f t="shared" si="21"/>
        <v>2728</v>
      </c>
      <c r="G379" s="160">
        <v>129</v>
      </c>
      <c r="H379" s="160">
        <f t="shared" si="22"/>
        <v>2599</v>
      </c>
      <c r="I379" s="160">
        <f t="shared" si="23"/>
        <v>2448</v>
      </c>
      <c r="J379" s="160">
        <v>597</v>
      </c>
      <c r="K379" s="160">
        <v>1851</v>
      </c>
      <c r="L379" s="161">
        <v>151</v>
      </c>
      <c r="M379" s="161">
        <v>16287</v>
      </c>
    </row>
    <row r="380" spans="1:13">
      <c r="A380" s="152" t="s">
        <v>1562</v>
      </c>
      <c r="B380" s="153" t="s">
        <v>1563</v>
      </c>
      <c r="C380" s="154">
        <f t="shared" si="20"/>
        <v>3520</v>
      </c>
      <c r="D380" s="160">
        <v>992</v>
      </c>
      <c r="E380" s="160">
        <v>62</v>
      </c>
      <c r="F380" s="155">
        <f t="shared" si="21"/>
        <v>2466</v>
      </c>
      <c r="G380" s="160">
        <v>166</v>
      </c>
      <c r="H380" s="155">
        <f t="shared" si="22"/>
        <v>2300</v>
      </c>
      <c r="I380" s="155">
        <f t="shared" si="23"/>
        <v>2131</v>
      </c>
      <c r="J380" s="160">
        <v>1378</v>
      </c>
      <c r="K380" s="160">
        <v>753</v>
      </c>
      <c r="L380" s="161">
        <v>169</v>
      </c>
      <c r="M380" s="156">
        <v>28592</v>
      </c>
    </row>
    <row r="381" spans="1:13">
      <c r="A381" s="157" t="s">
        <v>1564</v>
      </c>
      <c r="B381" s="158" t="s">
        <v>1565</v>
      </c>
      <c r="C381" s="159">
        <f t="shared" si="20"/>
        <v>677</v>
      </c>
      <c r="D381" s="150">
        <v>18</v>
      </c>
      <c r="E381" s="150">
        <v>1</v>
      </c>
      <c r="F381" s="160">
        <f t="shared" si="21"/>
        <v>658</v>
      </c>
      <c r="G381" s="150">
        <v>14</v>
      </c>
      <c r="H381" s="160">
        <f t="shared" si="22"/>
        <v>644</v>
      </c>
      <c r="I381" s="160">
        <f t="shared" si="23"/>
        <v>583</v>
      </c>
      <c r="J381" s="150">
        <v>105</v>
      </c>
      <c r="K381" s="150">
        <v>478</v>
      </c>
      <c r="L381" s="151">
        <v>61</v>
      </c>
      <c r="M381" s="161">
        <v>7387</v>
      </c>
    </row>
    <row r="382" spans="1:13">
      <c r="A382" s="215" t="s">
        <v>1566</v>
      </c>
      <c r="B382" s="216" t="s">
        <v>1567</v>
      </c>
      <c r="C382" s="169">
        <f t="shared" si="20"/>
        <v>3976</v>
      </c>
      <c r="D382" s="171">
        <v>942</v>
      </c>
      <c r="E382" s="171">
        <v>58</v>
      </c>
      <c r="F382" s="171">
        <f t="shared" si="21"/>
        <v>2976</v>
      </c>
      <c r="G382" s="171">
        <v>363</v>
      </c>
      <c r="H382" s="171">
        <f t="shared" si="22"/>
        <v>2613</v>
      </c>
      <c r="I382" s="171">
        <f t="shared" si="23"/>
        <v>2214</v>
      </c>
      <c r="J382" s="171">
        <v>1623</v>
      </c>
      <c r="K382" s="171">
        <v>591</v>
      </c>
      <c r="L382" s="174">
        <v>399</v>
      </c>
      <c r="M382" s="174">
        <v>61314</v>
      </c>
    </row>
    <row r="383" spans="1:13">
      <c r="A383" s="215" t="s">
        <v>1568</v>
      </c>
      <c r="B383" s="216" t="s">
        <v>1569</v>
      </c>
      <c r="C383" s="185">
        <f t="shared" si="20"/>
        <v>1700</v>
      </c>
      <c r="D383" s="187">
        <v>255</v>
      </c>
      <c r="E383" s="187">
        <v>33</v>
      </c>
      <c r="F383" s="187">
        <f t="shared" si="21"/>
        <v>1412</v>
      </c>
      <c r="G383" s="187">
        <v>22</v>
      </c>
      <c r="H383" s="187">
        <f t="shared" si="22"/>
        <v>1390</v>
      </c>
      <c r="I383" s="187">
        <f t="shared" si="23"/>
        <v>830</v>
      </c>
      <c r="J383" s="187">
        <v>647</v>
      </c>
      <c r="K383" s="187">
        <v>183</v>
      </c>
      <c r="L383" s="189">
        <v>560</v>
      </c>
      <c r="M383" s="189">
        <v>60573</v>
      </c>
    </row>
    <row r="384" spans="1:13">
      <c r="A384" s="215" t="s">
        <v>1570</v>
      </c>
      <c r="B384" s="216" t="s">
        <v>1571</v>
      </c>
      <c r="C384" s="169">
        <f t="shared" si="20"/>
        <v>19297</v>
      </c>
      <c r="D384" s="171">
        <v>466</v>
      </c>
      <c r="E384" s="171">
        <v>69</v>
      </c>
      <c r="F384" s="171">
        <f t="shared" si="21"/>
        <v>18762</v>
      </c>
      <c r="G384" s="171">
        <v>527</v>
      </c>
      <c r="H384" s="171">
        <f t="shared" si="22"/>
        <v>18235</v>
      </c>
      <c r="I384" s="171">
        <f t="shared" si="23"/>
        <v>16728</v>
      </c>
      <c r="J384" s="171">
        <v>5978</v>
      </c>
      <c r="K384" s="171">
        <v>10750</v>
      </c>
      <c r="L384" s="174">
        <v>1507</v>
      </c>
      <c r="M384" s="174">
        <v>142976</v>
      </c>
    </row>
    <row r="385" spans="1:13">
      <c r="A385" s="215" t="s">
        <v>1572</v>
      </c>
      <c r="B385" s="216" t="s">
        <v>1573</v>
      </c>
      <c r="C385" s="169">
        <f t="shared" si="20"/>
        <v>6275</v>
      </c>
      <c r="D385" s="171">
        <v>98</v>
      </c>
      <c r="E385" s="171">
        <v>28</v>
      </c>
      <c r="F385" s="171">
        <f t="shared" si="21"/>
        <v>6149</v>
      </c>
      <c r="G385" s="171">
        <v>169</v>
      </c>
      <c r="H385" s="171">
        <f t="shared" si="22"/>
        <v>5980</v>
      </c>
      <c r="I385" s="171">
        <f t="shared" si="23"/>
        <v>5682</v>
      </c>
      <c r="J385" s="171">
        <v>2435</v>
      </c>
      <c r="K385" s="171">
        <v>3247</v>
      </c>
      <c r="L385" s="174">
        <v>298</v>
      </c>
      <c r="M385" s="174">
        <v>111376</v>
      </c>
    </row>
    <row r="386" spans="1:13">
      <c r="A386" s="157" t="s">
        <v>1574</v>
      </c>
      <c r="B386" s="184" t="s">
        <v>1575</v>
      </c>
      <c r="C386" s="185">
        <f t="shared" si="20"/>
        <v>3082</v>
      </c>
      <c r="D386" s="187">
        <v>932</v>
      </c>
      <c r="E386" s="187">
        <v>87</v>
      </c>
      <c r="F386" s="187">
        <f t="shared" si="21"/>
        <v>2063</v>
      </c>
      <c r="G386" s="187">
        <v>94</v>
      </c>
      <c r="H386" s="187">
        <f t="shared" si="22"/>
        <v>1969</v>
      </c>
      <c r="I386" s="187">
        <f t="shared" si="23"/>
        <v>1713</v>
      </c>
      <c r="J386" s="187">
        <v>443</v>
      </c>
      <c r="K386" s="187">
        <v>1270</v>
      </c>
      <c r="L386" s="189">
        <v>256</v>
      </c>
      <c r="M386" s="190">
        <v>19786</v>
      </c>
    </row>
    <row r="387" spans="1:13">
      <c r="A387" s="147" t="s">
        <v>1576</v>
      </c>
      <c r="B387" s="148" t="s">
        <v>1577</v>
      </c>
      <c r="C387" s="149">
        <f t="shared" si="20"/>
        <v>2463</v>
      </c>
      <c r="D387" s="150">
        <v>893</v>
      </c>
      <c r="E387" s="150">
        <v>211</v>
      </c>
      <c r="F387" s="150">
        <f t="shared" si="21"/>
        <v>1359</v>
      </c>
      <c r="G387" s="150">
        <v>197</v>
      </c>
      <c r="H387" s="150">
        <f t="shared" si="22"/>
        <v>1162</v>
      </c>
      <c r="I387" s="150">
        <f t="shared" si="23"/>
        <v>1064</v>
      </c>
      <c r="J387" s="150">
        <v>609</v>
      </c>
      <c r="K387" s="150">
        <v>455</v>
      </c>
      <c r="L387" s="151">
        <v>98</v>
      </c>
      <c r="M387" s="161">
        <v>12776</v>
      </c>
    </row>
    <row r="388" spans="1:13">
      <c r="A388" s="157" t="s">
        <v>1578</v>
      </c>
      <c r="B388" s="158" t="s">
        <v>1579</v>
      </c>
      <c r="C388" s="159">
        <f t="shared" si="20"/>
        <v>5611</v>
      </c>
      <c r="D388" s="160">
        <v>104</v>
      </c>
      <c r="E388" s="160">
        <v>27</v>
      </c>
      <c r="F388" s="160">
        <f t="shared" si="21"/>
        <v>5480</v>
      </c>
      <c r="G388" s="160">
        <v>377</v>
      </c>
      <c r="H388" s="160">
        <f t="shared" si="22"/>
        <v>5103</v>
      </c>
      <c r="I388" s="160">
        <f t="shared" si="23"/>
        <v>4589</v>
      </c>
      <c r="J388" s="160">
        <v>2572</v>
      </c>
      <c r="K388" s="160">
        <v>2017</v>
      </c>
      <c r="L388" s="161">
        <v>514</v>
      </c>
      <c r="M388" s="161">
        <v>91313</v>
      </c>
    </row>
    <row r="389" spans="1:13">
      <c r="A389" s="157" t="s">
        <v>1580</v>
      </c>
      <c r="B389" s="158" t="s">
        <v>1581</v>
      </c>
      <c r="C389" s="159">
        <f t="shared" si="20"/>
        <v>39609</v>
      </c>
      <c r="D389" s="160">
        <v>12424</v>
      </c>
      <c r="E389" s="160">
        <v>1027</v>
      </c>
      <c r="F389" s="160">
        <f t="shared" si="21"/>
        <v>26158</v>
      </c>
      <c r="G389" s="160">
        <v>1085</v>
      </c>
      <c r="H389" s="160">
        <f t="shared" si="22"/>
        <v>25073</v>
      </c>
      <c r="I389" s="160">
        <f t="shared" si="23"/>
        <v>22207</v>
      </c>
      <c r="J389" s="160">
        <v>6631</v>
      </c>
      <c r="K389" s="160">
        <v>15576</v>
      </c>
      <c r="L389" s="161">
        <v>2866</v>
      </c>
      <c r="M389" s="161">
        <v>117365</v>
      </c>
    </row>
    <row r="390" spans="1:13">
      <c r="A390" s="157" t="s">
        <v>1582</v>
      </c>
      <c r="B390" s="158" t="s">
        <v>1583</v>
      </c>
      <c r="C390" s="159">
        <f t="shared" si="20"/>
        <v>2152</v>
      </c>
      <c r="D390" s="160">
        <v>825</v>
      </c>
      <c r="E390" s="160">
        <v>243</v>
      </c>
      <c r="F390" s="160">
        <f t="shared" si="21"/>
        <v>1084</v>
      </c>
      <c r="G390" s="160">
        <v>107</v>
      </c>
      <c r="H390" s="160">
        <f t="shared" si="22"/>
        <v>977</v>
      </c>
      <c r="I390" s="160">
        <f t="shared" si="23"/>
        <v>937</v>
      </c>
      <c r="J390" s="160">
        <v>688</v>
      </c>
      <c r="K390" s="160">
        <v>249</v>
      </c>
      <c r="L390" s="161">
        <v>40</v>
      </c>
      <c r="M390" s="161">
        <v>8947</v>
      </c>
    </row>
    <row r="391" spans="1:13">
      <c r="A391" s="152" t="s">
        <v>1584</v>
      </c>
      <c r="B391" s="153" t="s">
        <v>1585</v>
      </c>
      <c r="C391" s="154">
        <f t="shared" si="20"/>
        <v>14225</v>
      </c>
      <c r="D391" s="160">
        <v>4205</v>
      </c>
      <c r="E391" s="160">
        <v>560</v>
      </c>
      <c r="F391" s="155">
        <f t="shared" si="21"/>
        <v>9460</v>
      </c>
      <c r="G391" s="160">
        <v>635</v>
      </c>
      <c r="H391" s="155">
        <f t="shared" si="22"/>
        <v>8825</v>
      </c>
      <c r="I391" s="155">
        <f t="shared" si="23"/>
        <v>8035</v>
      </c>
      <c r="J391" s="160">
        <v>2804</v>
      </c>
      <c r="K391" s="160">
        <v>5231</v>
      </c>
      <c r="L391" s="161">
        <v>790</v>
      </c>
      <c r="M391" s="156">
        <v>67340</v>
      </c>
    </row>
    <row r="392" spans="1:13">
      <c r="A392" s="157" t="s">
        <v>1586</v>
      </c>
      <c r="B392" s="158" t="s">
        <v>1587</v>
      </c>
      <c r="C392" s="159">
        <f t="shared" si="20"/>
        <v>434</v>
      </c>
      <c r="D392" s="150">
        <v>2</v>
      </c>
      <c r="E392" s="150">
        <v>0</v>
      </c>
      <c r="F392" s="160">
        <f t="shared" si="21"/>
        <v>432</v>
      </c>
      <c r="G392" s="150">
        <v>37</v>
      </c>
      <c r="H392" s="160">
        <f t="shared" si="22"/>
        <v>395</v>
      </c>
      <c r="I392" s="160">
        <f t="shared" si="23"/>
        <v>392</v>
      </c>
      <c r="J392" s="150">
        <v>355</v>
      </c>
      <c r="K392" s="150">
        <v>37</v>
      </c>
      <c r="L392" s="151">
        <v>3</v>
      </c>
      <c r="M392" s="161">
        <v>188430</v>
      </c>
    </row>
    <row r="393" spans="1:13">
      <c r="A393" s="191"/>
      <c r="B393" s="192" t="s">
        <v>1588</v>
      </c>
      <c r="C393" s="193">
        <f t="shared" ref="C393:L393" si="24">SUM(C6:C392)</f>
        <v>2543165</v>
      </c>
      <c r="D393" s="194">
        <f t="shared" si="24"/>
        <v>197476</v>
      </c>
      <c r="E393" s="194">
        <f t="shared" si="24"/>
        <v>88858</v>
      </c>
      <c r="F393" s="194">
        <f t="shared" si="24"/>
        <v>2256831</v>
      </c>
      <c r="G393" s="194">
        <f t="shared" si="24"/>
        <v>123314</v>
      </c>
      <c r="H393" s="194">
        <f t="shared" si="24"/>
        <v>2133517</v>
      </c>
      <c r="I393" s="194">
        <f t="shared" si="24"/>
        <v>2048650</v>
      </c>
      <c r="J393" s="194">
        <f t="shared" si="24"/>
        <v>1278148</v>
      </c>
      <c r="K393" s="194">
        <f t="shared" si="24"/>
        <v>770502</v>
      </c>
      <c r="L393" s="195">
        <f t="shared" si="24"/>
        <v>84867</v>
      </c>
      <c r="M393" s="195">
        <f>SUM(M6:M392)</f>
        <v>36760490</v>
      </c>
    </row>
    <row r="394" spans="1:13" hidden="1">
      <c r="A394" s="196"/>
      <c r="B394" s="161" t="s">
        <v>660</v>
      </c>
      <c r="C394" s="159"/>
      <c r="D394" s="160"/>
      <c r="E394" s="160"/>
      <c r="F394" s="160"/>
      <c r="G394" s="160"/>
      <c r="H394" s="160"/>
      <c r="I394" s="160"/>
      <c r="J394" s="160"/>
      <c r="K394" s="160"/>
      <c r="L394" s="161"/>
      <c r="M394" s="197">
        <v>2144216</v>
      </c>
    </row>
    <row r="395" spans="1:13" hidden="1">
      <c r="A395" s="196"/>
      <c r="B395" s="161" t="s">
        <v>823</v>
      </c>
      <c r="C395" s="159"/>
      <c r="D395" s="160"/>
      <c r="E395" s="160"/>
      <c r="F395" s="160"/>
      <c r="G395" s="160"/>
      <c r="H395" s="160"/>
      <c r="I395" s="160"/>
      <c r="J395" s="160"/>
      <c r="K395" s="160"/>
      <c r="L395" s="161"/>
      <c r="M395" s="197">
        <v>53866</v>
      </c>
    </row>
    <row r="396" spans="1:13" hidden="1">
      <c r="A396" s="196"/>
      <c r="B396" s="142"/>
      <c r="C396" s="159"/>
      <c r="D396" s="160"/>
      <c r="E396" s="160"/>
      <c r="F396" s="160"/>
      <c r="G396" s="160"/>
      <c r="H396" s="160"/>
      <c r="I396" s="160"/>
      <c r="J396" s="160"/>
      <c r="K396" s="160"/>
      <c r="L396" s="161"/>
      <c r="M396" s="197">
        <f>M394+M395</f>
        <v>2198082</v>
      </c>
    </row>
    <row r="397" spans="1:13" hidden="1">
      <c r="A397" s="136"/>
      <c r="B397" s="141"/>
      <c r="C397" s="159"/>
      <c r="D397" s="160"/>
      <c r="E397" s="160"/>
      <c r="F397" s="160"/>
      <c r="G397" s="160"/>
      <c r="H397" s="160"/>
      <c r="I397" s="160"/>
      <c r="J397" s="160"/>
      <c r="K397" s="160"/>
      <c r="L397" s="161"/>
      <c r="M397" s="150">
        <f>M396+M393</f>
        <v>38958572</v>
      </c>
    </row>
    <row r="398" spans="1:13">
      <c r="A398" s="198" t="s">
        <v>1589</v>
      </c>
      <c r="B398" s="199" t="s">
        <v>1590</v>
      </c>
      <c r="C398" s="200">
        <f>C316+C373+C374+C382+C384+C385+C297+C299+C300+C302+C303+C305</f>
        <v>276827</v>
      </c>
      <c r="D398" s="201">
        <f t="shared" ref="D398:M398" si="25">D316+D373+D374+D382+D384+D385+D297+D299+D300+D302+D303+D305</f>
        <v>21432</v>
      </c>
      <c r="E398" s="201">
        <f t="shared" si="25"/>
        <v>8745</v>
      </c>
      <c r="F398" s="201">
        <f t="shared" si="25"/>
        <v>246650</v>
      </c>
      <c r="G398" s="201">
        <f t="shared" si="25"/>
        <v>7604</v>
      </c>
      <c r="H398" s="201">
        <f t="shared" si="25"/>
        <v>239046</v>
      </c>
      <c r="I398" s="201">
        <f t="shared" si="25"/>
        <v>221553</v>
      </c>
      <c r="J398" s="201">
        <f t="shared" si="25"/>
        <v>76923</v>
      </c>
      <c r="K398" s="201">
        <f t="shared" si="25"/>
        <v>144630</v>
      </c>
      <c r="L398" s="202">
        <f t="shared" si="25"/>
        <v>17493</v>
      </c>
      <c r="M398" s="202">
        <f t="shared" si="25"/>
        <v>2327985</v>
      </c>
    </row>
    <row r="399" spans="1:13">
      <c r="A399" s="203"/>
      <c r="B399" s="204" t="s">
        <v>1591</v>
      </c>
      <c r="C399" s="205">
        <f>C398/C393*100</f>
        <v>10.885137220746589</v>
      </c>
      <c r="D399" s="206">
        <f t="shared" ref="D399:M399" si="26">D398/D393*100</f>
        <v>10.852964410865118</v>
      </c>
      <c r="E399" s="206">
        <f t="shared" si="26"/>
        <v>9.8415449368655601</v>
      </c>
      <c r="F399" s="206">
        <f t="shared" si="26"/>
        <v>10.929041651767456</v>
      </c>
      <c r="G399" s="206">
        <f t="shared" si="26"/>
        <v>6.1663720258851393</v>
      </c>
      <c r="H399" s="206">
        <f t="shared" si="26"/>
        <v>11.204316628365277</v>
      </c>
      <c r="I399" s="206">
        <f t="shared" si="26"/>
        <v>10.814585214653553</v>
      </c>
      <c r="J399" s="206">
        <f t="shared" si="26"/>
        <v>6.0183171275939875</v>
      </c>
      <c r="K399" s="206">
        <f t="shared" si="26"/>
        <v>18.770879244959779</v>
      </c>
      <c r="L399" s="207">
        <f t="shared" si="26"/>
        <v>20.612252112128392</v>
      </c>
      <c r="M399" s="207">
        <f t="shared" si="26"/>
        <v>6.3328454000477139</v>
      </c>
    </row>
    <row r="400" spans="1:13">
      <c r="A400" s="133" t="s">
        <v>1592</v>
      </c>
    </row>
    <row r="401" spans="3:3">
      <c r="C401" s="208" t="s">
        <v>1593</v>
      </c>
    </row>
  </sheetData>
  <mergeCells count="9">
    <mergeCell ref="H3:H5"/>
    <mergeCell ref="I4:I5"/>
    <mergeCell ref="L4:L5"/>
    <mergeCell ref="A3:B4"/>
    <mergeCell ref="C3:C5"/>
    <mergeCell ref="D3:D5"/>
    <mergeCell ref="E3:E5"/>
    <mergeCell ref="F3:F5"/>
    <mergeCell ref="G3:G5"/>
  </mergeCells>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8D65-865E-432F-A00A-B40C10DEB43E}">
  <dimension ref="A1:Y865"/>
  <sheetViews>
    <sheetView workbookViewId="0">
      <pane xSplit="9" ySplit="12" topLeftCell="J752" activePane="bottomRight" state="frozen"/>
      <selection pane="topRight" activeCell="J1" sqref="J1"/>
      <selection pane="bottomLeft" activeCell="A13" sqref="A13"/>
      <selection pane="bottomRight" activeCell="A745" sqref="A745"/>
    </sheetView>
  </sheetViews>
  <sheetFormatPr defaultColWidth="8.58203125" defaultRowHeight="12"/>
  <cols>
    <col min="1" max="1" width="5.58203125" style="212" customWidth="1"/>
    <col min="2" max="2" width="7.08203125" style="212" customWidth="1"/>
    <col min="3" max="3" width="3.08203125" style="212" customWidth="1"/>
    <col min="4" max="4" width="8.58203125" style="212"/>
    <col min="5" max="5" width="3.58203125" style="212" customWidth="1"/>
    <col min="6" max="6" width="2.75" style="212" customWidth="1"/>
    <col min="7" max="7" width="4.83203125" style="212" customWidth="1"/>
    <col min="8" max="8" width="3.25" style="212" customWidth="1"/>
    <col min="9" max="9" width="40.75" style="212" customWidth="1"/>
    <col min="10" max="10" width="9.08203125" style="212" customWidth="1"/>
    <col min="11" max="13" width="9.08203125" style="212" bestFit="1" customWidth="1"/>
    <col min="14" max="25" width="8.75" style="212" bestFit="1" customWidth="1"/>
    <col min="26" max="16384" width="8.58203125" style="212"/>
  </cols>
  <sheetData>
    <row r="1" spans="1:25">
      <c r="A1" s="212">
        <v>1</v>
      </c>
      <c r="B1" s="280" t="s">
        <v>1602</v>
      </c>
      <c r="C1" s="280"/>
      <c r="D1" s="280"/>
      <c r="E1" s="280"/>
      <c r="F1" s="280"/>
      <c r="G1" s="280"/>
    </row>
    <row r="2" spans="1:25">
      <c r="A2" s="212">
        <v>2</v>
      </c>
      <c r="K2" s="212" t="s">
        <v>1603</v>
      </c>
    </row>
    <row r="3" spans="1:25" hidden="1">
      <c r="A3" s="212">
        <v>6</v>
      </c>
      <c r="K3" s="212" t="s">
        <v>1604</v>
      </c>
    </row>
    <row r="4" spans="1:25" hidden="1">
      <c r="A4" s="212">
        <v>7</v>
      </c>
      <c r="K4" s="212" t="s">
        <v>1605</v>
      </c>
    </row>
    <row r="5" spans="1:25" hidden="1">
      <c r="A5" s="212">
        <v>8</v>
      </c>
      <c r="K5" s="212" t="s">
        <v>1606</v>
      </c>
    </row>
    <row r="6" spans="1:25" hidden="1">
      <c r="A6" s="212">
        <v>9</v>
      </c>
      <c r="K6" s="212" t="s">
        <v>1607</v>
      </c>
    </row>
    <row r="7" spans="1:25" hidden="1">
      <c r="A7" s="212">
        <v>10</v>
      </c>
      <c r="K7" s="212" t="s">
        <v>1608</v>
      </c>
      <c r="L7" s="212" t="s">
        <v>1608</v>
      </c>
      <c r="M7" s="212" t="s">
        <v>1608</v>
      </c>
      <c r="N7" s="212" t="s">
        <v>1608</v>
      </c>
      <c r="O7" s="212" t="s">
        <v>1608</v>
      </c>
      <c r="P7" s="212" t="s">
        <v>1608</v>
      </c>
      <c r="Q7" s="212" t="s">
        <v>1608</v>
      </c>
      <c r="R7" s="212" t="s">
        <v>1608</v>
      </c>
      <c r="S7" s="212" t="s">
        <v>1608</v>
      </c>
      <c r="T7" s="212" t="s">
        <v>1608</v>
      </c>
      <c r="U7" s="212" t="s">
        <v>1608</v>
      </c>
      <c r="V7" s="212" t="s">
        <v>1608</v>
      </c>
      <c r="W7" s="212" t="s">
        <v>1608</v>
      </c>
      <c r="X7" s="212" t="s">
        <v>1608</v>
      </c>
      <c r="Y7" s="212" t="s">
        <v>1608</v>
      </c>
    </row>
    <row r="8" spans="1:25" hidden="1">
      <c r="A8" s="212">
        <v>11</v>
      </c>
      <c r="K8" s="212">
        <v>0</v>
      </c>
      <c r="L8" s="212">
        <v>0</v>
      </c>
      <c r="M8" s="212">
        <v>0</v>
      </c>
      <c r="N8" s="212">
        <v>0</v>
      </c>
      <c r="O8" s="212">
        <v>0</v>
      </c>
      <c r="P8" s="212">
        <v>0</v>
      </c>
      <c r="Q8" s="212">
        <v>0</v>
      </c>
      <c r="R8" s="212">
        <v>0</v>
      </c>
      <c r="S8" s="212">
        <v>0</v>
      </c>
      <c r="T8" s="212">
        <v>0</v>
      </c>
      <c r="U8" s="212">
        <v>0</v>
      </c>
      <c r="V8" s="212">
        <v>0</v>
      </c>
      <c r="W8" s="212">
        <v>0</v>
      </c>
      <c r="X8" s="212">
        <v>0</v>
      </c>
      <c r="Y8" s="212">
        <v>0</v>
      </c>
    </row>
    <row r="9" spans="1:25" hidden="1">
      <c r="A9" s="212">
        <v>12</v>
      </c>
      <c r="K9" s="212" t="s">
        <v>1609</v>
      </c>
      <c r="L9" s="212" t="s">
        <v>1610</v>
      </c>
      <c r="M9" s="212" t="s">
        <v>1611</v>
      </c>
      <c r="N9" s="212" t="s">
        <v>1612</v>
      </c>
      <c r="O9" s="212" t="s">
        <v>1613</v>
      </c>
      <c r="P9" s="212" t="s">
        <v>1614</v>
      </c>
      <c r="Q9" s="212" t="s">
        <v>1615</v>
      </c>
      <c r="R9" s="212" t="s">
        <v>1616</v>
      </c>
      <c r="S9" s="212" t="s">
        <v>1617</v>
      </c>
      <c r="T9" s="212" t="s">
        <v>1618</v>
      </c>
      <c r="U9" s="212" t="s">
        <v>1619</v>
      </c>
      <c r="V9" s="212" t="s">
        <v>1620</v>
      </c>
      <c r="W9" s="212" t="s">
        <v>1621</v>
      </c>
      <c r="X9" s="212" t="s">
        <v>1622</v>
      </c>
      <c r="Y9" s="212" t="s">
        <v>1623</v>
      </c>
    </row>
    <row r="10" spans="1:25">
      <c r="A10" s="212">
        <v>13</v>
      </c>
      <c r="K10" s="212">
        <v>0</v>
      </c>
      <c r="L10" s="212">
        <v>1</v>
      </c>
      <c r="M10" s="212">
        <v>1</v>
      </c>
      <c r="N10" s="212">
        <v>1</v>
      </c>
      <c r="O10" s="212">
        <v>2</v>
      </c>
      <c r="P10" s="212">
        <v>2</v>
      </c>
      <c r="Q10" s="212">
        <v>0</v>
      </c>
      <c r="R10" s="212">
        <v>1</v>
      </c>
      <c r="S10" s="212">
        <v>1</v>
      </c>
      <c r="T10" s="212">
        <v>1</v>
      </c>
      <c r="U10" s="212">
        <v>2</v>
      </c>
      <c r="V10" s="212">
        <v>2</v>
      </c>
      <c r="W10" s="212">
        <v>1</v>
      </c>
      <c r="X10" s="212">
        <v>2</v>
      </c>
      <c r="Y10" s="212">
        <v>2</v>
      </c>
    </row>
    <row r="11" spans="1:25">
      <c r="A11" s="212">
        <v>14</v>
      </c>
      <c r="K11" s="212" t="s">
        <v>1624</v>
      </c>
    </row>
    <row r="12" spans="1:25" ht="44.5" customHeight="1">
      <c r="A12" s="212">
        <v>15</v>
      </c>
      <c r="D12" s="212" t="s">
        <v>1625</v>
      </c>
      <c r="I12" s="212" t="s">
        <v>1626</v>
      </c>
      <c r="J12" s="212" t="s">
        <v>3144</v>
      </c>
      <c r="K12" s="211" t="s">
        <v>1627</v>
      </c>
      <c r="L12" s="210" t="s">
        <v>1628</v>
      </c>
      <c r="M12" s="210" t="s">
        <v>1629</v>
      </c>
      <c r="N12" s="209" t="s">
        <v>1630</v>
      </c>
      <c r="O12" s="209" t="s">
        <v>1631</v>
      </c>
      <c r="P12" s="209" t="s">
        <v>1632</v>
      </c>
      <c r="Q12" s="209" t="s">
        <v>1633</v>
      </c>
      <c r="R12" s="209" t="s">
        <v>1634</v>
      </c>
      <c r="S12" s="209" t="s">
        <v>1635</v>
      </c>
      <c r="T12" s="209" t="s">
        <v>1636</v>
      </c>
      <c r="U12" s="209" t="s">
        <v>1637</v>
      </c>
      <c r="V12" s="209" t="s">
        <v>1638</v>
      </c>
      <c r="W12" s="209" t="s">
        <v>1639</v>
      </c>
      <c r="X12" s="209" t="s">
        <v>1640</v>
      </c>
      <c r="Y12" s="209" t="s">
        <v>1641</v>
      </c>
    </row>
    <row r="13" spans="1:25">
      <c r="A13" s="212">
        <v>16</v>
      </c>
      <c r="B13" s="212" t="s">
        <v>1642</v>
      </c>
      <c r="C13" s="212">
        <v>1</v>
      </c>
      <c r="D13" s="212" t="s">
        <v>1643</v>
      </c>
      <c r="E13" s="212" t="s">
        <v>1644</v>
      </c>
      <c r="F13" s="212">
        <v>0</v>
      </c>
      <c r="G13" s="212" t="s">
        <v>1645</v>
      </c>
      <c r="H13" s="212">
        <v>0</v>
      </c>
      <c r="I13" s="212" t="s">
        <v>1646</v>
      </c>
      <c r="J13" s="212">
        <v>214169</v>
      </c>
      <c r="K13" s="286">
        <v>2203102</v>
      </c>
      <c r="L13" s="286">
        <v>1166889</v>
      </c>
      <c r="M13" s="286">
        <v>1029050</v>
      </c>
      <c r="N13" s="286">
        <v>36549</v>
      </c>
      <c r="O13" s="286">
        <v>21461</v>
      </c>
      <c r="P13" s="286">
        <v>15086</v>
      </c>
      <c r="Q13" s="286">
        <v>84277</v>
      </c>
      <c r="R13" s="286">
        <v>52264</v>
      </c>
      <c r="S13" s="286">
        <v>32007</v>
      </c>
      <c r="T13" s="286">
        <v>35970</v>
      </c>
      <c r="U13" s="286">
        <v>25468</v>
      </c>
      <c r="V13" s="286">
        <v>10501</v>
      </c>
      <c r="W13" s="286">
        <v>48086</v>
      </c>
      <c r="X13" s="286">
        <v>26692</v>
      </c>
      <c r="Y13" s="286">
        <v>21389</v>
      </c>
    </row>
    <row r="14" spans="1:25">
      <c r="A14" s="212">
        <v>25</v>
      </c>
      <c r="B14" s="212" t="s">
        <v>1642</v>
      </c>
      <c r="C14" s="212">
        <v>1</v>
      </c>
      <c r="D14" s="212" t="s">
        <v>1643</v>
      </c>
      <c r="E14" s="212" t="s">
        <v>1647</v>
      </c>
      <c r="F14" s="212">
        <v>1</v>
      </c>
      <c r="G14" s="212" t="s">
        <v>1645</v>
      </c>
      <c r="H14" s="212">
        <v>0</v>
      </c>
      <c r="I14" s="212" t="s">
        <v>1648</v>
      </c>
      <c r="J14" s="212">
        <v>650</v>
      </c>
      <c r="K14" s="286">
        <v>7211</v>
      </c>
      <c r="L14" s="286">
        <v>5151</v>
      </c>
      <c r="M14" s="286">
        <v>1990</v>
      </c>
      <c r="N14" s="286">
        <v>16</v>
      </c>
      <c r="O14" s="286">
        <v>13</v>
      </c>
      <c r="P14" s="286">
        <v>3</v>
      </c>
      <c r="Q14" s="286">
        <v>87</v>
      </c>
      <c r="R14" s="286">
        <v>65</v>
      </c>
      <c r="S14" s="286">
        <v>22</v>
      </c>
      <c r="T14" s="286">
        <v>34</v>
      </c>
      <c r="U14" s="286">
        <v>28</v>
      </c>
      <c r="V14" s="286">
        <v>6</v>
      </c>
      <c r="W14" s="286">
        <v>53</v>
      </c>
      <c r="X14" s="286">
        <v>37</v>
      </c>
      <c r="Y14" s="286">
        <v>16</v>
      </c>
    </row>
    <row r="15" spans="1:25">
      <c r="A15" s="212">
        <v>34</v>
      </c>
      <c r="B15" s="212" t="s">
        <v>1642</v>
      </c>
      <c r="C15" s="212">
        <v>1</v>
      </c>
      <c r="D15" s="212" t="s">
        <v>1643</v>
      </c>
      <c r="E15" s="212" t="s">
        <v>1649</v>
      </c>
      <c r="F15" s="212">
        <v>2</v>
      </c>
      <c r="G15" s="212" t="s">
        <v>1645</v>
      </c>
      <c r="H15" s="212">
        <v>0</v>
      </c>
      <c r="I15" s="212" t="s">
        <v>1650</v>
      </c>
      <c r="J15" s="212">
        <v>597</v>
      </c>
      <c r="K15" s="286">
        <v>6706</v>
      </c>
      <c r="L15" s="286">
        <v>4808</v>
      </c>
      <c r="M15" s="286">
        <v>1834</v>
      </c>
      <c r="N15" s="286">
        <v>16</v>
      </c>
      <c r="O15" s="286">
        <v>13</v>
      </c>
      <c r="P15" s="286">
        <v>3</v>
      </c>
      <c r="Q15" s="286">
        <v>86</v>
      </c>
      <c r="R15" s="286">
        <v>64</v>
      </c>
      <c r="S15" s="286">
        <v>22</v>
      </c>
      <c r="T15" s="286">
        <v>34</v>
      </c>
      <c r="U15" s="286">
        <v>28</v>
      </c>
      <c r="V15" s="286">
        <v>6</v>
      </c>
      <c r="W15" s="286">
        <v>52</v>
      </c>
      <c r="X15" s="286">
        <v>36</v>
      </c>
      <c r="Y15" s="286">
        <v>16</v>
      </c>
    </row>
    <row r="16" spans="1:25">
      <c r="A16" s="212">
        <v>43</v>
      </c>
      <c r="B16" s="212" t="s">
        <v>1642</v>
      </c>
      <c r="C16" s="212">
        <v>1</v>
      </c>
      <c r="D16" s="212" t="s">
        <v>1643</v>
      </c>
      <c r="E16" s="212" t="s">
        <v>1651</v>
      </c>
      <c r="F16" s="212">
        <v>4</v>
      </c>
      <c r="G16" s="212" t="s">
        <v>1645</v>
      </c>
      <c r="H16" s="212">
        <v>0</v>
      </c>
      <c r="I16" s="212" t="s">
        <v>1652</v>
      </c>
      <c r="J16" s="212">
        <v>542</v>
      </c>
      <c r="K16" s="286">
        <v>5713</v>
      </c>
      <c r="L16" s="286">
        <v>3906</v>
      </c>
      <c r="M16" s="286">
        <v>1743</v>
      </c>
      <c r="N16" s="286">
        <v>13</v>
      </c>
      <c r="O16" s="286">
        <v>10</v>
      </c>
      <c r="P16" s="286">
        <v>3</v>
      </c>
      <c r="Q16" s="286">
        <v>73</v>
      </c>
      <c r="R16" s="286">
        <v>52</v>
      </c>
      <c r="S16" s="286">
        <v>21</v>
      </c>
      <c r="T16" s="286">
        <v>33</v>
      </c>
      <c r="U16" s="286">
        <v>27</v>
      </c>
      <c r="V16" s="286">
        <v>6</v>
      </c>
      <c r="W16" s="286">
        <v>40</v>
      </c>
      <c r="X16" s="286">
        <v>25</v>
      </c>
      <c r="Y16" s="286">
        <v>15</v>
      </c>
    </row>
    <row r="17" spans="1:25">
      <c r="A17" s="212">
        <v>52</v>
      </c>
      <c r="B17" s="212" t="s">
        <v>1642</v>
      </c>
      <c r="C17" s="212">
        <v>1</v>
      </c>
      <c r="D17" s="212" t="s">
        <v>1643</v>
      </c>
      <c r="E17" s="212" t="s">
        <v>1653</v>
      </c>
      <c r="F17" s="212">
        <v>5</v>
      </c>
      <c r="G17" s="212" t="s">
        <v>1645</v>
      </c>
      <c r="H17" s="212">
        <v>0</v>
      </c>
      <c r="I17" s="212" t="s">
        <v>1654</v>
      </c>
      <c r="J17" s="212">
        <v>4</v>
      </c>
      <c r="K17" s="286">
        <v>15</v>
      </c>
      <c r="L17" s="286">
        <v>6</v>
      </c>
      <c r="M17" s="286">
        <v>9</v>
      </c>
      <c r="N17" s="286">
        <v>0</v>
      </c>
      <c r="O17" s="286">
        <v>0</v>
      </c>
      <c r="P17" s="286">
        <v>0</v>
      </c>
      <c r="Q17" s="286">
        <v>0</v>
      </c>
      <c r="R17" s="286">
        <v>0</v>
      </c>
      <c r="S17" s="286">
        <v>0</v>
      </c>
      <c r="T17" s="286">
        <v>0</v>
      </c>
      <c r="U17" s="286">
        <v>0</v>
      </c>
      <c r="V17" s="286">
        <v>0</v>
      </c>
      <c r="W17" s="286">
        <v>0</v>
      </c>
      <c r="X17" s="286">
        <v>0</v>
      </c>
      <c r="Y17" s="286">
        <v>0</v>
      </c>
    </row>
    <row r="18" spans="1:25">
      <c r="A18" s="212">
        <v>61</v>
      </c>
      <c r="B18" s="212" t="s">
        <v>1642</v>
      </c>
      <c r="C18" s="212">
        <v>1</v>
      </c>
      <c r="D18" s="212" t="s">
        <v>1643</v>
      </c>
      <c r="E18" s="212" t="s">
        <v>1655</v>
      </c>
      <c r="F18" s="212">
        <v>5</v>
      </c>
      <c r="G18" s="212" t="s">
        <v>1645</v>
      </c>
      <c r="H18" s="212">
        <v>0</v>
      </c>
      <c r="I18" s="212" t="s">
        <v>1656</v>
      </c>
      <c r="J18" s="212">
        <v>204</v>
      </c>
      <c r="K18" s="286">
        <v>2899</v>
      </c>
      <c r="L18" s="286">
        <v>1862</v>
      </c>
      <c r="M18" s="286">
        <v>977</v>
      </c>
      <c r="N18" s="286">
        <v>0</v>
      </c>
      <c r="O18" s="286">
        <v>0</v>
      </c>
      <c r="P18" s="286">
        <v>0</v>
      </c>
      <c r="Q18" s="286">
        <v>32</v>
      </c>
      <c r="R18" s="286">
        <v>20</v>
      </c>
      <c r="S18" s="286">
        <v>12</v>
      </c>
      <c r="T18" s="286">
        <v>4</v>
      </c>
      <c r="U18" s="286">
        <v>4</v>
      </c>
      <c r="V18" s="286">
        <v>0</v>
      </c>
      <c r="W18" s="286">
        <v>28</v>
      </c>
      <c r="X18" s="286">
        <v>16</v>
      </c>
      <c r="Y18" s="286">
        <v>12</v>
      </c>
    </row>
    <row r="19" spans="1:25">
      <c r="A19" s="212">
        <v>70</v>
      </c>
      <c r="B19" s="212" t="s">
        <v>1642</v>
      </c>
      <c r="C19" s="212">
        <v>1</v>
      </c>
      <c r="D19" s="212" t="s">
        <v>1643</v>
      </c>
      <c r="E19" s="212" t="s">
        <v>1657</v>
      </c>
      <c r="F19" s="212">
        <v>5</v>
      </c>
      <c r="G19" s="212" t="s">
        <v>1645</v>
      </c>
      <c r="H19" s="212">
        <v>0</v>
      </c>
      <c r="I19" s="212" t="s">
        <v>1658</v>
      </c>
      <c r="J19" s="212">
        <v>132</v>
      </c>
      <c r="K19" s="286">
        <v>1130</v>
      </c>
      <c r="L19" s="286">
        <v>688</v>
      </c>
      <c r="M19" s="286">
        <v>442</v>
      </c>
      <c r="N19" s="286">
        <v>11</v>
      </c>
      <c r="O19" s="286">
        <v>8</v>
      </c>
      <c r="P19" s="286">
        <v>3</v>
      </c>
      <c r="Q19" s="286">
        <v>20</v>
      </c>
      <c r="R19" s="286">
        <v>15</v>
      </c>
      <c r="S19" s="286">
        <v>5</v>
      </c>
      <c r="T19" s="286">
        <v>16</v>
      </c>
      <c r="U19" s="286">
        <v>13</v>
      </c>
      <c r="V19" s="286">
        <v>3</v>
      </c>
      <c r="W19" s="286">
        <v>4</v>
      </c>
      <c r="X19" s="286">
        <v>2</v>
      </c>
      <c r="Y19" s="286">
        <v>2</v>
      </c>
    </row>
    <row r="20" spans="1:25">
      <c r="A20" s="212">
        <v>79</v>
      </c>
      <c r="B20" s="212" t="s">
        <v>1642</v>
      </c>
      <c r="C20" s="212">
        <v>1</v>
      </c>
      <c r="D20" s="212" t="s">
        <v>1643</v>
      </c>
      <c r="E20" s="212" t="s">
        <v>1659</v>
      </c>
      <c r="F20" s="212">
        <v>5</v>
      </c>
      <c r="G20" s="212" t="s">
        <v>1645</v>
      </c>
      <c r="H20" s="212">
        <v>0</v>
      </c>
      <c r="I20" s="212" t="s">
        <v>1660</v>
      </c>
      <c r="J20" s="212">
        <v>84</v>
      </c>
      <c r="K20" s="286">
        <v>607</v>
      </c>
      <c r="L20" s="286">
        <v>515</v>
      </c>
      <c r="M20" s="286">
        <v>89</v>
      </c>
      <c r="N20" s="286">
        <v>0</v>
      </c>
      <c r="O20" s="286">
        <v>0</v>
      </c>
      <c r="P20" s="286">
        <v>0</v>
      </c>
      <c r="Q20" s="286">
        <v>7</v>
      </c>
      <c r="R20" s="286">
        <v>5</v>
      </c>
      <c r="S20" s="286">
        <v>2</v>
      </c>
      <c r="T20" s="286">
        <v>3</v>
      </c>
      <c r="U20" s="286">
        <v>2</v>
      </c>
      <c r="V20" s="286">
        <v>1</v>
      </c>
      <c r="W20" s="286">
        <v>4</v>
      </c>
      <c r="X20" s="286">
        <v>3</v>
      </c>
      <c r="Y20" s="286">
        <v>1</v>
      </c>
    </row>
    <row r="21" spans="1:25">
      <c r="A21" s="212">
        <v>88</v>
      </c>
      <c r="B21" s="212" t="s">
        <v>1642</v>
      </c>
      <c r="C21" s="212">
        <v>1</v>
      </c>
      <c r="D21" s="212" t="s">
        <v>1643</v>
      </c>
      <c r="E21" s="212" t="s">
        <v>1661</v>
      </c>
      <c r="F21" s="212">
        <v>5</v>
      </c>
      <c r="G21" s="212" t="s">
        <v>1645</v>
      </c>
      <c r="H21" s="212">
        <v>0</v>
      </c>
      <c r="I21" s="212" t="s">
        <v>1662</v>
      </c>
      <c r="J21" s="212">
        <v>118</v>
      </c>
      <c r="K21" s="286">
        <v>1062</v>
      </c>
      <c r="L21" s="286">
        <v>835</v>
      </c>
      <c r="M21" s="286">
        <v>226</v>
      </c>
      <c r="N21" s="286">
        <v>2</v>
      </c>
      <c r="O21" s="286">
        <v>2</v>
      </c>
      <c r="P21" s="286">
        <v>0</v>
      </c>
      <c r="Q21" s="286">
        <v>14</v>
      </c>
      <c r="R21" s="286">
        <v>12</v>
      </c>
      <c r="S21" s="286">
        <v>2</v>
      </c>
      <c r="T21" s="286">
        <v>10</v>
      </c>
      <c r="U21" s="286">
        <v>8</v>
      </c>
      <c r="V21" s="286">
        <v>2</v>
      </c>
      <c r="W21" s="286">
        <v>4</v>
      </c>
      <c r="X21" s="286">
        <v>4</v>
      </c>
      <c r="Y21" s="286">
        <v>0</v>
      </c>
    </row>
    <row r="22" spans="1:25">
      <c r="A22" s="212">
        <v>97</v>
      </c>
      <c r="B22" s="212" t="s">
        <v>1642</v>
      </c>
      <c r="C22" s="212">
        <v>1</v>
      </c>
      <c r="D22" s="212" t="s">
        <v>1643</v>
      </c>
      <c r="E22" s="212" t="s">
        <v>1663</v>
      </c>
      <c r="F22" s="212">
        <v>4</v>
      </c>
      <c r="G22" s="212" t="s">
        <v>1645</v>
      </c>
      <c r="H22" s="212">
        <v>0</v>
      </c>
      <c r="I22" s="212" t="s">
        <v>1664</v>
      </c>
      <c r="J22" s="212">
        <v>55</v>
      </c>
      <c r="K22" s="286">
        <v>993</v>
      </c>
      <c r="L22" s="286">
        <v>902</v>
      </c>
      <c r="M22" s="286">
        <v>91</v>
      </c>
      <c r="N22" s="286">
        <v>3</v>
      </c>
      <c r="O22" s="286">
        <v>3</v>
      </c>
      <c r="P22" s="286">
        <v>0</v>
      </c>
      <c r="Q22" s="286">
        <v>13</v>
      </c>
      <c r="R22" s="286">
        <v>12</v>
      </c>
      <c r="S22" s="286">
        <v>1</v>
      </c>
      <c r="T22" s="286">
        <v>1</v>
      </c>
      <c r="U22" s="286">
        <v>1</v>
      </c>
      <c r="V22" s="286">
        <v>0</v>
      </c>
      <c r="W22" s="286">
        <v>12</v>
      </c>
      <c r="X22" s="286">
        <v>11</v>
      </c>
      <c r="Y22" s="286">
        <v>1</v>
      </c>
    </row>
    <row r="23" spans="1:25">
      <c r="A23" s="212">
        <v>106</v>
      </c>
      <c r="B23" s="212" t="s">
        <v>1642</v>
      </c>
      <c r="C23" s="212">
        <v>1</v>
      </c>
      <c r="D23" s="212" t="s">
        <v>1643</v>
      </c>
      <c r="E23" s="212" t="s">
        <v>1665</v>
      </c>
      <c r="F23" s="212">
        <v>5</v>
      </c>
      <c r="G23" s="212" t="s">
        <v>1645</v>
      </c>
      <c r="H23" s="212">
        <v>0</v>
      </c>
      <c r="I23" s="212" t="s">
        <v>1666</v>
      </c>
      <c r="J23" s="212">
        <v>0</v>
      </c>
      <c r="K23" s="286">
        <v>0</v>
      </c>
      <c r="L23" s="286">
        <v>0</v>
      </c>
      <c r="M23" s="286">
        <v>0</v>
      </c>
      <c r="N23" s="286">
        <v>0</v>
      </c>
      <c r="O23" s="286">
        <v>0</v>
      </c>
      <c r="P23" s="286">
        <v>0</v>
      </c>
      <c r="Q23" s="286">
        <v>0</v>
      </c>
      <c r="R23" s="286">
        <v>0</v>
      </c>
      <c r="S23" s="286">
        <v>0</v>
      </c>
      <c r="T23" s="286">
        <v>0</v>
      </c>
      <c r="U23" s="286">
        <v>0</v>
      </c>
      <c r="V23" s="286">
        <v>0</v>
      </c>
      <c r="W23" s="286">
        <v>0</v>
      </c>
      <c r="X23" s="286">
        <v>0</v>
      </c>
      <c r="Y23" s="286">
        <v>0</v>
      </c>
    </row>
    <row r="24" spans="1:25">
      <c r="A24" s="212">
        <v>115</v>
      </c>
      <c r="B24" s="212" t="s">
        <v>1642</v>
      </c>
      <c r="C24" s="212">
        <v>1</v>
      </c>
      <c r="D24" s="212" t="s">
        <v>1643</v>
      </c>
      <c r="E24" s="212" t="s">
        <v>1667</v>
      </c>
      <c r="F24" s="212">
        <v>5</v>
      </c>
      <c r="G24" s="212" t="s">
        <v>1645</v>
      </c>
      <c r="H24" s="212">
        <v>0</v>
      </c>
      <c r="I24" s="212" t="s">
        <v>1668</v>
      </c>
      <c r="J24" s="212">
        <v>31</v>
      </c>
      <c r="K24" s="286">
        <v>553</v>
      </c>
      <c r="L24" s="286">
        <v>503</v>
      </c>
      <c r="M24" s="286">
        <v>50</v>
      </c>
      <c r="N24" s="286">
        <v>0</v>
      </c>
      <c r="O24" s="286">
        <v>0</v>
      </c>
      <c r="P24" s="286">
        <v>0</v>
      </c>
      <c r="Q24" s="286">
        <v>12</v>
      </c>
      <c r="R24" s="286">
        <v>11</v>
      </c>
      <c r="S24" s="286">
        <v>1</v>
      </c>
      <c r="T24" s="286">
        <v>1</v>
      </c>
      <c r="U24" s="286">
        <v>1</v>
      </c>
      <c r="V24" s="286">
        <v>0</v>
      </c>
      <c r="W24" s="286">
        <v>11</v>
      </c>
      <c r="X24" s="286">
        <v>10</v>
      </c>
      <c r="Y24" s="286">
        <v>1</v>
      </c>
    </row>
    <row r="25" spans="1:25">
      <c r="A25" s="212">
        <v>124</v>
      </c>
      <c r="B25" s="212" t="s">
        <v>1642</v>
      </c>
      <c r="C25" s="212">
        <v>1</v>
      </c>
      <c r="D25" s="212" t="s">
        <v>1643</v>
      </c>
      <c r="E25" s="212" t="s">
        <v>1669</v>
      </c>
      <c r="F25" s="212">
        <v>5</v>
      </c>
      <c r="G25" s="212" t="s">
        <v>1645</v>
      </c>
      <c r="H25" s="212">
        <v>0</v>
      </c>
      <c r="I25" s="212" t="s">
        <v>1670</v>
      </c>
      <c r="J25" s="212">
        <v>6</v>
      </c>
      <c r="K25" s="286">
        <v>55</v>
      </c>
      <c r="L25" s="286">
        <v>51</v>
      </c>
      <c r="M25" s="286">
        <v>4</v>
      </c>
      <c r="N25" s="286">
        <v>0</v>
      </c>
      <c r="O25" s="286">
        <v>0</v>
      </c>
      <c r="P25" s="286">
        <v>0</v>
      </c>
      <c r="Q25" s="286">
        <v>0</v>
      </c>
      <c r="R25" s="286">
        <v>0</v>
      </c>
      <c r="S25" s="286">
        <v>0</v>
      </c>
      <c r="T25" s="286">
        <v>0</v>
      </c>
      <c r="U25" s="286">
        <v>0</v>
      </c>
      <c r="V25" s="286">
        <v>0</v>
      </c>
      <c r="W25" s="286">
        <v>0</v>
      </c>
      <c r="X25" s="286">
        <v>0</v>
      </c>
      <c r="Y25" s="286">
        <v>0</v>
      </c>
    </row>
    <row r="26" spans="1:25">
      <c r="A26" s="212">
        <v>133</v>
      </c>
      <c r="B26" s="212" t="s">
        <v>1642</v>
      </c>
      <c r="C26" s="212">
        <v>1</v>
      </c>
      <c r="D26" s="212" t="s">
        <v>1643</v>
      </c>
      <c r="E26" s="212" t="s">
        <v>1671</v>
      </c>
      <c r="F26" s="212">
        <v>5</v>
      </c>
      <c r="G26" s="212" t="s">
        <v>1645</v>
      </c>
      <c r="H26" s="212">
        <v>0</v>
      </c>
      <c r="I26" s="212" t="s">
        <v>1672</v>
      </c>
      <c r="J26" s="212">
        <v>3</v>
      </c>
      <c r="K26" s="286">
        <v>22</v>
      </c>
      <c r="L26" s="286">
        <v>17</v>
      </c>
      <c r="M26" s="286">
        <v>5</v>
      </c>
      <c r="N26" s="286">
        <v>3</v>
      </c>
      <c r="O26" s="286">
        <v>3</v>
      </c>
      <c r="P26" s="286">
        <v>0</v>
      </c>
      <c r="Q26" s="286">
        <v>1</v>
      </c>
      <c r="R26" s="286">
        <v>1</v>
      </c>
      <c r="S26" s="286">
        <v>0</v>
      </c>
      <c r="T26" s="286">
        <v>0</v>
      </c>
      <c r="U26" s="286">
        <v>0</v>
      </c>
      <c r="V26" s="286">
        <v>0</v>
      </c>
      <c r="W26" s="286">
        <v>1</v>
      </c>
      <c r="X26" s="286">
        <v>1</v>
      </c>
      <c r="Y26" s="286">
        <v>0</v>
      </c>
    </row>
    <row r="27" spans="1:25">
      <c r="A27" s="212">
        <v>142</v>
      </c>
      <c r="B27" s="212" t="s">
        <v>1642</v>
      </c>
      <c r="C27" s="212">
        <v>1</v>
      </c>
      <c r="D27" s="212" t="s">
        <v>1643</v>
      </c>
      <c r="E27" s="212" t="s">
        <v>1673</v>
      </c>
      <c r="F27" s="212">
        <v>5</v>
      </c>
      <c r="G27" s="212" t="s">
        <v>1645</v>
      </c>
      <c r="H27" s="212">
        <v>0</v>
      </c>
      <c r="I27" s="212" t="s">
        <v>1674</v>
      </c>
      <c r="J27" s="212">
        <v>12</v>
      </c>
      <c r="K27" s="286">
        <v>311</v>
      </c>
      <c r="L27" s="286">
        <v>281</v>
      </c>
      <c r="M27" s="286">
        <v>30</v>
      </c>
      <c r="N27" s="286">
        <v>0</v>
      </c>
      <c r="O27" s="286">
        <v>0</v>
      </c>
      <c r="P27" s="286">
        <v>0</v>
      </c>
      <c r="Q27" s="286">
        <v>0</v>
      </c>
      <c r="R27" s="286">
        <v>0</v>
      </c>
      <c r="S27" s="286">
        <v>0</v>
      </c>
      <c r="T27" s="286">
        <v>0</v>
      </c>
      <c r="U27" s="286">
        <v>0</v>
      </c>
      <c r="V27" s="286">
        <v>0</v>
      </c>
      <c r="W27" s="286">
        <v>0</v>
      </c>
      <c r="X27" s="286">
        <v>0</v>
      </c>
      <c r="Y27" s="286">
        <v>0</v>
      </c>
    </row>
    <row r="28" spans="1:25">
      <c r="A28" s="212">
        <v>151</v>
      </c>
      <c r="B28" s="212" t="s">
        <v>1642</v>
      </c>
      <c r="C28" s="212">
        <v>1</v>
      </c>
      <c r="D28" s="212" t="s">
        <v>1643</v>
      </c>
      <c r="E28" s="212" t="s">
        <v>1675</v>
      </c>
      <c r="F28" s="212">
        <v>5</v>
      </c>
      <c r="G28" s="212" t="s">
        <v>1645</v>
      </c>
      <c r="H28" s="212">
        <v>0</v>
      </c>
      <c r="I28" s="212" t="s">
        <v>1676</v>
      </c>
      <c r="J28" s="212">
        <v>3</v>
      </c>
      <c r="K28" s="286">
        <v>52</v>
      </c>
      <c r="L28" s="286">
        <v>50</v>
      </c>
      <c r="M28" s="286">
        <v>2</v>
      </c>
      <c r="N28" s="286">
        <v>0</v>
      </c>
      <c r="O28" s="286">
        <v>0</v>
      </c>
      <c r="P28" s="286">
        <v>0</v>
      </c>
      <c r="Q28" s="286">
        <v>0</v>
      </c>
      <c r="R28" s="286">
        <v>0</v>
      </c>
      <c r="S28" s="286">
        <v>0</v>
      </c>
      <c r="T28" s="286">
        <v>0</v>
      </c>
      <c r="U28" s="286">
        <v>0</v>
      </c>
      <c r="V28" s="286">
        <v>0</v>
      </c>
      <c r="W28" s="286">
        <v>0</v>
      </c>
      <c r="X28" s="286">
        <v>0</v>
      </c>
      <c r="Y28" s="286">
        <v>0</v>
      </c>
    </row>
    <row r="29" spans="1:25">
      <c r="A29" s="212">
        <v>160</v>
      </c>
      <c r="B29" s="212" t="s">
        <v>1642</v>
      </c>
      <c r="C29" s="212">
        <v>1</v>
      </c>
      <c r="D29" s="212" t="s">
        <v>1643</v>
      </c>
      <c r="E29" s="212" t="s">
        <v>1677</v>
      </c>
      <c r="F29" s="212">
        <v>2</v>
      </c>
      <c r="G29" s="212" t="s">
        <v>1645</v>
      </c>
      <c r="H29" s="212">
        <v>0</v>
      </c>
      <c r="I29" s="212" t="s">
        <v>1678</v>
      </c>
      <c r="J29" s="212">
        <v>53</v>
      </c>
      <c r="K29" s="286">
        <v>505</v>
      </c>
      <c r="L29" s="286">
        <v>343</v>
      </c>
      <c r="M29" s="286">
        <v>156</v>
      </c>
      <c r="N29" s="286">
        <v>0</v>
      </c>
      <c r="O29" s="286">
        <v>0</v>
      </c>
      <c r="P29" s="286">
        <v>0</v>
      </c>
      <c r="Q29" s="286">
        <v>1</v>
      </c>
      <c r="R29" s="286">
        <v>1</v>
      </c>
      <c r="S29" s="286">
        <v>0</v>
      </c>
      <c r="T29" s="286">
        <v>0</v>
      </c>
      <c r="U29" s="286">
        <v>0</v>
      </c>
      <c r="V29" s="286">
        <v>0</v>
      </c>
      <c r="W29" s="286">
        <v>1</v>
      </c>
      <c r="X29" s="286">
        <v>1</v>
      </c>
      <c r="Y29" s="286">
        <v>0</v>
      </c>
    </row>
    <row r="30" spans="1:25">
      <c r="A30" s="212">
        <v>169</v>
      </c>
      <c r="B30" s="212" t="s">
        <v>1642</v>
      </c>
      <c r="C30" s="212">
        <v>1</v>
      </c>
      <c r="D30" s="212" t="s">
        <v>1643</v>
      </c>
      <c r="E30" s="212" t="s">
        <v>1679</v>
      </c>
      <c r="F30" s="212">
        <v>4</v>
      </c>
      <c r="G30" s="212" t="s">
        <v>1645</v>
      </c>
      <c r="H30" s="212">
        <v>0</v>
      </c>
      <c r="I30" s="212" t="s">
        <v>1680</v>
      </c>
      <c r="J30" s="212">
        <v>27</v>
      </c>
      <c r="K30" s="286">
        <v>297</v>
      </c>
      <c r="L30" s="286">
        <v>222</v>
      </c>
      <c r="M30" s="286">
        <v>75</v>
      </c>
      <c r="N30" s="286">
        <v>0</v>
      </c>
      <c r="O30" s="286">
        <v>0</v>
      </c>
      <c r="P30" s="286">
        <v>0</v>
      </c>
      <c r="Q30" s="286">
        <v>1</v>
      </c>
      <c r="R30" s="286">
        <v>1</v>
      </c>
      <c r="S30" s="286">
        <v>0</v>
      </c>
      <c r="T30" s="286">
        <v>0</v>
      </c>
      <c r="U30" s="286">
        <v>0</v>
      </c>
      <c r="V30" s="286">
        <v>0</v>
      </c>
      <c r="W30" s="286">
        <v>1</v>
      </c>
      <c r="X30" s="286">
        <v>1</v>
      </c>
      <c r="Y30" s="286">
        <v>0</v>
      </c>
    </row>
    <row r="31" spans="1:25">
      <c r="A31" s="212">
        <v>178</v>
      </c>
      <c r="B31" s="212" t="s">
        <v>1642</v>
      </c>
      <c r="C31" s="212">
        <v>1</v>
      </c>
      <c r="D31" s="212" t="s">
        <v>1643</v>
      </c>
      <c r="E31" s="212" t="s">
        <v>1681</v>
      </c>
      <c r="F31" s="212">
        <v>5</v>
      </c>
      <c r="G31" s="212" t="s">
        <v>1645</v>
      </c>
      <c r="H31" s="212">
        <v>0</v>
      </c>
      <c r="I31" s="212" t="s">
        <v>1682</v>
      </c>
      <c r="J31" s="212">
        <v>0</v>
      </c>
      <c r="K31" s="286">
        <v>0</v>
      </c>
      <c r="L31" s="286">
        <v>0</v>
      </c>
      <c r="M31" s="286">
        <v>0</v>
      </c>
      <c r="N31" s="286">
        <v>0</v>
      </c>
      <c r="O31" s="286">
        <v>0</v>
      </c>
      <c r="P31" s="286">
        <v>0</v>
      </c>
      <c r="Q31" s="286">
        <v>0</v>
      </c>
      <c r="R31" s="286">
        <v>0</v>
      </c>
      <c r="S31" s="286">
        <v>0</v>
      </c>
      <c r="T31" s="286">
        <v>0</v>
      </c>
      <c r="U31" s="286">
        <v>0</v>
      </c>
      <c r="V31" s="286">
        <v>0</v>
      </c>
      <c r="W31" s="286">
        <v>0</v>
      </c>
      <c r="X31" s="286">
        <v>0</v>
      </c>
      <c r="Y31" s="286">
        <v>0</v>
      </c>
    </row>
    <row r="32" spans="1:25">
      <c r="A32" s="212">
        <v>187</v>
      </c>
      <c r="B32" s="212" t="s">
        <v>1642</v>
      </c>
      <c r="C32" s="212">
        <v>1</v>
      </c>
      <c r="D32" s="212" t="s">
        <v>1643</v>
      </c>
      <c r="E32" s="212" t="s">
        <v>1683</v>
      </c>
      <c r="F32" s="212">
        <v>5</v>
      </c>
      <c r="G32" s="212" t="s">
        <v>1645</v>
      </c>
      <c r="H32" s="212">
        <v>0</v>
      </c>
      <c r="I32" s="212" t="s">
        <v>1684</v>
      </c>
      <c r="J32" s="212">
        <v>25</v>
      </c>
      <c r="K32" s="286">
        <v>279</v>
      </c>
      <c r="L32" s="286">
        <v>205</v>
      </c>
      <c r="M32" s="286">
        <v>74</v>
      </c>
      <c r="N32" s="286">
        <v>0</v>
      </c>
      <c r="O32" s="286">
        <v>0</v>
      </c>
      <c r="P32" s="286">
        <v>0</v>
      </c>
      <c r="Q32" s="286">
        <v>1</v>
      </c>
      <c r="R32" s="286">
        <v>1</v>
      </c>
      <c r="S32" s="286">
        <v>0</v>
      </c>
      <c r="T32" s="286">
        <v>0</v>
      </c>
      <c r="U32" s="286">
        <v>0</v>
      </c>
      <c r="V32" s="286">
        <v>0</v>
      </c>
      <c r="W32" s="286">
        <v>1</v>
      </c>
      <c r="X32" s="286">
        <v>1</v>
      </c>
      <c r="Y32" s="286">
        <v>0</v>
      </c>
    </row>
    <row r="33" spans="1:25">
      <c r="A33" s="212">
        <v>196</v>
      </c>
      <c r="B33" s="212" t="s">
        <v>1642</v>
      </c>
      <c r="C33" s="212">
        <v>1</v>
      </c>
      <c r="D33" s="212" t="s">
        <v>1643</v>
      </c>
      <c r="E33" s="212" t="s">
        <v>1685</v>
      </c>
      <c r="F33" s="212">
        <v>5</v>
      </c>
      <c r="G33" s="212" t="s">
        <v>1645</v>
      </c>
      <c r="H33" s="212">
        <v>0</v>
      </c>
      <c r="I33" s="212" t="s">
        <v>1686</v>
      </c>
      <c r="J33" s="212">
        <v>2</v>
      </c>
      <c r="K33" s="286">
        <v>18</v>
      </c>
      <c r="L33" s="286">
        <v>17</v>
      </c>
      <c r="M33" s="286">
        <v>1</v>
      </c>
      <c r="N33" s="286">
        <v>0</v>
      </c>
      <c r="O33" s="286">
        <v>0</v>
      </c>
      <c r="P33" s="286">
        <v>0</v>
      </c>
      <c r="Q33" s="286">
        <v>0</v>
      </c>
      <c r="R33" s="286">
        <v>0</v>
      </c>
      <c r="S33" s="286">
        <v>0</v>
      </c>
      <c r="T33" s="286">
        <v>0</v>
      </c>
      <c r="U33" s="286">
        <v>0</v>
      </c>
      <c r="V33" s="286">
        <v>0</v>
      </c>
      <c r="W33" s="286">
        <v>0</v>
      </c>
      <c r="X33" s="286">
        <v>0</v>
      </c>
      <c r="Y33" s="286">
        <v>0</v>
      </c>
    </row>
    <row r="34" spans="1:25">
      <c r="A34" s="212">
        <v>205</v>
      </c>
      <c r="B34" s="212" t="s">
        <v>1642</v>
      </c>
      <c r="C34" s="212">
        <v>1</v>
      </c>
      <c r="D34" s="212" t="s">
        <v>1643</v>
      </c>
      <c r="E34" s="212" t="s">
        <v>1687</v>
      </c>
      <c r="F34" s="212">
        <v>4</v>
      </c>
      <c r="G34" s="212" t="s">
        <v>1645</v>
      </c>
      <c r="H34" s="212">
        <v>0</v>
      </c>
      <c r="I34" s="212" t="s">
        <v>1688</v>
      </c>
      <c r="J34" s="212">
        <v>26</v>
      </c>
      <c r="K34" s="286">
        <v>208</v>
      </c>
      <c r="L34" s="286">
        <v>121</v>
      </c>
      <c r="M34" s="286">
        <v>81</v>
      </c>
      <c r="N34" s="286">
        <v>0</v>
      </c>
      <c r="O34" s="286">
        <v>0</v>
      </c>
      <c r="P34" s="286">
        <v>0</v>
      </c>
      <c r="Q34" s="286">
        <v>0</v>
      </c>
      <c r="R34" s="286">
        <v>0</v>
      </c>
      <c r="S34" s="286">
        <v>0</v>
      </c>
      <c r="T34" s="286">
        <v>0</v>
      </c>
      <c r="U34" s="286">
        <v>0</v>
      </c>
      <c r="V34" s="286">
        <v>0</v>
      </c>
      <c r="W34" s="286">
        <v>0</v>
      </c>
      <c r="X34" s="286">
        <v>0</v>
      </c>
      <c r="Y34" s="286">
        <v>0</v>
      </c>
    </row>
    <row r="35" spans="1:25">
      <c r="A35" s="212">
        <v>214</v>
      </c>
      <c r="B35" s="212" t="s">
        <v>1642</v>
      </c>
      <c r="C35" s="212">
        <v>1</v>
      </c>
      <c r="D35" s="212" t="s">
        <v>1643</v>
      </c>
      <c r="E35" s="212" t="s">
        <v>1689</v>
      </c>
      <c r="F35" s="212">
        <v>5</v>
      </c>
      <c r="G35" s="212" t="s">
        <v>1645</v>
      </c>
      <c r="H35" s="212">
        <v>0</v>
      </c>
      <c r="I35" s="212" t="s">
        <v>1690</v>
      </c>
      <c r="J35" s="212">
        <v>0</v>
      </c>
      <c r="K35" s="286">
        <v>0</v>
      </c>
      <c r="L35" s="286">
        <v>0</v>
      </c>
      <c r="M35" s="286">
        <v>0</v>
      </c>
      <c r="N35" s="286">
        <v>0</v>
      </c>
      <c r="O35" s="286">
        <v>0</v>
      </c>
      <c r="P35" s="286">
        <v>0</v>
      </c>
      <c r="Q35" s="286">
        <v>0</v>
      </c>
      <c r="R35" s="286">
        <v>0</v>
      </c>
      <c r="S35" s="286">
        <v>0</v>
      </c>
      <c r="T35" s="286">
        <v>0</v>
      </c>
      <c r="U35" s="286">
        <v>0</v>
      </c>
      <c r="V35" s="286">
        <v>0</v>
      </c>
      <c r="W35" s="286">
        <v>0</v>
      </c>
      <c r="X35" s="286">
        <v>0</v>
      </c>
      <c r="Y35" s="286">
        <v>0</v>
      </c>
    </row>
    <row r="36" spans="1:25">
      <c r="A36" s="212">
        <v>223</v>
      </c>
      <c r="B36" s="212" t="s">
        <v>1642</v>
      </c>
      <c r="C36" s="212">
        <v>1</v>
      </c>
      <c r="D36" s="212" t="s">
        <v>1643</v>
      </c>
      <c r="E36" s="212" t="s">
        <v>1691</v>
      </c>
      <c r="F36" s="212">
        <v>5</v>
      </c>
      <c r="G36" s="212" t="s">
        <v>1645</v>
      </c>
      <c r="H36" s="212">
        <v>0</v>
      </c>
      <c r="I36" s="212" t="s">
        <v>1692</v>
      </c>
      <c r="J36" s="212">
        <v>17</v>
      </c>
      <c r="K36" s="286">
        <v>172</v>
      </c>
      <c r="L36" s="286">
        <v>91</v>
      </c>
      <c r="M36" s="286">
        <v>75</v>
      </c>
      <c r="N36" s="286">
        <v>0</v>
      </c>
      <c r="O36" s="286">
        <v>0</v>
      </c>
      <c r="P36" s="286">
        <v>0</v>
      </c>
      <c r="Q36" s="286">
        <v>0</v>
      </c>
      <c r="R36" s="286">
        <v>0</v>
      </c>
      <c r="S36" s="286">
        <v>0</v>
      </c>
      <c r="T36" s="286">
        <v>0</v>
      </c>
      <c r="U36" s="286">
        <v>0</v>
      </c>
      <c r="V36" s="286">
        <v>0</v>
      </c>
      <c r="W36" s="286">
        <v>0</v>
      </c>
      <c r="X36" s="286">
        <v>0</v>
      </c>
      <c r="Y36" s="286">
        <v>0</v>
      </c>
    </row>
    <row r="37" spans="1:25">
      <c r="A37" s="212">
        <v>232</v>
      </c>
      <c r="B37" s="212" t="s">
        <v>1642</v>
      </c>
      <c r="C37" s="212">
        <v>1</v>
      </c>
      <c r="D37" s="212" t="s">
        <v>1643</v>
      </c>
      <c r="E37" s="212" t="s">
        <v>1693</v>
      </c>
      <c r="F37" s="212">
        <v>5</v>
      </c>
      <c r="G37" s="212" t="s">
        <v>1645</v>
      </c>
      <c r="H37" s="212">
        <v>0</v>
      </c>
      <c r="I37" s="212" t="s">
        <v>1694</v>
      </c>
      <c r="J37" s="212">
        <v>9</v>
      </c>
      <c r="K37" s="286">
        <v>36</v>
      </c>
      <c r="L37" s="286">
        <v>30</v>
      </c>
      <c r="M37" s="286">
        <v>6</v>
      </c>
      <c r="N37" s="286">
        <v>0</v>
      </c>
      <c r="O37" s="286">
        <v>0</v>
      </c>
      <c r="P37" s="286">
        <v>0</v>
      </c>
      <c r="Q37" s="286">
        <v>0</v>
      </c>
      <c r="R37" s="286">
        <v>0</v>
      </c>
      <c r="S37" s="286">
        <v>0</v>
      </c>
      <c r="T37" s="286">
        <v>0</v>
      </c>
      <c r="U37" s="286">
        <v>0</v>
      </c>
      <c r="V37" s="286">
        <v>0</v>
      </c>
      <c r="W37" s="286">
        <v>0</v>
      </c>
      <c r="X37" s="286">
        <v>0</v>
      </c>
      <c r="Y37" s="286">
        <v>0</v>
      </c>
    </row>
    <row r="38" spans="1:25">
      <c r="A38" s="212">
        <v>241</v>
      </c>
      <c r="B38" s="212" t="s">
        <v>1642</v>
      </c>
      <c r="C38" s="212">
        <v>1</v>
      </c>
      <c r="D38" s="212" t="s">
        <v>1643</v>
      </c>
      <c r="E38" s="212" t="s">
        <v>1695</v>
      </c>
      <c r="F38" s="212">
        <v>1</v>
      </c>
      <c r="G38" s="212" t="s">
        <v>1645</v>
      </c>
      <c r="H38" s="212">
        <v>0</v>
      </c>
      <c r="I38" s="212" t="s">
        <v>1696</v>
      </c>
      <c r="J38" s="212">
        <v>213519</v>
      </c>
      <c r="K38" s="286">
        <v>2195891</v>
      </c>
      <c r="L38" s="286">
        <v>1161738</v>
      </c>
      <c r="M38" s="286">
        <v>1027060</v>
      </c>
      <c r="N38" s="286">
        <v>36533</v>
      </c>
      <c r="O38" s="286">
        <v>21448</v>
      </c>
      <c r="P38" s="286">
        <v>15083</v>
      </c>
      <c r="Q38" s="286">
        <v>84190</v>
      </c>
      <c r="R38" s="286">
        <v>52199</v>
      </c>
      <c r="S38" s="286">
        <v>31985</v>
      </c>
      <c r="T38" s="286">
        <v>35936</v>
      </c>
      <c r="U38" s="286">
        <v>25440</v>
      </c>
      <c r="V38" s="286">
        <v>10495</v>
      </c>
      <c r="W38" s="286">
        <v>48033</v>
      </c>
      <c r="X38" s="286">
        <v>26655</v>
      </c>
      <c r="Y38" s="286">
        <v>21373</v>
      </c>
    </row>
    <row r="39" spans="1:25">
      <c r="A39" s="212">
        <v>250</v>
      </c>
      <c r="B39" s="212" t="s">
        <v>1642</v>
      </c>
      <c r="C39" s="212">
        <v>1</v>
      </c>
      <c r="D39" s="212" t="s">
        <v>1643</v>
      </c>
      <c r="E39" s="212" t="s">
        <v>1697</v>
      </c>
      <c r="F39" s="212">
        <v>2</v>
      </c>
      <c r="G39" s="212" t="s">
        <v>1645</v>
      </c>
      <c r="H39" s="212">
        <v>0</v>
      </c>
      <c r="I39" s="212" t="s">
        <v>1698</v>
      </c>
      <c r="J39" s="212">
        <v>36</v>
      </c>
      <c r="K39" s="286">
        <v>296</v>
      </c>
      <c r="L39" s="286">
        <v>252</v>
      </c>
      <c r="M39" s="286">
        <v>44</v>
      </c>
      <c r="N39" s="286">
        <v>0</v>
      </c>
      <c r="O39" s="286">
        <v>0</v>
      </c>
      <c r="P39" s="286">
        <v>0</v>
      </c>
      <c r="Q39" s="286">
        <v>13</v>
      </c>
      <c r="R39" s="286">
        <v>12</v>
      </c>
      <c r="S39" s="286">
        <v>1</v>
      </c>
      <c r="T39" s="286">
        <v>13</v>
      </c>
      <c r="U39" s="286">
        <v>12</v>
      </c>
      <c r="V39" s="286">
        <v>1</v>
      </c>
      <c r="W39" s="286">
        <v>0</v>
      </c>
      <c r="X39" s="286">
        <v>0</v>
      </c>
      <c r="Y39" s="286">
        <v>0</v>
      </c>
    </row>
    <row r="40" spans="1:25">
      <c r="A40" s="212">
        <v>259</v>
      </c>
      <c r="B40" s="212" t="s">
        <v>1642</v>
      </c>
      <c r="C40" s="212">
        <v>1</v>
      </c>
      <c r="D40" s="212" t="s">
        <v>1643</v>
      </c>
      <c r="E40" s="212" t="s">
        <v>1699</v>
      </c>
      <c r="F40" s="212">
        <v>4</v>
      </c>
      <c r="G40" s="212" t="s">
        <v>1645</v>
      </c>
      <c r="H40" s="212">
        <v>0</v>
      </c>
      <c r="I40" s="212" t="s">
        <v>1700</v>
      </c>
      <c r="J40" s="212">
        <v>36</v>
      </c>
      <c r="K40" s="286">
        <v>296</v>
      </c>
      <c r="L40" s="286">
        <v>252</v>
      </c>
      <c r="M40" s="286">
        <v>44</v>
      </c>
      <c r="N40" s="286">
        <v>0</v>
      </c>
      <c r="O40" s="286">
        <v>0</v>
      </c>
      <c r="P40" s="286">
        <v>0</v>
      </c>
      <c r="Q40" s="286">
        <v>13</v>
      </c>
      <c r="R40" s="286">
        <v>12</v>
      </c>
      <c r="S40" s="286">
        <v>1</v>
      </c>
      <c r="T40" s="286">
        <v>13</v>
      </c>
      <c r="U40" s="286">
        <v>12</v>
      </c>
      <c r="V40" s="286">
        <v>1</v>
      </c>
      <c r="W40" s="286">
        <v>0</v>
      </c>
      <c r="X40" s="286">
        <v>0</v>
      </c>
      <c r="Y40" s="286">
        <v>0</v>
      </c>
    </row>
    <row r="41" spans="1:25">
      <c r="A41" s="212">
        <v>268</v>
      </c>
      <c r="B41" s="212" t="s">
        <v>1642</v>
      </c>
      <c r="C41" s="212">
        <v>1</v>
      </c>
      <c r="D41" s="212" t="s">
        <v>1643</v>
      </c>
      <c r="E41" s="212" t="s">
        <v>1701</v>
      </c>
      <c r="F41" s="212">
        <v>5</v>
      </c>
      <c r="G41" s="212" t="s">
        <v>1645</v>
      </c>
      <c r="H41" s="212">
        <v>0</v>
      </c>
      <c r="I41" s="212" t="s">
        <v>1702</v>
      </c>
      <c r="J41" s="212">
        <v>1</v>
      </c>
      <c r="K41" s="286">
        <v>18</v>
      </c>
      <c r="L41" s="286">
        <v>15</v>
      </c>
      <c r="M41" s="286">
        <v>3</v>
      </c>
      <c r="N41" s="286">
        <v>0</v>
      </c>
      <c r="O41" s="286">
        <v>0</v>
      </c>
      <c r="P41" s="286">
        <v>0</v>
      </c>
      <c r="Q41" s="286">
        <v>0</v>
      </c>
      <c r="R41" s="286">
        <v>0</v>
      </c>
      <c r="S41" s="286">
        <v>0</v>
      </c>
      <c r="T41" s="286">
        <v>0</v>
      </c>
      <c r="U41" s="286">
        <v>0</v>
      </c>
      <c r="V41" s="286">
        <v>0</v>
      </c>
      <c r="W41" s="286">
        <v>0</v>
      </c>
      <c r="X41" s="286">
        <v>0</v>
      </c>
      <c r="Y41" s="286">
        <v>0</v>
      </c>
    </row>
    <row r="42" spans="1:25">
      <c r="A42" s="212">
        <v>277</v>
      </c>
      <c r="B42" s="212" t="s">
        <v>1642</v>
      </c>
      <c r="C42" s="212">
        <v>1</v>
      </c>
      <c r="D42" s="212" t="s">
        <v>1643</v>
      </c>
      <c r="E42" s="212" t="s">
        <v>1703</v>
      </c>
      <c r="F42" s="212">
        <v>5</v>
      </c>
      <c r="G42" s="212" t="s">
        <v>1645</v>
      </c>
      <c r="H42" s="212">
        <v>0</v>
      </c>
      <c r="I42" s="212" t="s">
        <v>1704</v>
      </c>
      <c r="J42" s="212">
        <v>0</v>
      </c>
      <c r="K42" s="286">
        <v>0</v>
      </c>
      <c r="L42" s="286">
        <v>0</v>
      </c>
      <c r="M42" s="286">
        <v>0</v>
      </c>
      <c r="N42" s="286">
        <v>0</v>
      </c>
      <c r="O42" s="286">
        <v>0</v>
      </c>
      <c r="P42" s="286">
        <v>0</v>
      </c>
      <c r="Q42" s="286">
        <v>0</v>
      </c>
      <c r="R42" s="286">
        <v>0</v>
      </c>
      <c r="S42" s="286">
        <v>0</v>
      </c>
      <c r="T42" s="286">
        <v>0</v>
      </c>
      <c r="U42" s="286">
        <v>0</v>
      </c>
      <c r="V42" s="286">
        <v>0</v>
      </c>
      <c r="W42" s="286">
        <v>0</v>
      </c>
      <c r="X42" s="286">
        <v>0</v>
      </c>
      <c r="Y42" s="286">
        <v>0</v>
      </c>
    </row>
    <row r="43" spans="1:25">
      <c r="A43" s="212">
        <v>286</v>
      </c>
      <c r="B43" s="212" t="s">
        <v>1642</v>
      </c>
      <c r="C43" s="212">
        <v>1</v>
      </c>
      <c r="D43" s="212" t="s">
        <v>1643</v>
      </c>
      <c r="E43" s="212" t="s">
        <v>1705</v>
      </c>
      <c r="F43" s="212">
        <v>5</v>
      </c>
      <c r="G43" s="212" t="s">
        <v>1645</v>
      </c>
      <c r="H43" s="212">
        <v>0</v>
      </c>
      <c r="I43" s="212" t="s">
        <v>1706</v>
      </c>
      <c r="J43" s="212">
        <v>0</v>
      </c>
      <c r="K43" s="286">
        <v>0</v>
      </c>
      <c r="L43" s="286">
        <v>0</v>
      </c>
      <c r="M43" s="286">
        <v>0</v>
      </c>
      <c r="N43" s="286">
        <v>0</v>
      </c>
      <c r="O43" s="286">
        <v>0</v>
      </c>
      <c r="P43" s="286">
        <v>0</v>
      </c>
      <c r="Q43" s="286">
        <v>0</v>
      </c>
      <c r="R43" s="286">
        <v>0</v>
      </c>
      <c r="S43" s="286">
        <v>0</v>
      </c>
      <c r="T43" s="286">
        <v>0</v>
      </c>
      <c r="U43" s="286">
        <v>0</v>
      </c>
      <c r="V43" s="286">
        <v>0</v>
      </c>
      <c r="W43" s="286">
        <v>0</v>
      </c>
      <c r="X43" s="286">
        <v>0</v>
      </c>
      <c r="Y43" s="286">
        <v>0</v>
      </c>
    </row>
    <row r="44" spans="1:25">
      <c r="A44" s="212">
        <v>295</v>
      </c>
      <c r="B44" s="212" t="s">
        <v>1642</v>
      </c>
      <c r="C44" s="212">
        <v>1</v>
      </c>
      <c r="D44" s="212" t="s">
        <v>1643</v>
      </c>
      <c r="E44" s="212" t="s">
        <v>1707</v>
      </c>
      <c r="F44" s="212">
        <v>5</v>
      </c>
      <c r="G44" s="212" t="s">
        <v>1645</v>
      </c>
      <c r="H44" s="212">
        <v>0</v>
      </c>
      <c r="I44" s="212" t="s">
        <v>1708</v>
      </c>
      <c r="J44" s="212">
        <v>0</v>
      </c>
      <c r="K44" s="286">
        <v>0</v>
      </c>
      <c r="L44" s="286">
        <v>0</v>
      </c>
      <c r="M44" s="286">
        <v>0</v>
      </c>
      <c r="N44" s="286">
        <v>0</v>
      </c>
      <c r="O44" s="286">
        <v>0</v>
      </c>
      <c r="P44" s="286">
        <v>0</v>
      </c>
      <c r="Q44" s="286">
        <v>0</v>
      </c>
      <c r="R44" s="286">
        <v>0</v>
      </c>
      <c r="S44" s="286">
        <v>0</v>
      </c>
      <c r="T44" s="286">
        <v>0</v>
      </c>
      <c r="U44" s="286">
        <v>0</v>
      </c>
      <c r="V44" s="286">
        <v>0</v>
      </c>
      <c r="W44" s="286">
        <v>0</v>
      </c>
      <c r="X44" s="286">
        <v>0</v>
      </c>
      <c r="Y44" s="286">
        <v>0</v>
      </c>
    </row>
    <row r="45" spans="1:25">
      <c r="A45" s="212">
        <v>304</v>
      </c>
      <c r="B45" s="212" t="s">
        <v>1642</v>
      </c>
      <c r="C45" s="212">
        <v>1</v>
      </c>
      <c r="D45" s="212" t="s">
        <v>1643</v>
      </c>
      <c r="E45" s="212" t="s">
        <v>1709</v>
      </c>
      <c r="F45" s="212">
        <v>5</v>
      </c>
      <c r="G45" s="212" t="s">
        <v>1645</v>
      </c>
      <c r="H45" s="212">
        <v>0</v>
      </c>
      <c r="I45" s="212" t="s">
        <v>1710</v>
      </c>
      <c r="J45" s="212">
        <v>30</v>
      </c>
      <c r="K45" s="286">
        <v>201</v>
      </c>
      <c r="L45" s="286">
        <v>169</v>
      </c>
      <c r="M45" s="286">
        <v>32</v>
      </c>
      <c r="N45" s="286">
        <v>0</v>
      </c>
      <c r="O45" s="286">
        <v>0</v>
      </c>
      <c r="P45" s="286">
        <v>0</v>
      </c>
      <c r="Q45" s="286">
        <v>7</v>
      </c>
      <c r="R45" s="286">
        <v>6</v>
      </c>
      <c r="S45" s="286">
        <v>1</v>
      </c>
      <c r="T45" s="286">
        <v>7</v>
      </c>
      <c r="U45" s="286">
        <v>6</v>
      </c>
      <c r="V45" s="286">
        <v>1</v>
      </c>
      <c r="W45" s="286">
        <v>0</v>
      </c>
      <c r="X45" s="286">
        <v>0</v>
      </c>
      <c r="Y45" s="286">
        <v>0</v>
      </c>
    </row>
    <row r="46" spans="1:25">
      <c r="A46" s="212">
        <v>313</v>
      </c>
      <c r="B46" s="212" t="s">
        <v>1642</v>
      </c>
      <c r="C46" s="212">
        <v>1</v>
      </c>
      <c r="D46" s="212" t="s">
        <v>1643</v>
      </c>
      <c r="E46" s="212" t="s">
        <v>1711</v>
      </c>
      <c r="F46" s="212">
        <v>5</v>
      </c>
      <c r="G46" s="212" t="s">
        <v>1645</v>
      </c>
      <c r="H46" s="212">
        <v>0</v>
      </c>
      <c r="I46" s="212" t="s">
        <v>1712</v>
      </c>
      <c r="J46" s="212">
        <v>4</v>
      </c>
      <c r="K46" s="286">
        <v>74</v>
      </c>
      <c r="L46" s="286">
        <v>65</v>
      </c>
      <c r="M46" s="286">
        <v>9</v>
      </c>
      <c r="N46" s="286">
        <v>0</v>
      </c>
      <c r="O46" s="286">
        <v>0</v>
      </c>
      <c r="P46" s="286">
        <v>0</v>
      </c>
      <c r="Q46" s="286">
        <v>6</v>
      </c>
      <c r="R46" s="286">
        <v>6</v>
      </c>
      <c r="S46" s="286">
        <v>0</v>
      </c>
      <c r="T46" s="286">
        <v>6</v>
      </c>
      <c r="U46" s="286">
        <v>6</v>
      </c>
      <c r="V46" s="286">
        <v>0</v>
      </c>
      <c r="W46" s="286">
        <v>0</v>
      </c>
      <c r="X46" s="286">
        <v>0</v>
      </c>
      <c r="Y46" s="286">
        <v>0</v>
      </c>
    </row>
    <row r="47" spans="1:25">
      <c r="A47" s="212">
        <v>322</v>
      </c>
      <c r="B47" s="212" t="s">
        <v>1642</v>
      </c>
      <c r="C47" s="212">
        <v>1</v>
      </c>
      <c r="D47" s="212" t="s">
        <v>1643</v>
      </c>
      <c r="E47" s="212" t="s">
        <v>1713</v>
      </c>
      <c r="F47" s="212">
        <v>5</v>
      </c>
      <c r="G47" s="212" t="s">
        <v>1645</v>
      </c>
      <c r="H47" s="212">
        <v>0</v>
      </c>
      <c r="I47" s="212" t="s">
        <v>1714</v>
      </c>
      <c r="J47" s="212">
        <v>1</v>
      </c>
      <c r="K47" s="286">
        <v>3</v>
      </c>
      <c r="L47" s="286">
        <v>3</v>
      </c>
      <c r="M47" s="286">
        <v>0</v>
      </c>
      <c r="N47" s="286">
        <v>0</v>
      </c>
      <c r="O47" s="286">
        <v>0</v>
      </c>
      <c r="P47" s="286">
        <v>0</v>
      </c>
      <c r="Q47" s="286">
        <v>0</v>
      </c>
      <c r="R47" s="286">
        <v>0</v>
      </c>
      <c r="S47" s="286">
        <v>0</v>
      </c>
      <c r="T47" s="286">
        <v>0</v>
      </c>
      <c r="U47" s="286">
        <v>0</v>
      </c>
      <c r="V47" s="286">
        <v>0</v>
      </c>
      <c r="W47" s="286">
        <v>0</v>
      </c>
      <c r="X47" s="286">
        <v>0</v>
      </c>
      <c r="Y47" s="286">
        <v>0</v>
      </c>
    </row>
    <row r="48" spans="1:25">
      <c r="A48" s="212">
        <v>331</v>
      </c>
      <c r="B48" s="212" t="s">
        <v>1642</v>
      </c>
      <c r="C48" s="212">
        <v>1</v>
      </c>
      <c r="D48" s="212" t="s">
        <v>1643</v>
      </c>
      <c r="E48" s="212" t="s">
        <v>1715</v>
      </c>
      <c r="F48" s="212">
        <v>2</v>
      </c>
      <c r="G48" s="212" t="s">
        <v>1645</v>
      </c>
      <c r="H48" s="212">
        <v>0</v>
      </c>
      <c r="I48" s="212" t="s">
        <v>1716</v>
      </c>
      <c r="J48" s="212">
        <v>16851</v>
      </c>
      <c r="K48" s="286">
        <v>110137</v>
      </c>
      <c r="L48" s="286">
        <v>88443</v>
      </c>
      <c r="M48" s="286">
        <v>21297</v>
      </c>
      <c r="N48" s="286">
        <v>474</v>
      </c>
      <c r="O48" s="286">
        <v>416</v>
      </c>
      <c r="P48" s="286">
        <v>58</v>
      </c>
      <c r="Q48" s="286">
        <v>1954</v>
      </c>
      <c r="R48" s="286">
        <v>1550</v>
      </c>
      <c r="S48" s="286">
        <v>404</v>
      </c>
      <c r="T48" s="286">
        <v>1095</v>
      </c>
      <c r="U48" s="286">
        <v>1023</v>
      </c>
      <c r="V48" s="286">
        <v>72</v>
      </c>
      <c r="W48" s="286">
        <v>842</v>
      </c>
      <c r="X48" s="286">
        <v>516</v>
      </c>
      <c r="Y48" s="286">
        <v>326</v>
      </c>
    </row>
    <row r="49" spans="1:25">
      <c r="A49" s="212">
        <v>340</v>
      </c>
      <c r="B49" s="212" t="s">
        <v>1642</v>
      </c>
      <c r="C49" s="212">
        <v>1</v>
      </c>
      <c r="D49" s="212" t="s">
        <v>1643</v>
      </c>
      <c r="E49" s="212" t="s">
        <v>1717</v>
      </c>
      <c r="F49" s="212">
        <v>4</v>
      </c>
      <c r="G49" s="212" t="s">
        <v>1645</v>
      </c>
      <c r="H49" s="212">
        <v>0</v>
      </c>
      <c r="I49" s="212" t="s">
        <v>1718</v>
      </c>
      <c r="J49" s="212">
        <v>8125</v>
      </c>
      <c r="K49" s="286">
        <v>56884</v>
      </c>
      <c r="L49" s="286">
        <v>44964</v>
      </c>
      <c r="M49" s="286">
        <v>11822</v>
      </c>
      <c r="N49" s="286">
        <v>150</v>
      </c>
      <c r="O49" s="286">
        <v>127</v>
      </c>
      <c r="P49" s="286">
        <v>23</v>
      </c>
      <c r="Q49" s="286">
        <v>715</v>
      </c>
      <c r="R49" s="286">
        <v>546</v>
      </c>
      <c r="S49" s="286">
        <v>169</v>
      </c>
      <c r="T49" s="286">
        <v>414</v>
      </c>
      <c r="U49" s="286">
        <v>372</v>
      </c>
      <c r="V49" s="286">
        <v>42</v>
      </c>
      <c r="W49" s="286">
        <v>301</v>
      </c>
      <c r="X49" s="286">
        <v>174</v>
      </c>
      <c r="Y49" s="286">
        <v>127</v>
      </c>
    </row>
    <row r="50" spans="1:25">
      <c r="A50" s="212">
        <v>349</v>
      </c>
      <c r="B50" s="212" t="s">
        <v>1642</v>
      </c>
      <c r="C50" s="212">
        <v>1</v>
      </c>
      <c r="D50" s="212" t="s">
        <v>1643</v>
      </c>
      <c r="E50" s="212" t="s">
        <v>1719</v>
      </c>
      <c r="F50" s="212">
        <v>5</v>
      </c>
      <c r="G50" s="212" t="s">
        <v>1645</v>
      </c>
      <c r="H50" s="212">
        <v>0</v>
      </c>
      <c r="I50" s="212" t="s">
        <v>1720</v>
      </c>
      <c r="J50" s="212">
        <v>20</v>
      </c>
      <c r="K50" s="286">
        <v>84</v>
      </c>
      <c r="L50" s="286">
        <v>70</v>
      </c>
      <c r="M50" s="286">
        <v>14</v>
      </c>
      <c r="N50" s="286">
        <v>0</v>
      </c>
      <c r="O50" s="286">
        <v>0</v>
      </c>
      <c r="P50" s="286">
        <v>0</v>
      </c>
      <c r="Q50" s="286">
        <v>0</v>
      </c>
      <c r="R50" s="286">
        <v>0</v>
      </c>
      <c r="S50" s="286">
        <v>0</v>
      </c>
      <c r="T50" s="286">
        <v>0</v>
      </c>
      <c r="U50" s="286">
        <v>0</v>
      </c>
      <c r="V50" s="286">
        <v>0</v>
      </c>
      <c r="W50" s="286">
        <v>0</v>
      </c>
      <c r="X50" s="286">
        <v>0</v>
      </c>
      <c r="Y50" s="286">
        <v>0</v>
      </c>
    </row>
    <row r="51" spans="1:25">
      <c r="A51" s="212">
        <v>358</v>
      </c>
      <c r="B51" s="212" t="s">
        <v>1642</v>
      </c>
      <c r="C51" s="212">
        <v>1</v>
      </c>
      <c r="D51" s="212" t="s">
        <v>1643</v>
      </c>
      <c r="E51" s="212" t="s">
        <v>1721</v>
      </c>
      <c r="F51" s="212">
        <v>5</v>
      </c>
      <c r="G51" s="212" t="s">
        <v>1645</v>
      </c>
      <c r="H51" s="212">
        <v>0</v>
      </c>
      <c r="I51" s="212" t="s">
        <v>1722</v>
      </c>
      <c r="J51" s="212">
        <v>370</v>
      </c>
      <c r="K51" s="286">
        <v>4767</v>
      </c>
      <c r="L51" s="286">
        <v>4037</v>
      </c>
      <c r="M51" s="286">
        <v>727</v>
      </c>
      <c r="N51" s="286">
        <v>10</v>
      </c>
      <c r="O51" s="286">
        <v>7</v>
      </c>
      <c r="P51" s="286">
        <v>3</v>
      </c>
      <c r="Q51" s="286">
        <v>97</v>
      </c>
      <c r="R51" s="286">
        <v>70</v>
      </c>
      <c r="S51" s="286">
        <v>27</v>
      </c>
      <c r="T51" s="286">
        <v>13</v>
      </c>
      <c r="U51" s="286">
        <v>13</v>
      </c>
      <c r="V51" s="286">
        <v>0</v>
      </c>
      <c r="W51" s="286">
        <v>84</v>
      </c>
      <c r="X51" s="286">
        <v>57</v>
      </c>
      <c r="Y51" s="286">
        <v>27</v>
      </c>
    </row>
    <row r="52" spans="1:25">
      <c r="A52" s="212">
        <v>367</v>
      </c>
      <c r="B52" s="212" t="s">
        <v>1642</v>
      </c>
      <c r="C52" s="212">
        <v>1</v>
      </c>
      <c r="D52" s="212" t="s">
        <v>1643</v>
      </c>
      <c r="E52" s="212" t="s">
        <v>1723</v>
      </c>
      <c r="F52" s="212">
        <v>5</v>
      </c>
      <c r="G52" s="212" t="s">
        <v>1645</v>
      </c>
      <c r="H52" s="212">
        <v>0</v>
      </c>
      <c r="I52" s="212" t="s">
        <v>1724</v>
      </c>
      <c r="J52" s="212">
        <v>3047</v>
      </c>
      <c r="K52" s="286">
        <v>23183</v>
      </c>
      <c r="L52" s="286">
        <v>19234</v>
      </c>
      <c r="M52" s="286">
        <v>3886</v>
      </c>
      <c r="N52" s="286">
        <v>64</v>
      </c>
      <c r="O52" s="286">
        <v>58</v>
      </c>
      <c r="P52" s="286">
        <v>6</v>
      </c>
      <c r="Q52" s="286">
        <v>248</v>
      </c>
      <c r="R52" s="286">
        <v>219</v>
      </c>
      <c r="S52" s="286">
        <v>29</v>
      </c>
      <c r="T52" s="286">
        <v>178</v>
      </c>
      <c r="U52" s="286">
        <v>165</v>
      </c>
      <c r="V52" s="286">
        <v>13</v>
      </c>
      <c r="W52" s="286">
        <v>70</v>
      </c>
      <c r="X52" s="286">
        <v>54</v>
      </c>
      <c r="Y52" s="286">
        <v>16</v>
      </c>
    </row>
    <row r="53" spans="1:25">
      <c r="A53" s="212">
        <v>376</v>
      </c>
      <c r="B53" s="212" t="s">
        <v>1642</v>
      </c>
      <c r="C53" s="212">
        <v>1</v>
      </c>
      <c r="D53" s="212" t="s">
        <v>1643</v>
      </c>
      <c r="E53" s="212" t="s">
        <v>1725</v>
      </c>
      <c r="F53" s="212">
        <v>5</v>
      </c>
      <c r="G53" s="212" t="s">
        <v>1645</v>
      </c>
      <c r="H53" s="212">
        <v>0</v>
      </c>
      <c r="I53" s="212" t="s">
        <v>1726</v>
      </c>
      <c r="J53" s="212">
        <v>171</v>
      </c>
      <c r="K53" s="286">
        <v>1663</v>
      </c>
      <c r="L53" s="286">
        <v>1435</v>
      </c>
      <c r="M53" s="286">
        <v>225</v>
      </c>
      <c r="N53" s="286">
        <v>0</v>
      </c>
      <c r="O53" s="286">
        <v>0</v>
      </c>
      <c r="P53" s="286">
        <v>0</v>
      </c>
      <c r="Q53" s="286">
        <v>9</v>
      </c>
      <c r="R53" s="286">
        <v>8</v>
      </c>
      <c r="S53" s="286">
        <v>1</v>
      </c>
      <c r="T53" s="286">
        <v>2</v>
      </c>
      <c r="U53" s="286">
        <v>1</v>
      </c>
      <c r="V53" s="286">
        <v>1</v>
      </c>
      <c r="W53" s="286">
        <v>7</v>
      </c>
      <c r="X53" s="286">
        <v>7</v>
      </c>
      <c r="Y53" s="286">
        <v>0</v>
      </c>
    </row>
    <row r="54" spans="1:25">
      <c r="A54" s="212">
        <v>385</v>
      </c>
      <c r="B54" s="212" t="s">
        <v>1642</v>
      </c>
      <c r="C54" s="212">
        <v>1</v>
      </c>
      <c r="D54" s="212" t="s">
        <v>1643</v>
      </c>
      <c r="E54" s="212" t="s">
        <v>1727</v>
      </c>
      <c r="F54" s="212">
        <v>5</v>
      </c>
      <c r="G54" s="212" t="s">
        <v>1645</v>
      </c>
      <c r="H54" s="212">
        <v>0</v>
      </c>
      <c r="I54" s="212" t="s">
        <v>1728</v>
      </c>
      <c r="J54" s="212">
        <v>1977</v>
      </c>
      <c r="K54" s="286">
        <v>15055</v>
      </c>
      <c r="L54" s="286">
        <v>11603</v>
      </c>
      <c r="M54" s="286">
        <v>3439</v>
      </c>
      <c r="N54" s="286">
        <v>26</v>
      </c>
      <c r="O54" s="286">
        <v>24</v>
      </c>
      <c r="P54" s="286">
        <v>2</v>
      </c>
      <c r="Q54" s="286">
        <v>246</v>
      </c>
      <c r="R54" s="286">
        <v>179</v>
      </c>
      <c r="S54" s="286">
        <v>67</v>
      </c>
      <c r="T54" s="286">
        <v>140</v>
      </c>
      <c r="U54" s="286">
        <v>125</v>
      </c>
      <c r="V54" s="286">
        <v>15</v>
      </c>
      <c r="W54" s="286">
        <v>106</v>
      </c>
      <c r="X54" s="286">
        <v>54</v>
      </c>
      <c r="Y54" s="286">
        <v>52</v>
      </c>
    </row>
    <row r="55" spans="1:25">
      <c r="A55" s="212">
        <v>394</v>
      </c>
      <c r="B55" s="212" t="s">
        <v>1642</v>
      </c>
      <c r="C55" s="212">
        <v>1</v>
      </c>
      <c r="D55" s="212" t="s">
        <v>1643</v>
      </c>
      <c r="E55" s="212" t="s">
        <v>1729</v>
      </c>
      <c r="F55" s="212">
        <v>5</v>
      </c>
      <c r="G55" s="212" t="s">
        <v>1645</v>
      </c>
      <c r="H55" s="212">
        <v>0</v>
      </c>
      <c r="I55" s="212" t="s">
        <v>1730</v>
      </c>
      <c r="J55" s="212">
        <v>1381</v>
      </c>
      <c r="K55" s="286">
        <v>6259</v>
      </c>
      <c r="L55" s="286">
        <v>4509</v>
      </c>
      <c r="M55" s="286">
        <v>1750</v>
      </c>
      <c r="N55" s="286">
        <v>45</v>
      </c>
      <c r="O55" s="286">
        <v>34</v>
      </c>
      <c r="P55" s="286">
        <v>11</v>
      </c>
      <c r="Q55" s="286">
        <v>41</v>
      </c>
      <c r="R55" s="286">
        <v>22</v>
      </c>
      <c r="S55" s="286">
        <v>19</v>
      </c>
      <c r="T55" s="286">
        <v>24</v>
      </c>
      <c r="U55" s="286">
        <v>21</v>
      </c>
      <c r="V55" s="286">
        <v>3</v>
      </c>
      <c r="W55" s="286">
        <v>17</v>
      </c>
      <c r="X55" s="286">
        <v>1</v>
      </c>
      <c r="Y55" s="286">
        <v>16</v>
      </c>
    </row>
    <row r="56" spans="1:25">
      <c r="A56" s="212">
        <v>403</v>
      </c>
      <c r="B56" s="212" t="s">
        <v>1642</v>
      </c>
      <c r="C56" s="212">
        <v>1</v>
      </c>
      <c r="D56" s="212" t="s">
        <v>1643</v>
      </c>
      <c r="E56" s="212" t="s">
        <v>1731</v>
      </c>
      <c r="F56" s="212">
        <v>5</v>
      </c>
      <c r="G56" s="212" t="s">
        <v>1645</v>
      </c>
      <c r="H56" s="212">
        <v>0</v>
      </c>
      <c r="I56" s="212" t="s">
        <v>1732</v>
      </c>
      <c r="J56" s="212">
        <v>1159</v>
      </c>
      <c r="K56" s="286">
        <v>5873</v>
      </c>
      <c r="L56" s="286">
        <v>4076</v>
      </c>
      <c r="M56" s="286">
        <v>1781</v>
      </c>
      <c r="N56" s="286">
        <v>5</v>
      </c>
      <c r="O56" s="286">
        <v>4</v>
      </c>
      <c r="P56" s="286">
        <v>1</v>
      </c>
      <c r="Q56" s="286">
        <v>74</v>
      </c>
      <c r="R56" s="286">
        <v>48</v>
      </c>
      <c r="S56" s="286">
        <v>26</v>
      </c>
      <c r="T56" s="286">
        <v>57</v>
      </c>
      <c r="U56" s="286">
        <v>47</v>
      </c>
      <c r="V56" s="286">
        <v>10</v>
      </c>
      <c r="W56" s="286">
        <v>17</v>
      </c>
      <c r="X56" s="286">
        <v>1</v>
      </c>
      <c r="Y56" s="286">
        <v>16</v>
      </c>
    </row>
    <row r="57" spans="1:25">
      <c r="A57" s="212">
        <v>412</v>
      </c>
      <c r="B57" s="212" t="s">
        <v>1642</v>
      </c>
      <c r="C57" s="212">
        <v>1</v>
      </c>
      <c r="D57" s="212" t="s">
        <v>1643</v>
      </c>
      <c r="E57" s="212" t="s">
        <v>1733</v>
      </c>
      <c r="F57" s="212">
        <v>4</v>
      </c>
      <c r="G57" s="212" t="s">
        <v>1645</v>
      </c>
      <c r="H57" s="212">
        <v>0</v>
      </c>
      <c r="I57" s="212" t="s">
        <v>1734</v>
      </c>
      <c r="J57" s="212">
        <v>4373</v>
      </c>
      <c r="K57" s="286">
        <v>20273</v>
      </c>
      <c r="L57" s="286">
        <v>16162</v>
      </c>
      <c r="M57" s="286">
        <v>3935</v>
      </c>
      <c r="N57" s="286">
        <v>80</v>
      </c>
      <c r="O57" s="286">
        <v>71</v>
      </c>
      <c r="P57" s="286">
        <v>9</v>
      </c>
      <c r="Q57" s="286">
        <v>339</v>
      </c>
      <c r="R57" s="286">
        <v>305</v>
      </c>
      <c r="S57" s="286">
        <v>34</v>
      </c>
      <c r="T57" s="286">
        <v>188</v>
      </c>
      <c r="U57" s="286">
        <v>172</v>
      </c>
      <c r="V57" s="286">
        <v>16</v>
      </c>
      <c r="W57" s="286">
        <v>151</v>
      </c>
      <c r="X57" s="286">
        <v>133</v>
      </c>
      <c r="Y57" s="286">
        <v>18</v>
      </c>
    </row>
    <row r="58" spans="1:25">
      <c r="A58" s="212">
        <v>421</v>
      </c>
      <c r="B58" s="212" t="s">
        <v>1642</v>
      </c>
      <c r="C58" s="212">
        <v>1</v>
      </c>
      <c r="D58" s="212" t="s">
        <v>1643</v>
      </c>
      <c r="E58" s="212" t="s">
        <v>1735</v>
      </c>
      <c r="F58" s="212">
        <v>5</v>
      </c>
      <c r="G58" s="212" t="s">
        <v>1645</v>
      </c>
      <c r="H58" s="212">
        <v>0</v>
      </c>
      <c r="I58" s="212" t="s">
        <v>1736</v>
      </c>
      <c r="J58" s="212">
        <v>9</v>
      </c>
      <c r="K58" s="286">
        <v>113</v>
      </c>
      <c r="L58" s="286">
        <v>89</v>
      </c>
      <c r="M58" s="286">
        <v>17</v>
      </c>
      <c r="N58" s="286">
        <v>0</v>
      </c>
      <c r="O58" s="286">
        <v>0</v>
      </c>
      <c r="P58" s="286">
        <v>0</v>
      </c>
      <c r="Q58" s="286">
        <v>1</v>
      </c>
      <c r="R58" s="286">
        <v>0</v>
      </c>
      <c r="S58" s="286">
        <v>1</v>
      </c>
      <c r="T58" s="286">
        <v>0</v>
      </c>
      <c r="U58" s="286">
        <v>0</v>
      </c>
      <c r="V58" s="286">
        <v>0</v>
      </c>
      <c r="W58" s="286">
        <v>1</v>
      </c>
      <c r="X58" s="286">
        <v>0</v>
      </c>
      <c r="Y58" s="286">
        <v>1</v>
      </c>
    </row>
    <row r="59" spans="1:25">
      <c r="A59" s="212">
        <v>430</v>
      </c>
      <c r="B59" s="212" t="s">
        <v>1642</v>
      </c>
      <c r="C59" s="212">
        <v>1</v>
      </c>
      <c r="D59" s="212" t="s">
        <v>1643</v>
      </c>
      <c r="E59" s="212" t="s">
        <v>1737</v>
      </c>
      <c r="F59" s="212">
        <v>5</v>
      </c>
      <c r="G59" s="212" t="s">
        <v>1645</v>
      </c>
      <c r="H59" s="212">
        <v>0</v>
      </c>
      <c r="I59" s="212" t="s">
        <v>1738</v>
      </c>
      <c r="J59" s="212">
        <v>558</v>
      </c>
      <c r="K59" s="286">
        <v>1592</v>
      </c>
      <c r="L59" s="286">
        <v>1283</v>
      </c>
      <c r="M59" s="286">
        <v>301</v>
      </c>
      <c r="N59" s="286">
        <v>2</v>
      </c>
      <c r="O59" s="286">
        <v>2</v>
      </c>
      <c r="P59" s="286">
        <v>0</v>
      </c>
      <c r="Q59" s="286">
        <v>4</v>
      </c>
      <c r="R59" s="286">
        <v>4</v>
      </c>
      <c r="S59" s="286">
        <v>0</v>
      </c>
      <c r="T59" s="286">
        <v>4</v>
      </c>
      <c r="U59" s="286">
        <v>4</v>
      </c>
      <c r="V59" s="286">
        <v>0</v>
      </c>
      <c r="W59" s="286">
        <v>0</v>
      </c>
      <c r="X59" s="286">
        <v>0</v>
      </c>
      <c r="Y59" s="286">
        <v>0</v>
      </c>
    </row>
    <row r="60" spans="1:25">
      <c r="A60" s="212">
        <v>439</v>
      </c>
      <c r="B60" s="212" t="s">
        <v>1642</v>
      </c>
      <c r="C60" s="212">
        <v>1</v>
      </c>
      <c r="D60" s="212" t="s">
        <v>1643</v>
      </c>
      <c r="E60" s="212" t="s">
        <v>1739</v>
      </c>
      <c r="F60" s="212">
        <v>5</v>
      </c>
      <c r="G60" s="212" t="s">
        <v>1645</v>
      </c>
      <c r="H60" s="212">
        <v>0</v>
      </c>
      <c r="I60" s="212" t="s">
        <v>1740</v>
      </c>
      <c r="J60" s="212">
        <v>475</v>
      </c>
      <c r="K60" s="286">
        <v>3343</v>
      </c>
      <c r="L60" s="286">
        <v>2735</v>
      </c>
      <c r="M60" s="286">
        <v>594</v>
      </c>
      <c r="N60" s="286">
        <v>6</v>
      </c>
      <c r="O60" s="286">
        <v>6</v>
      </c>
      <c r="P60" s="286">
        <v>0</v>
      </c>
      <c r="Q60" s="286">
        <v>90</v>
      </c>
      <c r="R60" s="286">
        <v>89</v>
      </c>
      <c r="S60" s="286">
        <v>1</v>
      </c>
      <c r="T60" s="286">
        <v>69</v>
      </c>
      <c r="U60" s="286">
        <v>69</v>
      </c>
      <c r="V60" s="286">
        <v>0</v>
      </c>
      <c r="W60" s="286">
        <v>21</v>
      </c>
      <c r="X60" s="286">
        <v>20</v>
      </c>
      <c r="Y60" s="286">
        <v>1</v>
      </c>
    </row>
    <row r="61" spans="1:25">
      <c r="A61" s="212">
        <v>448</v>
      </c>
      <c r="B61" s="212" t="s">
        <v>1642</v>
      </c>
      <c r="C61" s="212">
        <v>1</v>
      </c>
      <c r="D61" s="212" t="s">
        <v>1643</v>
      </c>
      <c r="E61" s="212" t="s">
        <v>1741</v>
      </c>
      <c r="F61" s="212">
        <v>5</v>
      </c>
      <c r="G61" s="212" t="s">
        <v>1645</v>
      </c>
      <c r="H61" s="212">
        <v>0</v>
      </c>
      <c r="I61" s="212" t="s">
        <v>1742</v>
      </c>
      <c r="J61" s="212">
        <v>239</v>
      </c>
      <c r="K61" s="286">
        <v>1915</v>
      </c>
      <c r="L61" s="286">
        <v>1604</v>
      </c>
      <c r="M61" s="286">
        <v>295</v>
      </c>
      <c r="N61" s="286">
        <v>10</v>
      </c>
      <c r="O61" s="286">
        <v>10</v>
      </c>
      <c r="P61" s="286">
        <v>0</v>
      </c>
      <c r="Q61" s="286">
        <v>17</v>
      </c>
      <c r="R61" s="286">
        <v>16</v>
      </c>
      <c r="S61" s="286">
        <v>1</v>
      </c>
      <c r="T61" s="286">
        <v>11</v>
      </c>
      <c r="U61" s="286">
        <v>11</v>
      </c>
      <c r="V61" s="286">
        <v>0</v>
      </c>
      <c r="W61" s="286">
        <v>6</v>
      </c>
      <c r="X61" s="286">
        <v>5</v>
      </c>
      <c r="Y61" s="286">
        <v>1</v>
      </c>
    </row>
    <row r="62" spans="1:25">
      <c r="A62" s="212">
        <v>457</v>
      </c>
      <c r="B62" s="212" t="s">
        <v>1642</v>
      </c>
      <c r="C62" s="212">
        <v>1</v>
      </c>
      <c r="D62" s="212" t="s">
        <v>1643</v>
      </c>
      <c r="E62" s="212" t="s">
        <v>1743</v>
      </c>
      <c r="F62" s="212">
        <v>5</v>
      </c>
      <c r="G62" s="212" t="s">
        <v>1645</v>
      </c>
      <c r="H62" s="212">
        <v>0</v>
      </c>
      <c r="I62" s="212" t="s">
        <v>1744</v>
      </c>
      <c r="J62" s="212">
        <v>199</v>
      </c>
      <c r="K62" s="286">
        <v>793</v>
      </c>
      <c r="L62" s="286">
        <v>635</v>
      </c>
      <c r="M62" s="286">
        <v>158</v>
      </c>
      <c r="N62" s="286">
        <v>0</v>
      </c>
      <c r="O62" s="286">
        <v>0</v>
      </c>
      <c r="P62" s="286">
        <v>0</v>
      </c>
      <c r="Q62" s="286">
        <v>2</v>
      </c>
      <c r="R62" s="286">
        <v>0</v>
      </c>
      <c r="S62" s="286">
        <v>2</v>
      </c>
      <c r="T62" s="286">
        <v>0</v>
      </c>
      <c r="U62" s="286">
        <v>0</v>
      </c>
      <c r="V62" s="286">
        <v>0</v>
      </c>
      <c r="W62" s="286">
        <v>2</v>
      </c>
      <c r="X62" s="286">
        <v>0</v>
      </c>
      <c r="Y62" s="286">
        <v>2</v>
      </c>
    </row>
    <row r="63" spans="1:25">
      <c r="A63" s="212">
        <v>466</v>
      </c>
      <c r="B63" s="212" t="s">
        <v>1642</v>
      </c>
      <c r="C63" s="212">
        <v>1</v>
      </c>
      <c r="D63" s="212" t="s">
        <v>1643</v>
      </c>
      <c r="E63" s="212" t="s">
        <v>1745</v>
      </c>
      <c r="F63" s="212">
        <v>5</v>
      </c>
      <c r="G63" s="212" t="s">
        <v>1645</v>
      </c>
      <c r="H63" s="212">
        <v>0</v>
      </c>
      <c r="I63" s="212" t="s">
        <v>1746</v>
      </c>
      <c r="J63" s="212">
        <v>416</v>
      </c>
      <c r="K63" s="286">
        <v>1214</v>
      </c>
      <c r="L63" s="286">
        <v>1046</v>
      </c>
      <c r="M63" s="286">
        <v>168</v>
      </c>
      <c r="N63" s="286">
        <v>1</v>
      </c>
      <c r="O63" s="286">
        <v>1</v>
      </c>
      <c r="P63" s="286">
        <v>0</v>
      </c>
      <c r="Q63" s="286">
        <v>63</v>
      </c>
      <c r="R63" s="286">
        <v>63</v>
      </c>
      <c r="S63" s="286">
        <v>0</v>
      </c>
      <c r="T63" s="286">
        <v>13</v>
      </c>
      <c r="U63" s="286">
        <v>13</v>
      </c>
      <c r="V63" s="286">
        <v>0</v>
      </c>
      <c r="W63" s="286">
        <v>50</v>
      </c>
      <c r="X63" s="286">
        <v>50</v>
      </c>
      <c r="Y63" s="286">
        <v>0</v>
      </c>
    </row>
    <row r="64" spans="1:25">
      <c r="A64" s="212">
        <v>475</v>
      </c>
      <c r="B64" s="212" t="s">
        <v>1642</v>
      </c>
      <c r="C64" s="212">
        <v>1</v>
      </c>
      <c r="D64" s="212" t="s">
        <v>1643</v>
      </c>
      <c r="E64" s="212" t="s">
        <v>1747</v>
      </c>
      <c r="F64" s="212">
        <v>5</v>
      </c>
      <c r="G64" s="212" t="s">
        <v>1645</v>
      </c>
      <c r="H64" s="212">
        <v>0</v>
      </c>
      <c r="I64" s="212" t="s">
        <v>1748</v>
      </c>
      <c r="J64" s="212">
        <v>363</v>
      </c>
      <c r="K64" s="286">
        <v>1284</v>
      </c>
      <c r="L64" s="286">
        <v>1028</v>
      </c>
      <c r="M64" s="286">
        <v>249</v>
      </c>
      <c r="N64" s="286">
        <v>1</v>
      </c>
      <c r="O64" s="286">
        <v>1</v>
      </c>
      <c r="P64" s="286">
        <v>0</v>
      </c>
      <c r="Q64" s="286">
        <v>21</v>
      </c>
      <c r="R64" s="286">
        <v>21</v>
      </c>
      <c r="S64" s="286">
        <v>0</v>
      </c>
      <c r="T64" s="286">
        <v>20</v>
      </c>
      <c r="U64" s="286">
        <v>20</v>
      </c>
      <c r="V64" s="286">
        <v>0</v>
      </c>
      <c r="W64" s="286">
        <v>1</v>
      </c>
      <c r="X64" s="286">
        <v>1</v>
      </c>
      <c r="Y64" s="286">
        <v>0</v>
      </c>
    </row>
    <row r="65" spans="1:25">
      <c r="A65" s="212">
        <v>484</v>
      </c>
      <c r="B65" s="212" t="s">
        <v>1642</v>
      </c>
      <c r="C65" s="212">
        <v>1</v>
      </c>
      <c r="D65" s="212" t="s">
        <v>1643</v>
      </c>
      <c r="E65" s="212" t="s">
        <v>1749</v>
      </c>
      <c r="F65" s="212">
        <v>5</v>
      </c>
      <c r="G65" s="212" t="s">
        <v>1645</v>
      </c>
      <c r="H65" s="212">
        <v>0</v>
      </c>
      <c r="I65" s="212" t="s">
        <v>1750</v>
      </c>
      <c r="J65" s="212">
        <v>620</v>
      </c>
      <c r="K65" s="286">
        <v>2823</v>
      </c>
      <c r="L65" s="286">
        <v>2240</v>
      </c>
      <c r="M65" s="286">
        <v>565</v>
      </c>
      <c r="N65" s="286">
        <v>32</v>
      </c>
      <c r="O65" s="286">
        <v>26</v>
      </c>
      <c r="P65" s="286">
        <v>6</v>
      </c>
      <c r="Q65" s="286">
        <v>42</v>
      </c>
      <c r="R65" s="286">
        <v>41</v>
      </c>
      <c r="S65" s="286">
        <v>1</v>
      </c>
      <c r="T65" s="286">
        <v>19</v>
      </c>
      <c r="U65" s="286">
        <v>18</v>
      </c>
      <c r="V65" s="286">
        <v>1</v>
      </c>
      <c r="W65" s="286">
        <v>23</v>
      </c>
      <c r="X65" s="286">
        <v>23</v>
      </c>
      <c r="Y65" s="286">
        <v>0</v>
      </c>
    </row>
    <row r="66" spans="1:25">
      <c r="A66" s="212">
        <v>493</v>
      </c>
      <c r="B66" s="212" t="s">
        <v>1642</v>
      </c>
      <c r="C66" s="212">
        <v>1</v>
      </c>
      <c r="D66" s="212" t="s">
        <v>1643</v>
      </c>
      <c r="E66" s="212" t="s">
        <v>1751</v>
      </c>
      <c r="F66" s="212">
        <v>5</v>
      </c>
      <c r="G66" s="212" t="s">
        <v>1645</v>
      </c>
      <c r="H66" s="212">
        <v>0</v>
      </c>
      <c r="I66" s="212" t="s">
        <v>1752</v>
      </c>
      <c r="J66" s="212">
        <v>607</v>
      </c>
      <c r="K66" s="286">
        <v>2460</v>
      </c>
      <c r="L66" s="286">
        <v>1808</v>
      </c>
      <c r="M66" s="286">
        <v>638</v>
      </c>
      <c r="N66" s="286">
        <v>22</v>
      </c>
      <c r="O66" s="286">
        <v>20</v>
      </c>
      <c r="P66" s="286">
        <v>2</v>
      </c>
      <c r="Q66" s="286">
        <v>24</v>
      </c>
      <c r="R66" s="286">
        <v>19</v>
      </c>
      <c r="S66" s="286">
        <v>5</v>
      </c>
      <c r="T66" s="286">
        <v>5</v>
      </c>
      <c r="U66" s="286">
        <v>4</v>
      </c>
      <c r="V66" s="286">
        <v>1</v>
      </c>
      <c r="W66" s="286">
        <v>19</v>
      </c>
      <c r="X66" s="286">
        <v>15</v>
      </c>
      <c r="Y66" s="286">
        <v>4</v>
      </c>
    </row>
    <row r="67" spans="1:25">
      <c r="A67" s="212">
        <v>502</v>
      </c>
      <c r="B67" s="212" t="s">
        <v>1642</v>
      </c>
      <c r="C67" s="212">
        <v>1</v>
      </c>
      <c r="D67" s="212" t="s">
        <v>1643</v>
      </c>
      <c r="E67" s="212" t="s">
        <v>1753</v>
      </c>
      <c r="F67" s="212">
        <v>5</v>
      </c>
      <c r="G67" s="212" t="s">
        <v>1645</v>
      </c>
      <c r="H67" s="212">
        <v>0</v>
      </c>
      <c r="I67" s="212" t="s">
        <v>1754</v>
      </c>
      <c r="J67" s="212">
        <v>887</v>
      </c>
      <c r="K67" s="286">
        <v>4736</v>
      </c>
      <c r="L67" s="286">
        <v>3694</v>
      </c>
      <c r="M67" s="286">
        <v>950</v>
      </c>
      <c r="N67" s="286">
        <v>6</v>
      </c>
      <c r="O67" s="286">
        <v>5</v>
      </c>
      <c r="P67" s="286">
        <v>1</v>
      </c>
      <c r="Q67" s="286">
        <v>75</v>
      </c>
      <c r="R67" s="286">
        <v>52</v>
      </c>
      <c r="S67" s="286">
        <v>23</v>
      </c>
      <c r="T67" s="286">
        <v>47</v>
      </c>
      <c r="U67" s="286">
        <v>33</v>
      </c>
      <c r="V67" s="286">
        <v>14</v>
      </c>
      <c r="W67" s="286">
        <v>28</v>
      </c>
      <c r="X67" s="286">
        <v>19</v>
      </c>
      <c r="Y67" s="286">
        <v>9</v>
      </c>
    </row>
    <row r="68" spans="1:25">
      <c r="A68" s="212">
        <v>511</v>
      </c>
      <c r="B68" s="212" t="s">
        <v>1642</v>
      </c>
      <c r="C68" s="212">
        <v>1</v>
      </c>
      <c r="D68" s="212" t="s">
        <v>1643</v>
      </c>
      <c r="E68" s="212" t="s">
        <v>1755</v>
      </c>
      <c r="F68" s="212">
        <v>4</v>
      </c>
      <c r="G68" s="212" t="s">
        <v>1645</v>
      </c>
      <c r="H68" s="212">
        <v>0</v>
      </c>
      <c r="I68" s="212" t="s">
        <v>1756</v>
      </c>
      <c r="J68" s="212">
        <v>4347</v>
      </c>
      <c r="K68" s="286">
        <v>32969</v>
      </c>
      <c r="L68" s="286">
        <v>27311</v>
      </c>
      <c r="M68" s="286">
        <v>5535</v>
      </c>
      <c r="N68" s="286">
        <v>244</v>
      </c>
      <c r="O68" s="286">
        <v>218</v>
      </c>
      <c r="P68" s="286">
        <v>26</v>
      </c>
      <c r="Q68" s="286">
        <v>899</v>
      </c>
      <c r="R68" s="286">
        <v>699</v>
      </c>
      <c r="S68" s="286">
        <v>200</v>
      </c>
      <c r="T68" s="286">
        <v>492</v>
      </c>
      <c r="U68" s="286">
        <v>479</v>
      </c>
      <c r="V68" s="286">
        <v>13</v>
      </c>
      <c r="W68" s="286">
        <v>390</v>
      </c>
      <c r="X68" s="286">
        <v>209</v>
      </c>
      <c r="Y68" s="286">
        <v>181</v>
      </c>
    </row>
    <row r="69" spans="1:25">
      <c r="A69" s="212">
        <v>520</v>
      </c>
      <c r="B69" s="212" t="s">
        <v>1642</v>
      </c>
      <c r="C69" s="212">
        <v>1</v>
      </c>
      <c r="D69" s="212" t="s">
        <v>1643</v>
      </c>
      <c r="E69" s="212" t="s">
        <v>1757</v>
      </c>
      <c r="F69" s="212">
        <v>5</v>
      </c>
      <c r="G69" s="212" t="s">
        <v>1645</v>
      </c>
      <c r="H69" s="212">
        <v>0</v>
      </c>
      <c r="I69" s="212" t="s">
        <v>1758</v>
      </c>
      <c r="J69" s="212">
        <v>14</v>
      </c>
      <c r="K69" s="286">
        <v>67</v>
      </c>
      <c r="L69" s="286">
        <v>45</v>
      </c>
      <c r="M69" s="286">
        <v>22</v>
      </c>
      <c r="N69" s="286">
        <v>3</v>
      </c>
      <c r="O69" s="286">
        <v>3</v>
      </c>
      <c r="P69" s="286">
        <v>0</v>
      </c>
      <c r="Q69" s="286">
        <v>2</v>
      </c>
      <c r="R69" s="286">
        <v>0</v>
      </c>
      <c r="S69" s="286">
        <v>2</v>
      </c>
      <c r="T69" s="286">
        <v>0</v>
      </c>
      <c r="U69" s="286">
        <v>0</v>
      </c>
      <c r="V69" s="286">
        <v>0</v>
      </c>
      <c r="W69" s="286">
        <v>2</v>
      </c>
      <c r="X69" s="286">
        <v>0</v>
      </c>
      <c r="Y69" s="286">
        <v>2</v>
      </c>
    </row>
    <row r="70" spans="1:25">
      <c r="A70" s="212">
        <v>529</v>
      </c>
      <c r="B70" s="212" t="s">
        <v>1642</v>
      </c>
      <c r="C70" s="212">
        <v>1</v>
      </c>
      <c r="D70" s="212" t="s">
        <v>1643</v>
      </c>
      <c r="E70" s="212" t="s">
        <v>1759</v>
      </c>
      <c r="F70" s="212">
        <v>5</v>
      </c>
      <c r="G70" s="212" t="s">
        <v>1645</v>
      </c>
      <c r="H70" s="212">
        <v>0</v>
      </c>
      <c r="I70" s="212" t="s">
        <v>1760</v>
      </c>
      <c r="J70" s="212">
        <v>1893</v>
      </c>
      <c r="K70" s="286">
        <v>11902</v>
      </c>
      <c r="L70" s="286">
        <v>9775</v>
      </c>
      <c r="M70" s="286">
        <v>2104</v>
      </c>
      <c r="N70" s="286">
        <v>49</v>
      </c>
      <c r="O70" s="286">
        <v>45</v>
      </c>
      <c r="P70" s="286">
        <v>4</v>
      </c>
      <c r="Q70" s="286">
        <v>272</v>
      </c>
      <c r="R70" s="286">
        <v>237</v>
      </c>
      <c r="S70" s="286">
        <v>35</v>
      </c>
      <c r="T70" s="286">
        <v>210</v>
      </c>
      <c r="U70" s="286">
        <v>207</v>
      </c>
      <c r="V70" s="286">
        <v>3</v>
      </c>
      <c r="W70" s="286">
        <v>62</v>
      </c>
      <c r="X70" s="286">
        <v>30</v>
      </c>
      <c r="Y70" s="286">
        <v>32</v>
      </c>
    </row>
    <row r="71" spans="1:25">
      <c r="A71" s="212">
        <v>538</v>
      </c>
      <c r="B71" s="212" t="s">
        <v>1642</v>
      </c>
      <c r="C71" s="212">
        <v>1</v>
      </c>
      <c r="D71" s="212" t="s">
        <v>1643</v>
      </c>
      <c r="E71" s="212" t="s">
        <v>1761</v>
      </c>
      <c r="F71" s="212">
        <v>5</v>
      </c>
      <c r="G71" s="212" t="s">
        <v>1645</v>
      </c>
      <c r="H71" s="212">
        <v>0</v>
      </c>
      <c r="I71" s="212" t="s">
        <v>1762</v>
      </c>
      <c r="J71" s="212">
        <v>271</v>
      </c>
      <c r="K71" s="286">
        <v>2476</v>
      </c>
      <c r="L71" s="286">
        <v>2093</v>
      </c>
      <c r="M71" s="286">
        <v>354</v>
      </c>
      <c r="N71" s="286">
        <v>28</v>
      </c>
      <c r="O71" s="286">
        <v>27</v>
      </c>
      <c r="P71" s="286">
        <v>1</v>
      </c>
      <c r="Q71" s="286">
        <v>80</v>
      </c>
      <c r="R71" s="286">
        <v>49</v>
      </c>
      <c r="S71" s="286">
        <v>31</v>
      </c>
      <c r="T71" s="286">
        <v>38</v>
      </c>
      <c r="U71" s="286">
        <v>36</v>
      </c>
      <c r="V71" s="286">
        <v>2</v>
      </c>
      <c r="W71" s="286">
        <v>42</v>
      </c>
      <c r="X71" s="286">
        <v>13</v>
      </c>
      <c r="Y71" s="286">
        <v>29</v>
      </c>
    </row>
    <row r="72" spans="1:25">
      <c r="A72" s="212">
        <v>547</v>
      </c>
      <c r="B72" s="212" t="s">
        <v>1642</v>
      </c>
      <c r="C72" s="212">
        <v>1</v>
      </c>
      <c r="D72" s="212" t="s">
        <v>1643</v>
      </c>
      <c r="E72" s="212" t="s">
        <v>1763</v>
      </c>
      <c r="F72" s="212">
        <v>5</v>
      </c>
      <c r="G72" s="212" t="s">
        <v>1645</v>
      </c>
      <c r="H72" s="212">
        <v>0</v>
      </c>
      <c r="I72" s="212" t="s">
        <v>1764</v>
      </c>
      <c r="J72" s="212">
        <v>1545</v>
      </c>
      <c r="K72" s="286">
        <v>9360</v>
      </c>
      <c r="L72" s="286">
        <v>7388</v>
      </c>
      <c r="M72" s="286">
        <v>1944</v>
      </c>
      <c r="N72" s="286">
        <v>64</v>
      </c>
      <c r="O72" s="286">
        <v>62</v>
      </c>
      <c r="P72" s="286">
        <v>2</v>
      </c>
      <c r="Q72" s="286">
        <v>128</v>
      </c>
      <c r="R72" s="286">
        <v>92</v>
      </c>
      <c r="S72" s="286">
        <v>36</v>
      </c>
      <c r="T72" s="286">
        <v>69</v>
      </c>
      <c r="U72" s="286">
        <v>67</v>
      </c>
      <c r="V72" s="286">
        <v>2</v>
      </c>
      <c r="W72" s="286">
        <v>59</v>
      </c>
      <c r="X72" s="286">
        <v>25</v>
      </c>
      <c r="Y72" s="286">
        <v>34</v>
      </c>
    </row>
    <row r="73" spans="1:25">
      <c r="A73" s="212">
        <v>556</v>
      </c>
      <c r="B73" s="212" t="s">
        <v>1642</v>
      </c>
      <c r="C73" s="212">
        <v>1</v>
      </c>
      <c r="D73" s="212" t="s">
        <v>1643</v>
      </c>
      <c r="E73" s="212" t="s">
        <v>1765</v>
      </c>
      <c r="F73" s="212">
        <v>5</v>
      </c>
      <c r="G73" s="212" t="s">
        <v>1645</v>
      </c>
      <c r="H73" s="212">
        <v>0</v>
      </c>
      <c r="I73" s="212" t="s">
        <v>1766</v>
      </c>
      <c r="J73" s="212">
        <v>441</v>
      </c>
      <c r="K73" s="286">
        <v>6786</v>
      </c>
      <c r="L73" s="286">
        <v>5953</v>
      </c>
      <c r="M73" s="286">
        <v>790</v>
      </c>
      <c r="N73" s="286">
        <v>67</v>
      </c>
      <c r="O73" s="286">
        <v>49</v>
      </c>
      <c r="P73" s="286">
        <v>18</v>
      </c>
      <c r="Q73" s="286">
        <v>305</v>
      </c>
      <c r="R73" s="286">
        <v>262</v>
      </c>
      <c r="S73" s="286">
        <v>43</v>
      </c>
      <c r="T73" s="286">
        <v>164</v>
      </c>
      <c r="U73" s="286">
        <v>160</v>
      </c>
      <c r="V73" s="286">
        <v>4</v>
      </c>
      <c r="W73" s="286">
        <v>141</v>
      </c>
      <c r="X73" s="286">
        <v>102</v>
      </c>
      <c r="Y73" s="286">
        <v>39</v>
      </c>
    </row>
    <row r="74" spans="1:25">
      <c r="A74" s="212">
        <v>565</v>
      </c>
      <c r="B74" s="212" t="s">
        <v>1642</v>
      </c>
      <c r="C74" s="212">
        <v>1</v>
      </c>
      <c r="D74" s="212" t="s">
        <v>1643</v>
      </c>
      <c r="E74" s="212" t="s">
        <v>1767</v>
      </c>
      <c r="F74" s="212">
        <v>5</v>
      </c>
      <c r="G74" s="212" t="s">
        <v>1645</v>
      </c>
      <c r="H74" s="212">
        <v>0</v>
      </c>
      <c r="I74" s="212" t="s">
        <v>1768</v>
      </c>
      <c r="J74" s="212">
        <v>183</v>
      </c>
      <c r="K74" s="286">
        <v>2378</v>
      </c>
      <c r="L74" s="286">
        <v>2057</v>
      </c>
      <c r="M74" s="286">
        <v>321</v>
      </c>
      <c r="N74" s="286">
        <v>33</v>
      </c>
      <c r="O74" s="286">
        <v>32</v>
      </c>
      <c r="P74" s="286">
        <v>1</v>
      </c>
      <c r="Q74" s="286">
        <v>112</v>
      </c>
      <c r="R74" s="286">
        <v>59</v>
      </c>
      <c r="S74" s="286">
        <v>53</v>
      </c>
      <c r="T74" s="286">
        <v>11</v>
      </c>
      <c r="U74" s="286">
        <v>9</v>
      </c>
      <c r="V74" s="286">
        <v>2</v>
      </c>
      <c r="W74" s="286">
        <v>84</v>
      </c>
      <c r="X74" s="286">
        <v>39</v>
      </c>
      <c r="Y74" s="286">
        <v>45</v>
      </c>
    </row>
    <row r="75" spans="1:25">
      <c r="A75" s="212">
        <v>574</v>
      </c>
      <c r="B75" s="212" t="s">
        <v>1642</v>
      </c>
      <c r="C75" s="212">
        <v>1</v>
      </c>
      <c r="D75" s="212" t="s">
        <v>1643</v>
      </c>
      <c r="E75" s="212" t="s">
        <v>1769</v>
      </c>
      <c r="F75" s="212">
        <v>2</v>
      </c>
      <c r="G75" s="212" t="s">
        <v>1645</v>
      </c>
      <c r="H75" s="212">
        <v>0</v>
      </c>
      <c r="I75" s="212" t="s">
        <v>1770</v>
      </c>
      <c r="J75" s="212">
        <v>18155</v>
      </c>
      <c r="K75" s="286">
        <v>404201</v>
      </c>
      <c r="L75" s="286">
        <v>289166</v>
      </c>
      <c r="M75" s="286">
        <v>114619</v>
      </c>
      <c r="N75" s="286">
        <v>8717</v>
      </c>
      <c r="O75" s="286">
        <v>7964</v>
      </c>
      <c r="P75" s="286">
        <v>753</v>
      </c>
      <c r="Q75" s="286">
        <v>36315</v>
      </c>
      <c r="R75" s="286">
        <v>26076</v>
      </c>
      <c r="S75" s="286">
        <v>10239</v>
      </c>
      <c r="T75" s="286">
        <v>12389</v>
      </c>
      <c r="U75" s="286">
        <v>11236</v>
      </c>
      <c r="V75" s="286">
        <v>1153</v>
      </c>
      <c r="W75" s="286">
        <v>23859</v>
      </c>
      <c r="X75" s="286">
        <v>14812</v>
      </c>
      <c r="Y75" s="286">
        <v>9047</v>
      </c>
    </row>
    <row r="76" spans="1:25">
      <c r="A76" s="212">
        <v>583</v>
      </c>
      <c r="B76" s="212" t="s">
        <v>1642</v>
      </c>
      <c r="C76" s="212">
        <v>1</v>
      </c>
      <c r="D76" s="212" t="s">
        <v>1643</v>
      </c>
      <c r="E76" s="212" t="s">
        <v>1771</v>
      </c>
      <c r="F76" s="212">
        <v>4</v>
      </c>
      <c r="G76" s="212" t="s">
        <v>1645</v>
      </c>
      <c r="H76" s="212">
        <v>0</v>
      </c>
      <c r="I76" s="212" t="s">
        <v>1772</v>
      </c>
      <c r="J76" s="212">
        <v>2261</v>
      </c>
      <c r="K76" s="286">
        <v>64436</v>
      </c>
      <c r="L76" s="286">
        <v>29741</v>
      </c>
      <c r="M76" s="286">
        <v>34666</v>
      </c>
      <c r="N76" s="286">
        <v>160</v>
      </c>
      <c r="O76" s="286">
        <v>108</v>
      </c>
      <c r="P76" s="286">
        <v>52</v>
      </c>
      <c r="Q76" s="286">
        <v>4855</v>
      </c>
      <c r="R76" s="286">
        <v>2591</v>
      </c>
      <c r="S76" s="286">
        <v>2264</v>
      </c>
      <c r="T76" s="286">
        <v>760</v>
      </c>
      <c r="U76" s="286">
        <v>621</v>
      </c>
      <c r="V76" s="286">
        <v>139</v>
      </c>
      <c r="W76" s="286">
        <v>4091</v>
      </c>
      <c r="X76" s="286">
        <v>1969</v>
      </c>
      <c r="Y76" s="286">
        <v>2122</v>
      </c>
    </row>
    <row r="77" spans="1:25">
      <c r="A77" s="212">
        <v>592</v>
      </c>
      <c r="B77" s="212" t="s">
        <v>1642</v>
      </c>
      <c r="C77" s="212">
        <v>1</v>
      </c>
      <c r="D77" s="212" t="s">
        <v>1643</v>
      </c>
      <c r="E77" s="212" t="s">
        <v>1773</v>
      </c>
      <c r="F77" s="212">
        <v>5</v>
      </c>
      <c r="G77" s="212" t="s">
        <v>1645</v>
      </c>
      <c r="H77" s="212">
        <v>0</v>
      </c>
      <c r="I77" s="212" t="s">
        <v>1774</v>
      </c>
      <c r="J77" s="212">
        <v>36</v>
      </c>
      <c r="K77" s="286">
        <v>1355</v>
      </c>
      <c r="L77" s="286">
        <v>542</v>
      </c>
      <c r="M77" s="286">
        <v>813</v>
      </c>
      <c r="N77" s="286">
        <v>38</v>
      </c>
      <c r="O77" s="286">
        <v>28</v>
      </c>
      <c r="P77" s="286">
        <v>10</v>
      </c>
      <c r="Q77" s="286">
        <v>19</v>
      </c>
      <c r="R77" s="286">
        <v>17</v>
      </c>
      <c r="S77" s="286">
        <v>2</v>
      </c>
      <c r="T77" s="286">
        <v>16</v>
      </c>
      <c r="U77" s="286">
        <v>15</v>
      </c>
      <c r="V77" s="286">
        <v>1</v>
      </c>
      <c r="W77" s="286">
        <v>3</v>
      </c>
      <c r="X77" s="286">
        <v>2</v>
      </c>
      <c r="Y77" s="286">
        <v>1</v>
      </c>
    </row>
    <row r="78" spans="1:25">
      <c r="A78" s="212">
        <v>601</v>
      </c>
      <c r="B78" s="212" t="s">
        <v>1642</v>
      </c>
      <c r="C78" s="212">
        <v>1</v>
      </c>
      <c r="D78" s="212" t="s">
        <v>1643</v>
      </c>
      <c r="E78" s="212" t="s">
        <v>1775</v>
      </c>
      <c r="F78" s="212">
        <v>5</v>
      </c>
      <c r="G78" s="212" t="s">
        <v>1645</v>
      </c>
      <c r="H78" s="212">
        <v>0</v>
      </c>
      <c r="I78" s="212" t="s">
        <v>1776</v>
      </c>
      <c r="J78" s="212">
        <v>148</v>
      </c>
      <c r="K78" s="286">
        <v>8010</v>
      </c>
      <c r="L78" s="286">
        <v>4478</v>
      </c>
      <c r="M78" s="286">
        <v>3515</v>
      </c>
      <c r="N78" s="286">
        <v>13</v>
      </c>
      <c r="O78" s="286">
        <v>11</v>
      </c>
      <c r="P78" s="286">
        <v>2</v>
      </c>
      <c r="Q78" s="286">
        <v>600</v>
      </c>
      <c r="R78" s="286">
        <v>405</v>
      </c>
      <c r="S78" s="286">
        <v>195</v>
      </c>
      <c r="T78" s="286">
        <v>158</v>
      </c>
      <c r="U78" s="286">
        <v>136</v>
      </c>
      <c r="V78" s="286">
        <v>22</v>
      </c>
      <c r="W78" s="286">
        <v>442</v>
      </c>
      <c r="X78" s="286">
        <v>269</v>
      </c>
      <c r="Y78" s="286">
        <v>173</v>
      </c>
    </row>
    <row r="79" spans="1:25">
      <c r="A79" s="212">
        <v>610</v>
      </c>
      <c r="B79" s="212" t="s">
        <v>1642</v>
      </c>
      <c r="C79" s="212">
        <v>1</v>
      </c>
      <c r="D79" s="212" t="s">
        <v>1643</v>
      </c>
      <c r="E79" s="212" t="s">
        <v>1777</v>
      </c>
      <c r="F79" s="212">
        <v>5</v>
      </c>
      <c r="G79" s="212" t="s">
        <v>1645</v>
      </c>
      <c r="H79" s="212">
        <v>0</v>
      </c>
      <c r="I79" s="212" t="s">
        <v>1778</v>
      </c>
      <c r="J79" s="212">
        <v>426</v>
      </c>
      <c r="K79" s="286">
        <v>7121</v>
      </c>
      <c r="L79" s="286">
        <v>3364</v>
      </c>
      <c r="M79" s="286">
        <v>3754</v>
      </c>
      <c r="N79" s="286">
        <v>15</v>
      </c>
      <c r="O79" s="286">
        <v>11</v>
      </c>
      <c r="P79" s="286">
        <v>4</v>
      </c>
      <c r="Q79" s="286">
        <v>236</v>
      </c>
      <c r="R79" s="286">
        <v>102</v>
      </c>
      <c r="S79" s="286">
        <v>134</v>
      </c>
      <c r="T79" s="286">
        <v>8</v>
      </c>
      <c r="U79" s="286">
        <v>5</v>
      </c>
      <c r="V79" s="286">
        <v>3</v>
      </c>
      <c r="W79" s="286">
        <v>228</v>
      </c>
      <c r="X79" s="286">
        <v>97</v>
      </c>
      <c r="Y79" s="286">
        <v>131</v>
      </c>
    </row>
    <row r="80" spans="1:25">
      <c r="A80" s="212">
        <v>619</v>
      </c>
      <c r="B80" s="212" t="s">
        <v>1642</v>
      </c>
      <c r="C80" s="212">
        <v>1</v>
      </c>
      <c r="D80" s="212" t="s">
        <v>1643</v>
      </c>
      <c r="E80" s="212" t="s">
        <v>1779</v>
      </c>
      <c r="F80" s="212">
        <v>5</v>
      </c>
      <c r="G80" s="212" t="s">
        <v>1645</v>
      </c>
      <c r="H80" s="212">
        <v>0</v>
      </c>
      <c r="I80" s="212" t="s">
        <v>1780</v>
      </c>
      <c r="J80" s="212">
        <v>60</v>
      </c>
      <c r="K80" s="286">
        <v>1493</v>
      </c>
      <c r="L80" s="286">
        <v>593</v>
      </c>
      <c r="M80" s="286">
        <v>900</v>
      </c>
      <c r="N80" s="286">
        <v>1</v>
      </c>
      <c r="O80" s="286">
        <v>0</v>
      </c>
      <c r="P80" s="286">
        <v>1</v>
      </c>
      <c r="Q80" s="286">
        <v>41</v>
      </c>
      <c r="R80" s="286">
        <v>26</v>
      </c>
      <c r="S80" s="286">
        <v>15</v>
      </c>
      <c r="T80" s="286">
        <v>20</v>
      </c>
      <c r="U80" s="286">
        <v>16</v>
      </c>
      <c r="V80" s="286">
        <v>4</v>
      </c>
      <c r="W80" s="286">
        <v>21</v>
      </c>
      <c r="X80" s="286">
        <v>10</v>
      </c>
      <c r="Y80" s="286">
        <v>11</v>
      </c>
    </row>
    <row r="81" spans="1:25">
      <c r="A81" s="212">
        <v>628</v>
      </c>
      <c r="B81" s="212" t="s">
        <v>1642</v>
      </c>
      <c r="C81" s="212">
        <v>1</v>
      </c>
      <c r="D81" s="212" t="s">
        <v>1643</v>
      </c>
      <c r="E81" s="212" t="s">
        <v>1781</v>
      </c>
      <c r="F81" s="212">
        <v>5</v>
      </c>
      <c r="G81" s="212" t="s">
        <v>1645</v>
      </c>
      <c r="H81" s="212">
        <v>0</v>
      </c>
      <c r="I81" s="212" t="s">
        <v>1782</v>
      </c>
      <c r="J81" s="212">
        <v>103</v>
      </c>
      <c r="K81" s="286">
        <v>2317</v>
      </c>
      <c r="L81" s="286">
        <v>1426</v>
      </c>
      <c r="M81" s="286">
        <v>888</v>
      </c>
      <c r="N81" s="286">
        <v>15</v>
      </c>
      <c r="O81" s="286">
        <v>0</v>
      </c>
      <c r="P81" s="286">
        <v>15</v>
      </c>
      <c r="Q81" s="286">
        <v>42</v>
      </c>
      <c r="R81" s="286">
        <v>31</v>
      </c>
      <c r="S81" s="286">
        <v>11</v>
      </c>
      <c r="T81" s="286">
        <v>12</v>
      </c>
      <c r="U81" s="286">
        <v>11</v>
      </c>
      <c r="V81" s="286">
        <v>1</v>
      </c>
      <c r="W81" s="286">
        <v>30</v>
      </c>
      <c r="X81" s="286">
        <v>20</v>
      </c>
      <c r="Y81" s="286">
        <v>10</v>
      </c>
    </row>
    <row r="82" spans="1:25">
      <c r="A82" s="212">
        <v>637</v>
      </c>
      <c r="B82" s="212" t="s">
        <v>1642</v>
      </c>
      <c r="C82" s="212">
        <v>1</v>
      </c>
      <c r="D82" s="212" t="s">
        <v>1643</v>
      </c>
      <c r="E82" s="212" t="s">
        <v>1783</v>
      </c>
      <c r="F82" s="212">
        <v>5</v>
      </c>
      <c r="G82" s="212" t="s">
        <v>1645</v>
      </c>
      <c r="H82" s="212">
        <v>0</v>
      </c>
      <c r="I82" s="212" t="s">
        <v>1784</v>
      </c>
      <c r="J82" s="212">
        <v>2</v>
      </c>
      <c r="K82" s="286">
        <v>556</v>
      </c>
      <c r="L82" s="286">
        <v>432</v>
      </c>
      <c r="M82" s="286">
        <v>124</v>
      </c>
      <c r="N82" s="286">
        <v>0</v>
      </c>
      <c r="O82" s="286">
        <v>0</v>
      </c>
      <c r="P82" s="286">
        <v>0</v>
      </c>
      <c r="Q82" s="286">
        <v>219</v>
      </c>
      <c r="R82" s="286">
        <v>184</v>
      </c>
      <c r="S82" s="286">
        <v>35</v>
      </c>
      <c r="T82" s="286">
        <v>0</v>
      </c>
      <c r="U82" s="286">
        <v>0</v>
      </c>
      <c r="V82" s="286">
        <v>0</v>
      </c>
      <c r="W82" s="286">
        <v>219</v>
      </c>
      <c r="X82" s="286">
        <v>184</v>
      </c>
      <c r="Y82" s="286">
        <v>35</v>
      </c>
    </row>
    <row r="83" spans="1:25">
      <c r="A83" s="212">
        <v>646</v>
      </c>
      <c r="B83" s="212" t="s">
        <v>1642</v>
      </c>
      <c r="C83" s="212">
        <v>1</v>
      </c>
      <c r="D83" s="212" t="s">
        <v>1643</v>
      </c>
      <c r="E83" s="212" t="s">
        <v>1785</v>
      </c>
      <c r="F83" s="212">
        <v>5</v>
      </c>
      <c r="G83" s="212" t="s">
        <v>1645</v>
      </c>
      <c r="H83" s="212">
        <v>0</v>
      </c>
      <c r="I83" s="212" t="s">
        <v>1786</v>
      </c>
      <c r="J83" s="212">
        <v>57</v>
      </c>
      <c r="K83" s="286">
        <v>902</v>
      </c>
      <c r="L83" s="286">
        <v>722</v>
      </c>
      <c r="M83" s="286">
        <v>174</v>
      </c>
      <c r="N83" s="286">
        <v>19</v>
      </c>
      <c r="O83" s="286">
        <v>17</v>
      </c>
      <c r="P83" s="286">
        <v>2</v>
      </c>
      <c r="Q83" s="286">
        <v>86</v>
      </c>
      <c r="R83" s="286">
        <v>69</v>
      </c>
      <c r="S83" s="286">
        <v>17</v>
      </c>
      <c r="T83" s="286">
        <v>16</v>
      </c>
      <c r="U83" s="286">
        <v>15</v>
      </c>
      <c r="V83" s="286">
        <v>1</v>
      </c>
      <c r="W83" s="286">
        <v>66</v>
      </c>
      <c r="X83" s="286">
        <v>53</v>
      </c>
      <c r="Y83" s="286">
        <v>13</v>
      </c>
    </row>
    <row r="84" spans="1:25">
      <c r="A84" s="212">
        <v>655</v>
      </c>
      <c r="B84" s="212" t="s">
        <v>1642</v>
      </c>
      <c r="C84" s="212">
        <v>1</v>
      </c>
      <c r="D84" s="212" t="s">
        <v>1643</v>
      </c>
      <c r="E84" s="212" t="s">
        <v>1787</v>
      </c>
      <c r="F84" s="212">
        <v>5</v>
      </c>
      <c r="G84" s="212" t="s">
        <v>1645</v>
      </c>
      <c r="H84" s="212">
        <v>0</v>
      </c>
      <c r="I84" s="212" t="s">
        <v>1788</v>
      </c>
      <c r="J84" s="212">
        <v>385</v>
      </c>
      <c r="K84" s="286">
        <v>14701</v>
      </c>
      <c r="L84" s="286">
        <v>5782</v>
      </c>
      <c r="M84" s="286">
        <v>8919</v>
      </c>
      <c r="N84" s="286">
        <v>15</v>
      </c>
      <c r="O84" s="286">
        <v>7</v>
      </c>
      <c r="P84" s="286">
        <v>8</v>
      </c>
      <c r="Q84" s="286">
        <v>919</v>
      </c>
      <c r="R84" s="286">
        <v>535</v>
      </c>
      <c r="S84" s="286">
        <v>384</v>
      </c>
      <c r="T84" s="286">
        <v>391</v>
      </c>
      <c r="U84" s="286">
        <v>299</v>
      </c>
      <c r="V84" s="286">
        <v>92</v>
      </c>
      <c r="W84" s="286">
        <v>528</v>
      </c>
      <c r="X84" s="286">
        <v>236</v>
      </c>
      <c r="Y84" s="286">
        <v>292</v>
      </c>
    </row>
    <row r="85" spans="1:25">
      <c r="A85" s="212">
        <v>664</v>
      </c>
      <c r="B85" s="212" t="s">
        <v>1642</v>
      </c>
      <c r="C85" s="212">
        <v>1</v>
      </c>
      <c r="D85" s="212" t="s">
        <v>1643</v>
      </c>
      <c r="E85" s="212" t="s">
        <v>1789</v>
      </c>
      <c r="F85" s="212">
        <v>5</v>
      </c>
      <c r="G85" s="212" t="s">
        <v>1645</v>
      </c>
      <c r="H85" s="212">
        <v>0</v>
      </c>
      <c r="I85" s="212" t="s">
        <v>1790</v>
      </c>
      <c r="J85" s="212">
        <v>21</v>
      </c>
      <c r="K85" s="286">
        <v>1579</v>
      </c>
      <c r="L85" s="286">
        <v>1308</v>
      </c>
      <c r="M85" s="286">
        <v>271</v>
      </c>
      <c r="N85" s="286">
        <v>33</v>
      </c>
      <c r="O85" s="286">
        <v>25</v>
      </c>
      <c r="P85" s="286">
        <v>8</v>
      </c>
      <c r="Q85" s="286">
        <v>74</v>
      </c>
      <c r="R85" s="286">
        <v>59</v>
      </c>
      <c r="S85" s="286">
        <v>15</v>
      </c>
      <c r="T85" s="286">
        <v>52</v>
      </c>
      <c r="U85" s="286">
        <v>46</v>
      </c>
      <c r="V85" s="286">
        <v>6</v>
      </c>
      <c r="W85" s="286">
        <v>22</v>
      </c>
      <c r="X85" s="286">
        <v>13</v>
      </c>
      <c r="Y85" s="286">
        <v>9</v>
      </c>
    </row>
    <row r="86" spans="1:25">
      <c r="A86" s="212">
        <v>673</v>
      </c>
      <c r="B86" s="212" t="s">
        <v>1642</v>
      </c>
      <c r="C86" s="212">
        <v>1</v>
      </c>
      <c r="D86" s="212" t="s">
        <v>1643</v>
      </c>
      <c r="E86" s="212" t="s">
        <v>1791</v>
      </c>
      <c r="F86" s="212">
        <v>5</v>
      </c>
      <c r="G86" s="212" t="s">
        <v>1645</v>
      </c>
      <c r="H86" s="212">
        <v>0</v>
      </c>
      <c r="I86" s="212" t="s">
        <v>1792</v>
      </c>
      <c r="J86" s="212">
        <v>1023</v>
      </c>
      <c r="K86" s="286">
        <v>26402</v>
      </c>
      <c r="L86" s="286">
        <v>11094</v>
      </c>
      <c r="M86" s="286">
        <v>15308</v>
      </c>
      <c r="N86" s="286">
        <v>11</v>
      </c>
      <c r="O86" s="286">
        <v>9</v>
      </c>
      <c r="P86" s="286">
        <v>2</v>
      </c>
      <c r="Q86" s="286">
        <v>2619</v>
      </c>
      <c r="R86" s="286">
        <v>1163</v>
      </c>
      <c r="S86" s="286">
        <v>1456</v>
      </c>
      <c r="T86" s="286">
        <v>87</v>
      </c>
      <c r="U86" s="286">
        <v>78</v>
      </c>
      <c r="V86" s="286">
        <v>9</v>
      </c>
      <c r="W86" s="286">
        <v>2532</v>
      </c>
      <c r="X86" s="286">
        <v>1085</v>
      </c>
      <c r="Y86" s="286">
        <v>1447</v>
      </c>
    </row>
    <row r="87" spans="1:25">
      <c r="A87" s="212">
        <v>682</v>
      </c>
      <c r="B87" s="212" t="s">
        <v>1642</v>
      </c>
      <c r="C87" s="212">
        <v>1</v>
      </c>
      <c r="D87" s="212" t="s">
        <v>1643</v>
      </c>
      <c r="E87" s="212" t="s">
        <v>1793</v>
      </c>
      <c r="F87" s="212">
        <v>4</v>
      </c>
      <c r="G87" s="212" t="s">
        <v>1645</v>
      </c>
      <c r="H87" s="212">
        <v>0</v>
      </c>
      <c r="I87" s="212" t="s">
        <v>1794</v>
      </c>
      <c r="J87" s="212">
        <v>258</v>
      </c>
      <c r="K87" s="286">
        <v>6283</v>
      </c>
      <c r="L87" s="286">
        <v>4354</v>
      </c>
      <c r="M87" s="286">
        <v>1929</v>
      </c>
      <c r="N87" s="286">
        <v>81</v>
      </c>
      <c r="O87" s="286">
        <v>70</v>
      </c>
      <c r="P87" s="286">
        <v>11</v>
      </c>
      <c r="Q87" s="286">
        <v>542</v>
      </c>
      <c r="R87" s="286">
        <v>421</v>
      </c>
      <c r="S87" s="286">
        <v>121</v>
      </c>
      <c r="T87" s="286">
        <v>227</v>
      </c>
      <c r="U87" s="286">
        <v>214</v>
      </c>
      <c r="V87" s="286">
        <v>13</v>
      </c>
      <c r="W87" s="286">
        <v>315</v>
      </c>
      <c r="X87" s="286">
        <v>207</v>
      </c>
      <c r="Y87" s="286">
        <v>108</v>
      </c>
    </row>
    <row r="88" spans="1:25">
      <c r="A88" s="212">
        <v>691</v>
      </c>
      <c r="B88" s="212" t="s">
        <v>1642</v>
      </c>
      <c r="C88" s="212">
        <v>1</v>
      </c>
      <c r="D88" s="212" t="s">
        <v>1643</v>
      </c>
      <c r="E88" s="212" t="s">
        <v>1795</v>
      </c>
      <c r="F88" s="212">
        <v>5</v>
      </c>
      <c r="G88" s="212" t="s">
        <v>1645</v>
      </c>
      <c r="H88" s="212">
        <v>0</v>
      </c>
      <c r="I88" s="212" t="s">
        <v>1796</v>
      </c>
      <c r="J88" s="212">
        <v>7</v>
      </c>
      <c r="K88" s="286">
        <v>153</v>
      </c>
      <c r="L88" s="286">
        <v>106</v>
      </c>
      <c r="M88" s="286">
        <v>47</v>
      </c>
      <c r="N88" s="286">
        <v>0</v>
      </c>
      <c r="O88" s="286">
        <v>0</v>
      </c>
      <c r="P88" s="286">
        <v>0</v>
      </c>
      <c r="Q88" s="286">
        <v>25</v>
      </c>
      <c r="R88" s="286">
        <v>6</v>
      </c>
      <c r="S88" s="286">
        <v>19</v>
      </c>
      <c r="T88" s="286">
        <v>6</v>
      </c>
      <c r="U88" s="286">
        <v>6</v>
      </c>
      <c r="V88" s="286">
        <v>0</v>
      </c>
      <c r="W88" s="286">
        <v>19</v>
      </c>
      <c r="X88" s="286">
        <v>0</v>
      </c>
      <c r="Y88" s="286">
        <v>19</v>
      </c>
    </row>
    <row r="89" spans="1:25">
      <c r="A89" s="212">
        <v>700</v>
      </c>
      <c r="B89" s="212" t="s">
        <v>1642</v>
      </c>
      <c r="C89" s="212">
        <v>1</v>
      </c>
      <c r="D89" s="212" t="s">
        <v>1643</v>
      </c>
      <c r="E89" s="212" t="s">
        <v>1797</v>
      </c>
      <c r="F89" s="212">
        <v>5</v>
      </c>
      <c r="G89" s="212" t="s">
        <v>1645</v>
      </c>
      <c r="H89" s="212">
        <v>0</v>
      </c>
      <c r="I89" s="212" t="s">
        <v>1798</v>
      </c>
      <c r="J89" s="212">
        <v>29</v>
      </c>
      <c r="K89" s="286">
        <v>1209</v>
      </c>
      <c r="L89" s="286">
        <v>918</v>
      </c>
      <c r="M89" s="286">
        <v>291</v>
      </c>
      <c r="N89" s="286">
        <v>11</v>
      </c>
      <c r="O89" s="286">
        <v>6</v>
      </c>
      <c r="P89" s="286">
        <v>5</v>
      </c>
      <c r="Q89" s="286">
        <v>227</v>
      </c>
      <c r="R89" s="286">
        <v>194</v>
      </c>
      <c r="S89" s="286">
        <v>33</v>
      </c>
      <c r="T89" s="286">
        <v>115</v>
      </c>
      <c r="U89" s="286">
        <v>112</v>
      </c>
      <c r="V89" s="286">
        <v>3</v>
      </c>
      <c r="W89" s="286">
        <v>112</v>
      </c>
      <c r="X89" s="286">
        <v>82</v>
      </c>
      <c r="Y89" s="286">
        <v>30</v>
      </c>
    </row>
    <row r="90" spans="1:25">
      <c r="A90" s="212">
        <v>709</v>
      </c>
      <c r="B90" s="212" t="s">
        <v>1642</v>
      </c>
      <c r="C90" s="212">
        <v>1</v>
      </c>
      <c r="D90" s="212" t="s">
        <v>1643</v>
      </c>
      <c r="E90" s="212" t="s">
        <v>1799</v>
      </c>
      <c r="F90" s="212">
        <v>5</v>
      </c>
      <c r="G90" s="212" t="s">
        <v>1645</v>
      </c>
      <c r="H90" s="212">
        <v>0</v>
      </c>
      <c r="I90" s="212" t="s">
        <v>1800</v>
      </c>
      <c r="J90" s="212">
        <v>100</v>
      </c>
      <c r="K90" s="286">
        <v>3046</v>
      </c>
      <c r="L90" s="286">
        <v>2057</v>
      </c>
      <c r="M90" s="286">
        <v>989</v>
      </c>
      <c r="N90" s="286">
        <v>69</v>
      </c>
      <c r="O90" s="286">
        <v>63</v>
      </c>
      <c r="P90" s="286">
        <v>6</v>
      </c>
      <c r="Q90" s="286">
        <v>169</v>
      </c>
      <c r="R90" s="286">
        <v>132</v>
      </c>
      <c r="S90" s="286">
        <v>37</v>
      </c>
      <c r="T90" s="286">
        <v>81</v>
      </c>
      <c r="U90" s="286">
        <v>72</v>
      </c>
      <c r="V90" s="286">
        <v>9</v>
      </c>
      <c r="W90" s="286">
        <v>88</v>
      </c>
      <c r="X90" s="286">
        <v>60</v>
      </c>
      <c r="Y90" s="286">
        <v>28</v>
      </c>
    </row>
    <row r="91" spans="1:25">
      <c r="A91" s="212">
        <v>718</v>
      </c>
      <c r="B91" s="212" t="s">
        <v>1642</v>
      </c>
      <c r="C91" s="212">
        <v>1</v>
      </c>
      <c r="D91" s="212" t="s">
        <v>1643</v>
      </c>
      <c r="E91" s="212" t="s">
        <v>1801</v>
      </c>
      <c r="F91" s="212">
        <v>5</v>
      </c>
      <c r="G91" s="212" t="s">
        <v>1645</v>
      </c>
      <c r="H91" s="212">
        <v>0</v>
      </c>
      <c r="I91" s="212" t="s">
        <v>1802</v>
      </c>
      <c r="J91" s="212">
        <v>43</v>
      </c>
      <c r="K91" s="286">
        <v>901</v>
      </c>
      <c r="L91" s="286">
        <v>577</v>
      </c>
      <c r="M91" s="286">
        <v>324</v>
      </c>
      <c r="N91" s="286">
        <v>0</v>
      </c>
      <c r="O91" s="286">
        <v>0</v>
      </c>
      <c r="P91" s="286">
        <v>0</v>
      </c>
      <c r="Q91" s="286">
        <v>45</v>
      </c>
      <c r="R91" s="286">
        <v>29</v>
      </c>
      <c r="S91" s="286">
        <v>16</v>
      </c>
      <c r="T91" s="286">
        <v>12</v>
      </c>
      <c r="U91" s="286">
        <v>11</v>
      </c>
      <c r="V91" s="286">
        <v>1</v>
      </c>
      <c r="W91" s="286">
        <v>33</v>
      </c>
      <c r="X91" s="286">
        <v>18</v>
      </c>
      <c r="Y91" s="286">
        <v>15</v>
      </c>
    </row>
    <row r="92" spans="1:25">
      <c r="A92" s="212">
        <v>727</v>
      </c>
      <c r="B92" s="212" t="s">
        <v>1642</v>
      </c>
      <c r="C92" s="212">
        <v>1</v>
      </c>
      <c r="D92" s="212" t="s">
        <v>1643</v>
      </c>
      <c r="E92" s="212" t="s">
        <v>1803</v>
      </c>
      <c r="F92" s="212">
        <v>5</v>
      </c>
      <c r="G92" s="212" t="s">
        <v>1645</v>
      </c>
      <c r="H92" s="212">
        <v>0</v>
      </c>
      <c r="I92" s="212" t="s">
        <v>1804</v>
      </c>
      <c r="J92" s="212">
        <v>9</v>
      </c>
      <c r="K92" s="286">
        <v>108</v>
      </c>
      <c r="L92" s="286">
        <v>72</v>
      </c>
      <c r="M92" s="286">
        <v>36</v>
      </c>
      <c r="N92" s="286">
        <v>0</v>
      </c>
      <c r="O92" s="286">
        <v>0</v>
      </c>
      <c r="P92" s="286">
        <v>0</v>
      </c>
      <c r="Q92" s="286">
        <v>39</v>
      </c>
      <c r="R92" s="286">
        <v>32</v>
      </c>
      <c r="S92" s="286">
        <v>7</v>
      </c>
      <c r="T92" s="286">
        <v>0</v>
      </c>
      <c r="U92" s="286">
        <v>0</v>
      </c>
      <c r="V92" s="286">
        <v>0</v>
      </c>
      <c r="W92" s="286">
        <v>39</v>
      </c>
      <c r="X92" s="286">
        <v>32</v>
      </c>
      <c r="Y92" s="286">
        <v>7</v>
      </c>
    </row>
    <row r="93" spans="1:25">
      <c r="A93" s="212">
        <v>736</v>
      </c>
      <c r="B93" s="212" t="s">
        <v>1642</v>
      </c>
      <c r="C93" s="212">
        <v>1</v>
      </c>
      <c r="D93" s="212" t="s">
        <v>1643</v>
      </c>
      <c r="E93" s="212" t="s">
        <v>1805</v>
      </c>
      <c r="F93" s="212">
        <v>5</v>
      </c>
      <c r="G93" s="212" t="s">
        <v>1645</v>
      </c>
      <c r="H93" s="212">
        <v>0</v>
      </c>
      <c r="I93" s="212" t="s">
        <v>1806</v>
      </c>
      <c r="J93" s="212">
        <v>0</v>
      </c>
      <c r="K93" s="286">
        <v>0</v>
      </c>
      <c r="L93" s="286">
        <v>0</v>
      </c>
      <c r="M93" s="286">
        <v>0</v>
      </c>
      <c r="N93" s="286">
        <v>0</v>
      </c>
      <c r="O93" s="286">
        <v>0</v>
      </c>
      <c r="P93" s="286">
        <v>0</v>
      </c>
      <c r="Q93" s="286">
        <v>0</v>
      </c>
      <c r="R93" s="286">
        <v>0</v>
      </c>
      <c r="S93" s="286">
        <v>0</v>
      </c>
      <c r="T93" s="286">
        <v>0</v>
      </c>
      <c r="U93" s="286">
        <v>0</v>
      </c>
      <c r="V93" s="286">
        <v>0</v>
      </c>
      <c r="W93" s="286">
        <v>0</v>
      </c>
      <c r="X93" s="286">
        <v>0</v>
      </c>
      <c r="Y93" s="286">
        <v>0</v>
      </c>
    </row>
    <row r="94" spans="1:25">
      <c r="A94" s="212">
        <v>745</v>
      </c>
      <c r="B94" s="212" t="s">
        <v>1642</v>
      </c>
      <c r="C94" s="212">
        <v>1</v>
      </c>
      <c r="D94" s="212" t="s">
        <v>1643</v>
      </c>
      <c r="E94" s="212" t="s">
        <v>1807</v>
      </c>
      <c r="F94" s="212">
        <v>5</v>
      </c>
      <c r="G94" s="212" t="s">
        <v>1645</v>
      </c>
      <c r="H94" s="212">
        <v>0</v>
      </c>
      <c r="I94" s="212" t="s">
        <v>1808</v>
      </c>
      <c r="J94" s="212">
        <v>70</v>
      </c>
      <c r="K94" s="286">
        <v>866</v>
      </c>
      <c r="L94" s="286">
        <v>624</v>
      </c>
      <c r="M94" s="286">
        <v>242</v>
      </c>
      <c r="N94" s="286">
        <v>1</v>
      </c>
      <c r="O94" s="286">
        <v>1</v>
      </c>
      <c r="P94" s="286">
        <v>0</v>
      </c>
      <c r="Q94" s="286">
        <v>37</v>
      </c>
      <c r="R94" s="286">
        <v>28</v>
      </c>
      <c r="S94" s="286">
        <v>9</v>
      </c>
      <c r="T94" s="286">
        <v>13</v>
      </c>
      <c r="U94" s="286">
        <v>13</v>
      </c>
      <c r="V94" s="286">
        <v>0</v>
      </c>
      <c r="W94" s="286">
        <v>24</v>
      </c>
      <c r="X94" s="286">
        <v>15</v>
      </c>
      <c r="Y94" s="286">
        <v>9</v>
      </c>
    </row>
    <row r="95" spans="1:25">
      <c r="A95" s="212">
        <v>754</v>
      </c>
      <c r="B95" s="212" t="s">
        <v>1642</v>
      </c>
      <c r="C95" s="212">
        <v>1</v>
      </c>
      <c r="D95" s="212" t="s">
        <v>1643</v>
      </c>
      <c r="E95" s="212" t="s">
        <v>1809</v>
      </c>
      <c r="F95" s="212">
        <v>4</v>
      </c>
      <c r="G95" s="212" t="s">
        <v>1645</v>
      </c>
      <c r="H95" s="212">
        <v>0</v>
      </c>
      <c r="I95" s="212" t="s">
        <v>1810</v>
      </c>
      <c r="J95" s="212">
        <v>1307</v>
      </c>
      <c r="K95" s="286">
        <v>10926</v>
      </c>
      <c r="L95" s="286">
        <v>4774</v>
      </c>
      <c r="M95" s="286">
        <v>6113</v>
      </c>
      <c r="N95" s="286">
        <v>69</v>
      </c>
      <c r="O95" s="286">
        <v>61</v>
      </c>
      <c r="P95" s="286">
        <v>8</v>
      </c>
      <c r="Q95" s="286">
        <v>223</v>
      </c>
      <c r="R95" s="286">
        <v>129</v>
      </c>
      <c r="S95" s="286">
        <v>94</v>
      </c>
      <c r="T95" s="286">
        <v>75</v>
      </c>
      <c r="U95" s="286">
        <v>64</v>
      </c>
      <c r="V95" s="286">
        <v>11</v>
      </c>
      <c r="W95" s="286">
        <v>148</v>
      </c>
      <c r="X95" s="286">
        <v>65</v>
      </c>
      <c r="Y95" s="286">
        <v>83</v>
      </c>
    </row>
    <row r="96" spans="1:25">
      <c r="A96" s="212">
        <v>763</v>
      </c>
      <c r="B96" s="212" t="s">
        <v>1642</v>
      </c>
      <c r="C96" s="212">
        <v>1</v>
      </c>
      <c r="D96" s="212" t="s">
        <v>1643</v>
      </c>
      <c r="E96" s="212" t="s">
        <v>1811</v>
      </c>
      <c r="F96" s="212">
        <v>5</v>
      </c>
      <c r="G96" s="212" t="s">
        <v>1645</v>
      </c>
      <c r="H96" s="212">
        <v>0</v>
      </c>
      <c r="I96" s="212" t="s">
        <v>1812</v>
      </c>
      <c r="J96" s="212">
        <v>11</v>
      </c>
      <c r="K96" s="286">
        <v>125</v>
      </c>
      <c r="L96" s="286">
        <v>32</v>
      </c>
      <c r="M96" s="286">
        <v>93</v>
      </c>
      <c r="N96" s="286">
        <v>0</v>
      </c>
      <c r="O96" s="286">
        <v>0</v>
      </c>
      <c r="P96" s="286">
        <v>0</v>
      </c>
      <c r="Q96" s="286">
        <v>0</v>
      </c>
      <c r="R96" s="286">
        <v>0</v>
      </c>
      <c r="S96" s="286">
        <v>0</v>
      </c>
      <c r="T96" s="286">
        <v>0</v>
      </c>
      <c r="U96" s="286">
        <v>0</v>
      </c>
      <c r="V96" s="286">
        <v>0</v>
      </c>
      <c r="W96" s="286">
        <v>0</v>
      </c>
      <c r="X96" s="286">
        <v>0</v>
      </c>
      <c r="Y96" s="286">
        <v>0</v>
      </c>
    </row>
    <row r="97" spans="1:25">
      <c r="A97" s="212">
        <v>772</v>
      </c>
      <c r="B97" s="212" t="s">
        <v>1642</v>
      </c>
      <c r="C97" s="212">
        <v>1</v>
      </c>
      <c r="D97" s="212" t="s">
        <v>1643</v>
      </c>
      <c r="E97" s="212" t="s">
        <v>1813</v>
      </c>
      <c r="F97" s="212">
        <v>5</v>
      </c>
      <c r="G97" s="212" t="s">
        <v>1645</v>
      </c>
      <c r="H97" s="212">
        <v>0</v>
      </c>
      <c r="I97" s="212" t="s">
        <v>1814</v>
      </c>
      <c r="J97" s="212">
        <v>57</v>
      </c>
      <c r="K97" s="286">
        <v>858</v>
      </c>
      <c r="L97" s="286">
        <v>639</v>
      </c>
      <c r="M97" s="286">
        <v>219</v>
      </c>
      <c r="N97" s="286">
        <v>23</v>
      </c>
      <c r="O97" s="286">
        <v>22</v>
      </c>
      <c r="P97" s="286">
        <v>1</v>
      </c>
      <c r="Q97" s="286">
        <v>36</v>
      </c>
      <c r="R97" s="286">
        <v>27</v>
      </c>
      <c r="S97" s="286">
        <v>9</v>
      </c>
      <c r="T97" s="286">
        <v>29</v>
      </c>
      <c r="U97" s="286">
        <v>25</v>
      </c>
      <c r="V97" s="286">
        <v>4</v>
      </c>
      <c r="W97" s="286">
        <v>7</v>
      </c>
      <c r="X97" s="286">
        <v>2</v>
      </c>
      <c r="Y97" s="286">
        <v>5</v>
      </c>
    </row>
    <row r="98" spans="1:25">
      <c r="A98" s="212">
        <v>781</v>
      </c>
      <c r="B98" s="212" t="s">
        <v>1642</v>
      </c>
      <c r="C98" s="212">
        <v>1</v>
      </c>
      <c r="D98" s="212" t="s">
        <v>1643</v>
      </c>
      <c r="E98" s="212" t="s">
        <v>1815</v>
      </c>
      <c r="F98" s="212">
        <v>5</v>
      </c>
      <c r="G98" s="212" t="s">
        <v>1645</v>
      </c>
      <c r="H98" s="212">
        <v>0</v>
      </c>
      <c r="I98" s="212" t="s">
        <v>1816</v>
      </c>
      <c r="J98" s="212">
        <v>238</v>
      </c>
      <c r="K98" s="286">
        <v>1191</v>
      </c>
      <c r="L98" s="286">
        <v>597</v>
      </c>
      <c r="M98" s="286">
        <v>594</v>
      </c>
      <c r="N98" s="286">
        <v>0</v>
      </c>
      <c r="O98" s="286">
        <v>0</v>
      </c>
      <c r="P98" s="286">
        <v>0</v>
      </c>
      <c r="Q98" s="286">
        <v>4</v>
      </c>
      <c r="R98" s="286">
        <v>3</v>
      </c>
      <c r="S98" s="286">
        <v>1</v>
      </c>
      <c r="T98" s="286">
        <v>0</v>
      </c>
      <c r="U98" s="286">
        <v>0</v>
      </c>
      <c r="V98" s="286">
        <v>0</v>
      </c>
      <c r="W98" s="286">
        <v>4</v>
      </c>
      <c r="X98" s="286">
        <v>3</v>
      </c>
      <c r="Y98" s="286">
        <v>1</v>
      </c>
    </row>
    <row r="99" spans="1:25">
      <c r="A99" s="212">
        <v>790</v>
      </c>
      <c r="B99" s="212" t="s">
        <v>1642</v>
      </c>
      <c r="C99" s="212">
        <v>1</v>
      </c>
      <c r="D99" s="212" t="s">
        <v>1643</v>
      </c>
      <c r="E99" s="212" t="s">
        <v>1817</v>
      </c>
      <c r="F99" s="212">
        <v>5</v>
      </c>
      <c r="G99" s="212" t="s">
        <v>1645</v>
      </c>
      <c r="H99" s="212">
        <v>0</v>
      </c>
      <c r="I99" s="212" t="s">
        <v>1818</v>
      </c>
      <c r="J99" s="212">
        <v>17</v>
      </c>
      <c r="K99" s="286">
        <v>79</v>
      </c>
      <c r="L99" s="286">
        <v>37</v>
      </c>
      <c r="M99" s="286">
        <v>42</v>
      </c>
      <c r="N99" s="286">
        <v>0</v>
      </c>
      <c r="O99" s="286">
        <v>0</v>
      </c>
      <c r="P99" s="286">
        <v>0</v>
      </c>
      <c r="Q99" s="286">
        <v>0</v>
      </c>
      <c r="R99" s="286">
        <v>0</v>
      </c>
      <c r="S99" s="286">
        <v>0</v>
      </c>
      <c r="T99" s="286">
        <v>0</v>
      </c>
      <c r="U99" s="286">
        <v>0</v>
      </c>
      <c r="V99" s="286">
        <v>0</v>
      </c>
      <c r="W99" s="286">
        <v>0</v>
      </c>
      <c r="X99" s="286">
        <v>0</v>
      </c>
      <c r="Y99" s="286">
        <v>0</v>
      </c>
    </row>
    <row r="100" spans="1:25">
      <c r="A100" s="212">
        <v>799</v>
      </c>
      <c r="B100" s="212" t="s">
        <v>1642</v>
      </c>
      <c r="C100" s="212">
        <v>1</v>
      </c>
      <c r="D100" s="212" t="s">
        <v>1643</v>
      </c>
      <c r="E100" s="212" t="s">
        <v>1819</v>
      </c>
      <c r="F100" s="212">
        <v>5</v>
      </c>
      <c r="G100" s="212" t="s">
        <v>1645</v>
      </c>
      <c r="H100" s="212">
        <v>0</v>
      </c>
      <c r="I100" s="212" t="s">
        <v>1820</v>
      </c>
      <c r="J100" s="212">
        <v>60</v>
      </c>
      <c r="K100" s="286">
        <v>698</v>
      </c>
      <c r="L100" s="286">
        <v>468</v>
      </c>
      <c r="M100" s="286">
        <v>230</v>
      </c>
      <c r="N100" s="286">
        <v>5</v>
      </c>
      <c r="O100" s="286">
        <v>4</v>
      </c>
      <c r="P100" s="286">
        <v>1</v>
      </c>
      <c r="Q100" s="286">
        <v>20</v>
      </c>
      <c r="R100" s="286">
        <v>17</v>
      </c>
      <c r="S100" s="286">
        <v>3</v>
      </c>
      <c r="T100" s="286">
        <v>7</v>
      </c>
      <c r="U100" s="286">
        <v>4</v>
      </c>
      <c r="V100" s="286">
        <v>3</v>
      </c>
      <c r="W100" s="286">
        <v>13</v>
      </c>
      <c r="X100" s="286">
        <v>13</v>
      </c>
      <c r="Y100" s="286">
        <v>0</v>
      </c>
    </row>
    <row r="101" spans="1:25">
      <c r="A101" s="212">
        <v>808</v>
      </c>
      <c r="B101" s="212" t="s">
        <v>1642</v>
      </c>
      <c r="C101" s="212">
        <v>1</v>
      </c>
      <c r="D101" s="212" t="s">
        <v>1643</v>
      </c>
      <c r="E101" s="212" t="s">
        <v>1821</v>
      </c>
      <c r="F101" s="212">
        <v>5</v>
      </c>
      <c r="G101" s="212" t="s">
        <v>1645</v>
      </c>
      <c r="H101" s="212">
        <v>0</v>
      </c>
      <c r="I101" s="212" t="s">
        <v>1822</v>
      </c>
      <c r="J101" s="212">
        <v>106</v>
      </c>
      <c r="K101" s="286">
        <v>1104</v>
      </c>
      <c r="L101" s="286">
        <v>706</v>
      </c>
      <c r="M101" s="286">
        <v>398</v>
      </c>
      <c r="N101" s="286">
        <v>21</v>
      </c>
      <c r="O101" s="286">
        <v>20</v>
      </c>
      <c r="P101" s="286">
        <v>1</v>
      </c>
      <c r="Q101" s="286">
        <v>27</v>
      </c>
      <c r="R101" s="286">
        <v>24</v>
      </c>
      <c r="S101" s="286">
        <v>3</v>
      </c>
      <c r="T101" s="286">
        <v>4</v>
      </c>
      <c r="U101" s="286">
        <v>4</v>
      </c>
      <c r="V101" s="286">
        <v>0</v>
      </c>
      <c r="W101" s="286">
        <v>23</v>
      </c>
      <c r="X101" s="286">
        <v>20</v>
      </c>
      <c r="Y101" s="286">
        <v>3</v>
      </c>
    </row>
    <row r="102" spans="1:25">
      <c r="A102" s="212">
        <v>817</v>
      </c>
      <c r="B102" s="212" t="s">
        <v>1642</v>
      </c>
      <c r="C102" s="212">
        <v>1</v>
      </c>
      <c r="D102" s="212" t="s">
        <v>1643</v>
      </c>
      <c r="E102" s="212" t="s">
        <v>1823</v>
      </c>
      <c r="F102" s="212">
        <v>5</v>
      </c>
      <c r="G102" s="212" t="s">
        <v>1645</v>
      </c>
      <c r="H102" s="212">
        <v>0</v>
      </c>
      <c r="I102" s="212" t="s">
        <v>1824</v>
      </c>
      <c r="J102" s="212">
        <v>240</v>
      </c>
      <c r="K102" s="286">
        <v>1939</v>
      </c>
      <c r="L102" s="286">
        <v>470</v>
      </c>
      <c r="M102" s="286">
        <v>1460</v>
      </c>
      <c r="N102" s="286">
        <v>6</v>
      </c>
      <c r="O102" s="286">
        <v>5</v>
      </c>
      <c r="P102" s="286">
        <v>1</v>
      </c>
      <c r="Q102" s="286">
        <v>11</v>
      </c>
      <c r="R102" s="286">
        <v>3</v>
      </c>
      <c r="S102" s="286">
        <v>8</v>
      </c>
      <c r="T102" s="286">
        <v>3</v>
      </c>
      <c r="U102" s="286">
        <v>3</v>
      </c>
      <c r="V102" s="286">
        <v>0</v>
      </c>
      <c r="W102" s="286">
        <v>8</v>
      </c>
      <c r="X102" s="286">
        <v>0</v>
      </c>
      <c r="Y102" s="286">
        <v>8</v>
      </c>
    </row>
    <row r="103" spans="1:25">
      <c r="A103" s="212">
        <v>826</v>
      </c>
      <c r="B103" s="212" t="s">
        <v>1642</v>
      </c>
      <c r="C103" s="212">
        <v>1</v>
      </c>
      <c r="D103" s="212" t="s">
        <v>1643</v>
      </c>
      <c r="E103" s="212" t="s">
        <v>1825</v>
      </c>
      <c r="F103" s="212">
        <v>5</v>
      </c>
      <c r="G103" s="212" t="s">
        <v>1645</v>
      </c>
      <c r="H103" s="212">
        <v>0</v>
      </c>
      <c r="I103" s="212" t="s">
        <v>1826</v>
      </c>
      <c r="J103" s="212">
        <v>50</v>
      </c>
      <c r="K103" s="286">
        <v>969</v>
      </c>
      <c r="L103" s="286">
        <v>263</v>
      </c>
      <c r="M103" s="286">
        <v>706</v>
      </c>
      <c r="N103" s="286">
        <v>6</v>
      </c>
      <c r="O103" s="286">
        <v>5</v>
      </c>
      <c r="P103" s="286">
        <v>1</v>
      </c>
      <c r="Q103" s="286">
        <v>42</v>
      </c>
      <c r="R103" s="286">
        <v>7</v>
      </c>
      <c r="S103" s="286">
        <v>35</v>
      </c>
      <c r="T103" s="286">
        <v>1</v>
      </c>
      <c r="U103" s="286">
        <v>1</v>
      </c>
      <c r="V103" s="286">
        <v>0</v>
      </c>
      <c r="W103" s="286">
        <v>41</v>
      </c>
      <c r="X103" s="286">
        <v>6</v>
      </c>
      <c r="Y103" s="286">
        <v>35</v>
      </c>
    </row>
    <row r="104" spans="1:25">
      <c r="A104" s="212">
        <v>835</v>
      </c>
      <c r="B104" s="212" t="s">
        <v>1642</v>
      </c>
      <c r="C104" s="212">
        <v>1</v>
      </c>
      <c r="D104" s="212" t="s">
        <v>1643</v>
      </c>
      <c r="E104" s="212" t="s">
        <v>1827</v>
      </c>
      <c r="F104" s="212">
        <v>5</v>
      </c>
      <c r="G104" s="212" t="s">
        <v>1645</v>
      </c>
      <c r="H104" s="212">
        <v>0</v>
      </c>
      <c r="I104" s="212" t="s">
        <v>1828</v>
      </c>
      <c r="J104" s="212">
        <v>177</v>
      </c>
      <c r="K104" s="286">
        <v>1379</v>
      </c>
      <c r="L104" s="286">
        <v>527</v>
      </c>
      <c r="M104" s="286">
        <v>837</v>
      </c>
      <c r="N104" s="286">
        <v>6</v>
      </c>
      <c r="O104" s="286">
        <v>3</v>
      </c>
      <c r="P104" s="286">
        <v>3</v>
      </c>
      <c r="Q104" s="286">
        <v>6</v>
      </c>
      <c r="R104" s="286">
        <v>3</v>
      </c>
      <c r="S104" s="286">
        <v>3</v>
      </c>
      <c r="T104" s="286">
        <v>6</v>
      </c>
      <c r="U104" s="286">
        <v>3</v>
      </c>
      <c r="V104" s="286">
        <v>3</v>
      </c>
      <c r="W104" s="286">
        <v>0</v>
      </c>
      <c r="X104" s="286">
        <v>0</v>
      </c>
      <c r="Y104" s="286">
        <v>0</v>
      </c>
    </row>
    <row r="105" spans="1:25">
      <c r="A105" s="212">
        <v>844</v>
      </c>
      <c r="B105" s="212" t="s">
        <v>1642</v>
      </c>
      <c r="C105" s="212">
        <v>1</v>
      </c>
      <c r="D105" s="212" t="s">
        <v>1643</v>
      </c>
      <c r="E105" s="212" t="s">
        <v>1829</v>
      </c>
      <c r="F105" s="212">
        <v>5</v>
      </c>
      <c r="G105" s="212" t="s">
        <v>1645</v>
      </c>
      <c r="H105" s="212">
        <v>0</v>
      </c>
      <c r="I105" s="212" t="s">
        <v>1830</v>
      </c>
      <c r="J105" s="212">
        <v>351</v>
      </c>
      <c r="K105" s="286">
        <v>2584</v>
      </c>
      <c r="L105" s="286">
        <v>1035</v>
      </c>
      <c r="M105" s="286">
        <v>1534</v>
      </c>
      <c r="N105" s="286">
        <v>2</v>
      </c>
      <c r="O105" s="286">
        <v>2</v>
      </c>
      <c r="P105" s="286">
        <v>0</v>
      </c>
      <c r="Q105" s="286">
        <v>77</v>
      </c>
      <c r="R105" s="286">
        <v>45</v>
      </c>
      <c r="S105" s="286">
        <v>32</v>
      </c>
      <c r="T105" s="286">
        <v>25</v>
      </c>
      <c r="U105" s="286">
        <v>24</v>
      </c>
      <c r="V105" s="286">
        <v>1</v>
      </c>
      <c r="W105" s="286">
        <v>52</v>
      </c>
      <c r="X105" s="286">
        <v>21</v>
      </c>
      <c r="Y105" s="286">
        <v>31</v>
      </c>
    </row>
    <row r="106" spans="1:25">
      <c r="A106" s="212">
        <v>853</v>
      </c>
      <c r="B106" s="212" t="s">
        <v>1642</v>
      </c>
      <c r="C106" s="212">
        <v>1</v>
      </c>
      <c r="D106" s="212" t="s">
        <v>1643</v>
      </c>
      <c r="E106" s="212" t="s">
        <v>1831</v>
      </c>
      <c r="F106" s="212">
        <v>4</v>
      </c>
      <c r="G106" s="212" t="s">
        <v>1645</v>
      </c>
      <c r="H106" s="212">
        <v>0</v>
      </c>
      <c r="I106" s="212" t="s">
        <v>1832</v>
      </c>
      <c r="J106" s="212">
        <v>430</v>
      </c>
      <c r="K106" s="286">
        <v>3225</v>
      </c>
      <c r="L106" s="286">
        <v>2458</v>
      </c>
      <c r="M106" s="286">
        <v>767</v>
      </c>
      <c r="N106" s="286">
        <v>1</v>
      </c>
      <c r="O106" s="286">
        <v>1</v>
      </c>
      <c r="P106" s="286">
        <v>0</v>
      </c>
      <c r="Q106" s="286">
        <v>100</v>
      </c>
      <c r="R106" s="286">
        <v>84</v>
      </c>
      <c r="S106" s="286">
        <v>16</v>
      </c>
      <c r="T106" s="286">
        <v>29</v>
      </c>
      <c r="U106" s="286">
        <v>27</v>
      </c>
      <c r="V106" s="286">
        <v>2</v>
      </c>
      <c r="W106" s="286">
        <v>67</v>
      </c>
      <c r="X106" s="286">
        <v>55</v>
      </c>
      <c r="Y106" s="286">
        <v>12</v>
      </c>
    </row>
    <row r="107" spans="1:25">
      <c r="A107" s="212">
        <v>862</v>
      </c>
      <c r="B107" s="212" t="s">
        <v>1642</v>
      </c>
      <c r="C107" s="212">
        <v>1</v>
      </c>
      <c r="D107" s="212" t="s">
        <v>1643</v>
      </c>
      <c r="E107" s="212" t="s">
        <v>1833</v>
      </c>
      <c r="F107" s="212">
        <v>5</v>
      </c>
      <c r="G107" s="212" t="s">
        <v>1645</v>
      </c>
      <c r="H107" s="212">
        <v>0</v>
      </c>
      <c r="I107" s="212" t="s">
        <v>1834</v>
      </c>
      <c r="J107" s="212">
        <v>2</v>
      </c>
      <c r="K107" s="286">
        <v>3</v>
      </c>
      <c r="L107" s="286">
        <v>2</v>
      </c>
      <c r="M107" s="286">
        <v>1</v>
      </c>
      <c r="N107" s="286">
        <v>0</v>
      </c>
      <c r="O107" s="286">
        <v>0</v>
      </c>
      <c r="P107" s="286">
        <v>0</v>
      </c>
      <c r="Q107" s="286">
        <v>0</v>
      </c>
      <c r="R107" s="286">
        <v>0</v>
      </c>
      <c r="S107" s="286">
        <v>0</v>
      </c>
      <c r="T107" s="286">
        <v>0</v>
      </c>
      <c r="U107" s="286">
        <v>0</v>
      </c>
      <c r="V107" s="286">
        <v>0</v>
      </c>
      <c r="W107" s="286">
        <v>0</v>
      </c>
      <c r="X107" s="286">
        <v>0</v>
      </c>
      <c r="Y107" s="286">
        <v>0</v>
      </c>
    </row>
    <row r="108" spans="1:25">
      <c r="A108" s="212">
        <v>871</v>
      </c>
      <c r="B108" s="212" t="s">
        <v>1642</v>
      </c>
      <c r="C108" s="212">
        <v>1</v>
      </c>
      <c r="D108" s="212" t="s">
        <v>1643</v>
      </c>
      <c r="E108" s="212" t="s">
        <v>1835</v>
      </c>
      <c r="F108" s="212">
        <v>5</v>
      </c>
      <c r="G108" s="212" t="s">
        <v>1645</v>
      </c>
      <c r="H108" s="212">
        <v>0</v>
      </c>
      <c r="I108" s="212" t="s">
        <v>1836</v>
      </c>
      <c r="J108" s="212">
        <v>179</v>
      </c>
      <c r="K108" s="286">
        <v>1059</v>
      </c>
      <c r="L108" s="286">
        <v>816</v>
      </c>
      <c r="M108" s="286">
        <v>243</v>
      </c>
      <c r="N108" s="286">
        <v>0</v>
      </c>
      <c r="O108" s="286">
        <v>0</v>
      </c>
      <c r="P108" s="286">
        <v>0</v>
      </c>
      <c r="Q108" s="286">
        <v>24</v>
      </c>
      <c r="R108" s="286">
        <v>19</v>
      </c>
      <c r="S108" s="286">
        <v>5</v>
      </c>
      <c r="T108" s="286">
        <v>11</v>
      </c>
      <c r="U108" s="286">
        <v>9</v>
      </c>
      <c r="V108" s="286">
        <v>2</v>
      </c>
      <c r="W108" s="286">
        <v>9</v>
      </c>
      <c r="X108" s="286">
        <v>8</v>
      </c>
      <c r="Y108" s="286">
        <v>1</v>
      </c>
    </row>
    <row r="109" spans="1:25">
      <c r="A109" s="212">
        <v>880</v>
      </c>
      <c r="B109" s="212" t="s">
        <v>1642</v>
      </c>
      <c r="C109" s="212">
        <v>1</v>
      </c>
      <c r="D109" s="212" t="s">
        <v>1643</v>
      </c>
      <c r="E109" s="212" t="s">
        <v>1837</v>
      </c>
      <c r="F109" s="212">
        <v>5</v>
      </c>
      <c r="G109" s="212" t="s">
        <v>1645</v>
      </c>
      <c r="H109" s="212">
        <v>0</v>
      </c>
      <c r="I109" s="212" t="s">
        <v>1838</v>
      </c>
      <c r="J109" s="212">
        <v>70</v>
      </c>
      <c r="K109" s="286">
        <v>986</v>
      </c>
      <c r="L109" s="286">
        <v>800</v>
      </c>
      <c r="M109" s="286">
        <v>186</v>
      </c>
      <c r="N109" s="286">
        <v>1</v>
      </c>
      <c r="O109" s="286">
        <v>1</v>
      </c>
      <c r="P109" s="286">
        <v>0</v>
      </c>
      <c r="Q109" s="286">
        <v>48</v>
      </c>
      <c r="R109" s="286">
        <v>39</v>
      </c>
      <c r="S109" s="286">
        <v>9</v>
      </c>
      <c r="T109" s="286">
        <v>10</v>
      </c>
      <c r="U109" s="286">
        <v>10</v>
      </c>
      <c r="V109" s="286">
        <v>0</v>
      </c>
      <c r="W109" s="286">
        <v>38</v>
      </c>
      <c r="X109" s="286">
        <v>29</v>
      </c>
      <c r="Y109" s="286">
        <v>9</v>
      </c>
    </row>
    <row r="110" spans="1:25">
      <c r="A110" s="212">
        <v>889</v>
      </c>
      <c r="B110" s="212" t="s">
        <v>1642</v>
      </c>
      <c r="C110" s="212">
        <v>1</v>
      </c>
      <c r="D110" s="212" t="s">
        <v>1643</v>
      </c>
      <c r="E110" s="212" t="s">
        <v>1839</v>
      </c>
      <c r="F110" s="212">
        <v>5</v>
      </c>
      <c r="G110" s="212" t="s">
        <v>1645</v>
      </c>
      <c r="H110" s="212">
        <v>0</v>
      </c>
      <c r="I110" s="212" t="s">
        <v>1840</v>
      </c>
      <c r="J110" s="212">
        <v>75</v>
      </c>
      <c r="K110" s="286">
        <v>637</v>
      </c>
      <c r="L110" s="286">
        <v>504</v>
      </c>
      <c r="M110" s="286">
        <v>133</v>
      </c>
      <c r="N110" s="286">
        <v>0</v>
      </c>
      <c r="O110" s="286">
        <v>0</v>
      </c>
      <c r="P110" s="286">
        <v>0</v>
      </c>
      <c r="Q110" s="286">
        <v>28</v>
      </c>
      <c r="R110" s="286">
        <v>26</v>
      </c>
      <c r="S110" s="286">
        <v>2</v>
      </c>
      <c r="T110" s="286">
        <v>8</v>
      </c>
      <c r="U110" s="286">
        <v>8</v>
      </c>
      <c r="V110" s="286">
        <v>0</v>
      </c>
      <c r="W110" s="286">
        <v>20</v>
      </c>
      <c r="X110" s="286">
        <v>18</v>
      </c>
      <c r="Y110" s="286">
        <v>2</v>
      </c>
    </row>
    <row r="111" spans="1:25">
      <c r="A111" s="212">
        <v>898</v>
      </c>
      <c r="B111" s="212" t="s">
        <v>1642</v>
      </c>
      <c r="C111" s="212">
        <v>1</v>
      </c>
      <c r="D111" s="212" t="s">
        <v>1643</v>
      </c>
      <c r="E111" s="212" t="s">
        <v>1841</v>
      </c>
      <c r="F111" s="212">
        <v>5</v>
      </c>
      <c r="G111" s="212" t="s">
        <v>1645</v>
      </c>
      <c r="H111" s="212">
        <v>0</v>
      </c>
      <c r="I111" s="212" t="s">
        <v>1842</v>
      </c>
      <c r="J111" s="212">
        <v>104</v>
      </c>
      <c r="K111" s="286">
        <v>540</v>
      </c>
      <c r="L111" s="286">
        <v>336</v>
      </c>
      <c r="M111" s="286">
        <v>204</v>
      </c>
      <c r="N111" s="286">
        <v>0</v>
      </c>
      <c r="O111" s="286">
        <v>0</v>
      </c>
      <c r="P111" s="286">
        <v>0</v>
      </c>
      <c r="Q111" s="286">
        <v>0</v>
      </c>
      <c r="R111" s="286">
        <v>0</v>
      </c>
      <c r="S111" s="286">
        <v>0</v>
      </c>
      <c r="T111" s="286">
        <v>0</v>
      </c>
      <c r="U111" s="286">
        <v>0</v>
      </c>
      <c r="V111" s="286">
        <v>0</v>
      </c>
      <c r="W111" s="286">
        <v>0</v>
      </c>
      <c r="X111" s="286">
        <v>0</v>
      </c>
      <c r="Y111" s="286">
        <v>0</v>
      </c>
    </row>
    <row r="112" spans="1:25">
      <c r="A112" s="212">
        <v>907</v>
      </c>
      <c r="B112" s="212" t="s">
        <v>1642</v>
      </c>
      <c r="C112" s="212">
        <v>1</v>
      </c>
      <c r="D112" s="212" t="s">
        <v>1643</v>
      </c>
      <c r="E112" s="212" t="s">
        <v>1843</v>
      </c>
      <c r="F112" s="212">
        <v>4</v>
      </c>
      <c r="G112" s="212" t="s">
        <v>1645</v>
      </c>
      <c r="H112" s="212">
        <v>0</v>
      </c>
      <c r="I112" s="212" t="s">
        <v>1844</v>
      </c>
      <c r="J112" s="212">
        <v>556</v>
      </c>
      <c r="K112" s="286">
        <v>3320</v>
      </c>
      <c r="L112" s="286">
        <v>2404</v>
      </c>
      <c r="M112" s="286">
        <v>916</v>
      </c>
      <c r="N112" s="286">
        <v>15</v>
      </c>
      <c r="O112" s="286">
        <v>14</v>
      </c>
      <c r="P112" s="286">
        <v>1</v>
      </c>
      <c r="Q112" s="286">
        <v>153</v>
      </c>
      <c r="R112" s="286">
        <v>103</v>
      </c>
      <c r="S112" s="286">
        <v>50</v>
      </c>
      <c r="T112" s="286">
        <v>41</v>
      </c>
      <c r="U112" s="286">
        <v>28</v>
      </c>
      <c r="V112" s="286">
        <v>13</v>
      </c>
      <c r="W112" s="286">
        <v>112</v>
      </c>
      <c r="X112" s="286">
        <v>75</v>
      </c>
      <c r="Y112" s="286">
        <v>37</v>
      </c>
    </row>
    <row r="113" spans="1:25">
      <c r="A113" s="212">
        <v>916</v>
      </c>
      <c r="B113" s="212" t="s">
        <v>1642</v>
      </c>
      <c r="C113" s="212">
        <v>1</v>
      </c>
      <c r="D113" s="212" t="s">
        <v>1643</v>
      </c>
      <c r="E113" s="212" t="s">
        <v>1845</v>
      </c>
      <c r="F113" s="212">
        <v>5</v>
      </c>
      <c r="G113" s="212" t="s">
        <v>1645</v>
      </c>
      <c r="H113" s="212">
        <v>0</v>
      </c>
      <c r="I113" s="212" t="s">
        <v>1846</v>
      </c>
      <c r="J113" s="212">
        <v>3</v>
      </c>
      <c r="K113" s="286">
        <v>7</v>
      </c>
      <c r="L113" s="286">
        <v>5</v>
      </c>
      <c r="M113" s="286">
        <v>2</v>
      </c>
      <c r="N113" s="286">
        <v>0</v>
      </c>
      <c r="O113" s="286">
        <v>0</v>
      </c>
      <c r="P113" s="286">
        <v>0</v>
      </c>
      <c r="Q113" s="286">
        <v>1</v>
      </c>
      <c r="R113" s="286">
        <v>0</v>
      </c>
      <c r="S113" s="286">
        <v>1</v>
      </c>
      <c r="T113" s="286">
        <v>0</v>
      </c>
      <c r="U113" s="286">
        <v>0</v>
      </c>
      <c r="V113" s="286">
        <v>0</v>
      </c>
      <c r="W113" s="286">
        <v>1</v>
      </c>
      <c r="X113" s="286">
        <v>0</v>
      </c>
      <c r="Y113" s="286">
        <v>1</v>
      </c>
    </row>
    <row r="114" spans="1:25">
      <c r="A114" s="212">
        <v>925</v>
      </c>
      <c r="B114" s="212" t="s">
        <v>1642</v>
      </c>
      <c r="C114" s="212">
        <v>1</v>
      </c>
      <c r="D114" s="212" t="s">
        <v>1643</v>
      </c>
      <c r="E114" s="212" t="s">
        <v>1847</v>
      </c>
      <c r="F114" s="212">
        <v>5</v>
      </c>
      <c r="G114" s="212" t="s">
        <v>1645</v>
      </c>
      <c r="H114" s="212">
        <v>0</v>
      </c>
      <c r="I114" s="212" t="s">
        <v>1848</v>
      </c>
      <c r="J114" s="212">
        <v>213</v>
      </c>
      <c r="K114" s="286">
        <v>1800</v>
      </c>
      <c r="L114" s="286">
        <v>1379</v>
      </c>
      <c r="M114" s="286">
        <v>421</v>
      </c>
      <c r="N114" s="286">
        <v>15</v>
      </c>
      <c r="O114" s="286">
        <v>14</v>
      </c>
      <c r="P114" s="286">
        <v>1</v>
      </c>
      <c r="Q114" s="286">
        <v>137</v>
      </c>
      <c r="R114" s="286">
        <v>92</v>
      </c>
      <c r="S114" s="286">
        <v>45</v>
      </c>
      <c r="T114" s="286">
        <v>38</v>
      </c>
      <c r="U114" s="286">
        <v>25</v>
      </c>
      <c r="V114" s="286">
        <v>13</v>
      </c>
      <c r="W114" s="286">
        <v>99</v>
      </c>
      <c r="X114" s="286">
        <v>67</v>
      </c>
      <c r="Y114" s="286">
        <v>32</v>
      </c>
    </row>
    <row r="115" spans="1:25">
      <c r="A115" s="212">
        <v>934</v>
      </c>
      <c r="B115" s="212" t="s">
        <v>1642</v>
      </c>
      <c r="C115" s="212">
        <v>1</v>
      </c>
      <c r="D115" s="212" t="s">
        <v>1643</v>
      </c>
      <c r="E115" s="212" t="s">
        <v>1849</v>
      </c>
      <c r="F115" s="212">
        <v>5</v>
      </c>
      <c r="G115" s="212" t="s">
        <v>1645</v>
      </c>
      <c r="H115" s="212">
        <v>0</v>
      </c>
      <c r="I115" s="212" t="s">
        <v>1850</v>
      </c>
      <c r="J115" s="212">
        <v>25</v>
      </c>
      <c r="K115" s="286">
        <v>137</v>
      </c>
      <c r="L115" s="286">
        <v>80</v>
      </c>
      <c r="M115" s="286">
        <v>57</v>
      </c>
      <c r="N115" s="286">
        <v>0</v>
      </c>
      <c r="O115" s="286">
        <v>0</v>
      </c>
      <c r="P115" s="286">
        <v>0</v>
      </c>
      <c r="Q115" s="286">
        <v>2</v>
      </c>
      <c r="R115" s="286">
        <v>2</v>
      </c>
      <c r="S115" s="286">
        <v>0</v>
      </c>
      <c r="T115" s="286">
        <v>2</v>
      </c>
      <c r="U115" s="286">
        <v>2</v>
      </c>
      <c r="V115" s="286">
        <v>0</v>
      </c>
      <c r="W115" s="286">
        <v>0</v>
      </c>
      <c r="X115" s="286">
        <v>0</v>
      </c>
      <c r="Y115" s="286">
        <v>0</v>
      </c>
    </row>
    <row r="116" spans="1:25">
      <c r="A116" s="212">
        <v>943</v>
      </c>
      <c r="B116" s="212" t="s">
        <v>1642</v>
      </c>
      <c r="C116" s="212">
        <v>1</v>
      </c>
      <c r="D116" s="212" t="s">
        <v>1643</v>
      </c>
      <c r="E116" s="212" t="s">
        <v>1851</v>
      </c>
      <c r="F116" s="212">
        <v>5</v>
      </c>
      <c r="G116" s="212" t="s">
        <v>1645</v>
      </c>
      <c r="H116" s="212">
        <v>0</v>
      </c>
      <c r="I116" s="212" t="s">
        <v>1852</v>
      </c>
      <c r="J116" s="212">
        <v>264</v>
      </c>
      <c r="K116" s="286">
        <v>967</v>
      </c>
      <c r="L116" s="286">
        <v>698</v>
      </c>
      <c r="M116" s="286">
        <v>269</v>
      </c>
      <c r="N116" s="286">
        <v>0</v>
      </c>
      <c r="O116" s="286">
        <v>0</v>
      </c>
      <c r="P116" s="286">
        <v>0</v>
      </c>
      <c r="Q116" s="286">
        <v>13</v>
      </c>
      <c r="R116" s="286">
        <v>9</v>
      </c>
      <c r="S116" s="286">
        <v>4</v>
      </c>
      <c r="T116" s="286">
        <v>1</v>
      </c>
      <c r="U116" s="286">
        <v>1</v>
      </c>
      <c r="V116" s="286">
        <v>0</v>
      </c>
      <c r="W116" s="286">
        <v>12</v>
      </c>
      <c r="X116" s="286">
        <v>8</v>
      </c>
      <c r="Y116" s="286">
        <v>4</v>
      </c>
    </row>
    <row r="117" spans="1:25">
      <c r="A117" s="212">
        <v>952</v>
      </c>
      <c r="B117" s="212" t="s">
        <v>1642</v>
      </c>
      <c r="C117" s="212">
        <v>1</v>
      </c>
      <c r="D117" s="212" t="s">
        <v>1643</v>
      </c>
      <c r="E117" s="212" t="s">
        <v>1853</v>
      </c>
      <c r="F117" s="212">
        <v>5</v>
      </c>
      <c r="G117" s="212" t="s">
        <v>1645</v>
      </c>
      <c r="H117" s="212">
        <v>0</v>
      </c>
      <c r="I117" s="212" t="s">
        <v>1854</v>
      </c>
      <c r="J117" s="212">
        <v>51</v>
      </c>
      <c r="K117" s="286">
        <v>409</v>
      </c>
      <c r="L117" s="286">
        <v>242</v>
      </c>
      <c r="M117" s="286">
        <v>167</v>
      </c>
      <c r="N117" s="286">
        <v>0</v>
      </c>
      <c r="O117" s="286">
        <v>0</v>
      </c>
      <c r="P117" s="286">
        <v>0</v>
      </c>
      <c r="Q117" s="286">
        <v>0</v>
      </c>
      <c r="R117" s="286">
        <v>0</v>
      </c>
      <c r="S117" s="286">
        <v>0</v>
      </c>
      <c r="T117" s="286">
        <v>0</v>
      </c>
      <c r="U117" s="286">
        <v>0</v>
      </c>
      <c r="V117" s="286">
        <v>0</v>
      </c>
      <c r="W117" s="286">
        <v>0</v>
      </c>
      <c r="X117" s="286">
        <v>0</v>
      </c>
      <c r="Y117" s="286">
        <v>0</v>
      </c>
    </row>
    <row r="118" spans="1:25">
      <c r="A118" s="212">
        <v>961</v>
      </c>
      <c r="B118" s="212" t="s">
        <v>1642</v>
      </c>
      <c r="C118" s="212">
        <v>1</v>
      </c>
      <c r="D118" s="212" t="s">
        <v>1643</v>
      </c>
      <c r="E118" s="212" t="s">
        <v>1855</v>
      </c>
      <c r="F118" s="212">
        <v>4</v>
      </c>
      <c r="G118" s="212" t="s">
        <v>1645</v>
      </c>
      <c r="H118" s="212">
        <v>0</v>
      </c>
      <c r="I118" s="212" t="s">
        <v>1856</v>
      </c>
      <c r="J118" s="212">
        <v>350</v>
      </c>
      <c r="K118" s="286">
        <v>7854</v>
      </c>
      <c r="L118" s="286">
        <v>5723</v>
      </c>
      <c r="M118" s="286">
        <v>2131</v>
      </c>
      <c r="N118" s="286">
        <v>91</v>
      </c>
      <c r="O118" s="286">
        <v>86</v>
      </c>
      <c r="P118" s="286">
        <v>5</v>
      </c>
      <c r="Q118" s="286">
        <v>290</v>
      </c>
      <c r="R118" s="286">
        <v>215</v>
      </c>
      <c r="S118" s="286">
        <v>75</v>
      </c>
      <c r="T118" s="286">
        <v>170</v>
      </c>
      <c r="U118" s="286">
        <v>142</v>
      </c>
      <c r="V118" s="286">
        <v>28</v>
      </c>
      <c r="W118" s="286">
        <v>120</v>
      </c>
      <c r="X118" s="286">
        <v>73</v>
      </c>
      <c r="Y118" s="286">
        <v>47</v>
      </c>
    </row>
    <row r="119" spans="1:25">
      <c r="A119" s="212">
        <v>970</v>
      </c>
      <c r="B119" s="212" t="s">
        <v>1642</v>
      </c>
      <c r="C119" s="212">
        <v>1</v>
      </c>
      <c r="D119" s="212" t="s">
        <v>1643</v>
      </c>
      <c r="E119" s="212" t="s">
        <v>1857</v>
      </c>
      <c r="F119" s="212">
        <v>5</v>
      </c>
      <c r="G119" s="212" t="s">
        <v>1645</v>
      </c>
      <c r="H119" s="212">
        <v>0</v>
      </c>
      <c r="I119" s="212" t="s">
        <v>1858</v>
      </c>
      <c r="J119" s="212">
        <v>5</v>
      </c>
      <c r="K119" s="286">
        <v>52</v>
      </c>
      <c r="L119" s="286">
        <v>43</v>
      </c>
      <c r="M119" s="286">
        <v>9</v>
      </c>
      <c r="N119" s="286">
        <v>0</v>
      </c>
      <c r="O119" s="286">
        <v>0</v>
      </c>
      <c r="P119" s="286">
        <v>0</v>
      </c>
      <c r="Q119" s="286">
        <v>3</v>
      </c>
      <c r="R119" s="286">
        <v>3</v>
      </c>
      <c r="S119" s="286">
        <v>0</v>
      </c>
      <c r="T119" s="286">
        <v>3</v>
      </c>
      <c r="U119" s="286">
        <v>3</v>
      </c>
      <c r="V119" s="286">
        <v>0</v>
      </c>
      <c r="W119" s="286">
        <v>0</v>
      </c>
      <c r="X119" s="286">
        <v>0</v>
      </c>
      <c r="Y119" s="286">
        <v>0</v>
      </c>
    </row>
    <row r="120" spans="1:25">
      <c r="A120" s="212">
        <v>979</v>
      </c>
      <c r="B120" s="212" t="s">
        <v>1642</v>
      </c>
      <c r="C120" s="212">
        <v>1</v>
      </c>
      <c r="D120" s="212" t="s">
        <v>1643</v>
      </c>
      <c r="E120" s="212" t="s">
        <v>1859</v>
      </c>
      <c r="F120" s="212">
        <v>5</v>
      </c>
      <c r="G120" s="212" t="s">
        <v>1645</v>
      </c>
      <c r="H120" s="212">
        <v>0</v>
      </c>
      <c r="I120" s="212" t="s">
        <v>1860</v>
      </c>
      <c r="J120" s="212">
        <v>5</v>
      </c>
      <c r="K120" s="286">
        <v>200</v>
      </c>
      <c r="L120" s="286">
        <v>176</v>
      </c>
      <c r="M120" s="286">
        <v>24</v>
      </c>
      <c r="N120" s="286">
        <v>0</v>
      </c>
      <c r="O120" s="286">
        <v>0</v>
      </c>
      <c r="P120" s="286">
        <v>0</v>
      </c>
      <c r="Q120" s="286">
        <v>4</v>
      </c>
      <c r="R120" s="286">
        <v>4</v>
      </c>
      <c r="S120" s="286">
        <v>0</v>
      </c>
      <c r="T120" s="286">
        <v>4</v>
      </c>
      <c r="U120" s="286">
        <v>4</v>
      </c>
      <c r="V120" s="286">
        <v>0</v>
      </c>
      <c r="W120" s="286">
        <v>0</v>
      </c>
      <c r="X120" s="286">
        <v>0</v>
      </c>
      <c r="Y120" s="286">
        <v>0</v>
      </c>
    </row>
    <row r="121" spans="1:25">
      <c r="A121" s="212">
        <v>988</v>
      </c>
      <c r="B121" s="212" t="s">
        <v>1642</v>
      </c>
      <c r="C121" s="212">
        <v>1</v>
      </c>
      <c r="D121" s="212" t="s">
        <v>1643</v>
      </c>
      <c r="E121" s="212" t="s">
        <v>1861</v>
      </c>
      <c r="F121" s="212">
        <v>5</v>
      </c>
      <c r="G121" s="212" t="s">
        <v>1645</v>
      </c>
      <c r="H121" s="212">
        <v>0</v>
      </c>
      <c r="I121" s="212" t="s">
        <v>1862</v>
      </c>
      <c r="J121" s="212">
        <v>13</v>
      </c>
      <c r="K121" s="286">
        <v>619</v>
      </c>
      <c r="L121" s="286">
        <v>523</v>
      </c>
      <c r="M121" s="286">
        <v>96</v>
      </c>
      <c r="N121" s="286">
        <v>0</v>
      </c>
      <c r="O121" s="286">
        <v>0</v>
      </c>
      <c r="P121" s="286">
        <v>0</v>
      </c>
      <c r="Q121" s="286">
        <v>9</v>
      </c>
      <c r="R121" s="286">
        <v>3</v>
      </c>
      <c r="S121" s="286">
        <v>6</v>
      </c>
      <c r="T121" s="286">
        <v>2</v>
      </c>
      <c r="U121" s="286">
        <v>2</v>
      </c>
      <c r="V121" s="286">
        <v>0</v>
      </c>
      <c r="W121" s="286">
        <v>7</v>
      </c>
      <c r="X121" s="286">
        <v>1</v>
      </c>
      <c r="Y121" s="286">
        <v>6</v>
      </c>
    </row>
    <row r="122" spans="1:25">
      <c r="A122" s="212">
        <v>997</v>
      </c>
      <c r="B122" s="212" t="s">
        <v>1642</v>
      </c>
      <c r="C122" s="212">
        <v>1</v>
      </c>
      <c r="D122" s="212" t="s">
        <v>1643</v>
      </c>
      <c r="E122" s="212" t="s">
        <v>1863</v>
      </c>
      <c r="F122" s="212">
        <v>5</v>
      </c>
      <c r="G122" s="212" t="s">
        <v>1645</v>
      </c>
      <c r="H122" s="212">
        <v>0</v>
      </c>
      <c r="I122" s="212" t="s">
        <v>1864</v>
      </c>
      <c r="J122" s="212">
        <v>27</v>
      </c>
      <c r="K122" s="286">
        <v>1210</v>
      </c>
      <c r="L122" s="286">
        <v>1019</v>
      </c>
      <c r="M122" s="286">
        <v>191</v>
      </c>
      <c r="N122" s="286">
        <v>72</v>
      </c>
      <c r="O122" s="286">
        <v>68</v>
      </c>
      <c r="P122" s="286">
        <v>4</v>
      </c>
      <c r="Q122" s="286">
        <v>57</v>
      </c>
      <c r="R122" s="286">
        <v>52</v>
      </c>
      <c r="S122" s="286">
        <v>5</v>
      </c>
      <c r="T122" s="286">
        <v>57</v>
      </c>
      <c r="U122" s="286">
        <v>52</v>
      </c>
      <c r="V122" s="286">
        <v>5</v>
      </c>
      <c r="W122" s="286">
        <v>0</v>
      </c>
      <c r="X122" s="286">
        <v>0</v>
      </c>
      <c r="Y122" s="286">
        <v>0</v>
      </c>
    </row>
    <row r="123" spans="1:25">
      <c r="A123" s="212">
        <v>1006</v>
      </c>
      <c r="B123" s="212" t="s">
        <v>1642</v>
      </c>
      <c r="C123" s="212">
        <v>1</v>
      </c>
      <c r="D123" s="212" t="s">
        <v>1643</v>
      </c>
      <c r="E123" s="212" t="s">
        <v>1865</v>
      </c>
      <c r="F123" s="212">
        <v>5</v>
      </c>
      <c r="G123" s="212" t="s">
        <v>1645</v>
      </c>
      <c r="H123" s="212">
        <v>0</v>
      </c>
      <c r="I123" s="212" t="s">
        <v>1866</v>
      </c>
      <c r="J123" s="212">
        <v>32</v>
      </c>
      <c r="K123" s="286">
        <v>572</v>
      </c>
      <c r="L123" s="286">
        <v>341</v>
      </c>
      <c r="M123" s="286">
        <v>231</v>
      </c>
      <c r="N123" s="286">
        <v>3</v>
      </c>
      <c r="O123" s="286">
        <v>2</v>
      </c>
      <c r="P123" s="286">
        <v>1</v>
      </c>
      <c r="Q123" s="286">
        <v>8</v>
      </c>
      <c r="R123" s="286">
        <v>6</v>
      </c>
      <c r="S123" s="286">
        <v>2</v>
      </c>
      <c r="T123" s="286">
        <v>7</v>
      </c>
      <c r="U123" s="286">
        <v>6</v>
      </c>
      <c r="V123" s="286">
        <v>1</v>
      </c>
      <c r="W123" s="286">
        <v>1</v>
      </c>
      <c r="X123" s="286">
        <v>0</v>
      </c>
      <c r="Y123" s="286">
        <v>1</v>
      </c>
    </row>
    <row r="124" spans="1:25">
      <c r="A124" s="212">
        <v>1015</v>
      </c>
      <c r="B124" s="212" t="s">
        <v>1642</v>
      </c>
      <c r="C124" s="212">
        <v>1</v>
      </c>
      <c r="D124" s="212" t="s">
        <v>1643</v>
      </c>
      <c r="E124" s="212" t="s">
        <v>1867</v>
      </c>
      <c r="F124" s="212">
        <v>5</v>
      </c>
      <c r="G124" s="212" t="s">
        <v>1645</v>
      </c>
      <c r="H124" s="212">
        <v>0</v>
      </c>
      <c r="I124" s="212" t="s">
        <v>1868</v>
      </c>
      <c r="J124" s="212">
        <v>225</v>
      </c>
      <c r="K124" s="286">
        <v>4343</v>
      </c>
      <c r="L124" s="286">
        <v>2998</v>
      </c>
      <c r="M124" s="286">
        <v>1345</v>
      </c>
      <c r="N124" s="286">
        <v>16</v>
      </c>
      <c r="O124" s="286">
        <v>16</v>
      </c>
      <c r="P124" s="286">
        <v>0</v>
      </c>
      <c r="Q124" s="286">
        <v>172</v>
      </c>
      <c r="R124" s="286">
        <v>118</v>
      </c>
      <c r="S124" s="286">
        <v>54</v>
      </c>
      <c r="T124" s="286">
        <v>85</v>
      </c>
      <c r="U124" s="286">
        <v>65</v>
      </c>
      <c r="V124" s="286">
        <v>20</v>
      </c>
      <c r="W124" s="286">
        <v>87</v>
      </c>
      <c r="X124" s="286">
        <v>53</v>
      </c>
      <c r="Y124" s="286">
        <v>34</v>
      </c>
    </row>
    <row r="125" spans="1:25">
      <c r="A125" s="212">
        <v>1024</v>
      </c>
      <c r="B125" s="212" t="s">
        <v>1642</v>
      </c>
      <c r="C125" s="212">
        <v>1</v>
      </c>
      <c r="D125" s="212" t="s">
        <v>1643</v>
      </c>
      <c r="E125" s="212" t="s">
        <v>1869</v>
      </c>
      <c r="F125" s="212">
        <v>5</v>
      </c>
      <c r="G125" s="212" t="s">
        <v>1645</v>
      </c>
      <c r="H125" s="212">
        <v>0</v>
      </c>
      <c r="I125" s="212" t="s">
        <v>1870</v>
      </c>
      <c r="J125" s="212">
        <v>43</v>
      </c>
      <c r="K125" s="286">
        <v>858</v>
      </c>
      <c r="L125" s="286">
        <v>623</v>
      </c>
      <c r="M125" s="286">
        <v>235</v>
      </c>
      <c r="N125" s="286">
        <v>0</v>
      </c>
      <c r="O125" s="286">
        <v>0</v>
      </c>
      <c r="P125" s="286">
        <v>0</v>
      </c>
      <c r="Q125" s="286">
        <v>37</v>
      </c>
      <c r="R125" s="286">
        <v>29</v>
      </c>
      <c r="S125" s="286">
        <v>8</v>
      </c>
      <c r="T125" s="286">
        <v>12</v>
      </c>
      <c r="U125" s="286">
        <v>10</v>
      </c>
      <c r="V125" s="286">
        <v>2</v>
      </c>
      <c r="W125" s="286">
        <v>25</v>
      </c>
      <c r="X125" s="286">
        <v>19</v>
      </c>
      <c r="Y125" s="286">
        <v>6</v>
      </c>
    </row>
    <row r="126" spans="1:25">
      <c r="A126" s="212">
        <v>1033</v>
      </c>
      <c r="B126" s="212" t="s">
        <v>1642</v>
      </c>
      <c r="C126" s="212">
        <v>1</v>
      </c>
      <c r="D126" s="212" t="s">
        <v>1643</v>
      </c>
      <c r="E126" s="212" t="s">
        <v>1871</v>
      </c>
      <c r="F126" s="212">
        <v>4</v>
      </c>
      <c r="G126" s="212" t="s">
        <v>1645</v>
      </c>
      <c r="H126" s="212">
        <v>0</v>
      </c>
      <c r="I126" s="212" t="s">
        <v>1872</v>
      </c>
      <c r="J126" s="212">
        <v>817</v>
      </c>
      <c r="K126" s="286">
        <v>8802</v>
      </c>
      <c r="L126" s="286">
        <v>6067</v>
      </c>
      <c r="M126" s="286">
        <v>2719</v>
      </c>
      <c r="N126" s="286">
        <v>96</v>
      </c>
      <c r="O126" s="286">
        <v>60</v>
      </c>
      <c r="P126" s="286">
        <v>36</v>
      </c>
      <c r="Q126" s="286">
        <v>380</v>
      </c>
      <c r="R126" s="286">
        <v>263</v>
      </c>
      <c r="S126" s="286">
        <v>117</v>
      </c>
      <c r="T126" s="286">
        <v>152</v>
      </c>
      <c r="U126" s="286">
        <v>130</v>
      </c>
      <c r="V126" s="286">
        <v>22</v>
      </c>
      <c r="W126" s="286">
        <v>226</v>
      </c>
      <c r="X126" s="286">
        <v>133</v>
      </c>
      <c r="Y126" s="286">
        <v>93</v>
      </c>
    </row>
    <row r="127" spans="1:25">
      <c r="A127" s="212">
        <v>1042</v>
      </c>
      <c r="B127" s="212" t="s">
        <v>1642</v>
      </c>
      <c r="C127" s="212">
        <v>1</v>
      </c>
      <c r="D127" s="212" t="s">
        <v>1643</v>
      </c>
      <c r="E127" s="212" t="s">
        <v>1873</v>
      </c>
      <c r="F127" s="212">
        <v>5</v>
      </c>
      <c r="G127" s="212" t="s">
        <v>1645</v>
      </c>
      <c r="H127" s="212">
        <v>0</v>
      </c>
      <c r="I127" s="212" t="s">
        <v>1874</v>
      </c>
      <c r="J127" s="212">
        <v>6</v>
      </c>
      <c r="K127" s="286">
        <v>47</v>
      </c>
      <c r="L127" s="286">
        <v>31</v>
      </c>
      <c r="M127" s="286">
        <v>16</v>
      </c>
      <c r="N127" s="286">
        <v>0</v>
      </c>
      <c r="O127" s="286">
        <v>0</v>
      </c>
      <c r="P127" s="286">
        <v>0</v>
      </c>
      <c r="Q127" s="286">
        <v>1</v>
      </c>
      <c r="R127" s="286">
        <v>1</v>
      </c>
      <c r="S127" s="286">
        <v>0</v>
      </c>
      <c r="T127" s="286">
        <v>1</v>
      </c>
      <c r="U127" s="286">
        <v>1</v>
      </c>
      <c r="V127" s="286">
        <v>0</v>
      </c>
      <c r="W127" s="286">
        <v>0</v>
      </c>
      <c r="X127" s="286">
        <v>0</v>
      </c>
      <c r="Y127" s="286">
        <v>0</v>
      </c>
    </row>
    <row r="128" spans="1:25">
      <c r="A128" s="212">
        <v>1051</v>
      </c>
      <c r="B128" s="212" t="s">
        <v>1642</v>
      </c>
      <c r="C128" s="212">
        <v>1</v>
      </c>
      <c r="D128" s="212" t="s">
        <v>1643</v>
      </c>
      <c r="E128" s="212" t="s">
        <v>1875</v>
      </c>
      <c r="F128" s="212">
        <v>5</v>
      </c>
      <c r="G128" s="212" t="s">
        <v>1645</v>
      </c>
      <c r="H128" s="212">
        <v>0</v>
      </c>
      <c r="I128" s="212" t="s">
        <v>1876</v>
      </c>
      <c r="J128" s="212">
        <v>711</v>
      </c>
      <c r="K128" s="286">
        <v>7853</v>
      </c>
      <c r="L128" s="286">
        <v>5457</v>
      </c>
      <c r="M128" s="286">
        <v>2388</v>
      </c>
      <c r="N128" s="286">
        <v>86</v>
      </c>
      <c r="O128" s="286">
        <v>54</v>
      </c>
      <c r="P128" s="286">
        <v>32</v>
      </c>
      <c r="Q128" s="286">
        <v>275</v>
      </c>
      <c r="R128" s="286">
        <v>178</v>
      </c>
      <c r="S128" s="286">
        <v>97</v>
      </c>
      <c r="T128" s="286">
        <v>147</v>
      </c>
      <c r="U128" s="286">
        <v>125</v>
      </c>
      <c r="V128" s="286">
        <v>22</v>
      </c>
      <c r="W128" s="286">
        <v>126</v>
      </c>
      <c r="X128" s="286">
        <v>53</v>
      </c>
      <c r="Y128" s="286">
        <v>73</v>
      </c>
    </row>
    <row r="129" spans="1:25">
      <c r="A129" s="212">
        <v>1060</v>
      </c>
      <c r="B129" s="212" t="s">
        <v>1642</v>
      </c>
      <c r="C129" s="212">
        <v>1</v>
      </c>
      <c r="D129" s="212" t="s">
        <v>1643</v>
      </c>
      <c r="E129" s="212" t="s">
        <v>1877</v>
      </c>
      <c r="F129" s="212">
        <v>5</v>
      </c>
      <c r="G129" s="212" t="s">
        <v>1645</v>
      </c>
      <c r="H129" s="212">
        <v>0</v>
      </c>
      <c r="I129" s="212" t="s">
        <v>1878</v>
      </c>
      <c r="J129" s="212">
        <v>33</v>
      </c>
      <c r="K129" s="286">
        <v>211</v>
      </c>
      <c r="L129" s="286">
        <v>129</v>
      </c>
      <c r="M129" s="286">
        <v>82</v>
      </c>
      <c r="N129" s="286">
        <v>10</v>
      </c>
      <c r="O129" s="286">
        <v>6</v>
      </c>
      <c r="P129" s="286">
        <v>4</v>
      </c>
      <c r="Q129" s="286">
        <v>4</v>
      </c>
      <c r="R129" s="286">
        <v>4</v>
      </c>
      <c r="S129" s="286">
        <v>0</v>
      </c>
      <c r="T129" s="286">
        <v>4</v>
      </c>
      <c r="U129" s="286">
        <v>4</v>
      </c>
      <c r="V129" s="286">
        <v>0</v>
      </c>
      <c r="W129" s="286">
        <v>0</v>
      </c>
      <c r="X129" s="286">
        <v>0</v>
      </c>
      <c r="Y129" s="286">
        <v>0</v>
      </c>
    </row>
    <row r="130" spans="1:25">
      <c r="A130" s="212">
        <v>1069</v>
      </c>
      <c r="B130" s="212" t="s">
        <v>1642</v>
      </c>
      <c r="C130" s="212">
        <v>1</v>
      </c>
      <c r="D130" s="212" t="s">
        <v>1643</v>
      </c>
      <c r="E130" s="212" t="s">
        <v>1879</v>
      </c>
      <c r="F130" s="212">
        <v>5</v>
      </c>
      <c r="G130" s="212" t="s">
        <v>1645</v>
      </c>
      <c r="H130" s="212">
        <v>0</v>
      </c>
      <c r="I130" s="212" t="s">
        <v>1880</v>
      </c>
      <c r="J130" s="212">
        <v>57</v>
      </c>
      <c r="K130" s="286">
        <v>676</v>
      </c>
      <c r="L130" s="286">
        <v>442</v>
      </c>
      <c r="M130" s="286">
        <v>226</v>
      </c>
      <c r="N130" s="286">
        <v>0</v>
      </c>
      <c r="O130" s="286">
        <v>0</v>
      </c>
      <c r="P130" s="286">
        <v>0</v>
      </c>
      <c r="Q130" s="286">
        <v>100</v>
      </c>
      <c r="R130" s="286">
        <v>80</v>
      </c>
      <c r="S130" s="286">
        <v>20</v>
      </c>
      <c r="T130" s="286">
        <v>0</v>
      </c>
      <c r="U130" s="286">
        <v>0</v>
      </c>
      <c r="V130" s="286">
        <v>0</v>
      </c>
      <c r="W130" s="286">
        <v>100</v>
      </c>
      <c r="X130" s="286">
        <v>80</v>
      </c>
      <c r="Y130" s="286">
        <v>20</v>
      </c>
    </row>
    <row r="131" spans="1:25">
      <c r="A131" s="212">
        <v>1078</v>
      </c>
      <c r="B131" s="212" t="s">
        <v>1642</v>
      </c>
      <c r="C131" s="212">
        <v>1</v>
      </c>
      <c r="D131" s="212" t="s">
        <v>1643</v>
      </c>
      <c r="E131" s="212" t="s">
        <v>1881</v>
      </c>
      <c r="F131" s="212">
        <v>5</v>
      </c>
      <c r="G131" s="212" t="s">
        <v>1645</v>
      </c>
      <c r="H131" s="212">
        <v>0</v>
      </c>
      <c r="I131" s="212" t="s">
        <v>1882</v>
      </c>
      <c r="J131" s="212">
        <v>10</v>
      </c>
      <c r="K131" s="286">
        <v>15</v>
      </c>
      <c r="L131" s="286">
        <v>8</v>
      </c>
      <c r="M131" s="286">
        <v>7</v>
      </c>
      <c r="N131" s="286">
        <v>0</v>
      </c>
      <c r="O131" s="286">
        <v>0</v>
      </c>
      <c r="P131" s="286">
        <v>0</v>
      </c>
      <c r="Q131" s="286">
        <v>0</v>
      </c>
      <c r="R131" s="286">
        <v>0</v>
      </c>
      <c r="S131" s="286">
        <v>0</v>
      </c>
      <c r="T131" s="286">
        <v>0</v>
      </c>
      <c r="U131" s="286">
        <v>0</v>
      </c>
      <c r="V131" s="286">
        <v>0</v>
      </c>
      <c r="W131" s="286">
        <v>0</v>
      </c>
      <c r="X131" s="286">
        <v>0</v>
      </c>
      <c r="Y131" s="286">
        <v>0</v>
      </c>
    </row>
    <row r="132" spans="1:25">
      <c r="A132" s="212">
        <v>1087</v>
      </c>
      <c r="B132" s="212" t="s">
        <v>1642</v>
      </c>
      <c r="C132" s="212">
        <v>1</v>
      </c>
      <c r="D132" s="212" t="s">
        <v>1643</v>
      </c>
      <c r="E132" s="212" t="s">
        <v>1883</v>
      </c>
      <c r="F132" s="212">
        <v>4</v>
      </c>
      <c r="G132" s="212" t="s">
        <v>1645</v>
      </c>
      <c r="H132" s="212">
        <v>0</v>
      </c>
      <c r="I132" s="212" t="s">
        <v>1884</v>
      </c>
      <c r="J132" s="212">
        <v>485</v>
      </c>
      <c r="K132" s="286">
        <v>24095</v>
      </c>
      <c r="L132" s="286">
        <v>18228</v>
      </c>
      <c r="M132" s="286">
        <v>5849</v>
      </c>
      <c r="N132" s="286">
        <v>609</v>
      </c>
      <c r="O132" s="286">
        <v>562</v>
      </c>
      <c r="P132" s="286">
        <v>47</v>
      </c>
      <c r="Q132" s="286">
        <v>1796</v>
      </c>
      <c r="R132" s="286">
        <v>1020</v>
      </c>
      <c r="S132" s="286">
        <v>776</v>
      </c>
      <c r="T132" s="286">
        <v>545</v>
      </c>
      <c r="U132" s="286">
        <v>438</v>
      </c>
      <c r="V132" s="286">
        <v>107</v>
      </c>
      <c r="W132" s="286">
        <v>1211</v>
      </c>
      <c r="X132" s="286">
        <v>563</v>
      </c>
      <c r="Y132" s="286">
        <v>648</v>
      </c>
    </row>
    <row r="133" spans="1:25">
      <c r="A133" s="212">
        <v>1096</v>
      </c>
      <c r="B133" s="212" t="s">
        <v>1642</v>
      </c>
      <c r="C133" s="212">
        <v>1</v>
      </c>
      <c r="D133" s="212" t="s">
        <v>1643</v>
      </c>
      <c r="E133" s="212" t="s">
        <v>1885</v>
      </c>
      <c r="F133" s="212">
        <v>5</v>
      </c>
      <c r="G133" s="212" t="s">
        <v>1645</v>
      </c>
      <c r="H133" s="212">
        <v>0</v>
      </c>
      <c r="I133" s="212" t="s">
        <v>1886</v>
      </c>
      <c r="J133" s="212">
        <v>18</v>
      </c>
      <c r="K133" s="286">
        <v>699</v>
      </c>
      <c r="L133" s="286">
        <v>419</v>
      </c>
      <c r="M133" s="286">
        <v>280</v>
      </c>
      <c r="N133" s="286">
        <v>8</v>
      </c>
      <c r="O133" s="286">
        <v>8</v>
      </c>
      <c r="P133" s="286">
        <v>0</v>
      </c>
      <c r="Q133" s="286">
        <v>35</v>
      </c>
      <c r="R133" s="286">
        <v>21</v>
      </c>
      <c r="S133" s="286">
        <v>14</v>
      </c>
      <c r="T133" s="286">
        <v>10</v>
      </c>
      <c r="U133" s="286">
        <v>10</v>
      </c>
      <c r="V133" s="286">
        <v>0</v>
      </c>
      <c r="W133" s="286">
        <v>25</v>
      </c>
      <c r="X133" s="286">
        <v>11</v>
      </c>
      <c r="Y133" s="286">
        <v>14</v>
      </c>
    </row>
    <row r="134" spans="1:25">
      <c r="A134" s="212">
        <v>1105</v>
      </c>
      <c r="B134" s="212" t="s">
        <v>1642</v>
      </c>
      <c r="C134" s="212">
        <v>1</v>
      </c>
      <c r="D134" s="212" t="s">
        <v>1643</v>
      </c>
      <c r="E134" s="212" t="s">
        <v>1887</v>
      </c>
      <c r="F134" s="212">
        <v>5</v>
      </c>
      <c r="G134" s="212" t="s">
        <v>1645</v>
      </c>
      <c r="H134" s="212">
        <v>0</v>
      </c>
      <c r="I134" s="212" t="s">
        <v>1888</v>
      </c>
      <c r="J134" s="212">
        <v>14</v>
      </c>
      <c r="K134" s="286">
        <v>176</v>
      </c>
      <c r="L134" s="286">
        <v>113</v>
      </c>
      <c r="M134" s="286">
        <v>63</v>
      </c>
      <c r="N134" s="286">
        <v>0</v>
      </c>
      <c r="O134" s="286">
        <v>0</v>
      </c>
      <c r="P134" s="286">
        <v>0</v>
      </c>
      <c r="Q134" s="286">
        <v>14</v>
      </c>
      <c r="R134" s="286">
        <v>4</v>
      </c>
      <c r="S134" s="286">
        <v>10</v>
      </c>
      <c r="T134" s="286">
        <v>1</v>
      </c>
      <c r="U134" s="286">
        <v>1</v>
      </c>
      <c r="V134" s="286">
        <v>0</v>
      </c>
      <c r="W134" s="286">
        <v>13</v>
      </c>
      <c r="X134" s="286">
        <v>3</v>
      </c>
      <c r="Y134" s="286">
        <v>10</v>
      </c>
    </row>
    <row r="135" spans="1:25">
      <c r="A135" s="212">
        <v>1114</v>
      </c>
      <c r="B135" s="212" t="s">
        <v>1642</v>
      </c>
      <c r="C135" s="212">
        <v>1</v>
      </c>
      <c r="D135" s="212" t="s">
        <v>1643</v>
      </c>
      <c r="E135" s="212" t="s">
        <v>1889</v>
      </c>
      <c r="F135" s="212">
        <v>5</v>
      </c>
      <c r="G135" s="212" t="s">
        <v>1645</v>
      </c>
      <c r="H135" s="212">
        <v>0</v>
      </c>
      <c r="I135" s="212" t="s">
        <v>1890</v>
      </c>
      <c r="J135" s="212">
        <v>70</v>
      </c>
      <c r="K135" s="286">
        <v>2568</v>
      </c>
      <c r="L135" s="286">
        <v>2137</v>
      </c>
      <c r="M135" s="286">
        <v>431</v>
      </c>
      <c r="N135" s="286">
        <v>35</v>
      </c>
      <c r="O135" s="286">
        <v>32</v>
      </c>
      <c r="P135" s="286">
        <v>3</v>
      </c>
      <c r="Q135" s="286">
        <v>212</v>
      </c>
      <c r="R135" s="286">
        <v>158</v>
      </c>
      <c r="S135" s="286">
        <v>54</v>
      </c>
      <c r="T135" s="286">
        <v>85</v>
      </c>
      <c r="U135" s="286">
        <v>77</v>
      </c>
      <c r="V135" s="286">
        <v>8</v>
      </c>
      <c r="W135" s="286">
        <v>87</v>
      </c>
      <c r="X135" s="286">
        <v>62</v>
      </c>
      <c r="Y135" s="286">
        <v>25</v>
      </c>
    </row>
    <row r="136" spans="1:25">
      <c r="A136" s="212">
        <v>1123</v>
      </c>
      <c r="B136" s="212" t="s">
        <v>1642</v>
      </c>
      <c r="C136" s="212">
        <v>1</v>
      </c>
      <c r="D136" s="212" t="s">
        <v>1643</v>
      </c>
      <c r="E136" s="212" t="s">
        <v>1891</v>
      </c>
      <c r="F136" s="212">
        <v>5</v>
      </c>
      <c r="G136" s="212" t="s">
        <v>1645</v>
      </c>
      <c r="H136" s="212">
        <v>0</v>
      </c>
      <c r="I136" s="212" t="s">
        <v>1892</v>
      </c>
      <c r="J136" s="212">
        <v>70</v>
      </c>
      <c r="K136" s="286">
        <v>6941</v>
      </c>
      <c r="L136" s="286">
        <v>6211</v>
      </c>
      <c r="M136" s="286">
        <v>730</v>
      </c>
      <c r="N136" s="286">
        <v>305</v>
      </c>
      <c r="O136" s="286">
        <v>281</v>
      </c>
      <c r="P136" s="286">
        <v>24</v>
      </c>
      <c r="Q136" s="286">
        <v>476</v>
      </c>
      <c r="R136" s="286">
        <v>288</v>
      </c>
      <c r="S136" s="286">
        <v>188</v>
      </c>
      <c r="T136" s="286">
        <v>89</v>
      </c>
      <c r="U136" s="286">
        <v>88</v>
      </c>
      <c r="V136" s="286">
        <v>1</v>
      </c>
      <c r="W136" s="286">
        <v>387</v>
      </c>
      <c r="X136" s="286">
        <v>200</v>
      </c>
      <c r="Y136" s="286">
        <v>187</v>
      </c>
    </row>
    <row r="137" spans="1:25">
      <c r="A137" s="212">
        <v>1132</v>
      </c>
      <c r="B137" s="212" t="s">
        <v>1642</v>
      </c>
      <c r="C137" s="212">
        <v>1</v>
      </c>
      <c r="D137" s="212" t="s">
        <v>1643</v>
      </c>
      <c r="E137" s="212" t="s">
        <v>1893</v>
      </c>
      <c r="F137" s="212">
        <v>5</v>
      </c>
      <c r="G137" s="212" t="s">
        <v>1645</v>
      </c>
      <c r="H137" s="212">
        <v>0</v>
      </c>
      <c r="I137" s="212" t="s">
        <v>1894</v>
      </c>
      <c r="J137" s="212">
        <v>107</v>
      </c>
      <c r="K137" s="286">
        <v>3331</v>
      </c>
      <c r="L137" s="286">
        <v>2717</v>
      </c>
      <c r="M137" s="286">
        <v>614</v>
      </c>
      <c r="N137" s="286">
        <v>91</v>
      </c>
      <c r="O137" s="286">
        <v>88</v>
      </c>
      <c r="P137" s="286">
        <v>3</v>
      </c>
      <c r="Q137" s="286">
        <v>192</v>
      </c>
      <c r="R137" s="286">
        <v>135</v>
      </c>
      <c r="S137" s="286">
        <v>57</v>
      </c>
      <c r="T137" s="286">
        <v>62</v>
      </c>
      <c r="U137" s="286">
        <v>61</v>
      </c>
      <c r="V137" s="286">
        <v>1</v>
      </c>
      <c r="W137" s="286">
        <v>130</v>
      </c>
      <c r="X137" s="286">
        <v>74</v>
      </c>
      <c r="Y137" s="286">
        <v>56</v>
      </c>
    </row>
    <row r="138" spans="1:25">
      <c r="A138" s="212">
        <v>1141</v>
      </c>
      <c r="B138" s="212" t="s">
        <v>1642</v>
      </c>
      <c r="C138" s="212">
        <v>1</v>
      </c>
      <c r="D138" s="212" t="s">
        <v>1643</v>
      </c>
      <c r="E138" s="212" t="s">
        <v>1895</v>
      </c>
      <c r="F138" s="212">
        <v>5</v>
      </c>
      <c r="G138" s="212" t="s">
        <v>1645</v>
      </c>
      <c r="H138" s="212">
        <v>0</v>
      </c>
      <c r="I138" s="212" t="s">
        <v>1896</v>
      </c>
      <c r="J138" s="212">
        <v>60</v>
      </c>
      <c r="K138" s="286">
        <v>4942</v>
      </c>
      <c r="L138" s="286">
        <v>2992</v>
      </c>
      <c r="M138" s="286">
        <v>1950</v>
      </c>
      <c r="N138" s="286">
        <v>10</v>
      </c>
      <c r="O138" s="286">
        <v>5</v>
      </c>
      <c r="P138" s="286">
        <v>5</v>
      </c>
      <c r="Q138" s="286">
        <v>492</v>
      </c>
      <c r="R138" s="286">
        <v>185</v>
      </c>
      <c r="S138" s="286">
        <v>307</v>
      </c>
      <c r="T138" s="286">
        <v>179</v>
      </c>
      <c r="U138" s="286">
        <v>101</v>
      </c>
      <c r="V138" s="286">
        <v>78</v>
      </c>
      <c r="W138" s="286">
        <v>313</v>
      </c>
      <c r="X138" s="286">
        <v>84</v>
      </c>
      <c r="Y138" s="286">
        <v>229</v>
      </c>
    </row>
    <row r="139" spans="1:25">
      <c r="A139" s="212">
        <v>1150</v>
      </c>
      <c r="B139" s="212" t="s">
        <v>1642</v>
      </c>
      <c r="C139" s="212">
        <v>1</v>
      </c>
      <c r="D139" s="212" t="s">
        <v>1643</v>
      </c>
      <c r="E139" s="212" t="s">
        <v>1897</v>
      </c>
      <c r="F139" s="212">
        <v>5</v>
      </c>
      <c r="G139" s="212" t="s">
        <v>1645</v>
      </c>
      <c r="H139" s="212">
        <v>0</v>
      </c>
      <c r="I139" s="212" t="s">
        <v>1898</v>
      </c>
      <c r="J139" s="212">
        <v>42</v>
      </c>
      <c r="K139" s="286">
        <v>1734</v>
      </c>
      <c r="L139" s="286">
        <v>731</v>
      </c>
      <c r="M139" s="286">
        <v>985</v>
      </c>
      <c r="N139" s="286">
        <v>0</v>
      </c>
      <c r="O139" s="286">
        <v>0</v>
      </c>
      <c r="P139" s="286">
        <v>0</v>
      </c>
      <c r="Q139" s="286">
        <v>75</v>
      </c>
      <c r="R139" s="286">
        <v>26</v>
      </c>
      <c r="S139" s="286">
        <v>49</v>
      </c>
      <c r="T139" s="286">
        <v>6</v>
      </c>
      <c r="U139" s="286">
        <v>6</v>
      </c>
      <c r="V139" s="286">
        <v>0</v>
      </c>
      <c r="W139" s="286">
        <v>69</v>
      </c>
      <c r="X139" s="286">
        <v>20</v>
      </c>
      <c r="Y139" s="286">
        <v>49</v>
      </c>
    </row>
    <row r="140" spans="1:25">
      <c r="A140" s="212">
        <v>1159</v>
      </c>
      <c r="B140" s="212" t="s">
        <v>1642</v>
      </c>
      <c r="C140" s="212">
        <v>1</v>
      </c>
      <c r="D140" s="212" t="s">
        <v>1643</v>
      </c>
      <c r="E140" s="212" t="s">
        <v>1899</v>
      </c>
      <c r="F140" s="212">
        <v>5</v>
      </c>
      <c r="G140" s="212" t="s">
        <v>1645</v>
      </c>
      <c r="H140" s="212">
        <v>0</v>
      </c>
      <c r="I140" s="212" t="s">
        <v>1900</v>
      </c>
      <c r="J140" s="212">
        <v>104</v>
      </c>
      <c r="K140" s="286">
        <v>3704</v>
      </c>
      <c r="L140" s="286">
        <v>2908</v>
      </c>
      <c r="M140" s="286">
        <v>796</v>
      </c>
      <c r="N140" s="286">
        <v>160</v>
      </c>
      <c r="O140" s="286">
        <v>148</v>
      </c>
      <c r="P140" s="286">
        <v>12</v>
      </c>
      <c r="Q140" s="286">
        <v>300</v>
      </c>
      <c r="R140" s="286">
        <v>203</v>
      </c>
      <c r="S140" s="286">
        <v>97</v>
      </c>
      <c r="T140" s="286">
        <v>113</v>
      </c>
      <c r="U140" s="286">
        <v>94</v>
      </c>
      <c r="V140" s="286">
        <v>19</v>
      </c>
      <c r="W140" s="286">
        <v>187</v>
      </c>
      <c r="X140" s="286">
        <v>109</v>
      </c>
      <c r="Y140" s="286">
        <v>78</v>
      </c>
    </row>
    <row r="141" spans="1:25">
      <c r="A141" s="212">
        <v>1168</v>
      </c>
      <c r="B141" s="212" t="s">
        <v>1642</v>
      </c>
      <c r="C141" s="212">
        <v>1</v>
      </c>
      <c r="D141" s="212" t="s">
        <v>1643</v>
      </c>
      <c r="E141" s="212" t="s">
        <v>1901</v>
      </c>
      <c r="F141" s="212">
        <v>4</v>
      </c>
      <c r="G141" s="212" t="s">
        <v>1645</v>
      </c>
      <c r="H141" s="212">
        <v>0</v>
      </c>
      <c r="I141" s="212" t="s">
        <v>1902</v>
      </c>
      <c r="J141" s="212">
        <v>69</v>
      </c>
      <c r="K141" s="286">
        <v>1529</v>
      </c>
      <c r="L141" s="286">
        <v>1313</v>
      </c>
      <c r="M141" s="286">
        <v>216</v>
      </c>
      <c r="N141" s="286">
        <v>205</v>
      </c>
      <c r="O141" s="286">
        <v>182</v>
      </c>
      <c r="P141" s="286">
        <v>23</v>
      </c>
      <c r="Q141" s="286">
        <v>56</v>
      </c>
      <c r="R141" s="286">
        <v>44</v>
      </c>
      <c r="S141" s="286">
        <v>12</v>
      </c>
      <c r="T141" s="286">
        <v>24</v>
      </c>
      <c r="U141" s="286">
        <v>23</v>
      </c>
      <c r="V141" s="286">
        <v>1</v>
      </c>
      <c r="W141" s="286">
        <v>32</v>
      </c>
      <c r="X141" s="286">
        <v>21</v>
      </c>
      <c r="Y141" s="286">
        <v>11</v>
      </c>
    </row>
    <row r="142" spans="1:25">
      <c r="A142" s="212">
        <v>1177</v>
      </c>
      <c r="B142" s="212" t="s">
        <v>1642</v>
      </c>
      <c r="C142" s="212">
        <v>1</v>
      </c>
      <c r="D142" s="212" t="s">
        <v>1643</v>
      </c>
      <c r="E142" s="212" t="s">
        <v>1903</v>
      </c>
      <c r="F142" s="212">
        <v>5</v>
      </c>
      <c r="G142" s="212" t="s">
        <v>1645</v>
      </c>
      <c r="H142" s="212">
        <v>0</v>
      </c>
      <c r="I142" s="212" t="s">
        <v>1904</v>
      </c>
      <c r="J142" s="212">
        <v>3</v>
      </c>
      <c r="K142" s="286">
        <v>212</v>
      </c>
      <c r="L142" s="286">
        <v>188</v>
      </c>
      <c r="M142" s="286">
        <v>24</v>
      </c>
      <c r="N142" s="286">
        <v>147</v>
      </c>
      <c r="O142" s="286">
        <v>137</v>
      </c>
      <c r="P142" s="286">
        <v>10</v>
      </c>
      <c r="Q142" s="286">
        <v>1</v>
      </c>
      <c r="R142" s="286">
        <v>0</v>
      </c>
      <c r="S142" s="286">
        <v>1</v>
      </c>
      <c r="T142" s="286">
        <v>0</v>
      </c>
      <c r="U142" s="286">
        <v>0</v>
      </c>
      <c r="V142" s="286">
        <v>0</v>
      </c>
      <c r="W142" s="286">
        <v>1</v>
      </c>
      <c r="X142" s="286">
        <v>0</v>
      </c>
      <c r="Y142" s="286">
        <v>1</v>
      </c>
    </row>
    <row r="143" spans="1:25">
      <c r="A143" s="212">
        <v>1186</v>
      </c>
      <c r="B143" s="212" t="s">
        <v>1642</v>
      </c>
      <c r="C143" s="212">
        <v>1</v>
      </c>
      <c r="D143" s="212" t="s">
        <v>1643</v>
      </c>
      <c r="E143" s="212" t="s">
        <v>1905</v>
      </c>
      <c r="F143" s="212">
        <v>5</v>
      </c>
      <c r="G143" s="212" t="s">
        <v>1645</v>
      </c>
      <c r="H143" s="212">
        <v>0</v>
      </c>
      <c r="I143" s="212" t="s">
        <v>1906</v>
      </c>
      <c r="J143" s="212">
        <v>1</v>
      </c>
      <c r="K143" s="286">
        <v>4</v>
      </c>
      <c r="L143" s="286">
        <v>4</v>
      </c>
      <c r="M143" s="286">
        <v>0</v>
      </c>
      <c r="N143" s="286">
        <v>0</v>
      </c>
      <c r="O143" s="286">
        <v>0</v>
      </c>
      <c r="P143" s="286">
        <v>0</v>
      </c>
      <c r="Q143" s="286">
        <v>4</v>
      </c>
      <c r="R143" s="286">
        <v>3</v>
      </c>
      <c r="S143" s="286">
        <v>1</v>
      </c>
      <c r="T143" s="286">
        <v>4</v>
      </c>
      <c r="U143" s="286">
        <v>3</v>
      </c>
      <c r="V143" s="286">
        <v>1</v>
      </c>
      <c r="W143" s="286">
        <v>0</v>
      </c>
      <c r="X143" s="286">
        <v>0</v>
      </c>
      <c r="Y143" s="286">
        <v>0</v>
      </c>
    </row>
    <row r="144" spans="1:25">
      <c r="A144" s="212">
        <v>1195</v>
      </c>
      <c r="B144" s="212" t="s">
        <v>1642</v>
      </c>
      <c r="C144" s="212">
        <v>1</v>
      </c>
      <c r="D144" s="212" t="s">
        <v>1643</v>
      </c>
      <c r="E144" s="212" t="s">
        <v>1907</v>
      </c>
      <c r="F144" s="212">
        <v>5</v>
      </c>
      <c r="G144" s="212" t="s">
        <v>1645</v>
      </c>
      <c r="H144" s="212">
        <v>0</v>
      </c>
      <c r="I144" s="212" t="s">
        <v>1908</v>
      </c>
      <c r="J144" s="212">
        <v>13</v>
      </c>
      <c r="K144" s="286">
        <v>467</v>
      </c>
      <c r="L144" s="286">
        <v>392</v>
      </c>
      <c r="M144" s="286">
        <v>75</v>
      </c>
      <c r="N144" s="286">
        <v>45</v>
      </c>
      <c r="O144" s="286">
        <v>39</v>
      </c>
      <c r="P144" s="286">
        <v>6</v>
      </c>
      <c r="Q144" s="286">
        <v>25</v>
      </c>
      <c r="R144" s="286">
        <v>21</v>
      </c>
      <c r="S144" s="286">
        <v>4</v>
      </c>
      <c r="T144" s="286">
        <v>16</v>
      </c>
      <c r="U144" s="286">
        <v>16</v>
      </c>
      <c r="V144" s="286">
        <v>0</v>
      </c>
      <c r="W144" s="286">
        <v>9</v>
      </c>
      <c r="X144" s="286">
        <v>5</v>
      </c>
      <c r="Y144" s="286">
        <v>4</v>
      </c>
    </row>
    <row r="145" spans="1:25">
      <c r="A145" s="212">
        <v>1204</v>
      </c>
      <c r="B145" s="212" t="s">
        <v>1642</v>
      </c>
      <c r="C145" s="212">
        <v>1</v>
      </c>
      <c r="D145" s="212" t="s">
        <v>1643</v>
      </c>
      <c r="E145" s="212" t="s">
        <v>1909</v>
      </c>
      <c r="F145" s="212">
        <v>5</v>
      </c>
      <c r="G145" s="212" t="s">
        <v>1645</v>
      </c>
      <c r="H145" s="212">
        <v>0</v>
      </c>
      <c r="I145" s="212" t="s">
        <v>1910</v>
      </c>
      <c r="J145" s="212">
        <v>1</v>
      </c>
      <c r="K145" s="286">
        <v>316</v>
      </c>
      <c r="L145" s="286">
        <v>304</v>
      </c>
      <c r="M145" s="286">
        <v>12</v>
      </c>
      <c r="N145" s="286">
        <v>0</v>
      </c>
      <c r="O145" s="286">
        <v>0</v>
      </c>
      <c r="P145" s="286">
        <v>0</v>
      </c>
      <c r="Q145" s="286">
        <v>19</v>
      </c>
      <c r="R145" s="286">
        <v>15</v>
      </c>
      <c r="S145" s="286">
        <v>4</v>
      </c>
      <c r="T145" s="286">
        <v>2</v>
      </c>
      <c r="U145" s="286">
        <v>2</v>
      </c>
      <c r="V145" s="286">
        <v>0</v>
      </c>
      <c r="W145" s="286">
        <v>17</v>
      </c>
      <c r="X145" s="286">
        <v>13</v>
      </c>
      <c r="Y145" s="286">
        <v>4</v>
      </c>
    </row>
    <row r="146" spans="1:25">
      <c r="A146" s="212">
        <v>1213</v>
      </c>
      <c r="B146" s="212" t="s">
        <v>1642</v>
      </c>
      <c r="C146" s="212">
        <v>1</v>
      </c>
      <c r="D146" s="212" t="s">
        <v>1643</v>
      </c>
      <c r="E146" s="212" t="s">
        <v>1911</v>
      </c>
      <c r="F146" s="212">
        <v>5</v>
      </c>
      <c r="G146" s="212" t="s">
        <v>1645</v>
      </c>
      <c r="H146" s="212">
        <v>0</v>
      </c>
      <c r="I146" s="212" t="s">
        <v>1912</v>
      </c>
      <c r="J146" s="212">
        <v>38</v>
      </c>
      <c r="K146" s="286">
        <v>259</v>
      </c>
      <c r="L146" s="286">
        <v>216</v>
      </c>
      <c r="M146" s="286">
        <v>43</v>
      </c>
      <c r="N146" s="286">
        <v>0</v>
      </c>
      <c r="O146" s="286">
        <v>0</v>
      </c>
      <c r="P146" s="286">
        <v>0</v>
      </c>
      <c r="Q146" s="286">
        <v>5</v>
      </c>
      <c r="R146" s="286">
        <v>3</v>
      </c>
      <c r="S146" s="286">
        <v>2</v>
      </c>
      <c r="T146" s="286">
        <v>0</v>
      </c>
      <c r="U146" s="286">
        <v>0</v>
      </c>
      <c r="V146" s="286">
        <v>0</v>
      </c>
      <c r="W146" s="286">
        <v>5</v>
      </c>
      <c r="X146" s="286">
        <v>3</v>
      </c>
      <c r="Y146" s="286">
        <v>2</v>
      </c>
    </row>
    <row r="147" spans="1:25">
      <c r="A147" s="212">
        <v>1222</v>
      </c>
      <c r="B147" s="212" t="s">
        <v>1642</v>
      </c>
      <c r="C147" s="212">
        <v>1</v>
      </c>
      <c r="D147" s="212" t="s">
        <v>1643</v>
      </c>
      <c r="E147" s="212" t="s">
        <v>1913</v>
      </c>
      <c r="F147" s="212">
        <v>5</v>
      </c>
      <c r="G147" s="212" t="s">
        <v>1645</v>
      </c>
      <c r="H147" s="212">
        <v>0</v>
      </c>
      <c r="I147" s="212" t="s">
        <v>1914</v>
      </c>
      <c r="J147" s="212">
        <v>13</v>
      </c>
      <c r="K147" s="286">
        <v>271</v>
      </c>
      <c r="L147" s="286">
        <v>209</v>
      </c>
      <c r="M147" s="286">
        <v>62</v>
      </c>
      <c r="N147" s="286">
        <v>13</v>
      </c>
      <c r="O147" s="286">
        <v>6</v>
      </c>
      <c r="P147" s="286">
        <v>7</v>
      </c>
      <c r="Q147" s="286">
        <v>2</v>
      </c>
      <c r="R147" s="286">
        <v>2</v>
      </c>
      <c r="S147" s="286">
        <v>0</v>
      </c>
      <c r="T147" s="286">
        <v>2</v>
      </c>
      <c r="U147" s="286">
        <v>2</v>
      </c>
      <c r="V147" s="286">
        <v>0</v>
      </c>
      <c r="W147" s="286">
        <v>0</v>
      </c>
      <c r="X147" s="286">
        <v>0</v>
      </c>
      <c r="Y147" s="286">
        <v>0</v>
      </c>
    </row>
    <row r="148" spans="1:25">
      <c r="A148" s="212">
        <v>1231</v>
      </c>
      <c r="B148" s="212" t="s">
        <v>1642</v>
      </c>
      <c r="C148" s="212">
        <v>1</v>
      </c>
      <c r="D148" s="212" t="s">
        <v>1643</v>
      </c>
      <c r="E148" s="212" t="s">
        <v>1915</v>
      </c>
      <c r="F148" s="212">
        <v>4</v>
      </c>
      <c r="G148" s="212" t="s">
        <v>1645</v>
      </c>
      <c r="H148" s="212">
        <v>0</v>
      </c>
      <c r="I148" s="212" t="s">
        <v>1916</v>
      </c>
      <c r="J148" s="212">
        <v>707</v>
      </c>
      <c r="K148" s="286">
        <v>15796</v>
      </c>
      <c r="L148" s="286">
        <v>10717</v>
      </c>
      <c r="M148" s="286">
        <v>4977</v>
      </c>
      <c r="N148" s="286">
        <v>165</v>
      </c>
      <c r="O148" s="286">
        <v>137</v>
      </c>
      <c r="P148" s="286">
        <v>28</v>
      </c>
      <c r="Q148" s="286">
        <v>923</v>
      </c>
      <c r="R148" s="286">
        <v>683</v>
      </c>
      <c r="S148" s="286">
        <v>240</v>
      </c>
      <c r="T148" s="286">
        <v>327</v>
      </c>
      <c r="U148" s="286">
        <v>289</v>
      </c>
      <c r="V148" s="286">
        <v>38</v>
      </c>
      <c r="W148" s="286">
        <v>592</v>
      </c>
      <c r="X148" s="286">
        <v>393</v>
      </c>
      <c r="Y148" s="286">
        <v>199</v>
      </c>
    </row>
    <row r="149" spans="1:25">
      <c r="A149" s="212">
        <v>1240</v>
      </c>
      <c r="B149" s="212" t="s">
        <v>1642</v>
      </c>
      <c r="C149" s="212">
        <v>1</v>
      </c>
      <c r="D149" s="212" t="s">
        <v>1643</v>
      </c>
      <c r="E149" s="212" t="s">
        <v>1917</v>
      </c>
      <c r="F149" s="212">
        <v>5</v>
      </c>
      <c r="G149" s="212" t="s">
        <v>1645</v>
      </c>
      <c r="H149" s="212">
        <v>0</v>
      </c>
      <c r="I149" s="212" t="s">
        <v>1918</v>
      </c>
      <c r="J149" s="212">
        <v>17</v>
      </c>
      <c r="K149" s="286">
        <v>244</v>
      </c>
      <c r="L149" s="286">
        <v>178</v>
      </c>
      <c r="M149" s="286">
        <v>66</v>
      </c>
      <c r="N149" s="286">
        <v>1</v>
      </c>
      <c r="O149" s="286">
        <v>1</v>
      </c>
      <c r="P149" s="286">
        <v>0</v>
      </c>
      <c r="Q149" s="286">
        <v>5</v>
      </c>
      <c r="R149" s="286">
        <v>1</v>
      </c>
      <c r="S149" s="286">
        <v>4</v>
      </c>
      <c r="T149" s="286">
        <v>1</v>
      </c>
      <c r="U149" s="286">
        <v>1</v>
      </c>
      <c r="V149" s="286">
        <v>0</v>
      </c>
      <c r="W149" s="286">
        <v>4</v>
      </c>
      <c r="X149" s="286">
        <v>0</v>
      </c>
      <c r="Y149" s="286">
        <v>4</v>
      </c>
    </row>
    <row r="150" spans="1:25">
      <c r="A150" s="212">
        <v>1249</v>
      </c>
      <c r="B150" s="212" t="s">
        <v>1642</v>
      </c>
      <c r="C150" s="212">
        <v>1</v>
      </c>
      <c r="D150" s="212" t="s">
        <v>1643</v>
      </c>
      <c r="E150" s="212" t="s">
        <v>1919</v>
      </c>
      <c r="F150" s="212">
        <v>5</v>
      </c>
      <c r="G150" s="212" t="s">
        <v>1645</v>
      </c>
      <c r="H150" s="212">
        <v>0</v>
      </c>
      <c r="I150" s="212" t="s">
        <v>1920</v>
      </c>
      <c r="J150" s="212">
        <v>57</v>
      </c>
      <c r="K150" s="286">
        <v>1755</v>
      </c>
      <c r="L150" s="286">
        <v>1284</v>
      </c>
      <c r="M150" s="286">
        <v>471</v>
      </c>
      <c r="N150" s="286">
        <v>37</v>
      </c>
      <c r="O150" s="286">
        <v>35</v>
      </c>
      <c r="P150" s="286">
        <v>2</v>
      </c>
      <c r="Q150" s="286">
        <v>289</v>
      </c>
      <c r="R150" s="286">
        <v>226</v>
      </c>
      <c r="S150" s="286">
        <v>63</v>
      </c>
      <c r="T150" s="286">
        <v>131</v>
      </c>
      <c r="U150" s="286">
        <v>122</v>
      </c>
      <c r="V150" s="286">
        <v>9</v>
      </c>
      <c r="W150" s="286">
        <v>158</v>
      </c>
      <c r="X150" s="286">
        <v>104</v>
      </c>
      <c r="Y150" s="286">
        <v>54</v>
      </c>
    </row>
    <row r="151" spans="1:25">
      <c r="A151" s="212">
        <v>1258</v>
      </c>
      <c r="B151" s="212" t="s">
        <v>1642</v>
      </c>
      <c r="C151" s="212">
        <v>1</v>
      </c>
      <c r="D151" s="212" t="s">
        <v>1643</v>
      </c>
      <c r="E151" s="212" t="s">
        <v>1921</v>
      </c>
      <c r="F151" s="212">
        <v>5</v>
      </c>
      <c r="G151" s="212" t="s">
        <v>1645</v>
      </c>
      <c r="H151" s="212">
        <v>0</v>
      </c>
      <c r="I151" s="212" t="s">
        <v>1922</v>
      </c>
      <c r="J151" s="212">
        <v>106</v>
      </c>
      <c r="K151" s="286">
        <v>4692</v>
      </c>
      <c r="L151" s="286">
        <v>3646</v>
      </c>
      <c r="M151" s="286">
        <v>1033</v>
      </c>
      <c r="N151" s="286">
        <v>83</v>
      </c>
      <c r="O151" s="286">
        <v>65</v>
      </c>
      <c r="P151" s="286">
        <v>18</v>
      </c>
      <c r="Q151" s="286">
        <v>163</v>
      </c>
      <c r="R151" s="286">
        <v>117</v>
      </c>
      <c r="S151" s="286">
        <v>46</v>
      </c>
      <c r="T151" s="286">
        <v>63</v>
      </c>
      <c r="U151" s="286">
        <v>56</v>
      </c>
      <c r="V151" s="286">
        <v>7</v>
      </c>
      <c r="W151" s="286">
        <v>100</v>
      </c>
      <c r="X151" s="286">
        <v>61</v>
      </c>
      <c r="Y151" s="286">
        <v>39</v>
      </c>
    </row>
    <row r="152" spans="1:25">
      <c r="A152" s="212">
        <v>1267</v>
      </c>
      <c r="B152" s="212" t="s">
        <v>1642</v>
      </c>
      <c r="C152" s="212">
        <v>1</v>
      </c>
      <c r="D152" s="212" t="s">
        <v>1643</v>
      </c>
      <c r="E152" s="212" t="s">
        <v>1923</v>
      </c>
      <c r="F152" s="212">
        <v>5</v>
      </c>
      <c r="G152" s="212" t="s">
        <v>1645</v>
      </c>
      <c r="H152" s="212">
        <v>0</v>
      </c>
      <c r="I152" s="212" t="s">
        <v>1924</v>
      </c>
      <c r="J152" s="212">
        <v>180</v>
      </c>
      <c r="K152" s="286">
        <v>3443</v>
      </c>
      <c r="L152" s="286">
        <v>1900</v>
      </c>
      <c r="M152" s="286">
        <v>1454</v>
      </c>
      <c r="N152" s="286">
        <v>28</v>
      </c>
      <c r="O152" s="286">
        <v>26</v>
      </c>
      <c r="P152" s="286">
        <v>2</v>
      </c>
      <c r="Q152" s="286">
        <v>133</v>
      </c>
      <c r="R152" s="286">
        <v>72</v>
      </c>
      <c r="S152" s="286">
        <v>61</v>
      </c>
      <c r="T152" s="286">
        <v>31</v>
      </c>
      <c r="U152" s="286">
        <v>24</v>
      </c>
      <c r="V152" s="286">
        <v>7</v>
      </c>
      <c r="W152" s="286">
        <v>99</v>
      </c>
      <c r="X152" s="286">
        <v>48</v>
      </c>
      <c r="Y152" s="286">
        <v>51</v>
      </c>
    </row>
    <row r="153" spans="1:25">
      <c r="A153" s="212">
        <v>1276</v>
      </c>
      <c r="B153" s="212" t="s">
        <v>1642</v>
      </c>
      <c r="C153" s="212">
        <v>1</v>
      </c>
      <c r="D153" s="212" t="s">
        <v>1643</v>
      </c>
      <c r="E153" s="212" t="s">
        <v>1925</v>
      </c>
      <c r="F153" s="212">
        <v>5</v>
      </c>
      <c r="G153" s="212" t="s">
        <v>1645</v>
      </c>
      <c r="H153" s="212">
        <v>0</v>
      </c>
      <c r="I153" s="212" t="s">
        <v>1926</v>
      </c>
      <c r="J153" s="212">
        <v>83</v>
      </c>
      <c r="K153" s="286">
        <v>1341</v>
      </c>
      <c r="L153" s="286">
        <v>913</v>
      </c>
      <c r="M153" s="286">
        <v>428</v>
      </c>
      <c r="N153" s="286">
        <v>4</v>
      </c>
      <c r="O153" s="286">
        <v>4</v>
      </c>
      <c r="P153" s="286">
        <v>0</v>
      </c>
      <c r="Q153" s="286">
        <v>90</v>
      </c>
      <c r="R153" s="286">
        <v>76</v>
      </c>
      <c r="S153" s="286">
        <v>14</v>
      </c>
      <c r="T153" s="286">
        <v>46</v>
      </c>
      <c r="U153" s="286">
        <v>40</v>
      </c>
      <c r="V153" s="286">
        <v>6</v>
      </c>
      <c r="W153" s="286">
        <v>44</v>
      </c>
      <c r="X153" s="286">
        <v>36</v>
      </c>
      <c r="Y153" s="286">
        <v>8</v>
      </c>
    </row>
    <row r="154" spans="1:25">
      <c r="A154" s="212">
        <v>1285</v>
      </c>
      <c r="B154" s="212" t="s">
        <v>1642</v>
      </c>
      <c r="C154" s="212">
        <v>1</v>
      </c>
      <c r="D154" s="212" t="s">
        <v>1643</v>
      </c>
      <c r="E154" s="212" t="s">
        <v>1927</v>
      </c>
      <c r="F154" s="212">
        <v>5</v>
      </c>
      <c r="G154" s="212" t="s">
        <v>1645</v>
      </c>
      <c r="H154" s="212">
        <v>0</v>
      </c>
      <c r="I154" s="212" t="s">
        <v>1928</v>
      </c>
      <c r="J154" s="212">
        <v>70</v>
      </c>
      <c r="K154" s="286">
        <v>589</v>
      </c>
      <c r="L154" s="286">
        <v>489</v>
      </c>
      <c r="M154" s="286">
        <v>100</v>
      </c>
      <c r="N154" s="286">
        <v>2</v>
      </c>
      <c r="O154" s="286">
        <v>1</v>
      </c>
      <c r="P154" s="286">
        <v>1</v>
      </c>
      <c r="Q154" s="286">
        <v>16</v>
      </c>
      <c r="R154" s="286">
        <v>16</v>
      </c>
      <c r="S154" s="286">
        <v>0</v>
      </c>
      <c r="T154" s="286">
        <v>1</v>
      </c>
      <c r="U154" s="286">
        <v>1</v>
      </c>
      <c r="V154" s="286">
        <v>0</v>
      </c>
      <c r="W154" s="286">
        <v>15</v>
      </c>
      <c r="X154" s="286">
        <v>15</v>
      </c>
      <c r="Y154" s="286">
        <v>0</v>
      </c>
    </row>
    <row r="155" spans="1:25">
      <c r="A155" s="212">
        <v>1294</v>
      </c>
      <c r="B155" s="212" t="s">
        <v>1642</v>
      </c>
      <c r="C155" s="212">
        <v>1</v>
      </c>
      <c r="D155" s="212" t="s">
        <v>1643</v>
      </c>
      <c r="E155" s="212" t="s">
        <v>1929</v>
      </c>
      <c r="F155" s="212">
        <v>5</v>
      </c>
      <c r="G155" s="212" t="s">
        <v>1645</v>
      </c>
      <c r="H155" s="212">
        <v>0</v>
      </c>
      <c r="I155" s="212" t="s">
        <v>1930</v>
      </c>
      <c r="J155" s="212">
        <v>194</v>
      </c>
      <c r="K155" s="286">
        <v>3732</v>
      </c>
      <c r="L155" s="286">
        <v>2307</v>
      </c>
      <c r="M155" s="286">
        <v>1425</v>
      </c>
      <c r="N155" s="286">
        <v>10</v>
      </c>
      <c r="O155" s="286">
        <v>5</v>
      </c>
      <c r="P155" s="286">
        <v>5</v>
      </c>
      <c r="Q155" s="286">
        <v>227</v>
      </c>
      <c r="R155" s="286">
        <v>175</v>
      </c>
      <c r="S155" s="286">
        <v>52</v>
      </c>
      <c r="T155" s="286">
        <v>54</v>
      </c>
      <c r="U155" s="286">
        <v>45</v>
      </c>
      <c r="V155" s="286">
        <v>9</v>
      </c>
      <c r="W155" s="286">
        <v>172</v>
      </c>
      <c r="X155" s="286">
        <v>129</v>
      </c>
      <c r="Y155" s="286">
        <v>43</v>
      </c>
    </row>
    <row r="156" spans="1:25">
      <c r="A156" s="212">
        <v>1303</v>
      </c>
      <c r="B156" s="212" t="s">
        <v>1642</v>
      </c>
      <c r="C156" s="212">
        <v>1</v>
      </c>
      <c r="D156" s="212" t="s">
        <v>1643</v>
      </c>
      <c r="E156" s="212" t="s">
        <v>1931</v>
      </c>
      <c r="F156" s="212">
        <v>4</v>
      </c>
      <c r="G156" s="212" t="s">
        <v>1645</v>
      </c>
      <c r="H156" s="212">
        <v>0</v>
      </c>
      <c r="I156" s="212" t="s">
        <v>1932</v>
      </c>
      <c r="J156" s="212">
        <v>530</v>
      </c>
      <c r="K156" s="286">
        <v>8940</v>
      </c>
      <c r="L156" s="286">
        <v>6433</v>
      </c>
      <c r="M156" s="286">
        <v>2504</v>
      </c>
      <c r="N156" s="286">
        <v>359</v>
      </c>
      <c r="O156" s="286">
        <v>325</v>
      </c>
      <c r="P156" s="286">
        <v>34</v>
      </c>
      <c r="Q156" s="286">
        <v>771</v>
      </c>
      <c r="R156" s="286">
        <v>483</v>
      </c>
      <c r="S156" s="286">
        <v>288</v>
      </c>
      <c r="T156" s="286">
        <v>256</v>
      </c>
      <c r="U156" s="286">
        <v>232</v>
      </c>
      <c r="V156" s="286">
        <v>24</v>
      </c>
      <c r="W156" s="286">
        <v>515</v>
      </c>
      <c r="X156" s="286">
        <v>251</v>
      </c>
      <c r="Y156" s="286">
        <v>264</v>
      </c>
    </row>
    <row r="157" spans="1:25">
      <c r="A157" s="212">
        <v>1312</v>
      </c>
      <c r="B157" s="212" t="s">
        <v>1642</v>
      </c>
      <c r="C157" s="212">
        <v>1</v>
      </c>
      <c r="D157" s="212" t="s">
        <v>1643</v>
      </c>
      <c r="E157" s="212" t="s">
        <v>1933</v>
      </c>
      <c r="F157" s="212">
        <v>5</v>
      </c>
      <c r="G157" s="212" t="s">
        <v>1645</v>
      </c>
      <c r="H157" s="212">
        <v>0</v>
      </c>
      <c r="I157" s="212" t="s">
        <v>1934</v>
      </c>
      <c r="J157" s="212">
        <v>3</v>
      </c>
      <c r="K157" s="286">
        <v>284</v>
      </c>
      <c r="L157" s="286">
        <v>216</v>
      </c>
      <c r="M157" s="286">
        <v>68</v>
      </c>
      <c r="N157" s="286">
        <v>115</v>
      </c>
      <c r="O157" s="286">
        <v>107</v>
      </c>
      <c r="P157" s="286">
        <v>8</v>
      </c>
      <c r="Q157" s="286">
        <v>13</v>
      </c>
      <c r="R157" s="286">
        <v>5</v>
      </c>
      <c r="S157" s="286">
        <v>8</v>
      </c>
      <c r="T157" s="286">
        <v>2</v>
      </c>
      <c r="U157" s="286">
        <v>2</v>
      </c>
      <c r="V157" s="286">
        <v>0</v>
      </c>
      <c r="W157" s="286">
        <v>11</v>
      </c>
      <c r="X157" s="286">
        <v>3</v>
      </c>
      <c r="Y157" s="286">
        <v>8</v>
      </c>
    </row>
    <row r="158" spans="1:25">
      <c r="A158" s="212">
        <v>1321</v>
      </c>
      <c r="B158" s="212" t="s">
        <v>1642</v>
      </c>
      <c r="C158" s="212">
        <v>1</v>
      </c>
      <c r="D158" s="212" t="s">
        <v>1643</v>
      </c>
      <c r="E158" s="212" t="s">
        <v>1935</v>
      </c>
      <c r="F158" s="212">
        <v>5</v>
      </c>
      <c r="G158" s="212" t="s">
        <v>1645</v>
      </c>
      <c r="H158" s="212">
        <v>0</v>
      </c>
      <c r="I158" s="212" t="s">
        <v>1936</v>
      </c>
      <c r="J158" s="212">
        <v>6</v>
      </c>
      <c r="K158" s="286">
        <v>2032</v>
      </c>
      <c r="L158" s="286">
        <v>1729</v>
      </c>
      <c r="M158" s="286">
        <v>303</v>
      </c>
      <c r="N158" s="286">
        <v>78</v>
      </c>
      <c r="O158" s="286">
        <v>61</v>
      </c>
      <c r="P158" s="286">
        <v>17</v>
      </c>
      <c r="Q158" s="286">
        <v>375</v>
      </c>
      <c r="R158" s="286">
        <v>203</v>
      </c>
      <c r="S158" s="286">
        <v>172</v>
      </c>
      <c r="T158" s="286">
        <v>52</v>
      </c>
      <c r="U158" s="286">
        <v>42</v>
      </c>
      <c r="V158" s="286">
        <v>10</v>
      </c>
      <c r="W158" s="286">
        <v>323</v>
      </c>
      <c r="X158" s="286">
        <v>161</v>
      </c>
      <c r="Y158" s="286">
        <v>162</v>
      </c>
    </row>
    <row r="159" spans="1:25">
      <c r="A159" s="212">
        <v>1330</v>
      </c>
      <c r="B159" s="212" t="s">
        <v>1642</v>
      </c>
      <c r="C159" s="212">
        <v>1</v>
      </c>
      <c r="D159" s="212" t="s">
        <v>1643</v>
      </c>
      <c r="E159" s="212" t="s">
        <v>1937</v>
      </c>
      <c r="F159" s="212">
        <v>5</v>
      </c>
      <c r="G159" s="212" t="s">
        <v>1645</v>
      </c>
      <c r="H159" s="212">
        <v>0</v>
      </c>
      <c r="I159" s="212" t="s">
        <v>1938</v>
      </c>
      <c r="J159" s="212">
        <v>312</v>
      </c>
      <c r="K159" s="286">
        <v>1730</v>
      </c>
      <c r="L159" s="286">
        <v>845</v>
      </c>
      <c r="M159" s="286">
        <v>885</v>
      </c>
      <c r="N159" s="286">
        <v>2</v>
      </c>
      <c r="O159" s="286">
        <v>0</v>
      </c>
      <c r="P159" s="286">
        <v>2</v>
      </c>
      <c r="Q159" s="286">
        <v>15</v>
      </c>
      <c r="R159" s="286">
        <v>11</v>
      </c>
      <c r="S159" s="286">
        <v>4</v>
      </c>
      <c r="T159" s="286">
        <v>14</v>
      </c>
      <c r="U159" s="286">
        <v>11</v>
      </c>
      <c r="V159" s="286">
        <v>3</v>
      </c>
      <c r="W159" s="286">
        <v>1</v>
      </c>
      <c r="X159" s="286">
        <v>0</v>
      </c>
      <c r="Y159" s="286">
        <v>1</v>
      </c>
    </row>
    <row r="160" spans="1:25">
      <c r="A160" s="212">
        <v>1339</v>
      </c>
      <c r="B160" s="212" t="s">
        <v>1642</v>
      </c>
      <c r="C160" s="212">
        <v>1</v>
      </c>
      <c r="D160" s="212" t="s">
        <v>1643</v>
      </c>
      <c r="E160" s="212" t="s">
        <v>1939</v>
      </c>
      <c r="F160" s="212">
        <v>5</v>
      </c>
      <c r="G160" s="212" t="s">
        <v>1645</v>
      </c>
      <c r="H160" s="212">
        <v>0</v>
      </c>
      <c r="I160" s="212" t="s">
        <v>1940</v>
      </c>
      <c r="J160" s="212">
        <v>158</v>
      </c>
      <c r="K160" s="286">
        <v>4057</v>
      </c>
      <c r="L160" s="286">
        <v>3108</v>
      </c>
      <c r="M160" s="286">
        <v>949</v>
      </c>
      <c r="N160" s="286">
        <v>163</v>
      </c>
      <c r="O160" s="286">
        <v>156</v>
      </c>
      <c r="P160" s="286">
        <v>7</v>
      </c>
      <c r="Q160" s="286">
        <v>362</v>
      </c>
      <c r="R160" s="286">
        <v>259</v>
      </c>
      <c r="S160" s="286">
        <v>103</v>
      </c>
      <c r="T160" s="286">
        <v>182</v>
      </c>
      <c r="U160" s="286">
        <v>172</v>
      </c>
      <c r="V160" s="286">
        <v>10</v>
      </c>
      <c r="W160" s="286">
        <v>180</v>
      </c>
      <c r="X160" s="286">
        <v>87</v>
      </c>
      <c r="Y160" s="286">
        <v>93</v>
      </c>
    </row>
    <row r="161" spans="1:25">
      <c r="A161" s="212">
        <v>1348</v>
      </c>
      <c r="B161" s="212" t="s">
        <v>1642</v>
      </c>
      <c r="C161" s="212">
        <v>1</v>
      </c>
      <c r="D161" s="212" t="s">
        <v>1643</v>
      </c>
      <c r="E161" s="212" t="s">
        <v>1941</v>
      </c>
      <c r="F161" s="212">
        <v>5</v>
      </c>
      <c r="G161" s="212" t="s">
        <v>1645</v>
      </c>
      <c r="H161" s="212">
        <v>0</v>
      </c>
      <c r="I161" s="212" t="s">
        <v>1942</v>
      </c>
      <c r="J161" s="212">
        <v>51</v>
      </c>
      <c r="K161" s="286">
        <v>837</v>
      </c>
      <c r="L161" s="286">
        <v>535</v>
      </c>
      <c r="M161" s="286">
        <v>299</v>
      </c>
      <c r="N161" s="286">
        <v>1</v>
      </c>
      <c r="O161" s="286">
        <v>1</v>
      </c>
      <c r="P161" s="286">
        <v>0</v>
      </c>
      <c r="Q161" s="286">
        <v>6</v>
      </c>
      <c r="R161" s="286">
        <v>5</v>
      </c>
      <c r="S161" s="286">
        <v>1</v>
      </c>
      <c r="T161" s="286">
        <v>6</v>
      </c>
      <c r="U161" s="286">
        <v>5</v>
      </c>
      <c r="V161" s="286">
        <v>1</v>
      </c>
      <c r="W161" s="286">
        <v>0</v>
      </c>
      <c r="X161" s="286">
        <v>0</v>
      </c>
      <c r="Y161" s="286">
        <v>0</v>
      </c>
    </row>
    <row r="162" spans="1:25">
      <c r="A162" s="212">
        <v>1357</v>
      </c>
      <c r="B162" s="212" t="s">
        <v>1642</v>
      </c>
      <c r="C162" s="212">
        <v>1</v>
      </c>
      <c r="D162" s="212" t="s">
        <v>1643</v>
      </c>
      <c r="E162" s="212" t="s">
        <v>1943</v>
      </c>
      <c r="F162" s="212">
        <v>4</v>
      </c>
      <c r="G162" s="212" t="s">
        <v>1645</v>
      </c>
      <c r="H162" s="212">
        <v>0</v>
      </c>
      <c r="I162" s="212" t="s">
        <v>1944</v>
      </c>
      <c r="J162" s="212">
        <v>786</v>
      </c>
      <c r="K162" s="286">
        <v>5953</v>
      </c>
      <c r="L162" s="286">
        <v>2898</v>
      </c>
      <c r="M162" s="286">
        <v>3055</v>
      </c>
      <c r="N162" s="286">
        <v>6</v>
      </c>
      <c r="O162" s="286">
        <v>3</v>
      </c>
      <c r="P162" s="286">
        <v>3</v>
      </c>
      <c r="Q162" s="286">
        <v>31</v>
      </c>
      <c r="R162" s="286">
        <v>11</v>
      </c>
      <c r="S162" s="286">
        <v>20</v>
      </c>
      <c r="T162" s="286">
        <v>5</v>
      </c>
      <c r="U162" s="286">
        <v>5</v>
      </c>
      <c r="V162" s="286">
        <v>0</v>
      </c>
      <c r="W162" s="286">
        <v>26</v>
      </c>
      <c r="X162" s="286">
        <v>6</v>
      </c>
      <c r="Y162" s="286">
        <v>20</v>
      </c>
    </row>
    <row r="163" spans="1:25">
      <c r="A163" s="212">
        <v>1366</v>
      </c>
      <c r="B163" s="212" t="s">
        <v>1642</v>
      </c>
      <c r="C163" s="212">
        <v>1</v>
      </c>
      <c r="D163" s="212" t="s">
        <v>1643</v>
      </c>
      <c r="E163" s="212" t="s">
        <v>1945</v>
      </c>
      <c r="F163" s="212">
        <v>5</v>
      </c>
      <c r="G163" s="212" t="s">
        <v>1645</v>
      </c>
      <c r="H163" s="212">
        <v>0</v>
      </c>
      <c r="I163" s="212" t="s">
        <v>1946</v>
      </c>
      <c r="J163" s="212">
        <v>3</v>
      </c>
      <c r="K163" s="286">
        <v>31</v>
      </c>
      <c r="L163" s="286">
        <v>18</v>
      </c>
      <c r="M163" s="286">
        <v>13</v>
      </c>
      <c r="N163" s="286">
        <v>0</v>
      </c>
      <c r="O163" s="286">
        <v>0</v>
      </c>
      <c r="P163" s="286">
        <v>0</v>
      </c>
      <c r="Q163" s="286">
        <v>0</v>
      </c>
      <c r="R163" s="286">
        <v>0</v>
      </c>
      <c r="S163" s="286">
        <v>0</v>
      </c>
      <c r="T163" s="286">
        <v>0</v>
      </c>
      <c r="U163" s="286">
        <v>0</v>
      </c>
      <c r="V163" s="286">
        <v>0</v>
      </c>
      <c r="W163" s="286">
        <v>0</v>
      </c>
      <c r="X163" s="286">
        <v>0</v>
      </c>
      <c r="Y163" s="286">
        <v>0</v>
      </c>
    </row>
    <row r="164" spans="1:25">
      <c r="A164" s="212">
        <v>1375</v>
      </c>
      <c r="B164" s="212" t="s">
        <v>1642</v>
      </c>
      <c r="C164" s="212">
        <v>1</v>
      </c>
      <c r="D164" s="212" t="s">
        <v>1643</v>
      </c>
      <c r="E164" s="212" t="s">
        <v>1947</v>
      </c>
      <c r="F164" s="212">
        <v>5</v>
      </c>
      <c r="G164" s="212" t="s">
        <v>1645</v>
      </c>
      <c r="H164" s="212">
        <v>0</v>
      </c>
      <c r="I164" s="212" t="s">
        <v>1948</v>
      </c>
      <c r="J164" s="212">
        <v>237</v>
      </c>
      <c r="K164" s="286">
        <v>1477</v>
      </c>
      <c r="L164" s="286">
        <v>967</v>
      </c>
      <c r="M164" s="286">
        <v>510</v>
      </c>
      <c r="N164" s="286">
        <v>0</v>
      </c>
      <c r="O164" s="286">
        <v>0</v>
      </c>
      <c r="P164" s="286">
        <v>0</v>
      </c>
      <c r="Q164" s="286">
        <v>5</v>
      </c>
      <c r="R164" s="286">
        <v>5</v>
      </c>
      <c r="S164" s="286">
        <v>0</v>
      </c>
      <c r="T164" s="286">
        <v>3</v>
      </c>
      <c r="U164" s="286">
        <v>3</v>
      </c>
      <c r="V164" s="286">
        <v>0</v>
      </c>
      <c r="W164" s="286">
        <v>2</v>
      </c>
      <c r="X164" s="286">
        <v>2</v>
      </c>
      <c r="Y164" s="286">
        <v>0</v>
      </c>
    </row>
    <row r="165" spans="1:25">
      <c r="A165" s="212">
        <v>1384</v>
      </c>
      <c r="B165" s="212" t="s">
        <v>1642</v>
      </c>
      <c r="C165" s="212">
        <v>1</v>
      </c>
      <c r="D165" s="212" t="s">
        <v>1643</v>
      </c>
      <c r="E165" s="212" t="s">
        <v>1949</v>
      </c>
      <c r="F165" s="212">
        <v>5</v>
      </c>
      <c r="G165" s="212" t="s">
        <v>1645</v>
      </c>
      <c r="H165" s="212">
        <v>0</v>
      </c>
      <c r="I165" s="212" t="s">
        <v>1950</v>
      </c>
      <c r="J165" s="212">
        <v>6</v>
      </c>
      <c r="K165" s="286">
        <v>26</v>
      </c>
      <c r="L165" s="286">
        <v>11</v>
      </c>
      <c r="M165" s="286">
        <v>15</v>
      </c>
      <c r="N165" s="286">
        <v>0</v>
      </c>
      <c r="O165" s="286">
        <v>0</v>
      </c>
      <c r="P165" s="286">
        <v>0</v>
      </c>
      <c r="Q165" s="286">
        <v>0</v>
      </c>
      <c r="R165" s="286">
        <v>0</v>
      </c>
      <c r="S165" s="286">
        <v>0</v>
      </c>
      <c r="T165" s="286">
        <v>0</v>
      </c>
      <c r="U165" s="286">
        <v>0</v>
      </c>
      <c r="V165" s="286">
        <v>0</v>
      </c>
      <c r="W165" s="286">
        <v>0</v>
      </c>
      <c r="X165" s="286">
        <v>0</v>
      </c>
      <c r="Y165" s="286">
        <v>0</v>
      </c>
    </row>
    <row r="166" spans="1:25">
      <c r="A166" s="212">
        <v>1393</v>
      </c>
      <c r="B166" s="212" t="s">
        <v>1642</v>
      </c>
      <c r="C166" s="212">
        <v>1</v>
      </c>
      <c r="D166" s="212" t="s">
        <v>1643</v>
      </c>
      <c r="E166" s="212" t="s">
        <v>1951</v>
      </c>
      <c r="F166" s="212">
        <v>5</v>
      </c>
      <c r="G166" s="212" t="s">
        <v>1645</v>
      </c>
      <c r="H166" s="212">
        <v>0</v>
      </c>
      <c r="I166" s="212" t="s">
        <v>1952</v>
      </c>
      <c r="J166" s="212">
        <v>76</v>
      </c>
      <c r="K166" s="286">
        <v>358</v>
      </c>
      <c r="L166" s="286">
        <v>192</v>
      </c>
      <c r="M166" s="286">
        <v>166</v>
      </c>
      <c r="N166" s="286">
        <v>0</v>
      </c>
      <c r="O166" s="286">
        <v>0</v>
      </c>
      <c r="P166" s="286">
        <v>0</v>
      </c>
      <c r="Q166" s="286">
        <v>3</v>
      </c>
      <c r="R166" s="286">
        <v>1</v>
      </c>
      <c r="S166" s="286">
        <v>2</v>
      </c>
      <c r="T166" s="286">
        <v>1</v>
      </c>
      <c r="U166" s="286">
        <v>1</v>
      </c>
      <c r="V166" s="286">
        <v>0</v>
      </c>
      <c r="W166" s="286">
        <v>2</v>
      </c>
      <c r="X166" s="286">
        <v>0</v>
      </c>
      <c r="Y166" s="286">
        <v>2</v>
      </c>
    </row>
    <row r="167" spans="1:25">
      <c r="A167" s="212">
        <v>1402</v>
      </c>
      <c r="B167" s="212" t="s">
        <v>1642</v>
      </c>
      <c r="C167" s="212">
        <v>1</v>
      </c>
      <c r="D167" s="212" t="s">
        <v>1643</v>
      </c>
      <c r="E167" s="212" t="s">
        <v>1953</v>
      </c>
      <c r="F167" s="212">
        <v>5</v>
      </c>
      <c r="G167" s="212" t="s">
        <v>1645</v>
      </c>
      <c r="H167" s="212">
        <v>0</v>
      </c>
      <c r="I167" s="212" t="s">
        <v>1954</v>
      </c>
      <c r="J167" s="212">
        <v>206</v>
      </c>
      <c r="K167" s="286">
        <v>1618</v>
      </c>
      <c r="L167" s="286">
        <v>838</v>
      </c>
      <c r="M167" s="286">
        <v>780</v>
      </c>
      <c r="N167" s="286">
        <v>4</v>
      </c>
      <c r="O167" s="286">
        <v>2</v>
      </c>
      <c r="P167" s="286">
        <v>2</v>
      </c>
      <c r="Q167" s="286">
        <v>22</v>
      </c>
      <c r="R167" s="286">
        <v>4</v>
      </c>
      <c r="S167" s="286">
        <v>18</v>
      </c>
      <c r="T167" s="286">
        <v>0</v>
      </c>
      <c r="U167" s="286">
        <v>0</v>
      </c>
      <c r="V167" s="286">
        <v>0</v>
      </c>
      <c r="W167" s="286">
        <v>22</v>
      </c>
      <c r="X167" s="286">
        <v>4</v>
      </c>
      <c r="Y167" s="286">
        <v>18</v>
      </c>
    </row>
    <row r="168" spans="1:25">
      <c r="A168" s="212">
        <v>1411</v>
      </c>
      <c r="B168" s="212" t="s">
        <v>1642</v>
      </c>
      <c r="C168" s="212">
        <v>1</v>
      </c>
      <c r="D168" s="212" t="s">
        <v>1643</v>
      </c>
      <c r="E168" s="212" t="s">
        <v>1955</v>
      </c>
      <c r="F168" s="212">
        <v>5</v>
      </c>
      <c r="G168" s="212" t="s">
        <v>1645</v>
      </c>
      <c r="H168" s="212">
        <v>0</v>
      </c>
      <c r="I168" s="212" t="s">
        <v>1956</v>
      </c>
      <c r="J168" s="212">
        <v>18</v>
      </c>
      <c r="K168" s="286">
        <v>114</v>
      </c>
      <c r="L168" s="286">
        <v>40</v>
      </c>
      <c r="M168" s="286">
        <v>74</v>
      </c>
      <c r="N168" s="286">
        <v>0</v>
      </c>
      <c r="O168" s="286">
        <v>0</v>
      </c>
      <c r="P168" s="286">
        <v>0</v>
      </c>
      <c r="Q168" s="286">
        <v>0</v>
      </c>
      <c r="R168" s="286">
        <v>0</v>
      </c>
      <c r="S168" s="286">
        <v>0</v>
      </c>
      <c r="T168" s="286">
        <v>0</v>
      </c>
      <c r="U168" s="286">
        <v>0</v>
      </c>
      <c r="V168" s="286">
        <v>0</v>
      </c>
      <c r="W168" s="286">
        <v>0</v>
      </c>
      <c r="X168" s="286">
        <v>0</v>
      </c>
      <c r="Y168" s="286">
        <v>0</v>
      </c>
    </row>
    <row r="169" spans="1:25">
      <c r="A169" s="212">
        <v>1420</v>
      </c>
      <c r="B169" s="212" t="s">
        <v>1642</v>
      </c>
      <c r="C169" s="212">
        <v>1</v>
      </c>
      <c r="D169" s="212" t="s">
        <v>1643</v>
      </c>
      <c r="E169" s="212" t="s">
        <v>1957</v>
      </c>
      <c r="F169" s="212">
        <v>5</v>
      </c>
      <c r="G169" s="212" t="s">
        <v>1645</v>
      </c>
      <c r="H169" s="212">
        <v>0</v>
      </c>
      <c r="I169" s="212" t="s">
        <v>1958</v>
      </c>
      <c r="J169" s="212">
        <v>193</v>
      </c>
      <c r="K169" s="286">
        <v>2048</v>
      </c>
      <c r="L169" s="286">
        <v>731</v>
      </c>
      <c r="M169" s="286">
        <v>1317</v>
      </c>
      <c r="N169" s="286">
        <v>2</v>
      </c>
      <c r="O169" s="286">
        <v>1</v>
      </c>
      <c r="P169" s="286">
        <v>1</v>
      </c>
      <c r="Q169" s="286">
        <v>1</v>
      </c>
      <c r="R169" s="286">
        <v>1</v>
      </c>
      <c r="S169" s="286">
        <v>0</v>
      </c>
      <c r="T169" s="286">
        <v>1</v>
      </c>
      <c r="U169" s="286">
        <v>1</v>
      </c>
      <c r="V169" s="286">
        <v>0</v>
      </c>
      <c r="W169" s="286">
        <v>0</v>
      </c>
      <c r="X169" s="286">
        <v>0</v>
      </c>
      <c r="Y169" s="286">
        <v>0</v>
      </c>
    </row>
    <row r="170" spans="1:25">
      <c r="A170" s="212">
        <v>1429</v>
      </c>
      <c r="B170" s="212" t="s">
        <v>1642</v>
      </c>
      <c r="C170" s="212">
        <v>1</v>
      </c>
      <c r="D170" s="212" t="s">
        <v>1643</v>
      </c>
      <c r="E170" s="212" t="s">
        <v>1959</v>
      </c>
      <c r="F170" s="212">
        <v>5</v>
      </c>
      <c r="G170" s="212" t="s">
        <v>1645</v>
      </c>
      <c r="H170" s="212">
        <v>0</v>
      </c>
      <c r="I170" s="212" t="s">
        <v>1960</v>
      </c>
      <c r="J170" s="212">
        <v>35</v>
      </c>
      <c r="K170" s="286">
        <v>218</v>
      </c>
      <c r="L170" s="286">
        <v>74</v>
      </c>
      <c r="M170" s="286">
        <v>144</v>
      </c>
      <c r="N170" s="286">
        <v>0</v>
      </c>
      <c r="O170" s="286">
        <v>0</v>
      </c>
      <c r="P170" s="286">
        <v>0</v>
      </c>
      <c r="Q170" s="286">
        <v>0</v>
      </c>
      <c r="R170" s="286">
        <v>0</v>
      </c>
      <c r="S170" s="286">
        <v>0</v>
      </c>
      <c r="T170" s="286">
        <v>0</v>
      </c>
      <c r="U170" s="286">
        <v>0</v>
      </c>
      <c r="V170" s="286">
        <v>0</v>
      </c>
      <c r="W170" s="286">
        <v>0</v>
      </c>
      <c r="X170" s="286">
        <v>0</v>
      </c>
      <c r="Y170" s="286">
        <v>0</v>
      </c>
    </row>
    <row r="171" spans="1:25">
      <c r="A171" s="212">
        <v>1438</v>
      </c>
      <c r="B171" s="212" t="s">
        <v>1642</v>
      </c>
      <c r="C171" s="212">
        <v>1</v>
      </c>
      <c r="D171" s="212" t="s">
        <v>1643</v>
      </c>
      <c r="E171" s="212" t="s">
        <v>1961</v>
      </c>
      <c r="F171" s="212">
        <v>5</v>
      </c>
      <c r="G171" s="212" t="s">
        <v>1645</v>
      </c>
      <c r="H171" s="212">
        <v>0</v>
      </c>
      <c r="I171" s="212" t="s">
        <v>1962</v>
      </c>
      <c r="J171" s="212">
        <v>1</v>
      </c>
      <c r="K171" s="286">
        <v>2</v>
      </c>
      <c r="L171" s="286">
        <v>0</v>
      </c>
      <c r="M171" s="286">
        <v>2</v>
      </c>
      <c r="N171" s="286">
        <v>0</v>
      </c>
      <c r="O171" s="286">
        <v>0</v>
      </c>
      <c r="P171" s="286">
        <v>0</v>
      </c>
      <c r="Q171" s="286">
        <v>0</v>
      </c>
      <c r="R171" s="286">
        <v>0</v>
      </c>
      <c r="S171" s="286">
        <v>0</v>
      </c>
      <c r="T171" s="286">
        <v>0</v>
      </c>
      <c r="U171" s="286">
        <v>0</v>
      </c>
      <c r="V171" s="286">
        <v>0</v>
      </c>
      <c r="W171" s="286">
        <v>0</v>
      </c>
      <c r="X171" s="286">
        <v>0</v>
      </c>
      <c r="Y171" s="286">
        <v>0</v>
      </c>
    </row>
    <row r="172" spans="1:25">
      <c r="A172" s="212">
        <v>1447</v>
      </c>
      <c r="B172" s="212" t="s">
        <v>1642</v>
      </c>
      <c r="C172" s="212">
        <v>1</v>
      </c>
      <c r="D172" s="212" t="s">
        <v>1643</v>
      </c>
      <c r="E172" s="212" t="s">
        <v>1963</v>
      </c>
      <c r="F172" s="212">
        <v>5</v>
      </c>
      <c r="G172" s="212" t="s">
        <v>1645</v>
      </c>
      <c r="H172" s="212">
        <v>0</v>
      </c>
      <c r="I172" s="212" t="s">
        <v>1964</v>
      </c>
      <c r="J172" s="212">
        <v>11</v>
      </c>
      <c r="K172" s="286">
        <v>61</v>
      </c>
      <c r="L172" s="286">
        <v>27</v>
      </c>
      <c r="M172" s="286">
        <v>34</v>
      </c>
      <c r="N172" s="286">
        <v>0</v>
      </c>
      <c r="O172" s="286">
        <v>0</v>
      </c>
      <c r="P172" s="286">
        <v>0</v>
      </c>
      <c r="Q172" s="286">
        <v>0</v>
      </c>
      <c r="R172" s="286">
        <v>0</v>
      </c>
      <c r="S172" s="286">
        <v>0</v>
      </c>
      <c r="T172" s="286">
        <v>0</v>
      </c>
      <c r="U172" s="286">
        <v>0</v>
      </c>
      <c r="V172" s="286">
        <v>0</v>
      </c>
      <c r="W172" s="286">
        <v>0</v>
      </c>
      <c r="X172" s="286">
        <v>0</v>
      </c>
      <c r="Y172" s="286">
        <v>0</v>
      </c>
    </row>
    <row r="173" spans="1:25">
      <c r="A173" s="212">
        <v>1456</v>
      </c>
      <c r="B173" s="212" t="s">
        <v>1642</v>
      </c>
      <c r="C173" s="212">
        <v>1</v>
      </c>
      <c r="D173" s="212" t="s">
        <v>1643</v>
      </c>
      <c r="E173" s="212" t="s">
        <v>1965</v>
      </c>
      <c r="F173" s="212">
        <v>4</v>
      </c>
      <c r="G173" s="212" t="s">
        <v>1645</v>
      </c>
      <c r="H173" s="212">
        <v>0</v>
      </c>
      <c r="I173" s="212" t="s">
        <v>1966</v>
      </c>
      <c r="J173" s="212">
        <v>694</v>
      </c>
      <c r="K173" s="286">
        <v>9745</v>
      </c>
      <c r="L173" s="286">
        <v>7995</v>
      </c>
      <c r="M173" s="286">
        <v>1731</v>
      </c>
      <c r="N173" s="286">
        <v>18</v>
      </c>
      <c r="O173" s="286">
        <v>17</v>
      </c>
      <c r="P173" s="286">
        <v>1</v>
      </c>
      <c r="Q173" s="286">
        <v>548</v>
      </c>
      <c r="R173" s="286">
        <v>459</v>
      </c>
      <c r="S173" s="286">
        <v>89</v>
      </c>
      <c r="T173" s="286">
        <v>153</v>
      </c>
      <c r="U173" s="286">
        <v>138</v>
      </c>
      <c r="V173" s="286">
        <v>15</v>
      </c>
      <c r="W173" s="286">
        <v>395</v>
      </c>
      <c r="X173" s="286">
        <v>321</v>
      </c>
      <c r="Y173" s="286">
        <v>74</v>
      </c>
    </row>
    <row r="174" spans="1:25">
      <c r="A174" s="212">
        <v>1465</v>
      </c>
      <c r="B174" s="212" t="s">
        <v>1642</v>
      </c>
      <c r="C174" s="212">
        <v>1</v>
      </c>
      <c r="D174" s="212" t="s">
        <v>1643</v>
      </c>
      <c r="E174" s="212" t="s">
        <v>1967</v>
      </c>
      <c r="F174" s="212">
        <v>5</v>
      </c>
      <c r="G174" s="212" t="s">
        <v>1645</v>
      </c>
      <c r="H174" s="212">
        <v>0</v>
      </c>
      <c r="I174" s="212" t="s">
        <v>1968</v>
      </c>
      <c r="J174" s="212">
        <v>19</v>
      </c>
      <c r="K174" s="286">
        <v>125</v>
      </c>
      <c r="L174" s="286">
        <v>91</v>
      </c>
      <c r="M174" s="286">
        <v>34</v>
      </c>
      <c r="N174" s="286">
        <v>2</v>
      </c>
      <c r="O174" s="286">
        <v>2</v>
      </c>
      <c r="P174" s="286">
        <v>0</v>
      </c>
      <c r="Q174" s="286">
        <v>3</v>
      </c>
      <c r="R174" s="286">
        <v>3</v>
      </c>
      <c r="S174" s="286">
        <v>0</v>
      </c>
      <c r="T174" s="286">
        <v>3</v>
      </c>
      <c r="U174" s="286">
        <v>3</v>
      </c>
      <c r="V174" s="286">
        <v>0</v>
      </c>
      <c r="W174" s="286">
        <v>0</v>
      </c>
      <c r="X174" s="286">
        <v>0</v>
      </c>
      <c r="Y174" s="286">
        <v>0</v>
      </c>
    </row>
    <row r="175" spans="1:25">
      <c r="A175" s="212">
        <v>1474</v>
      </c>
      <c r="B175" s="212" t="s">
        <v>1642</v>
      </c>
      <c r="C175" s="212">
        <v>1</v>
      </c>
      <c r="D175" s="212" t="s">
        <v>1643</v>
      </c>
      <c r="E175" s="212" t="s">
        <v>1969</v>
      </c>
      <c r="F175" s="212">
        <v>5</v>
      </c>
      <c r="G175" s="212" t="s">
        <v>1645</v>
      </c>
      <c r="H175" s="212">
        <v>0</v>
      </c>
      <c r="I175" s="212" t="s">
        <v>1970</v>
      </c>
      <c r="J175" s="212">
        <v>75</v>
      </c>
      <c r="K175" s="286">
        <v>2611</v>
      </c>
      <c r="L175" s="286">
        <v>2161</v>
      </c>
      <c r="M175" s="286">
        <v>450</v>
      </c>
      <c r="N175" s="286">
        <v>3</v>
      </c>
      <c r="O175" s="286">
        <v>2</v>
      </c>
      <c r="P175" s="286">
        <v>1</v>
      </c>
      <c r="Q175" s="286">
        <v>259</v>
      </c>
      <c r="R175" s="286">
        <v>212</v>
      </c>
      <c r="S175" s="286">
        <v>47</v>
      </c>
      <c r="T175" s="286">
        <v>7</v>
      </c>
      <c r="U175" s="286">
        <v>6</v>
      </c>
      <c r="V175" s="286">
        <v>1</v>
      </c>
      <c r="W175" s="286">
        <v>252</v>
      </c>
      <c r="X175" s="286">
        <v>206</v>
      </c>
      <c r="Y175" s="286">
        <v>46</v>
      </c>
    </row>
    <row r="176" spans="1:25">
      <c r="A176" s="212">
        <v>1483</v>
      </c>
      <c r="B176" s="212" t="s">
        <v>1642</v>
      </c>
      <c r="C176" s="212">
        <v>1</v>
      </c>
      <c r="D176" s="212" t="s">
        <v>1643</v>
      </c>
      <c r="E176" s="212" t="s">
        <v>1971</v>
      </c>
      <c r="F176" s="212">
        <v>5</v>
      </c>
      <c r="G176" s="212" t="s">
        <v>1645</v>
      </c>
      <c r="H176" s="212">
        <v>0</v>
      </c>
      <c r="I176" s="212" t="s">
        <v>1972</v>
      </c>
      <c r="J176" s="212">
        <v>202</v>
      </c>
      <c r="K176" s="286">
        <v>3014</v>
      </c>
      <c r="L176" s="286">
        <v>2637</v>
      </c>
      <c r="M176" s="286">
        <v>358</v>
      </c>
      <c r="N176" s="286">
        <v>6</v>
      </c>
      <c r="O176" s="286">
        <v>6</v>
      </c>
      <c r="P176" s="286">
        <v>0</v>
      </c>
      <c r="Q176" s="286">
        <v>147</v>
      </c>
      <c r="R176" s="286">
        <v>125</v>
      </c>
      <c r="S176" s="286">
        <v>22</v>
      </c>
      <c r="T176" s="286">
        <v>60</v>
      </c>
      <c r="U176" s="286">
        <v>52</v>
      </c>
      <c r="V176" s="286">
        <v>8</v>
      </c>
      <c r="W176" s="286">
        <v>87</v>
      </c>
      <c r="X176" s="286">
        <v>73</v>
      </c>
      <c r="Y176" s="286">
        <v>14</v>
      </c>
    </row>
    <row r="177" spans="1:25">
      <c r="A177" s="212">
        <v>1492</v>
      </c>
      <c r="B177" s="212" t="s">
        <v>1642</v>
      </c>
      <c r="C177" s="212">
        <v>1</v>
      </c>
      <c r="D177" s="212" t="s">
        <v>1643</v>
      </c>
      <c r="E177" s="212" t="s">
        <v>1973</v>
      </c>
      <c r="F177" s="212">
        <v>5</v>
      </c>
      <c r="G177" s="212" t="s">
        <v>1645</v>
      </c>
      <c r="H177" s="212">
        <v>0</v>
      </c>
      <c r="I177" s="212" t="s">
        <v>1974</v>
      </c>
      <c r="J177" s="212">
        <v>107</v>
      </c>
      <c r="K177" s="286">
        <v>574</v>
      </c>
      <c r="L177" s="286">
        <v>407</v>
      </c>
      <c r="M177" s="286">
        <v>167</v>
      </c>
      <c r="N177" s="286">
        <v>0</v>
      </c>
      <c r="O177" s="286">
        <v>0</v>
      </c>
      <c r="P177" s="286">
        <v>0</v>
      </c>
      <c r="Q177" s="286">
        <v>2</v>
      </c>
      <c r="R177" s="286">
        <v>2</v>
      </c>
      <c r="S177" s="286">
        <v>0</v>
      </c>
      <c r="T177" s="286">
        <v>0</v>
      </c>
      <c r="U177" s="286">
        <v>0</v>
      </c>
      <c r="V177" s="286">
        <v>0</v>
      </c>
      <c r="W177" s="286">
        <v>2</v>
      </c>
      <c r="X177" s="286">
        <v>2</v>
      </c>
      <c r="Y177" s="286">
        <v>0</v>
      </c>
    </row>
    <row r="178" spans="1:25">
      <c r="A178" s="212">
        <v>1501</v>
      </c>
      <c r="B178" s="212" t="s">
        <v>1642</v>
      </c>
      <c r="C178" s="212">
        <v>1</v>
      </c>
      <c r="D178" s="212" t="s">
        <v>1643</v>
      </c>
      <c r="E178" s="212" t="s">
        <v>1975</v>
      </c>
      <c r="F178" s="212">
        <v>5</v>
      </c>
      <c r="G178" s="212" t="s">
        <v>1645</v>
      </c>
      <c r="H178" s="212">
        <v>0</v>
      </c>
      <c r="I178" s="212" t="s">
        <v>1976</v>
      </c>
      <c r="J178" s="212">
        <v>91</v>
      </c>
      <c r="K178" s="286">
        <v>377</v>
      </c>
      <c r="L178" s="286">
        <v>229</v>
      </c>
      <c r="M178" s="286">
        <v>148</v>
      </c>
      <c r="N178" s="286">
        <v>0</v>
      </c>
      <c r="O178" s="286">
        <v>0</v>
      </c>
      <c r="P178" s="286">
        <v>0</v>
      </c>
      <c r="Q178" s="286">
        <v>5</v>
      </c>
      <c r="R178" s="286">
        <v>4</v>
      </c>
      <c r="S178" s="286">
        <v>1</v>
      </c>
      <c r="T178" s="286">
        <v>4</v>
      </c>
      <c r="U178" s="286">
        <v>4</v>
      </c>
      <c r="V178" s="286">
        <v>0</v>
      </c>
      <c r="W178" s="286">
        <v>1</v>
      </c>
      <c r="X178" s="286">
        <v>0</v>
      </c>
      <c r="Y178" s="286">
        <v>1</v>
      </c>
    </row>
    <row r="179" spans="1:25">
      <c r="A179" s="212">
        <v>1510</v>
      </c>
      <c r="B179" s="212" t="s">
        <v>1642</v>
      </c>
      <c r="C179" s="212">
        <v>1</v>
      </c>
      <c r="D179" s="212" t="s">
        <v>1643</v>
      </c>
      <c r="E179" s="212" t="s">
        <v>1977</v>
      </c>
      <c r="F179" s="212">
        <v>5</v>
      </c>
      <c r="G179" s="212" t="s">
        <v>1645</v>
      </c>
      <c r="H179" s="212">
        <v>0</v>
      </c>
      <c r="I179" s="212" t="s">
        <v>1978</v>
      </c>
      <c r="J179" s="212">
        <v>12</v>
      </c>
      <c r="K179" s="286">
        <v>732</v>
      </c>
      <c r="L179" s="286">
        <v>656</v>
      </c>
      <c r="M179" s="286">
        <v>76</v>
      </c>
      <c r="N179" s="286">
        <v>1</v>
      </c>
      <c r="O179" s="286">
        <v>1</v>
      </c>
      <c r="P179" s="286">
        <v>0</v>
      </c>
      <c r="Q179" s="286">
        <v>71</v>
      </c>
      <c r="R179" s="286">
        <v>66</v>
      </c>
      <c r="S179" s="286">
        <v>5</v>
      </c>
      <c r="T179" s="286">
        <v>46</v>
      </c>
      <c r="U179" s="286">
        <v>43</v>
      </c>
      <c r="V179" s="286">
        <v>3</v>
      </c>
      <c r="W179" s="286">
        <v>25</v>
      </c>
      <c r="X179" s="286">
        <v>23</v>
      </c>
      <c r="Y179" s="286">
        <v>2</v>
      </c>
    </row>
    <row r="180" spans="1:25">
      <c r="A180" s="212">
        <v>1519</v>
      </c>
      <c r="B180" s="212" t="s">
        <v>1642</v>
      </c>
      <c r="C180" s="212">
        <v>1</v>
      </c>
      <c r="D180" s="212" t="s">
        <v>1643</v>
      </c>
      <c r="E180" s="212" t="s">
        <v>1979</v>
      </c>
      <c r="F180" s="212">
        <v>5</v>
      </c>
      <c r="G180" s="212" t="s">
        <v>1645</v>
      </c>
      <c r="H180" s="212">
        <v>0</v>
      </c>
      <c r="I180" s="212" t="s">
        <v>1980</v>
      </c>
      <c r="J180" s="212">
        <v>8</v>
      </c>
      <c r="K180" s="286">
        <v>98</v>
      </c>
      <c r="L180" s="286">
        <v>69</v>
      </c>
      <c r="M180" s="286">
        <v>29</v>
      </c>
      <c r="N180" s="286">
        <v>0</v>
      </c>
      <c r="O180" s="286">
        <v>0</v>
      </c>
      <c r="P180" s="286">
        <v>0</v>
      </c>
      <c r="Q180" s="286">
        <v>0</v>
      </c>
      <c r="R180" s="286">
        <v>0</v>
      </c>
      <c r="S180" s="286">
        <v>0</v>
      </c>
      <c r="T180" s="286">
        <v>0</v>
      </c>
      <c r="U180" s="286">
        <v>0</v>
      </c>
      <c r="V180" s="286">
        <v>0</v>
      </c>
      <c r="W180" s="286">
        <v>0</v>
      </c>
      <c r="X180" s="286">
        <v>0</v>
      </c>
      <c r="Y180" s="286">
        <v>0</v>
      </c>
    </row>
    <row r="181" spans="1:25">
      <c r="A181" s="212">
        <v>1528</v>
      </c>
      <c r="B181" s="212" t="s">
        <v>1642</v>
      </c>
      <c r="C181" s="212">
        <v>1</v>
      </c>
      <c r="D181" s="212" t="s">
        <v>1643</v>
      </c>
      <c r="E181" s="212" t="s">
        <v>1981</v>
      </c>
      <c r="F181" s="212">
        <v>5</v>
      </c>
      <c r="G181" s="212" t="s">
        <v>1645</v>
      </c>
      <c r="H181" s="212">
        <v>0</v>
      </c>
      <c r="I181" s="212" t="s">
        <v>1982</v>
      </c>
      <c r="J181" s="212">
        <v>14</v>
      </c>
      <c r="K181" s="286">
        <v>252</v>
      </c>
      <c r="L181" s="286">
        <v>144</v>
      </c>
      <c r="M181" s="286">
        <v>108</v>
      </c>
      <c r="N181" s="286">
        <v>0</v>
      </c>
      <c r="O181" s="286">
        <v>0</v>
      </c>
      <c r="P181" s="286">
        <v>0</v>
      </c>
      <c r="Q181" s="286">
        <v>0</v>
      </c>
      <c r="R181" s="286">
        <v>0</v>
      </c>
      <c r="S181" s="286">
        <v>0</v>
      </c>
      <c r="T181" s="286">
        <v>0</v>
      </c>
      <c r="U181" s="286">
        <v>0</v>
      </c>
      <c r="V181" s="286">
        <v>0</v>
      </c>
      <c r="W181" s="286">
        <v>0</v>
      </c>
      <c r="X181" s="286">
        <v>0</v>
      </c>
      <c r="Y181" s="286">
        <v>0</v>
      </c>
    </row>
    <row r="182" spans="1:25">
      <c r="A182" s="212">
        <v>1537</v>
      </c>
      <c r="B182" s="212" t="s">
        <v>1642</v>
      </c>
      <c r="C182" s="212">
        <v>1</v>
      </c>
      <c r="D182" s="212" t="s">
        <v>1643</v>
      </c>
      <c r="E182" s="212" t="s">
        <v>1983</v>
      </c>
      <c r="F182" s="212">
        <v>5</v>
      </c>
      <c r="G182" s="212" t="s">
        <v>1645</v>
      </c>
      <c r="H182" s="212">
        <v>0</v>
      </c>
      <c r="I182" s="212" t="s">
        <v>1984</v>
      </c>
      <c r="J182" s="212">
        <v>115</v>
      </c>
      <c r="K182" s="286">
        <v>781</v>
      </c>
      <c r="L182" s="286">
        <v>639</v>
      </c>
      <c r="M182" s="286">
        <v>142</v>
      </c>
      <c r="N182" s="286">
        <v>0</v>
      </c>
      <c r="O182" s="286">
        <v>0</v>
      </c>
      <c r="P182" s="286">
        <v>0</v>
      </c>
      <c r="Q182" s="286">
        <v>22</v>
      </c>
      <c r="R182" s="286">
        <v>21</v>
      </c>
      <c r="S182" s="286">
        <v>1</v>
      </c>
      <c r="T182" s="286">
        <v>20</v>
      </c>
      <c r="U182" s="286">
        <v>19</v>
      </c>
      <c r="V182" s="286">
        <v>1</v>
      </c>
      <c r="W182" s="286">
        <v>2</v>
      </c>
      <c r="X182" s="286">
        <v>2</v>
      </c>
      <c r="Y182" s="286">
        <v>0</v>
      </c>
    </row>
    <row r="183" spans="1:25">
      <c r="A183" s="212">
        <v>1546</v>
      </c>
      <c r="B183" s="212" t="s">
        <v>1642</v>
      </c>
      <c r="C183" s="212">
        <v>1</v>
      </c>
      <c r="D183" s="212" t="s">
        <v>1643</v>
      </c>
      <c r="E183" s="212" t="s">
        <v>1985</v>
      </c>
      <c r="F183" s="212">
        <v>5</v>
      </c>
      <c r="G183" s="212" t="s">
        <v>1645</v>
      </c>
      <c r="H183" s="212">
        <v>0</v>
      </c>
      <c r="I183" s="212" t="s">
        <v>1986</v>
      </c>
      <c r="J183" s="212">
        <v>51</v>
      </c>
      <c r="K183" s="286">
        <v>1181</v>
      </c>
      <c r="L183" s="286">
        <v>962</v>
      </c>
      <c r="M183" s="286">
        <v>219</v>
      </c>
      <c r="N183" s="286">
        <v>6</v>
      </c>
      <c r="O183" s="286">
        <v>6</v>
      </c>
      <c r="P183" s="286">
        <v>0</v>
      </c>
      <c r="Q183" s="286">
        <v>39</v>
      </c>
      <c r="R183" s="286">
        <v>26</v>
      </c>
      <c r="S183" s="286">
        <v>13</v>
      </c>
      <c r="T183" s="286">
        <v>13</v>
      </c>
      <c r="U183" s="286">
        <v>11</v>
      </c>
      <c r="V183" s="286">
        <v>2</v>
      </c>
      <c r="W183" s="286">
        <v>26</v>
      </c>
      <c r="X183" s="286">
        <v>15</v>
      </c>
      <c r="Y183" s="286">
        <v>11</v>
      </c>
    </row>
    <row r="184" spans="1:25">
      <c r="A184" s="212">
        <v>1555</v>
      </c>
      <c r="B184" s="212" t="s">
        <v>1642</v>
      </c>
      <c r="C184" s="212">
        <v>1</v>
      </c>
      <c r="D184" s="212" t="s">
        <v>1643</v>
      </c>
      <c r="E184" s="212" t="s">
        <v>1987</v>
      </c>
      <c r="F184" s="212">
        <v>4</v>
      </c>
      <c r="G184" s="212" t="s">
        <v>1645</v>
      </c>
      <c r="H184" s="212">
        <v>0</v>
      </c>
      <c r="I184" s="212" t="s">
        <v>1988</v>
      </c>
      <c r="J184" s="212">
        <v>554</v>
      </c>
      <c r="K184" s="286">
        <v>22865</v>
      </c>
      <c r="L184" s="286">
        <v>20693</v>
      </c>
      <c r="M184" s="286">
        <v>2167</v>
      </c>
      <c r="N184" s="286">
        <v>1366</v>
      </c>
      <c r="O184" s="286">
        <v>1301</v>
      </c>
      <c r="P184" s="286">
        <v>65</v>
      </c>
      <c r="Q184" s="286">
        <v>1397</v>
      </c>
      <c r="R184" s="286">
        <v>1118</v>
      </c>
      <c r="S184" s="286">
        <v>279</v>
      </c>
      <c r="T184" s="286">
        <v>536</v>
      </c>
      <c r="U184" s="286">
        <v>517</v>
      </c>
      <c r="V184" s="286">
        <v>19</v>
      </c>
      <c r="W184" s="286">
        <v>861</v>
      </c>
      <c r="X184" s="286">
        <v>601</v>
      </c>
      <c r="Y184" s="286">
        <v>260</v>
      </c>
    </row>
    <row r="185" spans="1:25">
      <c r="A185" s="212">
        <v>1564</v>
      </c>
      <c r="B185" s="212" t="s">
        <v>1642</v>
      </c>
      <c r="C185" s="212">
        <v>1</v>
      </c>
      <c r="D185" s="212" t="s">
        <v>1643</v>
      </c>
      <c r="E185" s="212" t="s">
        <v>1989</v>
      </c>
      <c r="F185" s="212">
        <v>5</v>
      </c>
      <c r="G185" s="212" t="s">
        <v>1645</v>
      </c>
      <c r="H185" s="212">
        <v>0</v>
      </c>
      <c r="I185" s="212" t="s">
        <v>1990</v>
      </c>
      <c r="J185" s="212">
        <v>11</v>
      </c>
      <c r="K185" s="286">
        <v>1382</v>
      </c>
      <c r="L185" s="286">
        <v>1190</v>
      </c>
      <c r="M185" s="286">
        <v>192</v>
      </c>
      <c r="N185" s="286">
        <v>488</v>
      </c>
      <c r="O185" s="286">
        <v>458</v>
      </c>
      <c r="P185" s="286">
        <v>30</v>
      </c>
      <c r="Q185" s="286">
        <v>288</v>
      </c>
      <c r="R185" s="286">
        <v>190</v>
      </c>
      <c r="S185" s="286">
        <v>98</v>
      </c>
      <c r="T185" s="286">
        <v>55</v>
      </c>
      <c r="U185" s="286">
        <v>52</v>
      </c>
      <c r="V185" s="286">
        <v>3</v>
      </c>
      <c r="W185" s="286">
        <v>233</v>
      </c>
      <c r="X185" s="286">
        <v>138</v>
      </c>
      <c r="Y185" s="286">
        <v>95</v>
      </c>
    </row>
    <row r="186" spans="1:25">
      <c r="A186" s="212">
        <v>1573</v>
      </c>
      <c r="B186" s="212" t="s">
        <v>1642</v>
      </c>
      <c r="C186" s="212">
        <v>1</v>
      </c>
      <c r="D186" s="212" t="s">
        <v>1643</v>
      </c>
      <c r="E186" s="212" t="s">
        <v>1991</v>
      </c>
      <c r="F186" s="212">
        <v>5</v>
      </c>
      <c r="G186" s="212" t="s">
        <v>1645</v>
      </c>
      <c r="H186" s="212">
        <v>0</v>
      </c>
      <c r="I186" s="212" t="s">
        <v>1992</v>
      </c>
      <c r="J186" s="212">
        <v>6</v>
      </c>
      <c r="K186" s="286">
        <v>4200</v>
      </c>
      <c r="L186" s="286">
        <v>4042</v>
      </c>
      <c r="M186" s="286">
        <v>158</v>
      </c>
      <c r="N186" s="286">
        <v>361</v>
      </c>
      <c r="O186" s="286">
        <v>354</v>
      </c>
      <c r="P186" s="286">
        <v>7</v>
      </c>
      <c r="Q186" s="286">
        <v>256</v>
      </c>
      <c r="R186" s="286">
        <v>174</v>
      </c>
      <c r="S186" s="286">
        <v>82</v>
      </c>
      <c r="T186" s="286">
        <v>46</v>
      </c>
      <c r="U186" s="286">
        <v>45</v>
      </c>
      <c r="V186" s="286">
        <v>1</v>
      </c>
      <c r="W186" s="286">
        <v>210</v>
      </c>
      <c r="X186" s="286">
        <v>129</v>
      </c>
      <c r="Y186" s="286">
        <v>81</v>
      </c>
    </row>
    <row r="187" spans="1:25">
      <c r="A187" s="212">
        <v>1582</v>
      </c>
      <c r="B187" s="212" t="s">
        <v>1642</v>
      </c>
      <c r="C187" s="212">
        <v>1</v>
      </c>
      <c r="D187" s="212" t="s">
        <v>1643</v>
      </c>
      <c r="E187" s="212" t="s">
        <v>1993</v>
      </c>
      <c r="F187" s="212">
        <v>5</v>
      </c>
      <c r="G187" s="212" t="s">
        <v>1645</v>
      </c>
      <c r="H187" s="212">
        <v>0</v>
      </c>
      <c r="I187" s="212" t="s">
        <v>1994</v>
      </c>
      <c r="J187" s="212">
        <v>5</v>
      </c>
      <c r="K187" s="286">
        <v>3855</v>
      </c>
      <c r="L187" s="286">
        <v>3587</v>
      </c>
      <c r="M187" s="286">
        <v>268</v>
      </c>
      <c r="N187" s="286">
        <v>236</v>
      </c>
      <c r="O187" s="286">
        <v>225</v>
      </c>
      <c r="P187" s="286">
        <v>11</v>
      </c>
      <c r="Q187" s="286">
        <v>110</v>
      </c>
      <c r="R187" s="286">
        <v>77</v>
      </c>
      <c r="S187" s="286">
        <v>33</v>
      </c>
      <c r="T187" s="286">
        <v>57</v>
      </c>
      <c r="U187" s="286">
        <v>55</v>
      </c>
      <c r="V187" s="286">
        <v>2</v>
      </c>
      <c r="W187" s="286">
        <v>53</v>
      </c>
      <c r="X187" s="286">
        <v>22</v>
      </c>
      <c r="Y187" s="286">
        <v>31</v>
      </c>
    </row>
    <row r="188" spans="1:25">
      <c r="A188" s="212">
        <v>1591</v>
      </c>
      <c r="B188" s="212" t="s">
        <v>1642</v>
      </c>
      <c r="C188" s="212">
        <v>1</v>
      </c>
      <c r="D188" s="212" t="s">
        <v>1643</v>
      </c>
      <c r="E188" s="212" t="s">
        <v>1995</v>
      </c>
      <c r="F188" s="212">
        <v>5</v>
      </c>
      <c r="G188" s="212" t="s">
        <v>1645</v>
      </c>
      <c r="H188" s="212">
        <v>0</v>
      </c>
      <c r="I188" s="212" t="s">
        <v>1996</v>
      </c>
      <c r="J188" s="212">
        <v>37</v>
      </c>
      <c r="K188" s="286">
        <v>4898</v>
      </c>
      <c r="L188" s="286">
        <v>4461</v>
      </c>
      <c r="M188" s="286">
        <v>437</v>
      </c>
      <c r="N188" s="286">
        <v>171</v>
      </c>
      <c r="O188" s="286">
        <v>163</v>
      </c>
      <c r="P188" s="286">
        <v>8</v>
      </c>
      <c r="Q188" s="286">
        <v>290</v>
      </c>
      <c r="R188" s="286">
        <v>244</v>
      </c>
      <c r="S188" s="286">
        <v>46</v>
      </c>
      <c r="T188" s="286">
        <v>152</v>
      </c>
      <c r="U188" s="286">
        <v>146</v>
      </c>
      <c r="V188" s="286">
        <v>6</v>
      </c>
      <c r="W188" s="286">
        <v>138</v>
      </c>
      <c r="X188" s="286">
        <v>98</v>
      </c>
      <c r="Y188" s="286">
        <v>40</v>
      </c>
    </row>
    <row r="189" spans="1:25">
      <c r="A189" s="212">
        <v>1600</v>
      </c>
      <c r="B189" s="212" t="s">
        <v>1642</v>
      </c>
      <c r="C189" s="212">
        <v>1</v>
      </c>
      <c r="D189" s="212" t="s">
        <v>1643</v>
      </c>
      <c r="E189" s="212" t="s">
        <v>1997</v>
      </c>
      <c r="F189" s="212">
        <v>5</v>
      </c>
      <c r="G189" s="212" t="s">
        <v>1645</v>
      </c>
      <c r="H189" s="212">
        <v>0</v>
      </c>
      <c r="I189" s="212" t="s">
        <v>1998</v>
      </c>
      <c r="J189" s="212">
        <v>4</v>
      </c>
      <c r="K189" s="286">
        <v>543</v>
      </c>
      <c r="L189" s="286">
        <v>515</v>
      </c>
      <c r="M189" s="286">
        <v>28</v>
      </c>
      <c r="N189" s="286">
        <v>51</v>
      </c>
      <c r="O189" s="286">
        <v>47</v>
      </c>
      <c r="P189" s="286">
        <v>4</v>
      </c>
      <c r="Q189" s="286">
        <v>55</v>
      </c>
      <c r="R189" s="286">
        <v>55</v>
      </c>
      <c r="S189" s="286">
        <v>0</v>
      </c>
      <c r="T189" s="286">
        <v>46</v>
      </c>
      <c r="U189" s="286">
        <v>46</v>
      </c>
      <c r="V189" s="286">
        <v>0</v>
      </c>
      <c r="W189" s="286">
        <v>9</v>
      </c>
      <c r="X189" s="286">
        <v>9</v>
      </c>
      <c r="Y189" s="286">
        <v>0</v>
      </c>
    </row>
    <row r="190" spans="1:25">
      <c r="A190" s="212">
        <v>1609</v>
      </c>
      <c r="B190" s="212" t="s">
        <v>1642</v>
      </c>
      <c r="C190" s="212">
        <v>1</v>
      </c>
      <c r="D190" s="212" t="s">
        <v>1643</v>
      </c>
      <c r="E190" s="212" t="s">
        <v>1999</v>
      </c>
      <c r="F190" s="212">
        <v>5</v>
      </c>
      <c r="G190" s="212" t="s">
        <v>1645</v>
      </c>
      <c r="H190" s="212">
        <v>0</v>
      </c>
      <c r="I190" s="212" t="s">
        <v>2000</v>
      </c>
      <c r="J190" s="212">
        <v>114</v>
      </c>
      <c r="K190" s="286">
        <v>2208</v>
      </c>
      <c r="L190" s="286">
        <v>1910</v>
      </c>
      <c r="M190" s="286">
        <v>298</v>
      </c>
      <c r="N190" s="286">
        <v>9</v>
      </c>
      <c r="O190" s="286">
        <v>9</v>
      </c>
      <c r="P190" s="286">
        <v>0</v>
      </c>
      <c r="Q190" s="286">
        <v>246</v>
      </c>
      <c r="R190" s="286">
        <v>238</v>
      </c>
      <c r="S190" s="286">
        <v>8</v>
      </c>
      <c r="T190" s="286">
        <v>71</v>
      </c>
      <c r="U190" s="286">
        <v>70</v>
      </c>
      <c r="V190" s="286">
        <v>1</v>
      </c>
      <c r="W190" s="286">
        <v>175</v>
      </c>
      <c r="X190" s="286">
        <v>168</v>
      </c>
      <c r="Y190" s="286">
        <v>7</v>
      </c>
    </row>
    <row r="191" spans="1:25">
      <c r="A191" s="212">
        <v>1618</v>
      </c>
      <c r="B191" s="212" t="s">
        <v>1642</v>
      </c>
      <c r="C191" s="212">
        <v>1</v>
      </c>
      <c r="D191" s="212" t="s">
        <v>1643</v>
      </c>
      <c r="E191" s="212" t="s">
        <v>2001</v>
      </c>
      <c r="F191" s="212">
        <v>5</v>
      </c>
      <c r="G191" s="212" t="s">
        <v>1645</v>
      </c>
      <c r="H191" s="212">
        <v>0</v>
      </c>
      <c r="I191" s="212" t="s">
        <v>2002</v>
      </c>
      <c r="J191" s="212">
        <v>377</v>
      </c>
      <c r="K191" s="286">
        <v>5779</v>
      </c>
      <c r="L191" s="286">
        <v>4988</v>
      </c>
      <c r="M191" s="286">
        <v>786</v>
      </c>
      <c r="N191" s="286">
        <v>50</v>
      </c>
      <c r="O191" s="286">
        <v>45</v>
      </c>
      <c r="P191" s="286">
        <v>5</v>
      </c>
      <c r="Q191" s="286">
        <v>152</v>
      </c>
      <c r="R191" s="286">
        <v>140</v>
      </c>
      <c r="S191" s="286">
        <v>12</v>
      </c>
      <c r="T191" s="286">
        <v>109</v>
      </c>
      <c r="U191" s="286">
        <v>103</v>
      </c>
      <c r="V191" s="286">
        <v>6</v>
      </c>
      <c r="W191" s="286">
        <v>43</v>
      </c>
      <c r="X191" s="286">
        <v>37</v>
      </c>
      <c r="Y191" s="286">
        <v>6</v>
      </c>
    </row>
    <row r="192" spans="1:25">
      <c r="A192" s="212">
        <v>1627</v>
      </c>
      <c r="B192" s="212" t="s">
        <v>1642</v>
      </c>
      <c r="C192" s="212">
        <v>1</v>
      </c>
      <c r="D192" s="212" t="s">
        <v>1643</v>
      </c>
      <c r="E192" s="212" t="s">
        <v>2003</v>
      </c>
      <c r="F192" s="212">
        <v>4</v>
      </c>
      <c r="G192" s="212" t="s">
        <v>1645</v>
      </c>
      <c r="H192" s="212">
        <v>0</v>
      </c>
      <c r="I192" s="212" t="s">
        <v>2004</v>
      </c>
      <c r="J192" s="212">
        <v>240</v>
      </c>
      <c r="K192" s="286">
        <v>6430</v>
      </c>
      <c r="L192" s="286">
        <v>5177</v>
      </c>
      <c r="M192" s="286">
        <v>1253</v>
      </c>
      <c r="N192" s="286">
        <v>100</v>
      </c>
      <c r="O192" s="286">
        <v>90</v>
      </c>
      <c r="P192" s="286">
        <v>10</v>
      </c>
      <c r="Q192" s="286">
        <v>428</v>
      </c>
      <c r="R192" s="286">
        <v>313</v>
      </c>
      <c r="S192" s="286">
        <v>115</v>
      </c>
      <c r="T192" s="286">
        <v>147</v>
      </c>
      <c r="U192" s="286">
        <v>123</v>
      </c>
      <c r="V192" s="286">
        <v>24</v>
      </c>
      <c r="W192" s="286">
        <v>281</v>
      </c>
      <c r="X192" s="286">
        <v>190</v>
      </c>
      <c r="Y192" s="286">
        <v>91</v>
      </c>
    </row>
    <row r="193" spans="1:25">
      <c r="A193" s="212">
        <v>1636</v>
      </c>
      <c r="B193" s="212" t="s">
        <v>1642</v>
      </c>
      <c r="C193" s="212">
        <v>1</v>
      </c>
      <c r="D193" s="212" t="s">
        <v>1643</v>
      </c>
      <c r="E193" s="212" t="s">
        <v>2005</v>
      </c>
      <c r="F193" s="212">
        <v>5</v>
      </c>
      <c r="G193" s="212" t="s">
        <v>1645</v>
      </c>
      <c r="H193" s="212">
        <v>0</v>
      </c>
      <c r="I193" s="212" t="s">
        <v>2006</v>
      </c>
      <c r="J193" s="212">
        <v>6</v>
      </c>
      <c r="K193" s="286">
        <v>46</v>
      </c>
      <c r="L193" s="286">
        <v>36</v>
      </c>
      <c r="M193" s="286">
        <v>10</v>
      </c>
      <c r="N193" s="286">
        <v>11</v>
      </c>
      <c r="O193" s="286">
        <v>10</v>
      </c>
      <c r="P193" s="286">
        <v>1</v>
      </c>
      <c r="Q193" s="286">
        <v>4</v>
      </c>
      <c r="R193" s="286">
        <v>2</v>
      </c>
      <c r="S193" s="286">
        <v>2</v>
      </c>
      <c r="T193" s="286">
        <v>3</v>
      </c>
      <c r="U193" s="286">
        <v>2</v>
      </c>
      <c r="V193" s="286">
        <v>1</v>
      </c>
      <c r="W193" s="286">
        <v>1</v>
      </c>
      <c r="X193" s="286">
        <v>0</v>
      </c>
      <c r="Y193" s="286">
        <v>1</v>
      </c>
    </row>
    <row r="194" spans="1:25">
      <c r="A194" s="212">
        <v>1645</v>
      </c>
      <c r="B194" s="212" t="s">
        <v>1642</v>
      </c>
      <c r="C194" s="212">
        <v>1</v>
      </c>
      <c r="D194" s="212" t="s">
        <v>1643</v>
      </c>
      <c r="E194" s="212" t="s">
        <v>2007</v>
      </c>
      <c r="F194" s="212">
        <v>5</v>
      </c>
      <c r="G194" s="212" t="s">
        <v>1645</v>
      </c>
      <c r="H194" s="212">
        <v>0</v>
      </c>
      <c r="I194" s="212" t="s">
        <v>2008</v>
      </c>
      <c r="J194" s="212">
        <v>4</v>
      </c>
      <c r="K194" s="286">
        <v>1175</v>
      </c>
      <c r="L194" s="286">
        <v>1058</v>
      </c>
      <c r="M194" s="286">
        <v>117</v>
      </c>
      <c r="N194" s="286">
        <v>41</v>
      </c>
      <c r="O194" s="286">
        <v>39</v>
      </c>
      <c r="P194" s="286">
        <v>2</v>
      </c>
      <c r="Q194" s="286">
        <v>64</v>
      </c>
      <c r="R194" s="286">
        <v>55</v>
      </c>
      <c r="S194" s="286">
        <v>9</v>
      </c>
      <c r="T194" s="286">
        <v>7</v>
      </c>
      <c r="U194" s="286">
        <v>7</v>
      </c>
      <c r="V194" s="286">
        <v>0</v>
      </c>
      <c r="W194" s="286">
        <v>57</v>
      </c>
      <c r="X194" s="286">
        <v>48</v>
      </c>
      <c r="Y194" s="286">
        <v>9</v>
      </c>
    </row>
    <row r="195" spans="1:25">
      <c r="A195" s="212">
        <v>1654</v>
      </c>
      <c r="B195" s="212" t="s">
        <v>1642</v>
      </c>
      <c r="C195" s="212">
        <v>1</v>
      </c>
      <c r="D195" s="212" t="s">
        <v>1643</v>
      </c>
      <c r="E195" s="212" t="s">
        <v>2009</v>
      </c>
      <c r="F195" s="212">
        <v>5</v>
      </c>
      <c r="G195" s="212" t="s">
        <v>1645</v>
      </c>
      <c r="H195" s="212">
        <v>0</v>
      </c>
      <c r="I195" s="212" t="s">
        <v>2010</v>
      </c>
      <c r="J195" s="212">
        <v>38</v>
      </c>
      <c r="K195" s="286">
        <v>667</v>
      </c>
      <c r="L195" s="286">
        <v>575</v>
      </c>
      <c r="M195" s="286">
        <v>92</v>
      </c>
      <c r="N195" s="286">
        <v>1</v>
      </c>
      <c r="O195" s="286">
        <v>1</v>
      </c>
      <c r="P195" s="286">
        <v>0</v>
      </c>
      <c r="Q195" s="286">
        <v>27</v>
      </c>
      <c r="R195" s="286">
        <v>23</v>
      </c>
      <c r="S195" s="286">
        <v>4</v>
      </c>
      <c r="T195" s="286">
        <v>15</v>
      </c>
      <c r="U195" s="286">
        <v>14</v>
      </c>
      <c r="V195" s="286">
        <v>1</v>
      </c>
      <c r="W195" s="286">
        <v>12</v>
      </c>
      <c r="X195" s="286">
        <v>9</v>
      </c>
      <c r="Y195" s="286">
        <v>3</v>
      </c>
    </row>
    <row r="196" spans="1:25">
      <c r="A196" s="212">
        <v>1663</v>
      </c>
      <c r="B196" s="212" t="s">
        <v>1642</v>
      </c>
      <c r="C196" s="212">
        <v>1</v>
      </c>
      <c r="D196" s="212" t="s">
        <v>1643</v>
      </c>
      <c r="E196" s="212" t="s">
        <v>2011</v>
      </c>
      <c r="F196" s="212">
        <v>5</v>
      </c>
      <c r="G196" s="212" t="s">
        <v>1645</v>
      </c>
      <c r="H196" s="212">
        <v>0</v>
      </c>
      <c r="I196" s="212" t="s">
        <v>2012</v>
      </c>
      <c r="J196" s="212">
        <v>21</v>
      </c>
      <c r="K196" s="286">
        <v>580</v>
      </c>
      <c r="L196" s="286">
        <v>501</v>
      </c>
      <c r="M196" s="286">
        <v>79</v>
      </c>
      <c r="N196" s="286">
        <v>0</v>
      </c>
      <c r="O196" s="286">
        <v>0</v>
      </c>
      <c r="P196" s="286">
        <v>0</v>
      </c>
      <c r="Q196" s="286">
        <v>38</v>
      </c>
      <c r="R196" s="286">
        <v>29</v>
      </c>
      <c r="S196" s="286">
        <v>9</v>
      </c>
      <c r="T196" s="286">
        <v>11</v>
      </c>
      <c r="U196" s="286">
        <v>10</v>
      </c>
      <c r="V196" s="286">
        <v>1</v>
      </c>
      <c r="W196" s="286">
        <v>27</v>
      </c>
      <c r="X196" s="286">
        <v>19</v>
      </c>
      <c r="Y196" s="286">
        <v>8</v>
      </c>
    </row>
    <row r="197" spans="1:25">
      <c r="A197" s="212">
        <v>1672</v>
      </c>
      <c r="B197" s="212" t="s">
        <v>1642</v>
      </c>
      <c r="C197" s="212">
        <v>1</v>
      </c>
      <c r="D197" s="212" t="s">
        <v>1643</v>
      </c>
      <c r="E197" s="212" t="s">
        <v>2013</v>
      </c>
      <c r="F197" s="212">
        <v>5</v>
      </c>
      <c r="G197" s="212" t="s">
        <v>1645</v>
      </c>
      <c r="H197" s="212">
        <v>0</v>
      </c>
      <c r="I197" s="212" t="s">
        <v>2014</v>
      </c>
      <c r="J197" s="212">
        <v>35</v>
      </c>
      <c r="K197" s="286">
        <v>889</v>
      </c>
      <c r="L197" s="286">
        <v>684</v>
      </c>
      <c r="M197" s="286">
        <v>205</v>
      </c>
      <c r="N197" s="286">
        <v>23</v>
      </c>
      <c r="O197" s="286">
        <v>22</v>
      </c>
      <c r="P197" s="286">
        <v>1</v>
      </c>
      <c r="Q197" s="286">
        <v>60</v>
      </c>
      <c r="R197" s="286">
        <v>52</v>
      </c>
      <c r="S197" s="286">
        <v>8</v>
      </c>
      <c r="T197" s="286">
        <v>34</v>
      </c>
      <c r="U197" s="286">
        <v>34</v>
      </c>
      <c r="V197" s="286">
        <v>0</v>
      </c>
      <c r="W197" s="286">
        <v>26</v>
      </c>
      <c r="X197" s="286">
        <v>18</v>
      </c>
      <c r="Y197" s="286">
        <v>8</v>
      </c>
    </row>
    <row r="198" spans="1:25">
      <c r="A198" s="212">
        <v>1681</v>
      </c>
      <c r="B198" s="212" t="s">
        <v>1642</v>
      </c>
      <c r="C198" s="212">
        <v>1</v>
      </c>
      <c r="D198" s="212" t="s">
        <v>1643</v>
      </c>
      <c r="E198" s="212" t="s">
        <v>2015</v>
      </c>
      <c r="F198" s="212">
        <v>5</v>
      </c>
      <c r="G198" s="212" t="s">
        <v>1645</v>
      </c>
      <c r="H198" s="212">
        <v>0</v>
      </c>
      <c r="I198" s="212" t="s">
        <v>2016</v>
      </c>
      <c r="J198" s="212">
        <v>106</v>
      </c>
      <c r="K198" s="286">
        <v>2238</v>
      </c>
      <c r="L198" s="286">
        <v>1637</v>
      </c>
      <c r="M198" s="286">
        <v>601</v>
      </c>
      <c r="N198" s="286">
        <v>23</v>
      </c>
      <c r="O198" s="286">
        <v>17</v>
      </c>
      <c r="P198" s="286">
        <v>6</v>
      </c>
      <c r="Q198" s="286">
        <v>111</v>
      </c>
      <c r="R198" s="286">
        <v>57</v>
      </c>
      <c r="S198" s="286">
        <v>54</v>
      </c>
      <c r="T198" s="286">
        <v>26</v>
      </c>
      <c r="U198" s="286">
        <v>5</v>
      </c>
      <c r="V198" s="286">
        <v>21</v>
      </c>
      <c r="W198" s="286">
        <v>85</v>
      </c>
      <c r="X198" s="286">
        <v>52</v>
      </c>
      <c r="Y198" s="286">
        <v>33</v>
      </c>
    </row>
    <row r="199" spans="1:25">
      <c r="A199" s="212">
        <v>1690</v>
      </c>
      <c r="B199" s="212" t="s">
        <v>1642</v>
      </c>
      <c r="C199" s="212">
        <v>1</v>
      </c>
      <c r="D199" s="212" t="s">
        <v>1643</v>
      </c>
      <c r="E199" s="212" t="s">
        <v>2017</v>
      </c>
      <c r="F199" s="212">
        <v>5</v>
      </c>
      <c r="G199" s="212" t="s">
        <v>1645</v>
      </c>
      <c r="H199" s="212">
        <v>0</v>
      </c>
      <c r="I199" s="212" t="s">
        <v>2018</v>
      </c>
      <c r="J199" s="212">
        <v>30</v>
      </c>
      <c r="K199" s="286">
        <v>835</v>
      </c>
      <c r="L199" s="286">
        <v>686</v>
      </c>
      <c r="M199" s="286">
        <v>149</v>
      </c>
      <c r="N199" s="286">
        <v>1</v>
      </c>
      <c r="O199" s="286">
        <v>1</v>
      </c>
      <c r="P199" s="286">
        <v>0</v>
      </c>
      <c r="Q199" s="286">
        <v>124</v>
      </c>
      <c r="R199" s="286">
        <v>95</v>
      </c>
      <c r="S199" s="286">
        <v>29</v>
      </c>
      <c r="T199" s="286">
        <v>51</v>
      </c>
      <c r="U199" s="286">
        <v>51</v>
      </c>
      <c r="V199" s="286">
        <v>0</v>
      </c>
      <c r="W199" s="286">
        <v>73</v>
      </c>
      <c r="X199" s="286">
        <v>44</v>
      </c>
      <c r="Y199" s="286">
        <v>29</v>
      </c>
    </row>
    <row r="200" spans="1:25">
      <c r="A200" s="212">
        <v>1699</v>
      </c>
      <c r="B200" s="212" t="s">
        <v>1642</v>
      </c>
      <c r="C200" s="212">
        <v>1</v>
      </c>
      <c r="D200" s="212" t="s">
        <v>1643</v>
      </c>
      <c r="E200" s="212" t="s">
        <v>2019</v>
      </c>
      <c r="F200" s="212">
        <v>4</v>
      </c>
      <c r="G200" s="212" t="s">
        <v>1645</v>
      </c>
      <c r="H200" s="212">
        <v>0</v>
      </c>
      <c r="I200" s="212" t="s">
        <v>2020</v>
      </c>
      <c r="J200" s="212">
        <v>2566</v>
      </c>
      <c r="K200" s="286">
        <v>35127</v>
      </c>
      <c r="L200" s="286">
        <v>26668</v>
      </c>
      <c r="M200" s="286">
        <v>8403</v>
      </c>
      <c r="N200" s="286">
        <v>261</v>
      </c>
      <c r="O200" s="286">
        <v>236</v>
      </c>
      <c r="P200" s="286">
        <v>25</v>
      </c>
      <c r="Q200" s="286">
        <v>1653</v>
      </c>
      <c r="R200" s="286">
        <v>1156</v>
      </c>
      <c r="S200" s="286">
        <v>497</v>
      </c>
      <c r="T200" s="286">
        <v>515</v>
      </c>
      <c r="U200" s="286">
        <v>478</v>
      </c>
      <c r="V200" s="286">
        <v>37</v>
      </c>
      <c r="W200" s="286">
        <v>1138</v>
      </c>
      <c r="X200" s="286">
        <v>678</v>
      </c>
      <c r="Y200" s="286">
        <v>460</v>
      </c>
    </row>
    <row r="201" spans="1:25">
      <c r="A201" s="212">
        <v>1708</v>
      </c>
      <c r="B201" s="212" t="s">
        <v>1642</v>
      </c>
      <c r="C201" s="212">
        <v>1</v>
      </c>
      <c r="D201" s="212" t="s">
        <v>1643</v>
      </c>
      <c r="E201" s="212" t="s">
        <v>2021</v>
      </c>
      <c r="F201" s="212">
        <v>5</v>
      </c>
      <c r="G201" s="212" t="s">
        <v>1645</v>
      </c>
      <c r="H201" s="212">
        <v>0</v>
      </c>
      <c r="I201" s="212" t="s">
        <v>2022</v>
      </c>
      <c r="J201" s="212">
        <v>19</v>
      </c>
      <c r="K201" s="286">
        <v>43</v>
      </c>
      <c r="L201" s="286">
        <v>20</v>
      </c>
      <c r="M201" s="286">
        <v>23</v>
      </c>
      <c r="N201" s="286">
        <v>0</v>
      </c>
      <c r="O201" s="286">
        <v>0</v>
      </c>
      <c r="P201" s="286">
        <v>0</v>
      </c>
      <c r="Q201" s="286">
        <v>0</v>
      </c>
      <c r="R201" s="286">
        <v>0</v>
      </c>
      <c r="S201" s="286">
        <v>0</v>
      </c>
      <c r="T201" s="286">
        <v>0</v>
      </c>
      <c r="U201" s="286">
        <v>0</v>
      </c>
      <c r="V201" s="286">
        <v>0</v>
      </c>
      <c r="W201" s="286">
        <v>0</v>
      </c>
      <c r="X201" s="286">
        <v>0</v>
      </c>
      <c r="Y201" s="286">
        <v>0</v>
      </c>
    </row>
    <row r="202" spans="1:25">
      <c r="A202" s="212">
        <v>1717</v>
      </c>
      <c r="B202" s="212" t="s">
        <v>1642</v>
      </c>
      <c r="C202" s="212">
        <v>1</v>
      </c>
      <c r="D202" s="212" t="s">
        <v>1643</v>
      </c>
      <c r="E202" s="212" t="s">
        <v>2023</v>
      </c>
      <c r="F202" s="212">
        <v>5</v>
      </c>
      <c r="G202" s="212" t="s">
        <v>1645</v>
      </c>
      <c r="H202" s="212">
        <v>0</v>
      </c>
      <c r="I202" s="212" t="s">
        <v>2024</v>
      </c>
      <c r="J202" s="212">
        <v>17</v>
      </c>
      <c r="K202" s="286">
        <v>537</v>
      </c>
      <c r="L202" s="286">
        <v>389</v>
      </c>
      <c r="M202" s="286">
        <v>148</v>
      </c>
      <c r="N202" s="286">
        <v>0</v>
      </c>
      <c r="O202" s="286">
        <v>0</v>
      </c>
      <c r="P202" s="286">
        <v>0</v>
      </c>
      <c r="Q202" s="286">
        <v>54</v>
      </c>
      <c r="R202" s="286">
        <v>32</v>
      </c>
      <c r="S202" s="286">
        <v>22</v>
      </c>
      <c r="T202" s="286">
        <v>12</v>
      </c>
      <c r="U202" s="286">
        <v>12</v>
      </c>
      <c r="V202" s="286">
        <v>0</v>
      </c>
      <c r="W202" s="286">
        <v>42</v>
      </c>
      <c r="X202" s="286">
        <v>20</v>
      </c>
      <c r="Y202" s="286">
        <v>22</v>
      </c>
    </row>
    <row r="203" spans="1:25">
      <c r="A203" s="212">
        <v>1726</v>
      </c>
      <c r="B203" s="212" t="s">
        <v>1642</v>
      </c>
      <c r="C203" s="212">
        <v>1</v>
      </c>
      <c r="D203" s="212" t="s">
        <v>1643</v>
      </c>
      <c r="E203" s="212" t="s">
        <v>2025</v>
      </c>
      <c r="F203" s="212">
        <v>5</v>
      </c>
      <c r="G203" s="212" t="s">
        <v>1645</v>
      </c>
      <c r="H203" s="212">
        <v>0</v>
      </c>
      <c r="I203" s="212" t="s">
        <v>2026</v>
      </c>
      <c r="J203" s="212">
        <v>476</v>
      </c>
      <c r="K203" s="286">
        <v>4449</v>
      </c>
      <c r="L203" s="286">
        <v>2983</v>
      </c>
      <c r="M203" s="286">
        <v>1450</v>
      </c>
      <c r="N203" s="286">
        <v>50</v>
      </c>
      <c r="O203" s="286">
        <v>42</v>
      </c>
      <c r="P203" s="286">
        <v>8</v>
      </c>
      <c r="Q203" s="286">
        <v>99</v>
      </c>
      <c r="R203" s="286">
        <v>54</v>
      </c>
      <c r="S203" s="286">
        <v>45</v>
      </c>
      <c r="T203" s="286">
        <v>19</v>
      </c>
      <c r="U203" s="286">
        <v>19</v>
      </c>
      <c r="V203" s="286">
        <v>0</v>
      </c>
      <c r="W203" s="286">
        <v>80</v>
      </c>
      <c r="X203" s="286">
        <v>35</v>
      </c>
      <c r="Y203" s="286">
        <v>45</v>
      </c>
    </row>
    <row r="204" spans="1:25">
      <c r="A204" s="212">
        <v>1735</v>
      </c>
      <c r="B204" s="212" t="s">
        <v>1642</v>
      </c>
      <c r="C204" s="212">
        <v>1</v>
      </c>
      <c r="D204" s="212" t="s">
        <v>1643</v>
      </c>
      <c r="E204" s="212" t="s">
        <v>2027</v>
      </c>
      <c r="F204" s="212">
        <v>5</v>
      </c>
      <c r="G204" s="212" t="s">
        <v>1645</v>
      </c>
      <c r="H204" s="212">
        <v>0</v>
      </c>
      <c r="I204" s="212" t="s">
        <v>2028</v>
      </c>
      <c r="J204" s="212">
        <v>106</v>
      </c>
      <c r="K204" s="286">
        <v>4734</v>
      </c>
      <c r="L204" s="286">
        <v>3282</v>
      </c>
      <c r="M204" s="286">
        <v>1452</v>
      </c>
      <c r="N204" s="286">
        <v>48</v>
      </c>
      <c r="O204" s="286">
        <v>38</v>
      </c>
      <c r="P204" s="286">
        <v>10</v>
      </c>
      <c r="Q204" s="286">
        <v>172</v>
      </c>
      <c r="R204" s="286">
        <v>114</v>
      </c>
      <c r="S204" s="286">
        <v>58</v>
      </c>
      <c r="T204" s="286">
        <v>44</v>
      </c>
      <c r="U204" s="286">
        <v>38</v>
      </c>
      <c r="V204" s="286">
        <v>6</v>
      </c>
      <c r="W204" s="286">
        <v>128</v>
      </c>
      <c r="X204" s="286">
        <v>76</v>
      </c>
      <c r="Y204" s="286">
        <v>52</v>
      </c>
    </row>
    <row r="205" spans="1:25">
      <c r="A205" s="212">
        <v>1744</v>
      </c>
      <c r="B205" s="212" t="s">
        <v>1642</v>
      </c>
      <c r="C205" s="212">
        <v>1</v>
      </c>
      <c r="D205" s="212" t="s">
        <v>1643</v>
      </c>
      <c r="E205" s="212" t="s">
        <v>2029</v>
      </c>
      <c r="F205" s="212">
        <v>5</v>
      </c>
      <c r="G205" s="212" t="s">
        <v>1645</v>
      </c>
      <c r="H205" s="212">
        <v>0</v>
      </c>
      <c r="I205" s="212" t="s">
        <v>2030</v>
      </c>
      <c r="J205" s="212">
        <v>1025</v>
      </c>
      <c r="K205" s="286">
        <v>10312</v>
      </c>
      <c r="L205" s="286">
        <v>8523</v>
      </c>
      <c r="M205" s="286">
        <v>1757</v>
      </c>
      <c r="N205" s="286">
        <v>79</v>
      </c>
      <c r="O205" s="286">
        <v>79</v>
      </c>
      <c r="P205" s="286">
        <v>0</v>
      </c>
      <c r="Q205" s="286">
        <v>239</v>
      </c>
      <c r="R205" s="286">
        <v>189</v>
      </c>
      <c r="S205" s="286">
        <v>50</v>
      </c>
      <c r="T205" s="286">
        <v>53</v>
      </c>
      <c r="U205" s="286">
        <v>50</v>
      </c>
      <c r="V205" s="286">
        <v>3</v>
      </c>
      <c r="W205" s="286">
        <v>186</v>
      </c>
      <c r="X205" s="286">
        <v>139</v>
      </c>
      <c r="Y205" s="286">
        <v>47</v>
      </c>
    </row>
    <row r="206" spans="1:25">
      <c r="A206" s="212">
        <v>1753</v>
      </c>
      <c r="B206" s="212" t="s">
        <v>1642</v>
      </c>
      <c r="C206" s="212">
        <v>1</v>
      </c>
      <c r="D206" s="212" t="s">
        <v>1643</v>
      </c>
      <c r="E206" s="212" t="s">
        <v>2031</v>
      </c>
      <c r="F206" s="212">
        <v>5</v>
      </c>
      <c r="G206" s="212" t="s">
        <v>1645</v>
      </c>
      <c r="H206" s="212">
        <v>0</v>
      </c>
      <c r="I206" s="212" t="s">
        <v>2032</v>
      </c>
      <c r="J206" s="212">
        <v>238</v>
      </c>
      <c r="K206" s="286">
        <v>4423</v>
      </c>
      <c r="L206" s="286">
        <v>3083</v>
      </c>
      <c r="M206" s="286">
        <v>1340</v>
      </c>
      <c r="N206" s="286">
        <v>13</v>
      </c>
      <c r="O206" s="286">
        <v>13</v>
      </c>
      <c r="P206" s="286">
        <v>0</v>
      </c>
      <c r="Q206" s="286">
        <v>559</v>
      </c>
      <c r="R206" s="286">
        <v>391</v>
      </c>
      <c r="S206" s="286">
        <v>168</v>
      </c>
      <c r="T206" s="286">
        <v>271</v>
      </c>
      <c r="U206" s="286">
        <v>251</v>
      </c>
      <c r="V206" s="286">
        <v>20</v>
      </c>
      <c r="W206" s="286">
        <v>288</v>
      </c>
      <c r="X206" s="286">
        <v>140</v>
      </c>
      <c r="Y206" s="286">
        <v>148</v>
      </c>
    </row>
    <row r="207" spans="1:25">
      <c r="A207" s="212">
        <v>1762</v>
      </c>
      <c r="B207" s="212" t="s">
        <v>1642</v>
      </c>
      <c r="C207" s="212">
        <v>1</v>
      </c>
      <c r="D207" s="212" t="s">
        <v>1643</v>
      </c>
      <c r="E207" s="212" t="s">
        <v>2033</v>
      </c>
      <c r="F207" s="212">
        <v>5</v>
      </c>
      <c r="G207" s="212" t="s">
        <v>1645</v>
      </c>
      <c r="H207" s="212">
        <v>0</v>
      </c>
      <c r="I207" s="212" t="s">
        <v>2034</v>
      </c>
      <c r="J207" s="212">
        <v>331</v>
      </c>
      <c r="K207" s="286">
        <v>5760</v>
      </c>
      <c r="L207" s="286">
        <v>4751</v>
      </c>
      <c r="M207" s="286">
        <v>1001</v>
      </c>
      <c r="N207" s="286">
        <v>26</v>
      </c>
      <c r="O207" s="286">
        <v>26</v>
      </c>
      <c r="P207" s="286">
        <v>0</v>
      </c>
      <c r="Q207" s="286">
        <v>257</v>
      </c>
      <c r="R207" s="286">
        <v>180</v>
      </c>
      <c r="S207" s="286">
        <v>77</v>
      </c>
      <c r="T207" s="286">
        <v>21</v>
      </c>
      <c r="U207" s="286">
        <v>19</v>
      </c>
      <c r="V207" s="286">
        <v>2</v>
      </c>
      <c r="W207" s="286">
        <v>236</v>
      </c>
      <c r="X207" s="286">
        <v>161</v>
      </c>
      <c r="Y207" s="286">
        <v>75</v>
      </c>
    </row>
    <row r="208" spans="1:25">
      <c r="A208" s="212">
        <v>1771</v>
      </c>
      <c r="B208" s="212" t="s">
        <v>1642</v>
      </c>
      <c r="C208" s="212">
        <v>1</v>
      </c>
      <c r="D208" s="212" t="s">
        <v>1643</v>
      </c>
      <c r="E208" s="212" t="s">
        <v>2035</v>
      </c>
      <c r="F208" s="212">
        <v>5</v>
      </c>
      <c r="G208" s="212" t="s">
        <v>1645</v>
      </c>
      <c r="H208" s="212">
        <v>0</v>
      </c>
      <c r="I208" s="212" t="s">
        <v>2036</v>
      </c>
      <c r="J208" s="212">
        <v>53</v>
      </c>
      <c r="K208" s="286">
        <v>428</v>
      </c>
      <c r="L208" s="286">
        <v>331</v>
      </c>
      <c r="M208" s="286">
        <v>97</v>
      </c>
      <c r="N208" s="286">
        <v>10</v>
      </c>
      <c r="O208" s="286">
        <v>10</v>
      </c>
      <c r="P208" s="286">
        <v>0</v>
      </c>
      <c r="Q208" s="286">
        <v>61</v>
      </c>
      <c r="R208" s="286">
        <v>54</v>
      </c>
      <c r="S208" s="286">
        <v>7</v>
      </c>
      <c r="T208" s="286">
        <v>41</v>
      </c>
      <c r="U208" s="286">
        <v>41</v>
      </c>
      <c r="V208" s="286">
        <v>0</v>
      </c>
      <c r="W208" s="286">
        <v>20</v>
      </c>
      <c r="X208" s="286">
        <v>13</v>
      </c>
      <c r="Y208" s="286">
        <v>7</v>
      </c>
    </row>
    <row r="209" spans="1:25">
      <c r="A209" s="212">
        <v>1780</v>
      </c>
      <c r="B209" s="212" t="s">
        <v>1642</v>
      </c>
      <c r="C209" s="212">
        <v>1</v>
      </c>
      <c r="D209" s="212" t="s">
        <v>1643</v>
      </c>
      <c r="E209" s="212" t="s">
        <v>2037</v>
      </c>
      <c r="F209" s="212">
        <v>5</v>
      </c>
      <c r="G209" s="212" t="s">
        <v>1645</v>
      </c>
      <c r="H209" s="212">
        <v>0</v>
      </c>
      <c r="I209" s="212" t="s">
        <v>2038</v>
      </c>
      <c r="J209" s="212">
        <v>115</v>
      </c>
      <c r="K209" s="286">
        <v>1540</v>
      </c>
      <c r="L209" s="286">
        <v>1126</v>
      </c>
      <c r="M209" s="286">
        <v>414</v>
      </c>
      <c r="N209" s="286">
        <v>9</v>
      </c>
      <c r="O209" s="286">
        <v>9</v>
      </c>
      <c r="P209" s="286">
        <v>0</v>
      </c>
      <c r="Q209" s="286">
        <v>74</v>
      </c>
      <c r="R209" s="286">
        <v>47</v>
      </c>
      <c r="S209" s="286">
        <v>27</v>
      </c>
      <c r="T209" s="286">
        <v>12</v>
      </c>
      <c r="U209" s="286">
        <v>11</v>
      </c>
      <c r="V209" s="286">
        <v>1</v>
      </c>
      <c r="W209" s="286">
        <v>62</v>
      </c>
      <c r="X209" s="286">
        <v>36</v>
      </c>
      <c r="Y209" s="286">
        <v>26</v>
      </c>
    </row>
    <row r="210" spans="1:25">
      <c r="A210" s="212">
        <v>1789</v>
      </c>
      <c r="B210" s="212" t="s">
        <v>1642</v>
      </c>
      <c r="C210" s="212">
        <v>1</v>
      </c>
      <c r="D210" s="212" t="s">
        <v>1643</v>
      </c>
      <c r="E210" s="212" t="s">
        <v>2039</v>
      </c>
      <c r="F210" s="212">
        <v>5</v>
      </c>
      <c r="G210" s="212" t="s">
        <v>1645</v>
      </c>
      <c r="H210" s="212">
        <v>0</v>
      </c>
      <c r="I210" s="212" t="s">
        <v>2040</v>
      </c>
      <c r="J210" s="212">
        <v>186</v>
      </c>
      <c r="K210" s="286">
        <v>2901</v>
      </c>
      <c r="L210" s="286">
        <v>2180</v>
      </c>
      <c r="M210" s="286">
        <v>721</v>
      </c>
      <c r="N210" s="286">
        <v>26</v>
      </c>
      <c r="O210" s="286">
        <v>19</v>
      </c>
      <c r="P210" s="286">
        <v>7</v>
      </c>
      <c r="Q210" s="286">
        <v>138</v>
      </c>
      <c r="R210" s="286">
        <v>95</v>
      </c>
      <c r="S210" s="286">
        <v>43</v>
      </c>
      <c r="T210" s="286">
        <v>42</v>
      </c>
      <c r="U210" s="286">
        <v>37</v>
      </c>
      <c r="V210" s="286">
        <v>5</v>
      </c>
      <c r="W210" s="286">
        <v>96</v>
      </c>
      <c r="X210" s="286">
        <v>58</v>
      </c>
      <c r="Y210" s="286">
        <v>38</v>
      </c>
    </row>
    <row r="211" spans="1:25">
      <c r="A211" s="212">
        <v>1798</v>
      </c>
      <c r="B211" s="212" t="s">
        <v>1642</v>
      </c>
      <c r="C211" s="212">
        <v>1</v>
      </c>
      <c r="D211" s="212" t="s">
        <v>1643</v>
      </c>
      <c r="E211" s="212" t="s">
        <v>2041</v>
      </c>
      <c r="F211" s="212">
        <v>4</v>
      </c>
      <c r="G211" s="212" t="s">
        <v>1645</v>
      </c>
      <c r="H211" s="212">
        <v>0</v>
      </c>
      <c r="I211" s="212" t="s">
        <v>2042</v>
      </c>
      <c r="J211" s="212">
        <v>873</v>
      </c>
      <c r="K211" s="286">
        <v>32249</v>
      </c>
      <c r="L211" s="286">
        <v>28012</v>
      </c>
      <c r="M211" s="286">
        <v>4177</v>
      </c>
      <c r="N211" s="286">
        <v>1521</v>
      </c>
      <c r="O211" s="286">
        <v>1419</v>
      </c>
      <c r="P211" s="286">
        <v>102</v>
      </c>
      <c r="Q211" s="286">
        <v>2119</v>
      </c>
      <c r="R211" s="286">
        <v>1531</v>
      </c>
      <c r="S211" s="286">
        <v>588</v>
      </c>
      <c r="T211" s="286">
        <v>536</v>
      </c>
      <c r="U211" s="286">
        <v>487</v>
      </c>
      <c r="V211" s="286">
        <v>49</v>
      </c>
      <c r="W211" s="286">
        <v>1582</v>
      </c>
      <c r="X211" s="286">
        <v>1043</v>
      </c>
      <c r="Y211" s="286">
        <v>539</v>
      </c>
    </row>
    <row r="212" spans="1:25">
      <c r="A212" s="212">
        <v>1807</v>
      </c>
      <c r="B212" s="212" t="s">
        <v>1642</v>
      </c>
      <c r="C212" s="212">
        <v>1</v>
      </c>
      <c r="D212" s="212" t="s">
        <v>1643</v>
      </c>
      <c r="E212" s="212" t="s">
        <v>2043</v>
      </c>
      <c r="F212" s="212">
        <v>5</v>
      </c>
      <c r="G212" s="212" t="s">
        <v>1645</v>
      </c>
      <c r="H212" s="212">
        <v>0</v>
      </c>
      <c r="I212" s="212" t="s">
        <v>2044</v>
      </c>
      <c r="J212" s="212">
        <v>10</v>
      </c>
      <c r="K212" s="286">
        <v>140</v>
      </c>
      <c r="L212" s="286">
        <v>113</v>
      </c>
      <c r="M212" s="286">
        <v>27</v>
      </c>
      <c r="N212" s="286">
        <v>0</v>
      </c>
      <c r="O212" s="286">
        <v>0</v>
      </c>
      <c r="P212" s="286">
        <v>0</v>
      </c>
      <c r="Q212" s="286">
        <v>1</v>
      </c>
      <c r="R212" s="286">
        <v>0</v>
      </c>
      <c r="S212" s="286">
        <v>1</v>
      </c>
      <c r="T212" s="286">
        <v>0</v>
      </c>
      <c r="U212" s="286">
        <v>0</v>
      </c>
      <c r="V212" s="286">
        <v>0</v>
      </c>
      <c r="W212" s="286">
        <v>1</v>
      </c>
      <c r="X212" s="286">
        <v>0</v>
      </c>
      <c r="Y212" s="286">
        <v>1</v>
      </c>
    </row>
    <row r="213" spans="1:25">
      <c r="A213" s="212">
        <v>1816</v>
      </c>
      <c r="B213" s="212" t="s">
        <v>1642</v>
      </c>
      <c r="C213" s="212">
        <v>1</v>
      </c>
      <c r="D213" s="212" t="s">
        <v>1643</v>
      </c>
      <c r="E213" s="212" t="s">
        <v>2045</v>
      </c>
      <c r="F213" s="212">
        <v>5</v>
      </c>
      <c r="G213" s="212" t="s">
        <v>1645</v>
      </c>
      <c r="H213" s="212">
        <v>0</v>
      </c>
      <c r="I213" s="212" t="s">
        <v>2046</v>
      </c>
      <c r="J213" s="212">
        <v>153</v>
      </c>
      <c r="K213" s="286">
        <v>17350</v>
      </c>
      <c r="L213" s="286">
        <v>15648</v>
      </c>
      <c r="M213" s="286">
        <v>1702</v>
      </c>
      <c r="N213" s="286">
        <v>1393</v>
      </c>
      <c r="O213" s="286">
        <v>1310</v>
      </c>
      <c r="P213" s="286">
        <v>83</v>
      </c>
      <c r="Q213" s="286">
        <v>1229</v>
      </c>
      <c r="R213" s="286">
        <v>924</v>
      </c>
      <c r="S213" s="286">
        <v>305</v>
      </c>
      <c r="T213" s="286">
        <v>327</v>
      </c>
      <c r="U213" s="286">
        <v>301</v>
      </c>
      <c r="V213" s="286">
        <v>26</v>
      </c>
      <c r="W213" s="286">
        <v>902</v>
      </c>
      <c r="X213" s="286">
        <v>623</v>
      </c>
      <c r="Y213" s="286">
        <v>279</v>
      </c>
    </row>
    <row r="214" spans="1:25">
      <c r="A214" s="212">
        <v>1825</v>
      </c>
      <c r="B214" s="212" t="s">
        <v>1642</v>
      </c>
      <c r="C214" s="212">
        <v>1</v>
      </c>
      <c r="D214" s="212" t="s">
        <v>1643</v>
      </c>
      <c r="E214" s="212" t="s">
        <v>2047</v>
      </c>
      <c r="F214" s="212">
        <v>5</v>
      </c>
      <c r="G214" s="212" t="s">
        <v>1645</v>
      </c>
      <c r="H214" s="212">
        <v>0</v>
      </c>
      <c r="I214" s="212" t="s">
        <v>2048</v>
      </c>
      <c r="J214" s="212">
        <v>199</v>
      </c>
      <c r="K214" s="286">
        <v>5461</v>
      </c>
      <c r="L214" s="286">
        <v>4604</v>
      </c>
      <c r="M214" s="286">
        <v>855</v>
      </c>
      <c r="N214" s="286">
        <v>31</v>
      </c>
      <c r="O214" s="286">
        <v>28</v>
      </c>
      <c r="P214" s="286">
        <v>3</v>
      </c>
      <c r="Q214" s="286">
        <v>483</v>
      </c>
      <c r="R214" s="286">
        <v>350</v>
      </c>
      <c r="S214" s="286">
        <v>133</v>
      </c>
      <c r="T214" s="286">
        <v>102</v>
      </c>
      <c r="U214" s="286">
        <v>99</v>
      </c>
      <c r="V214" s="286">
        <v>3</v>
      </c>
      <c r="W214" s="286">
        <v>381</v>
      </c>
      <c r="X214" s="286">
        <v>251</v>
      </c>
      <c r="Y214" s="286">
        <v>130</v>
      </c>
    </row>
    <row r="215" spans="1:25">
      <c r="A215" s="212">
        <v>1834</v>
      </c>
      <c r="B215" s="212" t="s">
        <v>1642</v>
      </c>
      <c r="C215" s="212">
        <v>1</v>
      </c>
      <c r="D215" s="212" t="s">
        <v>1643</v>
      </c>
      <c r="E215" s="212" t="s">
        <v>2049</v>
      </c>
      <c r="F215" s="212">
        <v>5</v>
      </c>
      <c r="G215" s="212" t="s">
        <v>1645</v>
      </c>
      <c r="H215" s="212">
        <v>0</v>
      </c>
      <c r="I215" s="212" t="s">
        <v>2050</v>
      </c>
      <c r="J215" s="212">
        <v>218</v>
      </c>
      <c r="K215" s="286">
        <v>4788</v>
      </c>
      <c r="L215" s="286">
        <v>4016</v>
      </c>
      <c r="M215" s="286">
        <v>722</v>
      </c>
      <c r="N215" s="286">
        <v>22</v>
      </c>
      <c r="O215" s="286">
        <v>20</v>
      </c>
      <c r="P215" s="286">
        <v>2</v>
      </c>
      <c r="Q215" s="286">
        <v>173</v>
      </c>
      <c r="R215" s="286">
        <v>114</v>
      </c>
      <c r="S215" s="286">
        <v>59</v>
      </c>
      <c r="T215" s="286">
        <v>57</v>
      </c>
      <c r="U215" s="286">
        <v>42</v>
      </c>
      <c r="V215" s="286">
        <v>15</v>
      </c>
      <c r="W215" s="286">
        <v>115</v>
      </c>
      <c r="X215" s="286">
        <v>71</v>
      </c>
      <c r="Y215" s="286">
        <v>44</v>
      </c>
    </row>
    <row r="216" spans="1:25">
      <c r="A216" s="212">
        <v>1843</v>
      </c>
      <c r="B216" s="212" t="s">
        <v>1642</v>
      </c>
      <c r="C216" s="212">
        <v>1</v>
      </c>
      <c r="D216" s="212" t="s">
        <v>1643</v>
      </c>
      <c r="E216" s="212" t="s">
        <v>2051</v>
      </c>
      <c r="F216" s="212">
        <v>5</v>
      </c>
      <c r="G216" s="212" t="s">
        <v>1645</v>
      </c>
      <c r="H216" s="212">
        <v>0</v>
      </c>
      <c r="I216" s="212" t="s">
        <v>2052</v>
      </c>
      <c r="J216" s="212">
        <v>293</v>
      </c>
      <c r="K216" s="286">
        <v>4510</v>
      </c>
      <c r="L216" s="286">
        <v>3631</v>
      </c>
      <c r="M216" s="286">
        <v>871</v>
      </c>
      <c r="N216" s="286">
        <v>75</v>
      </c>
      <c r="O216" s="286">
        <v>61</v>
      </c>
      <c r="P216" s="286">
        <v>14</v>
      </c>
      <c r="Q216" s="286">
        <v>233</v>
      </c>
      <c r="R216" s="286">
        <v>143</v>
      </c>
      <c r="S216" s="286">
        <v>90</v>
      </c>
      <c r="T216" s="286">
        <v>50</v>
      </c>
      <c r="U216" s="286">
        <v>45</v>
      </c>
      <c r="V216" s="286">
        <v>5</v>
      </c>
      <c r="W216" s="286">
        <v>183</v>
      </c>
      <c r="X216" s="286">
        <v>98</v>
      </c>
      <c r="Y216" s="286">
        <v>85</v>
      </c>
    </row>
    <row r="217" spans="1:25">
      <c r="A217" s="212">
        <v>1852</v>
      </c>
      <c r="B217" s="212" t="s">
        <v>1642</v>
      </c>
      <c r="C217" s="212">
        <v>1</v>
      </c>
      <c r="D217" s="212" t="s">
        <v>1643</v>
      </c>
      <c r="E217" s="212" t="s">
        <v>2053</v>
      </c>
      <c r="F217" s="212">
        <v>4</v>
      </c>
      <c r="G217" s="212" t="s">
        <v>1645</v>
      </c>
      <c r="H217" s="212">
        <v>0</v>
      </c>
      <c r="I217" s="212" t="s">
        <v>2054</v>
      </c>
      <c r="J217" s="212">
        <v>1587</v>
      </c>
      <c r="K217" s="286">
        <v>30880</v>
      </c>
      <c r="L217" s="286">
        <v>26042</v>
      </c>
      <c r="M217" s="286">
        <v>4824</v>
      </c>
      <c r="N217" s="286">
        <v>337</v>
      </c>
      <c r="O217" s="286">
        <v>317</v>
      </c>
      <c r="P217" s="286">
        <v>20</v>
      </c>
      <c r="Q217" s="286">
        <v>2344</v>
      </c>
      <c r="R217" s="286">
        <v>1821</v>
      </c>
      <c r="S217" s="286">
        <v>523</v>
      </c>
      <c r="T217" s="286">
        <v>865</v>
      </c>
      <c r="U217" s="286">
        <v>796</v>
      </c>
      <c r="V217" s="286">
        <v>69</v>
      </c>
      <c r="W217" s="286">
        <v>1478</v>
      </c>
      <c r="X217" s="286">
        <v>1025</v>
      </c>
      <c r="Y217" s="286">
        <v>453</v>
      </c>
    </row>
    <row r="218" spans="1:25">
      <c r="A218" s="212">
        <v>1861</v>
      </c>
      <c r="B218" s="212" t="s">
        <v>1642</v>
      </c>
      <c r="C218" s="212">
        <v>1</v>
      </c>
      <c r="D218" s="212" t="s">
        <v>1643</v>
      </c>
      <c r="E218" s="212" t="s">
        <v>2055</v>
      </c>
      <c r="F218" s="212">
        <v>5</v>
      </c>
      <c r="G218" s="212" t="s">
        <v>1645</v>
      </c>
      <c r="H218" s="212">
        <v>0</v>
      </c>
      <c r="I218" s="212" t="s">
        <v>2056</v>
      </c>
      <c r="J218" s="212">
        <v>22</v>
      </c>
      <c r="K218" s="286">
        <v>79</v>
      </c>
      <c r="L218" s="286">
        <v>43</v>
      </c>
      <c r="M218" s="286">
        <v>36</v>
      </c>
      <c r="N218" s="286">
        <v>0</v>
      </c>
      <c r="O218" s="286">
        <v>0</v>
      </c>
      <c r="P218" s="286">
        <v>0</v>
      </c>
      <c r="Q218" s="286">
        <v>23</v>
      </c>
      <c r="R218" s="286">
        <v>20</v>
      </c>
      <c r="S218" s="286">
        <v>3</v>
      </c>
      <c r="T218" s="286">
        <v>19</v>
      </c>
      <c r="U218" s="286">
        <v>19</v>
      </c>
      <c r="V218" s="286">
        <v>0</v>
      </c>
      <c r="W218" s="286">
        <v>4</v>
      </c>
      <c r="X218" s="286">
        <v>1</v>
      </c>
      <c r="Y218" s="286">
        <v>3</v>
      </c>
    </row>
    <row r="219" spans="1:25">
      <c r="A219" s="212">
        <v>1870</v>
      </c>
      <c r="B219" s="212" t="s">
        <v>1642</v>
      </c>
      <c r="C219" s="212">
        <v>1</v>
      </c>
      <c r="D219" s="212" t="s">
        <v>1643</v>
      </c>
      <c r="E219" s="212" t="s">
        <v>2057</v>
      </c>
      <c r="F219" s="212">
        <v>5</v>
      </c>
      <c r="G219" s="212" t="s">
        <v>1645</v>
      </c>
      <c r="H219" s="212">
        <v>0</v>
      </c>
      <c r="I219" s="212" t="s">
        <v>2058</v>
      </c>
      <c r="J219" s="212">
        <v>64</v>
      </c>
      <c r="K219" s="286">
        <v>864</v>
      </c>
      <c r="L219" s="286">
        <v>694</v>
      </c>
      <c r="M219" s="286">
        <v>170</v>
      </c>
      <c r="N219" s="286">
        <v>2</v>
      </c>
      <c r="O219" s="286">
        <v>2</v>
      </c>
      <c r="P219" s="286">
        <v>0</v>
      </c>
      <c r="Q219" s="286">
        <v>49</v>
      </c>
      <c r="R219" s="286">
        <v>38</v>
      </c>
      <c r="S219" s="286">
        <v>11</v>
      </c>
      <c r="T219" s="286">
        <v>15</v>
      </c>
      <c r="U219" s="286">
        <v>12</v>
      </c>
      <c r="V219" s="286">
        <v>3</v>
      </c>
      <c r="W219" s="286">
        <v>34</v>
      </c>
      <c r="X219" s="286">
        <v>26</v>
      </c>
      <c r="Y219" s="286">
        <v>8</v>
      </c>
    </row>
    <row r="220" spans="1:25">
      <c r="A220" s="212">
        <v>1879</v>
      </c>
      <c r="B220" s="212" t="s">
        <v>1642</v>
      </c>
      <c r="C220" s="212">
        <v>1</v>
      </c>
      <c r="D220" s="212" t="s">
        <v>1643</v>
      </c>
      <c r="E220" s="212" t="s">
        <v>2059</v>
      </c>
      <c r="F220" s="212">
        <v>5</v>
      </c>
      <c r="G220" s="212" t="s">
        <v>1645</v>
      </c>
      <c r="H220" s="212">
        <v>0</v>
      </c>
      <c r="I220" s="212" t="s">
        <v>2060</v>
      </c>
      <c r="J220" s="212">
        <v>198</v>
      </c>
      <c r="K220" s="286">
        <v>5789</v>
      </c>
      <c r="L220" s="286">
        <v>5049</v>
      </c>
      <c r="M220" s="286">
        <v>732</v>
      </c>
      <c r="N220" s="286">
        <v>72</v>
      </c>
      <c r="O220" s="286">
        <v>70</v>
      </c>
      <c r="P220" s="286">
        <v>2</v>
      </c>
      <c r="Q220" s="286">
        <v>663</v>
      </c>
      <c r="R220" s="286">
        <v>545</v>
      </c>
      <c r="S220" s="286">
        <v>118</v>
      </c>
      <c r="T220" s="286">
        <v>231</v>
      </c>
      <c r="U220" s="286">
        <v>209</v>
      </c>
      <c r="V220" s="286">
        <v>22</v>
      </c>
      <c r="W220" s="286">
        <v>432</v>
      </c>
      <c r="X220" s="286">
        <v>336</v>
      </c>
      <c r="Y220" s="286">
        <v>96</v>
      </c>
    </row>
    <row r="221" spans="1:25">
      <c r="A221" s="212">
        <v>1888</v>
      </c>
      <c r="B221" s="212" t="s">
        <v>1642</v>
      </c>
      <c r="C221" s="212">
        <v>1</v>
      </c>
      <c r="D221" s="212" t="s">
        <v>1643</v>
      </c>
      <c r="E221" s="212" t="s">
        <v>2061</v>
      </c>
      <c r="F221" s="212">
        <v>5</v>
      </c>
      <c r="G221" s="212" t="s">
        <v>1645</v>
      </c>
      <c r="H221" s="212">
        <v>0</v>
      </c>
      <c r="I221" s="212" t="s">
        <v>2062</v>
      </c>
      <c r="J221" s="212">
        <v>35</v>
      </c>
      <c r="K221" s="286">
        <v>887</v>
      </c>
      <c r="L221" s="286">
        <v>746</v>
      </c>
      <c r="M221" s="286">
        <v>141</v>
      </c>
      <c r="N221" s="286">
        <v>5</v>
      </c>
      <c r="O221" s="286">
        <v>5</v>
      </c>
      <c r="P221" s="286">
        <v>0</v>
      </c>
      <c r="Q221" s="286">
        <v>43</v>
      </c>
      <c r="R221" s="286">
        <v>32</v>
      </c>
      <c r="S221" s="286">
        <v>11</v>
      </c>
      <c r="T221" s="286">
        <v>16</v>
      </c>
      <c r="U221" s="286">
        <v>16</v>
      </c>
      <c r="V221" s="286">
        <v>0</v>
      </c>
      <c r="W221" s="286">
        <v>27</v>
      </c>
      <c r="X221" s="286">
        <v>16</v>
      </c>
      <c r="Y221" s="286">
        <v>11</v>
      </c>
    </row>
    <row r="222" spans="1:25">
      <c r="A222" s="212">
        <v>1897</v>
      </c>
      <c r="B222" s="212" t="s">
        <v>1642</v>
      </c>
      <c r="C222" s="212">
        <v>1</v>
      </c>
      <c r="D222" s="212" t="s">
        <v>1643</v>
      </c>
      <c r="E222" s="212" t="s">
        <v>2063</v>
      </c>
      <c r="F222" s="212">
        <v>5</v>
      </c>
      <c r="G222" s="212" t="s">
        <v>1645</v>
      </c>
      <c r="H222" s="212">
        <v>0</v>
      </c>
      <c r="I222" s="212" t="s">
        <v>2064</v>
      </c>
      <c r="J222" s="212">
        <v>127</v>
      </c>
      <c r="K222" s="286">
        <v>1561</v>
      </c>
      <c r="L222" s="286">
        <v>1267</v>
      </c>
      <c r="M222" s="286">
        <v>292</v>
      </c>
      <c r="N222" s="286">
        <v>0</v>
      </c>
      <c r="O222" s="286">
        <v>0</v>
      </c>
      <c r="P222" s="286">
        <v>0</v>
      </c>
      <c r="Q222" s="286">
        <v>42</v>
      </c>
      <c r="R222" s="286">
        <v>33</v>
      </c>
      <c r="S222" s="286">
        <v>9</v>
      </c>
      <c r="T222" s="286">
        <v>1</v>
      </c>
      <c r="U222" s="286">
        <v>1</v>
      </c>
      <c r="V222" s="286">
        <v>0</v>
      </c>
      <c r="W222" s="286">
        <v>41</v>
      </c>
      <c r="X222" s="286">
        <v>32</v>
      </c>
      <c r="Y222" s="286">
        <v>9</v>
      </c>
    </row>
    <row r="223" spans="1:25">
      <c r="A223" s="212">
        <v>1906</v>
      </c>
      <c r="B223" s="212" t="s">
        <v>1642</v>
      </c>
      <c r="C223" s="212">
        <v>1</v>
      </c>
      <c r="D223" s="212" t="s">
        <v>1643</v>
      </c>
      <c r="E223" s="212" t="s">
        <v>2065</v>
      </c>
      <c r="F223" s="212">
        <v>5</v>
      </c>
      <c r="G223" s="212" t="s">
        <v>1645</v>
      </c>
      <c r="H223" s="212">
        <v>0</v>
      </c>
      <c r="I223" s="212" t="s">
        <v>2066</v>
      </c>
      <c r="J223" s="212">
        <v>155</v>
      </c>
      <c r="K223" s="286">
        <v>7049</v>
      </c>
      <c r="L223" s="286">
        <v>6296</v>
      </c>
      <c r="M223" s="286">
        <v>753</v>
      </c>
      <c r="N223" s="286">
        <v>168</v>
      </c>
      <c r="O223" s="286">
        <v>152</v>
      </c>
      <c r="P223" s="286">
        <v>16</v>
      </c>
      <c r="Q223" s="286">
        <v>1035</v>
      </c>
      <c r="R223" s="286">
        <v>817</v>
      </c>
      <c r="S223" s="286">
        <v>218</v>
      </c>
      <c r="T223" s="286">
        <v>416</v>
      </c>
      <c r="U223" s="286">
        <v>387</v>
      </c>
      <c r="V223" s="286">
        <v>29</v>
      </c>
      <c r="W223" s="286">
        <v>618</v>
      </c>
      <c r="X223" s="286">
        <v>430</v>
      </c>
      <c r="Y223" s="286">
        <v>188</v>
      </c>
    </row>
    <row r="224" spans="1:25">
      <c r="A224" s="212">
        <v>1915</v>
      </c>
      <c r="B224" s="212" t="s">
        <v>1642</v>
      </c>
      <c r="C224" s="212">
        <v>1</v>
      </c>
      <c r="D224" s="212" t="s">
        <v>1643</v>
      </c>
      <c r="E224" s="212" t="s">
        <v>2067</v>
      </c>
      <c r="F224" s="212">
        <v>5</v>
      </c>
      <c r="G224" s="212" t="s">
        <v>1645</v>
      </c>
      <c r="H224" s="212">
        <v>0</v>
      </c>
      <c r="I224" s="212" t="s">
        <v>2068</v>
      </c>
      <c r="J224" s="212">
        <v>567</v>
      </c>
      <c r="K224" s="286">
        <v>8333</v>
      </c>
      <c r="L224" s="286">
        <v>6814</v>
      </c>
      <c r="M224" s="286">
        <v>1515</v>
      </c>
      <c r="N224" s="286">
        <v>78</v>
      </c>
      <c r="O224" s="286">
        <v>78</v>
      </c>
      <c r="P224" s="286">
        <v>0</v>
      </c>
      <c r="Q224" s="286">
        <v>224</v>
      </c>
      <c r="R224" s="286">
        <v>155</v>
      </c>
      <c r="S224" s="286">
        <v>69</v>
      </c>
      <c r="T224" s="286">
        <v>69</v>
      </c>
      <c r="U224" s="286">
        <v>68</v>
      </c>
      <c r="V224" s="286">
        <v>1</v>
      </c>
      <c r="W224" s="286">
        <v>155</v>
      </c>
      <c r="X224" s="286">
        <v>87</v>
      </c>
      <c r="Y224" s="286">
        <v>68</v>
      </c>
    </row>
    <row r="225" spans="1:25">
      <c r="A225" s="212">
        <v>1924</v>
      </c>
      <c r="B225" s="212" t="s">
        <v>1642</v>
      </c>
      <c r="C225" s="212">
        <v>1</v>
      </c>
      <c r="D225" s="212" t="s">
        <v>1643</v>
      </c>
      <c r="E225" s="212" t="s">
        <v>2069</v>
      </c>
      <c r="F225" s="212">
        <v>5</v>
      </c>
      <c r="G225" s="212" t="s">
        <v>1645</v>
      </c>
      <c r="H225" s="212">
        <v>0</v>
      </c>
      <c r="I225" s="212" t="s">
        <v>2070</v>
      </c>
      <c r="J225" s="212">
        <v>26</v>
      </c>
      <c r="K225" s="286">
        <v>583</v>
      </c>
      <c r="L225" s="286">
        <v>434</v>
      </c>
      <c r="M225" s="286">
        <v>149</v>
      </c>
      <c r="N225" s="286">
        <v>0</v>
      </c>
      <c r="O225" s="286">
        <v>0</v>
      </c>
      <c r="P225" s="286">
        <v>0</v>
      </c>
      <c r="Q225" s="286">
        <v>20</v>
      </c>
      <c r="R225" s="286">
        <v>14</v>
      </c>
      <c r="S225" s="286">
        <v>6</v>
      </c>
      <c r="T225" s="286">
        <v>7</v>
      </c>
      <c r="U225" s="286">
        <v>7</v>
      </c>
      <c r="V225" s="286">
        <v>0</v>
      </c>
      <c r="W225" s="286">
        <v>13</v>
      </c>
      <c r="X225" s="286">
        <v>7</v>
      </c>
      <c r="Y225" s="286">
        <v>6</v>
      </c>
    </row>
    <row r="226" spans="1:25">
      <c r="A226" s="212">
        <v>1933</v>
      </c>
      <c r="B226" s="212" t="s">
        <v>1642</v>
      </c>
      <c r="C226" s="212">
        <v>1</v>
      </c>
      <c r="D226" s="212" t="s">
        <v>1643</v>
      </c>
      <c r="E226" s="212" t="s">
        <v>2071</v>
      </c>
      <c r="F226" s="212">
        <v>5</v>
      </c>
      <c r="G226" s="212" t="s">
        <v>1645</v>
      </c>
      <c r="H226" s="212">
        <v>0</v>
      </c>
      <c r="I226" s="212" t="s">
        <v>2072</v>
      </c>
      <c r="J226" s="212">
        <v>393</v>
      </c>
      <c r="K226" s="286">
        <v>5735</v>
      </c>
      <c r="L226" s="286">
        <v>4699</v>
      </c>
      <c r="M226" s="286">
        <v>1036</v>
      </c>
      <c r="N226" s="286">
        <v>12</v>
      </c>
      <c r="O226" s="286">
        <v>10</v>
      </c>
      <c r="P226" s="286">
        <v>2</v>
      </c>
      <c r="Q226" s="286">
        <v>245</v>
      </c>
      <c r="R226" s="286">
        <v>167</v>
      </c>
      <c r="S226" s="286">
        <v>78</v>
      </c>
      <c r="T226" s="286">
        <v>91</v>
      </c>
      <c r="U226" s="286">
        <v>77</v>
      </c>
      <c r="V226" s="286">
        <v>14</v>
      </c>
      <c r="W226" s="286">
        <v>154</v>
      </c>
      <c r="X226" s="286">
        <v>90</v>
      </c>
      <c r="Y226" s="286">
        <v>64</v>
      </c>
    </row>
    <row r="227" spans="1:25">
      <c r="A227" s="212">
        <v>1942</v>
      </c>
      <c r="B227" s="212" t="s">
        <v>1642</v>
      </c>
      <c r="C227" s="212">
        <v>1</v>
      </c>
      <c r="D227" s="212" t="s">
        <v>1643</v>
      </c>
      <c r="E227" s="212" t="s">
        <v>2073</v>
      </c>
      <c r="F227" s="212">
        <v>4</v>
      </c>
      <c r="G227" s="212" t="s">
        <v>1645</v>
      </c>
      <c r="H227" s="212">
        <v>0</v>
      </c>
      <c r="I227" s="212" t="s">
        <v>2074</v>
      </c>
      <c r="J227" s="212">
        <v>231</v>
      </c>
      <c r="K227" s="286">
        <v>8567</v>
      </c>
      <c r="L227" s="286">
        <v>6105</v>
      </c>
      <c r="M227" s="286">
        <v>2462</v>
      </c>
      <c r="N227" s="286">
        <v>472</v>
      </c>
      <c r="O227" s="286">
        <v>443</v>
      </c>
      <c r="P227" s="286">
        <v>29</v>
      </c>
      <c r="Q227" s="286">
        <v>828</v>
      </c>
      <c r="R227" s="286">
        <v>344</v>
      </c>
      <c r="S227" s="286">
        <v>484</v>
      </c>
      <c r="T227" s="286">
        <v>223</v>
      </c>
      <c r="U227" s="286">
        <v>115</v>
      </c>
      <c r="V227" s="286">
        <v>108</v>
      </c>
      <c r="W227" s="286">
        <v>604</v>
      </c>
      <c r="X227" s="286">
        <v>228</v>
      </c>
      <c r="Y227" s="286">
        <v>376</v>
      </c>
    </row>
    <row r="228" spans="1:25">
      <c r="A228" s="212">
        <v>1951</v>
      </c>
      <c r="B228" s="212" t="s">
        <v>1642</v>
      </c>
      <c r="C228" s="212">
        <v>1</v>
      </c>
      <c r="D228" s="212" t="s">
        <v>1643</v>
      </c>
      <c r="E228" s="212" t="s">
        <v>2075</v>
      </c>
      <c r="F228" s="212">
        <v>5</v>
      </c>
      <c r="G228" s="212" t="s">
        <v>1645</v>
      </c>
      <c r="H228" s="212">
        <v>0</v>
      </c>
      <c r="I228" s="212" t="s">
        <v>2076</v>
      </c>
      <c r="J228" s="212">
        <v>8</v>
      </c>
      <c r="K228" s="286">
        <v>60</v>
      </c>
      <c r="L228" s="286">
        <v>45</v>
      </c>
      <c r="M228" s="286">
        <v>15</v>
      </c>
      <c r="N228" s="286">
        <v>0</v>
      </c>
      <c r="O228" s="286">
        <v>0</v>
      </c>
      <c r="P228" s="286">
        <v>0</v>
      </c>
      <c r="Q228" s="286">
        <v>0</v>
      </c>
      <c r="R228" s="286">
        <v>0</v>
      </c>
      <c r="S228" s="286">
        <v>0</v>
      </c>
      <c r="T228" s="286">
        <v>0</v>
      </c>
      <c r="U228" s="286">
        <v>0</v>
      </c>
      <c r="V228" s="286">
        <v>0</v>
      </c>
      <c r="W228" s="286">
        <v>0</v>
      </c>
      <c r="X228" s="286">
        <v>0</v>
      </c>
      <c r="Y228" s="286">
        <v>0</v>
      </c>
    </row>
    <row r="229" spans="1:25">
      <c r="A229" s="212">
        <v>1960</v>
      </c>
      <c r="B229" s="212" t="s">
        <v>1642</v>
      </c>
      <c r="C229" s="212">
        <v>1</v>
      </c>
      <c r="D229" s="212" t="s">
        <v>1643</v>
      </c>
      <c r="E229" s="212" t="s">
        <v>2077</v>
      </c>
      <c r="F229" s="212">
        <v>5</v>
      </c>
      <c r="G229" s="212" t="s">
        <v>1645</v>
      </c>
      <c r="H229" s="212">
        <v>0</v>
      </c>
      <c r="I229" s="212" t="s">
        <v>2078</v>
      </c>
      <c r="J229" s="212">
        <v>24</v>
      </c>
      <c r="K229" s="286">
        <v>2910</v>
      </c>
      <c r="L229" s="286">
        <v>2100</v>
      </c>
      <c r="M229" s="286">
        <v>810</v>
      </c>
      <c r="N229" s="286">
        <v>316</v>
      </c>
      <c r="O229" s="286">
        <v>296</v>
      </c>
      <c r="P229" s="286">
        <v>20</v>
      </c>
      <c r="Q229" s="286">
        <v>304</v>
      </c>
      <c r="R229" s="286">
        <v>127</v>
      </c>
      <c r="S229" s="286">
        <v>177</v>
      </c>
      <c r="T229" s="286">
        <v>14</v>
      </c>
      <c r="U229" s="286">
        <v>14</v>
      </c>
      <c r="V229" s="286">
        <v>0</v>
      </c>
      <c r="W229" s="286">
        <v>290</v>
      </c>
      <c r="X229" s="286">
        <v>113</v>
      </c>
      <c r="Y229" s="286">
        <v>177</v>
      </c>
    </row>
    <row r="230" spans="1:25">
      <c r="A230" s="212">
        <v>1969</v>
      </c>
      <c r="B230" s="212" t="s">
        <v>1642</v>
      </c>
      <c r="C230" s="212">
        <v>1</v>
      </c>
      <c r="D230" s="212" t="s">
        <v>1643</v>
      </c>
      <c r="E230" s="212" t="s">
        <v>2079</v>
      </c>
      <c r="F230" s="212">
        <v>5</v>
      </c>
      <c r="G230" s="212" t="s">
        <v>1645</v>
      </c>
      <c r="H230" s="212">
        <v>0</v>
      </c>
      <c r="I230" s="212" t="s">
        <v>2080</v>
      </c>
      <c r="J230" s="212">
        <v>35</v>
      </c>
      <c r="K230" s="286">
        <v>891</v>
      </c>
      <c r="L230" s="286">
        <v>687</v>
      </c>
      <c r="M230" s="286">
        <v>204</v>
      </c>
      <c r="N230" s="286">
        <v>9</v>
      </c>
      <c r="O230" s="286">
        <v>9</v>
      </c>
      <c r="P230" s="286">
        <v>0</v>
      </c>
      <c r="Q230" s="286">
        <v>47</v>
      </c>
      <c r="R230" s="286">
        <v>38</v>
      </c>
      <c r="S230" s="286">
        <v>9</v>
      </c>
      <c r="T230" s="286">
        <v>31</v>
      </c>
      <c r="U230" s="286">
        <v>30</v>
      </c>
      <c r="V230" s="286">
        <v>1</v>
      </c>
      <c r="W230" s="286">
        <v>16</v>
      </c>
      <c r="X230" s="286">
        <v>8</v>
      </c>
      <c r="Y230" s="286">
        <v>8</v>
      </c>
    </row>
    <row r="231" spans="1:25">
      <c r="A231" s="212">
        <v>1978</v>
      </c>
      <c r="B231" s="212" t="s">
        <v>1642</v>
      </c>
      <c r="C231" s="212">
        <v>1</v>
      </c>
      <c r="D231" s="212" t="s">
        <v>1643</v>
      </c>
      <c r="E231" s="212" t="s">
        <v>2081</v>
      </c>
      <c r="F231" s="212">
        <v>5</v>
      </c>
      <c r="G231" s="212" t="s">
        <v>1645</v>
      </c>
      <c r="H231" s="212">
        <v>0</v>
      </c>
      <c r="I231" s="212" t="s">
        <v>2082</v>
      </c>
      <c r="J231" s="212">
        <v>86</v>
      </c>
      <c r="K231" s="286">
        <v>2463</v>
      </c>
      <c r="L231" s="286">
        <v>1784</v>
      </c>
      <c r="M231" s="286">
        <v>679</v>
      </c>
      <c r="N231" s="286">
        <v>10</v>
      </c>
      <c r="O231" s="286">
        <v>7</v>
      </c>
      <c r="P231" s="286">
        <v>3</v>
      </c>
      <c r="Q231" s="286">
        <v>290</v>
      </c>
      <c r="R231" s="286">
        <v>135</v>
      </c>
      <c r="S231" s="286">
        <v>155</v>
      </c>
      <c r="T231" s="286">
        <v>167</v>
      </c>
      <c r="U231" s="286">
        <v>61</v>
      </c>
      <c r="V231" s="286">
        <v>106</v>
      </c>
      <c r="W231" s="286">
        <v>123</v>
      </c>
      <c r="X231" s="286">
        <v>74</v>
      </c>
      <c r="Y231" s="286">
        <v>49</v>
      </c>
    </row>
    <row r="232" spans="1:25">
      <c r="A232" s="212">
        <v>1987</v>
      </c>
      <c r="B232" s="212" t="s">
        <v>1642</v>
      </c>
      <c r="C232" s="212">
        <v>1</v>
      </c>
      <c r="D232" s="212" t="s">
        <v>1643</v>
      </c>
      <c r="E232" s="212" t="s">
        <v>2083</v>
      </c>
      <c r="F232" s="212">
        <v>5</v>
      </c>
      <c r="G232" s="212" t="s">
        <v>1645</v>
      </c>
      <c r="H232" s="212">
        <v>0</v>
      </c>
      <c r="I232" s="212" t="s">
        <v>2084</v>
      </c>
      <c r="J232" s="212">
        <v>69</v>
      </c>
      <c r="K232" s="286">
        <v>2054</v>
      </c>
      <c r="L232" s="286">
        <v>1323</v>
      </c>
      <c r="M232" s="286">
        <v>731</v>
      </c>
      <c r="N232" s="286">
        <v>126</v>
      </c>
      <c r="O232" s="286">
        <v>120</v>
      </c>
      <c r="P232" s="286">
        <v>6</v>
      </c>
      <c r="Q232" s="286">
        <v>187</v>
      </c>
      <c r="R232" s="286">
        <v>44</v>
      </c>
      <c r="S232" s="286">
        <v>143</v>
      </c>
      <c r="T232" s="286">
        <v>11</v>
      </c>
      <c r="U232" s="286">
        <v>10</v>
      </c>
      <c r="V232" s="286">
        <v>1</v>
      </c>
      <c r="W232" s="286">
        <v>175</v>
      </c>
      <c r="X232" s="286">
        <v>33</v>
      </c>
      <c r="Y232" s="286">
        <v>142</v>
      </c>
    </row>
    <row r="233" spans="1:25">
      <c r="A233" s="212">
        <v>1996</v>
      </c>
      <c r="B233" s="212" t="s">
        <v>1642</v>
      </c>
      <c r="C233" s="212">
        <v>1</v>
      </c>
      <c r="D233" s="212" t="s">
        <v>1643</v>
      </c>
      <c r="E233" s="212" t="s">
        <v>2085</v>
      </c>
      <c r="F233" s="212">
        <v>5</v>
      </c>
      <c r="G233" s="212" t="s">
        <v>1645</v>
      </c>
      <c r="H233" s="212">
        <v>0</v>
      </c>
      <c r="I233" s="212" t="s">
        <v>2086</v>
      </c>
      <c r="J233" s="212">
        <v>8</v>
      </c>
      <c r="K233" s="286">
        <v>183</v>
      </c>
      <c r="L233" s="286">
        <v>160</v>
      </c>
      <c r="M233" s="286">
        <v>23</v>
      </c>
      <c r="N233" s="286">
        <v>11</v>
      </c>
      <c r="O233" s="286">
        <v>11</v>
      </c>
      <c r="P233" s="286">
        <v>0</v>
      </c>
      <c r="Q233" s="286">
        <v>0</v>
      </c>
      <c r="R233" s="286">
        <v>0</v>
      </c>
      <c r="S233" s="286">
        <v>0</v>
      </c>
      <c r="T233" s="286">
        <v>0</v>
      </c>
      <c r="U233" s="286">
        <v>0</v>
      </c>
      <c r="V233" s="286">
        <v>0</v>
      </c>
      <c r="W233" s="286">
        <v>0</v>
      </c>
      <c r="X233" s="286">
        <v>0</v>
      </c>
      <c r="Y233" s="286">
        <v>0</v>
      </c>
    </row>
    <row r="234" spans="1:25">
      <c r="A234" s="212">
        <v>2005</v>
      </c>
      <c r="B234" s="212" t="s">
        <v>1642</v>
      </c>
      <c r="C234" s="212">
        <v>1</v>
      </c>
      <c r="D234" s="212" t="s">
        <v>1643</v>
      </c>
      <c r="E234" s="212" t="s">
        <v>2087</v>
      </c>
      <c r="F234" s="212">
        <v>5</v>
      </c>
      <c r="G234" s="212" t="s">
        <v>1645</v>
      </c>
      <c r="H234" s="212">
        <v>0</v>
      </c>
      <c r="I234" s="212" t="s">
        <v>2088</v>
      </c>
      <c r="J234" s="212">
        <v>1</v>
      </c>
      <c r="K234" s="286">
        <v>6</v>
      </c>
      <c r="L234" s="286">
        <v>6</v>
      </c>
      <c r="M234" s="286">
        <v>0</v>
      </c>
      <c r="N234" s="286">
        <v>0</v>
      </c>
      <c r="O234" s="286">
        <v>0</v>
      </c>
      <c r="P234" s="286">
        <v>0</v>
      </c>
      <c r="Q234" s="286">
        <v>0</v>
      </c>
      <c r="R234" s="286">
        <v>0</v>
      </c>
      <c r="S234" s="286">
        <v>0</v>
      </c>
      <c r="T234" s="286">
        <v>0</v>
      </c>
      <c r="U234" s="286">
        <v>0</v>
      </c>
      <c r="V234" s="286">
        <v>0</v>
      </c>
      <c r="W234" s="286">
        <v>0</v>
      </c>
      <c r="X234" s="286">
        <v>0</v>
      </c>
      <c r="Y234" s="286">
        <v>0</v>
      </c>
    </row>
    <row r="235" spans="1:25">
      <c r="A235" s="212">
        <v>2014</v>
      </c>
      <c r="B235" s="212" t="s">
        <v>1642</v>
      </c>
      <c r="C235" s="212">
        <v>1</v>
      </c>
      <c r="D235" s="212" t="s">
        <v>1643</v>
      </c>
      <c r="E235" s="212" t="s">
        <v>2089</v>
      </c>
      <c r="F235" s="212">
        <v>4</v>
      </c>
      <c r="G235" s="212" t="s">
        <v>1645</v>
      </c>
      <c r="H235" s="212">
        <v>0</v>
      </c>
      <c r="I235" s="212" t="s">
        <v>2090</v>
      </c>
      <c r="J235" s="212">
        <v>208</v>
      </c>
      <c r="K235" s="286">
        <v>9113</v>
      </c>
      <c r="L235" s="286">
        <v>6388</v>
      </c>
      <c r="M235" s="286">
        <v>2691</v>
      </c>
      <c r="N235" s="286">
        <v>290</v>
      </c>
      <c r="O235" s="286">
        <v>269</v>
      </c>
      <c r="P235" s="286">
        <v>21</v>
      </c>
      <c r="Q235" s="286">
        <v>1471</v>
      </c>
      <c r="R235" s="286">
        <v>1063</v>
      </c>
      <c r="S235" s="286">
        <v>408</v>
      </c>
      <c r="T235" s="286">
        <v>491</v>
      </c>
      <c r="U235" s="286">
        <v>435</v>
      </c>
      <c r="V235" s="286">
        <v>56</v>
      </c>
      <c r="W235" s="286">
        <v>980</v>
      </c>
      <c r="X235" s="286">
        <v>628</v>
      </c>
      <c r="Y235" s="286">
        <v>352</v>
      </c>
    </row>
    <row r="236" spans="1:25">
      <c r="A236" s="212">
        <v>2023</v>
      </c>
      <c r="B236" s="212" t="s">
        <v>1642</v>
      </c>
      <c r="C236" s="212">
        <v>1</v>
      </c>
      <c r="D236" s="212" t="s">
        <v>1643</v>
      </c>
      <c r="E236" s="212" t="s">
        <v>2091</v>
      </c>
      <c r="F236" s="212">
        <v>5</v>
      </c>
      <c r="G236" s="212" t="s">
        <v>1645</v>
      </c>
      <c r="H236" s="212">
        <v>0</v>
      </c>
      <c r="I236" s="212" t="s">
        <v>2092</v>
      </c>
      <c r="J236" s="212">
        <v>5</v>
      </c>
      <c r="K236" s="286">
        <v>206</v>
      </c>
      <c r="L236" s="286">
        <v>155</v>
      </c>
      <c r="M236" s="286">
        <v>51</v>
      </c>
      <c r="N236" s="286">
        <v>1</v>
      </c>
      <c r="O236" s="286">
        <v>1</v>
      </c>
      <c r="P236" s="286">
        <v>0</v>
      </c>
      <c r="Q236" s="286">
        <v>15</v>
      </c>
      <c r="R236" s="286">
        <v>13</v>
      </c>
      <c r="S236" s="286">
        <v>2</v>
      </c>
      <c r="T236" s="286">
        <v>4</v>
      </c>
      <c r="U236" s="286">
        <v>3</v>
      </c>
      <c r="V236" s="286">
        <v>1</v>
      </c>
      <c r="W236" s="286">
        <v>11</v>
      </c>
      <c r="X236" s="286">
        <v>10</v>
      </c>
      <c r="Y236" s="286">
        <v>1</v>
      </c>
    </row>
    <row r="237" spans="1:25">
      <c r="A237" s="212">
        <v>2032</v>
      </c>
      <c r="B237" s="212" t="s">
        <v>1642</v>
      </c>
      <c r="C237" s="212">
        <v>1</v>
      </c>
      <c r="D237" s="212" t="s">
        <v>1643</v>
      </c>
      <c r="E237" s="212" t="s">
        <v>2093</v>
      </c>
      <c r="F237" s="212">
        <v>5</v>
      </c>
      <c r="G237" s="212" t="s">
        <v>1645</v>
      </c>
      <c r="H237" s="212">
        <v>0</v>
      </c>
      <c r="I237" s="212" t="s">
        <v>2094</v>
      </c>
      <c r="J237" s="212">
        <v>23</v>
      </c>
      <c r="K237" s="286">
        <v>3893</v>
      </c>
      <c r="L237" s="286">
        <v>3318</v>
      </c>
      <c r="M237" s="286">
        <v>571</v>
      </c>
      <c r="N237" s="286">
        <v>252</v>
      </c>
      <c r="O237" s="286">
        <v>236</v>
      </c>
      <c r="P237" s="286">
        <v>16</v>
      </c>
      <c r="Q237" s="286">
        <v>616</v>
      </c>
      <c r="R237" s="286">
        <v>459</v>
      </c>
      <c r="S237" s="286">
        <v>157</v>
      </c>
      <c r="T237" s="286">
        <v>88</v>
      </c>
      <c r="U237" s="286">
        <v>74</v>
      </c>
      <c r="V237" s="286">
        <v>14</v>
      </c>
      <c r="W237" s="286">
        <v>528</v>
      </c>
      <c r="X237" s="286">
        <v>385</v>
      </c>
      <c r="Y237" s="286">
        <v>143</v>
      </c>
    </row>
    <row r="238" spans="1:25">
      <c r="A238" s="212">
        <v>2041</v>
      </c>
      <c r="B238" s="212" t="s">
        <v>1642</v>
      </c>
      <c r="C238" s="212">
        <v>1</v>
      </c>
      <c r="D238" s="212" t="s">
        <v>1643</v>
      </c>
      <c r="E238" s="212" t="s">
        <v>2095</v>
      </c>
      <c r="F238" s="212">
        <v>5</v>
      </c>
      <c r="G238" s="212" t="s">
        <v>1645</v>
      </c>
      <c r="H238" s="212">
        <v>0</v>
      </c>
      <c r="I238" s="212" t="s">
        <v>2096</v>
      </c>
      <c r="J238" s="212">
        <v>24</v>
      </c>
      <c r="K238" s="286">
        <v>477</v>
      </c>
      <c r="L238" s="286">
        <v>269</v>
      </c>
      <c r="M238" s="286">
        <v>208</v>
      </c>
      <c r="N238" s="286">
        <v>2</v>
      </c>
      <c r="O238" s="286">
        <v>1</v>
      </c>
      <c r="P238" s="286">
        <v>1</v>
      </c>
      <c r="Q238" s="286">
        <v>18</v>
      </c>
      <c r="R238" s="286">
        <v>15</v>
      </c>
      <c r="S238" s="286">
        <v>3</v>
      </c>
      <c r="T238" s="286">
        <v>13</v>
      </c>
      <c r="U238" s="286">
        <v>13</v>
      </c>
      <c r="V238" s="286">
        <v>0</v>
      </c>
      <c r="W238" s="286">
        <v>5</v>
      </c>
      <c r="X238" s="286">
        <v>2</v>
      </c>
      <c r="Y238" s="286">
        <v>3</v>
      </c>
    </row>
    <row r="239" spans="1:25">
      <c r="A239" s="212">
        <v>2050</v>
      </c>
      <c r="B239" s="212" t="s">
        <v>1642</v>
      </c>
      <c r="C239" s="212">
        <v>1</v>
      </c>
      <c r="D239" s="212" t="s">
        <v>1643</v>
      </c>
      <c r="E239" s="212" t="s">
        <v>2097</v>
      </c>
      <c r="F239" s="212">
        <v>5</v>
      </c>
      <c r="G239" s="212" t="s">
        <v>1645</v>
      </c>
      <c r="H239" s="212">
        <v>0</v>
      </c>
      <c r="I239" s="212" t="s">
        <v>2098</v>
      </c>
      <c r="J239" s="212">
        <v>1</v>
      </c>
      <c r="K239" s="286">
        <v>18</v>
      </c>
      <c r="L239" s="286">
        <v>17</v>
      </c>
      <c r="M239" s="286">
        <v>1</v>
      </c>
      <c r="N239" s="286">
        <v>3</v>
      </c>
      <c r="O239" s="286">
        <v>3</v>
      </c>
      <c r="P239" s="286">
        <v>0</v>
      </c>
      <c r="Q239" s="286">
        <v>0</v>
      </c>
      <c r="R239" s="286">
        <v>0</v>
      </c>
      <c r="S239" s="286">
        <v>0</v>
      </c>
      <c r="T239" s="286">
        <v>0</v>
      </c>
      <c r="U239" s="286">
        <v>0</v>
      </c>
      <c r="V239" s="286">
        <v>0</v>
      </c>
      <c r="W239" s="286">
        <v>0</v>
      </c>
      <c r="X239" s="286">
        <v>0</v>
      </c>
      <c r="Y239" s="286">
        <v>0</v>
      </c>
    </row>
    <row r="240" spans="1:25">
      <c r="A240" s="212">
        <v>2059</v>
      </c>
      <c r="B240" s="212" t="s">
        <v>1642</v>
      </c>
      <c r="C240" s="212">
        <v>1</v>
      </c>
      <c r="D240" s="212" t="s">
        <v>1643</v>
      </c>
      <c r="E240" s="212" t="s">
        <v>2099</v>
      </c>
      <c r="F240" s="212">
        <v>5</v>
      </c>
      <c r="G240" s="212" t="s">
        <v>1645</v>
      </c>
      <c r="H240" s="212">
        <v>0</v>
      </c>
      <c r="I240" s="212" t="s">
        <v>2100</v>
      </c>
      <c r="J240" s="212">
        <v>54</v>
      </c>
      <c r="K240" s="286">
        <v>1620</v>
      </c>
      <c r="L240" s="286">
        <v>890</v>
      </c>
      <c r="M240" s="286">
        <v>730</v>
      </c>
      <c r="N240" s="286">
        <v>3</v>
      </c>
      <c r="O240" s="286">
        <v>3</v>
      </c>
      <c r="P240" s="286">
        <v>0</v>
      </c>
      <c r="Q240" s="286">
        <v>76</v>
      </c>
      <c r="R240" s="286">
        <v>20</v>
      </c>
      <c r="S240" s="286">
        <v>56</v>
      </c>
      <c r="T240" s="286">
        <v>27</v>
      </c>
      <c r="U240" s="286">
        <v>12</v>
      </c>
      <c r="V240" s="286">
        <v>15</v>
      </c>
      <c r="W240" s="286">
        <v>49</v>
      </c>
      <c r="X240" s="286">
        <v>8</v>
      </c>
      <c r="Y240" s="286">
        <v>41</v>
      </c>
    </row>
    <row r="241" spans="1:25">
      <c r="A241" s="212">
        <v>2068</v>
      </c>
      <c r="B241" s="212" t="s">
        <v>1642</v>
      </c>
      <c r="C241" s="212">
        <v>1</v>
      </c>
      <c r="D241" s="212" t="s">
        <v>1643</v>
      </c>
      <c r="E241" s="212" t="s">
        <v>2101</v>
      </c>
      <c r="F241" s="212">
        <v>5</v>
      </c>
      <c r="G241" s="212" t="s">
        <v>1645</v>
      </c>
      <c r="H241" s="212">
        <v>0</v>
      </c>
      <c r="I241" s="212" t="s">
        <v>2102</v>
      </c>
      <c r="J241" s="212">
        <v>13</v>
      </c>
      <c r="K241" s="286">
        <v>608</v>
      </c>
      <c r="L241" s="286">
        <v>366</v>
      </c>
      <c r="M241" s="286">
        <v>242</v>
      </c>
      <c r="N241" s="286">
        <v>3</v>
      </c>
      <c r="O241" s="286">
        <v>3</v>
      </c>
      <c r="P241" s="286">
        <v>0</v>
      </c>
      <c r="Q241" s="286">
        <v>295</v>
      </c>
      <c r="R241" s="286">
        <v>241</v>
      </c>
      <c r="S241" s="286">
        <v>54</v>
      </c>
      <c r="T241" s="286">
        <v>140</v>
      </c>
      <c r="U241" s="286">
        <v>134</v>
      </c>
      <c r="V241" s="286">
        <v>6</v>
      </c>
      <c r="W241" s="286">
        <v>155</v>
      </c>
      <c r="X241" s="286">
        <v>107</v>
      </c>
      <c r="Y241" s="286">
        <v>48</v>
      </c>
    </row>
    <row r="242" spans="1:25">
      <c r="A242" s="212">
        <v>2077</v>
      </c>
      <c r="B242" s="212" t="s">
        <v>1642</v>
      </c>
      <c r="C242" s="212">
        <v>1</v>
      </c>
      <c r="D242" s="212" t="s">
        <v>1643</v>
      </c>
      <c r="E242" s="212" t="s">
        <v>2103</v>
      </c>
      <c r="F242" s="212">
        <v>5</v>
      </c>
      <c r="G242" s="212" t="s">
        <v>1645</v>
      </c>
      <c r="H242" s="212">
        <v>0</v>
      </c>
      <c r="I242" s="212" t="s">
        <v>2104</v>
      </c>
      <c r="J242" s="212">
        <v>88</v>
      </c>
      <c r="K242" s="286">
        <v>2291</v>
      </c>
      <c r="L242" s="286">
        <v>1373</v>
      </c>
      <c r="M242" s="286">
        <v>888</v>
      </c>
      <c r="N242" s="286">
        <v>26</v>
      </c>
      <c r="O242" s="286">
        <v>22</v>
      </c>
      <c r="P242" s="286">
        <v>4</v>
      </c>
      <c r="Q242" s="286">
        <v>451</v>
      </c>
      <c r="R242" s="286">
        <v>315</v>
      </c>
      <c r="S242" s="286">
        <v>136</v>
      </c>
      <c r="T242" s="286">
        <v>219</v>
      </c>
      <c r="U242" s="286">
        <v>199</v>
      </c>
      <c r="V242" s="286">
        <v>20</v>
      </c>
      <c r="W242" s="286">
        <v>232</v>
      </c>
      <c r="X242" s="286">
        <v>116</v>
      </c>
      <c r="Y242" s="286">
        <v>116</v>
      </c>
    </row>
    <row r="243" spans="1:25">
      <c r="A243" s="212">
        <v>2086</v>
      </c>
      <c r="B243" s="212" t="s">
        <v>1642</v>
      </c>
      <c r="C243" s="212">
        <v>1</v>
      </c>
      <c r="D243" s="212" t="s">
        <v>1643</v>
      </c>
      <c r="E243" s="212" t="s">
        <v>2105</v>
      </c>
      <c r="F243" s="212">
        <v>4</v>
      </c>
      <c r="G243" s="212" t="s">
        <v>1645</v>
      </c>
      <c r="H243" s="212">
        <v>0</v>
      </c>
      <c r="I243" s="212" t="s">
        <v>2106</v>
      </c>
      <c r="J243" s="212">
        <v>722</v>
      </c>
      <c r="K243" s="286">
        <v>35167</v>
      </c>
      <c r="L243" s="286">
        <v>25122</v>
      </c>
      <c r="M243" s="286">
        <v>10036</v>
      </c>
      <c r="N243" s="286">
        <v>1114</v>
      </c>
      <c r="O243" s="286">
        <v>1000</v>
      </c>
      <c r="P243" s="286">
        <v>114</v>
      </c>
      <c r="Q243" s="286">
        <v>8796</v>
      </c>
      <c r="R243" s="286">
        <v>7388</v>
      </c>
      <c r="S243" s="286">
        <v>1408</v>
      </c>
      <c r="T243" s="286">
        <v>4511</v>
      </c>
      <c r="U243" s="286">
        <v>4315</v>
      </c>
      <c r="V243" s="286">
        <v>196</v>
      </c>
      <c r="W243" s="286">
        <v>4285</v>
      </c>
      <c r="X243" s="286">
        <v>3073</v>
      </c>
      <c r="Y243" s="286">
        <v>1212</v>
      </c>
    </row>
    <row r="244" spans="1:25">
      <c r="A244" s="212">
        <v>2095</v>
      </c>
      <c r="B244" s="212" t="s">
        <v>1642</v>
      </c>
      <c r="C244" s="212">
        <v>1</v>
      </c>
      <c r="D244" s="212" t="s">
        <v>1643</v>
      </c>
      <c r="E244" s="212" t="s">
        <v>2107</v>
      </c>
      <c r="F244" s="212">
        <v>5</v>
      </c>
      <c r="G244" s="212" t="s">
        <v>1645</v>
      </c>
      <c r="H244" s="212">
        <v>0</v>
      </c>
      <c r="I244" s="212" t="s">
        <v>2108</v>
      </c>
      <c r="J244" s="212">
        <v>14</v>
      </c>
      <c r="K244" s="286">
        <v>509</v>
      </c>
      <c r="L244" s="286">
        <v>345</v>
      </c>
      <c r="M244" s="286">
        <v>164</v>
      </c>
      <c r="N244" s="286">
        <v>0</v>
      </c>
      <c r="O244" s="286">
        <v>0</v>
      </c>
      <c r="P244" s="286">
        <v>0</v>
      </c>
      <c r="Q244" s="286">
        <v>35</v>
      </c>
      <c r="R244" s="286">
        <v>11</v>
      </c>
      <c r="S244" s="286">
        <v>24</v>
      </c>
      <c r="T244" s="286">
        <v>5</v>
      </c>
      <c r="U244" s="286">
        <v>1</v>
      </c>
      <c r="V244" s="286">
        <v>4</v>
      </c>
      <c r="W244" s="286">
        <v>30</v>
      </c>
      <c r="X244" s="286">
        <v>10</v>
      </c>
      <c r="Y244" s="286">
        <v>20</v>
      </c>
    </row>
    <row r="245" spans="1:25">
      <c r="A245" s="212">
        <v>2104</v>
      </c>
      <c r="B245" s="212" t="s">
        <v>1642</v>
      </c>
      <c r="C245" s="212">
        <v>1</v>
      </c>
      <c r="D245" s="212" t="s">
        <v>1643</v>
      </c>
      <c r="E245" s="212" t="s">
        <v>2109</v>
      </c>
      <c r="F245" s="212">
        <v>5</v>
      </c>
      <c r="G245" s="212" t="s">
        <v>1645</v>
      </c>
      <c r="H245" s="212">
        <v>0</v>
      </c>
      <c r="I245" s="212" t="s">
        <v>2110</v>
      </c>
      <c r="J245" s="212">
        <v>335</v>
      </c>
      <c r="K245" s="286">
        <v>12458</v>
      </c>
      <c r="L245" s="286">
        <v>9539</v>
      </c>
      <c r="M245" s="286">
        <v>2919</v>
      </c>
      <c r="N245" s="286">
        <v>400</v>
      </c>
      <c r="O245" s="286">
        <v>376</v>
      </c>
      <c r="P245" s="286">
        <v>24</v>
      </c>
      <c r="Q245" s="286">
        <v>965</v>
      </c>
      <c r="R245" s="286">
        <v>692</v>
      </c>
      <c r="S245" s="286">
        <v>273</v>
      </c>
      <c r="T245" s="286">
        <v>370</v>
      </c>
      <c r="U245" s="286">
        <v>344</v>
      </c>
      <c r="V245" s="286">
        <v>26</v>
      </c>
      <c r="W245" s="286">
        <v>595</v>
      </c>
      <c r="X245" s="286">
        <v>348</v>
      </c>
      <c r="Y245" s="286">
        <v>247</v>
      </c>
    </row>
    <row r="246" spans="1:25">
      <c r="A246" s="212">
        <v>2113</v>
      </c>
      <c r="B246" s="212" t="s">
        <v>1642</v>
      </c>
      <c r="C246" s="212">
        <v>1</v>
      </c>
      <c r="D246" s="212" t="s">
        <v>1643</v>
      </c>
      <c r="E246" s="212" t="s">
        <v>2111</v>
      </c>
      <c r="F246" s="212">
        <v>5</v>
      </c>
      <c r="G246" s="212" t="s">
        <v>1645</v>
      </c>
      <c r="H246" s="212">
        <v>0</v>
      </c>
      <c r="I246" s="212" t="s">
        <v>2112</v>
      </c>
      <c r="J246" s="212">
        <v>152</v>
      </c>
      <c r="K246" s="286">
        <v>12372</v>
      </c>
      <c r="L246" s="286">
        <v>9263</v>
      </c>
      <c r="M246" s="286">
        <v>3109</v>
      </c>
      <c r="N246" s="286">
        <v>339</v>
      </c>
      <c r="O246" s="286">
        <v>289</v>
      </c>
      <c r="P246" s="286">
        <v>50</v>
      </c>
      <c r="Q246" s="286">
        <v>1736</v>
      </c>
      <c r="R246" s="286">
        <v>1231</v>
      </c>
      <c r="S246" s="286">
        <v>505</v>
      </c>
      <c r="T246" s="286">
        <v>302</v>
      </c>
      <c r="U246" s="286">
        <v>253</v>
      </c>
      <c r="V246" s="286">
        <v>49</v>
      </c>
      <c r="W246" s="286">
        <v>1434</v>
      </c>
      <c r="X246" s="286">
        <v>978</v>
      </c>
      <c r="Y246" s="286">
        <v>456</v>
      </c>
    </row>
    <row r="247" spans="1:25">
      <c r="A247" s="212">
        <v>2122</v>
      </c>
      <c r="B247" s="212" t="s">
        <v>1642</v>
      </c>
      <c r="C247" s="212">
        <v>1</v>
      </c>
      <c r="D247" s="212" t="s">
        <v>1643</v>
      </c>
      <c r="E247" s="212" t="s">
        <v>2113</v>
      </c>
      <c r="F247" s="212">
        <v>5</v>
      </c>
      <c r="G247" s="212" t="s">
        <v>1645</v>
      </c>
      <c r="H247" s="212">
        <v>0</v>
      </c>
      <c r="I247" s="212" t="s">
        <v>2114</v>
      </c>
      <c r="J247" s="212">
        <v>55</v>
      </c>
      <c r="K247" s="286">
        <v>1703</v>
      </c>
      <c r="L247" s="286">
        <v>1254</v>
      </c>
      <c r="M247" s="286">
        <v>449</v>
      </c>
      <c r="N247" s="286">
        <v>21</v>
      </c>
      <c r="O247" s="286">
        <v>19</v>
      </c>
      <c r="P247" s="286">
        <v>2</v>
      </c>
      <c r="Q247" s="286">
        <v>87</v>
      </c>
      <c r="R247" s="286">
        <v>60</v>
      </c>
      <c r="S247" s="286">
        <v>27</v>
      </c>
      <c r="T247" s="286">
        <v>22</v>
      </c>
      <c r="U247" s="286">
        <v>19</v>
      </c>
      <c r="V247" s="286">
        <v>3</v>
      </c>
      <c r="W247" s="286">
        <v>65</v>
      </c>
      <c r="X247" s="286">
        <v>41</v>
      </c>
      <c r="Y247" s="286">
        <v>24</v>
      </c>
    </row>
    <row r="248" spans="1:25">
      <c r="A248" s="212">
        <v>2131</v>
      </c>
      <c r="B248" s="212" t="s">
        <v>1642</v>
      </c>
      <c r="C248" s="212">
        <v>1</v>
      </c>
      <c r="D248" s="212" t="s">
        <v>1643</v>
      </c>
      <c r="E248" s="212" t="s">
        <v>2115</v>
      </c>
      <c r="F248" s="212">
        <v>5</v>
      </c>
      <c r="G248" s="212" t="s">
        <v>1645</v>
      </c>
      <c r="H248" s="212">
        <v>0</v>
      </c>
      <c r="I248" s="212" t="s">
        <v>2116</v>
      </c>
      <c r="J248" s="212">
        <v>53</v>
      </c>
      <c r="K248" s="286">
        <v>3496</v>
      </c>
      <c r="L248" s="286">
        <v>1888</v>
      </c>
      <c r="M248" s="286">
        <v>1599</v>
      </c>
      <c r="N248" s="286">
        <v>106</v>
      </c>
      <c r="O248" s="286">
        <v>94</v>
      </c>
      <c r="P248" s="286">
        <v>12</v>
      </c>
      <c r="Q248" s="286">
        <v>425</v>
      </c>
      <c r="R248" s="286">
        <v>224</v>
      </c>
      <c r="S248" s="286">
        <v>201</v>
      </c>
      <c r="T248" s="286">
        <v>11</v>
      </c>
      <c r="U248" s="286">
        <v>11</v>
      </c>
      <c r="V248" s="286">
        <v>0</v>
      </c>
      <c r="W248" s="286">
        <v>414</v>
      </c>
      <c r="X248" s="286">
        <v>213</v>
      </c>
      <c r="Y248" s="286">
        <v>201</v>
      </c>
    </row>
    <row r="249" spans="1:25">
      <c r="A249" s="212">
        <v>2140</v>
      </c>
      <c r="B249" s="212" t="s">
        <v>1642</v>
      </c>
      <c r="C249" s="212">
        <v>1</v>
      </c>
      <c r="D249" s="212" t="s">
        <v>1643</v>
      </c>
      <c r="E249" s="212" t="s">
        <v>2117</v>
      </c>
      <c r="F249" s="212">
        <v>5</v>
      </c>
      <c r="G249" s="212" t="s">
        <v>1645</v>
      </c>
      <c r="H249" s="212">
        <v>0</v>
      </c>
      <c r="I249" s="212" t="s">
        <v>2118</v>
      </c>
      <c r="J249" s="212">
        <v>29</v>
      </c>
      <c r="K249" s="286">
        <v>1935</v>
      </c>
      <c r="L249" s="286">
        <v>1204</v>
      </c>
      <c r="M249" s="286">
        <v>731</v>
      </c>
      <c r="N249" s="286">
        <v>231</v>
      </c>
      <c r="O249" s="286">
        <v>213</v>
      </c>
      <c r="P249" s="286">
        <v>18</v>
      </c>
      <c r="Q249" s="286">
        <v>5175</v>
      </c>
      <c r="R249" s="286">
        <v>4929</v>
      </c>
      <c r="S249" s="286">
        <v>246</v>
      </c>
      <c r="T249" s="286">
        <v>3684</v>
      </c>
      <c r="U249" s="286">
        <v>3596</v>
      </c>
      <c r="V249" s="286">
        <v>88</v>
      </c>
      <c r="W249" s="286">
        <v>1491</v>
      </c>
      <c r="X249" s="286">
        <v>1333</v>
      </c>
      <c r="Y249" s="286">
        <v>158</v>
      </c>
    </row>
    <row r="250" spans="1:25">
      <c r="A250" s="212">
        <v>2149</v>
      </c>
      <c r="B250" s="212" t="s">
        <v>1642</v>
      </c>
      <c r="C250" s="212">
        <v>1</v>
      </c>
      <c r="D250" s="212" t="s">
        <v>1643</v>
      </c>
      <c r="E250" s="212" t="s">
        <v>2119</v>
      </c>
      <c r="F250" s="212">
        <v>5</v>
      </c>
      <c r="G250" s="212" t="s">
        <v>1645</v>
      </c>
      <c r="H250" s="212">
        <v>0</v>
      </c>
      <c r="I250" s="212" t="s">
        <v>2120</v>
      </c>
      <c r="J250" s="212">
        <v>30</v>
      </c>
      <c r="K250" s="286">
        <v>786</v>
      </c>
      <c r="L250" s="286">
        <v>486</v>
      </c>
      <c r="M250" s="286">
        <v>300</v>
      </c>
      <c r="N250" s="286">
        <v>13</v>
      </c>
      <c r="O250" s="286">
        <v>8</v>
      </c>
      <c r="P250" s="286">
        <v>5</v>
      </c>
      <c r="Q250" s="286">
        <v>26</v>
      </c>
      <c r="R250" s="286">
        <v>22</v>
      </c>
      <c r="S250" s="286">
        <v>4</v>
      </c>
      <c r="T250" s="286">
        <v>14</v>
      </c>
      <c r="U250" s="286">
        <v>14</v>
      </c>
      <c r="V250" s="286">
        <v>0</v>
      </c>
      <c r="W250" s="286">
        <v>12</v>
      </c>
      <c r="X250" s="286">
        <v>8</v>
      </c>
      <c r="Y250" s="286">
        <v>4</v>
      </c>
    </row>
    <row r="251" spans="1:25">
      <c r="A251" s="212">
        <v>2158</v>
      </c>
      <c r="B251" s="212" t="s">
        <v>1642</v>
      </c>
      <c r="C251" s="212">
        <v>1</v>
      </c>
      <c r="D251" s="212" t="s">
        <v>1643</v>
      </c>
      <c r="E251" s="212" t="s">
        <v>2121</v>
      </c>
      <c r="F251" s="212">
        <v>5</v>
      </c>
      <c r="G251" s="212" t="s">
        <v>1645</v>
      </c>
      <c r="H251" s="212">
        <v>0</v>
      </c>
      <c r="I251" s="212" t="s">
        <v>2122</v>
      </c>
      <c r="J251" s="212">
        <v>32</v>
      </c>
      <c r="K251" s="286">
        <v>1055</v>
      </c>
      <c r="L251" s="286">
        <v>512</v>
      </c>
      <c r="M251" s="286">
        <v>543</v>
      </c>
      <c r="N251" s="286">
        <v>3</v>
      </c>
      <c r="O251" s="286">
        <v>0</v>
      </c>
      <c r="P251" s="286">
        <v>3</v>
      </c>
      <c r="Q251" s="286">
        <v>204</v>
      </c>
      <c r="R251" s="286">
        <v>93</v>
      </c>
      <c r="S251" s="286">
        <v>111</v>
      </c>
      <c r="T251" s="286">
        <v>76</v>
      </c>
      <c r="U251" s="286">
        <v>50</v>
      </c>
      <c r="V251" s="286">
        <v>26</v>
      </c>
      <c r="W251" s="286">
        <v>128</v>
      </c>
      <c r="X251" s="286">
        <v>43</v>
      </c>
      <c r="Y251" s="286">
        <v>85</v>
      </c>
    </row>
    <row r="252" spans="1:25">
      <c r="A252" s="212">
        <v>2167</v>
      </c>
      <c r="B252" s="212" t="s">
        <v>1642</v>
      </c>
      <c r="C252" s="212">
        <v>1</v>
      </c>
      <c r="D252" s="212" t="s">
        <v>1643</v>
      </c>
      <c r="E252" s="212" t="s">
        <v>2123</v>
      </c>
      <c r="F252" s="212">
        <v>5</v>
      </c>
      <c r="G252" s="212" t="s">
        <v>1645</v>
      </c>
      <c r="H252" s="212">
        <v>0</v>
      </c>
      <c r="I252" s="212" t="s">
        <v>2124</v>
      </c>
      <c r="J252" s="212">
        <v>22</v>
      </c>
      <c r="K252" s="286">
        <v>853</v>
      </c>
      <c r="L252" s="286">
        <v>631</v>
      </c>
      <c r="M252" s="286">
        <v>222</v>
      </c>
      <c r="N252" s="286">
        <v>1</v>
      </c>
      <c r="O252" s="286">
        <v>1</v>
      </c>
      <c r="P252" s="286">
        <v>0</v>
      </c>
      <c r="Q252" s="286">
        <v>143</v>
      </c>
      <c r="R252" s="286">
        <v>126</v>
      </c>
      <c r="S252" s="286">
        <v>17</v>
      </c>
      <c r="T252" s="286">
        <v>27</v>
      </c>
      <c r="U252" s="286">
        <v>27</v>
      </c>
      <c r="V252" s="286">
        <v>0</v>
      </c>
      <c r="W252" s="286">
        <v>116</v>
      </c>
      <c r="X252" s="286">
        <v>99</v>
      </c>
      <c r="Y252" s="286">
        <v>17</v>
      </c>
    </row>
    <row r="253" spans="1:25">
      <c r="A253" s="212">
        <v>2176</v>
      </c>
      <c r="B253" s="212" t="s">
        <v>1642</v>
      </c>
      <c r="C253" s="212">
        <v>1</v>
      </c>
      <c r="D253" s="212" t="s">
        <v>1643</v>
      </c>
      <c r="E253" s="212" t="s">
        <v>2125</v>
      </c>
      <c r="F253" s="212">
        <v>4</v>
      </c>
      <c r="G253" s="212" t="s">
        <v>1645</v>
      </c>
      <c r="H253" s="212">
        <v>0</v>
      </c>
      <c r="I253" s="212" t="s">
        <v>2126</v>
      </c>
      <c r="J253" s="212">
        <v>88</v>
      </c>
      <c r="K253" s="286">
        <v>10931</v>
      </c>
      <c r="L253" s="286">
        <v>8304</v>
      </c>
      <c r="M253" s="286">
        <v>2627</v>
      </c>
      <c r="N253" s="286">
        <v>299</v>
      </c>
      <c r="O253" s="286">
        <v>259</v>
      </c>
      <c r="P253" s="286">
        <v>40</v>
      </c>
      <c r="Q253" s="286">
        <v>1532</v>
      </c>
      <c r="R253" s="286">
        <v>1131</v>
      </c>
      <c r="S253" s="286">
        <v>401</v>
      </c>
      <c r="T253" s="286">
        <v>452</v>
      </c>
      <c r="U253" s="286">
        <v>378</v>
      </c>
      <c r="V253" s="286">
        <v>74</v>
      </c>
      <c r="W253" s="286">
        <v>1080</v>
      </c>
      <c r="X253" s="286">
        <v>753</v>
      </c>
      <c r="Y253" s="286">
        <v>327</v>
      </c>
    </row>
    <row r="254" spans="1:25">
      <c r="A254" s="212">
        <v>2185</v>
      </c>
      <c r="B254" s="212" t="s">
        <v>1642</v>
      </c>
      <c r="C254" s="212">
        <v>1</v>
      </c>
      <c r="D254" s="212" t="s">
        <v>1643</v>
      </c>
      <c r="E254" s="212" t="s">
        <v>2127</v>
      </c>
      <c r="F254" s="212">
        <v>5</v>
      </c>
      <c r="G254" s="212" t="s">
        <v>1645</v>
      </c>
      <c r="H254" s="212">
        <v>0</v>
      </c>
      <c r="I254" s="212" t="s">
        <v>2128</v>
      </c>
      <c r="J254" s="212">
        <v>4</v>
      </c>
      <c r="K254" s="286">
        <v>13</v>
      </c>
      <c r="L254" s="286">
        <v>13</v>
      </c>
      <c r="M254" s="286">
        <v>0</v>
      </c>
      <c r="N254" s="286">
        <v>0</v>
      </c>
      <c r="O254" s="286">
        <v>0</v>
      </c>
      <c r="P254" s="286">
        <v>0</v>
      </c>
      <c r="Q254" s="286">
        <v>4</v>
      </c>
      <c r="R254" s="286">
        <v>4</v>
      </c>
      <c r="S254" s="286">
        <v>0</v>
      </c>
      <c r="T254" s="286">
        <v>1</v>
      </c>
      <c r="U254" s="286">
        <v>1</v>
      </c>
      <c r="V254" s="286">
        <v>0</v>
      </c>
      <c r="W254" s="286">
        <v>3</v>
      </c>
      <c r="X254" s="286">
        <v>3</v>
      </c>
      <c r="Y254" s="286">
        <v>0</v>
      </c>
    </row>
    <row r="255" spans="1:25">
      <c r="A255" s="212">
        <v>2194</v>
      </c>
      <c r="B255" s="212" t="s">
        <v>1642</v>
      </c>
      <c r="C255" s="212">
        <v>1</v>
      </c>
      <c r="D255" s="212" t="s">
        <v>1643</v>
      </c>
      <c r="E255" s="212" t="s">
        <v>2129</v>
      </c>
      <c r="F255" s="212">
        <v>5</v>
      </c>
      <c r="G255" s="212" t="s">
        <v>1645</v>
      </c>
      <c r="H255" s="212">
        <v>0</v>
      </c>
      <c r="I255" s="212" t="s">
        <v>2130</v>
      </c>
      <c r="J255" s="212">
        <v>47</v>
      </c>
      <c r="K255" s="286">
        <v>8827</v>
      </c>
      <c r="L255" s="286">
        <v>6802</v>
      </c>
      <c r="M255" s="286">
        <v>2025</v>
      </c>
      <c r="N255" s="286">
        <v>232</v>
      </c>
      <c r="O255" s="286">
        <v>222</v>
      </c>
      <c r="P255" s="286">
        <v>10</v>
      </c>
      <c r="Q255" s="286">
        <v>1194</v>
      </c>
      <c r="R255" s="286">
        <v>911</v>
      </c>
      <c r="S255" s="286">
        <v>283</v>
      </c>
      <c r="T255" s="286">
        <v>298</v>
      </c>
      <c r="U255" s="286">
        <v>269</v>
      </c>
      <c r="V255" s="286">
        <v>29</v>
      </c>
      <c r="W255" s="286">
        <v>896</v>
      </c>
      <c r="X255" s="286">
        <v>642</v>
      </c>
      <c r="Y255" s="286">
        <v>254</v>
      </c>
    </row>
    <row r="256" spans="1:25">
      <c r="A256" s="212">
        <v>2203</v>
      </c>
      <c r="B256" s="212" t="s">
        <v>1642</v>
      </c>
      <c r="C256" s="212">
        <v>1</v>
      </c>
      <c r="D256" s="212" t="s">
        <v>1643</v>
      </c>
      <c r="E256" s="212" t="s">
        <v>2131</v>
      </c>
      <c r="F256" s="212">
        <v>5</v>
      </c>
      <c r="G256" s="212" t="s">
        <v>1645</v>
      </c>
      <c r="H256" s="212">
        <v>0</v>
      </c>
      <c r="I256" s="212" t="s">
        <v>2132</v>
      </c>
      <c r="J256" s="212">
        <v>12</v>
      </c>
      <c r="K256" s="286">
        <v>238</v>
      </c>
      <c r="L256" s="286">
        <v>156</v>
      </c>
      <c r="M256" s="286">
        <v>82</v>
      </c>
      <c r="N256" s="286">
        <v>29</v>
      </c>
      <c r="O256" s="286">
        <v>27</v>
      </c>
      <c r="P256" s="286">
        <v>2</v>
      </c>
      <c r="Q256" s="286">
        <v>81</v>
      </c>
      <c r="R256" s="286">
        <v>40</v>
      </c>
      <c r="S256" s="286">
        <v>41</v>
      </c>
      <c r="T256" s="286">
        <v>13</v>
      </c>
      <c r="U256" s="286">
        <v>8</v>
      </c>
      <c r="V256" s="286">
        <v>5</v>
      </c>
      <c r="W256" s="286">
        <v>68</v>
      </c>
      <c r="X256" s="286">
        <v>32</v>
      </c>
      <c r="Y256" s="286">
        <v>36</v>
      </c>
    </row>
    <row r="257" spans="1:25">
      <c r="A257" s="212">
        <v>2212</v>
      </c>
      <c r="B257" s="212" t="s">
        <v>1642</v>
      </c>
      <c r="C257" s="212">
        <v>1</v>
      </c>
      <c r="D257" s="212" t="s">
        <v>1643</v>
      </c>
      <c r="E257" s="212" t="s">
        <v>2133</v>
      </c>
      <c r="F257" s="212">
        <v>5</v>
      </c>
      <c r="G257" s="212" t="s">
        <v>1645</v>
      </c>
      <c r="H257" s="212">
        <v>0</v>
      </c>
      <c r="I257" s="212" t="s">
        <v>2134</v>
      </c>
      <c r="J257" s="212">
        <v>25</v>
      </c>
      <c r="K257" s="286">
        <v>1853</v>
      </c>
      <c r="L257" s="286">
        <v>1333</v>
      </c>
      <c r="M257" s="286">
        <v>520</v>
      </c>
      <c r="N257" s="286">
        <v>38</v>
      </c>
      <c r="O257" s="286">
        <v>10</v>
      </c>
      <c r="P257" s="286">
        <v>28</v>
      </c>
      <c r="Q257" s="286">
        <v>253</v>
      </c>
      <c r="R257" s="286">
        <v>176</v>
      </c>
      <c r="S257" s="286">
        <v>77</v>
      </c>
      <c r="T257" s="286">
        <v>140</v>
      </c>
      <c r="U257" s="286">
        <v>100</v>
      </c>
      <c r="V257" s="286">
        <v>40</v>
      </c>
      <c r="W257" s="286">
        <v>113</v>
      </c>
      <c r="X257" s="286">
        <v>76</v>
      </c>
      <c r="Y257" s="286">
        <v>37</v>
      </c>
    </row>
    <row r="258" spans="1:25">
      <c r="A258" s="212">
        <v>2221</v>
      </c>
      <c r="B258" s="212" t="s">
        <v>1642</v>
      </c>
      <c r="C258" s="212">
        <v>1</v>
      </c>
      <c r="D258" s="212" t="s">
        <v>1643</v>
      </c>
      <c r="E258" s="212" t="s">
        <v>2135</v>
      </c>
      <c r="F258" s="212">
        <v>4</v>
      </c>
      <c r="G258" s="212" t="s">
        <v>1645</v>
      </c>
      <c r="H258" s="212">
        <v>0</v>
      </c>
      <c r="I258" s="212" t="s">
        <v>2136</v>
      </c>
      <c r="J258" s="212">
        <v>798</v>
      </c>
      <c r="K258" s="286">
        <v>31752</v>
      </c>
      <c r="L258" s="286">
        <v>27505</v>
      </c>
      <c r="M258" s="286">
        <v>4237</v>
      </c>
      <c r="N258" s="286">
        <v>942</v>
      </c>
      <c r="O258" s="286">
        <v>892</v>
      </c>
      <c r="P258" s="286">
        <v>50</v>
      </c>
      <c r="Q258" s="286">
        <v>4327</v>
      </c>
      <c r="R258" s="286">
        <v>3167</v>
      </c>
      <c r="S258" s="286">
        <v>1160</v>
      </c>
      <c r="T258" s="286">
        <v>1119</v>
      </c>
      <c r="U258" s="286">
        <v>1023</v>
      </c>
      <c r="V258" s="286">
        <v>96</v>
      </c>
      <c r="W258" s="286">
        <v>3208</v>
      </c>
      <c r="X258" s="286">
        <v>2144</v>
      </c>
      <c r="Y258" s="286">
        <v>1064</v>
      </c>
    </row>
    <row r="259" spans="1:25">
      <c r="A259" s="212">
        <v>2230</v>
      </c>
      <c r="B259" s="212" t="s">
        <v>1642</v>
      </c>
      <c r="C259" s="212">
        <v>1</v>
      </c>
      <c r="D259" s="212" t="s">
        <v>1643</v>
      </c>
      <c r="E259" s="212" t="s">
        <v>2137</v>
      </c>
      <c r="F259" s="212">
        <v>5</v>
      </c>
      <c r="G259" s="212" t="s">
        <v>1645</v>
      </c>
      <c r="H259" s="212">
        <v>0</v>
      </c>
      <c r="I259" s="212" t="s">
        <v>2138</v>
      </c>
      <c r="J259" s="212">
        <v>18</v>
      </c>
      <c r="K259" s="286">
        <v>156</v>
      </c>
      <c r="L259" s="286">
        <v>116</v>
      </c>
      <c r="M259" s="286">
        <v>40</v>
      </c>
      <c r="N259" s="286">
        <v>2</v>
      </c>
      <c r="O259" s="286">
        <v>2</v>
      </c>
      <c r="P259" s="286">
        <v>0</v>
      </c>
      <c r="Q259" s="286">
        <v>3</v>
      </c>
      <c r="R259" s="286">
        <v>1</v>
      </c>
      <c r="S259" s="286">
        <v>2</v>
      </c>
      <c r="T259" s="286">
        <v>1</v>
      </c>
      <c r="U259" s="286">
        <v>1</v>
      </c>
      <c r="V259" s="286">
        <v>0</v>
      </c>
      <c r="W259" s="286">
        <v>2</v>
      </c>
      <c r="X259" s="286">
        <v>0</v>
      </c>
      <c r="Y259" s="286">
        <v>2</v>
      </c>
    </row>
    <row r="260" spans="1:25">
      <c r="A260" s="212">
        <v>2239</v>
      </c>
      <c r="B260" s="212" t="s">
        <v>1642</v>
      </c>
      <c r="C260" s="212">
        <v>1</v>
      </c>
      <c r="D260" s="212" t="s">
        <v>1643</v>
      </c>
      <c r="E260" s="212" t="s">
        <v>2139</v>
      </c>
      <c r="F260" s="212">
        <v>5</v>
      </c>
      <c r="G260" s="212" t="s">
        <v>1645</v>
      </c>
      <c r="H260" s="212">
        <v>0</v>
      </c>
      <c r="I260" s="212" t="s">
        <v>2140</v>
      </c>
      <c r="J260" s="212">
        <v>338</v>
      </c>
      <c r="K260" s="286">
        <v>13711</v>
      </c>
      <c r="L260" s="286">
        <v>11181</v>
      </c>
      <c r="M260" s="286">
        <v>2520</v>
      </c>
      <c r="N260" s="286">
        <v>357</v>
      </c>
      <c r="O260" s="286">
        <v>337</v>
      </c>
      <c r="P260" s="286">
        <v>20</v>
      </c>
      <c r="Q260" s="286">
        <v>2112</v>
      </c>
      <c r="R260" s="286">
        <v>1560</v>
      </c>
      <c r="S260" s="286">
        <v>552</v>
      </c>
      <c r="T260" s="286">
        <v>704</v>
      </c>
      <c r="U260" s="286">
        <v>630</v>
      </c>
      <c r="V260" s="286">
        <v>74</v>
      </c>
      <c r="W260" s="286">
        <v>1408</v>
      </c>
      <c r="X260" s="286">
        <v>930</v>
      </c>
      <c r="Y260" s="286">
        <v>478</v>
      </c>
    </row>
    <row r="261" spans="1:25">
      <c r="A261" s="212">
        <v>2248</v>
      </c>
      <c r="B261" s="212" t="s">
        <v>1642</v>
      </c>
      <c r="C261" s="212">
        <v>1</v>
      </c>
      <c r="D261" s="212" t="s">
        <v>1643</v>
      </c>
      <c r="E261" s="212" t="s">
        <v>2141</v>
      </c>
      <c r="F261" s="212">
        <v>5</v>
      </c>
      <c r="G261" s="212" t="s">
        <v>1645</v>
      </c>
      <c r="H261" s="212">
        <v>0</v>
      </c>
      <c r="I261" s="212" t="s">
        <v>2142</v>
      </c>
      <c r="J261" s="212">
        <v>103</v>
      </c>
      <c r="K261" s="286">
        <v>5011</v>
      </c>
      <c r="L261" s="286">
        <v>4548</v>
      </c>
      <c r="M261" s="286">
        <v>463</v>
      </c>
      <c r="N261" s="286">
        <v>169</v>
      </c>
      <c r="O261" s="286">
        <v>160</v>
      </c>
      <c r="P261" s="286">
        <v>9</v>
      </c>
      <c r="Q261" s="286">
        <v>748</v>
      </c>
      <c r="R261" s="286">
        <v>573</v>
      </c>
      <c r="S261" s="286">
        <v>175</v>
      </c>
      <c r="T261" s="286">
        <v>208</v>
      </c>
      <c r="U261" s="286">
        <v>189</v>
      </c>
      <c r="V261" s="286">
        <v>19</v>
      </c>
      <c r="W261" s="286">
        <v>540</v>
      </c>
      <c r="X261" s="286">
        <v>384</v>
      </c>
      <c r="Y261" s="286">
        <v>156</v>
      </c>
    </row>
    <row r="262" spans="1:25">
      <c r="A262" s="212">
        <v>2257</v>
      </c>
      <c r="B262" s="212" t="s">
        <v>1642</v>
      </c>
      <c r="C262" s="212">
        <v>1</v>
      </c>
      <c r="D262" s="212" t="s">
        <v>1643</v>
      </c>
      <c r="E262" s="212" t="s">
        <v>2143</v>
      </c>
      <c r="F262" s="212">
        <v>5</v>
      </c>
      <c r="G262" s="212" t="s">
        <v>1645</v>
      </c>
      <c r="H262" s="212">
        <v>0</v>
      </c>
      <c r="I262" s="212" t="s">
        <v>2144</v>
      </c>
      <c r="J262" s="212">
        <v>247</v>
      </c>
      <c r="K262" s="286">
        <v>8225</v>
      </c>
      <c r="L262" s="286">
        <v>7533</v>
      </c>
      <c r="M262" s="286">
        <v>692</v>
      </c>
      <c r="N262" s="286">
        <v>183</v>
      </c>
      <c r="O262" s="286">
        <v>170</v>
      </c>
      <c r="P262" s="286">
        <v>13</v>
      </c>
      <c r="Q262" s="286">
        <v>1034</v>
      </c>
      <c r="R262" s="286">
        <v>712</v>
      </c>
      <c r="S262" s="286">
        <v>322</v>
      </c>
      <c r="T262" s="286">
        <v>82</v>
      </c>
      <c r="U262" s="286">
        <v>81</v>
      </c>
      <c r="V262" s="286">
        <v>1</v>
      </c>
      <c r="W262" s="286">
        <v>952</v>
      </c>
      <c r="X262" s="286">
        <v>631</v>
      </c>
      <c r="Y262" s="286">
        <v>321</v>
      </c>
    </row>
    <row r="263" spans="1:25">
      <c r="A263" s="212">
        <v>2266</v>
      </c>
      <c r="B263" s="212" t="s">
        <v>1642</v>
      </c>
      <c r="C263" s="212">
        <v>1</v>
      </c>
      <c r="D263" s="212" t="s">
        <v>1643</v>
      </c>
      <c r="E263" s="212" t="s">
        <v>2145</v>
      </c>
      <c r="F263" s="212">
        <v>5</v>
      </c>
      <c r="G263" s="212" t="s">
        <v>1645</v>
      </c>
      <c r="H263" s="212">
        <v>0</v>
      </c>
      <c r="I263" s="212" t="s">
        <v>2146</v>
      </c>
      <c r="J263" s="212">
        <v>39</v>
      </c>
      <c r="K263" s="286">
        <v>3802</v>
      </c>
      <c r="L263" s="286">
        <v>3420</v>
      </c>
      <c r="M263" s="286">
        <v>382</v>
      </c>
      <c r="N263" s="286">
        <v>193</v>
      </c>
      <c r="O263" s="286">
        <v>185</v>
      </c>
      <c r="P263" s="286">
        <v>8</v>
      </c>
      <c r="Q263" s="286">
        <v>395</v>
      </c>
      <c r="R263" s="286">
        <v>293</v>
      </c>
      <c r="S263" s="286">
        <v>102</v>
      </c>
      <c r="T263" s="286">
        <v>101</v>
      </c>
      <c r="U263" s="286">
        <v>99</v>
      </c>
      <c r="V263" s="286">
        <v>2</v>
      </c>
      <c r="W263" s="286">
        <v>294</v>
      </c>
      <c r="X263" s="286">
        <v>194</v>
      </c>
      <c r="Y263" s="286">
        <v>100</v>
      </c>
    </row>
    <row r="264" spans="1:25">
      <c r="A264" s="212">
        <v>2275</v>
      </c>
      <c r="B264" s="212" t="s">
        <v>1642</v>
      </c>
      <c r="C264" s="212">
        <v>1</v>
      </c>
      <c r="D264" s="212" t="s">
        <v>1643</v>
      </c>
      <c r="E264" s="212" t="s">
        <v>2147</v>
      </c>
      <c r="F264" s="212">
        <v>5</v>
      </c>
      <c r="G264" s="212" t="s">
        <v>1645</v>
      </c>
      <c r="H264" s="212">
        <v>0</v>
      </c>
      <c r="I264" s="212" t="s">
        <v>2148</v>
      </c>
      <c r="J264" s="212">
        <v>25</v>
      </c>
      <c r="K264" s="286">
        <v>437</v>
      </c>
      <c r="L264" s="286">
        <v>374</v>
      </c>
      <c r="M264" s="286">
        <v>63</v>
      </c>
      <c r="N264" s="286">
        <v>0</v>
      </c>
      <c r="O264" s="286">
        <v>0</v>
      </c>
      <c r="P264" s="286">
        <v>0</v>
      </c>
      <c r="Q264" s="286">
        <v>1</v>
      </c>
      <c r="R264" s="286">
        <v>1</v>
      </c>
      <c r="S264" s="286">
        <v>0</v>
      </c>
      <c r="T264" s="286">
        <v>1</v>
      </c>
      <c r="U264" s="286">
        <v>1</v>
      </c>
      <c r="V264" s="286">
        <v>0</v>
      </c>
      <c r="W264" s="286">
        <v>0</v>
      </c>
      <c r="X264" s="286">
        <v>0</v>
      </c>
      <c r="Y264" s="286">
        <v>0</v>
      </c>
    </row>
    <row r="265" spans="1:25">
      <c r="A265" s="212">
        <v>2284</v>
      </c>
      <c r="B265" s="212" t="s">
        <v>1642</v>
      </c>
      <c r="C265" s="212">
        <v>1</v>
      </c>
      <c r="D265" s="212" t="s">
        <v>1643</v>
      </c>
      <c r="E265" s="212" t="s">
        <v>2149</v>
      </c>
      <c r="F265" s="212">
        <v>5</v>
      </c>
      <c r="G265" s="212" t="s">
        <v>1645</v>
      </c>
      <c r="H265" s="212">
        <v>0</v>
      </c>
      <c r="I265" s="212" t="s">
        <v>2150</v>
      </c>
      <c r="J265" s="212">
        <v>28</v>
      </c>
      <c r="K265" s="286">
        <v>410</v>
      </c>
      <c r="L265" s="286">
        <v>333</v>
      </c>
      <c r="M265" s="286">
        <v>77</v>
      </c>
      <c r="N265" s="286">
        <v>38</v>
      </c>
      <c r="O265" s="286">
        <v>38</v>
      </c>
      <c r="P265" s="286">
        <v>0</v>
      </c>
      <c r="Q265" s="286">
        <v>34</v>
      </c>
      <c r="R265" s="286">
        <v>27</v>
      </c>
      <c r="S265" s="286">
        <v>7</v>
      </c>
      <c r="T265" s="286">
        <v>22</v>
      </c>
      <c r="U265" s="286">
        <v>22</v>
      </c>
      <c r="V265" s="286">
        <v>0</v>
      </c>
      <c r="W265" s="286">
        <v>12</v>
      </c>
      <c r="X265" s="286">
        <v>5</v>
      </c>
      <c r="Y265" s="286">
        <v>7</v>
      </c>
    </row>
    <row r="266" spans="1:25">
      <c r="A266" s="212">
        <v>2293</v>
      </c>
      <c r="B266" s="212" t="s">
        <v>1642</v>
      </c>
      <c r="C266" s="212">
        <v>1</v>
      </c>
      <c r="D266" s="212" t="s">
        <v>1643</v>
      </c>
      <c r="E266" s="212" t="s">
        <v>2151</v>
      </c>
      <c r="F266" s="212">
        <v>4</v>
      </c>
      <c r="G266" s="212" t="s">
        <v>1645</v>
      </c>
      <c r="H266" s="212">
        <v>0</v>
      </c>
      <c r="I266" s="212" t="s">
        <v>2152</v>
      </c>
      <c r="J266" s="212">
        <v>1021</v>
      </c>
      <c r="K266" s="286">
        <v>9876</v>
      </c>
      <c r="L266" s="286">
        <v>5801</v>
      </c>
      <c r="M266" s="286">
        <v>4073</v>
      </c>
      <c r="N266" s="286">
        <v>140</v>
      </c>
      <c r="O266" s="286">
        <v>112</v>
      </c>
      <c r="P266" s="286">
        <v>28</v>
      </c>
      <c r="Q266" s="286">
        <v>752</v>
      </c>
      <c r="R266" s="286">
        <v>538</v>
      </c>
      <c r="S266" s="286">
        <v>214</v>
      </c>
      <c r="T266" s="286">
        <v>230</v>
      </c>
      <c r="U266" s="286">
        <v>218</v>
      </c>
      <c r="V266" s="286">
        <v>12</v>
      </c>
      <c r="W266" s="286">
        <v>512</v>
      </c>
      <c r="X266" s="286">
        <v>317</v>
      </c>
      <c r="Y266" s="286">
        <v>195</v>
      </c>
    </row>
    <row r="267" spans="1:25">
      <c r="A267" s="212">
        <v>2302</v>
      </c>
      <c r="B267" s="212" t="s">
        <v>1642</v>
      </c>
      <c r="C267" s="212">
        <v>1</v>
      </c>
      <c r="D267" s="212" t="s">
        <v>1643</v>
      </c>
      <c r="E267" s="212" t="s">
        <v>2153</v>
      </c>
      <c r="F267" s="212">
        <v>5</v>
      </c>
      <c r="G267" s="212" t="s">
        <v>1645</v>
      </c>
      <c r="H267" s="212">
        <v>0</v>
      </c>
      <c r="I267" s="212" t="s">
        <v>2154</v>
      </c>
      <c r="J267" s="212">
        <v>10</v>
      </c>
      <c r="K267" s="286">
        <v>97</v>
      </c>
      <c r="L267" s="286">
        <v>44</v>
      </c>
      <c r="M267" s="286">
        <v>53</v>
      </c>
      <c r="N267" s="286">
        <v>0</v>
      </c>
      <c r="O267" s="286">
        <v>0</v>
      </c>
      <c r="P267" s="286">
        <v>0</v>
      </c>
      <c r="Q267" s="286">
        <v>4</v>
      </c>
      <c r="R267" s="286">
        <v>2</v>
      </c>
      <c r="S267" s="286">
        <v>2</v>
      </c>
      <c r="T267" s="286">
        <v>2</v>
      </c>
      <c r="U267" s="286">
        <v>2</v>
      </c>
      <c r="V267" s="286">
        <v>0</v>
      </c>
      <c r="W267" s="286">
        <v>2</v>
      </c>
      <c r="X267" s="286">
        <v>0</v>
      </c>
      <c r="Y267" s="286">
        <v>2</v>
      </c>
    </row>
    <row r="268" spans="1:25">
      <c r="A268" s="212">
        <v>2311</v>
      </c>
      <c r="B268" s="212" t="s">
        <v>1642</v>
      </c>
      <c r="C268" s="212">
        <v>1</v>
      </c>
      <c r="D268" s="212" t="s">
        <v>1643</v>
      </c>
      <c r="E268" s="212" t="s">
        <v>2155</v>
      </c>
      <c r="F268" s="212">
        <v>5</v>
      </c>
      <c r="G268" s="212" t="s">
        <v>1645</v>
      </c>
      <c r="H268" s="212">
        <v>0</v>
      </c>
      <c r="I268" s="212" t="s">
        <v>2156</v>
      </c>
      <c r="J268" s="212">
        <v>78</v>
      </c>
      <c r="K268" s="286">
        <v>944</v>
      </c>
      <c r="L268" s="286">
        <v>489</v>
      </c>
      <c r="M268" s="286">
        <v>455</v>
      </c>
      <c r="N268" s="286">
        <v>1</v>
      </c>
      <c r="O268" s="286">
        <v>1</v>
      </c>
      <c r="P268" s="286">
        <v>0</v>
      </c>
      <c r="Q268" s="286">
        <v>16</v>
      </c>
      <c r="R268" s="286">
        <v>8</v>
      </c>
      <c r="S268" s="286">
        <v>8</v>
      </c>
      <c r="T268" s="286">
        <v>6</v>
      </c>
      <c r="U268" s="286">
        <v>5</v>
      </c>
      <c r="V268" s="286">
        <v>1</v>
      </c>
      <c r="W268" s="286">
        <v>0</v>
      </c>
      <c r="X268" s="286">
        <v>0</v>
      </c>
      <c r="Y268" s="286">
        <v>0</v>
      </c>
    </row>
    <row r="269" spans="1:25">
      <c r="A269" s="212">
        <v>2320</v>
      </c>
      <c r="B269" s="212" t="s">
        <v>1642</v>
      </c>
      <c r="C269" s="212">
        <v>1</v>
      </c>
      <c r="D269" s="212" t="s">
        <v>1643</v>
      </c>
      <c r="E269" s="212" t="s">
        <v>2157</v>
      </c>
      <c r="F269" s="212">
        <v>5</v>
      </c>
      <c r="G269" s="212" t="s">
        <v>1645</v>
      </c>
      <c r="H269" s="212">
        <v>0</v>
      </c>
      <c r="I269" s="212" t="s">
        <v>2158</v>
      </c>
      <c r="J269" s="212">
        <v>34</v>
      </c>
      <c r="K269" s="286">
        <v>133</v>
      </c>
      <c r="L269" s="286">
        <v>53</v>
      </c>
      <c r="M269" s="286">
        <v>80</v>
      </c>
      <c r="N269" s="286">
        <v>0</v>
      </c>
      <c r="O269" s="286">
        <v>0</v>
      </c>
      <c r="P269" s="286">
        <v>0</v>
      </c>
      <c r="Q269" s="286">
        <v>3</v>
      </c>
      <c r="R269" s="286">
        <v>0</v>
      </c>
      <c r="S269" s="286">
        <v>3</v>
      </c>
      <c r="T269" s="286">
        <v>0</v>
      </c>
      <c r="U269" s="286">
        <v>0</v>
      </c>
      <c r="V269" s="286">
        <v>0</v>
      </c>
      <c r="W269" s="286">
        <v>3</v>
      </c>
      <c r="X269" s="286">
        <v>0</v>
      </c>
      <c r="Y269" s="286">
        <v>3</v>
      </c>
    </row>
    <row r="270" spans="1:25">
      <c r="A270" s="212">
        <v>2329</v>
      </c>
      <c r="B270" s="212" t="s">
        <v>1642</v>
      </c>
      <c r="C270" s="212">
        <v>1</v>
      </c>
      <c r="D270" s="212" t="s">
        <v>1643</v>
      </c>
      <c r="E270" s="212" t="s">
        <v>2159</v>
      </c>
      <c r="F270" s="212">
        <v>5</v>
      </c>
      <c r="G270" s="212" t="s">
        <v>1645</v>
      </c>
      <c r="H270" s="212">
        <v>0</v>
      </c>
      <c r="I270" s="212" t="s">
        <v>2160</v>
      </c>
      <c r="J270" s="212">
        <v>0</v>
      </c>
      <c r="K270" s="286">
        <v>0</v>
      </c>
      <c r="L270" s="286">
        <v>0</v>
      </c>
      <c r="M270" s="286">
        <v>0</v>
      </c>
      <c r="N270" s="286">
        <v>0</v>
      </c>
      <c r="O270" s="286">
        <v>0</v>
      </c>
      <c r="P270" s="286">
        <v>0</v>
      </c>
      <c r="Q270" s="286">
        <v>0</v>
      </c>
      <c r="R270" s="286">
        <v>0</v>
      </c>
      <c r="S270" s="286">
        <v>0</v>
      </c>
      <c r="T270" s="286">
        <v>0</v>
      </c>
      <c r="U270" s="286">
        <v>0</v>
      </c>
      <c r="V270" s="286">
        <v>0</v>
      </c>
      <c r="W270" s="286">
        <v>0</v>
      </c>
      <c r="X270" s="286">
        <v>0</v>
      </c>
      <c r="Y270" s="286">
        <v>0</v>
      </c>
    </row>
    <row r="271" spans="1:25">
      <c r="A271" s="212">
        <v>2338</v>
      </c>
      <c r="B271" s="212" t="s">
        <v>1642</v>
      </c>
      <c r="C271" s="212">
        <v>1</v>
      </c>
      <c r="D271" s="212" t="s">
        <v>1643</v>
      </c>
      <c r="E271" s="212" t="s">
        <v>2161</v>
      </c>
      <c r="F271" s="212">
        <v>5</v>
      </c>
      <c r="G271" s="212" t="s">
        <v>1645</v>
      </c>
      <c r="H271" s="212">
        <v>0</v>
      </c>
      <c r="I271" s="212" t="s">
        <v>2162</v>
      </c>
      <c r="J271" s="212">
        <v>11</v>
      </c>
      <c r="K271" s="286">
        <v>48</v>
      </c>
      <c r="L271" s="286">
        <v>32</v>
      </c>
      <c r="M271" s="286">
        <v>16</v>
      </c>
      <c r="N271" s="286">
        <v>0</v>
      </c>
      <c r="O271" s="286">
        <v>0</v>
      </c>
      <c r="P271" s="286">
        <v>0</v>
      </c>
      <c r="Q271" s="286">
        <v>0</v>
      </c>
      <c r="R271" s="286">
        <v>0</v>
      </c>
      <c r="S271" s="286">
        <v>0</v>
      </c>
      <c r="T271" s="286">
        <v>0</v>
      </c>
      <c r="U271" s="286">
        <v>0</v>
      </c>
      <c r="V271" s="286">
        <v>0</v>
      </c>
      <c r="W271" s="286">
        <v>0</v>
      </c>
      <c r="X271" s="286">
        <v>0</v>
      </c>
      <c r="Y271" s="286">
        <v>0</v>
      </c>
    </row>
    <row r="272" spans="1:25">
      <c r="A272" s="212">
        <v>2347</v>
      </c>
      <c r="B272" s="212" t="s">
        <v>1642</v>
      </c>
      <c r="C272" s="212">
        <v>1</v>
      </c>
      <c r="D272" s="212" t="s">
        <v>1643</v>
      </c>
      <c r="E272" s="212" t="s">
        <v>2163</v>
      </c>
      <c r="F272" s="212">
        <v>5</v>
      </c>
      <c r="G272" s="212" t="s">
        <v>1645</v>
      </c>
      <c r="H272" s="212">
        <v>0</v>
      </c>
      <c r="I272" s="212" t="s">
        <v>2164</v>
      </c>
      <c r="J272" s="212">
        <v>201</v>
      </c>
      <c r="K272" s="286">
        <v>2108</v>
      </c>
      <c r="L272" s="286">
        <v>1210</v>
      </c>
      <c r="M272" s="286">
        <v>898</v>
      </c>
      <c r="N272" s="286">
        <v>60</v>
      </c>
      <c r="O272" s="286">
        <v>48</v>
      </c>
      <c r="P272" s="286">
        <v>12</v>
      </c>
      <c r="Q272" s="286">
        <v>59</v>
      </c>
      <c r="R272" s="286">
        <v>39</v>
      </c>
      <c r="S272" s="286">
        <v>20</v>
      </c>
      <c r="T272" s="286">
        <v>23</v>
      </c>
      <c r="U272" s="286">
        <v>23</v>
      </c>
      <c r="V272" s="286">
        <v>0</v>
      </c>
      <c r="W272" s="286">
        <v>36</v>
      </c>
      <c r="X272" s="286">
        <v>16</v>
      </c>
      <c r="Y272" s="286">
        <v>20</v>
      </c>
    </row>
    <row r="273" spans="1:25">
      <c r="A273" s="212">
        <v>2356</v>
      </c>
      <c r="B273" s="212" t="s">
        <v>1642</v>
      </c>
      <c r="C273" s="212">
        <v>1</v>
      </c>
      <c r="D273" s="212" t="s">
        <v>1643</v>
      </c>
      <c r="E273" s="212" t="s">
        <v>2165</v>
      </c>
      <c r="F273" s="212">
        <v>6</v>
      </c>
      <c r="G273" s="212" t="s">
        <v>1645</v>
      </c>
      <c r="H273" s="212">
        <v>0</v>
      </c>
      <c r="I273" s="212" t="s">
        <v>2166</v>
      </c>
      <c r="J273" s="212">
        <v>30</v>
      </c>
      <c r="K273" s="286">
        <v>249</v>
      </c>
      <c r="L273" s="286">
        <v>110</v>
      </c>
      <c r="M273" s="286">
        <v>139</v>
      </c>
      <c r="N273" s="286">
        <v>0</v>
      </c>
      <c r="O273" s="286">
        <v>0</v>
      </c>
      <c r="P273" s="286">
        <v>0</v>
      </c>
      <c r="Q273" s="286">
        <v>1</v>
      </c>
      <c r="R273" s="286">
        <v>0</v>
      </c>
      <c r="S273" s="286">
        <v>1</v>
      </c>
      <c r="T273" s="286">
        <v>0</v>
      </c>
      <c r="U273" s="286">
        <v>0</v>
      </c>
      <c r="V273" s="286">
        <v>0</v>
      </c>
      <c r="W273" s="286">
        <v>1</v>
      </c>
      <c r="X273" s="286">
        <v>0</v>
      </c>
      <c r="Y273" s="286">
        <v>1</v>
      </c>
    </row>
    <row r="274" spans="1:25">
      <c r="A274" s="212">
        <v>2365</v>
      </c>
      <c r="B274" s="212" t="s">
        <v>1642</v>
      </c>
      <c r="C274" s="212">
        <v>1</v>
      </c>
      <c r="D274" s="212" t="s">
        <v>1643</v>
      </c>
      <c r="E274" s="212" t="s">
        <v>2167</v>
      </c>
      <c r="F274" s="212">
        <v>6</v>
      </c>
      <c r="G274" s="212" t="s">
        <v>1645</v>
      </c>
      <c r="H274" s="212">
        <v>0</v>
      </c>
      <c r="I274" s="280" t="s">
        <v>2168</v>
      </c>
      <c r="J274" s="280">
        <v>171</v>
      </c>
      <c r="K274" s="294">
        <v>1859</v>
      </c>
      <c r="L274" s="294">
        <v>1100</v>
      </c>
      <c r="M274" s="294">
        <v>759</v>
      </c>
      <c r="N274" s="286">
        <v>60</v>
      </c>
      <c r="O274" s="286">
        <v>48</v>
      </c>
      <c r="P274" s="286">
        <v>12</v>
      </c>
      <c r="Q274" s="286">
        <v>58</v>
      </c>
      <c r="R274" s="286">
        <v>39</v>
      </c>
      <c r="S274" s="286">
        <v>19</v>
      </c>
      <c r="T274" s="286">
        <v>23</v>
      </c>
      <c r="U274" s="286">
        <v>23</v>
      </c>
      <c r="V274" s="286">
        <v>0</v>
      </c>
      <c r="W274" s="286">
        <v>35</v>
      </c>
      <c r="X274" s="286">
        <v>16</v>
      </c>
      <c r="Y274" s="286">
        <v>19</v>
      </c>
    </row>
    <row r="275" spans="1:25">
      <c r="A275" s="212">
        <v>2374</v>
      </c>
      <c r="B275" s="212" t="s">
        <v>1642</v>
      </c>
      <c r="C275" s="212">
        <v>1</v>
      </c>
      <c r="D275" s="212" t="s">
        <v>1643</v>
      </c>
      <c r="E275" s="212" t="s">
        <v>2169</v>
      </c>
      <c r="F275" s="212">
        <v>5</v>
      </c>
      <c r="G275" s="212" t="s">
        <v>1645</v>
      </c>
      <c r="H275" s="212">
        <v>0</v>
      </c>
      <c r="I275" s="212" t="s">
        <v>2170</v>
      </c>
      <c r="J275" s="212">
        <v>41</v>
      </c>
      <c r="K275" s="286">
        <v>199</v>
      </c>
      <c r="L275" s="286">
        <v>80</v>
      </c>
      <c r="M275" s="286">
        <v>119</v>
      </c>
      <c r="N275" s="286">
        <v>0</v>
      </c>
      <c r="O275" s="286">
        <v>0</v>
      </c>
      <c r="P275" s="286">
        <v>0</v>
      </c>
      <c r="Q275" s="286">
        <v>2</v>
      </c>
      <c r="R275" s="286">
        <v>2</v>
      </c>
      <c r="S275" s="286">
        <v>0</v>
      </c>
      <c r="T275" s="286">
        <v>2</v>
      </c>
      <c r="U275" s="286">
        <v>2</v>
      </c>
      <c r="V275" s="286">
        <v>0</v>
      </c>
      <c r="W275" s="286">
        <v>0</v>
      </c>
      <c r="X275" s="286">
        <v>0</v>
      </c>
      <c r="Y275" s="286">
        <v>0</v>
      </c>
    </row>
    <row r="276" spans="1:25">
      <c r="A276" s="212">
        <v>2383</v>
      </c>
      <c r="B276" s="212" t="s">
        <v>1642</v>
      </c>
      <c r="C276" s="212">
        <v>1</v>
      </c>
      <c r="D276" s="212" t="s">
        <v>1643</v>
      </c>
      <c r="E276" s="212" t="s">
        <v>2171</v>
      </c>
      <c r="F276" s="212">
        <v>5</v>
      </c>
      <c r="G276" s="212" t="s">
        <v>1645</v>
      </c>
      <c r="H276" s="212">
        <v>0</v>
      </c>
      <c r="I276" s="212" t="s">
        <v>2172</v>
      </c>
      <c r="J276" s="212">
        <v>8</v>
      </c>
      <c r="K276" s="286">
        <v>10</v>
      </c>
      <c r="L276" s="286">
        <v>9</v>
      </c>
      <c r="M276" s="286">
        <v>1</v>
      </c>
      <c r="N276" s="286">
        <v>0</v>
      </c>
      <c r="O276" s="286">
        <v>0</v>
      </c>
      <c r="P276" s="286">
        <v>0</v>
      </c>
      <c r="Q276" s="286">
        <v>0</v>
      </c>
      <c r="R276" s="286">
        <v>0</v>
      </c>
      <c r="S276" s="286">
        <v>0</v>
      </c>
      <c r="T276" s="286">
        <v>0</v>
      </c>
      <c r="U276" s="286">
        <v>0</v>
      </c>
      <c r="V276" s="286">
        <v>0</v>
      </c>
      <c r="W276" s="286">
        <v>0</v>
      </c>
      <c r="X276" s="286">
        <v>0</v>
      </c>
      <c r="Y276" s="286">
        <v>0</v>
      </c>
    </row>
    <row r="277" spans="1:25">
      <c r="A277" s="212">
        <v>2392</v>
      </c>
      <c r="B277" s="212" t="s">
        <v>1642</v>
      </c>
      <c r="C277" s="212">
        <v>1</v>
      </c>
      <c r="D277" s="212" t="s">
        <v>1643</v>
      </c>
      <c r="E277" s="212" t="s">
        <v>2173</v>
      </c>
      <c r="F277" s="212">
        <v>5</v>
      </c>
      <c r="G277" s="212" t="s">
        <v>1645</v>
      </c>
      <c r="H277" s="212">
        <v>0</v>
      </c>
      <c r="I277" s="212" t="s">
        <v>2174</v>
      </c>
      <c r="J277" s="212">
        <v>160</v>
      </c>
      <c r="K277" s="286">
        <v>1275</v>
      </c>
      <c r="L277" s="286">
        <v>626</v>
      </c>
      <c r="M277" s="286">
        <v>649</v>
      </c>
      <c r="N277" s="286">
        <v>0</v>
      </c>
      <c r="O277" s="286">
        <v>0</v>
      </c>
      <c r="P277" s="286">
        <v>0</v>
      </c>
      <c r="Q277" s="286">
        <v>40</v>
      </c>
      <c r="R277" s="286">
        <v>10</v>
      </c>
      <c r="S277" s="286">
        <v>30</v>
      </c>
      <c r="T277" s="286">
        <v>7</v>
      </c>
      <c r="U277" s="286">
        <v>7</v>
      </c>
      <c r="V277" s="286">
        <v>0</v>
      </c>
      <c r="W277" s="286">
        <v>33</v>
      </c>
      <c r="X277" s="286">
        <v>3</v>
      </c>
      <c r="Y277" s="286">
        <v>30</v>
      </c>
    </row>
    <row r="278" spans="1:25">
      <c r="A278" s="212">
        <v>2401</v>
      </c>
      <c r="B278" s="212" t="s">
        <v>1642</v>
      </c>
      <c r="C278" s="212">
        <v>1</v>
      </c>
      <c r="D278" s="212" t="s">
        <v>1643</v>
      </c>
      <c r="E278" s="212" t="s">
        <v>2175</v>
      </c>
      <c r="F278" s="212">
        <v>5</v>
      </c>
      <c r="G278" s="212" t="s">
        <v>1645</v>
      </c>
      <c r="H278" s="212">
        <v>0</v>
      </c>
      <c r="I278" s="212" t="s">
        <v>2176</v>
      </c>
      <c r="J278" s="212">
        <v>478</v>
      </c>
      <c r="K278" s="286">
        <v>5062</v>
      </c>
      <c r="L278" s="286">
        <v>3258</v>
      </c>
      <c r="M278" s="286">
        <v>1802</v>
      </c>
      <c r="N278" s="286">
        <v>79</v>
      </c>
      <c r="O278" s="286">
        <v>63</v>
      </c>
      <c r="P278" s="286">
        <v>16</v>
      </c>
      <c r="Q278" s="286">
        <v>628</v>
      </c>
      <c r="R278" s="286">
        <v>477</v>
      </c>
      <c r="S278" s="286">
        <v>151</v>
      </c>
      <c r="T278" s="286">
        <v>190</v>
      </c>
      <c r="U278" s="286">
        <v>179</v>
      </c>
      <c r="V278" s="286">
        <v>11</v>
      </c>
      <c r="W278" s="286">
        <v>438</v>
      </c>
      <c r="X278" s="286">
        <v>298</v>
      </c>
      <c r="Y278" s="286">
        <v>140</v>
      </c>
    </row>
    <row r="279" spans="1:25">
      <c r="A279" s="212">
        <v>2410</v>
      </c>
      <c r="B279" s="212" t="s">
        <v>1642</v>
      </c>
      <c r="C279" s="212">
        <v>1</v>
      </c>
      <c r="D279" s="212" t="s">
        <v>1643</v>
      </c>
      <c r="E279" s="212" t="s">
        <v>2177</v>
      </c>
      <c r="F279" s="212">
        <v>6</v>
      </c>
      <c r="G279" s="212" t="s">
        <v>1645</v>
      </c>
      <c r="H279" s="212">
        <v>0</v>
      </c>
      <c r="I279" s="212" t="s">
        <v>2178</v>
      </c>
      <c r="J279" s="212">
        <v>4</v>
      </c>
      <c r="K279" s="286">
        <v>61</v>
      </c>
      <c r="L279" s="286">
        <v>27</v>
      </c>
      <c r="M279" s="286">
        <v>34</v>
      </c>
      <c r="N279" s="286">
        <v>1</v>
      </c>
      <c r="O279" s="286">
        <v>1</v>
      </c>
      <c r="P279" s="286">
        <v>0</v>
      </c>
      <c r="Q279" s="286">
        <v>0</v>
      </c>
      <c r="R279" s="286">
        <v>0</v>
      </c>
      <c r="S279" s="286">
        <v>0</v>
      </c>
      <c r="T279" s="286">
        <v>0</v>
      </c>
      <c r="U279" s="286">
        <v>0</v>
      </c>
      <c r="V279" s="286">
        <v>0</v>
      </c>
      <c r="W279" s="286">
        <v>0</v>
      </c>
      <c r="X279" s="286">
        <v>0</v>
      </c>
      <c r="Y279" s="286">
        <v>0</v>
      </c>
    </row>
    <row r="280" spans="1:25">
      <c r="A280" s="212">
        <v>2419</v>
      </c>
      <c r="B280" s="212" t="s">
        <v>1642</v>
      </c>
      <c r="C280" s="212">
        <v>1</v>
      </c>
      <c r="D280" s="212" t="s">
        <v>1643</v>
      </c>
      <c r="E280" s="212" t="s">
        <v>2179</v>
      </c>
      <c r="F280" s="212">
        <v>6</v>
      </c>
      <c r="G280" s="212" t="s">
        <v>1645</v>
      </c>
      <c r="H280" s="212">
        <v>0</v>
      </c>
      <c r="I280" s="212" t="s">
        <v>2180</v>
      </c>
      <c r="J280" s="212">
        <v>474</v>
      </c>
      <c r="K280" s="286">
        <v>5001</v>
      </c>
      <c r="L280" s="286">
        <v>3231</v>
      </c>
      <c r="M280" s="286">
        <v>1768</v>
      </c>
      <c r="N280" s="286">
        <v>78</v>
      </c>
      <c r="O280" s="286">
        <v>62</v>
      </c>
      <c r="P280" s="286">
        <v>16</v>
      </c>
      <c r="Q280" s="286">
        <v>628</v>
      </c>
      <c r="R280" s="286">
        <v>477</v>
      </c>
      <c r="S280" s="286">
        <v>151</v>
      </c>
      <c r="T280" s="286">
        <v>190</v>
      </c>
      <c r="U280" s="286">
        <v>179</v>
      </c>
      <c r="V280" s="286">
        <v>11</v>
      </c>
      <c r="W280" s="286">
        <v>438</v>
      </c>
      <c r="X280" s="286">
        <v>298</v>
      </c>
      <c r="Y280" s="286">
        <v>140</v>
      </c>
    </row>
    <row r="281" spans="1:25">
      <c r="A281" s="212">
        <v>2428</v>
      </c>
      <c r="B281" s="212" t="s">
        <v>1642</v>
      </c>
      <c r="C281" s="212">
        <v>1</v>
      </c>
      <c r="D281" s="212" t="s">
        <v>1643</v>
      </c>
      <c r="E281" s="212" t="s">
        <v>2181</v>
      </c>
      <c r="F281" s="212">
        <v>2</v>
      </c>
      <c r="G281" s="212" t="s">
        <v>1645</v>
      </c>
      <c r="H281" s="212">
        <v>0</v>
      </c>
      <c r="I281" s="212" t="s">
        <v>2182</v>
      </c>
      <c r="J281" s="212">
        <v>171</v>
      </c>
      <c r="K281" s="286">
        <v>4595</v>
      </c>
      <c r="L281" s="286">
        <v>4266</v>
      </c>
      <c r="M281" s="286">
        <v>329</v>
      </c>
      <c r="N281" s="286">
        <v>185</v>
      </c>
      <c r="O281" s="286">
        <v>168</v>
      </c>
      <c r="P281" s="286">
        <v>17</v>
      </c>
      <c r="Q281" s="286">
        <v>149</v>
      </c>
      <c r="R281" s="286">
        <v>102</v>
      </c>
      <c r="S281" s="286">
        <v>47</v>
      </c>
      <c r="T281" s="286">
        <v>40</v>
      </c>
      <c r="U281" s="286">
        <v>38</v>
      </c>
      <c r="V281" s="286">
        <v>2</v>
      </c>
      <c r="W281" s="286">
        <v>109</v>
      </c>
      <c r="X281" s="286">
        <v>64</v>
      </c>
      <c r="Y281" s="286">
        <v>45</v>
      </c>
    </row>
    <row r="282" spans="1:25">
      <c r="A282" s="212">
        <v>2437</v>
      </c>
      <c r="B282" s="212" t="s">
        <v>1642</v>
      </c>
      <c r="C282" s="212">
        <v>1</v>
      </c>
      <c r="D282" s="212" t="s">
        <v>1643</v>
      </c>
      <c r="E282" s="212" t="s">
        <v>2183</v>
      </c>
      <c r="F282" s="212">
        <v>4</v>
      </c>
      <c r="G282" s="212" t="s">
        <v>1645</v>
      </c>
      <c r="H282" s="212">
        <v>0</v>
      </c>
      <c r="I282" s="212" t="s">
        <v>2184</v>
      </c>
      <c r="J282" s="212">
        <v>51</v>
      </c>
      <c r="K282" s="286">
        <v>2139</v>
      </c>
      <c r="L282" s="286">
        <v>2029</v>
      </c>
      <c r="M282" s="286">
        <v>110</v>
      </c>
      <c r="N282" s="286">
        <v>49</v>
      </c>
      <c r="O282" s="286">
        <v>44</v>
      </c>
      <c r="P282" s="286">
        <v>5</v>
      </c>
      <c r="Q282" s="286">
        <v>18</v>
      </c>
      <c r="R282" s="286">
        <v>12</v>
      </c>
      <c r="S282" s="286">
        <v>6</v>
      </c>
      <c r="T282" s="286">
        <v>14</v>
      </c>
      <c r="U282" s="286">
        <v>12</v>
      </c>
      <c r="V282" s="286">
        <v>2</v>
      </c>
      <c r="W282" s="286">
        <v>4</v>
      </c>
      <c r="X282" s="286">
        <v>0</v>
      </c>
      <c r="Y282" s="286">
        <v>4</v>
      </c>
    </row>
    <row r="283" spans="1:25">
      <c r="A283" s="212">
        <v>2446</v>
      </c>
      <c r="B283" s="212" t="s">
        <v>1642</v>
      </c>
      <c r="C283" s="212">
        <v>1</v>
      </c>
      <c r="D283" s="212" t="s">
        <v>1643</v>
      </c>
      <c r="E283" s="212" t="s">
        <v>2185</v>
      </c>
      <c r="F283" s="212">
        <v>5</v>
      </c>
      <c r="G283" s="212" t="s">
        <v>1645</v>
      </c>
      <c r="H283" s="212">
        <v>0</v>
      </c>
      <c r="I283" s="212" t="s">
        <v>2186</v>
      </c>
      <c r="J283" s="212">
        <v>31</v>
      </c>
      <c r="K283" s="286">
        <v>1279</v>
      </c>
      <c r="L283" s="286">
        <v>1190</v>
      </c>
      <c r="M283" s="286">
        <v>89</v>
      </c>
      <c r="N283" s="286">
        <v>49</v>
      </c>
      <c r="O283" s="286">
        <v>44</v>
      </c>
      <c r="P283" s="286">
        <v>5</v>
      </c>
      <c r="Q283" s="286">
        <v>3</v>
      </c>
      <c r="R283" s="286">
        <v>0</v>
      </c>
      <c r="S283" s="286">
        <v>3</v>
      </c>
      <c r="T283" s="286">
        <v>0</v>
      </c>
      <c r="U283" s="286">
        <v>0</v>
      </c>
      <c r="V283" s="286">
        <v>0</v>
      </c>
      <c r="W283" s="286">
        <v>3</v>
      </c>
      <c r="X283" s="286">
        <v>0</v>
      </c>
      <c r="Y283" s="286">
        <v>3</v>
      </c>
    </row>
    <row r="284" spans="1:25">
      <c r="A284" s="212">
        <v>2455</v>
      </c>
      <c r="B284" s="212" t="s">
        <v>1642</v>
      </c>
      <c r="C284" s="212">
        <v>1</v>
      </c>
      <c r="D284" s="212" t="s">
        <v>1643</v>
      </c>
      <c r="E284" s="212" t="s">
        <v>2187</v>
      </c>
      <c r="F284" s="212">
        <v>5</v>
      </c>
      <c r="G284" s="212" t="s">
        <v>1645</v>
      </c>
      <c r="H284" s="212">
        <v>0</v>
      </c>
      <c r="I284" s="212" t="s">
        <v>2188</v>
      </c>
      <c r="J284" s="212">
        <v>20</v>
      </c>
      <c r="K284" s="286">
        <v>860</v>
      </c>
      <c r="L284" s="286">
        <v>839</v>
      </c>
      <c r="M284" s="286">
        <v>21</v>
      </c>
      <c r="N284" s="286">
        <v>0</v>
      </c>
      <c r="O284" s="286">
        <v>0</v>
      </c>
      <c r="P284" s="286">
        <v>0</v>
      </c>
      <c r="Q284" s="286">
        <v>15</v>
      </c>
      <c r="R284" s="286">
        <v>12</v>
      </c>
      <c r="S284" s="286">
        <v>3</v>
      </c>
      <c r="T284" s="286">
        <v>14</v>
      </c>
      <c r="U284" s="286">
        <v>12</v>
      </c>
      <c r="V284" s="286">
        <v>2</v>
      </c>
      <c r="W284" s="286">
        <v>1</v>
      </c>
      <c r="X284" s="286">
        <v>0</v>
      </c>
      <c r="Y284" s="286">
        <v>1</v>
      </c>
    </row>
    <row r="285" spans="1:25">
      <c r="A285" s="212">
        <v>2464</v>
      </c>
      <c r="B285" s="212" t="s">
        <v>1642</v>
      </c>
      <c r="C285" s="212">
        <v>1</v>
      </c>
      <c r="D285" s="212" t="s">
        <v>1643</v>
      </c>
      <c r="E285" s="212" t="s">
        <v>2189</v>
      </c>
      <c r="F285" s="212">
        <v>4</v>
      </c>
      <c r="G285" s="212" t="s">
        <v>1645</v>
      </c>
      <c r="H285" s="212">
        <v>0</v>
      </c>
      <c r="I285" s="212" t="s">
        <v>2190</v>
      </c>
      <c r="J285" s="212">
        <v>19</v>
      </c>
      <c r="K285" s="286">
        <v>929</v>
      </c>
      <c r="L285" s="286">
        <v>808</v>
      </c>
      <c r="M285" s="286">
        <v>121</v>
      </c>
      <c r="N285" s="286">
        <v>1</v>
      </c>
      <c r="O285" s="286">
        <v>1</v>
      </c>
      <c r="P285" s="286">
        <v>0</v>
      </c>
      <c r="Q285" s="286">
        <v>35</v>
      </c>
      <c r="R285" s="286">
        <v>1</v>
      </c>
      <c r="S285" s="286">
        <v>34</v>
      </c>
      <c r="T285" s="286">
        <v>1</v>
      </c>
      <c r="U285" s="286">
        <v>1</v>
      </c>
      <c r="V285" s="286">
        <v>0</v>
      </c>
      <c r="W285" s="286">
        <v>34</v>
      </c>
      <c r="X285" s="286">
        <v>0</v>
      </c>
      <c r="Y285" s="286">
        <v>34</v>
      </c>
    </row>
    <row r="286" spans="1:25">
      <c r="A286" s="212">
        <v>2473</v>
      </c>
      <c r="B286" s="212" t="s">
        <v>1642</v>
      </c>
      <c r="C286" s="212">
        <v>1</v>
      </c>
      <c r="D286" s="212" t="s">
        <v>1643</v>
      </c>
      <c r="E286" s="212" t="s">
        <v>2191</v>
      </c>
      <c r="F286" s="212">
        <v>5</v>
      </c>
      <c r="G286" s="212" t="s">
        <v>1645</v>
      </c>
      <c r="H286" s="212">
        <v>0</v>
      </c>
      <c r="I286" s="212" t="s">
        <v>2192</v>
      </c>
      <c r="J286" s="212">
        <v>7</v>
      </c>
      <c r="K286" s="286">
        <v>734</v>
      </c>
      <c r="L286" s="286">
        <v>630</v>
      </c>
      <c r="M286" s="286">
        <v>104</v>
      </c>
      <c r="N286" s="286">
        <v>0</v>
      </c>
      <c r="O286" s="286">
        <v>0</v>
      </c>
      <c r="P286" s="286">
        <v>0</v>
      </c>
      <c r="Q286" s="286">
        <v>35</v>
      </c>
      <c r="R286" s="286">
        <v>1</v>
      </c>
      <c r="S286" s="286">
        <v>34</v>
      </c>
      <c r="T286" s="286">
        <v>1</v>
      </c>
      <c r="U286" s="286">
        <v>1</v>
      </c>
      <c r="V286" s="286">
        <v>0</v>
      </c>
      <c r="W286" s="286">
        <v>34</v>
      </c>
      <c r="X286" s="286">
        <v>0</v>
      </c>
      <c r="Y286" s="286">
        <v>34</v>
      </c>
    </row>
    <row r="287" spans="1:25">
      <c r="A287" s="212">
        <v>2482</v>
      </c>
      <c r="B287" s="212" t="s">
        <v>1642</v>
      </c>
      <c r="C287" s="212">
        <v>1</v>
      </c>
      <c r="D287" s="212" t="s">
        <v>1643</v>
      </c>
      <c r="E287" s="212" t="s">
        <v>2193</v>
      </c>
      <c r="F287" s="212">
        <v>5</v>
      </c>
      <c r="G287" s="212" t="s">
        <v>1645</v>
      </c>
      <c r="H287" s="212">
        <v>0</v>
      </c>
      <c r="I287" s="212" t="s">
        <v>2194</v>
      </c>
      <c r="J287" s="212">
        <v>12</v>
      </c>
      <c r="K287" s="286">
        <v>195</v>
      </c>
      <c r="L287" s="286">
        <v>178</v>
      </c>
      <c r="M287" s="286">
        <v>17</v>
      </c>
      <c r="N287" s="286">
        <v>1</v>
      </c>
      <c r="O287" s="286">
        <v>1</v>
      </c>
      <c r="P287" s="286">
        <v>0</v>
      </c>
      <c r="Q287" s="286">
        <v>0</v>
      </c>
      <c r="R287" s="286">
        <v>0</v>
      </c>
      <c r="S287" s="286">
        <v>0</v>
      </c>
      <c r="T287" s="286">
        <v>0</v>
      </c>
      <c r="U287" s="286">
        <v>0</v>
      </c>
      <c r="V287" s="286">
        <v>0</v>
      </c>
      <c r="W287" s="286">
        <v>0</v>
      </c>
      <c r="X287" s="286">
        <v>0</v>
      </c>
      <c r="Y287" s="286">
        <v>0</v>
      </c>
    </row>
    <row r="288" spans="1:25">
      <c r="A288" s="212">
        <v>2491</v>
      </c>
      <c r="B288" s="212" t="s">
        <v>1642</v>
      </c>
      <c r="C288" s="212">
        <v>1</v>
      </c>
      <c r="D288" s="212" t="s">
        <v>1643</v>
      </c>
      <c r="E288" s="212" t="s">
        <v>2195</v>
      </c>
      <c r="F288" s="212">
        <v>4</v>
      </c>
      <c r="G288" s="212" t="s">
        <v>1645</v>
      </c>
      <c r="H288" s="212">
        <v>0</v>
      </c>
      <c r="I288" s="212" t="s">
        <v>2196</v>
      </c>
      <c r="J288" s="212">
        <v>7</v>
      </c>
      <c r="K288" s="286">
        <v>68</v>
      </c>
      <c r="L288" s="286">
        <v>64</v>
      </c>
      <c r="M288" s="286">
        <v>4</v>
      </c>
      <c r="N288" s="286">
        <v>0</v>
      </c>
      <c r="O288" s="286">
        <v>0</v>
      </c>
      <c r="P288" s="286">
        <v>0</v>
      </c>
      <c r="Q288" s="286">
        <v>4</v>
      </c>
      <c r="R288" s="286">
        <v>4</v>
      </c>
      <c r="S288" s="286">
        <v>0</v>
      </c>
      <c r="T288" s="286">
        <v>4</v>
      </c>
      <c r="U288" s="286">
        <v>4</v>
      </c>
      <c r="V288" s="286">
        <v>0</v>
      </c>
      <c r="W288" s="286">
        <v>0</v>
      </c>
      <c r="X288" s="286">
        <v>0</v>
      </c>
      <c r="Y288" s="286">
        <v>0</v>
      </c>
    </row>
    <row r="289" spans="1:25">
      <c r="A289" s="212">
        <v>2500</v>
      </c>
      <c r="B289" s="212" t="s">
        <v>1642</v>
      </c>
      <c r="C289" s="212">
        <v>1</v>
      </c>
      <c r="D289" s="212" t="s">
        <v>1643</v>
      </c>
      <c r="E289" s="212" t="s">
        <v>2197</v>
      </c>
      <c r="F289" s="212">
        <v>5</v>
      </c>
      <c r="G289" s="212" t="s">
        <v>1645</v>
      </c>
      <c r="H289" s="212">
        <v>0</v>
      </c>
      <c r="I289" s="212" t="s">
        <v>2198</v>
      </c>
      <c r="J289" s="212">
        <v>0</v>
      </c>
      <c r="K289" s="286">
        <v>0</v>
      </c>
      <c r="L289" s="286">
        <v>0</v>
      </c>
      <c r="M289" s="286">
        <v>0</v>
      </c>
      <c r="N289" s="286">
        <v>0</v>
      </c>
      <c r="O289" s="286">
        <v>0</v>
      </c>
      <c r="P289" s="286">
        <v>0</v>
      </c>
      <c r="Q289" s="286">
        <v>0</v>
      </c>
      <c r="R289" s="286">
        <v>0</v>
      </c>
      <c r="S289" s="286">
        <v>0</v>
      </c>
      <c r="T289" s="286">
        <v>0</v>
      </c>
      <c r="U289" s="286">
        <v>0</v>
      </c>
      <c r="V289" s="286">
        <v>0</v>
      </c>
      <c r="W289" s="286">
        <v>0</v>
      </c>
      <c r="X289" s="286">
        <v>0</v>
      </c>
      <c r="Y289" s="286">
        <v>0</v>
      </c>
    </row>
    <row r="290" spans="1:25">
      <c r="A290" s="212">
        <v>2509</v>
      </c>
      <c r="B290" s="212" t="s">
        <v>1642</v>
      </c>
      <c r="C290" s="212">
        <v>1</v>
      </c>
      <c r="D290" s="212" t="s">
        <v>1643</v>
      </c>
      <c r="E290" s="212" t="s">
        <v>2199</v>
      </c>
      <c r="F290" s="212">
        <v>5</v>
      </c>
      <c r="G290" s="212" t="s">
        <v>1645</v>
      </c>
      <c r="H290" s="212">
        <v>0</v>
      </c>
      <c r="I290" s="212" t="s">
        <v>2200</v>
      </c>
      <c r="J290" s="212">
        <v>7</v>
      </c>
      <c r="K290" s="286">
        <v>68</v>
      </c>
      <c r="L290" s="286">
        <v>64</v>
      </c>
      <c r="M290" s="286">
        <v>4</v>
      </c>
      <c r="N290" s="286">
        <v>0</v>
      </c>
      <c r="O290" s="286">
        <v>0</v>
      </c>
      <c r="P290" s="286">
        <v>0</v>
      </c>
      <c r="Q290" s="286">
        <v>4</v>
      </c>
      <c r="R290" s="286">
        <v>4</v>
      </c>
      <c r="S290" s="286">
        <v>0</v>
      </c>
      <c r="T290" s="286">
        <v>4</v>
      </c>
      <c r="U290" s="286">
        <v>4</v>
      </c>
      <c r="V290" s="286">
        <v>0</v>
      </c>
      <c r="W290" s="286">
        <v>0</v>
      </c>
      <c r="X290" s="286">
        <v>0</v>
      </c>
      <c r="Y290" s="286">
        <v>0</v>
      </c>
    </row>
    <row r="291" spans="1:25">
      <c r="A291" s="212">
        <v>2518</v>
      </c>
      <c r="B291" s="212" t="s">
        <v>1642</v>
      </c>
      <c r="C291" s="212">
        <v>1</v>
      </c>
      <c r="D291" s="212" t="s">
        <v>1643</v>
      </c>
      <c r="E291" s="212" t="s">
        <v>2201</v>
      </c>
      <c r="F291" s="212">
        <v>4</v>
      </c>
      <c r="G291" s="212" t="s">
        <v>1645</v>
      </c>
      <c r="H291" s="212">
        <v>0</v>
      </c>
      <c r="I291" s="212" t="s">
        <v>2202</v>
      </c>
      <c r="J291" s="212">
        <v>94</v>
      </c>
      <c r="K291" s="286">
        <v>1459</v>
      </c>
      <c r="L291" s="286">
        <v>1365</v>
      </c>
      <c r="M291" s="286">
        <v>94</v>
      </c>
      <c r="N291" s="286">
        <v>135</v>
      </c>
      <c r="O291" s="286">
        <v>123</v>
      </c>
      <c r="P291" s="286">
        <v>12</v>
      </c>
      <c r="Q291" s="286">
        <v>92</v>
      </c>
      <c r="R291" s="286">
        <v>85</v>
      </c>
      <c r="S291" s="286">
        <v>7</v>
      </c>
      <c r="T291" s="286">
        <v>21</v>
      </c>
      <c r="U291" s="286">
        <v>21</v>
      </c>
      <c r="V291" s="286">
        <v>0</v>
      </c>
      <c r="W291" s="286">
        <v>71</v>
      </c>
      <c r="X291" s="286">
        <v>64</v>
      </c>
      <c r="Y291" s="286">
        <v>7</v>
      </c>
    </row>
    <row r="292" spans="1:25">
      <c r="A292" s="212">
        <v>2527</v>
      </c>
      <c r="B292" s="212" t="s">
        <v>1642</v>
      </c>
      <c r="C292" s="212">
        <v>1</v>
      </c>
      <c r="D292" s="212" t="s">
        <v>1643</v>
      </c>
      <c r="E292" s="212" t="s">
        <v>2203</v>
      </c>
      <c r="F292" s="212">
        <v>5</v>
      </c>
      <c r="G292" s="212" t="s">
        <v>1645</v>
      </c>
      <c r="H292" s="212">
        <v>0</v>
      </c>
      <c r="I292" s="212" t="s">
        <v>2204</v>
      </c>
      <c r="J292" s="212">
        <v>3</v>
      </c>
      <c r="K292" s="286">
        <v>26</v>
      </c>
      <c r="L292" s="286">
        <v>23</v>
      </c>
      <c r="M292" s="286">
        <v>3</v>
      </c>
      <c r="N292" s="286">
        <v>0</v>
      </c>
      <c r="O292" s="286">
        <v>0</v>
      </c>
      <c r="P292" s="286">
        <v>0</v>
      </c>
      <c r="Q292" s="286">
        <v>1</v>
      </c>
      <c r="R292" s="286">
        <v>1</v>
      </c>
      <c r="S292" s="286">
        <v>0</v>
      </c>
      <c r="T292" s="286">
        <v>1</v>
      </c>
      <c r="U292" s="286">
        <v>1</v>
      </c>
      <c r="V292" s="286">
        <v>0</v>
      </c>
      <c r="W292" s="286">
        <v>0</v>
      </c>
      <c r="X292" s="286">
        <v>0</v>
      </c>
      <c r="Y292" s="286">
        <v>0</v>
      </c>
    </row>
    <row r="293" spans="1:25">
      <c r="A293" s="212">
        <v>2536</v>
      </c>
      <c r="B293" s="212" t="s">
        <v>1642</v>
      </c>
      <c r="C293" s="212">
        <v>1</v>
      </c>
      <c r="D293" s="212" t="s">
        <v>1643</v>
      </c>
      <c r="E293" s="212" t="s">
        <v>2205</v>
      </c>
      <c r="F293" s="212">
        <v>5</v>
      </c>
      <c r="G293" s="212" t="s">
        <v>1645</v>
      </c>
      <c r="H293" s="212">
        <v>0</v>
      </c>
      <c r="I293" s="212" t="s">
        <v>2206</v>
      </c>
      <c r="J293" s="212">
        <v>32</v>
      </c>
      <c r="K293" s="286">
        <v>566</v>
      </c>
      <c r="L293" s="286">
        <v>526</v>
      </c>
      <c r="M293" s="286">
        <v>40</v>
      </c>
      <c r="N293" s="286">
        <v>135</v>
      </c>
      <c r="O293" s="286">
        <v>123</v>
      </c>
      <c r="P293" s="286">
        <v>12</v>
      </c>
      <c r="Q293" s="286">
        <v>31</v>
      </c>
      <c r="R293" s="286">
        <v>26</v>
      </c>
      <c r="S293" s="286">
        <v>5</v>
      </c>
      <c r="T293" s="286">
        <v>17</v>
      </c>
      <c r="U293" s="286">
        <v>17</v>
      </c>
      <c r="V293" s="286">
        <v>0</v>
      </c>
      <c r="W293" s="286">
        <v>14</v>
      </c>
      <c r="X293" s="286">
        <v>9</v>
      </c>
      <c r="Y293" s="286">
        <v>5</v>
      </c>
    </row>
    <row r="294" spans="1:25">
      <c r="A294" s="212">
        <v>2545</v>
      </c>
      <c r="B294" s="212" t="s">
        <v>1642</v>
      </c>
      <c r="C294" s="212">
        <v>1</v>
      </c>
      <c r="D294" s="212" t="s">
        <v>1643</v>
      </c>
      <c r="E294" s="212" t="s">
        <v>2207</v>
      </c>
      <c r="F294" s="212">
        <v>5</v>
      </c>
      <c r="G294" s="212" t="s">
        <v>1645</v>
      </c>
      <c r="H294" s="212">
        <v>0</v>
      </c>
      <c r="I294" s="212" t="s">
        <v>2208</v>
      </c>
      <c r="J294" s="212">
        <v>0</v>
      </c>
      <c r="K294" s="286">
        <v>0</v>
      </c>
      <c r="L294" s="286">
        <v>0</v>
      </c>
      <c r="M294" s="286">
        <v>0</v>
      </c>
      <c r="N294" s="286">
        <v>0</v>
      </c>
      <c r="O294" s="286">
        <v>0</v>
      </c>
      <c r="P294" s="286">
        <v>0</v>
      </c>
      <c r="Q294" s="286">
        <v>0</v>
      </c>
      <c r="R294" s="286">
        <v>0</v>
      </c>
      <c r="S294" s="286">
        <v>0</v>
      </c>
      <c r="T294" s="286">
        <v>0</v>
      </c>
      <c r="U294" s="286">
        <v>0</v>
      </c>
      <c r="V294" s="286">
        <v>0</v>
      </c>
      <c r="W294" s="286">
        <v>0</v>
      </c>
      <c r="X294" s="286">
        <v>0</v>
      </c>
      <c r="Y294" s="286">
        <v>0</v>
      </c>
    </row>
    <row r="295" spans="1:25">
      <c r="A295" s="212">
        <v>2554</v>
      </c>
      <c r="B295" s="212" t="s">
        <v>1642</v>
      </c>
      <c r="C295" s="212">
        <v>1</v>
      </c>
      <c r="D295" s="212" t="s">
        <v>1643</v>
      </c>
      <c r="E295" s="212" t="s">
        <v>2209</v>
      </c>
      <c r="F295" s="212">
        <v>5</v>
      </c>
      <c r="G295" s="212" t="s">
        <v>1645</v>
      </c>
      <c r="H295" s="212">
        <v>0</v>
      </c>
      <c r="I295" s="212" t="s">
        <v>2210</v>
      </c>
      <c r="J295" s="212">
        <v>59</v>
      </c>
      <c r="K295" s="286">
        <v>867</v>
      </c>
      <c r="L295" s="286">
        <v>816</v>
      </c>
      <c r="M295" s="286">
        <v>51</v>
      </c>
      <c r="N295" s="286">
        <v>0</v>
      </c>
      <c r="O295" s="286">
        <v>0</v>
      </c>
      <c r="P295" s="286">
        <v>0</v>
      </c>
      <c r="Q295" s="286">
        <v>60</v>
      </c>
      <c r="R295" s="286">
        <v>58</v>
      </c>
      <c r="S295" s="286">
        <v>2</v>
      </c>
      <c r="T295" s="286">
        <v>3</v>
      </c>
      <c r="U295" s="286">
        <v>3</v>
      </c>
      <c r="V295" s="286">
        <v>0</v>
      </c>
      <c r="W295" s="286">
        <v>57</v>
      </c>
      <c r="X295" s="286">
        <v>55</v>
      </c>
      <c r="Y295" s="286">
        <v>2</v>
      </c>
    </row>
    <row r="296" spans="1:25">
      <c r="A296" s="212">
        <v>2563</v>
      </c>
      <c r="B296" s="212" t="s">
        <v>1642</v>
      </c>
      <c r="C296" s="212">
        <v>1</v>
      </c>
      <c r="D296" s="212" t="s">
        <v>1643</v>
      </c>
      <c r="E296" s="212" t="s">
        <v>2211</v>
      </c>
      <c r="F296" s="212">
        <v>2</v>
      </c>
      <c r="G296" s="212" t="s">
        <v>1645</v>
      </c>
      <c r="H296" s="212">
        <v>0</v>
      </c>
      <c r="I296" s="212" t="s">
        <v>2212</v>
      </c>
      <c r="J296" s="212">
        <v>1574</v>
      </c>
      <c r="K296" s="286">
        <v>22315</v>
      </c>
      <c r="L296" s="286">
        <v>16902</v>
      </c>
      <c r="M296" s="286">
        <v>5331</v>
      </c>
      <c r="N296" s="286">
        <v>791</v>
      </c>
      <c r="O296" s="286">
        <v>661</v>
      </c>
      <c r="P296" s="286">
        <v>130</v>
      </c>
      <c r="Q296" s="286">
        <v>2650</v>
      </c>
      <c r="R296" s="286">
        <v>1909</v>
      </c>
      <c r="S296" s="286">
        <v>741</v>
      </c>
      <c r="T296" s="286">
        <v>1207</v>
      </c>
      <c r="U296" s="286">
        <v>975</v>
      </c>
      <c r="V296" s="286">
        <v>232</v>
      </c>
      <c r="W296" s="286">
        <v>1441</v>
      </c>
      <c r="X296" s="286">
        <v>932</v>
      </c>
      <c r="Y296" s="286">
        <v>509</v>
      </c>
    </row>
    <row r="297" spans="1:25">
      <c r="A297" s="212">
        <v>2572</v>
      </c>
      <c r="B297" s="212" t="s">
        <v>1642</v>
      </c>
      <c r="C297" s="212">
        <v>1</v>
      </c>
      <c r="D297" s="212" t="s">
        <v>1643</v>
      </c>
      <c r="E297" s="212" t="s">
        <v>2213</v>
      </c>
      <c r="F297" s="212">
        <v>3</v>
      </c>
      <c r="G297" s="212" t="s">
        <v>1645</v>
      </c>
      <c r="H297" s="212">
        <v>0</v>
      </c>
      <c r="I297" s="212" t="s">
        <v>2214</v>
      </c>
      <c r="J297" s="212">
        <v>487</v>
      </c>
      <c r="K297" s="286">
        <v>5377</v>
      </c>
      <c r="L297" s="286">
        <v>3807</v>
      </c>
      <c r="M297" s="286">
        <v>1544</v>
      </c>
      <c r="N297" s="286">
        <v>30</v>
      </c>
      <c r="O297" s="286">
        <v>28</v>
      </c>
      <c r="P297" s="286">
        <v>2</v>
      </c>
      <c r="Q297" s="286">
        <v>734</v>
      </c>
      <c r="R297" s="286">
        <v>555</v>
      </c>
      <c r="S297" s="286">
        <v>179</v>
      </c>
      <c r="T297" s="286">
        <v>636</v>
      </c>
      <c r="U297" s="286">
        <v>523</v>
      </c>
      <c r="V297" s="286">
        <v>113</v>
      </c>
      <c r="W297" s="286">
        <v>98</v>
      </c>
      <c r="X297" s="286">
        <v>32</v>
      </c>
      <c r="Y297" s="286">
        <v>66</v>
      </c>
    </row>
    <row r="298" spans="1:25">
      <c r="A298" s="212">
        <v>2581</v>
      </c>
      <c r="B298" s="212" t="s">
        <v>1642</v>
      </c>
      <c r="C298" s="212">
        <v>1</v>
      </c>
      <c r="D298" s="212" t="s">
        <v>1643</v>
      </c>
      <c r="E298" s="212" t="s">
        <v>2215</v>
      </c>
      <c r="F298" s="212">
        <v>4</v>
      </c>
      <c r="G298" s="212" t="s">
        <v>1645</v>
      </c>
      <c r="H298" s="212">
        <v>0</v>
      </c>
      <c r="I298" s="212" t="s">
        <v>2216</v>
      </c>
      <c r="J298" s="212">
        <v>93</v>
      </c>
      <c r="K298" s="286">
        <v>1856</v>
      </c>
      <c r="L298" s="286">
        <v>1386</v>
      </c>
      <c r="M298" s="286">
        <v>463</v>
      </c>
      <c r="N298" s="286">
        <v>22</v>
      </c>
      <c r="O298" s="286">
        <v>21</v>
      </c>
      <c r="P298" s="286">
        <v>1</v>
      </c>
      <c r="Q298" s="286">
        <v>382</v>
      </c>
      <c r="R298" s="286">
        <v>307</v>
      </c>
      <c r="S298" s="286">
        <v>75</v>
      </c>
      <c r="T298" s="286">
        <v>356</v>
      </c>
      <c r="U298" s="286">
        <v>302</v>
      </c>
      <c r="V298" s="286">
        <v>54</v>
      </c>
      <c r="W298" s="286">
        <v>26</v>
      </c>
      <c r="X298" s="286">
        <v>5</v>
      </c>
      <c r="Y298" s="286">
        <v>21</v>
      </c>
    </row>
    <row r="299" spans="1:25">
      <c r="A299" s="212">
        <v>2590</v>
      </c>
      <c r="B299" s="212" t="s">
        <v>1642</v>
      </c>
      <c r="C299" s="212">
        <v>1</v>
      </c>
      <c r="D299" s="212" t="s">
        <v>1643</v>
      </c>
      <c r="E299" s="212" t="s">
        <v>2217</v>
      </c>
      <c r="F299" s="212">
        <v>5</v>
      </c>
      <c r="G299" s="212" t="s">
        <v>1645</v>
      </c>
      <c r="H299" s="212">
        <v>0</v>
      </c>
      <c r="I299" s="212" t="s">
        <v>2218</v>
      </c>
      <c r="J299" s="212">
        <v>0</v>
      </c>
      <c r="K299" s="286">
        <v>0</v>
      </c>
      <c r="L299" s="286">
        <v>0</v>
      </c>
      <c r="M299" s="286">
        <v>0</v>
      </c>
      <c r="N299" s="286">
        <v>0</v>
      </c>
      <c r="O299" s="286">
        <v>0</v>
      </c>
      <c r="P299" s="286">
        <v>0</v>
      </c>
      <c r="Q299" s="286">
        <v>0</v>
      </c>
      <c r="R299" s="286">
        <v>0</v>
      </c>
      <c r="S299" s="286">
        <v>0</v>
      </c>
      <c r="T299" s="286">
        <v>0</v>
      </c>
      <c r="U299" s="286">
        <v>0</v>
      </c>
      <c r="V299" s="286">
        <v>0</v>
      </c>
      <c r="W299" s="286">
        <v>0</v>
      </c>
      <c r="X299" s="286">
        <v>0</v>
      </c>
      <c r="Y299" s="286">
        <v>0</v>
      </c>
    </row>
    <row r="300" spans="1:25">
      <c r="A300" s="212">
        <v>2599</v>
      </c>
      <c r="B300" s="212" t="s">
        <v>1642</v>
      </c>
      <c r="C300" s="212">
        <v>1</v>
      </c>
      <c r="D300" s="212" t="s">
        <v>1643</v>
      </c>
      <c r="E300" s="212" t="s">
        <v>2219</v>
      </c>
      <c r="F300" s="212">
        <v>5</v>
      </c>
      <c r="G300" s="212" t="s">
        <v>1645</v>
      </c>
      <c r="H300" s="212">
        <v>0</v>
      </c>
      <c r="I300" s="212" t="s">
        <v>2220</v>
      </c>
      <c r="J300" s="212">
        <v>21</v>
      </c>
      <c r="K300" s="286">
        <v>575</v>
      </c>
      <c r="L300" s="286">
        <v>523</v>
      </c>
      <c r="M300" s="286">
        <v>52</v>
      </c>
      <c r="N300" s="286">
        <v>0</v>
      </c>
      <c r="O300" s="286">
        <v>0</v>
      </c>
      <c r="P300" s="286">
        <v>0</v>
      </c>
      <c r="Q300" s="286">
        <v>49</v>
      </c>
      <c r="R300" s="286">
        <v>40</v>
      </c>
      <c r="S300" s="286">
        <v>9</v>
      </c>
      <c r="T300" s="286">
        <v>40</v>
      </c>
      <c r="U300" s="286">
        <v>40</v>
      </c>
      <c r="V300" s="286">
        <v>0</v>
      </c>
      <c r="W300" s="286">
        <v>9</v>
      </c>
      <c r="X300" s="286">
        <v>0</v>
      </c>
      <c r="Y300" s="286">
        <v>9</v>
      </c>
    </row>
    <row r="301" spans="1:25">
      <c r="A301" s="212">
        <v>2608</v>
      </c>
      <c r="B301" s="212" t="s">
        <v>1642</v>
      </c>
      <c r="C301" s="212">
        <v>1</v>
      </c>
      <c r="D301" s="212" t="s">
        <v>1643</v>
      </c>
      <c r="E301" s="212" t="s">
        <v>2221</v>
      </c>
      <c r="F301" s="212">
        <v>5</v>
      </c>
      <c r="G301" s="212" t="s">
        <v>1645</v>
      </c>
      <c r="H301" s="212">
        <v>0</v>
      </c>
      <c r="I301" s="212" t="s">
        <v>2222</v>
      </c>
      <c r="J301" s="212">
        <v>5</v>
      </c>
      <c r="K301" s="286">
        <v>183</v>
      </c>
      <c r="L301" s="286">
        <v>97</v>
      </c>
      <c r="M301" s="286">
        <v>81</v>
      </c>
      <c r="N301" s="286">
        <v>0</v>
      </c>
      <c r="O301" s="286">
        <v>0</v>
      </c>
      <c r="P301" s="286">
        <v>0</v>
      </c>
      <c r="Q301" s="286">
        <v>3</v>
      </c>
      <c r="R301" s="286">
        <v>1</v>
      </c>
      <c r="S301" s="286">
        <v>2</v>
      </c>
      <c r="T301" s="286">
        <v>0</v>
      </c>
      <c r="U301" s="286">
        <v>0</v>
      </c>
      <c r="V301" s="286">
        <v>0</v>
      </c>
      <c r="W301" s="286">
        <v>3</v>
      </c>
      <c r="X301" s="286">
        <v>1</v>
      </c>
      <c r="Y301" s="286">
        <v>2</v>
      </c>
    </row>
    <row r="302" spans="1:25">
      <c r="A302" s="212">
        <v>2617</v>
      </c>
      <c r="B302" s="212" t="s">
        <v>1642</v>
      </c>
      <c r="C302" s="212">
        <v>1</v>
      </c>
      <c r="D302" s="212" t="s">
        <v>1643</v>
      </c>
      <c r="E302" s="212" t="s">
        <v>2223</v>
      </c>
      <c r="F302" s="212">
        <v>5</v>
      </c>
      <c r="G302" s="212" t="s">
        <v>1645</v>
      </c>
      <c r="H302" s="212">
        <v>0</v>
      </c>
      <c r="I302" s="212" t="s">
        <v>2224</v>
      </c>
      <c r="J302" s="212">
        <v>67</v>
      </c>
      <c r="K302" s="286">
        <v>1098</v>
      </c>
      <c r="L302" s="286">
        <v>766</v>
      </c>
      <c r="M302" s="286">
        <v>330</v>
      </c>
      <c r="N302" s="286">
        <v>22</v>
      </c>
      <c r="O302" s="286">
        <v>21</v>
      </c>
      <c r="P302" s="286">
        <v>1</v>
      </c>
      <c r="Q302" s="286">
        <v>330</v>
      </c>
      <c r="R302" s="286">
        <v>266</v>
      </c>
      <c r="S302" s="286">
        <v>64</v>
      </c>
      <c r="T302" s="286">
        <v>316</v>
      </c>
      <c r="U302" s="286">
        <v>262</v>
      </c>
      <c r="V302" s="286">
        <v>54</v>
      </c>
      <c r="W302" s="286">
        <v>14</v>
      </c>
      <c r="X302" s="286">
        <v>4</v>
      </c>
      <c r="Y302" s="286">
        <v>10</v>
      </c>
    </row>
    <row r="303" spans="1:25">
      <c r="A303" s="212">
        <v>2626</v>
      </c>
      <c r="B303" s="212" t="s">
        <v>1642</v>
      </c>
      <c r="C303" s="212">
        <v>1</v>
      </c>
      <c r="D303" s="212" t="s">
        <v>1643</v>
      </c>
      <c r="E303" s="212" t="s">
        <v>2225</v>
      </c>
      <c r="F303" s="212">
        <v>4</v>
      </c>
      <c r="G303" s="212" t="s">
        <v>1645</v>
      </c>
      <c r="H303" s="212">
        <v>0</v>
      </c>
      <c r="I303" s="212" t="s">
        <v>2226</v>
      </c>
      <c r="J303" s="212">
        <v>46</v>
      </c>
      <c r="K303" s="286">
        <v>960</v>
      </c>
      <c r="L303" s="286">
        <v>682</v>
      </c>
      <c r="M303" s="286">
        <v>276</v>
      </c>
      <c r="N303" s="286">
        <v>1</v>
      </c>
      <c r="O303" s="286">
        <v>0</v>
      </c>
      <c r="P303" s="286">
        <v>1</v>
      </c>
      <c r="Q303" s="286">
        <v>335</v>
      </c>
      <c r="R303" s="286">
        <v>238</v>
      </c>
      <c r="S303" s="286">
        <v>97</v>
      </c>
      <c r="T303" s="286">
        <v>270</v>
      </c>
      <c r="U303" s="286">
        <v>213</v>
      </c>
      <c r="V303" s="286">
        <v>57</v>
      </c>
      <c r="W303" s="286">
        <v>65</v>
      </c>
      <c r="X303" s="286">
        <v>25</v>
      </c>
      <c r="Y303" s="286">
        <v>40</v>
      </c>
    </row>
    <row r="304" spans="1:25">
      <c r="A304" s="212">
        <v>2635</v>
      </c>
      <c r="B304" s="212" t="s">
        <v>1642</v>
      </c>
      <c r="C304" s="212">
        <v>1</v>
      </c>
      <c r="D304" s="212" t="s">
        <v>1643</v>
      </c>
      <c r="E304" s="212" t="s">
        <v>2227</v>
      </c>
      <c r="F304" s="212">
        <v>5</v>
      </c>
      <c r="G304" s="212" t="s">
        <v>1645</v>
      </c>
      <c r="H304" s="212">
        <v>0</v>
      </c>
      <c r="I304" s="212" t="s">
        <v>2228</v>
      </c>
      <c r="J304" s="212">
        <v>0</v>
      </c>
      <c r="K304" s="286">
        <v>0</v>
      </c>
      <c r="L304" s="286">
        <v>0</v>
      </c>
      <c r="M304" s="286">
        <v>0</v>
      </c>
      <c r="N304" s="286">
        <v>0</v>
      </c>
      <c r="O304" s="286">
        <v>0</v>
      </c>
      <c r="P304" s="286">
        <v>0</v>
      </c>
      <c r="Q304" s="286">
        <v>0</v>
      </c>
      <c r="R304" s="286">
        <v>0</v>
      </c>
      <c r="S304" s="286">
        <v>0</v>
      </c>
      <c r="T304" s="286">
        <v>0</v>
      </c>
      <c r="U304" s="286">
        <v>0</v>
      </c>
      <c r="V304" s="286">
        <v>0</v>
      </c>
      <c r="W304" s="286">
        <v>0</v>
      </c>
      <c r="X304" s="286">
        <v>0</v>
      </c>
      <c r="Y304" s="286">
        <v>0</v>
      </c>
    </row>
    <row r="305" spans="1:25">
      <c r="A305" s="212">
        <v>2644</v>
      </c>
      <c r="B305" s="212" t="s">
        <v>1642</v>
      </c>
      <c r="C305" s="212">
        <v>1</v>
      </c>
      <c r="D305" s="212" t="s">
        <v>1643</v>
      </c>
      <c r="E305" s="212" t="s">
        <v>2229</v>
      </c>
      <c r="F305" s="212">
        <v>5</v>
      </c>
      <c r="G305" s="212" t="s">
        <v>1645</v>
      </c>
      <c r="H305" s="212">
        <v>0</v>
      </c>
      <c r="I305" s="212" t="s">
        <v>2230</v>
      </c>
      <c r="J305" s="212">
        <v>3</v>
      </c>
      <c r="K305" s="286">
        <v>139</v>
      </c>
      <c r="L305" s="286">
        <v>91</v>
      </c>
      <c r="M305" s="286">
        <v>48</v>
      </c>
      <c r="N305" s="286">
        <v>0</v>
      </c>
      <c r="O305" s="286">
        <v>0</v>
      </c>
      <c r="P305" s="286">
        <v>0</v>
      </c>
      <c r="Q305" s="286">
        <v>0</v>
      </c>
      <c r="R305" s="286">
        <v>0</v>
      </c>
      <c r="S305" s="286">
        <v>0</v>
      </c>
      <c r="T305" s="286">
        <v>0</v>
      </c>
      <c r="U305" s="286">
        <v>0</v>
      </c>
      <c r="V305" s="286">
        <v>0</v>
      </c>
      <c r="W305" s="286">
        <v>0</v>
      </c>
      <c r="X305" s="286">
        <v>0</v>
      </c>
      <c r="Y305" s="286">
        <v>0</v>
      </c>
    </row>
    <row r="306" spans="1:25">
      <c r="A306" s="212">
        <v>2653</v>
      </c>
      <c r="B306" s="212" t="s">
        <v>1642</v>
      </c>
      <c r="C306" s="212">
        <v>1</v>
      </c>
      <c r="D306" s="212" t="s">
        <v>1643</v>
      </c>
      <c r="E306" s="212" t="s">
        <v>2231</v>
      </c>
      <c r="F306" s="212">
        <v>5</v>
      </c>
      <c r="G306" s="212" t="s">
        <v>1645</v>
      </c>
      <c r="H306" s="212">
        <v>0</v>
      </c>
      <c r="I306" s="212" t="s">
        <v>2232</v>
      </c>
      <c r="J306" s="212">
        <v>19</v>
      </c>
      <c r="K306" s="286">
        <v>347</v>
      </c>
      <c r="L306" s="286">
        <v>227</v>
      </c>
      <c r="M306" s="286">
        <v>118</v>
      </c>
      <c r="N306" s="286">
        <v>1</v>
      </c>
      <c r="O306" s="286">
        <v>0</v>
      </c>
      <c r="P306" s="286">
        <v>1</v>
      </c>
      <c r="Q306" s="286">
        <v>36</v>
      </c>
      <c r="R306" s="286">
        <v>14</v>
      </c>
      <c r="S306" s="286">
        <v>22</v>
      </c>
      <c r="T306" s="286">
        <v>11</v>
      </c>
      <c r="U306" s="286">
        <v>9</v>
      </c>
      <c r="V306" s="286">
        <v>2</v>
      </c>
      <c r="W306" s="286">
        <v>25</v>
      </c>
      <c r="X306" s="286">
        <v>5</v>
      </c>
      <c r="Y306" s="286">
        <v>20</v>
      </c>
    </row>
    <row r="307" spans="1:25">
      <c r="A307" s="212">
        <v>2662</v>
      </c>
      <c r="B307" s="212" t="s">
        <v>1642</v>
      </c>
      <c r="C307" s="212">
        <v>1</v>
      </c>
      <c r="D307" s="212" t="s">
        <v>1643</v>
      </c>
      <c r="E307" s="212" t="s">
        <v>2233</v>
      </c>
      <c r="F307" s="212">
        <v>5</v>
      </c>
      <c r="G307" s="212" t="s">
        <v>1645</v>
      </c>
      <c r="H307" s="212">
        <v>0</v>
      </c>
      <c r="I307" s="212" t="s">
        <v>2234</v>
      </c>
      <c r="J307" s="212">
        <v>24</v>
      </c>
      <c r="K307" s="286">
        <v>474</v>
      </c>
      <c r="L307" s="286">
        <v>364</v>
      </c>
      <c r="M307" s="286">
        <v>110</v>
      </c>
      <c r="N307" s="286">
        <v>0</v>
      </c>
      <c r="O307" s="286">
        <v>0</v>
      </c>
      <c r="P307" s="286">
        <v>0</v>
      </c>
      <c r="Q307" s="286">
        <v>299</v>
      </c>
      <c r="R307" s="286">
        <v>224</v>
      </c>
      <c r="S307" s="286">
        <v>75</v>
      </c>
      <c r="T307" s="286">
        <v>259</v>
      </c>
      <c r="U307" s="286">
        <v>204</v>
      </c>
      <c r="V307" s="286">
        <v>55</v>
      </c>
      <c r="W307" s="286">
        <v>40</v>
      </c>
      <c r="X307" s="286">
        <v>20</v>
      </c>
      <c r="Y307" s="286">
        <v>20</v>
      </c>
    </row>
    <row r="308" spans="1:25">
      <c r="A308" s="212">
        <v>2671</v>
      </c>
      <c r="B308" s="212" t="s">
        <v>1642</v>
      </c>
      <c r="C308" s="212">
        <v>1</v>
      </c>
      <c r="D308" s="212" t="s">
        <v>1643</v>
      </c>
      <c r="E308" s="212" t="s">
        <v>2235</v>
      </c>
      <c r="F308" s="212">
        <v>4</v>
      </c>
      <c r="G308" s="212" t="s">
        <v>1645</v>
      </c>
      <c r="H308" s="212">
        <v>0</v>
      </c>
      <c r="I308" s="212" t="s">
        <v>2236</v>
      </c>
      <c r="J308" s="212">
        <v>348</v>
      </c>
      <c r="K308" s="286">
        <v>2561</v>
      </c>
      <c r="L308" s="286">
        <v>1739</v>
      </c>
      <c r="M308" s="286">
        <v>805</v>
      </c>
      <c r="N308" s="286">
        <v>7</v>
      </c>
      <c r="O308" s="286">
        <v>7</v>
      </c>
      <c r="P308" s="286">
        <v>0</v>
      </c>
      <c r="Q308" s="286">
        <v>17</v>
      </c>
      <c r="R308" s="286">
        <v>10</v>
      </c>
      <c r="S308" s="286">
        <v>7</v>
      </c>
      <c r="T308" s="286">
        <v>10</v>
      </c>
      <c r="U308" s="286">
        <v>8</v>
      </c>
      <c r="V308" s="286">
        <v>2</v>
      </c>
      <c r="W308" s="286">
        <v>7</v>
      </c>
      <c r="X308" s="286">
        <v>2</v>
      </c>
      <c r="Y308" s="286">
        <v>5</v>
      </c>
    </row>
    <row r="309" spans="1:25">
      <c r="A309" s="212">
        <v>2680</v>
      </c>
      <c r="B309" s="212" t="s">
        <v>1642</v>
      </c>
      <c r="C309" s="212">
        <v>1</v>
      </c>
      <c r="D309" s="212" t="s">
        <v>1643</v>
      </c>
      <c r="E309" s="212" t="s">
        <v>2237</v>
      </c>
      <c r="F309" s="212">
        <v>5</v>
      </c>
      <c r="G309" s="212" t="s">
        <v>1645</v>
      </c>
      <c r="H309" s="212">
        <v>0</v>
      </c>
      <c r="I309" s="212" t="s">
        <v>2238</v>
      </c>
      <c r="J309" s="212">
        <v>1</v>
      </c>
      <c r="K309" s="286">
        <v>8</v>
      </c>
      <c r="L309" s="286">
        <v>7</v>
      </c>
      <c r="M309" s="286">
        <v>1</v>
      </c>
      <c r="N309" s="286">
        <v>0</v>
      </c>
      <c r="O309" s="286">
        <v>0</v>
      </c>
      <c r="P309" s="286">
        <v>0</v>
      </c>
      <c r="Q309" s="286">
        <v>0</v>
      </c>
      <c r="R309" s="286">
        <v>0</v>
      </c>
      <c r="S309" s="286">
        <v>0</v>
      </c>
      <c r="T309" s="286">
        <v>0</v>
      </c>
      <c r="U309" s="286">
        <v>0</v>
      </c>
      <c r="V309" s="286">
        <v>0</v>
      </c>
      <c r="W309" s="286">
        <v>0</v>
      </c>
      <c r="X309" s="286">
        <v>0</v>
      </c>
      <c r="Y309" s="286">
        <v>0</v>
      </c>
    </row>
    <row r="310" spans="1:25">
      <c r="A310" s="212">
        <v>2689</v>
      </c>
      <c r="B310" s="212" t="s">
        <v>1642</v>
      </c>
      <c r="C310" s="212">
        <v>1</v>
      </c>
      <c r="D310" s="212" t="s">
        <v>1643</v>
      </c>
      <c r="E310" s="212" t="s">
        <v>2239</v>
      </c>
      <c r="F310" s="212">
        <v>5</v>
      </c>
      <c r="G310" s="212" t="s">
        <v>1645</v>
      </c>
      <c r="H310" s="212">
        <v>0</v>
      </c>
      <c r="I310" s="212" t="s">
        <v>2240</v>
      </c>
      <c r="J310" s="212">
        <v>73</v>
      </c>
      <c r="K310" s="286">
        <v>304</v>
      </c>
      <c r="L310" s="286">
        <v>197</v>
      </c>
      <c r="M310" s="286">
        <v>104</v>
      </c>
      <c r="N310" s="286">
        <v>0</v>
      </c>
      <c r="O310" s="286">
        <v>0</v>
      </c>
      <c r="P310" s="286">
        <v>0</v>
      </c>
      <c r="Q310" s="286">
        <v>3</v>
      </c>
      <c r="R310" s="286">
        <v>3</v>
      </c>
      <c r="S310" s="286">
        <v>0</v>
      </c>
      <c r="T310" s="286">
        <v>3</v>
      </c>
      <c r="U310" s="286">
        <v>3</v>
      </c>
      <c r="V310" s="286">
        <v>0</v>
      </c>
      <c r="W310" s="286">
        <v>0</v>
      </c>
      <c r="X310" s="286">
        <v>0</v>
      </c>
      <c r="Y310" s="286">
        <v>0</v>
      </c>
    </row>
    <row r="311" spans="1:25">
      <c r="A311" s="212">
        <v>2698</v>
      </c>
      <c r="B311" s="212" t="s">
        <v>1642</v>
      </c>
      <c r="C311" s="212">
        <v>1</v>
      </c>
      <c r="D311" s="212" t="s">
        <v>1643</v>
      </c>
      <c r="E311" s="212" t="s">
        <v>2241</v>
      </c>
      <c r="F311" s="212">
        <v>5</v>
      </c>
      <c r="G311" s="212" t="s">
        <v>1645</v>
      </c>
      <c r="H311" s="212">
        <v>0</v>
      </c>
      <c r="I311" s="212" t="s">
        <v>2242</v>
      </c>
      <c r="J311" s="212">
        <v>12</v>
      </c>
      <c r="K311" s="286">
        <v>32</v>
      </c>
      <c r="L311" s="286">
        <v>23</v>
      </c>
      <c r="M311" s="286">
        <v>9</v>
      </c>
      <c r="N311" s="286">
        <v>6</v>
      </c>
      <c r="O311" s="286">
        <v>6</v>
      </c>
      <c r="P311" s="286">
        <v>0</v>
      </c>
      <c r="Q311" s="286">
        <v>0</v>
      </c>
      <c r="R311" s="286">
        <v>0</v>
      </c>
      <c r="S311" s="286">
        <v>0</v>
      </c>
      <c r="T311" s="286">
        <v>0</v>
      </c>
      <c r="U311" s="286">
        <v>0</v>
      </c>
      <c r="V311" s="286">
        <v>0</v>
      </c>
      <c r="W311" s="286">
        <v>0</v>
      </c>
      <c r="X311" s="286">
        <v>0</v>
      </c>
      <c r="Y311" s="286">
        <v>0</v>
      </c>
    </row>
    <row r="312" spans="1:25">
      <c r="A312" s="212">
        <v>2707</v>
      </c>
      <c r="B312" s="212" t="s">
        <v>1642</v>
      </c>
      <c r="C312" s="212">
        <v>1</v>
      </c>
      <c r="D312" s="212" t="s">
        <v>1643</v>
      </c>
      <c r="E312" s="212" t="s">
        <v>2243</v>
      </c>
      <c r="F312" s="212">
        <v>5</v>
      </c>
      <c r="G312" s="212" t="s">
        <v>1645</v>
      </c>
      <c r="H312" s="212">
        <v>0</v>
      </c>
      <c r="I312" s="212" t="s">
        <v>2244</v>
      </c>
      <c r="J312" s="212">
        <v>25</v>
      </c>
      <c r="K312" s="286">
        <v>896</v>
      </c>
      <c r="L312" s="286">
        <v>804</v>
      </c>
      <c r="M312" s="286">
        <v>92</v>
      </c>
      <c r="N312" s="286">
        <v>0</v>
      </c>
      <c r="O312" s="286">
        <v>0</v>
      </c>
      <c r="P312" s="286">
        <v>0</v>
      </c>
      <c r="Q312" s="286">
        <v>0</v>
      </c>
      <c r="R312" s="286">
        <v>0</v>
      </c>
      <c r="S312" s="286">
        <v>0</v>
      </c>
      <c r="T312" s="286">
        <v>0</v>
      </c>
      <c r="U312" s="286">
        <v>0</v>
      </c>
      <c r="V312" s="286">
        <v>0</v>
      </c>
      <c r="W312" s="286">
        <v>0</v>
      </c>
      <c r="X312" s="286">
        <v>0</v>
      </c>
      <c r="Y312" s="286">
        <v>0</v>
      </c>
    </row>
    <row r="313" spans="1:25">
      <c r="A313" s="212">
        <v>2716</v>
      </c>
      <c r="B313" s="212" t="s">
        <v>1642</v>
      </c>
      <c r="C313" s="212">
        <v>1</v>
      </c>
      <c r="D313" s="212" t="s">
        <v>1643</v>
      </c>
      <c r="E313" s="212" t="s">
        <v>2245</v>
      </c>
      <c r="F313" s="212">
        <v>5</v>
      </c>
      <c r="G313" s="212" t="s">
        <v>1645</v>
      </c>
      <c r="H313" s="212">
        <v>0</v>
      </c>
      <c r="I313" s="212" t="s">
        <v>2246</v>
      </c>
      <c r="J313" s="212">
        <v>73</v>
      </c>
      <c r="K313" s="286">
        <v>587</v>
      </c>
      <c r="L313" s="286">
        <v>265</v>
      </c>
      <c r="M313" s="286">
        <v>312</v>
      </c>
      <c r="N313" s="286">
        <v>1</v>
      </c>
      <c r="O313" s="286">
        <v>1</v>
      </c>
      <c r="P313" s="286">
        <v>0</v>
      </c>
      <c r="Q313" s="286">
        <v>5</v>
      </c>
      <c r="R313" s="286">
        <v>2</v>
      </c>
      <c r="S313" s="286">
        <v>3</v>
      </c>
      <c r="T313" s="286">
        <v>1</v>
      </c>
      <c r="U313" s="286">
        <v>1</v>
      </c>
      <c r="V313" s="286">
        <v>0</v>
      </c>
      <c r="W313" s="286">
        <v>4</v>
      </c>
      <c r="X313" s="286">
        <v>1</v>
      </c>
      <c r="Y313" s="286">
        <v>3</v>
      </c>
    </row>
    <row r="314" spans="1:25">
      <c r="A314" s="212">
        <v>2725</v>
      </c>
      <c r="B314" s="212" t="s">
        <v>1642</v>
      </c>
      <c r="C314" s="212">
        <v>1</v>
      </c>
      <c r="D314" s="212" t="s">
        <v>1643</v>
      </c>
      <c r="E314" s="212" t="s">
        <v>2247</v>
      </c>
      <c r="F314" s="212">
        <v>5</v>
      </c>
      <c r="G314" s="212" t="s">
        <v>1645</v>
      </c>
      <c r="H314" s="212">
        <v>0</v>
      </c>
      <c r="I314" s="212" t="s">
        <v>2248</v>
      </c>
      <c r="J314" s="212">
        <v>44</v>
      </c>
      <c r="K314" s="286">
        <v>300</v>
      </c>
      <c r="L314" s="286">
        <v>138</v>
      </c>
      <c r="M314" s="286">
        <v>158</v>
      </c>
      <c r="N314" s="286">
        <v>0</v>
      </c>
      <c r="O314" s="286">
        <v>0</v>
      </c>
      <c r="P314" s="286">
        <v>0</v>
      </c>
      <c r="Q314" s="286">
        <v>2</v>
      </c>
      <c r="R314" s="286">
        <v>0</v>
      </c>
      <c r="S314" s="286">
        <v>2</v>
      </c>
      <c r="T314" s="286">
        <v>2</v>
      </c>
      <c r="U314" s="286">
        <v>0</v>
      </c>
      <c r="V314" s="286">
        <v>2</v>
      </c>
      <c r="W314" s="286">
        <v>0</v>
      </c>
      <c r="X314" s="286">
        <v>0</v>
      </c>
      <c r="Y314" s="286">
        <v>0</v>
      </c>
    </row>
    <row r="315" spans="1:25">
      <c r="A315" s="212">
        <v>2734</v>
      </c>
      <c r="B315" s="212" t="s">
        <v>1642</v>
      </c>
      <c r="C315" s="212">
        <v>1</v>
      </c>
      <c r="D315" s="212" t="s">
        <v>1643</v>
      </c>
      <c r="E315" s="212" t="s">
        <v>2249</v>
      </c>
      <c r="F315" s="212">
        <v>5</v>
      </c>
      <c r="G315" s="212" t="s">
        <v>1645</v>
      </c>
      <c r="H315" s="212">
        <v>0</v>
      </c>
      <c r="I315" s="212" t="s">
        <v>2250</v>
      </c>
      <c r="J315" s="212">
        <v>120</v>
      </c>
      <c r="K315" s="286">
        <v>434</v>
      </c>
      <c r="L315" s="286">
        <v>305</v>
      </c>
      <c r="M315" s="286">
        <v>129</v>
      </c>
      <c r="N315" s="286">
        <v>0</v>
      </c>
      <c r="O315" s="286">
        <v>0</v>
      </c>
      <c r="P315" s="286">
        <v>0</v>
      </c>
      <c r="Q315" s="286">
        <v>7</v>
      </c>
      <c r="R315" s="286">
        <v>5</v>
      </c>
      <c r="S315" s="286">
        <v>2</v>
      </c>
      <c r="T315" s="286">
        <v>4</v>
      </c>
      <c r="U315" s="286">
        <v>4</v>
      </c>
      <c r="V315" s="286">
        <v>0</v>
      </c>
      <c r="W315" s="286">
        <v>3</v>
      </c>
      <c r="X315" s="286">
        <v>1</v>
      </c>
      <c r="Y315" s="286">
        <v>2</v>
      </c>
    </row>
    <row r="316" spans="1:25">
      <c r="A316" s="212">
        <v>2743</v>
      </c>
      <c r="B316" s="212" t="s">
        <v>1642</v>
      </c>
      <c r="C316" s="212">
        <v>1</v>
      </c>
      <c r="D316" s="212" t="s">
        <v>1643</v>
      </c>
      <c r="E316" s="212" t="s">
        <v>2251</v>
      </c>
      <c r="F316" s="212">
        <v>3</v>
      </c>
      <c r="G316" s="212" t="s">
        <v>1645</v>
      </c>
      <c r="H316" s="212">
        <v>0</v>
      </c>
      <c r="I316" s="212" t="s">
        <v>2252</v>
      </c>
      <c r="J316" s="212">
        <v>1087</v>
      </c>
      <c r="K316" s="286">
        <v>16938</v>
      </c>
      <c r="L316" s="286">
        <v>13095</v>
      </c>
      <c r="M316" s="286">
        <v>3787</v>
      </c>
      <c r="N316" s="286">
        <v>761</v>
      </c>
      <c r="O316" s="286">
        <v>633</v>
      </c>
      <c r="P316" s="286">
        <v>128</v>
      </c>
      <c r="Q316" s="286">
        <v>1916</v>
      </c>
      <c r="R316" s="286">
        <v>1354</v>
      </c>
      <c r="S316" s="286">
        <v>562</v>
      </c>
      <c r="T316" s="286">
        <v>571</v>
      </c>
      <c r="U316" s="286">
        <v>452</v>
      </c>
      <c r="V316" s="286">
        <v>119</v>
      </c>
      <c r="W316" s="286">
        <v>1343</v>
      </c>
      <c r="X316" s="286">
        <v>900</v>
      </c>
      <c r="Y316" s="286">
        <v>443</v>
      </c>
    </row>
    <row r="317" spans="1:25">
      <c r="A317" s="212">
        <v>2752</v>
      </c>
      <c r="B317" s="212" t="s">
        <v>1642</v>
      </c>
      <c r="C317" s="212">
        <v>1</v>
      </c>
      <c r="D317" s="212" t="s">
        <v>1643</v>
      </c>
      <c r="E317" s="212" t="s">
        <v>2253</v>
      </c>
      <c r="F317" s="212">
        <v>4</v>
      </c>
      <c r="G317" s="212" t="s">
        <v>1645</v>
      </c>
      <c r="H317" s="212">
        <v>0</v>
      </c>
      <c r="I317" s="212" t="s">
        <v>2254</v>
      </c>
      <c r="J317" s="212">
        <v>955</v>
      </c>
      <c r="K317" s="286">
        <v>16251</v>
      </c>
      <c r="L317" s="286">
        <v>12646</v>
      </c>
      <c r="M317" s="286">
        <v>3562</v>
      </c>
      <c r="N317" s="286">
        <v>757</v>
      </c>
      <c r="O317" s="286">
        <v>629</v>
      </c>
      <c r="P317" s="286">
        <v>128</v>
      </c>
      <c r="Q317" s="286">
        <v>1799</v>
      </c>
      <c r="R317" s="286">
        <v>1268</v>
      </c>
      <c r="S317" s="286">
        <v>531</v>
      </c>
      <c r="T317" s="286">
        <v>562</v>
      </c>
      <c r="U317" s="286">
        <v>444</v>
      </c>
      <c r="V317" s="286">
        <v>118</v>
      </c>
      <c r="W317" s="286">
        <v>1235</v>
      </c>
      <c r="X317" s="286">
        <v>822</v>
      </c>
      <c r="Y317" s="286">
        <v>413</v>
      </c>
    </row>
    <row r="318" spans="1:25">
      <c r="A318" s="212">
        <v>2761</v>
      </c>
      <c r="B318" s="212" t="s">
        <v>1642</v>
      </c>
      <c r="C318" s="212">
        <v>1</v>
      </c>
      <c r="D318" s="212" t="s">
        <v>1643</v>
      </c>
      <c r="E318" s="212" t="s">
        <v>2255</v>
      </c>
      <c r="F318" s="212">
        <v>5</v>
      </c>
      <c r="G318" s="212" t="s">
        <v>1645</v>
      </c>
      <c r="H318" s="212">
        <v>0</v>
      </c>
      <c r="I318" s="212" t="s">
        <v>2256</v>
      </c>
      <c r="J318" s="212">
        <v>9</v>
      </c>
      <c r="K318" s="286">
        <v>181</v>
      </c>
      <c r="L318" s="286">
        <v>131</v>
      </c>
      <c r="M318" s="286">
        <v>50</v>
      </c>
      <c r="N318" s="286">
        <v>2</v>
      </c>
      <c r="O318" s="286">
        <v>2</v>
      </c>
      <c r="P318" s="286">
        <v>0</v>
      </c>
      <c r="Q318" s="286">
        <v>16</v>
      </c>
      <c r="R318" s="286">
        <v>3</v>
      </c>
      <c r="S318" s="286">
        <v>13</v>
      </c>
      <c r="T318" s="286">
        <v>2</v>
      </c>
      <c r="U318" s="286">
        <v>2</v>
      </c>
      <c r="V318" s="286">
        <v>0</v>
      </c>
      <c r="W318" s="286">
        <v>14</v>
      </c>
      <c r="X318" s="286">
        <v>1</v>
      </c>
      <c r="Y318" s="286">
        <v>13</v>
      </c>
    </row>
    <row r="319" spans="1:25">
      <c r="A319" s="212">
        <v>2770</v>
      </c>
      <c r="B319" s="212" t="s">
        <v>1642</v>
      </c>
      <c r="C319" s="212">
        <v>1</v>
      </c>
      <c r="D319" s="212" t="s">
        <v>1643</v>
      </c>
      <c r="E319" s="212" t="s">
        <v>2257</v>
      </c>
      <c r="F319" s="212">
        <v>5</v>
      </c>
      <c r="G319" s="212" t="s">
        <v>1645</v>
      </c>
      <c r="H319" s="212">
        <v>0</v>
      </c>
      <c r="I319" s="212" t="s">
        <v>2258</v>
      </c>
      <c r="J319" s="212">
        <v>753</v>
      </c>
      <c r="K319" s="286">
        <v>13229</v>
      </c>
      <c r="L319" s="286">
        <v>10653</v>
      </c>
      <c r="M319" s="286">
        <v>2533</v>
      </c>
      <c r="N319" s="286">
        <v>611</v>
      </c>
      <c r="O319" s="286">
        <v>541</v>
      </c>
      <c r="P319" s="286">
        <v>70</v>
      </c>
      <c r="Q319" s="286">
        <v>1163</v>
      </c>
      <c r="R319" s="286">
        <v>840</v>
      </c>
      <c r="S319" s="286">
        <v>323</v>
      </c>
      <c r="T319" s="286">
        <v>356</v>
      </c>
      <c r="U319" s="286">
        <v>309</v>
      </c>
      <c r="V319" s="286">
        <v>47</v>
      </c>
      <c r="W319" s="286">
        <v>805</v>
      </c>
      <c r="X319" s="286">
        <v>529</v>
      </c>
      <c r="Y319" s="286">
        <v>276</v>
      </c>
    </row>
    <row r="320" spans="1:25">
      <c r="A320" s="212">
        <v>2779</v>
      </c>
      <c r="B320" s="212" t="s">
        <v>1642</v>
      </c>
      <c r="C320" s="212">
        <v>1</v>
      </c>
      <c r="D320" s="212" t="s">
        <v>1643</v>
      </c>
      <c r="E320" s="212" t="s">
        <v>2259</v>
      </c>
      <c r="F320" s="212">
        <v>5</v>
      </c>
      <c r="G320" s="212" t="s">
        <v>1645</v>
      </c>
      <c r="H320" s="212">
        <v>0</v>
      </c>
      <c r="I320" s="212" t="s">
        <v>2260</v>
      </c>
      <c r="J320" s="212">
        <v>193</v>
      </c>
      <c r="K320" s="286">
        <v>2841</v>
      </c>
      <c r="L320" s="286">
        <v>1862</v>
      </c>
      <c r="M320" s="286">
        <v>979</v>
      </c>
      <c r="N320" s="286">
        <v>144</v>
      </c>
      <c r="O320" s="286">
        <v>86</v>
      </c>
      <c r="P320" s="286">
        <v>58</v>
      </c>
      <c r="Q320" s="286">
        <v>620</v>
      </c>
      <c r="R320" s="286">
        <v>425</v>
      </c>
      <c r="S320" s="286">
        <v>195</v>
      </c>
      <c r="T320" s="286">
        <v>204</v>
      </c>
      <c r="U320" s="286">
        <v>133</v>
      </c>
      <c r="V320" s="286">
        <v>71</v>
      </c>
      <c r="W320" s="286">
        <v>416</v>
      </c>
      <c r="X320" s="286">
        <v>292</v>
      </c>
      <c r="Y320" s="286">
        <v>124</v>
      </c>
    </row>
    <row r="321" spans="1:25">
      <c r="A321" s="212">
        <v>2788</v>
      </c>
      <c r="B321" s="212" t="s">
        <v>1642</v>
      </c>
      <c r="C321" s="212">
        <v>1</v>
      </c>
      <c r="D321" s="212" t="s">
        <v>1643</v>
      </c>
      <c r="E321" s="212" t="s">
        <v>2261</v>
      </c>
      <c r="F321" s="212">
        <v>6</v>
      </c>
      <c r="G321" s="212" t="s">
        <v>1645</v>
      </c>
      <c r="H321" s="212">
        <v>0</v>
      </c>
      <c r="I321" s="212" t="s">
        <v>2262</v>
      </c>
      <c r="J321" s="212">
        <v>135</v>
      </c>
      <c r="K321" s="286">
        <v>2470</v>
      </c>
      <c r="L321" s="286">
        <v>1634</v>
      </c>
      <c r="M321" s="286">
        <v>836</v>
      </c>
      <c r="N321" s="286">
        <v>130</v>
      </c>
      <c r="O321" s="286">
        <v>86</v>
      </c>
      <c r="P321" s="286">
        <v>44</v>
      </c>
      <c r="Q321" s="286">
        <v>582</v>
      </c>
      <c r="R321" s="286">
        <v>419</v>
      </c>
      <c r="S321" s="286">
        <v>163</v>
      </c>
      <c r="T321" s="286">
        <v>166</v>
      </c>
      <c r="U321" s="286">
        <v>127</v>
      </c>
      <c r="V321" s="286">
        <v>39</v>
      </c>
      <c r="W321" s="286">
        <v>416</v>
      </c>
      <c r="X321" s="286">
        <v>292</v>
      </c>
      <c r="Y321" s="286">
        <v>124</v>
      </c>
    </row>
    <row r="322" spans="1:25">
      <c r="A322" s="212">
        <v>2797</v>
      </c>
      <c r="B322" s="212" t="s">
        <v>1642</v>
      </c>
      <c r="C322" s="212">
        <v>1</v>
      </c>
      <c r="D322" s="212" t="s">
        <v>1643</v>
      </c>
      <c r="E322" s="212" t="s">
        <v>2263</v>
      </c>
      <c r="F322" s="212">
        <v>6</v>
      </c>
      <c r="G322" s="212" t="s">
        <v>1645</v>
      </c>
      <c r="H322" s="212">
        <v>0</v>
      </c>
      <c r="I322" s="212" t="s">
        <v>2264</v>
      </c>
      <c r="J322" s="212">
        <v>36</v>
      </c>
      <c r="K322" s="286">
        <v>133</v>
      </c>
      <c r="L322" s="286">
        <v>40</v>
      </c>
      <c r="M322" s="286">
        <v>93</v>
      </c>
      <c r="N322" s="286">
        <v>14</v>
      </c>
      <c r="O322" s="286">
        <v>0</v>
      </c>
      <c r="P322" s="286">
        <v>14</v>
      </c>
      <c r="Q322" s="286">
        <v>31</v>
      </c>
      <c r="R322" s="286">
        <v>0</v>
      </c>
      <c r="S322" s="286">
        <v>31</v>
      </c>
      <c r="T322" s="286">
        <v>31</v>
      </c>
      <c r="U322" s="286">
        <v>0</v>
      </c>
      <c r="V322" s="286">
        <v>31</v>
      </c>
      <c r="W322" s="286">
        <v>0</v>
      </c>
      <c r="X322" s="286">
        <v>0</v>
      </c>
      <c r="Y322" s="286">
        <v>0</v>
      </c>
    </row>
    <row r="323" spans="1:25">
      <c r="A323" s="212">
        <v>2806</v>
      </c>
      <c r="B323" s="212" t="s">
        <v>1642</v>
      </c>
      <c r="C323" s="212">
        <v>1</v>
      </c>
      <c r="D323" s="212" t="s">
        <v>1643</v>
      </c>
      <c r="E323" s="212" t="s">
        <v>2265</v>
      </c>
      <c r="F323" s="212">
        <v>6</v>
      </c>
      <c r="G323" s="212" t="s">
        <v>1645</v>
      </c>
      <c r="H323" s="212">
        <v>0</v>
      </c>
      <c r="I323" s="212" t="s">
        <v>2266</v>
      </c>
      <c r="J323" s="212">
        <v>22</v>
      </c>
      <c r="K323" s="286">
        <v>238</v>
      </c>
      <c r="L323" s="286">
        <v>188</v>
      </c>
      <c r="M323" s="286">
        <v>50</v>
      </c>
      <c r="N323" s="286">
        <v>0</v>
      </c>
      <c r="O323" s="286">
        <v>0</v>
      </c>
      <c r="P323" s="286">
        <v>0</v>
      </c>
      <c r="Q323" s="286">
        <v>7</v>
      </c>
      <c r="R323" s="286">
        <v>6</v>
      </c>
      <c r="S323" s="286">
        <v>1</v>
      </c>
      <c r="T323" s="286">
        <v>7</v>
      </c>
      <c r="U323" s="286">
        <v>6</v>
      </c>
      <c r="V323" s="286">
        <v>1</v>
      </c>
      <c r="W323" s="286">
        <v>0</v>
      </c>
      <c r="X323" s="286">
        <v>0</v>
      </c>
      <c r="Y323" s="286">
        <v>0</v>
      </c>
    </row>
    <row r="324" spans="1:25">
      <c r="A324" s="212">
        <v>2815</v>
      </c>
      <c r="B324" s="212" t="s">
        <v>1642</v>
      </c>
      <c r="C324" s="212">
        <v>1</v>
      </c>
      <c r="D324" s="212" t="s">
        <v>1643</v>
      </c>
      <c r="E324" s="212" t="s">
        <v>2267</v>
      </c>
      <c r="F324" s="212">
        <v>4</v>
      </c>
      <c r="G324" s="212" t="s">
        <v>1645</v>
      </c>
      <c r="H324" s="212">
        <v>0</v>
      </c>
      <c r="I324" s="212" t="s">
        <v>2268</v>
      </c>
      <c r="J324" s="212">
        <v>130</v>
      </c>
      <c r="K324" s="286">
        <v>580</v>
      </c>
      <c r="L324" s="286">
        <v>365</v>
      </c>
      <c r="M324" s="286">
        <v>202</v>
      </c>
      <c r="N324" s="286">
        <v>4</v>
      </c>
      <c r="O324" s="286">
        <v>4</v>
      </c>
      <c r="P324" s="286">
        <v>0</v>
      </c>
      <c r="Q324" s="286">
        <v>7</v>
      </c>
      <c r="R324" s="286">
        <v>6</v>
      </c>
      <c r="S324" s="286">
        <v>1</v>
      </c>
      <c r="T324" s="286">
        <v>7</v>
      </c>
      <c r="U324" s="286">
        <v>6</v>
      </c>
      <c r="V324" s="286">
        <v>1</v>
      </c>
      <c r="W324" s="286">
        <v>0</v>
      </c>
      <c r="X324" s="286">
        <v>0</v>
      </c>
      <c r="Y324" s="286">
        <v>0</v>
      </c>
    </row>
    <row r="325" spans="1:25">
      <c r="A325" s="212">
        <v>2824</v>
      </c>
      <c r="B325" s="212" t="s">
        <v>1642</v>
      </c>
      <c r="C325" s="212">
        <v>1</v>
      </c>
      <c r="D325" s="212" t="s">
        <v>1643</v>
      </c>
      <c r="E325" s="212" t="s">
        <v>2269</v>
      </c>
      <c r="F325" s="212">
        <v>5</v>
      </c>
      <c r="G325" s="212" t="s">
        <v>1645</v>
      </c>
      <c r="H325" s="212">
        <v>0</v>
      </c>
      <c r="I325" s="212" t="s">
        <v>2270</v>
      </c>
      <c r="J325" s="212">
        <v>0</v>
      </c>
      <c r="K325" s="286">
        <v>0</v>
      </c>
      <c r="L325" s="286">
        <v>0</v>
      </c>
      <c r="M325" s="286">
        <v>0</v>
      </c>
      <c r="N325" s="286">
        <v>0</v>
      </c>
      <c r="O325" s="286">
        <v>0</v>
      </c>
      <c r="P325" s="286">
        <v>0</v>
      </c>
      <c r="Q325" s="286">
        <v>0</v>
      </c>
      <c r="R325" s="286">
        <v>0</v>
      </c>
      <c r="S325" s="286">
        <v>0</v>
      </c>
      <c r="T325" s="286">
        <v>0</v>
      </c>
      <c r="U325" s="286">
        <v>0</v>
      </c>
      <c r="V325" s="286">
        <v>0</v>
      </c>
      <c r="W325" s="286">
        <v>0</v>
      </c>
      <c r="X325" s="286">
        <v>0</v>
      </c>
      <c r="Y325" s="286">
        <v>0</v>
      </c>
    </row>
    <row r="326" spans="1:25">
      <c r="A326" s="212">
        <v>2833</v>
      </c>
      <c r="B326" s="212" t="s">
        <v>1642</v>
      </c>
      <c r="C326" s="212">
        <v>1</v>
      </c>
      <c r="D326" s="212" t="s">
        <v>1643</v>
      </c>
      <c r="E326" s="212" t="s">
        <v>2271</v>
      </c>
      <c r="F326" s="212">
        <v>5</v>
      </c>
      <c r="G326" s="212" t="s">
        <v>1645</v>
      </c>
      <c r="H326" s="212">
        <v>0</v>
      </c>
      <c r="I326" s="212" t="s">
        <v>2272</v>
      </c>
      <c r="J326" s="212">
        <v>130</v>
      </c>
      <c r="K326" s="286">
        <v>580</v>
      </c>
      <c r="L326" s="286">
        <v>365</v>
      </c>
      <c r="M326" s="286">
        <v>202</v>
      </c>
      <c r="N326" s="286">
        <v>4</v>
      </c>
      <c r="O326" s="286">
        <v>4</v>
      </c>
      <c r="P326" s="286">
        <v>0</v>
      </c>
      <c r="Q326" s="286">
        <v>7</v>
      </c>
      <c r="R326" s="286">
        <v>6</v>
      </c>
      <c r="S326" s="286">
        <v>1</v>
      </c>
      <c r="T326" s="286">
        <v>7</v>
      </c>
      <c r="U326" s="286">
        <v>6</v>
      </c>
      <c r="V326" s="286">
        <v>1</v>
      </c>
      <c r="W326" s="286">
        <v>0</v>
      </c>
      <c r="X326" s="286">
        <v>0</v>
      </c>
      <c r="Y326" s="286">
        <v>0</v>
      </c>
    </row>
    <row r="327" spans="1:25">
      <c r="A327" s="212">
        <v>2842</v>
      </c>
      <c r="B327" s="212" t="s">
        <v>1642</v>
      </c>
      <c r="C327" s="212">
        <v>1</v>
      </c>
      <c r="D327" s="212" t="s">
        <v>1643</v>
      </c>
      <c r="E327" s="212" t="s">
        <v>2273</v>
      </c>
      <c r="F327" s="212">
        <v>2</v>
      </c>
      <c r="G327" s="212" t="s">
        <v>1645</v>
      </c>
      <c r="H327" s="212">
        <v>0</v>
      </c>
      <c r="I327" s="212" t="s">
        <v>2274</v>
      </c>
      <c r="J327" s="212">
        <v>5316</v>
      </c>
      <c r="K327" s="286">
        <v>130719</v>
      </c>
      <c r="L327" s="286">
        <v>104950</v>
      </c>
      <c r="M327" s="286">
        <v>25498</v>
      </c>
      <c r="N327" s="286">
        <v>821</v>
      </c>
      <c r="O327" s="286">
        <v>724</v>
      </c>
      <c r="P327" s="286">
        <v>97</v>
      </c>
      <c r="Q327" s="286">
        <v>4855</v>
      </c>
      <c r="R327" s="286">
        <v>3306</v>
      </c>
      <c r="S327" s="286">
        <v>1549</v>
      </c>
      <c r="T327" s="286">
        <v>1785</v>
      </c>
      <c r="U327" s="286">
        <v>1576</v>
      </c>
      <c r="V327" s="286">
        <v>209</v>
      </c>
      <c r="W327" s="286">
        <v>3067</v>
      </c>
      <c r="X327" s="286">
        <v>1727</v>
      </c>
      <c r="Y327" s="286">
        <v>1340</v>
      </c>
    </row>
    <row r="328" spans="1:25">
      <c r="A328" s="212">
        <v>2851</v>
      </c>
      <c r="B328" s="212" t="s">
        <v>1642</v>
      </c>
      <c r="C328" s="212">
        <v>1</v>
      </c>
      <c r="D328" s="212" t="s">
        <v>1643</v>
      </c>
      <c r="E328" s="212" t="s">
        <v>2275</v>
      </c>
      <c r="F328" s="212">
        <v>4</v>
      </c>
      <c r="G328" s="212" t="s">
        <v>1645</v>
      </c>
      <c r="H328" s="212">
        <v>0</v>
      </c>
      <c r="I328" s="212" t="s">
        <v>2276</v>
      </c>
      <c r="J328" s="212">
        <v>161</v>
      </c>
      <c r="K328" s="286">
        <v>8228</v>
      </c>
      <c r="L328" s="286">
        <v>7346</v>
      </c>
      <c r="M328" s="286">
        <v>882</v>
      </c>
      <c r="N328" s="286">
        <v>74</v>
      </c>
      <c r="O328" s="286">
        <v>71</v>
      </c>
      <c r="P328" s="286">
        <v>3</v>
      </c>
      <c r="Q328" s="286">
        <v>148</v>
      </c>
      <c r="R328" s="286">
        <v>130</v>
      </c>
      <c r="S328" s="286">
        <v>18</v>
      </c>
      <c r="T328" s="286">
        <v>128</v>
      </c>
      <c r="U328" s="286">
        <v>126</v>
      </c>
      <c r="V328" s="286">
        <v>2</v>
      </c>
      <c r="W328" s="286">
        <v>20</v>
      </c>
      <c r="X328" s="286">
        <v>4</v>
      </c>
      <c r="Y328" s="286">
        <v>16</v>
      </c>
    </row>
    <row r="329" spans="1:25">
      <c r="A329" s="212">
        <v>2860</v>
      </c>
      <c r="B329" s="212" t="s">
        <v>1642</v>
      </c>
      <c r="C329" s="212">
        <v>1</v>
      </c>
      <c r="D329" s="212" t="s">
        <v>1643</v>
      </c>
      <c r="E329" s="212" t="s">
        <v>2277</v>
      </c>
      <c r="F329" s="212">
        <v>5</v>
      </c>
      <c r="G329" s="212" t="s">
        <v>1645</v>
      </c>
      <c r="H329" s="212">
        <v>0</v>
      </c>
      <c r="I329" s="212" t="s">
        <v>2278</v>
      </c>
      <c r="J329" s="212">
        <v>1</v>
      </c>
      <c r="K329" s="286">
        <v>138</v>
      </c>
      <c r="L329" s="286">
        <v>138</v>
      </c>
      <c r="M329" s="286">
        <v>0</v>
      </c>
      <c r="N329" s="286">
        <v>0</v>
      </c>
      <c r="O329" s="286">
        <v>0</v>
      </c>
      <c r="P329" s="286">
        <v>0</v>
      </c>
      <c r="Q329" s="286">
        <v>4</v>
      </c>
      <c r="R329" s="286">
        <v>4</v>
      </c>
      <c r="S329" s="286">
        <v>0</v>
      </c>
      <c r="T329" s="286">
        <v>4</v>
      </c>
      <c r="U329" s="286">
        <v>4</v>
      </c>
      <c r="V329" s="286">
        <v>0</v>
      </c>
      <c r="W329" s="286">
        <v>0</v>
      </c>
      <c r="X329" s="286">
        <v>0</v>
      </c>
      <c r="Y329" s="286">
        <v>0</v>
      </c>
    </row>
    <row r="330" spans="1:25">
      <c r="A330" s="212">
        <v>2869</v>
      </c>
      <c r="B330" s="212" t="s">
        <v>1642</v>
      </c>
      <c r="C330" s="212">
        <v>1</v>
      </c>
      <c r="D330" s="212" t="s">
        <v>1643</v>
      </c>
      <c r="E330" s="212" t="s">
        <v>2279</v>
      </c>
      <c r="F330" s="212">
        <v>5</v>
      </c>
      <c r="G330" s="212" t="s">
        <v>1645</v>
      </c>
      <c r="H330" s="212">
        <v>0</v>
      </c>
      <c r="I330" s="212" t="s">
        <v>2280</v>
      </c>
      <c r="J330" s="212">
        <v>160</v>
      </c>
      <c r="K330" s="286">
        <v>8090</v>
      </c>
      <c r="L330" s="286">
        <v>7208</v>
      </c>
      <c r="M330" s="286">
        <v>882</v>
      </c>
      <c r="N330" s="286">
        <v>74</v>
      </c>
      <c r="O330" s="286">
        <v>71</v>
      </c>
      <c r="P330" s="286">
        <v>3</v>
      </c>
      <c r="Q330" s="286">
        <v>144</v>
      </c>
      <c r="R330" s="286">
        <v>126</v>
      </c>
      <c r="S330" s="286">
        <v>18</v>
      </c>
      <c r="T330" s="286">
        <v>124</v>
      </c>
      <c r="U330" s="286">
        <v>122</v>
      </c>
      <c r="V330" s="286">
        <v>2</v>
      </c>
      <c r="W330" s="286">
        <v>20</v>
      </c>
      <c r="X330" s="286">
        <v>4</v>
      </c>
      <c r="Y330" s="286">
        <v>16</v>
      </c>
    </row>
    <row r="331" spans="1:25">
      <c r="A331" s="212">
        <v>2878</v>
      </c>
      <c r="B331" s="212" t="s">
        <v>1642</v>
      </c>
      <c r="C331" s="212">
        <v>1</v>
      </c>
      <c r="D331" s="212" t="s">
        <v>1643</v>
      </c>
      <c r="E331" s="212" t="s">
        <v>2281</v>
      </c>
      <c r="F331" s="212">
        <v>4</v>
      </c>
      <c r="G331" s="212" t="s">
        <v>1645</v>
      </c>
      <c r="H331" s="212">
        <v>0</v>
      </c>
      <c r="I331" s="212" t="s">
        <v>2282</v>
      </c>
      <c r="J331" s="212">
        <v>647</v>
      </c>
      <c r="K331" s="286">
        <v>17946</v>
      </c>
      <c r="L331" s="286">
        <v>16447</v>
      </c>
      <c r="M331" s="286">
        <v>1491</v>
      </c>
      <c r="N331" s="286">
        <v>88</v>
      </c>
      <c r="O331" s="286">
        <v>74</v>
      </c>
      <c r="P331" s="286">
        <v>14</v>
      </c>
      <c r="Q331" s="286">
        <v>209</v>
      </c>
      <c r="R331" s="286">
        <v>190</v>
      </c>
      <c r="S331" s="286">
        <v>19</v>
      </c>
      <c r="T331" s="286">
        <v>203</v>
      </c>
      <c r="U331" s="286">
        <v>188</v>
      </c>
      <c r="V331" s="286">
        <v>15</v>
      </c>
      <c r="W331" s="286">
        <v>6</v>
      </c>
      <c r="X331" s="286">
        <v>2</v>
      </c>
      <c r="Y331" s="286">
        <v>4</v>
      </c>
    </row>
    <row r="332" spans="1:25">
      <c r="A332" s="212">
        <v>2887</v>
      </c>
      <c r="B332" s="212" t="s">
        <v>1642</v>
      </c>
      <c r="C332" s="212">
        <v>1</v>
      </c>
      <c r="D332" s="212" t="s">
        <v>1643</v>
      </c>
      <c r="E332" s="212" t="s">
        <v>2283</v>
      </c>
      <c r="F332" s="212">
        <v>5</v>
      </c>
      <c r="G332" s="212" t="s">
        <v>1645</v>
      </c>
      <c r="H332" s="212">
        <v>0</v>
      </c>
      <c r="I332" s="212" t="s">
        <v>2284</v>
      </c>
      <c r="J332" s="212">
        <v>0</v>
      </c>
      <c r="K332" s="286">
        <v>0</v>
      </c>
      <c r="L332" s="286">
        <v>0</v>
      </c>
      <c r="M332" s="286">
        <v>0</v>
      </c>
      <c r="N332" s="286">
        <v>0</v>
      </c>
      <c r="O332" s="286">
        <v>0</v>
      </c>
      <c r="P332" s="286">
        <v>0</v>
      </c>
      <c r="Q332" s="286">
        <v>0</v>
      </c>
      <c r="R332" s="286">
        <v>0</v>
      </c>
      <c r="S332" s="286">
        <v>0</v>
      </c>
      <c r="T332" s="286">
        <v>0</v>
      </c>
      <c r="U332" s="286">
        <v>0</v>
      </c>
      <c r="V332" s="286">
        <v>0</v>
      </c>
      <c r="W332" s="286">
        <v>0</v>
      </c>
      <c r="X332" s="286">
        <v>0</v>
      </c>
      <c r="Y332" s="286">
        <v>0</v>
      </c>
    </row>
    <row r="333" spans="1:25">
      <c r="A333" s="212">
        <v>2896</v>
      </c>
      <c r="B333" s="212" t="s">
        <v>1642</v>
      </c>
      <c r="C333" s="212">
        <v>1</v>
      </c>
      <c r="D333" s="212" t="s">
        <v>1643</v>
      </c>
      <c r="E333" s="212" t="s">
        <v>2285</v>
      </c>
      <c r="F333" s="212">
        <v>5</v>
      </c>
      <c r="G333" s="212" t="s">
        <v>1645</v>
      </c>
      <c r="H333" s="212">
        <v>0</v>
      </c>
      <c r="I333" s="212" t="s">
        <v>2286</v>
      </c>
      <c r="J333" s="212">
        <v>92</v>
      </c>
      <c r="K333" s="286">
        <v>4596</v>
      </c>
      <c r="L333" s="286">
        <v>4226</v>
      </c>
      <c r="M333" s="286">
        <v>370</v>
      </c>
      <c r="N333" s="286">
        <v>71</v>
      </c>
      <c r="O333" s="286">
        <v>60</v>
      </c>
      <c r="P333" s="286">
        <v>11</v>
      </c>
      <c r="Q333" s="286">
        <v>91</v>
      </c>
      <c r="R333" s="286">
        <v>82</v>
      </c>
      <c r="S333" s="286">
        <v>9</v>
      </c>
      <c r="T333" s="286">
        <v>90</v>
      </c>
      <c r="U333" s="286">
        <v>82</v>
      </c>
      <c r="V333" s="286">
        <v>8</v>
      </c>
      <c r="W333" s="286">
        <v>1</v>
      </c>
      <c r="X333" s="286">
        <v>0</v>
      </c>
      <c r="Y333" s="286">
        <v>1</v>
      </c>
    </row>
    <row r="334" spans="1:25">
      <c r="A334" s="212">
        <v>2905</v>
      </c>
      <c r="B334" s="212" t="s">
        <v>1642</v>
      </c>
      <c r="C334" s="212">
        <v>1</v>
      </c>
      <c r="D334" s="212" t="s">
        <v>1643</v>
      </c>
      <c r="E334" s="212" t="s">
        <v>2287</v>
      </c>
      <c r="F334" s="212">
        <v>5</v>
      </c>
      <c r="G334" s="212" t="s">
        <v>1645</v>
      </c>
      <c r="H334" s="212">
        <v>0</v>
      </c>
      <c r="I334" s="212" t="s">
        <v>2288</v>
      </c>
      <c r="J334" s="212">
        <v>470</v>
      </c>
      <c r="K334" s="286">
        <v>11654</v>
      </c>
      <c r="L334" s="286">
        <v>10826</v>
      </c>
      <c r="M334" s="286">
        <v>825</v>
      </c>
      <c r="N334" s="286">
        <v>10</v>
      </c>
      <c r="O334" s="286">
        <v>8</v>
      </c>
      <c r="P334" s="286">
        <v>2</v>
      </c>
      <c r="Q334" s="286">
        <v>27</v>
      </c>
      <c r="R334" s="286">
        <v>23</v>
      </c>
      <c r="S334" s="286">
        <v>4</v>
      </c>
      <c r="T334" s="286">
        <v>23</v>
      </c>
      <c r="U334" s="286">
        <v>21</v>
      </c>
      <c r="V334" s="286">
        <v>2</v>
      </c>
      <c r="W334" s="286">
        <v>4</v>
      </c>
      <c r="X334" s="286">
        <v>2</v>
      </c>
      <c r="Y334" s="286">
        <v>2</v>
      </c>
    </row>
    <row r="335" spans="1:25">
      <c r="A335" s="212">
        <v>2914</v>
      </c>
      <c r="B335" s="212" t="s">
        <v>1642</v>
      </c>
      <c r="C335" s="212">
        <v>1</v>
      </c>
      <c r="D335" s="212" t="s">
        <v>1643</v>
      </c>
      <c r="E335" s="212" t="s">
        <v>2289</v>
      </c>
      <c r="F335" s="212">
        <v>5</v>
      </c>
      <c r="G335" s="212" t="s">
        <v>1645</v>
      </c>
      <c r="H335" s="212">
        <v>0</v>
      </c>
      <c r="I335" s="212" t="s">
        <v>2290</v>
      </c>
      <c r="J335" s="212">
        <v>79</v>
      </c>
      <c r="K335" s="286">
        <v>1659</v>
      </c>
      <c r="L335" s="286">
        <v>1363</v>
      </c>
      <c r="M335" s="286">
        <v>293</v>
      </c>
      <c r="N335" s="286">
        <v>7</v>
      </c>
      <c r="O335" s="286">
        <v>6</v>
      </c>
      <c r="P335" s="286">
        <v>1</v>
      </c>
      <c r="Q335" s="286">
        <v>90</v>
      </c>
      <c r="R335" s="286">
        <v>85</v>
      </c>
      <c r="S335" s="286">
        <v>5</v>
      </c>
      <c r="T335" s="286">
        <v>90</v>
      </c>
      <c r="U335" s="286">
        <v>85</v>
      </c>
      <c r="V335" s="286">
        <v>5</v>
      </c>
      <c r="W335" s="286">
        <v>0</v>
      </c>
      <c r="X335" s="286">
        <v>0</v>
      </c>
      <c r="Y335" s="286">
        <v>0</v>
      </c>
    </row>
    <row r="336" spans="1:25">
      <c r="A336" s="212">
        <v>2923</v>
      </c>
      <c r="B336" s="212" t="s">
        <v>1642</v>
      </c>
      <c r="C336" s="212">
        <v>1</v>
      </c>
      <c r="D336" s="212" t="s">
        <v>1643</v>
      </c>
      <c r="E336" s="212" t="s">
        <v>2291</v>
      </c>
      <c r="F336" s="212">
        <v>5</v>
      </c>
      <c r="G336" s="212" t="s">
        <v>1645</v>
      </c>
      <c r="H336" s="212">
        <v>0</v>
      </c>
      <c r="I336" s="212" t="s">
        <v>2292</v>
      </c>
      <c r="J336" s="212">
        <v>6</v>
      </c>
      <c r="K336" s="286">
        <v>37</v>
      </c>
      <c r="L336" s="286">
        <v>32</v>
      </c>
      <c r="M336" s="286">
        <v>3</v>
      </c>
      <c r="N336" s="286">
        <v>0</v>
      </c>
      <c r="O336" s="286">
        <v>0</v>
      </c>
      <c r="P336" s="286">
        <v>0</v>
      </c>
      <c r="Q336" s="286">
        <v>1</v>
      </c>
      <c r="R336" s="286">
        <v>0</v>
      </c>
      <c r="S336" s="286">
        <v>1</v>
      </c>
      <c r="T336" s="286">
        <v>0</v>
      </c>
      <c r="U336" s="286">
        <v>0</v>
      </c>
      <c r="V336" s="286">
        <v>0</v>
      </c>
      <c r="W336" s="286">
        <v>1</v>
      </c>
      <c r="X336" s="286">
        <v>0</v>
      </c>
      <c r="Y336" s="286">
        <v>1</v>
      </c>
    </row>
    <row r="337" spans="1:25">
      <c r="A337" s="212">
        <v>2932</v>
      </c>
      <c r="B337" s="212" t="s">
        <v>1642</v>
      </c>
      <c r="C337" s="212">
        <v>1</v>
      </c>
      <c r="D337" s="212" t="s">
        <v>1643</v>
      </c>
      <c r="E337" s="212" t="s">
        <v>2293</v>
      </c>
      <c r="F337" s="212">
        <v>4</v>
      </c>
      <c r="G337" s="212" t="s">
        <v>1645</v>
      </c>
      <c r="H337" s="212">
        <v>0</v>
      </c>
      <c r="I337" s="212" t="s">
        <v>2294</v>
      </c>
      <c r="J337" s="212">
        <v>2681</v>
      </c>
      <c r="K337" s="286">
        <v>63959</v>
      </c>
      <c r="L337" s="286">
        <v>51578</v>
      </c>
      <c r="M337" s="286">
        <v>12227</v>
      </c>
      <c r="N337" s="286">
        <v>317</v>
      </c>
      <c r="O337" s="286">
        <v>273</v>
      </c>
      <c r="P337" s="286">
        <v>44</v>
      </c>
      <c r="Q337" s="286">
        <v>2062</v>
      </c>
      <c r="R337" s="286">
        <v>1506</v>
      </c>
      <c r="S337" s="286">
        <v>556</v>
      </c>
      <c r="T337" s="286">
        <v>602</v>
      </c>
      <c r="U337" s="286">
        <v>522</v>
      </c>
      <c r="V337" s="286">
        <v>80</v>
      </c>
      <c r="W337" s="286">
        <v>1458</v>
      </c>
      <c r="X337" s="286">
        <v>982</v>
      </c>
      <c r="Y337" s="286">
        <v>476</v>
      </c>
    </row>
    <row r="338" spans="1:25">
      <c r="A338" s="212">
        <v>2941</v>
      </c>
      <c r="B338" s="212" t="s">
        <v>1642</v>
      </c>
      <c r="C338" s="212">
        <v>1</v>
      </c>
      <c r="D338" s="212" t="s">
        <v>1643</v>
      </c>
      <c r="E338" s="212" t="s">
        <v>2295</v>
      </c>
      <c r="F338" s="212">
        <v>5</v>
      </c>
      <c r="G338" s="212" t="s">
        <v>1645</v>
      </c>
      <c r="H338" s="212">
        <v>0</v>
      </c>
      <c r="I338" s="212" t="s">
        <v>2296</v>
      </c>
      <c r="J338" s="212">
        <v>26</v>
      </c>
      <c r="K338" s="286">
        <v>492</v>
      </c>
      <c r="L338" s="286">
        <v>419</v>
      </c>
      <c r="M338" s="286">
        <v>73</v>
      </c>
      <c r="N338" s="286">
        <v>2</v>
      </c>
      <c r="O338" s="286">
        <v>2</v>
      </c>
      <c r="P338" s="286">
        <v>0</v>
      </c>
      <c r="Q338" s="286">
        <v>9</v>
      </c>
      <c r="R338" s="286">
        <v>7</v>
      </c>
      <c r="S338" s="286">
        <v>2</v>
      </c>
      <c r="T338" s="286">
        <v>8</v>
      </c>
      <c r="U338" s="286">
        <v>7</v>
      </c>
      <c r="V338" s="286">
        <v>1</v>
      </c>
      <c r="W338" s="286">
        <v>1</v>
      </c>
      <c r="X338" s="286">
        <v>0</v>
      </c>
      <c r="Y338" s="286">
        <v>1</v>
      </c>
    </row>
    <row r="339" spans="1:25">
      <c r="A339" s="212">
        <v>2950</v>
      </c>
      <c r="B339" s="212" t="s">
        <v>1642</v>
      </c>
      <c r="C339" s="212">
        <v>1</v>
      </c>
      <c r="D339" s="212" t="s">
        <v>1643</v>
      </c>
      <c r="E339" s="212" t="s">
        <v>2297</v>
      </c>
      <c r="F339" s="212">
        <v>5</v>
      </c>
      <c r="G339" s="212" t="s">
        <v>1645</v>
      </c>
      <c r="H339" s="212">
        <v>0</v>
      </c>
      <c r="I339" s="212" t="s">
        <v>2298</v>
      </c>
      <c r="J339" s="212">
        <v>2379</v>
      </c>
      <c r="K339" s="286">
        <v>59135</v>
      </c>
      <c r="L339" s="286">
        <v>47668</v>
      </c>
      <c r="M339" s="286">
        <v>11325</v>
      </c>
      <c r="N339" s="286">
        <v>281</v>
      </c>
      <c r="O339" s="286">
        <v>238</v>
      </c>
      <c r="P339" s="286">
        <v>43</v>
      </c>
      <c r="Q339" s="286">
        <v>1916</v>
      </c>
      <c r="R339" s="286">
        <v>1412</v>
      </c>
      <c r="S339" s="286">
        <v>504</v>
      </c>
      <c r="T339" s="286">
        <v>528</v>
      </c>
      <c r="U339" s="286">
        <v>464</v>
      </c>
      <c r="V339" s="286">
        <v>64</v>
      </c>
      <c r="W339" s="286">
        <v>1386</v>
      </c>
      <c r="X339" s="286">
        <v>946</v>
      </c>
      <c r="Y339" s="286">
        <v>440</v>
      </c>
    </row>
    <row r="340" spans="1:25">
      <c r="A340" s="212">
        <v>2959</v>
      </c>
      <c r="B340" s="212" t="s">
        <v>1642</v>
      </c>
      <c r="C340" s="212">
        <v>1</v>
      </c>
      <c r="D340" s="212" t="s">
        <v>1643</v>
      </c>
      <c r="E340" s="212" t="s">
        <v>2299</v>
      </c>
      <c r="F340" s="212">
        <v>5</v>
      </c>
      <c r="G340" s="212" t="s">
        <v>1645</v>
      </c>
      <c r="H340" s="212">
        <v>0</v>
      </c>
      <c r="I340" s="212" t="s">
        <v>2300</v>
      </c>
      <c r="J340" s="212">
        <v>79</v>
      </c>
      <c r="K340" s="286">
        <v>1739</v>
      </c>
      <c r="L340" s="286">
        <v>1399</v>
      </c>
      <c r="M340" s="286">
        <v>328</v>
      </c>
      <c r="N340" s="286">
        <v>0</v>
      </c>
      <c r="O340" s="286">
        <v>0</v>
      </c>
      <c r="P340" s="286">
        <v>0</v>
      </c>
      <c r="Q340" s="286">
        <v>41</v>
      </c>
      <c r="R340" s="286">
        <v>27</v>
      </c>
      <c r="S340" s="286">
        <v>14</v>
      </c>
      <c r="T340" s="286">
        <v>25</v>
      </c>
      <c r="U340" s="286">
        <v>25</v>
      </c>
      <c r="V340" s="286">
        <v>0</v>
      </c>
      <c r="W340" s="286">
        <v>16</v>
      </c>
      <c r="X340" s="286">
        <v>2</v>
      </c>
      <c r="Y340" s="286">
        <v>14</v>
      </c>
    </row>
    <row r="341" spans="1:25">
      <c r="A341" s="212">
        <v>2968</v>
      </c>
      <c r="B341" s="212" t="s">
        <v>1642</v>
      </c>
      <c r="C341" s="212">
        <v>1</v>
      </c>
      <c r="D341" s="212" t="s">
        <v>1643</v>
      </c>
      <c r="E341" s="212" t="s">
        <v>2301</v>
      </c>
      <c r="F341" s="212">
        <v>5</v>
      </c>
      <c r="G341" s="212" t="s">
        <v>1645</v>
      </c>
      <c r="H341" s="212">
        <v>0</v>
      </c>
      <c r="I341" s="212" t="s">
        <v>2302</v>
      </c>
      <c r="J341" s="212">
        <v>139</v>
      </c>
      <c r="K341" s="286">
        <v>901</v>
      </c>
      <c r="L341" s="286">
        <v>693</v>
      </c>
      <c r="M341" s="286">
        <v>208</v>
      </c>
      <c r="N341" s="286">
        <v>23</v>
      </c>
      <c r="O341" s="286">
        <v>22</v>
      </c>
      <c r="P341" s="286">
        <v>1</v>
      </c>
      <c r="Q341" s="286">
        <v>18</v>
      </c>
      <c r="R341" s="286">
        <v>16</v>
      </c>
      <c r="S341" s="286">
        <v>2</v>
      </c>
      <c r="T341" s="286">
        <v>8</v>
      </c>
      <c r="U341" s="286">
        <v>6</v>
      </c>
      <c r="V341" s="286">
        <v>2</v>
      </c>
      <c r="W341" s="286">
        <v>10</v>
      </c>
      <c r="X341" s="286">
        <v>10</v>
      </c>
      <c r="Y341" s="286">
        <v>0</v>
      </c>
    </row>
    <row r="342" spans="1:25">
      <c r="A342" s="212">
        <v>2977</v>
      </c>
      <c r="B342" s="212" t="s">
        <v>1642</v>
      </c>
      <c r="C342" s="212">
        <v>1</v>
      </c>
      <c r="D342" s="212" t="s">
        <v>1643</v>
      </c>
      <c r="E342" s="212" t="s">
        <v>2303</v>
      </c>
      <c r="F342" s="212">
        <v>5</v>
      </c>
      <c r="G342" s="212" t="s">
        <v>1645</v>
      </c>
      <c r="H342" s="212">
        <v>0</v>
      </c>
      <c r="I342" s="212" t="s">
        <v>2304</v>
      </c>
      <c r="J342" s="212">
        <v>52</v>
      </c>
      <c r="K342" s="286">
        <v>1673</v>
      </c>
      <c r="L342" s="286">
        <v>1383</v>
      </c>
      <c r="M342" s="286">
        <v>290</v>
      </c>
      <c r="N342" s="286">
        <v>11</v>
      </c>
      <c r="O342" s="286">
        <v>11</v>
      </c>
      <c r="P342" s="286">
        <v>0</v>
      </c>
      <c r="Q342" s="286">
        <v>78</v>
      </c>
      <c r="R342" s="286">
        <v>44</v>
      </c>
      <c r="S342" s="286">
        <v>34</v>
      </c>
      <c r="T342" s="286">
        <v>33</v>
      </c>
      <c r="U342" s="286">
        <v>20</v>
      </c>
      <c r="V342" s="286">
        <v>13</v>
      </c>
      <c r="W342" s="286">
        <v>45</v>
      </c>
      <c r="X342" s="286">
        <v>24</v>
      </c>
      <c r="Y342" s="286">
        <v>21</v>
      </c>
    </row>
    <row r="343" spans="1:25">
      <c r="A343" s="212">
        <v>2986</v>
      </c>
      <c r="B343" s="212" t="s">
        <v>1642</v>
      </c>
      <c r="C343" s="212">
        <v>1</v>
      </c>
      <c r="D343" s="212" t="s">
        <v>1643</v>
      </c>
      <c r="E343" s="212" t="s">
        <v>2305</v>
      </c>
      <c r="F343" s="212">
        <v>5</v>
      </c>
      <c r="G343" s="212" t="s">
        <v>1645</v>
      </c>
      <c r="H343" s="212">
        <v>0</v>
      </c>
      <c r="I343" s="212" t="s">
        <v>2306</v>
      </c>
      <c r="J343" s="212">
        <v>6</v>
      </c>
      <c r="K343" s="286">
        <v>19</v>
      </c>
      <c r="L343" s="286">
        <v>16</v>
      </c>
      <c r="M343" s="286">
        <v>3</v>
      </c>
      <c r="N343" s="286">
        <v>0</v>
      </c>
      <c r="O343" s="286">
        <v>0</v>
      </c>
      <c r="P343" s="286">
        <v>0</v>
      </c>
      <c r="Q343" s="286">
        <v>0</v>
      </c>
      <c r="R343" s="286">
        <v>0</v>
      </c>
      <c r="S343" s="286">
        <v>0</v>
      </c>
      <c r="T343" s="286">
        <v>0</v>
      </c>
      <c r="U343" s="286">
        <v>0</v>
      </c>
      <c r="V343" s="286">
        <v>0</v>
      </c>
      <c r="W343" s="286">
        <v>0</v>
      </c>
      <c r="X343" s="286">
        <v>0</v>
      </c>
      <c r="Y343" s="286">
        <v>0</v>
      </c>
    </row>
    <row r="344" spans="1:25">
      <c r="A344" s="212">
        <v>2995</v>
      </c>
      <c r="B344" s="212" t="s">
        <v>1642</v>
      </c>
      <c r="C344" s="212">
        <v>1</v>
      </c>
      <c r="D344" s="212" t="s">
        <v>1643</v>
      </c>
      <c r="E344" s="212" t="s">
        <v>2307</v>
      </c>
      <c r="F344" s="212">
        <v>4</v>
      </c>
      <c r="G344" s="212" t="s">
        <v>1645</v>
      </c>
      <c r="H344" s="212">
        <v>0</v>
      </c>
      <c r="I344" s="212" t="s">
        <v>2308</v>
      </c>
      <c r="J344" s="212">
        <v>189</v>
      </c>
      <c r="K344" s="286">
        <v>2239</v>
      </c>
      <c r="L344" s="286">
        <v>1832</v>
      </c>
      <c r="M344" s="286">
        <v>407</v>
      </c>
      <c r="N344" s="286">
        <v>13</v>
      </c>
      <c r="O344" s="286">
        <v>13</v>
      </c>
      <c r="P344" s="286">
        <v>0</v>
      </c>
      <c r="Q344" s="286">
        <v>83</v>
      </c>
      <c r="R344" s="286">
        <v>51</v>
      </c>
      <c r="S344" s="286">
        <v>32</v>
      </c>
      <c r="T344" s="286">
        <v>51</v>
      </c>
      <c r="U344" s="286">
        <v>44</v>
      </c>
      <c r="V344" s="286">
        <v>7</v>
      </c>
      <c r="W344" s="286">
        <v>32</v>
      </c>
      <c r="X344" s="286">
        <v>7</v>
      </c>
      <c r="Y344" s="286">
        <v>25</v>
      </c>
    </row>
    <row r="345" spans="1:25">
      <c r="A345" s="212">
        <v>3004</v>
      </c>
      <c r="B345" s="212" t="s">
        <v>1642</v>
      </c>
      <c r="C345" s="212">
        <v>1</v>
      </c>
      <c r="D345" s="212" t="s">
        <v>1643</v>
      </c>
      <c r="E345" s="212" t="s">
        <v>2309</v>
      </c>
      <c r="F345" s="212">
        <v>5</v>
      </c>
      <c r="G345" s="212" t="s">
        <v>1645</v>
      </c>
      <c r="H345" s="212">
        <v>0</v>
      </c>
      <c r="I345" s="212" t="s">
        <v>2310</v>
      </c>
      <c r="J345" s="212">
        <v>0</v>
      </c>
      <c r="K345" s="286">
        <v>0</v>
      </c>
      <c r="L345" s="286">
        <v>0</v>
      </c>
      <c r="M345" s="286">
        <v>0</v>
      </c>
      <c r="N345" s="286">
        <v>0</v>
      </c>
      <c r="O345" s="286">
        <v>0</v>
      </c>
      <c r="P345" s="286">
        <v>0</v>
      </c>
      <c r="Q345" s="286">
        <v>0</v>
      </c>
      <c r="R345" s="286">
        <v>0</v>
      </c>
      <c r="S345" s="286">
        <v>0</v>
      </c>
      <c r="T345" s="286">
        <v>0</v>
      </c>
      <c r="U345" s="286">
        <v>0</v>
      </c>
      <c r="V345" s="286">
        <v>0</v>
      </c>
      <c r="W345" s="286">
        <v>0</v>
      </c>
      <c r="X345" s="286">
        <v>0</v>
      </c>
      <c r="Y345" s="286">
        <v>0</v>
      </c>
    </row>
    <row r="346" spans="1:25">
      <c r="A346" s="212">
        <v>3013</v>
      </c>
      <c r="B346" s="212" t="s">
        <v>1642</v>
      </c>
      <c r="C346" s="212">
        <v>1</v>
      </c>
      <c r="D346" s="212" t="s">
        <v>1643</v>
      </c>
      <c r="E346" s="212" t="s">
        <v>2311</v>
      </c>
      <c r="F346" s="212">
        <v>5</v>
      </c>
      <c r="G346" s="212" t="s">
        <v>1645</v>
      </c>
      <c r="H346" s="212">
        <v>0</v>
      </c>
      <c r="I346" s="212" t="s">
        <v>2312</v>
      </c>
      <c r="J346" s="212">
        <v>23</v>
      </c>
      <c r="K346" s="286">
        <v>189</v>
      </c>
      <c r="L346" s="286">
        <v>146</v>
      </c>
      <c r="M346" s="286">
        <v>43</v>
      </c>
      <c r="N346" s="286">
        <v>0</v>
      </c>
      <c r="O346" s="286">
        <v>0</v>
      </c>
      <c r="P346" s="286">
        <v>0</v>
      </c>
      <c r="Q346" s="286">
        <v>6</v>
      </c>
      <c r="R346" s="286">
        <v>4</v>
      </c>
      <c r="S346" s="286">
        <v>2</v>
      </c>
      <c r="T346" s="286">
        <v>6</v>
      </c>
      <c r="U346" s="286">
        <v>4</v>
      </c>
      <c r="V346" s="286">
        <v>2</v>
      </c>
      <c r="W346" s="286">
        <v>0</v>
      </c>
      <c r="X346" s="286">
        <v>0</v>
      </c>
      <c r="Y346" s="286">
        <v>0</v>
      </c>
    </row>
    <row r="347" spans="1:25">
      <c r="A347" s="212">
        <v>3022</v>
      </c>
      <c r="B347" s="212" t="s">
        <v>1642</v>
      </c>
      <c r="C347" s="212">
        <v>1</v>
      </c>
      <c r="D347" s="212" t="s">
        <v>1643</v>
      </c>
      <c r="E347" s="212" t="s">
        <v>2313</v>
      </c>
      <c r="F347" s="212">
        <v>5</v>
      </c>
      <c r="G347" s="212" t="s">
        <v>1645</v>
      </c>
      <c r="H347" s="212">
        <v>0</v>
      </c>
      <c r="I347" s="212" t="s">
        <v>2314</v>
      </c>
      <c r="J347" s="212">
        <v>117</v>
      </c>
      <c r="K347" s="286">
        <v>1266</v>
      </c>
      <c r="L347" s="286">
        <v>1049</v>
      </c>
      <c r="M347" s="286">
        <v>217</v>
      </c>
      <c r="N347" s="286">
        <v>4</v>
      </c>
      <c r="O347" s="286">
        <v>4</v>
      </c>
      <c r="P347" s="286">
        <v>0</v>
      </c>
      <c r="Q347" s="286">
        <v>48</v>
      </c>
      <c r="R347" s="286">
        <v>30</v>
      </c>
      <c r="S347" s="286">
        <v>18</v>
      </c>
      <c r="T347" s="286">
        <v>28</v>
      </c>
      <c r="U347" s="286">
        <v>24</v>
      </c>
      <c r="V347" s="286">
        <v>4</v>
      </c>
      <c r="W347" s="286">
        <v>20</v>
      </c>
      <c r="X347" s="286">
        <v>6</v>
      </c>
      <c r="Y347" s="286">
        <v>14</v>
      </c>
    </row>
    <row r="348" spans="1:25">
      <c r="A348" s="212">
        <v>3031</v>
      </c>
      <c r="B348" s="212" t="s">
        <v>1642</v>
      </c>
      <c r="C348" s="212">
        <v>1</v>
      </c>
      <c r="D348" s="212" t="s">
        <v>1643</v>
      </c>
      <c r="E348" s="212" t="s">
        <v>2315</v>
      </c>
      <c r="F348" s="212">
        <v>5</v>
      </c>
      <c r="G348" s="212" t="s">
        <v>1645</v>
      </c>
      <c r="H348" s="212">
        <v>0</v>
      </c>
      <c r="I348" s="212" t="s">
        <v>2316</v>
      </c>
      <c r="J348" s="212">
        <v>15</v>
      </c>
      <c r="K348" s="286">
        <v>257</v>
      </c>
      <c r="L348" s="286">
        <v>190</v>
      </c>
      <c r="M348" s="286">
        <v>67</v>
      </c>
      <c r="N348" s="286">
        <v>0</v>
      </c>
      <c r="O348" s="286">
        <v>0</v>
      </c>
      <c r="P348" s="286">
        <v>0</v>
      </c>
      <c r="Q348" s="286">
        <v>1</v>
      </c>
      <c r="R348" s="286">
        <v>1</v>
      </c>
      <c r="S348" s="286">
        <v>0</v>
      </c>
      <c r="T348" s="286">
        <v>1</v>
      </c>
      <c r="U348" s="286">
        <v>1</v>
      </c>
      <c r="V348" s="286">
        <v>0</v>
      </c>
      <c r="W348" s="286">
        <v>0</v>
      </c>
      <c r="X348" s="286">
        <v>0</v>
      </c>
      <c r="Y348" s="286">
        <v>0</v>
      </c>
    </row>
    <row r="349" spans="1:25">
      <c r="A349" s="212">
        <v>3040</v>
      </c>
      <c r="B349" s="212" t="s">
        <v>1642</v>
      </c>
      <c r="C349" s="212">
        <v>1</v>
      </c>
      <c r="D349" s="212" t="s">
        <v>1643</v>
      </c>
      <c r="E349" s="212" t="s">
        <v>2317</v>
      </c>
      <c r="F349" s="212">
        <v>5</v>
      </c>
      <c r="G349" s="212" t="s">
        <v>1645</v>
      </c>
      <c r="H349" s="212">
        <v>0</v>
      </c>
      <c r="I349" s="212" t="s">
        <v>2318</v>
      </c>
      <c r="J349" s="212">
        <v>34</v>
      </c>
      <c r="K349" s="286">
        <v>527</v>
      </c>
      <c r="L349" s="286">
        <v>447</v>
      </c>
      <c r="M349" s="286">
        <v>80</v>
      </c>
      <c r="N349" s="286">
        <v>9</v>
      </c>
      <c r="O349" s="286">
        <v>9</v>
      </c>
      <c r="P349" s="286">
        <v>0</v>
      </c>
      <c r="Q349" s="286">
        <v>28</v>
      </c>
      <c r="R349" s="286">
        <v>16</v>
      </c>
      <c r="S349" s="286">
        <v>12</v>
      </c>
      <c r="T349" s="286">
        <v>16</v>
      </c>
      <c r="U349" s="286">
        <v>15</v>
      </c>
      <c r="V349" s="286">
        <v>1</v>
      </c>
      <c r="W349" s="286">
        <v>12</v>
      </c>
      <c r="X349" s="286">
        <v>1</v>
      </c>
      <c r="Y349" s="286">
        <v>11</v>
      </c>
    </row>
    <row r="350" spans="1:25">
      <c r="A350" s="212">
        <v>3049</v>
      </c>
      <c r="B350" s="212" t="s">
        <v>1642</v>
      </c>
      <c r="C350" s="212">
        <v>1</v>
      </c>
      <c r="D350" s="212" t="s">
        <v>1643</v>
      </c>
      <c r="E350" s="212" t="s">
        <v>2319</v>
      </c>
      <c r="F350" s="212">
        <v>4</v>
      </c>
      <c r="G350" s="212" t="s">
        <v>1645</v>
      </c>
      <c r="H350" s="212">
        <v>0</v>
      </c>
      <c r="I350" s="212" t="s">
        <v>2320</v>
      </c>
      <c r="J350" s="212">
        <v>11</v>
      </c>
      <c r="K350" s="286">
        <v>450</v>
      </c>
      <c r="L350" s="286">
        <v>297</v>
      </c>
      <c r="M350" s="286">
        <v>153</v>
      </c>
      <c r="N350" s="286">
        <v>0</v>
      </c>
      <c r="O350" s="286">
        <v>0</v>
      </c>
      <c r="P350" s="286">
        <v>0</v>
      </c>
      <c r="Q350" s="286">
        <v>17</v>
      </c>
      <c r="R350" s="286">
        <v>8</v>
      </c>
      <c r="S350" s="286">
        <v>9</v>
      </c>
      <c r="T350" s="286">
        <v>8</v>
      </c>
      <c r="U350" s="286">
        <v>8</v>
      </c>
      <c r="V350" s="286">
        <v>0</v>
      </c>
      <c r="W350" s="286">
        <v>9</v>
      </c>
      <c r="X350" s="286">
        <v>0</v>
      </c>
      <c r="Y350" s="286">
        <v>9</v>
      </c>
    </row>
    <row r="351" spans="1:25">
      <c r="A351" s="212">
        <v>3058</v>
      </c>
      <c r="B351" s="212" t="s">
        <v>1642</v>
      </c>
      <c r="C351" s="212">
        <v>1</v>
      </c>
      <c r="D351" s="212" t="s">
        <v>1643</v>
      </c>
      <c r="E351" s="212" t="s">
        <v>2321</v>
      </c>
      <c r="F351" s="212">
        <v>5</v>
      </c>
      <c r="G351" s="212" t="s">
        <v>1645</v>
      </c>
      <c r="H351" s="212">
        <v>0</v>
      </c>
      <c r="I351" s="212" t="s">
        <v>2322</v>
      </c>
      <c r="J351" s="212">
        <v>0</v>
      </c>
      <c r="K351" s="286">
        <v>0</v>
      </c>
      <c r="L351" s="286">
        <v>0</v>
      </c>
      <c r="M351" s="286">
        <v>0</v>
      </c>
      <c r="N351" s="286">
        <v>0</v>
      </c>
      <c r="O351" s="286">
        <v>0</v>
      </c>
      <c r="P351" s="286">
        <v>0</v>
      </c>
      <c r="Q351" s="286">
        <v>0</v>
      </c>
      <c r="R351" s="286">
        <v>0</v>
      </c>
      <c r="S351" s="286">
        <v>0</v>
      </c>
      <c r="T351" s="286">
        <v>0</v>
      </c>
      <c r="U351" s="286">
        <v>0</v>
      </c>
      <c r="V351" s="286">
        <v>0</v>
      </c>
      <c r="W351" s="286">
        <v>0</v>
      </c>
      <c r="X351" s="286">
        <v>0</v>
      </c>
      <c r="Y351" s="286">
        <v>0</v>
      </c>
    </row>
    <row r="352" spans="1:25">
      <c r="A352" s="212">
        <v>3067</v>
      </c>
      <c r="B352" s="212" t="s">
        <v>1642</v>
      </c>
      <c r="C352" s="212">
        <v>1</v>
      </c>
      <c r="D352" s="212" t="s">
        <v>1643</v>
      </c>
      <c r="E352" s="212" t="s">
        <v>2323</v>
      </c>
      <c r="F352" s="212">
        <v>5</v>
      </c>
      <c r="G352" s="212" t="s">
        <v>1645</v>
      </c>
      <c r="H352" s="212">
        <v>0</v>
      </c>
      <c r="I352" s="212" t="s">
        <v>2324</v>
      </c>
      <c r="J352" s="212">
        <v>10</v>
      </c>
      <c r="K352" s="286">
        <v>444</v>
      </c>
      <c r="L352" s="286">
        <v>291</v>
      </c>
      <c r="M352" s="286">
        <v>153</v>
      </c>
      <c r="N352" s="286">
        <v>0</v>
      </c>
      <c r="O352" s="286">
        <v>0</v>
      </c>
      <c r="P352" s="286">
        <v>0</v>
      </c>
      <c r="Q352" s="286">
        <v>17</v>
      </c>
      <c r="R352" s="286">
        <v>8</v>
      </c>
      <c r="S352" s="286">
        <v>9</v>
      </c>
      <c r="T352" s="286">
        <v>8</v>
      </c>
      <c r="U352" s="286">
        <v>8</v>
      </c>
      <c r="V352" s="286">
        <v>0</v>
      </c>
      <c r="W352" s="286">
        <v>9</v>
      </c>
      <c r="X352" s="286">
        <v>0</v>
      </c>
      <c r="Y352" s="286">
        <v>9</v>
      </c>
    </row>
    <row r="353" spans="1:25">
      <c r="A353" s="212">
        <v>3076</v>
      </c>
      <c r="B353" s="212" t="s">
        <v>1642</v>
      </c>
      <c r="C353" s="212">
        <v>1</v>
      </c>
      <c r="D353" s="212" t="s">
        <v>1643</v>
      </c>
      <c r="E353" s="212" t="s">
        <v>2325</v>
      </c>
      <c r="F353" s="212">
        <v>5</v>
      </c>
      <c r="G353" s="212" t="s">
        <v>1645</v>
      </c>
      <c r="H353" s="212">
        <v>0</v>
      </c>
      <c r="I353" s="212" t="s">
        <v>2326</v>
      </c>
      <c r="J353" s="212">
        <v>1</v>
      </c>
      <c r="K353" s="286">
        <v>6</v>
      </c>
      <c r="L353" s="286">
        <v>6</v>
      </c>
      <c r="M353" s="286">
        <v>0</v>
      </c>
      <c r="N353" s="286">
        <v>0</v>
      </c>
      <c r="O353" s="286">
        <v>0</v>
      </c>
      <c r="P353" s="286">
        <v>0</v>
      </c>
      <c r="Q353" s="286">
        <v>0</v>
      </c>
      <c r="R353" s="286">
        <v>0</v>
      </c>
      <c r="S353" s="286">
        <v>0</v>
      </c>
      <c r="T353" s="286">
        <v>0</v>
      </c>
      <c r="U353" s="286">
        <v>0</v>
      </c>
      <c r="V353" s="286">
        <v>0</v>
      </c>
      <c r="W353" s="286">
        <v>0</v>
      </c>
      <c r="X353" s="286">
        <v>0</v>
      </c>
      <c r="Y353" s="286">
        <v>0</v>
      </c>
    </row>
    <row r="354" spans="1:25">
      <c r="A354" s="212">
        <v>3085</v>
      </c>
      <c r="B354" s="212" t="s">
        <v>1642</v>
      </c>
      <c r="C354" s="212">
        <v>1</v>
      </c>
      <c r="D354" s="212" t="s">
        <v>1643</v>
      </c>
      <c r="E354" s="212" t="s">
        <v>2327</v>
      </c>
      <c r="F354" s="212">
        <v>4</v>
      </c>
      <c r="G354" s="212" t="s">
        <v>1645</v>
      </c>
      <c r="H354" s="212">
        <v>0</v>
      </c>
      <c r="I354" s="212" t="s">
        <v>2328</v>
      </c>
      <c r="J354" s="212">
        <v>541</v>
      </c>
      <c r="K354" s="286">
        <v>11135</v>
      </c>
      <c r="L354" s="286">
        <v>6836</v>
      </c>
      <c r="M354" s="286">
        <v>4284</v>
      </c>
      <c r="N354" s="286">
        <v>118</v>
      </c>
      <c r="O354" s="286">
        <v>109</v>
      </c>
      <c r="P354" s="286">
        <v>9</v>
      </c>
      <c r="Q354" s="286">
        <v>1212</v>
      </c>
      <c r="R354" s="286">
        <v>682</v>
      </c>
      <c r="S354" s="286">
        <v>530</v>
      </c>
      <c r="T354" s="286">
        <v>275</v>
      </c>
      <c r="U354" s="286">
        <v>233</v>
      </c>
      <c r="V354" s="286">
        <v>42</v>
      </c>
      <c r="W354" s="286">
        <v>936</v>
      </c>
      <c r="X354" s="286">
        <v>448</v>
      </c>
      <c r="Y354" s="286">
        <v>488</v>
      </c>
    </row>
    <row r="355" spans="1:25">
      <c r="A355" s="212">
        <v>3094</v>
      </c>
      <c r="B355" s="212" t="s">
        <v>1642</v>
      </c>
      <c r="C355" s="212">
        <v>1</v>
      </c>
      <c r="D355" s="212" t="s">
        <v>1643</v>
      </c>
      <c r="E355" s="212" t="s">
        <v>2329</v>
      </c>
      <c r="F355" s="212">
        <v>5</v>
      </c>
      <c r="G355" s="212" t="s">
        <v>1645</v>
      </c>
      <c r="H355" s="212">
        <v>0</v>
      </c>
      <c r="I355" s="212" t="s">
        <v>2330</v>
      </c>
      <c r="J355" s="212">
        <v>11</v>
      </c>
      <c r="K355" s="286">
        <v>909</v>
      </c>
      <c r="L355" s="286">
        <v>684</v>
      </c>
      <c r="M355" s="286">
        <v>225</v>
      </c>
      <c r="N355" s="286">
        <v>7</v>
      </c>
      <c r="O355" s="286">
        <v>7</v>
      </c>
      <c r="P355" s="286">
        <v>0</v>
      </c>
      <c r="Q355" s="286">
        <v>8</v>
      </c>
      <c r="R355" s="286">
        <v>6</v>
      </c>
      <c r="S355" s="286">
        <v>2</v>
      </c>
      <c r="T355" s="286">
        <v>6</v>
      </c>
      <c r="U355" s="286">
        <v>5</v>
      </c>
      <c r="V355" s="286">
        <v>1</v>
      </c>
      <c r="W355" s="286">
        <v>2</v>
      </c>
      <c r="X355" s="286">
        <v>1</v>
      </c>
      <c r="Y355" s="286">
        <v>1</v>
      </c>
    </row>
    <row r="356" spans="1:25">
      <c r="A356" s="212">
        <v>3103</v>
      </c>
      <c r="B356" s="212" t="s">
        <v>1642</v>
      </c>
      <c r="C356" s="212">
        <v>1</v>
      </c>
      <c r="D356" s="212" t="s">
        <v>1643</v>
      </c>
      <c r="E356" s="212" t="s">
        <v>2331</v>
      </c>
      <c r="F356" s="212">
        <v>5</v>
      </c>
      <c r="G356" s="212" t="s">
        <v>1645</v>
      </c>
      <c r="H356" s="212">
        <v>0</v>
      </c>
      <c r="I356" s="212" t="s">
        <v>2332</v>
      </c>
      <c r="J356" s="212">
        <v>449</v>
      </c>
      <c r="K356" s="286">
        <v>8667</v>
      </c>
      <c r="L356" s="286">
        <v>4937</v>
      </c>
      <c r="M356" s="286">
        <v>3715</v>
      </c>
      <c r="N356" s="286">
        <v>106</v>
      </c>
      <c r="O356" s="286">
        <v>98</v>
      </c>
      <c r="P356" s="286">
        <v>8</v>
      </c>
      <c r="Q356" s="286">
        <v>993</v>
      </c>
      <c r="R356" s="286">
        <v>533</v>
      </c>
      <c r="S356" s="286">
        <v>460</v>
      </c>
      <c r="T356" s="286">
        <v>252</v>
      </c>
      <c r="U356" s="286">
        <v>215</v>
      </c>
      <c r="V356" s="286">
        <v>37</v>
      </c>
      <c r="W356" s="286">
        <v>740</v>
      </c>
      <c r="X356" s="286">
        <v>317</v>
      </c>
      <c r="Y356" s="286">
        <v>423</v>
      </c>
    </row>
    <row r="357" spans="1:25">
      <c r="A357" s="212">
        <v>3112</v>
      </c>
      <c r="B357" s="212" t="s">
        <v>1642</v>
      </c>
      <c r="C357" s="212">
        <v>1</v>
      </c>
      <c r="D357" s="212" t="s">
        <v>1643</v>
      </c>
      <c r="E357" s="212" t="s">
        <v>2333</v>
      </c>
      <c r="F357" s="212">
        <v>5</v>
      </c>
      <c r="G357" s="212" t="s">
        <v>1645</v>
      </c>
      <c r="H357" s="212">
        <v>0</v>
      </c>
      <c r="I357" s="212" t="s">
        <v>2334</v>
      </c>
      <c r="J357" s="212">
        <v>81</v>
      </c>
      <c r="K357" s="286">
        <v>1559</v>
      </c>
      <c r="L357" s="286">
        <v>1215</v>
      </c>
      <c r="M357" s="286">
        <v>344</v>
      </c>
      <c r="N357" s="286">
        <v>5</v>
      </c>
      <c r="O357" s="286">
        <v>4</v>
      </c>
      <c r="P357" s="286">
        <v>1</v>
      </c>
      <c r="Q357" s="286">
        <v>211</v>
      </c>
      <c r="R357" s="286">
        <v>143</v>
      </c>
      <c r="S357" s="286">
        <v>68</v>
      </c>
      <c r="T357" s="286">
        <v>17</v>
      </c>
      <c r="U357" s="286">
        <v>13</v>
      </c>
      <c r="V357" s="286">
        <v>4</v>
      </c>
      <c r="W357" s="286">
        <v>194</v>
      </c>
      <c r="X357" s="286">
        <v>130</v>
      </c>
      <c r="Y357" s="286">
        <v>64</v>
      </c>
    </row>
    <row r="358" spans="1:25">
      <c r="A358" s="212">
        <v>3121</v>
      </c>
      <c r="B358" s="212" t="s">
        <v>1642</v>
      </c>
      <c r="C358" s="212">
        <v>1</v>
      </c>
      <c r="D358" s="212" t="s">
        <v>1643</v>
      </c>
      <c r="E358" s="212" t="s">
        <v>2335</v>
      </c>
      <c r="F358" s="212">
        <v>4</v>
      </c>
      <c r="G358" s="212" t="s">
        <v>1645</v>
      </c>
      <c r="H358" s="212">
        <v>0</v>
      </c>
      <c r="I358" s="212" t="s">
        <v>2336</v>
      </c>
      <c r="J358" s="212">
        <v>1069</v>
      </c>
      <c r="K358" s="286">
        <v>21331</v>
      </c>
      <c r="L358" s="286">
        <v>16787</v>
      </c>
      <c r="M358" s="286">
        <v>4450</v>
      </c>
      <c r="N358" s="286">
        <v>211</v>
      </c>
      <c r="O358" s="286">
        <v>184</v>
      </c>
      <c r="P358" s="286">
        <v>27</v>
      </c>
      <c r="Q358" s="286">
        <v>1124</v>
      </c>
      <c r="R358" s="286">
        <v>739</v>
      </c>
      <c r="S358" s="286">
        <v>385</v>
      </c>
      <c r="T358" s="286">
        <v>518</v>
      </c>
      <c r="U358" s="286">
        <v>455</v>
      </c>
      <c r="V358" s="286">
        <v>63</v>
      </c>
      <c r="W358" s="286">
        <v>606</v>
      </c>
      <c r="X358" s="286">
        <v>284</v>
      </c>
      <c r="Y358" s="286">
        <v>322</v>
      </c>
    </row>
    <row r="359" spans="1:25">
      <c r="A359" s="212">
        <v>3130</v>
      </c>
      <c r="B359" s="212" t="s">
        <v>1642</v>
      </c>
      <c r="C359" s="212">
        <v>1</v>
      </c>
      <c r="D359" s="212" t="s">
        <v>1643</v>
      </c>
      <c r="E359" s="212" t="s">
        <v>2337</v>
      </c>
      <c r="F359" s="212">
        <v>5</v>
      </c>
      <c r="G359" s="212" t="s">
        <v>1645</v>
      </c>
      <c r="H359" s="212">
        <v>0</v>
      </c>
      <c r="I359" s="212" t="s">
        <v>2338</v>
      </c>
      <c r="J359" s="212">
        <v>9</v>
      </c>
      <c r="K359" s="286">
        <v>161</v>
      </c>
      <c r="L359" s="286">
        <v>115</v>
      </c>
      <c r="M359" s="286">
        <v>46</v>
      </c>
      <c r="N359" s="286">
        <v>11</v>
      </c>
      <c r="O359" s="286">
        <v>11</v>
      </c>
      <c r="P359" s="286">
        <v>0</v>
      </c>
      <c r="Q359" s="286">
        <v>3</v>
      </c>
      <c r="R359" s="286">
        <v>3</v>
      </c>
      <c r="S359" s="286">
        <v>0</v>
      </c>
      <c r="T359" s="286">
        <v>3</v>
      </c>
      <c r="U359" s="286">
        <v>3</v>
      </c>
      <c r="V359" s="286">
        <v>0</v>
      </c>
      <c r="W359" s="286">
        <v>0</v>
      </c>
      <c r="X359" s="286">
        <v>0</v>
      </c>
      <c r="Y359" s="286">
        <v>0</v>
      </c>
    </row>
    <row r="360" spans="1:25">
      <c r="A360" s="212">
        <v>3139</v>
      </c>
      <c r="B360" s="212" t="s">
        <v>1642</v>
      </c>
      <c r="C360" s="212">
        <v>1</v>
      </c>
      <c r="D360" s="212" t="s">
        <v>1643</v>
      </c>
      <c r="E360" s="212" t="s">
        <v>2339</v>
      </c>
      <c r="F360" s="212">
        <v>5</v>
      </c>
      <c r="G360" s="212" t="s">
        <v>1645</v>
      </c>
      <c r="H360" s="212">
        <v>0</v>
      </c>
      <c r="I360" s="212" t="s">
        <v>2340</v>
      </c>
      <c r="J360" s="212">
        <v>263</v>
      </c>
      <c r="K360" s="286">
        <v>7023</v>
      </c>
      <c r="L360" s="286">
        <v>6152</v>
      </c>
      <c r="M360" s="286">
        <v>863</v>
      </c>
      <c r="N360" s="286">
        <v>95</v>
      </c>
      <c r="O360" s="286">
        <v>80</v>
      </c>
      <c r="P360" s="286">
        <v>15</v>
      </c>
      <c r="Q360" s="286">
        <v>422</v>
      </c>
      <c r="R360" s="286">
        <v>295</v>
      </c>
      <c r="S360" s="286">
        <v>127</v>
      </c>
      <c r="T360" s="286">
        <v>223</v>
      </c>
      <c r="U360" s="286">
        <v>205</v>
      </c>
      <c r="V360" s="286">
        <v>18</v>
      </c>
      <c r="W360" s="286">
        <v>199</v>
      </c>
      <c r="X360" s="286">
        <v>90</v>
      </c>
      <c r="Y360" s="286">
        <v>109</v>
      </c>
    </row>
    <row r="361" spans="1:25">
      <c r="A361" s="212">
        <v>3148</v>
      </c>
      <c r="B361" s="212" t="s">
        <v>1642</v>
      </c>
      <c r="C361" s="212">
        <v>1</v>
      </c>
      <c r="D361" s="212" t="s">
        <v>1643</v>
      </c>
      <c r="E361" s="212" t="s">
        <v>2341</v>
      </c>
      <c r="F361" s="212">
        <v>5</v>
      </c>
      <c r="G361" s="212" t="s">
        <v>1645</v>
      </c>
      <c r="H361" s="212">
        <v>0</v>
      </c>
      <c r="I361" s="212" t="s">
        <v>2342</v>
      </c>
      <c r="J361" s="212">
        <v>200</v>
      </c>
      <c r="K361" s="286">
        <v>3695</v>
      </c>
      <c r="L361" s="286">
        <v>2684</v>
      </c>
      <c r="M361" s="286">
        <v>952</v>
      </c>
      <c r="N361" s="286">
        <v>23</v>
      </c>
      <c r="O361" s="286">
        <v>22</v>
      </c>
      <c r="P361" s="286">
        <v>1</v>
      </c>
      <c r="Q361" s="286">
        <v>276</v>
      </c>
      <c r="R361" s="286">
        <v>201</v>
      </c>
      <c r="S361" s="286">
        <v>75</v>
      </c>
      <c r="T361" s="286">
        <v>144</v>
      </c>
      <c r="U361" s="286">
        <v>124</v>
      </c>
      <c r="V361" s="286">
        <v>20</v>
      </c>
      <c r="W361" s="286">
        <v>132</v>
      </c>
      <c r="X361" s="286">
        <v>77</v>
      </c>
      <c r="Y361" s="286">
        <v>55</v>
      </c>
    </row>
    <row r="362" spans="1:25">
      <c r="A362" s="212">
        <v>3157</v>
      </c>
      <c r="B362" s="212" t="s">
        <v>1642</v>
      </c>
      <c r="C362" s="212">
        <v>1</v>
      </c>
      <c r="D362" s="212" t="s">
        <v>1643</v>
      </c>
      <c r="E362" s="212" t="s">
        <v>2343</v>
      </c>
      <c r="F362" s="212">
        <v>5</v>
      </c>
      <c r="G362" s="212" t="s">
        <v>1645</v>
      </c>
      <c r="H362" s="212">
        <v>0</v>
      </c>
      <c r="I362" s="212" t="s">
        <v>2344</v>
      </c>
      <c r="J362" s="212">
        <v>45</v>
      </c>
      <c r="K362" s="286">
        <v>553</v>
      </c>
      <c r="L362" s="286">
        <v>353</v>
      </c>
      <c r="M362" s="286">
        <v>199</v>
      </c>
      <c r="N362" s="286">
        <v>0</v>
      </c>
      <c r="O362" s="286">
        <v>0</v>
      </c>
      <c r="P362" s="286">
        <v>0</v>
      </c>
      <c r="Q362" s="286">
        <v>19</v>
      </c>
      <c r="R362" s="286">
        <v>2</v>
      </c>
      <c r="S362" s="286">
        <v>17</v>
      </c>
      <c r="T362" s="286">
        <v>14</v>
      </c>
      <c r="U362" s="286">
        <v>2</v>
      </c>
      <c r="V362" s="286">
        <v>12</v>
      </c>
      <c r="W362" s="286">
        <v>5</v>
      </c>
      <c r="X362" s="286">
        <v>0</v>
      </c>
      <c r="Y362" s="286">
        <v>5</v>
      </c>
    </row>
    <row r="363" spans="1:25">
      <c r="A363" s="212">
        <v>3166</v>
      </c>
      <c r="B363" s="212" t="s">
        <v>1642</v>
      </c>
      <c r="C363" s="212">
        <v>1</v>
      </c>
      <c r="D363" s="212" t="s">
        <v>1643</v>
      </c>
      <c r="E363" s="212" t="s">
        <v>2345</v>
      </c>
      <c r="F363" s="212">
        <v>5</v>
      </c>
      <c r="G363" s="212" t="s">
        <v>1645</v>
      </c>
      <c r="H363" s="212">
        <v>0</v>
      </c>
      <c r="I363" s="212" t="s">
        <v>2346</v>
      </c>
      <c r="J363" s="212">
        <v>143</v>
      </c>
      <c r="K363" s="286">
        <v>3202</v>
      </c>
      <c r="L363" s="286">
        <v>2043</v>
      </c>
      <c r="M363" s="286">
        <v>1140</v>
      </c>
      <c r="N363" s="286">
        <v>36</v>
      </c>
      <c r="O363" s="286">
        <v>29</v>
      </c>
      <c r="P363" s="286">
        <v>7</v>
      </c>
      <c r="Q363" s="286">
        <v>154</v>
      </c>
      <c r="R363" s="286">
        <v>84</v>
      </c>
      <c r="S363" s="286">
        <v>70</v>
      </c>
      <c r="T363" s="286">
        <v>24</v>
      </c>
      <c r="U363" s="286">
        <v>22</v>
      </c>
      <c r="V363" s="286">
        <v>2</v>
      </c>
      <c r="W363" s="286">
        <v>130</v>
      </c>
      <c r="X363" s="286">
        <v>62</v>
      </c>
      <c r="Y363" s="286">
        <v>68</v>
      </c>
    </row>
    <row r="364" spans="1:25">
      <c r="A364" s="212">
        <v>3175</v>
      </c>
      <c r="B364" s="212" t="s">
        <v>1642</v>
      </c>
      <c r="C364" s="212">
        <v>1</v>
      </c>
      <c r="D364" s="212" t="s">
        <v>1643</v>
      </c>
      <c r="E364" s="212" t="s">
        <v>2347</v>
      </c>
      <c r="F364" s="212">
        <v>5</v>
      </c>
      <c r="G364" s="212" t="s">
        <v>1645</v>
      </c>
      <c r="H364" s="212">
        <v>0</v>
      </c>
      <c r="I364" s="212" t="s">
        <v>2348</v>
      </c>
      <c r="J364" s="212">
        <v>36</v>
      </c>
      <c r="K364" s="286">
        <v>1591</v>
      </c>
      <c r="L364" s="286">
        <v>1413</v>
      </c>
      <c r="M364" s="286">
        <v>178</v>
      </c>
      <c r="N364" s="286">
        <v>24</v>
      </c>
      <c r="O364" s="286">
        <v>24</v>
      </c>
      <c r="P364" s="286">
        <v>0</v>
      </c>
      <c r="Q364" s="286">
        <v>73</v>
      </c>
      <c r="R364" s="286">
        <v>40</v>
      </c>
      <c r="S364" s="286">
        <v>33</v>
      </c>
      <c r="T364" s="286">
        <v>40</v>
      </c>
      <c r="U364" s="286">
        <v>40</v>
      </c>
      <c r="V364" s="286">
        <v>0</v>
      </c>
      <c r="W364" s="286">
        <v>33</v>
      </c>
      <c r="X364" s="286">
        <v>0</v>
      </c>
      <c r="Y364" s="286">
        <v>33</v>
      </c>
    </row>
    <row r="365" spans="1:25">
      <c r="A365" s="212">
        <v>3184</v>
      </c>
      <c r="B365" s="212" t="s">
        <v>1642</v>
      </c>
      <c r="C365" s="212">
        <v>1</v>
      </c>
      <c r="D365" s="212" t="s">
        <v>1643</v>
      </c>
      <c r="E365" s="212" t="s">
        <v>2349</v>
      </c>
      <c r="F365" s="212">
        <v>5</v>
      </c>
      <c r="G365" s="212" t="s">
        <v>1645</v>
      </c>
      <c r="H365" s="212">
        <v>0</v>
      </c>
      <c r="I365" s="212" t="s">
        <v>2350</v>
      </c>
      <c r="J365" s="212">
        <v>373</v>
      </c>
      <c r="K365" s="286">
        <v>5106</v>
      </c>
      <c r="L365" s="286">
        <v>4027</v>
      </c>
      <c r="M365" s="286">
        <v>1072</v>
      </c>
      <c r="N365" s="286">
        <v>22</v>
      </c>
      <c r="O365" s="286">
        <v>18</v>
      </c>
      <c r="P365" s="286">
        <v>4</v>
      </c>
      <c r="Q365" s="286">
        <v>177</v>
      </c>
      <c r="R365" s="286">
        <v>114</v>
      </c>
      <c r="S365" s="286">
        <v>63</v>
      </c>
      <c r="T365" s="286">
        <v>70</v>
      </c>
      <c r="U365" s="286">
        <v>59</v>
      </c>
      <c r="V365" s="286">
        <v>11</v>
      </c>
      <c r="W365" s="286">
        <v>107</v>
      </c>
      <c r="X365" s="286">
        <v>55</v>
      </c>
      <c r="Y365" s="286">
        <v>52</v>
      </c>
    </row>
    <row r="366" spans="1:25">
      <c r="A366" s="212">
        <v>3193</v>
      </c>
      <c r="B366" s="212" t="s">
        <v>1642</v>
      </c>
      <c r="C366" s="212">
        <v>1</v>
      </c>
      <c r="D366" s="212" t="s">
        <v>1643</v>
      </c>
      <c r="E366" s="212" t="s">
        <v>2351</v>
      </c>
      <c r="F366" s="212">
        <v>4</v>
      </c>
      <c r="G366" s="212" t="s">
        <v>1645</v>
      </c>
      <c r="H366" s="212">
        <v>0</v>
      </c>
      <c r="I366" s="212" t="s">
        <v>2352</v>
      </c>
      <c r="J366" s="212">
        <v>16</v>
      </c>
      <c r="K366" s="286">
        <v>5379</v>
      </c>
      <c r="L366" s="286">
        <v>3779</v>
      </c>
      <c r="M366" s="286">
        <v>1600</v>
      </c>
      <c r="N366" s="286">
        <v>0</v>
      </c>
      <c r="O366" s="286">
        <v>0</v>
      </c>
      <c r="P366" s="286">
        <v>0</v>
      </c>
      <c r="Q366" s="286">
        <v>0</v>
      </c>
      <c r="R366" s="286">
        <v>0</v>
      </c>
      <c r="S366" s="286">
        <v>0</v>
      </c>
      <c r="T366" s="286">
        <v>0</v>
      </c>
      <c r="U366" s="286">
        <v>0</v>
      </c>
      <c r="V366" s="286">
        <v>0</v>
      </c>
      <c r="W366" s="286">
        <v>0</v>
      </c>
      <c r="X366" s="286">
        <v>0</v>
      </c>
      <c r="Y366" s="286">
        <v>0</v>
      </c>
    </row>
    <row r="367" spans="1:25">
      <c r="A367" s="212">
        <v>3202</v>
      </c>
      <c r="B367" s="212" t="s">
        <v>1642</v>
      </c>
      <c r="C367" s="212">
        <v>1</v>
      </c>
      <c r="D367" s="212" t="s">
        <v>1643</v>
      </c>
      <c r="E367" s="212" t="s">
        <v>2353</v>
      </c>
      <c r="F367" s="212">
        <v>5</v>
      </c>
      <c r="G367" s="212" t="s">
        <v>1645</v>
      </c>
      <c r="H367" s="212">
        <v>0</v>
      </c>
      <c r="I367" s="212" t="s">
        <v>2354</v>
      </c>
      <c r="J367" s="212">
        <v>1</v>
      </c>
      <c r="K367" s="286">
        <v>356</v>
      </c>
      <c r="L367" s="286">
        <v>98</v>
      </c>
      <c r="M367" s="286">
        <v>258</v>
      </c>
      <c r="N367" s="286">
        <v>0</v>
      </c>
      <c r="O367" s="286">
        <v>0</v>
      </c>
      <c r="P367" s="286">
        <v>0</v>
      </c>
      <c r="Q367" s="286">
        <v>0</v>
      </c>
      <c r="R367" s="286">
        <v>0</v>
      </c>
      <c r="S367" s="286">
        <v>0</v>
      </c>
      <c r="T367" s="286">
        <v>0</v>
      </c>
      <c r="U367" s="286">
        <v>0</v>
      </c>
      <c r="V367" s="286">
        <v>0</v>
      </c>
      <c r="W367" s="286">
        <v>0</v>
      </c>
      <c r="X367" s="286">
        <v>0</v>
      </c>
      <c r="Y367" s="286">
        <v>0</v>
      </c>
    </row>
    <row r="368" spans="1:25">
      <c r="A368" s="212">
        <v>3211</v>
      </c>
      <c r="B368" s="212" t="s">
        <v>1642</v>
      </c>
      <c r="C368" s="212">
        <v>1</v>
      </c>
      <c r="D368" s="212" t="s">
        <v>1643</v>
      </c>
      <c r="E368" s="212" t="s">
        <v>2355</v>
      </c>
      <c r="F368" s="212">
        <v>5</v>
      </c>
      <c r="G368" s="212" t="s">
        <v>1645</v>
      </c>
      <c r="H368" s="212">
        <v>0</v>
      </c>
      <c r="I368" s="212" t="s">
        <v>2356</v>
      </c>
      <c r="J368" s="212">
        <v>15</v>
      </c>
      <c r="K368" s="286">
        <v>5023</v>
      </c>
      <c r="L368" s="286">
        <v>3681</v>
      </c>
      <c r="M368" s="286">
        <v>1342</v>
      </c>
      <c r="N368" s="286">
        <v>0</v>
      </c>
      <c r="O368" s="286">
        <v>0</v>
      </c>
      <c r="P368" s="286">
        <v>0</v>
      </c>
      <c r="Q368" s="286">
        <v>0</v>
      </c>
      <c r="R368" s="286">
        <v>0</v>
      </c>
      <c r="S368" s="286">
        <v>0</v>
      </c>
      <c r="T368" s="286">
        <v>0</v>
      </c>
      <c r="U368" s="286">
        <v>0</v>
      </c>
      <c r="V368" s="286">
        <v>0</v>
      </c>
      <c r="W368" s="286">
        <v>0</v>
      </c>
      <c r="X368" s="286">
        <v>0</v>
      </c>
      <c r="Y368" s="286">
        <v>0</v>
      </c>
    </row>
    <row r="369" spans="1:25">
      <c r="A369" s="212">
        <v>3220</v>
      </c>
      <c r="B369" s="212" t="s">
        <v>1642</v>
      </c>
      <c r="C369" s="212">
        <v>1</v>
      </c>
      <c r="D369" s="212" t="s">
        <v>1643</v>
      </c>
      <c r="E369" s="212" t="s">
        <v>2357</v>
      </c>
      <c r="F369" s="212">
        <v>2</v>
      </c>
      <c r="G369" s="212" t="s">
        <v>1645</v>
      </c>
      <c r="H369" s="212">
        <v>0</v>
      </c>
      <c r="I369" s="212" t="s">
        <v>2358</v>
      </c>
      <c r="J369" s="212">
        <v>54143</v>
      </c>
      <c r="K369" s="286">
        <v>449366</v>
      </c>
      <c r="L369" s="286">
        <v>210822</v>
      </c>
      <c r="M369" s="286">
        <v>237469</v>
      </c>
      <c r="N369" s="286">
        <v>2781</v>
      </c>
      <c r="O369" s="286">
        <v>2194</v>
      </c>
      <c r="P369" s="286">
        <v>587</v>
      </c>
      <c r="Q369" s="286">
        <v>13759</v>
      </c>
      <c r="R369" s="286">
        <v>5166</v>
      </c>
      <c r="S369" s="286">
        <v>8591</v>
      </c>
      <c r="T369" s="286">
        <v>8083</v>
      </c>
      <c r="U369" s="286">
        <v>2864</v>
      </c>
      <c r="V369" s="286">
        <v>5219</v>
      </c>
      <c r="W369" s="286">
        <v>5612</v>
      </c>
      <c r="X369" s="286">
        <v>2279</v>
      </c>
      <c r="Y369" s="286">
        <v>3331</v>
      </c>
    </row>
    <row r="370" spans="1:25">
      <c r="A370" s="212">
        <v>3229</v>
      </c>
      <c r="B370" s="212" t="s">
        <v>1642</v>
      </c>
      <c r="C370" s="212">
        <v>1</v>
      </c>
      <c r="D370" s="212" t="s">
        <v>1643</v>
      </c>
      <c r="E370" s="212" t="s">
        <v>2359</v>
      </c>
      <c r="F370" s="212">
        <v>3</v>
      </c>
      <c r="G370" s="212" t="s">
        <v>1645</v>
      </c>
      <c r="H370" s="212">
        <v>0</v>
      </c>
      <c r="I370" s="212" t="s">
        <v>2360</v>
      </c>
      <c r="J370" s="212">
        <v>12834</v>
      </c>
      <c r="K370" s="286">
        <v>120498</v>
      </c>
      <c r="L370" s="286">
        <v>77289</v>
      </c>
      <c r="M370" s="286">
        <v>43017</v>
      </c>
      <c r="N370" s="286">
        <v>1894</v>
      </c>
      <c r="O370" s="286">
        <v>1623</v>
      </c>
      <c r="P370" s="286">
        <v>271</v>
      </c>
      <c r="Q370" s="286">
        <v>3966</v>
      </c>
      <c r="R370" s="286">
        <v>2321</v>
      </c>
      <c r="S370" s="286">
        <v>1645</v>
      </c>
      <c r="T370" s="286">
        <v>1452</v>
      </c>
      <c r="U370" s="286">
        <v>1158</v>
      </c>
      <c r="V370" s="286">
        <v>294</v>
      </c>
      <c r="W370" s="286">
        <v>2499</v>
      </c>
      <c r="X370" s="286">
        <v>1161</v>
      </c>
      <c r="Y370" s="286">
        <v>1338</v>
      </c>
    </row>
    <row r="371" spans="1:25">
      <c r="A371" s="212">
        <v>3238</v>
      </c>
      <c r="B371" s="212" t="s">
        <v>1642</v>
      </c>
      <c r="C371" s="212">
        <v>1</v>
      </c>
      <c r="D371" s="212" t="s">
        <v>1643</v>
      </c>
      <c r="E371" s="212" t="s">
        <v>2361</v>
      </c>
      <c r="F371" s="212">
        <v>4</v>
      </c>
      <c r="G371" s="212" t="s">
        <v>1645</v>
      </c>
      <c r="H371" s="212">
        <v>0</v>
      </c>
      <c r="I371" s="212" t="s">
        <v>2362</v>
      </c>
      <c r="J371" s="212">
        <v>45</v>
      </c>
      <c r="K371" s="286">
        <v>531</v>
      </c>
      <c r="L371" s="286">
        <v>392</v>
      </c>
      <c r="M371" s="286">
        <v>139</v>
      </c>
      <c r="N371" s="286">
        <v>4</v>
      </c>
      <c r="O371" s="286">
        <v>4</v>
      </c>
      <c r="P371" s="286">
        <v>0</v>
      </c>
      <c r="Q371" s="286">
        <v>4</v>
      </c>
      <c r="R371" s="286">
        <v>1</v>
      </c>
      <c r="S371" s="286">
        <v>3</v>
      </c>
      <c r="T371" s="286">
        <v>1</v>
      </c>
      <c r="U371" s="286">
        <v>1</v>
      </c>
      <c r="V371" s="286">
        <v>0</v>
      </c>
      <c r="W371" s="286">
        <v>3</v>
      </c>
      <c r="X371" s="286">
        <v>0</v>
      </c>
      <c r="Y371" s="286">
        <v>3</v>
      </c>
    </row>
    <row r="372" spans="1:25">
      <c r="A372" s="212">
        <v>3247</v>
      </c>
      <c r="B372" s="212" t="s">
        <v>1642</v>
      </c>
      <c r="C372" s="212">
        <v>1</v>
      </c>
      <c r="D372" s="212" t="s">
        <v>1643</v>
      </c>
      <c r="E372" s="212" t="s">
        <v>2363</v>
      </c>
      <c r="F372" s="212">
        <v>5</v>
      </c>
      <c r="G372" s="212" t="s">
        <v>1645</v>
      </c>
      <c r="H372" s="212">
        <v>0</v>
      </c>
      <c r="I372" s="212" t="s">
        <v>2364</v>
      </c>
      <c r="J372" s="212">
        <v>4</v>
      </c>
      <c r="K372" s="286">
        <v>33</v>
      </c>
      <c r="L372" s="286">
        <v>21</v>
      </c>
      <c r="M372" s="286">
        <v>12</v>
      </c>
      <c r="N372" s="286">
        <v>0</v>
      </c>
      <c r="O372" s="286">
        <v>0</v>
      </c>
      <c r="P372" s="286">
        <v>0</v>
      </c>
      <c r="Q372" s="286">
        <v>1</v>
      </c>
      <c r="R372" s="286">
        <v>1</v>
      </c>
      <c r="S372" s="286">
        <v>0</v>
      </c>
      <c r="T372" s="286">
        <v>1</v>
      </c>
      <c r="U372" s="286">
        <v>1</v>
      </c>
      <c r="V372" s="286">
        <v>0</v>
      </c>
      <c r="W372" s="286">
        <v>0</v>
      </c>
      <c r="X372" s="286">
        <v>0</v>
      </c>
      <c r="Y372" s="286">
        <v>0</v>
      </c>
    </row>
    <row r="373" spans="1:25">
      <c r="A373" s="212">
        <v>3256</v>
      </c>
      <c r="B373" s="212" t="s">
        <v>1642</v>
      </c>
      <c r="C373" s="212">
        <v>1</v>
      </c>
      <c r="D373" s="212" t="s">
        <v>1643</v>
      </c>
      <c r="E373" s="212" t="s">
        <v>2365</v>
      </c>
      <c r="F373" s="212">
        <v>5</v>
      </c>
      <c r="G373" s="212" t="s">
        <v>1645</v>
      </c>
      <c r="H373" s="212">
        <v>0</v>
      </c>
      <c r="I373" s="212" t="s">
        <v>2366</v>
      </c>
      <c r="J373" s="212">
        <v>41</v>
      </c>
      <c r="K373" s="286">
        <v>498</v>
      </c>
      <c r="L373" s="286">
        <v>371</v>
      </c>
      <c r="M373" s="286">
        <v>127</v>
      </c>
      <c r="N373" s="286">
        <v>4</v>
      </c>
      <c r="O373" s="286">
        <v>4</v>
      </c>
      <c r="P373" s="286">
        <v>0</v>
      </c>
      <c r="Q373" s="286">
        <v>3</v>
      </c>
      <c r="R373" s="286">
        <v>0</v>
      </c>
      <c r="S373" s="286">
        <v>3</v>
      </c>
      <c r="T373" s="286">
        <v>0</v>
      </c>
      <c r="U373" s="286">
        <v>0</v>
      </c>
      <c r="V373" s="286">
        <v>0</v>
      </c>
      <c r="W373" s="286">
        <v>3</v>
      </c>
      <c r="X373" s="286">
        <v>0</v>
      </c>
      <c r="Y373" s="286">
        <v>3</v>
      </c>
    </row>
    <row r="374" spans="1:25">
      <c r="A374" s="212">
        <v>3265</v>
      </c>
      <c r="B374" s="212" t="s">
        <v>1642</v>
      </c>
      <c r="C374" s="212">
        <v>1</v>
      </c>
      <c r="D374" s="212" t="s">
        <v>1643</v>
      </c>
      <c r="E374" s="212" t="s">
        <v>2367</v>
      </c>
      <c r="F374" s="212">
        <v>6</v>
      </c>
      <c r="G374" s="212" t="s">
        <v>1645</v>
      </c>
      <c r="H374" s="212">
        <v>0</v>
      </c>
      <c r="I374" s="212" t="s">
        <v>2368</v>
      </c>
      <c r="J374" s="212">
        <v>0</v>
      </c>
      <c r="K374" s="286">
        <v>0</v>
      </c>
      <c r="L374" s="286">
        <v>0</v>
      </c>
      <c r="M374" s="286">
        <v>0</v>
      </c>
      <c r="N374" s="286">
        <v>0</v>
      </c>
      <c r="O374" s="286">
        <v>0</v>
      </c>
      <c r="P374" s="286">
        <v>0</v>
      </c>
      <c r="Q374" s="286">
        <v>0</v>
      </c>
      <c r="R374" s="286">
        <v>0</v>
      </c>
      <c r="S374" s="286">
        <v>0</v>
      </c>
      <c r="T374" s="286">
        <v>0</v>
      </c>
      <c r="U374" s="286">
        <v>0</v>
      </c>
      <c r="V374" s="286">
        <v>0</v>
      </c>
      <c r="W374" s="286">
        <v>0</v>
      </c>
      <c r="X374" s="286">
        <v>0</v>
      </c>
      <c r="Y374" s="286">
        <v>0</v>
      </c>
    </row>
    <row r="375" spans="1:25">
      <c r="A375" s="212">
        <v>3274</v>
      </c>
      <c r="B375" s="212" t="s">
        <v>1642</v>
      </c>
      <c r="C375" s="212">
        <v>1</v>
      </c>
      <c r="D375" s="212" t="s">
        <v>1643</v>
      </c>
      <c r="E375" s="212" t="s">
        <v>2369</v>
      </c>
      <c r="F375" s="212">
        <v>6</v>
      </c>
      <c r="G375" s="212" t="s">
        <v>1645</v>
      </c>
      <c r="H375" s="212">
        <v>0</v>
      </c>
      <c r="I375" s="212" t="s">
        <v>2370</v>
      </c>
      <c r="J375" s="212">
        <v>41</v>
      </c>
      <c r="K375" s="286">
        <v>498</v>
      </c>
      <c r="L375" s="286">
        <v>371</v>
      </c>
      <c r="M375" s="286">
        <v>127</v>
      </c>
      <c r="N375" s="286">
        <v>4</v>
      </c>
      <c r="O375" s="286">
        <v>4</v>
      </c>
      <c r="P375" s="286">
        <v>0</v>
      </c>
      <c r="Q375" s="286">
        <v>3</v>
      </c>
      <c r="R375" s="286">
        <v>0</v>
      </c>
      <c r="S375" s="286">
        <v>3</v>
      </c>
      <c r="T375" s="286">
        <v>0</v>
      </c>
      <c r="U375" s="286">
        <v>0</v>
      </c>
      <c r="V375" s="286">
        <v>0</v>
      </c>
      <c r="W375" s="286">
        <v>3</v>
      </c>
      <c r="X375" s="286">
        <v>0</v>
      </c>
      <c r="Y375" s="286">
        <v>3</v>
      </c>
    </row>
    <row r="376" spans="1:25">
      <c r="A376" s="212">
        <v>3283</v>
      </c>
      <c r="B376" s="212" t="s">
        <v>1642</v>
      </c>
      <c r="C376" s="212">
        <v>1</v>
      </c>
      <c r="D376" s="212" t="s">
        <v>1643</v>
      </c>
      <c r="E376" s="212" t="s">
        <v>2371</v>
      </c>
      <c r="F376" s="212">
        <v>4</v>
      </c>
      <c r="G376" s="212" t="s">
        <v>1645</v>
      </c>
      <c r="H376" s="212">
        <v>0</v>
      </c>
      <c r="I376" s="212" t="s">
        <v>2372</v>
      </c>
      <c r="J376" s="212">
        <v>881</v>
      </c>
      <c r="K376" s="286">
        <v>8748</v>
      </c>
      <c r="L376" s="286">
        <v>4238</v>
      </c>
      <c r="M376" s="286">
        <v>4495</v>
      </c>
      <c r="N376" s="286">
        <v>30</v>
      </c>
      <c r="O376" s="286">
        <v>25</v>
      </c>
      <c r="P376" s="286">
        <v>5</v>
      </c>
      <c r="Q376" s="286">
        <v>73</v>
      </c>
      <c r="R376" s="286">
        <v>29</v>
      </c>
      <c r="S376" s="286">
        <v>44</v>
      </c>
      <c r="T376" s="286">
        <v>19</v>
      </c>
      <c r="U376" s="286">
        <v>14</v>
      </c>
      <c r="V376" s="286">
        <v>5</v>
      </c>
      <c r="W376" s="286">
        <v>54</v>
      </c>
      <c r="X376" s="286">
        <v>15</v>
      </c>
      <c r="Y376" s="286">
        <v>39</v>
      </c>
    </row>
    <row r="377" spans="1:25">
      <c r="A377" s="212">
        <v>3292</v>
      </c>
      <c r="B377" s="212" t="s">
        <v>1642</v>
      </c>
      <c r="C377" s="212">
        <v>1</v>
      </c>
      <c r="D377" s="212" t="s">
        <v>1643</v>
      </c>
      <c r="E377" s="212" t="s">
        <v>2373</v>
      </c>
      <c r="F377" s="212">
        <v>5</v>
      </c>
      <c r="G377" s="212" t="s">
        <v>1645</v>
      </c>
      <c r="H377" s="212">
        <v>0</v>
      </c>
      <c r="I377" s="212" t="s">
        <v>2374</v>
      </c>
      <c r="J377" s="212">
        <v>14</v>
      </c>
      <c r="K377" s="286">
        <v>333</v>
      </c>
      <c r="L377" s="286">
        <v>94</v>
      </c>
      <c r="M377" s="286">
        <v>239</v>
      </c>
      <c r="N377" s="286">
        <v>0</v>
      </c>
      <c r="O377" s="286">
        <v>0</v>
      </c>
      <c r="P377" s="286">
        <v>0</v>
      </c>
      <c r="Q377" s="286">
        <v>0</v>
      </c>
      <c r="R377" s="286">
        <v>0</v>
      </c>
      <c r="S377" s="286">
        <v>0</v>
      </c>
      <c r="T377" s="286">
        <v>0</v>
      </c>
      <c r="U377" s="286">
        <v>0</v>
      </c>
      <c r="V377" s="286">
        <v>0</v>
      </c>
      <c r="W377" s="286">
        <v>0</v>
      </c>
      <c r="X377" s="286">
        <v>0</v>
      </c>
      <c r="Y377" s="286">
        <v>0</v>
      </c>
    </row>
    <row r="378" spans="1:25">
      <c r="A378" s="212">
        <v>3301</v>
      </c>
      <c r="B378" s="212" t="s">
        <v>1642</v>
      </c>
      <c r="C378" s="212">
        <v>1</v>
      </c>
      <c r="D378" s="212" t="s">
        <v>1643</v>
      </c>
      <c r="E378" s="212" t="s">
        <v>2375</v>
      </c>
      <c r="F378" s="212">
        <v>5</v>
      </c>
      <c r="G378" s="212" t="s">
        <v>1645</v>
      </c>
      <c r="H378" s="212">
        <v>0</v>
      </c>
      <c r="I378" s="212" t="s">
        <v>2376</v>
      </c>
      <c r="J378" s="212">
        <v>137</v>
      </c>
      <c r="K378" s="286">
        <v>904</v>
      </c>
      <c r="L378" s="286">
        <v>509</v>
      </c>
      <c r="M378" s="286">
        <v>395</v>
      </c>
      <c r="N378" s="286">
        <v>4</v>
      </c>
      <c r="O378" s="286">
        <v>3</v>
      </c>
      <c r="P378" s="286">
        <v>1</v>
      </c>
      <c r="Q378" s="286">
        <v>15</v>
      </c>
      <c r="R378" s="286">
        <v>6</v>
      </c>
      <c r="S378" s="286">
        <v>9</v>
      </c>
      <c r="T378" s="286">
        <v>5</v>
      </c>
      <c r="U378" s="286">
        <v>2</v>
      </c>
      <c r="V378" s="286">
        <v>3</v>
      </c>
      <c r="W378" s="286">
        <v>10</v>
      </c>
      <c r="X378" s="286">
        <v>4</v>
      </c>
      <c r="Y378" s="286">
        <v>6</v>
      </c>
    </row>
    <row r="379" spans="1:25">
      <c r="A379" s="212">
        <v>3310</v>
      </c>
      <c r="B379" s="212" t="s">
        <v>1642</v>
      </c>
      <c r="C379" s="212">
        <v>1</v>
      </c>
      <c r="D379" s="212" t="s">
        <v>1643</v>
      </c>
      <c r="E379" s="212" t="s">
        <v>2377</v>
      </c>
      <c r="F379" s="212">
        <v>5</v>
      </c>
      <c r="G379" s="212" t="s">
        <v>1645</v>
      </c>
      <c r="H379" s="212">
        <v>0</v>
      </c>
      <c r="I379" s="212" t="s">
        <v>2378</v>
      </c>
      <c r="J379" s="212">
        <v>301</v>
      </c>
      <c r="K379" s="286">
        <v>3545</v>
      </c>
      <c r="L379" s="286">
        <v>1631</v>
      </c>
      <c r="M379" s="286">
        <v>1911</v>
      </c>
      <c r="N379" s="286">
        <v>13</v>
      </c>
      <c r="O379" s="286">
        <v>9</v>
      </c>
      <c r="P379" s="286">
        <v>4</v>
      </c>
      <c r="Q379" s="286">
        <v>16</v>
      </c>
      <c r="R379" s="286">
        <v>5</v>
      </c>
      <c r="S379" s="286">
        <v>11</v>
      </c>
      <c r="T379" s="286">
        <v>1</v>
      </c>
      <c r="U379" s="286">
        <v>1</v>
      </c>
      <c r="V379" s="286">
        <v>0</v>
      </c>
      <c r="W379" s="286">
        <v>15</v>
      </c>
      <c r="X379" s="286">
        <v>4</v>
      </c>
      <c r="Y379" s="286">
        <v>11</v>
      </c>
    </row>
    <row r="380" spans="1:25">
      <c r="A380" s="212">
        <v>3319</v>
      </c>
      <c r="B380" s="212" t="s">
        <v>1642</v>
      </c>
      <c r="C380" s="212">
        <v>1</v>
      </c>
      <c r="D380" s="212" t="s">
        <v>1643</v>
      </c>
      <c r="E380" s="212" t="s">
        <v>2379</v>
      </c>
      <c r="F380" s="212">
        <v>5</v>
      </c>
      <c r="G380" s="212" t="s">
        <v>1645</v>
      </c>
      <c r="H380" s="212">
        <v>0</v>
      </c>
      <c r="I380" s="212" t="s">
        <v>2380</v>
      </c>
      <c r="J380" s="212">
        <v>429</v>
      </c>
      <c r="K380" s="286">
        <v>3966</v>
      </c>
      <c r="L380" s="286">
        <v>2004</v>
      </c>
      <c r="M380" s="286">
        <v>1950</v>
      </c>
      <c r="N380" s="286">
        <v>13</v>
      </c>
      <c r="O380" s="286">
        <v>13</v>
      </c>
      <c r="P380" s="286">
        <v>0</v>
      </c>
      <c r="Q380" s="286">
        <v>42</v>
      </c>
      <c r="R380" s="286">
        <v>18</v>
      </c>
      <c r="S380" s="286">
        <v>24</v>
      </c>
      <c r="T380" s="286">
        <v>13</v>
      </c>
      <c r="U380" s="286">
        <v>11</v>
      </c>
      <c r="V380" s="286">
        <v>2</v>
      </c>
      <c r="W380" s="286">
        <v>29</v>
      </c>
      <c r="X380" s="286">
        <v>7</v>
      </c>
      <c r="Y380" s="286">
        <v>22</v>
      </c>
    </row>
    <row r="381" spans="1:25">
      <c r="A381" s="212">
        <v>3328</v>
      </c>
      <c r="B381" s="212" t="s">
        <v>1642</v>
      </c>
      <c r="C381" s="212">
        <v>1</v>
      </c>
      <c r="D381" s="212" t="s">
        <v>1643</v>
      </c>
      <c r="E381" s="212" t="s">
        <v>2381</v>
      </c>
      <c r="F381" s="212">
        <v>4</v>
      </c>
      <c r="G381" s="212" t="s">
        <v>1645</v>
      </c>
      <c r="H381" s="212">
        <v>0</v>
      </c>
      <c r="I381" s="212" t="s">
        <v>2382</v>
      </c>
      <c r="J381" s="212">
        <v>2620</v>
      </c>
      <c r="K381" s="286">
        <v>28326</v>
      </c>
      <c r="L381" s="286">
        <v>17586</v>
      </c>
      <c r="M381" s="286">
        <v>10724</v>
      </c>
      <c r="N381" s="286">
        <v>324</v>
      </c>
      <c r="O381" s="286">
        <v>267</v>
      </c>
      <c r="P381" s="286">
        <v>57</v>
      </c>
      <c r="Q381" s="286">
        <v>650</v>
      </c>
      <c r="R381" s="286">
        <v>383</v>
      </c>
      <c r="S381" s="286">
        <v>267</v>
      </c>
      <c r="T381" s="286">
        <v>333</v>
      </c>
      <c r="U381" s="286">
        <v>282</v>
      </c>
      <c r="V381" s="286">
        <v>51</v>
      </c>
      <c r="W381" s="286">
        <v>307</v>
      </c>
      <c r="X381" s="286">
        <v>101</v>
      </c>
      <c r="Y381" s="286">
        <v>206</v>
      </c>
    </row>
    <row r="382" spans="1:25">
      <c r="A382" s="212">
        <v>3337</v>
      </c>
      <c r="B382" s="212" t="s">
        <v>1642</v>
      </c>
      <c r="C382" s="212">
        <v>1</v>
      </c>
      <c r="D382" s="212" t="s">
        <v>1643</v>
      </c>
      <c r="E382" s="212" t="s">
        <v>2383</v>
      </c>
      <c r="F382" s="212">
        <v>5</v>
      </c>
      <c r="G382" s="212" t="s">
        <v>1645</v>
      </c>
      <c r="H382" s="212">
        <v>0</v>
      </c>
      <c r="I382" s="212" t="s">
        <v>2384</v>
      </c>
      <c r="J382" s="212">
        <v>58</v>
      </c>
      <c r="K382" s="286">
        <v>406</v>
      </c>
      <c r="L382" s="286">
        <v>291</v>
      </c>
      <c r="M382" s="286">
        <v>115</v>
      </c>
      <c r="N382" s="286">
        <v>0</v>
      </c>
      <c r="O382" s="286">
        <v>0</v>
      </c>
      <c r="P382" s="286">
        <v>0</v>
      </c>
      <c r="Q382" s="286">
        <v>20</v>
      </c>
      <c r="R382" s="286">
        <v>14</v>
      </c>
      <c r="S382" s="286">
        <v>6</v>
      </c>
      <c r="T382" s="286">
        <v>14</v>
      </c>
      <c r="U382" s="286">
        <v>14</v>
      </c>
      <c r="V382" s="286">
        <v>0</v>
      </c>
      <c r="W382" s="286">
        <v>6</v>
      </c>
      <c r="X382" s="286">
        <v>0</v>
      </c>
      <c r="Y382" s="286">
        <v>6</v>
      </c>
    </row>
    <row r="383" spans="1:25">
      <c r="A383" s="212">
        <v>3346</v>
      </c>
      <c r="B383" s="212" t="s">
        <v>1642</v>
      </c>
      <c r="C383" s="212">
        <v>1</v>
      </c>
      <c r="D383" s="212" t="s">
        <v>1643</v>
      </c>
      <c r="E383" s="212" t="s">
        <v>2385</v>
      </c>
      <c r="F383" s="212">
        <v>5</v>
      </c>
      <c r="G383" s="212" t="s">
        <v>1645</v>
      </c>
      <c r="H383" s="212">
        <v>0</v>
      </c>
      <c r="I383" s="212" t="s">
        <v>2386</v>
      </c>
      <c r="J383" s="212">
        <v>1314</v>
      </c>
      <c r="K383" s="286">
        <v>12294</v>
      </c>
      <c r="L383" s="286">
        <v>8014</v>
      </c>
      <c r="M383" s="286">
        <v>4273</v>
      </c>
      <c r="N383" s="286">
        <v>95</v>
      </c>
      <c r="O383" s="286">
        <v>82</v>
      </c>
      <c r="P383" s="286">
        <v>13</v>
      </c>
      <c r="Q383" s="286">
        <v>208</v>
      </c>
      <c r="R383" s="286">
        <v>133</v>
      </c>
      <c r="S383" s="286">
        <v>75</v>
      </c>
      <c r="T383" s="286">
        <v>124</v>
      </c>
      <c r="U383" s="286">
        <v>98</v>
      </c>
      <c r="V383" s="286">
        <v>26</v>
      </c>
      <c r="W383" s="286">
        <v>84</v>
      </c>
      <c r="X383" s="286">
        <v>35</v>
      </c>
      <c r="Y383" s="286">
        <v>49</v>
      </c>
    </row>
    <row r="384" spans="1:25">
      <c r="A384" s="212">
        <v>3355</v>
      </c>
      <c r="B384" s="212" t="s">
        <v>1642</v>
      </c>
      <c r="C384" s="212">
        <v>1</v>
      </c>
      <c r="D384" s="212" t="s">
        <v>1643</v>
      </c>
      <c r="E384" s="212" t="s">
        <v>2387</v>
      </c>
      <c r="F384" s="212">
        <v>6</v>
      </c>
      <c r="G384" s="212" t="s">
        <v>1645</v>
      </c>
      <c r="H384" s="212">
        <v>0</v>
      </c>
      <c r="I384" s="212" t="s">
        <v>2388</v>
      </c>
      <c r="J384" s="212">
        <v>132</v>
      </c>
      <c r="K384" s="286">
        <v>1183</v>
      </c>
      <c r="L384" s="286">
        <v>774</v>
      </c>
      <c r="M384" s="286">
        <v>409</v>
      </c>
      <c r="N384" s="286">
        <v>44</v>
      </c>
      <c r="O384" s="286">
        <v>43</v>
      </c>
      <c r="P384" s="286">
        <v>1</v>
      </c>
      <c r="Q384" s="286">
        <v>32</v>
      </c>
      <c r="R384" s="286">
        <v>22</v>
      </c>
      <c r="S384" s="286">
        <v>10</v>
      </c>
      <c r="T384" s="286">
        <v>22</v>
      </c>
      <c r="U384" s="286">
        <v>21</v>
      </c>
      <c r="V384" s="286">
        <v>1</v>
      </c>
      <c r="W384" s="286">
        <v>10</v>
      </c>
      <c r="X384" s="286">
        <v>1</v>
      </c>
      <c r="Y384" s="286">
        <v>9</v>
      </c>
    </row>
    <row r="385" spans="1:25">
      <c r="A385" s="212">
        <v>3364</v>
      </c>
      <c r="B385" s="212" t="s">
        <v>1642</v>
      </c>
      <c r="C385" s="212">
        <v>1</v>
      </c>
      <c r="D385" s="212" t="s">
        <v>1643</v>
      </c>
      <c r="E385" s="212" t="s">
        <v>2389</v>
      </c>
      <c r="F385" s="212">
        <v>6</v>
      </c>
      <c r="G385" s="212" t="s">
        <v>1645</v>
      </c>
      <c r="H385" s="212">
        <v>0</v>
      </c>
      <c r="I385" s="212" t="s">
        <v>2390</v>
      </c>
      <c r="J385" s="212">
        <v>438</v>
      </c>
      <c r="K385" s="286">
        <v>4688</v>
      </c>
      <c r="L385" s="286">
        <v>2784</v>
      </c>
      <c r="M385" s="286">
        <v>1900</v>
      </c>
      <c r="N385" s="286">
        <v>4</v>
      </c>
      <c r="O385" s="286">
        <v>2</v>
      </c>
      <c r="P385" s="286">
        <v>2</v>
      </c>
      <c r="Q385" s="286">
        <v>47</v>
      </c>
      <c r="R385" s="286">
        <v>24</v>
      </c>
      <c r="S385" s="286">
        <v>23</v>
      </c>
      <c r="T385" s="286">
        <v>8</v>
      </c>
      <c r="U385" s="286">
        <v>8</v>
      </c>
      <c r="V385" s="286">
        <v>0</v>
      </c>
      <c r="W385" s="286">
        <v>39</v>
      </c>
      <c r="X385" s="286">
        <v>16</v>
      </c>
      <c r="Y385" s="286">
        <v>23</v>
      </c>
    </row>
    <row r="386" spans="1:25">
      <c r="A386" s="212">
        <v>3373</v>
      </c>
      <c r="B386" s="212" t="s">
        <v>1642</v>
      </c>
      <c r="C386" s="212">
        <v>1</v>
      </c>
      <c r="D386" s="212" t="s">
        <v>1643</v>
      </c>
      <c r="E386" s="212" t="s">
        <v>2391</v>
      </c>
      <c r="F386" s="212">
        <v>6</v>
      </c>
      <c r="G386" s="212" t="s">
        <v>1645</v>
      </c>
      <c r="H386" s="212">
        <v>0</v>
      </c>
      <c r="I386" s="212" t="s">
        <v>2392</v>
      </c>
      <c r="J386" s="212">
        <v>269</v>
      </c>
      <c r="K386" s="286">
        <v>2563</v>
      </c>
      <c r="L386" s="286">
        <v>1745</v>
      </c>
      <c r="M386" s="286">
        <v>815</v>
      </c>
      <c r="N386" s="286">
        <v>33</v>
      </c>
      <c r="O386" s="286">
        <v>28</v>
      </c>
      <c r="P386" s="286">
        <v>5</v>
      </c>
      <c r="Q386" s="286">
        <v>99</v>
      </c>
      <c r="R386" s="286">
        <v>65</v>
      </c>
      <c r="S386" s="286">
        <v>34</v>
      </c>
      <c r="T386" s="286">
        <v>86</v>
      </c>
      <c r="U386" s="286">
        <v>61</v>
      </c>
      <c r="V386" s="286">
        <v>25</v>
      </c>
      <c r="W386" s="286">
        <v>13</v>
      </c>
      <c r="X386" s="286">
        <v>4</v>
      </c>
      <c r="Y386" s="286">
        <v>9</v>
      </c>
    </row>
    <row r="387" spans="1:25">
      <c r="A387" s="212">
        <v>3382</v>
      </c>
      <c r="B387" s="212" t="s">
        <v>1642</v>
      </c>
      <c r="C387" s="212">
        <v>1</v>
      </c>
      <c r="D387" s="212" t="s">
        <v>1643</v>
      </c>
      <c r="E387" s="212" t="s">
        <v>2393</v>
      </c>
      <c r="F387" s="212">
        <v>6</v>
      </c>
      <c r="G387" s="212" t="s">
        <v>1645</v>
      </c>
      <c r="H387" s="212">
        <v>0</v>
      </c>
      <c r="I387" s="212" t="s">
        <v>2394</v>
      </c>
      <c r="J387" s="212">
        <v>362</v>
      </c>
      <c r="K387" s="286">
        <v>3063</v>
      </c>
      <c r="L387" s="286">
        <v>2186</v>
      </c>
      <c r="M387" s="286">
        <v>877</v>
      </c>
      <c r="N387" s="286">
        <v>13</v>
      </c>
      <c r="O387" s="286">
        <v>8</v>
      </c>
      <c r="P387" s="286">
        <v>5</v>
      </c>
      <c r="Q387" s="286">
        <v>13</v>
      </c>
      <c r="R387" s="286">
        <v>10</v>
      </c>
      <c r="S387" s="286">
        <v>3</v>
      </c>
      <c r="T387" s="286">
        <v>5</v>
      </c>
      <c r="U387" s="286">
        <v>5</v>
      </c>
      <c r="V387" s="286">
        <v>0</v>
      </c>
      <c r="W387" s="286">
        <v>8</v>
      </c>
      <c r="X387" s="286">
        <v>5</v>
      </c>
      <c r="Y387" s="286">
        <v>3</v>
      </c>
    </row>
    <row r="388" spans="1:25">
      <c r="A388" s="212">
        <v>3391</v>
      </c>
      <c r="B388" s="212" t="s">
        <v>1642</v>
      </c>
      <c r="C388" s="212">
        <v>1</v>
      </c>
      <c r="D388" s="212" t="s">
        <v>1643</v>
      </c>
      <c r="E388" s="212" t="s">
        <v>2395</v>
      </c>
      <c r="F388" s="212">
        <v>6</v>
      </c>
      <c r="G388" s="212" t="s">
        <v>1645</v>
      </c>
      <c r="H388" s="212">
        <v>0</v>
      </c>
      <c r="I388" s="212" t="s">
        <v>2396</v>
      </c>
      <c r="J388" s="212">
        <v>113</v>
      </c>
      <c r="K388" s="286">
        <v>797</v>
      </c>
      <c r="L388" s="286">
        <v>525</v>
      </c>
      <c r="M388" s="286">
        <v>272</v>
      </c>
      <c r="N388" s="286">
        <v>1</v>
      </c>
      <c r="O388" s="286">
        <v>1</v>
      </c>
      <c r="P388" s="286">
        <v>0</v>
      </c>
      <c r="Q388" s="286">
        <v>17</v>
      </c>
      <c r="R388" s="286">
        <v>12</v>
      </c>
      <c r="S388" s="286">
        <v>5</v>
      </c>
      <c r="T388" s="286">
        <v>3</v>
      </c>
      <c r="U388" s="286">
        <v>3</v>
      </c>
      <c r="V388" s="286">
        <v>0</v>
      </c>
      <c r="W388" s="286">
        <v>14</v>
      </c>
      <c r="X388" s="286">
        <v>9</v>
      </c>
      <c r="Y388" s="286">
        <v>5</v>
      </c>
    </row>
    <row r="389" spans="1:25">
      <c r="A389" s="212">
        <v>3400</v>
      </c>
      <c r="B389" s="212" t="s">
        <v>1642</v>
      </c>
      <c r="C389" s="212">
        <v>1</v>
      </c>
      <c r="D389" s="212" t="s">
        <v>1643</v>
      </c>
      <c r="E389" s="212" t="s">
        <v>2397</v>
      </c>
      <c r="F389" s="212">
        <v>5</v>
      </c>
      <c r="G389" s="212" t="s">
        <v>1645</v>
      </c>
      <c r="H389" s="212">
        <v>0</v>
      </c>
      <c r="I389" s="212" t="s">
        <v>2398</v>
      </c>
      <c r="J389" s="212">
        <v>1248</v>
      </c>
      <c r="K389" s="286">
        <v>15626</v>
      </c>
      <c r="L389" s="286">
        <v>9281</v>
      </c>
      <c r="M389" s="286">
        <v>6336</v>
      </c>
      <c r="N389" s="286">
        <v>229</v>
      </c>
      <c r="O389" s="286">
        <v>185</v>
      </c>
      <c r="P389" s="286">
        <v>44</v>
      </c>
      <c r="Q389" s="286">
        <v>422</v>
      </c>
      <c r="R389" s="286">
        <v>236</v>
      </c>
      <c r="S389" s="286">
        <v>186</v>
      </c>
      <c r="T389" s="286">
        <v>195</v>
      </c>
      <c r="U389" s="286">
        <v>170</v>
      </c>
      <c r="V389" s="286">
        <v>25</v>
      </c>
      <c r="W389" s="286">
        <v>217</v>
      </c>
      <c r="X389" s="286">
        <v>66</v>
      </c>
      <c r="Y389" s="286">
        <v>151</v>
      </c>
    </row>
    <row r="390" spans="1:25">
      <c r="A390" s="212">
        <v>3409</v>
      </c>
      <c r="B390" s="212" t="s">
        <v>1642</v>
      </c>
      <c r="C390" s="212">
        <v>1</v>
      </c>
      <c r="D390" s="212" t="s">
        <v>1643</v>
      </c>
      <c r="E390" s="212" t="s">
        <v>2399</v>
      </c>
      <c r="F390" s="212">
        <v>4</v>
      </c>
      <c r="G390" s="212" t="s">
        <v>1645</v>
      </c>
      <c r="H390" s="212">
        <v>0</v>
      </c>
      <c r="I390" s="212" t="s">
        <v>2400</v>
      </c>
      <c r="J390" s="212">
        <v>3205</v>
      </c>
      <c r="K390" s="286">
        <v>21299</v>
      </c>
      <c r="L390" s="286">
        <v>14352</v>
      </c>
      <c r="M390" s="286">
        <v>6893</v>
      </c>
      <c r="N390" s="286">
        <v>157</v>
      </c>
      <c r="O390" s="286">
        <v>106</v>
      </c>
      <c r="P390" s="286">
        <v>51</v>
      </c>
      <c r="Q390" s="286">
        <v>402</v>
      </c>
      <c r="R390" s="286">
        <v>267</v>
      </c>
      <c r="S390" s="286">
        <v>135</v>
      </c>
      <c r="T390" s="286">
        <v>222</v>
      </c>
      <c r="U390" s="286">
        <v>193</v>
      </c>
      <c r="V390" s="286">
        <v>29</v>
      </c>
      <c r="W390" s="286">
        <v>179</v>
      </c>
      <c r="X390" s="286">
        <v>74</v>
      </c>
      <c r="Y390" s="286">
        <v>105</v>
      </c>
    </row>
    <row r="391" spans="1:25">
      <c r="A391" s="212">
        <v>3418</v>
      </c>
      <c r="B391" s="212" t="s">
        <v>1642</v>
      </c>
      <c r="C391" s="212">
        <v>1</v>
      </c>
      <c r="D391" s="212" t="s">
        <v>1643</v>
      </c>
      <c r="E391" s="212" t="s">
        <v>2401</v>
      </c>
      <c r="F391" s="212">
        <v>5</v>
      </c>
      <c r="G391" s="212" t="s">
        <v>1645</v>
      </c>
      <c r="H391" s="212">
        <v>0</v>
      </c>
      <c r="I391" s="212" t="s">
        <v>2402</v>
      </c>
      <c r="J391" s="212">
        <v>61</v>
      </c>
      <c r="K391" s="286">
        <v>327</v>
      </c>
      <c r="L391" s="286">
        <v>228</v>
      </c>
      <c r="M391" s="286">
        <v>99</v>
      </c>
      <c r="N391" s="286">
        <v>0</v>
      </c>
      <c r="O391" s="286">
        <v>0</v>
      </c>
      <c r="P391" s="286">
        <v>0</v>
      </c>
      <c r="Q391" s="286">
        <v>87</v>
      </c>
      <c r="R391" s="286">
        <v>71</v>
      </c>
      <c r="S391" s="286">
        <v>16</v>
      </c>
      <c r="T391" s="286">
        <v>65</v>
      </c>
      <c r="U391" s="286">
        <v>63</v>
      </c>
      <c r="V391" s="286">
        <v>2</v>
      </c>
      <c r="W391" s="286">
        <v>22</v>
      </c>
      <c r="X391" s="286">
        <v>8</v>
      </c>
      <c r="Y391" s="286">
        <v>14</v>
      </c>
    </row>
    <row r="392" spans="1:25">
      <c r="A392" s="212">
        <v>3427</v>
      </c>
      <c r="B392" s="212" t="s">
        <v>1642</v>
      </c>
      <c r="C392" s="212">
        <v>1</v>
      </c>
      <c r="D392" s="212" t="s">
        <v>1643</v>
      </c>
      <c r="E392" s="212" t="s">
        <v>2403</v>
      </c>
      <c r="F392" s="212">
        <v>5</v>
      </c>
      <c r="G392" s="212" t="s">
        <v>1645</v>
      </c>
      <c r="H392" s="212">
        <v>0</v>
      </c>
      <c r="I392" s="212" t="s">
        <v>2404</v>
      </c>
      <c r="J392" s="212">
        <v>1216</v>
      </c>
      <c r="K392" s="286">
        <v>7617</v>
      </c>
      <c r="L392" s="286">
        <v>5547</v>
      </c>
      <c r="M392" s="286">
        <v>2057</v>
      </c>
      <c r="N392" s="286">
        <v>17</v>
      </c>
      <c r="O392" s="286">
        <v>14</v>
      </c>
      <c r="P392" s="286">
        <v>3</v>
      </c>
      <c r="Q392" s="286">
        <v>117</v>
      </c>
      <c r="R392" s="286">
        <v>62</v>
      </c>
      <c r="S392" s="286">
        <v>55</v>
      </c>
      <c r="T392" s="286">
        <v>60</v>
      </c>
      <c r="U392" s="286">
        <v>45</v>
      </c>
      <c r="V392" s="286">
        <v>15</v>
      </c>
      <c r="W392" s="286">
        <v>57</v>
      </c>
      <c r="X392" s="286">
        <v>17</v>
      </c>
      <c r="Y392" s="286">
        <v>40</v>
      </c>
    </row>
    <row r="393" spans="1:25">
      <c r="A393" s="212">
        <v>3436</v>
      </c>
      <c r="B393" s="212" t="s">
        <v>1642</v>
      </c>
      <c r="C393" s="212">
        <v>1</v>
      </c>
      <c r="D393" s="212" t="s">
        <v>1643</v>
      </c>
      <c r="E393" s="212" t="s">
        <v>2405</v>
      </c>
      <c r="F393" s="212">
        <v>5</v>
      </c>
      <c r="G393" s="212" t="s">
        <v>1645</v>
      </c>
      <c r="H393" s="212">
        <v>0</v>
      </c>
      <c r="I393" s="212" t="s">
        <v>2406</v>
      </c>
      <c r="J393" s="212">
        <v>572</v>
      </c>
      <c r="K393" s="286">
        <v>4143</v>
      </c>
      <c r="L393" s="286">
        <v>2869</v>
      </c>
      <c r="M393" s="286">
        <v>1271</v>
      </c>
      <c r="N393" s="286">
        <v>37</v>
      </c>
      <c r="O393" s="286">
        <v>35</v>
      </c>
      <c r="P393" s="286">
        <v>2</v>
      </c>
      <c r="Q393" s="286">
        <v>59</v>
      </c>
      <c r="R393" s="286">
        <v>34</v>
      </c>
      <c r="S393" s="286">
        <v>25</v>
      </c>
      <c r="T393" s="286">
        <v>15</v>
      </c>
      <c r="U393" s="286">
        <v>14</v>
      </c>
      <c r="V393" s="286">
        <v>1</v>
      </c>
      <c r="W393" s="286">
        <v>43</v>
      </c>
      <c r="X393" s="286">
        <v>20</v>
      </c>
      <c r="Y393" s="286">
        <v>23</v>
      </c>
    </row>
    <row r="394" spans="1:25">
      <c r="A394" s="212">
        <v>3445</v>
      </c>
      <c r="B394" s="212" t="s">
        <v>1642</v>
      </c>
      <c r="C394" s="212">
        <v>1</v>
      </c>
      <c r="D394" s="212" t="s">
        <v>1643</v>
      </c>
      <c r="E394" s="212" t="s">
        <v>2407</v>
      </c>
      <c r="F394" s="212">
        <v>5</v>
      </c>
      <c r="G394" s="212" t="s">
        <v>1645</v>
      </c>
      <c r="H394" s="212">
        <v>0</v>
      </c>
      <c r="I394" s="212" t="s">
        <v>2408</v>
      </c>
      <c r="J394" s="212">
        <v>194</v>
      </c>
      <c r="K394" s="286">
        <v>1758</v>
      </c>
      <c r="L394" s="286">
        <v>1262</v>
      </c>
      <c r="M394" s="286">
        <v>496</v>
      </c>
      <c r="N394" s="286">
        <v>87</v>
      </c>
      <c r="O394" s="286">
        <v>42</v>
      </c>
      <c r="P394" s="286">
        <v>45</v>
      </c>
      <c r="Q394" s="286">
        <v>17</v>
      </c>
      <c r="R394" s="286">
        <v>15</v>
      </c>
      <c r="S394" s="286">
        <v>2</v>
      </c>
      <c r="T394" s="286">
        <v>16</v>
      </c>
      <c r="U394" s="286">
        <v>15</v>
      </c>
      <c r="V394" s="286">
        <v>1</v>
      </c>
      <c r="W394" s="286">
        <v>1</v>
      </c>
      <c r="X394" s="286">
        <v>0</v>
      </c>
      <c r="Y394" s="286">
        <v>1</v>
      </c>
    </row>
    <row r="395" spans="1:25">
      <c r="A395" s="212">
        <v>3454</v>
      </c>
      <c r="B395" s="212" t="s">
        <v>1642</v>
      </c>
      <c r="C395" s="212">
        <v>1</v>
      </c>
      <c r="D395" s="212" t="s">
        <v>1643</v>
      </c>
      <c r="E395" s="212" t="s">
        <v>2409</v>
      </c>
      <c r="F395" s="212">
        <v>5</v>
      </c>
      <c r="G395" s="212" t="s">
        <v>1645</v>
      </c>
      <c r="H395" s="212">
        <v>0</v>
      </c>
      <c r="I395" s="212" t="s">
        <v>2410</v>
      </c>
      <c r="J395" s="212">
        <v>297</v>
      </c>
      <c r="K395" s="286">
        <v>2319</v>
      </c>
      <c r="L395" s="286">
        <v>1635</v>
      </c>
      <c r="M395" s="286">
        <v>682</v>
      </c>
      <c r="N395" s="286">
        <v>10</v>
      </c>
      <c r="O395" s="286">
        <v>9</v>
      </c>
      <c r="P395" s="286">
        <v>1</v>
      </c>
      <c r="Q395" s="286">
        <v>42</v>
      </c>
      <c r="R395" s="286">
        <v>28</v>
      </c>
      <c r="S395" s="286">
        <v>14</v>
      </c>
      <c r="T395" s="286">
        <v>21</v>
      </c>
      <c r="U395" s="286">
        <v>19</v>
      </c>
      <c r="V395" s="286">
        <v>2</v>
      </c>
      <c r="W395" s="286">
        <v>21</v>
      </c>
      <c r="X395" s="286">
        <v>9</v>
      </c>
      <c r="Y395" s="286">
        <v>12</v>
      </c>
    </row>
    <row r="396" spans="1:25">
      <c r="A396" s="212">
        <v>3463</v>
      </c>
      <c r="B396" s="212" t="s">
        <v>1642</v>
      </c>
      <c r="C396" s="212">
        <v>1</v>
      </c>
      <c r="D396" s="212" t="s">
        <v>1643</v>
      </c>
      <c r="E396" s="212" t="s">
        <v>2411</v>
      </c>
      <c r="F396" s="212">
        <v>5</v>
      </c>
      <c r="G396" s="212" t="s">
        <v>1645</v>
      </c>
      <c r="H396" s="212">
        <v>0</v>
      </c>
      <c r="I396" s="212" t="s">
        <v>2412</v>
      </c>
      <c r="J396" s="212">
        <v>475</v>
      </c>
      <c r="K396" s="286">
        <v>2014</v>
      </c>
      <c r="L396" s="286">
        <v>367</v>
      </c>
      <c r="M396" s="286">
        <v>1647</v>
      </c>
      <c r="N396" s="286">
        <v>4</v>
      </c>
      <c r="O396" s="286">
        <v>4</v>
      </c>
      <c r="P396" s="286">
        <v>0</v>
      </c>
      <c r="Q396" s="286">
        <v>10</v>
      </c>
      <c r="R396" s="286">
        <v>5</v>
      </c>
      <c r="S396" s="286">
        <v>5</v>
      </c>
      <c r="T396" s="286">
        <v>6</v>
      </c>
      <c r="U396" s="286">
        <v>5</v>
      </c>
      <c r="V396" s="286">
        <v>1</v>
      </c>
      <c r="W396" s="286">
        <v>4</v>
      </c>
      <c r="X396" s="286">
        <v>0</v>
      </c>
      <c r="Y396" s="286">
        <v>4</v>
      </c>
    </row>
    <row r="397" spans="1:25">
      <c r="A397" s="212">
        <v>3472</v>
      </c>
      <c r="B397" s="212" t="s">
        <v>1642</v>
      </c>
      <c r="C397" s="212">
        <v>1</v>
      </c>
      <c r="D397" s="212" t="s">
        <v>1643</v>
      </c>
      <c r="E397" s="212" t="s">
        <v>2413</v>
      </c>
      <c r="F397" s="212">
        <v>5</v>
      </c>
      <c r="G397" s="212" t="s">
        <v>1645</v>
      </c>
      <c r="H397" s="212">
        <v>0</v>
      </c>
      <c r="I397" s="212" t="s">
        <v>2414</v>
      </c>
      <c r="J397" s="212">
        <v>390</v>
      </c>
      <c r="K397" s="286">
        <v>3121</v>
      </c>
      <c r="L397" s="286">
        <v>2444</v>
      </c>
      <c r="M397" s="286">
        <v>641</v>
      </c>
      <c r="N397" s="286">
        <v>2</v>
      </c>
      <c r="O397" s="286">
        <v>2</v>
      </c>
      <c r="P397" s="286">
        <v>0</v>
      </c>
      <c r="Q397" s="286">
        <v>70</v>
      </c>
      <c r="R397" s="286">
        <v>52</v>
      </c>
      <c r="S397" s="286">
        <v>18</v>
      </c>
      <c r="T397" s="286">
        <v>39</v>
      </c>
      <c r="U397" s="286">
        <v>32</v>
      </c>
      <c r="V397" s="286">
        <v>7</v>
      </c>
      <c r="W397" s="286">
        <v>31</v>
      </c>
      <c r="X397" s="286">
        <v>20</v>
      </c>
      <c r="Y397" s="286">
        <v>11</v>
      </c>
    </row>
    <row r="398" spans="1:25">
      <c r="A398" s="212">
        <v>3481</v>
      </c>
      <c r="B398" s="212" t="s">
        <v>1642</v>
      </c>
      <c r="C398" s="212">
        <v>1</v>
      </c>
      <c r="D398" s="212" t="s">
        <v>1643</v>
      </c>
      <c r="E398" s="212" t="s">
        <v>2415</v>
      </c>
      <c r="F398" s="212">
        <v>4</v>
      </c>
      <c r="G398" s="212" t="s">
        <v>1645</v>
      </c>
      <c r="H398" s="212">
        <v>0</v>
      </c>
      <c r="I398" s="212" t="s">
        <v>2416</v>
      </c>
      <c r="J398" s="212">
        <v>3235</v>
      </c>
      <c r="K398" s="286">
        <v>33235</v>
      </c>
      <c r="L398" s="286">
        <v>25194</v>
      </c>
      <c r="M398" s="286">
        <v>7993</v>
      </c>
      <c r="N398" s="286">
        <v>1087</v>
      </c>
      <c r="O398" s="286">
        <v>1005</v>
      </c>
      <c r="P398" s="286">
        <v>82</v>
      </c>
      <c r="Q398" s="286">
        <v>1875</v>
      </c>
      <c r="R398" s="286">
        <v>1293</v>
      </c>
      <c r="S398" s="286">
        <v>582</v>
      </c>
      <c r="T398" s="286">
        <v>517</v>
      </c>
      <c r="U398" s="286">
        <v>453</v>
      </c>
      <c r="V398" s="286">
        <v>64</v>
      </c>
      <c r="W398" s="286">
        <v>1355</v>
      </c>
      <c r="X398" s="286">
        <v>839</v>
      </c>
      <c r="Y398" s="286">
        <v>516</v>
      </c>
    </row>
    <row r="399" spans="1:25">
      <c r="A399" s="212">
        <v>3490</v>
      </c>
      <c r="B399" s="212" t="s">
        <v>1642</v>
      </c>
      <c r="C399" s="212">
        <v>1</v>
      </c>
      <c r="D399" s="212" t="s">
        <v>1643</v>
      </c>
      <c r="E399" s="212" t="s">
        <v>2417</v>
      </c>
      <c r="F399" s="212">
        <v>5</v>
      </c>
      <c r="G399" s="212" t="s">
        <v>1645</v>
      </c>
      <c r="H399" s="212">
        <v>0</v>
      </c>
      <c r="I399" s="212" t="s">
        <v>2418</v>
      </c>
      <c r="J399" s="212">
        <v>52</v>
      </c>
      <c r="K399" s="286">
        <v>770</v>
      </c>
      <c r="L399" s="286">
        <v>610</v>
      </c>
      <c r="M399" s="286">
        <v>160</v>
      </c>
      <c r="N399" s="286">
        <v>15</v>
      </c>
      <c r="O399" s="286">
        <v>13</v>
      </c>
      <c r="P399" s="286">
        <v>2</v>
      </c>
      <c r="Q399" s="286">
        <v>37</v>
      </c>
      <c r="R399" s="286">
        <v>29</v>
      </c>
      <c r="S399" s="286">
        <v>8</v>
      </c>
      <c r="T399" s="286">
        <v>28</v>
      </c>
      <c r="U399" s="286">
        <v>24</v>
      </c>
      <c r="V399" s="286">
        <v>4</v>
      </c>
      <c r="W399" s="286">
        <v>6</v>
      </c>
      <c r="X399" s="286">
        <v>4</v>
      </c>
      <c r="Y399" s="286">
        <v>2</v>
      </c>
    </row>
    <row r="400" spans="1:25">
      <c r="A400" s="212">
        <v>3499</v>
      </c>
      <c r="B400" s="212" t="s">
        <v>1642</v>
      </c>
      <c r="C400" s="212">
        <v>1</v>
      </c>
      <c r="D400" s="212" t="s">
        <v>1643</v>
      </c>
      <c r="E400" s="212" t="s">
        <v>2419</v>
      </c>
      <c r="F400" s="212">
        <v>5</v>
      </c>
      <c r="G400" s="212" t="s">
        <v>1645</v>
      </c>
      <c r="H400" s="212">
        <v>0</v>
      </c>
      <c r="I400" s="212" t="s">
        <v>2420</v>
      </c>
      <c r="J400" s="212">
        <v>1342</v>
      </c>
      <c r="K400" s="286">
        <v>13458</v>
      </c>
      <c r="L400" s="286">
        <v>10333</v>
      </c>
      <c r="M400" s="286">
        <v>3116</v>
      </c>
      <c r="N400" s="286">
        <v>735</v>
      </c>
      <c r="O400" s="286">
        <v>684</v>
      </c>
      <c r="P400" s="286">
        <v>51</v>
      </c>
      <c r="Q400" s="286">
        <v>546</v>
      </c>
      <c r="R400" s="286">
        <v>326</v>
      </c>
      <c r="S400" s="286">
        <v>220</v>
      </c>
      <c r="T400" s="286">
        <v>236</v>
      </c>
      <c r="U400" s="286">
        <v>213</v>
      </c>
      <c r="V400" s="286">
        <v>23</v>
      </c>
      <c r="W400" s="286">
        <v>310</v>
      </c>
      <c r="X400" s="286">
        <v>113</v>
      </c>
      <c r="Y400" s="286">
        <v>197</v>
      </c>
    </row>
    <row r="401" spans="1:25">
      <c r="A401" s="212">
        <v>3508</v>
      </c>
      <c r="B401" s="212" t="s">
        <v>1642</v>
      </c>
      <c r="C401" s="212">
        <v>1</v>
      </c>
      <c r="D401" s="212" t="s">
        <v>1643</v>
      </c>
      <c r="E401" s="212" t="s">
        <v>2421</v>
      </c>
      <c r="F401" s="212">
        <v>5</v>
      </c>
      <c r="G401" s="212" t="s">
        <v>1645</v>
      </c>
      <c r="H401" s="212">
        <v>0</v>
      </c>
      <c r="I401" s="212" t="s">
        <v>2422</v>
      </c>
      <c r="J401" s="212">
        <v>654</v>
      </c>
      <c r="K401" s="286">
        <v>7939</v>
      </c>
      <c r="L401" s="286">
        <v>6280</v>
      </c>
      <c r="M401" s="286">
        <v>1653</v>
      </c>
      <c r="N401" s="286">
        <v>238</v>
      </c>
      <c r="O401" s="286">
        <v>233</v>
      </c>
      <c r="P401" s="286">
        <v>5</v>
      </c>
      <c r="Q401" s="286">
        <v>918</v>
      </c>
      <c r="R401" s="286">
        <v>731</v>
      </c>
      <c r="S401" s="286">
        <v>187</v>
      </c>
      <c r="T401" s="286">
        <v>88</v>
      </c>
      <c r="U401" s="286">
        <v>78</v>
      </c>
      <c r="V401" s="286">
        <v>10</v>
      </c>
      <c r="W401" s="286">
        <v>830</v>
      </c>
      <c r="X401" s="286">
        <v>653</v>
      </c>
      <c r="Y401" s="286">
        <v>177</v>
      </c>
    </row>
    <row r="402" spans="1:25">
      <c r="A402" s="212">
        <v>3517</v>
      </c>
      <c r="B402" s="212" t="s">
        <v>1642</v>
      </c>
      <c r="C402" s="212">
        <v>1</v>
      </c>
      <c r="D402" s="212" t="s">
        <v>1643</v>
      </c>
      <c r="E402" s="212" t="s">
        <v>2423</v>
      </c>
      <c r="F402" s="212">
        <v>5</v>
      </c>
      <c r="G402" s="212" t="s">
        <v>1645</v>
      </c>
      <c r="H402" s="212">
        <v>0</v>
      </c>
      <c r="I402" s="212" t="s">
        <v>2424</v>
      </c>
      <c r="J402" s="212">
        <v>713</v>
      </c>
      <c r="K402" s="286">
        <v>6327</v>
      </c>
      <c r="L402" s="286">
        <v>4504</v>
      </c>
      <c r="M402" s="286">
        <v>1802</v>
      </c>
      <c r="N402" s="286">
        <v>19</v>
      </c>
      <c r="O402" s="286">
        <v>17</v>
      </c>
      <c r="P402" s="286">
        <v>2</v>
      </c>
      <c r="Q402" s="286">
        <v>262</v>
      </c>
      <c r="R402" s="286">
        <v>140</v>
      </c>
      <c r="S402" s="286">
        <v>122</v>
      </c>
      <c r="T402" s="286">
        <v>105</v>
      </c>
      <c r="U402" s="286">
        <v>94</v>
      </c>
      <c r="V402" s="286">
        <v>11</v>
      </c>
      <c r="W402" s="286">
        <v>157</v>
      </c>
      <c r="X402" s="286">
        <v>46</v>
      </c>
      <c r="Y402" s="286">
        <v>111</v>
      </c>
    </row>
    <row r="403" spans="1:25">
      <c r="A403" s="212">
        <v>3526</v>
      </c>
      <c r="B403" s="212" t="s">
        <v>1642</v>
      </c>
      <c r="C403" s="212">
        <v>1</v>
      </c>
      <c r="D403" s="212" t="s">
        <v>1643</v>
      </c>
      <c r="E403" s="212" t="s">
        <v>2425</v>
      </c>
      <c r="F403" s="212">
        <v>5</v>
      </c>
      <c r="G403" s="212" t="s">
        <v>1645</v>
      </c>
      <c r="H403" s="212">
        <v>0</v>
      </c>
      <c r="I403" s="212" t="s">
        <v>2426</v>
      </c>
      <c r="J403" s="212">
        <v>474</v>
      </c>
      <c r="K403" s="286">
        <v>4741</v>
      </c>
      <c r="L403" s="286">
        <v>3467</v>
      </c>
      <c r="M403" s="286">
        <v>1262</v>
      </c>
      <c r="N403" s="286">
        <v>80</v>
      </c>
      <c r="O403" s="286">
        <v>58</v>
      </c>
      <c r="P403" s="286">
        <v>22</v>
      </c>
      <c r="Q403" s="286">
        <v>112</v>
      </c>
      <c r="R403" s="286">
        <v>67</v>
      </c>
      <c r="S403" s="286">
        <v>45</v>
      </c>
      <c r="T403" s="286">
        <v>60</v>
      </c>
      <c r="U403" s="286">
        <v>44</v>
      </c>
      <c r="V403" s="286">
        <v>16</v>
      </c>
      <c r="W403" s="286">
        <v>52</v>
      </c>
      <c r="X403" s="286">
        <v>23</v>
      </c>
      <c r="Y403" s="286">
        <v>29</v>
      </c>
    </row>
    <row r="404" spans="1:25">
      <c r="A404" s="212">
        <v>3535</v>
      </c>
      <c r="B404" s="212" t="s">
        <v>1642</v>
      </c>
      <c r="C404" s="212">
        <v>1</v>
      </c>
      <c r="D404" s="212" t="s">
        <v>1643</v>
      </c>
      <c r="E404" s="212" t="s">
        <v>2427</v>
      </c>
      <c r="F404" s="212">
        <v>4</v>
      </c>
      <c r="G404" s="212" t="s">
        <v>1645</v>
      </c>
      <c r="H404" s="212">
        <v>0</v>
      </c>
      <c r="I404" s="212" t="s">
        <v>2428</v>
      </c>
      <c r="J404" s="212">
        <v>2838</v>
      </c>
      <c r="K404" s="286">
        <v>28214</v>
      </c>
      <c r="L404" s="286">
        <v>15410</v>
      </c>
      <c r="M404" s="286">
        <v>12745</v>
      </c>
      <c r="N404" s="286">
        <v>292</v>
      </c>
      <c r="O404" s="286">
        <v>216</v>
      </c>
      <c r="P404" s="286">
        <v>76</v>
      </c>
      <c r="Q404" s="286">
        <v>962</v>
      </c>
      <c r="R404" s="286">
        <v>348</v>
      </c>
      <c r="S404" s="286">
        <v>614</v>
      </c>
      <c r="T404" s="286">
        <v>360</v>
      </c>
      <c r="U404" s="286">
        <v>215</v>
      </c>
      <c r="V404" s="286">
        <v>145</v>
      </c>
      <c r="W404" s="286">
        <v>601</v>
      </c>
      <c r="X404" s="286">
        <v>132</v>
      </c>
      <c r="Y404" s="286">
        <v>469</v>
      </c>
    </row>
    <row r="405" spans="1:25">
      <c r="A405" s="212">
        <v>3544</v>
      </c>
      <c r="B405" s="212" t="s">
        <v>1642</v>
      </c>
      <c r="C405" s="212">
        <v>1</v>
      </c>
      <c r="D405" s="212" t="s">
        <v>1643</v>
      </c>
      <c r="E405" s="212" t="s">
        <v>2429</v>
      </c>
      <c r="F405" s="212">
        <v>5</v>
      </c>
      <c r="G405" s="212" t="s">
        <v>1645</v>
      </c>
      <c r="H405" s="212">
        <v>0</v>
      </c>
      <c r="I405" s="212" t="s">
        <v>2430</v>
      </c>
      <c r="J405" s="212">
        <v>46</v>
      </c>
      <c r="K405" s="286">
        <v>507</v>
      </c>
      <c r="L405" s="286">
        <v>275</v>
      </c>
      <c r="M405" s="286">
        <v>232</v>
      </c>
      <c r="N405" s="286">
        <v>0</v>
      </c>
      <c r="O405" s="286">
        <v>0</v>
      </c>
      <c r="P405" s="286">
        <v>0</v>
      </c>
      <c r="Q405" s="286">
        <v>10</v>
      </c>
      <c r="R405" s="286">
        <v>7</v>
      </c>
      <c r="S405" s="286">
        <v>3</v>
      </c>
      <c r="T405" s="286">
        <v>2</v>
      </c>
      <c r="U405" s="286">
        <v>2</v>
      </c>
      <c r="V405" s="286">
        <v>0</v>
      </c>
      <c r="W405" s="286">
        <v>8</v>
      </c>
      <c r="X405" s="286">
        <v>5</v>
      </c>
      <c r="Y405" s="286">
        <v>3</v>
      </c>
    </row>
    <row r="406" spans="1:25">
      <c r="A406" s="212">
        <v>3553</v>
      </c>
      <c r="B406" s="212" t="s">
        <v>1642</v>
      </c>
      <c r="C406" s="212">
        <v>1</v>
      </c>
      <c r="D406" s="212" t="s">
        <v>1643</v>
      </c>
      <c r="E406" s="212" t="s">
        <v>2431</v>
      </c>
      <c r="F406" s="212">
        <v>5</v>
      </c>
      <c r="G406" s="212" t="s">
        <v>1645</v>
      </c>
      <c r="H406" s="212">
        <v>0</v>
      </c>
      <c r="I406" s="212" t="s">
        <v>2432</v>
      </c>
      <c r="J406" s="212">
        <v>372</v>
      </c>
      <c r="K406" s="286">
        <v>2823</v>
      </c>
      <c r="L406" s="286">
        <v>1770</v>
      </c>
      <c r="M406" s="286">
        <v>1049</v>
      </c>
      <c r="N406" s="286">
        <v>86</v>
      </c>
      <c r="O406" s="286">
        <v>65</v>
      </c>
      <c r="P406" s="286">
        <v>21</v>
      </c>
      <c r="Q406" s="286">
        <v>46</v>
      </c>
      <c r="R406" s="286">
        <v>20</v>
      </c>
      <c r="S406" s="286">
        <v>26</v>
      </c>
      <c r="T406" s="286">
        <v>18</v>
      </c>
      <c r="U406" s="286">
        <v>17</v>
      </c>
      <c r="V406" s="286">
        <v>1</v>
      </c>
      <c r="W406" s="286">
        <v>28</v>
      </c>
      <c r="X406" s="286">
        <v>3</v>
      </c>
      <c r="Y406" s="286">
        <v>25</v>
      </c>
    </row>
    <row r="407" spans="1:25">
      <c r="A407" s="212">
        <v>3562</v>
      </c>
      <c r="B407" s="212" t="s">
        <v>1642</v>
      </c>
      <c r="C407" s="212">
        <v>1</v>
      </c>
      <c r="D407" s="212" t="s">
        <v>1643</v>
      </c>
      <c r="E407" s="212" t="s">
        <v>2433</v>
      </c>
      <c r="F407" s="212">
        <v>5</v>
      </c>
      <c r="G407" s="212" t="s">
        <v>1645</v>
      </c>
      <c r="H407" s="212">
        <v>0</v>
      </c>
      <c r="I407" s="212" t="s">
        <v>2434</v>
      </c>
      <c r="J407" s="212">
        <v>609</v>
      </c>
      <c r="K407" s="286">
        <v>10746</v>
      </c>
      <c r="L407" s="286">
        <v>5281</v>
      </c>
      <c r="M407" s="286">
        <v>5439</v>
      </c>
      <c r="N407" s="286">
        <v>97</v>
      </c>
      <c r="O407" s="286">
        <v>67</v>
      </c>
      <c r="P407" s="286">
        <v>30</v>
      </c>
      <c r="Q407" s="286">
        <v>612</v>
      </c>
      <c r="R407" s="286">
        <v>166</v>
      </c>
      <c r="S407" s="286">
        <v>446</v>
      </c>
      <c r="T407" s="286">
        <v>183</v>
      </c>
      <c r="U407" s="286">
        <v>76</v>
      </c>
      <c r="V407" s="286">
        <v>107</v>
      </c>
      <c r="W407" s="286">
        <v>429</v>
      </c>
      <c r="X407" s="286">
        <v>90</v>
      </c>
      <c r="Y407" s="286">
        <v>339</v>
      </c>
    </row>
    <row r="408" spans="1:25">
      <c r="A408" s="212">
        <v>3571</v>
      </c>
      <c r="B408" s="212" t="s">
        <v>1642</v>
      </c>
      <c r="C408" s="212">
        <v>1</v>
      </c>
      <c r="D408" s="212" t="s">
        <v>1643</v>
      </c>
      <c r="E408" s="212" t="s">
        <v>2435</v>
      </c>
      <c r="F408" s="212">
        <v>5</v>
      </c>
      <c r="G408" s="212" t="s">
        <v>1645</v>
      </c>
      <c r="H408" s="212">
        <v>0</v>
      </c>
      <c r="I408" s="212" t="s">
        <v>2436</v>
      </c>
      <c r="J408" s="212">
        <v>176</v>
      </c>
      <c r="K408" s="286">
        <v>1415</v>
      </c>
      <c r="L408" s="286">
        <v>860</v>
      </c>
      <c r="M408" s="286">
        <v>535</v>
      </c>
      <c r="N408" s="286">
        <v>9</v>
      </c>
      <c r="O408" s="286">
        <v>6</v>
      </c>
      <c r="P408" s="286">
        <v>3</v>
      </c>
      <c r="Q408" s="286">
        <v>30</v>
      </c>
      <c r="R408" s="286">
        <v>22</v>
      </c>
      <c r="S408" s="286">
        <v>8</v>
      </c>
      <c r="T408" s="286">
        <v>20</v>
      </c>
      <c r="U408" s="286">
        <v>16</v>
      </c>
      <c r="V408" s="286">
        <v>4</v>
      </c>
      <c r="W408" s="286">
        <v>10</v>
      </c>
      <c r="X408" s="286">
        <v>6</v>
      </c>
      <c r="Y408" s="286">
        <v>4</v>
      </c>
    </row>
    <row r="409" spans="1:25">
      <c r="A409" s="212">
        <v>3580</v>
      </c>
      <c r="B409" s="212" t="s">
        <v>1642</v>
      </c>
      <c r="C409" s="212">
        <v>1</v>
      </c>
      <c r="D409" s="212" t="s">
        <v>1643</v>
      </c>
      <c r="E409" s="212" t="s">
        <v>2437</v>
      </c>
      <c r="F409" s="212">
        <v>5</v>
      </c>
      <c r="G409" s="212" t="s">
        <v>1645</v>
      </c>
      <c r="H409" s="212">
        <v>0</v>
      </c>
      <c r="I409" s="212" t="s">
        <v>2438</v>
      </c>
      <c r="J409" s="212">
        <v>1635</v>
      </c>
      <c r="K409" s="286">
        <v>12723</v>
      </c>
      <c r="L409" s="286">
        <v>7224</v>
      </c>
      <c r="M409" s="286">
        <v>5490</v>
      </c>
      <c r="N409" s="286">
        <v>100</v>
      </c>
      <c r="O409" s="286">
        <v>78</v>
      </c>
      <c r="P409" s="286">
        <v>22</v>
      </c>
      <c r="Q409" s="286">
        <v>264</v>
      </c>
      <c r="R409" s="286">
        <v>133</v>
      </c>
      <c r="S409" s="286">
        <v>131</v>
      </c>
      <c r="T409" s="286">
        <v>137</v>
      </c>
      <c r="U409" s="286">
        <v>104</v>
      </c>
      <c r="V409" s="286">
        <v>33</v>
      </c>
      <c r="W409" s="286">
        <v>126</v>
      </c>
      <c r="X409" s="286">
        <v>28</v>
      </c>
      <c r="Y409" s="286">
        <v>98</v>
      </c>
    </row>
    <row r="410" spans="1:25">
      <c r="A410" s="212">
        <v>3589</v>
      </c>
      <c r="B410" s="212" t="s">
        <v>1642</v>
      </c>
      <c r="C410" s="212">
        <v>1</v>
      </c>
      <c r="D410" s="212" t="s">
        <v>1643</v>
      </c>
      <c r="E410" s="212" t="s">
        <v>2439</v>
      </c>
      <c r="F410" s="212">
        <v>6</v>
      </c>
      <c r="G410" s="212" t="s">
        <v>1645</v>
      </c>
      <c r="H410" s="212">
        <v>0</v>
      </c>
      <c r="I410" s="212" t="s">
        <v>2440</v>
      </c>
      <c r="J410" s="212">
        <v>86</v>
      </c>
      <c r="K410" s="286">
        <v>510</v>
      </c>
      <c r="L410" s="286">
        <v>316</v>
      </c>
      <c r="M410" s="286">
        <v>194</v>
      </c>
      <c r="N410" s="286">
        <v>0</v>
      </c>
      <c r="O410" s="286">
        <v>0</v>
      </c>
      <c r="P410" s="286">
        <v>0</v>
      </c>
      <c r="Q410" s="286">
        <v>11</v>
      </c>
      <c r="R410" s="286">
        <v>10</v>
      </c>
      <c r="S410" s="286">
        <v>1</v>
      </c>
      <c r="T410" s="286">
        <v>11</v>
      </c>
      <c r="U410" s="286">
        <v>10</v>
      </c>
      <c r="V410" s="286">
        <v>1</v>
      </c>
      <c r="W410" s="286">
        <v>0</v>
      </c>
      <c r="X410" s="286">
        <v>0</v>
      </c>
      <c r="Y410" s="286">
        <v>0</v>
      </c>
    </row>
    <row r="411" spans="1:25">
      <c r="A411" s="212">
        <v>3598</v>
      </c>
      <c r="B411" s="212" t="s">
        <v>1642</v>
      </c>
      <c r="C411" s="212">
        <v>1</v>
      </c>
      <c r="D411" s="212" t="s">
        <v>1643</v>
      </c>
      <c r="E411" s="212" t="s">
        <v>2441</v>
      </c>
      <c r="F411" s="212">
        <v>6</v>
      </c>
      <c r="G411" s="212" t="s">
        <v>1645</v>
      </c>
      <c r="H411" s="212">
        <v>0</v>
      </c>
      <c r="I411" s="212" t="s">
        <v>2442</v>
      </c>
      <c r="J411" s="212">
        <v>1549</v>
      </c>
      <c r="K411" s="286">
        <v>12213</v>
      </c>
      <c r="L411" s="286">
        <v>6908</v>
      </c>
      <c r="M411" s="286">
        <v>5296</v>
      </c>
      <c r="N411" s="286">
        <v>100</v>
      </c>
      <c r="O411" s="286">
        <v>78</v>
      </c>
      <c r="P411" s="286">
        <v>22</v>
      </c>
      <c r="Q411" s="286">
        <v>253</v>
      </c>
      <c r="R411" s="286">
        <v>123</v>
      </c>
      <c r="S411" s="286">
        <v>130</v>
      </c>
      <c r="T411" s="286">
        <v>126</v>
      </c>
      <c r="U411" s="286">
        <v>94</v>
      </c>
      <c r="V411" s="286">
        <v>32</v>
      </c>
      <c r="W411" s="286">
        <v>126</v>
      </c>
      <c r="X411" s="286">
        <v>28</v>
      </c>
      <c r="Y411" s="286">
        <v>98</v>
      </c>
    </row>
    <row r="412" spans="1:25">
      <c r="A412" s="212">
        <v>3607</v>
      </c>
      <c r="B412" s="212" t="s">
        <v>1642</v>
      </c>
      <c r="C412" s="212">
        <v>1</v>
      </c>
      <c r="D412" s="212" t="s">
        <v>1643</v>
      </c>
      <c r="E412" s="212" t="s">
        <v>2443</v>
      </c>
      <c r="F412" s="212">
        <v>3</v>
      </c>
      <c r="G412" s="212" t="s">
        <v>1645</v>
      </c>
      <c r="H412" s="212">
        <v>0</v>
      </c>
      <c r="I412" s="212" t="s">
        <v>2444</v>
      </c>
      <c r="J412" s="212">
        <v>41309</v>
      </c>
      <c r="K412" s="286">
        <v>328868</v>
      </c>
      <c r="L412" s="286">
        <v>133533</v>
      </c>
      <c r="M412" s="286">
        <v>194452</v>
      </c>
      <c r="N412" s="286">
        <v>887</v>
      </c>
      <c r="O412" s="286">
        <v>571</v>
      </c>
      <c r="P412" s="286">
        <v>316</v>
      </c>
      <c r="Q412" s="286">
        <v>9793</v>
      </c>
      <c r="R412" s="286">
        <v>2845</v>
      </c>
      <c r="S412" s="286">
        <v>6946</v>
      </c>
      <c r="T412" s="286">
        <v>6631</v>
      </c>
      <c r="U412" s="286">
        <v>1706</v>
      </c>
      <c r="V412" s="286">
        <v>4925</v>
      </c>
      <c r="W412" s="286">
        <v>3113</v>
      </c>
      <c r="X412" s="286">
        <v>1118</v>
      </c>
      <c r="Y412" s="286">
        <v>1993</v>
      </c>
    </row>
    <row r="413" spans="1:25">
      <c r="A413" s="212">
        <v>3616</v>
      </c>
      <c r="B413" s="212" t="s">
        <v>1642</v>
      </c>
      <c r="C413" s="212">
        <v>1</v>
      </c>
      <c r="D413" s="212" t="s">
        <v>1643</v>
      </c>
      <c r="E413" s="212" t="s">
        <v>2445</v>
      </c>
      <c r="F413" s="212">
        <v>4</v>
      </c>
      <c r="G413" s="212" t="s">
        <v>1645</v>
      </c>
      <c r="H413" s="212">
        <v>0</v>
      </c>
      <c r="I413" s="212" t="s">
        <v>2446</v>
      </c>
      <c r="J413" s="212">
        <v>149</v>
      </c>
      <c r="K413" s="286">
        <v>16728</v>
      </c>
      <c r="L413" s="286">
        <v>4578</v>
      </c>
      <c r="M413" s="286">
        <v>12150</v>
      </c>
      <c r="N413" s="286">
        <v>4</v>
      </c>
      <c r="O413" s="286">
        <v>4</v>
      </c>
      <c r="P413" s="286">
        <v>0</v>
      </c>
      <c r="Q413" s="286">
        <v>4690</v>
      </c>
      <c r="R413" s="286">
        <v>934</v>
      </c>
      <c r="S413" s="286">
        <v>3756</v>
      </c>
      <c r="T413" s="286">
        <v>4604</v>
      </c>
      <c r="U413" s="286">
        <v>906</v>
      </c>
      <c r="V413" s="286">
        <v>3698</v>
      </c>
      <c r="W413" s="286">
        <v>86</v>
      </c>
      <c r="X413" s="286">
        <v>28</v>
      </c>
      <c r="Y413" s="286">
        <v>58</v>
      </c>
    </row>
    <row r="414" spans="1:25">
      <c r="A414" s="212">
        <v>3625</v>
      </c>
      <c r="B414" s="212" t="s">
        <v>1642</v>
      </c>
      <c r="C414" s="212">
        <v>1</v>
      </c>
      <c r="D414" s="212" t="s">
        <v>1643</v>
      </c>
      <c r="E414" s="212" t="s">
        <v>2447</v>
      </c>
      <c r="F414" s="212">
        <v>5</v>
      </c>
      <c r="G414" s="212" t="s">
        <v>1645</v>
      </c>
      <c r="H414" s="212">
        <v>0</v>
      </c>
      <c r="I414" s="212" t="s">
        <v>2448</v>
      </c>
      <c r="J414" s="212">
        <v>2</v>
      </c>
      <c r="K414" s="286">
        <v>5</v>
      </c>
      <c r="L414" s="286">
        <v>5</v>
      </c>
      <c r="M414" s="286">
        <v>0</v>
      </c>
      <c r="N414" s="286">
        <v>0</v>
      </c>
      <c r="O414" s="286">
        <v>0</v>
      </c>
      <c r="P414" s="286">
        <v>0</v>
      </c>
      <c r="Q414" s="286">
        <v>0</v>
      </c>
      <c r="R414" s="286">
        <v>0</v>
      </c>
      <c r="S414" s="286">
        <v>0</v>
      </c>
      <c r="T414" s="286">
        <v>0</v>
      </c>
      <c r="U414" s="286">
        <v>0</v>
      </c>
      <c r="V414" s="286">
        <v>0</v>
      </c>
      <c r="W414" s="286">
        <v>0</v>
      </c>
      <c r="X414" s="286">
        <v>0</v>
      </c>
      <c r="Y414" s="286">
        <v>0</v>
      </c>
    </row>
    <row r="415" spans="1:25">
      <c r="A415" s="212">
        <v>3634</v>
      </c>
      <c r="B415" s="212" t="s">
        <v>1642</v>
      </c>
      <c r="C415" s="212">
        <v>1</v>
      </c>
      <c r="D415" s="212" t="s">
        <v>1643</v>
      </c>
      <c r="E415" s="212" t="s">
        <v>2449</v>
      </c>
      <c r="F415" s="212">
        <v>5</v>
      </c>
      <c r="G415" s="212" t="s">
        <v>1645</v>
      </c>
      <c r="H415" s="212">
        <v>0</v>
      </c>
      <c r="I415" s="212" t="s">
        <v>2450</v>
      </c>
      <c r="J415" s="212">
        <v>79</v>
      </c>
      <c r="K415" s="286">
        <v>16239</v>
      </c>
      <c r="L415" s="286">
        <v>4431</v>
      </c>
      <c r="M415" s="286">
        <v>11808</v>
      </c>
      <c r="N415" s="286">
        <v>4</v>
      </c>
      <c r="O415" s="286">
        <v>4</v>
      </c>
      <c r="P415" s="286">
        <v>0</v>
      </c>
      <c r="Q415" s="286">
        <v>4613</v>
      </c>
      <c r="R415" s="286">
        <v>932</v>
      </c>
      <c r="S415" s="286">
        <v>3681</v>
      </c>
      <c r="T415" s="286">
        <v>4531</v>
      </c>
      <c r="U415" s="286">
        <v>904</v>
      </c>
      <c r="V415" s="286">
        <v>3627</v>
      </c>
      <c r="W415" s="286">
        <v>82</v>
      </c>
      <c r="X415" s="286">
        <v>28</v>
      </c>
      <c r="Y415" s="286">
        <v>54</v>
      </c>
    </row>
    <row r="416" spans="1:25">
      <c r="A416" s="212">
        <v>3643</v>
      </c>
      <c r="B416" s="212" t="s">
        <v>1642</v>
      </c>
      <c r="C416" s="212">
        <v>1</v>
      </c>
      <c r="D416" s="212" t="s">
        <v>1643</v>
      </c>
      <c r="E416" s="212" t="s">
        <v>2451</v>
      </c>
      <c r="F416" s="212">
        <v>5</v>
      </c>
      <c r="G416" s="212" t="s">
        <v>1645</v>
      </c>
      <c r="H416" s="212">
        <v>0</v>
      </c>
      <c r="I416" s="212" t="s">
        <v>2452</v>
      </c>
      <c r="J416" s="212">
        <v>68</v>
      </c>
      <c r="K416" s="286">
        <v>484</v>
      </c>
      <c r="L416" s="286">
        <v>142</v>
      </c>
      <c r="M416" s="286">
        <v>342</v>
      </c>
      <c r="N416" s="286">
        <v>0</v>
      </c>
      <c r="O416" s="286">
        <v>0</v>
      </c>
      <c r="P416" s="286">
        <v>0</v>
      </c>
      <c r="Q416" s="286">
        <v>77</v>
      </c>
      <c r="R416" s="286">
        <v>2</v>
      </c>
      <c r="S416" s="286">
        <v>75</v>
      </c>
      <c r="T416" s="286">
        <v>73</v>
      </c>
      <c r="U416" s="286">
        <v>2</v>
      </c>
      <c r="V416" s="286">
        <v>71</v>
      </c>
      <c r="W416" s="286">
        <v>4</v>
      </c>
      <c r="X416" s="286">
        <v>0</v>
      </c>
      <c r="Y416" s="286">
        <v>4</v>
      </c>
    </row>
    <row r="417" spans="1:25">
      <c r="A417" s="212">
        <v>3652</v>
      </c>
      <c r="B417" s="212" t="s">
        <v>1642</v>
      </c>
      <c r="C417" s="212">
        <v>1</v>
      </c>
      <c r="D417" s="212" t="s">
        <v>1643</v>
      </c>
      <c r="E417" s="212" t="s">
        <v>2453</v>
      </c>
      <c r="F417" s="212">
        <v>4</v>
      </c>
      <c r="G417" s="212" t="s">
        <v>1645</v>
      </c>
      <c r="H417" s="212">
        <v>0</v>
      </c>
      <c r="I417" s="212" t="s">
        <v>2454</v>
      </c>
      <c r="J417" s="212">
        <v>6956</v>
      </c>
      <c r="K417" s="286">
        <v>33832</v>
      </c>
      <c r="L417" s="286">
        <v>8485</v>
      </c>
      <c r="M417" s="286">
        <v>25205</v>
      </c>
      <c r="N417" s="286">
        <v>38</v>
      </c>
      <c r="O417" s="286">
        <v>14</v>
      </c>
      <c r="P417" s="286">
        <v>24</v>
      </c>
      <c r="Q417" s="286">
        <v>1093</v>
      </c>
      <c r="R417" s="286">
        <v>154</v>
      </c>
      <c r="S417" s="286">
        <v>939</v>
      </c>
      <c r="T417" s="286">
        <v>617</v>
      </c>
      <c r="U417" s="286">
        <v>96</v>
      </c>
      <c r="V417" s="286">
        <v>521</v>
      </c>
      <c r="W417" s="286">
        <v>476</v>
      </c>
      <c r="X417" s="286">
        <v>58</v>
      </c>
      <c r="Y417" s="286">
        <v>418</v>
      </c>
    </row>
    <row r="418" spans="1:25">
      <c r="A418" s="212">
        <v>3661</v>
      </c>
      <c r="B418" s="212" t="s">
        <v>1642</v>
      </c>
      <c r="C418" s="212">
        <v>1</v>
      </c>
      <c r="D418" s="212" t="s">
        <v>1643</v>
      </c>
      <c r="E418" s="212" t="s">
        <v>2455</v>
      </c>
      <c r="F418" s="212">
        <v>5</v>
      </c>
      <c r="G418" s="212" t="s">
        <v>1645</v>
      </c>
      <c r="H418" s="212">
        <v>0</v>
      </c>
      <c r="I418" s="212" t="s">
        <v>2456</v>
      </c>
      <c r="J418" s="212">
        <v>55</v>
      </c>
      <c r="K418" s="286">
        <v>1074</v>
      </c>
      <c r="L418" s="286">
        <v>560</v>
      </c>
      <c r="M418" s="286">
        <v>514</v>
      </c>
      <c r="N418" s="286">
        <v>0</v>
      </c>
      <c r="O418" s="286">
        <v>0</v>
      </c>
      <c r="P418" s="286">
        <v>0</v>
      </c>
      <c r="Q418" s="286">
        <v>2</v>
      </c>
      <c r="R418" s="286">
        <v>2</v>
      </c>
      <c r="S418" s="286">
        <v>0</v>
      </c>
      <c r="T418" s="286">
        <v>2</v>
      </c>
      <c r="U418" s="286">
        <v>2</v>
      </c>
      <c r="V418" s="286">
        <v>0</v>
      </c>
      <c r="W418" s="286">
        <v>0</v>
      </c>
      <c r="X418" s="286">
        <v>0</v>
      </c>
      <c r="Y418" s="286">
        <v>0</v>
      </c>
    </row>
    <row r="419" spans="1:25">
      <c r="A419" s="212">
        <v>3670</v>
      </c>
      <c r="B419" s="212" t="s">
        <v>1642</v>
      </c>
      <c r="C419" s="212">
        <v>1</v>
      </c>
      <c r="D419" s="212" t="s">
        <v>1643</v>
      </c>
      <c r="E419" s="212" t="s">
        <v>2457</v>
      </c>
      <c r="F419" s="212">
        <v>5</v>
      </c>
      <c r="G419" s="212" t="s">
        <v>1645</v>
      </c>
      <c r="H419" s="212">
        <v>0</v>
      </c>
      <c r="I419" s="212" t="s">
        <v>2458</v>
      </c>
      <c r="J419" s="212">
        <v>667</v>
      </c>
      <c r="K419" s="286">
        <v>2405</v>
      </c>
      <c r="L419" s="286">
        <v>888</v>
      </c>
      <c r="M419" s="286">
        <v>1517</v>
      </c>
      <c r="N419" s="286">
        <v>5</v>
      </c>
      <c r="O419" s="286">
        <v>2</v>
      </c>
      <c r="P419" s="286">
        <v>3</v>
      </c>
      <c r="Q419" s="286">
        <v>13</v>
      </c>
      <c r="R419" s="286">
        <v>1</v>
      </c>
      <c r="S419" s="286">
        <v>12</v>
      </c>
      <c r="T419" s="286">
        <v>2</v>
      </c>
      <c r="U419" s="286">
        <v>1</v>
      </c>
      <c r="V419" s="286">
        <v>1</v>
      </c>
      <c r="W419" s="286">
        <v>11</v>
      </c>
      <c r="X419" s="286">
        <v>0</v>
      </c>
      <c r="Y419" s="286">
        <v>11</v>
      </c>
    </row>
    <row r="420" spans="1:25">
      <c r="A420" s="212">
        <v>3679</v>
      </c>
      <c r="B420" s="212" t="s">
        <v>1642</v>
      </c>
      <c r="C420" s="212">
        <v>1</v>
      </c>
      <c r="D420" s="212" t="s">
        <v>1643</v>
      </c>
      <c r="E420" s="212" t="s">
        <v>2459</v>
      </c>
      <c r="F420" s="212">
        <v>5</v>
      </c>
      <c r="G420" s="212" t="s">
        <v>1645</v>
      </c>
      <c r="H420" s="212">
        <v>0</v>
      </c>
      <c r="I420" s="212" t="s">
        <v>2460</v>
      </c>
      <c r="J420" s="212">
        <v>757</v>
      </c>
      <c r="K420" s="286">
        <v>3596</v>
      </c>
      <c r="L420" s="286">
        <v>1602</v>
      </c>
      <c r="M420" s="286">
        <v>1983</v>
      </c>
      <c r="N420" s="286">
        <v>2</v>
      </c>
      <c r="O420" s="286">
        <v>2</v>
      </c>
      <c r="P420" s="286">
        <v>0</v>
      </c>
      <c r="Q420" s="286">
        <v>96</v>
      </c>
      <c r="R420" s="286">
        <v>38</v>
      </c>
      <c r="S420" s="286">
        <v>58</v>
      </c>
      <c r="T420" s="286">
        <v>16</v>
      </c>
      <c r="U420" s="286">
        <v>12</v>
      </c>
      <c r="V420" s="286">
        <v>4</v>
      </c>
      <c r="W420" s="286">
        <v>80</v>
      </c>
      <c r="X420" s="286">
        <v>26</v>
      </c>
      <c r="Y420" s="286">
        <v>54</v>
      </c>
    </row>
    <row r="421" spans="1:25">
      <c r="A421" s="212">
        <v>3688</v>
      </c>
      <c r="B421" s="212" t="s">
        <v>1642</v>
      </c>
      <c r="C421" s="212">
        <v>1</v>
      </c>
      <c r="D421" s="212" t="s">
        <v>1643</v>
      </c>
      <c r="E421" s="212" t="s">
        <v>2461</v>
      </c>
      <c r="F421" s="212">
        <v>5</v>
      </c>
      <c r="G421" s="212" t="s">
        <v>1645</v>
      </c>
      <c r="H421" s="212">
        <v>0</v>
      </c>
      <c r="I421" s="212" t="s">
        <v>2462</v>
      </c>
      <c r="J421" s="212">
        <v>3284</v>
      </c>
      <c r="K421" s="286">
        <v>16203</v>
      </c>
      <c r="L421" s="286">
        <v>3198</v>
      </c>
      <c r="M421" s="286">
        <v>12917</v>
      </c>
      <c r="N421" s="286">
        <v>16</v>
      </c>
      <c r="O421" s="286">
        <v>3</v>
      </c>
      <c r="P421" s="286">
        <v>13</v>
      </c>
      <c r="Q421" s="286">
        <v>821</v>
      </c>
      <c r="R421" s="286">
        <v>80</v>
      </c>
      <c r="S421" s="286">
        <v>741</v>
      </c>
      <c r="T421" s="286">
        <v>552</v>
      </c>
      <c r="U421" s="286">
        <v>72</v>
      </c>
      <c r="V421" s="286">
        <v>480</v>
      </c>
      <c r="W421" s="286">
        <v>269</v>
      </c>
      <c r="X421" s="286">
        <v>8</v>
      </c>
      <c r="Y421" s="286">
        <v>261</v>
      </c>
    </row>
    <row r="422" spans="1:25">
      <c r="A422" s="212">
        <v>3697</v>
      </c>
      <c r="B422" s="212" t="s">
        <v>1642</v>
      </c>
      <c r="C422" s="212">
        <v>1</v>
      </c>
      <c r="D422" s="212" t="s">
        <v>1643</v>
      </c>
      <c r="E422" s="212" t="s">
        <v>2463</v>
      </c>
      <c r="F422" s="212">
        <v>5</v>
      </c>
      <c r="G422" s="212" t="s">
        <v>1645</v>
      </c>
      <c r="H422" s="212">
        <v>0</v>
      </c>
      <c r="I422" s="212" t="s">
        <v>2464</v>
      </c>
      <c r="J422" s="212">
        <v>492</v>
      </c>
      <c r="K422" s="286">
        <v>2406</v>
      </c>
      <c r="L422" s="286">
        <v>851</v>
      </c>
      <c r="M422" s="286">
        <v>1539</v>
      </c>
      <c r="N422" s="286">
        <v>0</v>
      </c>
      <c r="O422" s="286">
        <v>0</v>
      </c>
      <c r="P422" s="286">
        <v>0</v>
      </c>
      <c r="Q422" s="286">
        <v>16</v>
      </c>
      <c r="R422" s="286">
        <v>3</v>
      </c>
      <c r="S422" s="286">
        <v>13</v>
      </c>
      <c r="T422" s="286">
        <v>0</v>
      </c>
      <c r="U422" s="286">
        <v>0</v>
      </c>
      <c r="V422" s="286">
        <v>0</v>
      </c>
      <c r="W422" s="286">
        <v>16</v>
      </c>
      <c r="X422" s="286">
        <v>3</v>
      </c>
      <c r="Y422" s="286">
        <v>13</v>
      </c>
    </row>
    <row r="423" spans="1:25">
      <c r="A423" s="212">
        <v>3706</v>
      </c>
      <c r="B423" s="212" t="s">
        <v>1642</v>
      </c>
      <c r="C423" s="212">
        <v>1</v>
      </c>
      <c r="D423" s="212" t="s">
        <v>1643</v>
      </c>
      <c r="E423" s="212" t="s">
        <v>2465</v>
      </c>
      <c r="F423" s="212">
        <v>5</v>
      </c>
      <c r="G423" s="212" t="s">
        <v>1645</v>
      </c>
      <c r="H423" s="212">
        <v>0</v>
      </c>
      <c r="I423" s="212" t="s">
        <v>2466</v>
      </c>
      <c r="J423" s="212">
        <v>1701</v>
      </c>
      <c r="K423" s="286">
        <v>8148</v>
      </c>
      <c r="L423" s="286">
        <v>1386</v>
      </c>
      <c r="M423" s="286">
        <v>6735</v>
      </c>
      <c r="N423" s="286">
        <v>15</v>
      </c>
      <c r="O423" s="286">
        <v>7</v>
      </c>
      <c r="P423" s="286">
        <v>8</v>
      </c>
      <c r="Q423" s="286">
        <v>145</v>
      </c>
      <c r="R423" s="286">
        <v>30</v>
      </c>
      <c r="S423" s="286">
        <v>115</v>
      </c>
      <c r="T423" s="286">
        <v>45</v>
      </c>
      <c r="U423" s="286">
        <v>9</v>
      </c>
      <c r="V423" s="286">
        <v>36</v>
      </c>
      <c r="W423" s="286">
        <v>100</v>
      </c>
      <c r="X423" s="286">
        <v>21</v>
      </c>
      <c r="Y423" s="286">
        <v>79</v>
      </c>
    </row>
    <row r="424" spans="1:25">
      <c r="A424" s="212">
        <v>3715</v>
      </c>
      <c r="B424" s="212" t="s">
        <v>1642</v>
      </c>
      <c r="C424" s="212">
        <v>1</v>
      </c>
      <c r="D424" s="212" t="s">
        <v>1643</v>
      </c>
      <c r="E424" s="212" t="s">
        <v>2467</v>
      </c>
      <c r="F424" s="212">
        <v>4</v>
      </c>
      <c r="G424" s="212" t="s">
        <v>1645</v>
      </c>
      <c r="H424" s="212">
        <v>0</v>
      </c>
      <c r="I424" s="212" t="s">
        <v>2468</v>
      </c>
      <c r="J424" s="212">
        <v>11896</v>
      </c>
      <c r="K424" s="286">
        <v>133319</v>
      </c>
      <c r="L424" s="286">
        <v>47272</v>
      </c>
      <c r="M424" s="286">
        <v>85766</v>
      </c>
      <c r="N424" s="286">
        <v>372</v>
      </c>
      <c r="O424" s="286">
        <v>259</v>
      </c>
      <c r="P424" s="286">
        <v>113</v>
      </c>
      <c r="Q424" s="286">
        <v>953</v>
      </c>
      <c r="R424" s="286">
        <v>419</v>
      </c>
      <c r="S424" s="286">
        <v>534</v>
      </c>
      <c r="T424" s="286">
        <v>247</v>
      </c>
      <c r="U424" s="286">
        <v>158</v>
      </c>
      <c r="V424" s="286">
        <v>89</v>
      </c>
      <c r="W424" s="286">
        <v>697</v>
      </c>
      <c r="X424" s="286">
        <v>259</v>
      </c>
      <c r="Y424" s="286">
        <v>438</v>
      </c>
    </row>
    <row r="425" spans="1:25">
      <c r="A425" s="212">
        <v>3724</v>
      </c>
      <c r="B425" s="212" t="s">
        <v>1642</v>
      </c>
      <c r="C425" s="212">
        <v>1</v>
      </c>
      <c r="D425" s="212" t="s">
        <v>1643</v>
      </c>
      <c r="E425" s="212" t="s">
        <v>2469</v>
      </c>
      <c r="F425" s="212">
        <v>5</v>
      </c>
      <c r="G425" s="212" t="s">
        <v>1645</v>
      </c>
      <c r="H425" s="212">
        <v>0</v>
      </c>
      <c r="I425" s="212" t="s">
        <v>2470</v>
      </c>
      <c r="J425" s="212">
        <v>67</v>
      </c>
      <c r="K425" s="286">
        <v>1291</v>
      </c>
      <c r="L425" s="286">
        <v>725</v>
      </c>
      <c r="M425" s="286">
        <v>566</v>
      </c>
      <c r="N425" s="286">
        <v>63</v>
      </c>
      <c r="O425" s="286">
        <v>60</v>
      </c>
      <c r="P425" s="286">
        <v>3</v>
      </c>
      <c r="Q425" s="286">
        <v>57</v>
      </c>
      <c r="R425" s="286">
        <v>45</v>
      </c>
      <c r="S425" s="286">
        <v>12</v>
      </c>
      <c r="T425" s="286">
        <v>43</v>
      </c>
      <c r="U425" s="286">
        <v>31</v>
      </c>
      <c r="V425" s="286">
        <v>12</v>
      </c>
      <c r="W425" s="286">
        <v>14</v>
      </c>
      <c r="X425" s="286">
        <v>14</v>
      </c>
      <c r="Y425" s="286">
        <v>0</v>
      </c>
    </row>
    <row r="426" spans="1:25">
      <c r="A426" s="212">
        <v>3733</v>
      </c>
      <c r="B426" s="212" t="s">
        <v>1642</v>
      </c>
      <c r="C426" s="212">
        <v>1</v>
      </c>
      <c r="D426" s="212" t="s">
        <v>1643</v>
      </c>
      <c r="E426" s="212" t="s">
        <v>2471</v>
      </c>
      <c r="F426" s="212">
        <v>5</v>
      </c>
      <c r="G426" s="212" t="s">
        <v>1645</v>
      </c>
      <c r="H426" s="212">
        <v>0</v>
      </c>
      <c r="I426" s="212" t="s">
        <v>2472</v>
      </c>
      <c r="J426" s="212">
        <v>1027</v>
      </c>
      <c r="K426" s="286">
        <v>50780</v>
      </c>
      <c r="L426" s="286">
        <v>15915</v>
      </c>
      <c r="M426" s="286">
        <v>34799</v>
      </c>
      <c r="N426" s="286">
        <v>173</v>
      </c>
      <c r="O426" s="286">
        <v>129</v>
      </c>
      <c r="P426" s="286">
        <v>44</v>
      </c>
      <c r="Q426" s="286">
        <v>435</v>
      </c>
      <c r="R426" s="286">
        <v>142</v>
      </c>
      <c r="S426" s="286">
        <v>293</v>
      </c>
      <c r="T426" s="286">
        <v>41</v>
      </c>
      <c r="U426" s="286">
        <v>34</v>
      </c>
      <c r="V426" s="286">
        <v>7</v>
      </c>
      <c r="W426" s="286">
        <v>394</v>
      </c>
      <c r="X426" s="286">
        <v>108</v>
      </c>
      <c r="Y426" s="286">
        <v>286</v>
      </c>
    </row>
    <row r="427" spans="1:25">
      <c r="A427" s="212">
        <v>3742</v>
      </c>
      <c r="B427" s="212" t="s">
        <v>1642</v>
      </c>
      <c r="C427" s="212">
        <v>1</v>
      </c>
      <c r="D427" s="212" t="s">
        <v>1643</v>
      </c>
      <c r="E427" s="212" t="s">
        <v>2473</v>
      </c>
      <c r="F427" s="212">
        <v>5</v>
      </c>
      <c r="G427" s="212" t="s">
        <v>1645</v>
      </c>
      <c r="H427" s="212">
        <v>0</v>
      </c>
      <c r="I427" s="212" t="s">
        <v>2474</v>
      </c>
      <c r="J427" s="212">
        <v>666</v>
      </c>
      <c r="K427" s="286">
        <v>2971</v>
      </c>
      <c r="L427" s="286">
        <v>1347</v>
      </c>
      <c r="M427" s="286">
        <v>1613</v>
      </c>
      <c r="N427" s="286">
        <v>19</v>
      </c>
      <c r="O427" s="286">
        <v>3</v>
      </c>
      <c r="P427" s="286">
        <v>16</v>
      </c>
      <c r="Q427" s="286">
        <v>47</v>
      </c>
      <c r="R427" s="286">
        <v>29</v>
      </c>
      <c r="S427" s="286">
        <v>18</v>
      </c>
      <c r="T427" s="286">
        <v>3</v>
      </c>
      <c r="U427" s="286">
        <v>3</v>
      </c>
      <c r="V427" s="286">
        <v>0</v>
      </c>
      <c r="W427" s="286">
        <v>44</v>
      </c>
      <c r="X427" s="286">
        <v>26</v>
      </c>
      <c r="Y427" s="286">
        <v>18</v>
      </c>
    </row>
    <row r="428" spans="1:25">
      <c r="A428" s="212">
        <v>3751</v>
      </c>
      <c r="B428" s="212" t="s">
        <v>1642</v>
      </c>
      <c r="C428" s="212">
        <v>1</v>
      </c>
      <c r="D428" s="212" t="s">
        <v>1643</v>
      </c>
      <c r="E428" s="212" t="s">
        <v>2475</v>
      </c>
      <c r="F428" s="212">
        <v>5</v>
      </c>
      <c r="G428" s="212" t="s">
        <v>1645</v>
      </c>
      <c r="H428" s="212">
        <v>0</v>
      </c>
      <c r="I428" s="212" t="s">
        <v>2476</v>
      </c>
      <c r="J428" s="212">
        <v>584</v>
      </c>
      <c r="K428" s="286">
        <v>3295</v>
      </c>
      <c r="L428" s="286">
        <v>1567</v>
      </c>
      <c r="M428" s="286">
        <v>1685</v>
      </c>
      <c r="N428" s="286">
        <v>3</v>
      </c>
      <c r="O428" s="286">
        <v>3</v>
      </c>
      <c r="P428" s="286">
        <v>0</v>
      </c>
      <c r="Q428" s="286">
        <v>9</v>
      </c>
      <c r="R428" s="286">
        <v>4</v>
      </c>
      <c r="S428" s="286">
        <v>5</v>
      </c>
      <c r="T428" s="286">
        <v>6</v>
      </c>
      <c r="U428" s="286">
        <v>4</v>
      </c>
      <c r="V428" s="286">
        <v>2</v>
      </c>
      <c r="W428" s="286">
        <v>3</v>
      </c>
      <c r="X428" s="286">
        <v>0</v>
      </c>
      <c r="Y428" s="286">
        <v>3</v>
      </c>
    </row>
    <row r="429" spans="1:25">
      <c r="A429" s="212">
        <v>3760</v>
      </c>
      <c r="B429" s="212" t="s">
        <v>1642</v>
      </c>
      <c r="C429" s="212">
        <v>1</v>
      </c>
      <c r="D429" s="212" t="s">
        <v>1643</v>
      </c>
      <c r="E429" s="212" t="s">
        <v>2477</v>
      </c>
      <c r="F429" s="212">
        <v>5</v>
      </c>
      <c r="G429" s="212" t="s">
        <v>1645</v>
      </c>
      <c r="H429" s="212">
        <v>0</v>
      </c>
      <c r="I429" s="212" t="s">
        <v>2478</v>
      </c>
      <c r="J429" s="212">
        <v>482</v>
      </c>
      <c r="K429" s="286">
        <v>2160</v>
      </c>
      <c r="L429" s="286">
        <v>1125</v>
      </c>
      <c r="M429" s="286">
        <v>1028</v>
      </c>
      <c r="N429" s="286">
        <v>1</v>
      </c>
      <c r="O429" s="286">
        <v>0</v>
      </c>
      <c r="P429" s="286">
        <v>1</v>
      </c>
      <c r="Q429" s="286">
        <v>0</v>
      </c>
      <c r="R429" s="286">
        <v>0</v>
      </c>
      <c r="S429" s="286">
        <v>0</v>
      </c>
      <c r="T429" s="286">
        <v>0</v>
      </c>
      <c r="U429" s="286">
        <v>0</v>
      </c>
      <c r="V429" s="286">
        <v>0</v>
      </c>
      <c r="W429" s="286">
        <v>0</v>
      </c>
      <c r="X429" s="286">
        <v>0</v>
      </c>
      <c r="Y429" s="286">
        <v>0</v>
      </c>
    </row>
    <row r="430" spans="1:25">
      <c r="A430" s="212">
        <v>3769</v>
      </c>
      <c r="B430" s="212" t="s">
        <v>1642</v>
      </c>
      <c r="C430" s="212">
        <v>1</v>
      </c>
      <c r="D430" s="212" t="s">
        <v>1643</v>
      </c>
      <c r="E430" s="212" t="s">
        <v>2479</v>
      </c>
      <c r="F430" s="212">
        <v>5</v>
      </c>
      <c r="G430" s="212" t="s">
        <v>1645</v>
      </c>
      <c r="H430" s="212">
        <v>0</v>
      </c>
      <c r="I430" s="212" t="s">
        <v>2480</v>
      </c>
      <c r="J430" s="212">
        <v>1569</v>
      </c>
      <c r="K430" s="286">
        <v>4709</v>
      </c>
      <c r="L430" s="286">
        <v>2333</v>
      </c>
      <c r="M430" s="286">
        <v>2376</v>
      </c>
      <c r="N430" s="286">
        <v>18</v>
      </c>
      <c r="O430" s="286">
        <v>7</v>
      </c>
      <c r="P430" s="286">
        <v>11</v>
      </c>
      <c r="Q430" s="286">
        <v>43</v>
      </c>
      <c r="R430" s="286">
        <v>31</v>
      </c>
      <c r="S430" s="286">
        <v>12</v>
      </c>
      <c r="T430" s="286">
        <v>29</v>
      </c>
      <c r="U430" s="286">
        <v>19</v>
      </c>
      <c r="V430" s="286">
        <v>10</v>
      </c>
      <c r="W430" s="286">
        <v>14</v>
      </c>
      <c r="X430" s="286">
        <v>12</v>
      </c>
      <c r="Y430" s="286">
        <v>2</v>
      </c>
    </row>
    <row r="431" spans="1:25">
      <c r="A431" s="212">
        <v>3778</v>
      </c>
      <c r="B431" s="212" t="s">
        <v>1642</v>
      </c>
      <c r="C431" s="212">
        <v>1</v>
      </c>
      <c r="D431" s="212" t="s">
        <v>1643</v>
      </c>
      <c r="E431" s="212" t="s">
        <v>2481</v>
      </c>
      <c r="F431" s="212">
        <v>5</v>
      </c>
      <c r="G431" s="212" t="s">
        <v>1645</v>
      </c>
      <c r="H431" s="212">
        <v>0</v>
      </c>
      <c r="I431" s="212" t="s">
        <v>2482</v>
      </c>
      <c r="J431" s="212">
        <v>2640</v>
      </c>
      <c r="K431" s="286">
        <v>18100</v>
      </c>
      <c r="L431" s="286">
        <v>4151</v>
      </c>
      <c r="M431" s="286">
        <v>13856</v>
      </c>
      <c r="N431" s="286">
        <v>37</v>
      </c>
      <c r="O431" s="286">
        <v>15</v>
      </c>
      <c r="P431" s="286">
        <v>22</v>
      </c>
      <c r="Q431" s="286">
        <v>63</v>
      </c>
      <c r="R431" s="286">
        <v>20</v>
      </c>
      <c r="S431" s="286">
        <v>43</v>
      </c>
      <c r="T431" s="286">
        <v>26</v>
      </c>
      <c r="U431" s="286">
        <v>13</v>
      </c>
      <c r="V431" s="286">
        <v>13</v>
      </c>
      <c r="W431" s="286">
        <v>28</v>
      </c>
      <c r="X431" s="286">
        <v>5</v>
      </c>
      <c r="Y431" s="286">
        <v>23</v>
      </c>
    </row>
    <row r="432" spans="1:25">
      <c r="A432" s="212">
        <v>3787</v>
      </c>
      <c r="B432" s="212" t="s">
        <v>1642</v>
      </c>
      <c r="C432" s="212">
        <v>1</v>
      </c>
      <c r="D432" s="212" t="s">
        <v>1643</v>
      </c>
      <c r="E432" s="212" t="s">
        <v>2483</v>
      </c>
      <c r="F432" s="212">
        <v>5</v>
      </c>
      <c r="G432" s="212" t="s">
        <v>1645</v>
      </c>
      <c r="H432" s="212">
        <v>0</v>
      </c>
      <c r="I432" s="212" t="s">
        <v>2484</v>
      </c>
      <c r="J432" s="212">
        <v>4861</v>
      </c>
      <c r="K432" s="286">
        <v>50013</v>
      </c>
      <c r="L432" s="286">
        <v>20109</v>
      </c>
      <c r="M432" s="286">
        <v>29843</v>
      </c>
      <c r="N432" s="286">
        <v>58</v>
      </c>
      <c r="O432" s="286">
        <v>42</v>
      </c>
      <c r="P432" s="286">
        <v>16</v>
      </c>
      <c r="Q432" s="286">
        <v>299</v>
      </c>
      <c r="R432" s="286">
        <v>148</v>
      </c>
      <c r="S432" s="286">
        <v>151</v>
      </c>
      <c r="T432" s="286">
        <v>99</v>
      </c>
      <c r="U432" s="286">
        <v>54</v>
      </c>
      <c r="V432" s="286">
        <v>45</v>
      </c>
      <c r="W432" s="286">
        <v>200</v>
      </c>
      <c r="X432" s="286">
        <v>94</v>
      </c>
      <c r="Y432" s="286">
        <v>106</v>
      </c>
    </row>
    <row r="433" spans="1:25">
      <c r="A433" s="212">
        <v>3796</v>
      </c>
      <c r="B433" s="212" t="s">
        <v>1642</v>
      </c>
      <c r="C433" s="212">
        <v>1</v>
      </c>
      <c r="D433" s="212" t="s">
        <v>1643</v>
      </c>
      <c r="E433" s="212" t="s">
        <v>2485</v>
      </c>
      <c r="F433" s="212">
        <v>6</v>
      </c>
      <c r="G433" s="212" t="s">
        <v>1645</v>
      </c>
      <c r="H433" s="212">
        <v>0</v>
      </c>
      <c r="I433" s="212" t="s">
        <v>2486</v>
      </c>
      <c r="J433" s="212">
        <v>789</v>
      </c>
      <c r="K433" s="286">
        <v>6584</v>
      </c>
      <c r="L433" s="286">
        <v>1754</v>
      </c>
      <c r="M433" s="286">
        <v>4807</v>
      </c>
      <c r="N433" s="286">
        <v>2</v>
      </c>
      <c r="O433" s="286">
        <v>1</v>
      </c>
      <c r="P433" s="286">
        <v>1</v>
      </c>
      <c r="Q433" s="286">
        <v>39</v>
      </c>
      <c r="R433" s="286">
        <v>10</v>
      </c>
      <c r="S433" s="286">
        <v>29</v>
      </c>
      <c r="T433" s="286">
        <v>8</v>
      </c>
      <c r="U433" s="286">
        <v>7</v>
      </c>
      <c r="V433" s="286">
        <v>1</v>
      </c>
      <c r="W433" s="286">
        <v>31</v>
      </c>
      <c r="X433" s="286">
        <v>3</v>
      </c>
      <c r="Y433" s="286">
        <v>28</v>
      </c>
    </row>
    <row r="434" spans="1:25">
      <c r="A434" s="212">
        <v>3805</v>
      </c>
      <c r="B434" s="212" t="s">
        <v>1642</v>
      </c>
      <c r="C434" s="212">
        <v>1</v>
      </c>
      <c r="D434" s="212" t="s">
        <v>1643</v>
      </c>
      <c r="E434" s="212" t="s">
        <v>2487</v>
      </c>
      <c r="F434" s="212">
        <v>6</v>
      </c>
      <c r="G434" s="212" t="s">
        <v>1645</v>
      </c>
      <c r="H434" s="212">
        <v>0</v>
      </c>
      <c r="I434" s="212" t="s">
        <v>2488</v>
      </c>
      <c r="J434" s="212">
        <v>4072</v>
      </c>
      <c r="K434" s="286">
        <v>43429</v>
      </c>
      <c r="L434" s="286">
        <v>18355</v>
      </c>
      <c r="M434" s="286">
        <v>25036</v>
      </c>
      <c r="N434" s="286">
        <v>56</v>
      </c>
      <c r="O434" s="286">
        <v>41</v>
      </c>
      <c r="P434" s="286">
        <v>15</v>
      </c>
      <c r="Q434" s="286">
        <v>260</v>
      </c>
      <c r="R434" s="286">
        <v>138</v>
      </c>
      <c r="S434" s="286">
        <v>122</v>
      </c>
      <c r="T434" s="286">
        <v>91</v>
      </c>
      <c r="U434" s="286">
        <v>47</v>
      </c>
      <c r="V434" s="286">
        <v>44</v>
      </c>
      <c r="W434" s="286">
        <v>169</v>
      </c>
      <c r="X434" s="286">
        <v>91</v>
      </c>
      <c r="Y434" s="286">
        <v>78</v>
      </c>
    </row>
    <row r="435" spans="1:25">
      <c r="A435" s="212">
        <v>3814</v>
      </c>
      <c r="B435" s="212" t="s">
        <v>1642</v>
      </c>
      <c r="C435" s="212">
        <v>1</v>
      </c>
      <c r="D435" s="212" t="s">
        <v>1643</v>
      </c>
      <c r="E435" s="212" t="s">
        <v>2489</v>
      </c>
      <c r="F435" s="212">
        <v>4</v>
      </c>
      <c r="G435" s="212" t="s">
        <v>1645</v>
      </c>
      <c r="H435" s="212">
        <v>0</v>
      </c>
      <c r="I435" s="212" t="s">
        <v>2490</v>
      </c>
      <c r="J435" s="212">
        <v>5691</v>
      </c>
      <c r="K435" s="286">
        <v>35243</v>
      </c>
      <c r="L435" s="286">
        <v>25391</v>
      </c>
      <c r="M435" s="286">
        <v>9714</v>
      </c>
      <c r="N435" s="286">
        <v>171</v>
      </c>
      <c r="O435" s="286">
        <v>162</v>
      </c>
      <c r="P435" s="286">
        <v>9</v>
      </c>
      <c r="Q435" s="286">
        <v>663</v>
      </c>
      <c r="R435" s="286">
        <v>361</v>
      </c>
      <c r="S435" s="286">
        <v>302</v>
      </c>
      <c r="T435" s="286">
        <v>305</v>
      </c>
      <c r="U435" s="286">
        <v>246</v>
      </c>
      <c r="V435" s="286">
        <v>59</v>
      </c>
      <c r="W435" s="286">
        <v>358</v>
      </c>
      <c r="X435" s="286">
        <v>115</v>
      </c>
      <c r="Y435" s="286">
        <v>243</v>
      </c>
    </row>
    <row r="436" spans="1:25">
      <c r="A436" s="212">
        <v>3823</v>
      </c>
      <c r="B436" s="212" t="s">
        <v>1642</v>
      </c>
      <c r="C436" s="212">
        <v>1</v>
      </c>
      <c r="D436" s="212" t="s">
        <v>1643</v>
      </c>
      <c r="E436" s="212" t="s">
        <v>2491</v>
      </c>
      <c r="F436" s="212">
        <v>5</v>
      </c>
      <c r="G436" s="212" t="s">
        <v>1645</v>
      </c>
      <c r="H436" s="212">
        <v>0</v>
      </c>
      <c r="I436" s="212" t="s">
        <v>2492</v>
      </c>
      <c r="J436" s="212">
        <v>30</v>
      </c>
      <c r="K436" s="286">
        <v>764</v>
      </c>
      <c r="L436" s="286">
        <v>589</v>
      </c>
      <c r="M436" s="286">
        <v>175</v>
      </c>
      <c r="N436" s="286">
        <v>122</v>
      </c>
      <c r="O436" s="286">
        <v>114</v>
      </c>
      <c r="P436" s="286">
        <v>8</v>
      </c>
      <c r="Q436" s="286">
        <v>49</v>
      </c>
      <c r="R436" s="286">
        <v>4</v>
      </c>
      <c r="S436" s="286">
        <v>45</v>
      </c>
      <c r="T436" s="286">
        <v>12</v>
      </c>
      <c r="U436" s="286">
        <v>4</v>
      </c>
      <c r="V436" s="286">
        <v>8</v>
      </c>
      <c r="W436" s="286">
        <v>37</v>
      </c>
      <c r="X436" s="286">
        <v>0</v>
      </c>
      <c r="Y436" s="286">
        <v>37</v>
      </c>
    </row>
    <row r="437" spans="1:25">
      <c r="A437" s="212">
        <v>3832</v>
      </c>
      <c r="B437" s="212" t="s">
        <v>1642</v>
      </c>
      <c r="C437" s="212">
        <v>1</v>
      </c>
      <c r="D437" s="212" t="s">
        <v>1643</v>
      </c>
      <c r="E437" s="212" t="s">
        <v>2493</v>
      </c>
      <c r="F437" s="212">
        <v>5</v>
      </c>
      <c r="G437" s="212" t="s">
        <v>1645</v>
      </c>
      <c r="H437" s="212">
        <v>0</v>
      </c>
      <c r="I437" s="212" t="s">
        <v>2494</v>
      </c>
      <c r="J437" s="212">
        <v>3299</v>
      </c>
      <c r="K437" s="286">
        <v>21579</v>
      </c>
      <c r="L437" s="286">
        <v>17067</v>
      </c>
      <c r="M437" s="286">
        <v>4398</v>
      </c>
      <c r="N437" s="286">
        <v>41</v>
      </c>
      <c r="O437" s="286">
        <v>40</v>
      </c>
      <c r="P437" s="286">
        <v>1</v>
      </c>
      <c r="Q437" s="286">
        <v>304</v>
      </c>
      <c r="R437" s="286">
        <v>187</v>
      </c>
      <c r="S437" s="286">
        <v>117</v>
      </c>
      <c r="T437" s="286">
        <v>179</v>
      </c>
      <c r="U437" s="286">
        <v>152</v>
      </c>
      <c r="V437" s="286">
        <v>27</v>
      </c>
      <c r="W437" s="286">
        <v>125</v>
      </c>
      <c r="X437" s="286">
        <v>35</v>
      </c>
      <c r="Y437" s="286">
        <v>90</v>
      </c>
    </row>
    <row r="438" spans="1:25">
      <c r="A438" s="212">
        <v>3841</v>
      </c>
      <c r="B438" s="212" t="s">
        <v>1642</v>
      </c>
      <c r="C438" s="212">
        <v>1</v>
      </c>
      <c r="D438" s="212" t="s">
        <v>1643</v>
      </c>
      <c r="E438" s="212" t="s">
        <v>2495</v>
      </c>
      <c r="F438" s="212">
        <v>5</v>
      </c>
      <c r="G438" s="212" t="s">
        <v>1645</v>
      </c>
      <c r="H438" s="212">
        <v>0</v>
      </c>
      <c r="I438" s="212" t="s">
        <v>2496</v>
      </c>
      <c r="J438" s="212">
        <v>482</v>
      </c>
      <c r="K438" s="286">
        <v>1237</v>
      </c>
      <c r="L438" s="286">
        <v>958</v>
      </c>
      <c r="M438" s="286">
        <v>279</v>
      </c>
      <c r="N438" s="286">
        <v>1</v>
      </c>
      <c r="O438" s="286">
        <v>1</v>
      </c>
      <c r="P438" s="286">
        <v>0</v>
      </c>
      <c r="Q438" s="286">
        <v>43</v>
      </c>
      <c r="R438" s="286">
        <v>42</v>
      </c>
      <c r="S438" s="286">
        <v>1</v>
      </c>
      <c r="T438" s="286">
        <v>43</v>
      </c>
      <c r="U438" s="286">
        <v>42</v>
      </c>
      <c r="V438" s="286">
        <v>1</v>
      </c>
      <c r="W438" s="286">
        <v>0</v>
      </c>
      <c r="X438" s="286">
        <v>0</v>
      </c>
      <c r="Y438" s="286">
        <v>0</v>
      </c>
    </row>
    <row r="439" spans="1:25">
      <c r="A439" s="212">
        <v>3850</v>
      </c>
      <c r="B439" s="212" t="s">
        <v>1642</v>
      </c>
      <c r="C439" s="212">
        <v>1</v>
      </c>
      <c r="D439" s="212" t="s">
        <v>1643</v>
      </c>
      <c r="E439" s="212" t="s">
        <v>2497</v>
      </c>
      <c r="F439" s="212">
        <v>5</v>
      </c>
      <c r="G439" s="212" t="s">
        <v>1645</v>
      </c>
      <c r="H439" s="212">
        <v>0</v>
      </c>
      <c r="I439" s="212" t="s">
        <v>2498</v>
      </c>
      <c r="J439" s="212">
        <v>1880</v>
      </c>
      <c r="K439" s="286">
        <v>11663</v>
      </c>
      <c r="L439" s="286">
        <v>6777</v>
      </c>
      <c r="M439" s="286">
        <v>4862</v>
      </c>
      <c r="N439" s="286">
        <v>7</v>
      </c>
      <c r="O439" s="286">
        <v>7</v>
      </c>
      <c r="P439" s="286">
        <v>0</v>
      </c>
      <c r="Q439" s="286">
        <v>267</v>
      </c>
      <c r="R439" s="286">
        <v>128</v>
      </c>
      <c r="S439" s="286">
        <v>139</v>
      </c>
      <c r="T439" s="286">
        <v>71</v>
      </c>
      <c r="U439" s="286">
        <v>48</v>
      </c>
      <c r="V439" s="286">
        <v>23</v>
      </c>
      <c r="W439" s="286">
        <v>196</v>
      </c>
      <c r="X439" s="286">
        <v>80</v>
      </c>
      <c r="Y439" s="286">
        <v>116</v>
      </c>
    </row>
    <row r="440" spans="1:25">
      <c r="A440" s="212">
        <v>3859</v>
      </c>
      <c r="B440" s="212" t="s">
        <v>1642</v>
      </c>
      <c r="C440" s="212">
        <v>1</v>
      </c>
      <c r="D440" s="212" t="s">
        <v>1643</v>
      </c>
      <c r="E440" s="212" t="s">
        <v>2499</v>
      </c>
      <c r="F440" s="212">
        <v>4</v>
      </c>
      <c r="G440" s="212" t="s">
        <v>1645</v>
      </c>
      <c r="H440" s="212">
        <v>0</v>
      </c>
      <c r="I440" s="212" t="s">
        <v>2500</v>
      </c>
      <c r="J440" s="212">
        <v>15235</v>
      </c>
      <c r="K440" s="286">
        <v>97602</v>
      </c>
      <c r="L440" s="286">
        <v>41458</v>
      </c>
      <c r="M440" s="286">
        <v>55985</v>
      </c>
      <c r="N440" s="286">
        <v>265</v>
      </c>
      <c r="O440" s="286">
        <v>107</v>
      </c>
      <c r="P440" s="286">
        <v>158</v>
      </c>
      <c r="Q440" s="286">
        <v>1233</v>
      </c>
      <c r="R440" s="286">
        <v>564</v>
      </c>
      <c r="S440" s="286">
        <v>667</v>
      </c>
      <c r="T440" s="286">
        <v>454</v>
      </c>
      <c r="U440" s="286">
        <v>227</v>
      </c>
      <c r="V440" s="286">
        <v>227</v>
      </c>
      <c r="W440" s="286">
        <v>739</v>
      </c>
      <c r="X440" s="286">
        <v>318</v>
      </c>
      <c r="Y440" s="286">
        <v>419</v>
      </c>
    </row>
    <row r="441" spans="1:25">
      <c r="A441" s="212">
        <v>3868</v>
      </c>
      <c r="B441" s="212" t="s">
        <v>1642</v>
      </c>
      <c r="C441" s="212">
        <v>1</v>
      </c>
      <c r="D441" s="212" t="s">
        <v>1643</v>
      </c>
      <c r="E441" s="212" t="s">
        <v>2501</v>
      </c>
      <c r="F441" s="212">
        <v>5</v>
      </c>
      <c r="G441" s="212" t="s">
        <v>1645</v>
      </c>
      <c r="H441" s="212">
        <v>0</v>
      </c>
      <c r="I441" s="212" t="s">
        <v>2502</v>
      </c>
      <c r="J441" s="212">
        <v>116</v>
      </c>
      <c r="K441" s="286">
        <v>693</v>
      </c>
      <c r="L441" s="286">
        <v>375</v>
      </c>
      <c r="M441" s="286">
        <v>318</v>
      </c>
      <c r="N441" s="286">
        <v>5</v>
      </c>
      <c r="O441" s="286">
        <v>5</v>
      </c>
      <c r="P441" s="286">
        <v>0</v>
      </c>
      <c r="Q441" s="286">
        <v>8</v>
      </c>
      <c r="R441" s="286">
        <v>6</v>
      </c>
      <c r="S441" s="286">
        <v>2</v>
      </c>
      <c r="T441" s="286">
        <v>6</v>
      </c>
      <c r="U441" s="286">
        <v>6</v>
      </c>
      <c r="V441" s="286">
        <v>0</v>
      </c>
      <c r="W441" s="286">
        <v>2</v>
      </c>
      <c r="X441" s="286">
        <v>0</v>
      </c>
      <c r="Y441" s="286">
        <v>2</v>
      </c>
    </row>
    <row r="442" spans="1:25">
      <c r="A442" s="212">
        <v>3877</v>
      </c>
      <c r="B442" s="212" t="s">
        <v>1642</v>
      </c>
      <c r="C442" s="212">
        <v>1</v>
      </c>
      <c r="D442" s="212" t="s">
        <v>1643</v>
      </c>
      <c r="E442" s="212" t="s">
        <v>2503</v>
      </c>
      <c r="F442" s="212">
        <v>5</v>
      </c>
      <c r="G442" s="212" t="s">
        <v>1645</v>
      </c>
      <c r="H442" s="212">
        <v>0</v>
      </c>
      <c r="I442" s="212" t="s">
        <v>2504</v>
      </c>
      <c r="J442" s="212">
        <v>852</v>
      </c>
      <c r="K442" s="286">
        <v>4192</v>
      </c>
      <c r="L442" s="286">
        <v>2223</v>
      </c>
      <c r="M442" s="286">
        <v>1969</v>
      </c>
      <c r="N442" s="286">
        <v>0</v>
      </c>
      <c r="O442" s="286">
        <v>0</v>
      </c>
      <c r="P442" s="286">
        <v>0</v>
      </c>
      <c r="Q442" s="286">
        <v>11</v>
      </c>
      <c r="R442" s="286">
        <v>6</v>
      </c>
      <c r="S442" s="286">
        <v>5</v>
      </c>
      <c r="T442" s="286">
        <v>4</v>
      </c>
      <c r="U442" s="286">
        <v>2</v>
      </c>
      <c r="V442" s="286">
        <v>2</v>
      </c>
      <c r="W442" s="286">
        <v>7</v>
      </c>
      <c r="X442" s="286">
        <v>4</v>
      </c>
      <c r="Y442" s="286">
        <v>3</v>
      </c>
    </row>
    <row r="443" spans="1:25">
      <c r="A443" s="212">
        <v>3886</v>
      </c>
      <c r="B443" s="212" t="s">
        <v>1642</v>
      </c>
      <c r="C443" s="212">
        <v>1</v>
      </c>
      <c r="D443" s="212" t="s">
        <v>1643</v>
      </c>
      <c r="E443" s="212" t="s">
        <v>2505</v>
      </c>
      <c r="F443" s="212">
        <v>5</v>
      </c>
      <c r="G443" s="212" t="s">
        <v>1645</v>
      </c>
      <c r="H443" s="212">
        <v>0</v>
      </c>
      <c r="I443" s="212" t="s">
        <v>2506</v>
      </c>
      <c r="J443" s="212">
        <v>603</v>
      </c>
      <c r="K443" s="286">
        <v>1937</v>
      </c>
      <c r="L443" s="286">
        <v>750</v>
      </c>
      <c r="M443" s="286">
        <v>1170</v>
      </c>
      <c r="N443" s="286">
        <v>0</v>
      </c>
      <c r="O443" s="286">
        <v>0</v>
      </c>
      <c r="P443" s="286">
        <v>0</v>
      </c>
      <c r="Q443" s="286">
        <v>17</v>
      </c>
      <c r="R443" s="286">
        <v>2</v>
      </c>
      <c r="S443" s="286">
        <v>13</v>
      </c>
      <c r="T443" s="286">
        <v>5</v>
      </c>
      <c r="U443" s="286">
        <v>0</v>
      </c>
      <c r="V443" s="286">
        <v>5</v>
      </c>
      <c r="W443" s="286">
        <v>12</v>
      </c>
      <c r="X443" s="286">
        <v>2</v>
      </c>
      <c r="Y443" s="286">
        <v>8</v>
      </c>
    </row>
    <row r="444" spans="1:25">
      <c r="A444" s="212">
        <v>3895</v>
      </c>
      <c r="B444" s="212" t="s">
        <v>1642</v>
      </c>
      <c r="C444" s="212">
        <v>1</v>
      </c>
      <c r="D444" s="212" t="s">
        <v>1643</v>
      </c>
      <c r="E444" s="212" t="s">
        <v>2507</v>
      </c>
      <c r="F444" s="212">
        <v>5</v>
      </c>
      <c r="G444" s="212" t="s">
        <v>1645</v>
      </c>
      <c r="H444" s="212">
        <v>0</v>
      </c>
      <c r="I444" s="212" t="s">
        <v>2508</v>
      </c>
      <c r="J444" s="212">
        <v>3805</v>
      </c>
      <c r="K444" s="286">
        <v>27300</v>
      </c>
      <c r="L444" s="286">
        <v>5548</v>
      </c>
      <c r="M444" s="286">
        <v>21681</v>
      </c>
      <c r="N444" s="286">
        <v>28</v>
      </c>
      <c r="O444" s="286">
        <v>10</v>
      </c>
      <c r="P444" s="286">
        <v>18</v>
      </c>
      <c r="Q444" s="286">
        <v>435</v>
      </c>
      <c r="R444" s="286">
        <v>85</v>
      </c>
      <c r="S444" s="286">
        <v>350</v>
      </c>
      <c r="T444" s="286">
        <v>142</v>
      </c>
      <c r="U444" s="286">
        <v>29</v>
      </c>
      <c r="V444" s="286">
        <v>113</v>
      </c>
      <c r="W444" s="286">
        <v>292</v>
      </c>
      <c r="X444" s="286">
        <v>56</v>
      </c>
      <c r="Y444" s="286">
        <v>236</v>
      </c>
    </row>
    <row r="445" spans="1:25">
      <c r="A445" s="212">
        <v>3904</v>
      </c>
      <c r="B445" s="212" t="s">
        <v>1642</v>
      </c>
      <c r="C445" s="212">
        <v>1</v>
      </c>
      <c r="D445" s="212" t="s">
        <v>1643</v>
      </c>
      <c r="E445" s="212" t="s">
        <v>2509</v>
      </c>
      <c r="F445" s="212">
        <v>5</v>
      </c>
      <c r="G445" s="212" t="s">
        <v>1645</v>
      </c>
      <c r="H445" s="212">
        <v>0</v>
      </c>
      <c r="I445" s="212" t="s">
        <v>2510</v>
      </c>
      <c r="J445" s="212">
        <v>364</v>
      </c>
      <c r="K445" s="286">
        <v>1696</v>
      </c>
      <c r="L445" s="286">
        <v>1171</v>
      </c>
      <c r="M445" s="286">
        <v>525</v>
      </c>
      <c r="N445" s="286">
        <v>0</v>
      </c>
      <c r="O445" s="286">
        <v>0</v>
      </c>
      <c r="P445" s="286">
        <v>0</v>
      </c>
      <c r="Q445" s="286">
        <v>16</v>
      </c>
      <c r="R445" s="286">
        <v>14</v>
      </c>
      <c r="S445" s="286">
        <v>2</v>
      </c>
      <c r="T445" s="286">
        <v>9</v>
      </c>
      <c r="U445" s="286">
        <v>9</v>
      </c>
      <c r="V445" s="286">
        <v>0</v>
      </c>
      <c r="W445" s="286">
        <v>7</v>
      </c>
      <c r="X445" s="286">
        <v>5</v>
      </c>
      <c r="Y445" s="286">
        <v>2</v>
      </c>
    </row>
    <row r="446" spans="1:25">
      <c r="A446" s="212">
        <v>3913</v>
      </c>
      <c r="B446" s="212" t="s">
        <v>1642</v>
      </c>
      <c r="C446" s="212">
        <v>1</v>
      </c>
      <c r="D446" s="212" t="s">
        <v>1643</v>
      </c>
      <c r="E446" s="212" t="s">
        <v>2511</v>
      </c>
      <c r="F446" s="212">
        <v>5</v>
      </c>
      <c r="G446" s="212" t="s">
        <v>1645</v>
      </c>
      <c r="H446" s="212">
        <v>0</v>
      </c>
      <c r="I446" s="212" t="s">
        <v>2512</v>
      </c>
      <c r="J446" s="212">
        <v>1521</v>
      </c>
      <c r="K446" s="286">
        <v>10031</v>
      </c>
      <c r="L446" s="286">
        <v>7769</v>
      </c>
      <c r="M446" s="286">
        <v>2250</v>
      </c>
      <c r="N446" s="286">
        <v>20</v>
      </c>
      <c r="O446" s="286">
        <v>18</v>
      </c>
      <c r="P446" s="286">
        <v>2</v>
      </c>
      <c r="Q446" s="286">
        <v>258</v>
      </c>
      <c r="R446" s="286">
        <v>217</v>
      </c>
      <c r="S446" s="286">
        <v>41</v>
      </c>
      <c r="T446" s="286">
        <v>132</v>
      </c>
      <c r="U446" s="286">
        <v>95</v>
      </c>
      <c r="V446" s="286">
        <v>37</v>
      </c>
      <c r="W446" s="286">
        <v>125</v>
      </c>
      <c r="X446" s="286">
        <v>121</v>
      </c>
      <c r="Y446" s="286">
        <v>4</v>
      </c>
    </row>
    <row r="447" spans="1:25">
      <c r="A447" s="212">
        <v>3922</v>
      </c>
      <c r="B447" s="212" t="s">
        <v>1642</v>
      </c>
      <c r="C447" s="212">
        <v>1</v>
      </c>
      <c r="D447" s="212" t="s">
        <v>1643</v>
      </c>
      <c r="E447" s="212" t="s">
        <v>2513</v>
      </c>
      <c r="F447" s="212">
        <v>5</v>
      </c>
      <c r="G447" s="212" t="s">
        <v>1645</v>
      </c>
      <c r="H447" s="212">
        <v>0</v>
      </c>
      <c r="I447" s="212" t="s">
        <v>2514</v>
      </c>
      <c r="J447" s="212">
        <v>1510</v>
      </c>
      <c r="K447" s="286">
        <v>18560</v>
      </c>
      <c r="L447" s="286">
        <v>9691</v>
      </c>
      <c r="M447" s="286">
        <v>8861</v>
      </c>
      <c r="N447" s="286">
        <v>7</v>
      </c>
      <c r="O447" s="286">
        <v>3</v>
      </c>
      <c r="P447" s="286">
        <v>4</v>
      </c>
      <c r="Q447" s="286">
        <v>284</v>
      </c>
      <c r="R447" s="286">
        <v>154</v>
      </c>
      <c r="S447" s="286">
        <v>130</v>
      </c>
      <c r="T447" s="286">
        <v>45</v>
      </c>
      <c r="U447" s="286">
        <v>37</v>
      </c>
      <c r="V447" s="286">
        <v>8</v>
      </c>
      <c r="W447" s="286">
        <v>219</v>
      </c>
      <c r="X447" s="286">
        <v>112</v>
      </c>
      <c r="Y447" s="286">
        <v>107</v>
      </c>
    </row>
    <row r="448" spans="1:25">
      <c r="A448" s="212">
        <v>3931</v>
      </c>
      <c r="B448" s="212" t="s">
        <v>1642</v>
      </c>
      <c r="C448" s="212">
        <v>1</v>
      </c>
      <c r="D448" s="212" t="s">
        <v>1643</v>
      </c>
      <c r="E448" s="212" t="s">
        <v>2515</v>
      </c>
      <c r="F448" s="212">
        <v>5</v>
      </c>
      <c r="G448" s="212" t="s">
        <v>1645</v>
      </c>
      <c r="H448" s="212">
        <v>0</v>
      </c>
      <c r="I448" s="212" t="s">
        <v>2516</v>
      </c>
      <c r="J448" s="212">
        <v>924</v>
      </c>
      <c r="K448" s="286">
        <v>5883</v>
      </c>
      <c r="L448" s="286">
        <v>2989</v>
      </c>
      <c r="M448" s="286">
        <v>2888</v>
      </c>
      <c r="N448" s="286">
        <v>1</v>
      </c>
      <c r="O448" s="286">
        <v>1</v>
      </c>
      <c r="P448" s="286">
        <v>0</v>
      </c>
      <c r="Q448" s="286">
        <v>46</v>
      </c>
      <c r="R448" s="286">
        <v>17</v>
      </c>
      <c r="S448" s="286">
        <v>29</v>
      </c>
      <c r="T448" s="286">
        <v>19</v>
      </c>
      <c r="U448" s="286">
        <v>13</v>
      </c>
      <c r="V448" s="286">
        <v>6</v>
      </c>
      <c r="W448" s="286">
        <v>27</v>
      </c>
      <c r="X448" s="286">
        <v>4</v>
      </c>
      <c r="Y448" s="286">
        <v>23</v>
      </c>
    </row>
    <row r="449" spans="1:25">
      <c r="A449" s="212">
        <v>3940</v>
      </c>
      <c r="B449" s="212" t="s">
        <v>1642</v>
      </c>
      <c r="C449" s="212">
        <v>1</v>
      </c>
      <c r="D449" s="212" t="s">
        <v>1643</v>
      </c>
      <c r="E449" s="212" t="s">
        <v>2517</v>
      </c>
      <c r="F449" s="212">
        <v>6</v>
      </c>
      <c r="G449" s="212" t="s">
        <v>1645</v>
      </c>
      <c r="H449" s="212">
        <v>0</v>
      </c>
      <c r="I449" s="280" t="s">
        <v>2518</v>
      </c>
      <c r="J449" s="280">
        <v>586</v>
      </c>
      <c r="K449" s="294">
        <v>3932</v>
      </c>
      <c r="L449" s="294">
        <v>2087</v>
      </c>
      <c r="M449" s="294">
        <v>1841</v>
      </c>
      <c r="N449" s="286">
        <v>1</v>
      </c>
      <c r="O449" s="286">
        <v>1</v>
      </c>
      <c r="P449" s="286">
        <v>0</v>
      </c>
      <c r="Q449" s="286">
        <v>38</v>
      </c>
      <c r="R449" s="286">
        <v>16</v>
      </c>
      <c r="S449" s="286">
        <v>22</v>
      </c>
      <c r="T449" s="286">
        <v>18</v>
      </c>
      <c r="U449" s="286">
        <v>12</v>
      </c>
      <c r="V449" s="286">
        <v>6</v>
      </c>
      <c r="W449" s="286">
        <v>20</v>
      </c>
      <c r="X449" s="286">
        <v>4</v>
      </c>
      <c r="Y449" s="286">
        <v>16</v>
      </c>
    </row>
    <row r="450" spans="1:25">
      <c r="A450" s="212">
        <v>3949</v>
      </c>
      <c r="B450" s="212" t="s">
        <v>1642</v>
      </c>
      <c r="C450" s="212">
        <v>1</v>
      </c>
      <c r="D450" s="212" t="s">
        <v>1643</v>
      </c>
      <c r="E450" s="212" t="s">
        <v>2519</v>
      </c>
      <c r="F450" s="212">
        <v>6</v>
      </c>
      <c r="G450" s="212" t="s">
        <v>1645</v>
      </c>
      <c r="H450" s="212">
        <v>0</v>
      </c>
      <c r="I450" s="212" t="s">
        <v>2520</v>
      </c>
      <c r="J450" s="212">
        <v>226</v>
      </c>
      <c r="K450" s="286">
        <v>1357</v>
      </c>
      <c r="L450" s="286">
        <v>603</v>
      </c>
      <c r="M450" s="286">
        <v>752</v>
      </c>
      <c r="N450" s="286">
        <v>0</v>
      </c>
      <c r="O450" s="286">
        <v>0</v>
      </c>
      <c r="P450" s="286">
        <v>0</v>
      </c>
      <c r="Q450" s="286">
        <v>8</v>
      </c>
      <c r="R450" s="286">
        <v>1</v>
      </c>
      <c r="S450" s="286">
        <v>7</v>
      </c>
      <c r="T450" s="286">
        <v>1</v>
      </c>
      <c r="U450" s="286">
        <v>1</v>
      </c>
      <c r="V450" s="286">
        <v>0</v>
      </c>
      <c r="W450" s="286">
        <v>7</v>
      </c>
      <c r="X450" s="286">
        <v>0</v>
      </c>
      <c r="Y450" s="286">
        <v>7</v>
      </c>
    </row>
    <row r="451" spans="1:25">
      <c r="A451" s="212">
        <v>3958</v>
      </c>
      <c r="B451" s="212" t="s">
        <v>1642</v>
      </c>
      <c r="C451" s="212">
        <v>1</v>
      </c>
      <c r="D451" s="212" t="s">
        <v>1643</v>
      </c>
      <c r="E451" s="212" t="s">
        <v>2521</v>
      </c>
      <c r="F451" s="212">
        <v>6</v>
      </c>
      <c r="G451" s="212" t="s">
        <v>1645</v>
      </c>
      <c r="H451" s="212">
        <v>0</v>
      </c>
      <c r="I451" s="212" t="s">
        <v>2522</v>
      </c>
      <c r="J451" s="212">
        <v>112</v>
      </c>
      <c r="K451" s="286">
        <v>594</v>
      </c>
      <c r="L451" s="286">
        <v>299</v>
      </c>
      <c r="M451" s="286">
        <v>295</v>
      </c>
      <c r="N451" s="286">
        <v>0</v>
      </c>
      <c r="O451" s="286">
        <v>0</v>
      </c>
      <c r="P451" s="286">
        <v>0</v>
      </c>
      <c r="Q451" s="286">
        <v>0</v>
      </c>
      <c r="R451" s="286">
        <v>0</v>
      </c>
      <c r="S451" s="286">
        <v>0</v>
      </c>
      <c r="T451" s="286">
        <v>0</v>
      </c>
      <c r="U451" s="286">
        <v>0</v>
      </c>
      <c r="V451" s="286">
        <v>0</v>
      </c>
      <c r="W451" s="286">
        <v>0</v>
      </c>
      <c r="X451" s="286">
        <v>0</v>
      </c>
      <c r="Y451" s="286">
        <v>0</v>
      </c>
    </row>
    <row r="452" spans="1:25">
      <c r="A452" s="212">
        <v>3967</v>
      </c>
      <c r="B452" s="212" t="s">
        <v>1642</v>
      </c>
      <c r="C452" s="212">
        <v>1</v>
      </c>
      <c r="D452" s="212" t="s">
        <v>1643</v>
      </c>
      <c r="E452" s="212" t="s">
        <v>2523</v>
      </c>
      <c r="F452" s="212">
        <v>5</v>
      </c>
      <c r="G452" s="212" t="s">
        <v>1645</v>
      </c>
      <c r="H452" s="212">
        <v>0</v>
      </c>
      <c r="I452" s="212" t="s">
        <v>2524</v>
      </c>
      <c r="J452" s="212">
        <v>891</v>
      </c>
      <c r="K452" s="286">
        <v>3319</v>
      </c>
      <c r="L452" s="286">
        <v>1581</v>
      </c>
      <c r="M452" s="286">
        <v>1738</v>
      </c>
      <c r="N452" s="286">
        <v>70</v>
      </c>
      <c r="O452" s="286">
        <v>7</v>
      </c>
      <c r="P452" s="286">
        <v>63</v>
      </c>
      <c r="Q452" s="286">
        <v>41</v>
      </c>
      <c r="R452" s="286">
        <v>11</v>
      </c>
      <c r="S452" s="286">
        <v>30</v>
      </c>
      <c r="T452" s="286">
        <v>23</v>
      </c>
      <c r="U452" s="286">
        <v>10</v>
      </c>
      <c r="V452" s="286">
        <v>13</v>
      </c>
      <c r="W452" s="286">
        <v>18</v>
      </c>
      <c r="X452" s="286">
        <v>1</v>
      </c>
      <c r="Y452" s="286">
        <v>17</v>
      </c>
    </row>
    <row r="453" spans="1:25">
      <c r="A453" s="212">
        <v>3976</v>
      </c>
      <c r="B453" s="212" t="s">
        <v>1642</v>
      </c>
      <c r="C453" s="212">
        <v>1</v>
      </c>
      <c r="D453" s="212" t="s">
        <v>1643</v>
      </c>
      <c r="E453" s="212" t="s">
        <v>2525</v>
      </c>
      <c r="F453" s="212">
        <v>5</v>
      </c>
      <c r="G453" s="212" t="s">
        <v>1645</v>
      </c>
      <c r="H453" s="212">
        <v>0</v>
      </c>
      <c r="I453" s="212" t="s">
        <v>2526</v>
      </c>
      <c r="J453" s="212">
        <v>4649</v>
      </c>
      <c r="K453" s="286">
        <v>23991</v>
      </c>
      <c r="L453" s="286">
        <v>9361</v>
      </c>
      <c r="M453" s="286">
        <v>14585</v>
      </c>
      <c r="N453" s="286">
        <v>134</v>
      </c>
      <c r="O453" s="286">
        <v>63</v>
      </c>
      <c r="P453" s="286">
        <v>71</v>
      </c>
      <c r="Q453" s="286">
        <v>117</v>
      </c>
      <c r="R453" s="286">
        <v>52</v>
      </c>
      <c r="S453" s="286">
        <v>65</v>
      </c>
      <c r="T453" s="286">
        <v>69</v>
      </c>
      <c r="U453" s="286">
        <v>26</v>
      </c>
      <c r="V453" s="286">
        <v>43</v>
      </c>
      <c r="W453" s="286">
        <v>30</v>
      </c>
      <c r="X453" s="286">
        <v>13</v>
      </c>
      <c r="Y453" s="286">
        <v>17</v>
      </c>
    </row>
    <row r="454" spans="1:25">
      <c r="A454" s="212">
        <v>3985</v>
      </c>
      <c r="B454" s="212" t="s">
        <v>1642</v>
      </c>
      <c r="C454" s="212">
        <v>1</v>
      </c>
      <c r="D454" s="212" t="s">
        <v>1643</v>
      </c>
      <c r="E454" s="212" t="s">
        <v>2527</v>
      </c>
      <c r="F454" s="212">
        <v>6</v>
      </c>
      <c r="G454" s="212" t="s">
        <v>1645</v>
      </c>
      <c r="H454" s="212">
        <v>0</v>
      </c>
      <c r="I454" s="212" t="s">
        <v>2528</v>
      </c>
      <c r="J454" s="212">
        <v>768</v>
      </c>
      <c r="K454" s="286">
        <v>2909</v>
      </c>
      <c r="L454" s="286">
        <v>983</v>
      </c>
      <c r="M454" s="286">
        <v>1926</v>
      </c>
      <c r="N454" s="286">
        <v>17</v>
      </c>
      <c r="O454" s="286">
        <v>9</v>
      </c>
      <c r="P454" s="286">
        <v>8</v>
      </c>
      <c r="Q454" s="286">
        <v>2</v>
      </c>
      <c r="R454" s="286">
        <v>2</v>
      </c>
      <c r="S454" s="286">
        <v>0</v>
      </c>
      <c r="T454" s="286">
        <v>0</v>
      </c>
      <c r="U454" s="286">
        <v>0</v>
      </c>
      <c r="V454" s="286">
        <v>0</v>
      </c>
      <c r="W454" s="286">
        <v>2</v>
      </c>
      <c r="X454" s="286">
        <v>2</v>
      </c>
      <c r="Y454" s="286">
        <v>0</v>
      </c>
    </row>
    <row r="455" spans="1:25">
      <c r="A455" s="212">
        <v>3994</v>
      </c>
      <c r="B455" s="212" t="s">
        <v>1642</v>
      </c>
      <c r="C455" s="212">
        <v>1</v>
      </c>
      <c r="D455" s="212" t="s">
        <v>1643</v>
      </c>
      <c r="E455" s="212" t="s">
        <v>2529</v>
      </c>
      <c r="F455" s="212">
        <v>6</v>
      </c>
      <c r="G455" s="212" t="s">
        <v>1645</v>
      </c>
      <c r="H455" s="212">
        <v>0</v>
      </c>
      <c r="I455" s="212" t="s">
        <v>2530</v>
      </c>
      <c r="J455" s="212">
        <v>235</v>
      </c>
      <c r="K455" s="286">
        <v>1529</v>
      </c>
      <c r="L455" s="286">
        <v>471</v>
      </c>
      <c r="M455" s="286">
        <v>1052</v>
      </c>
      <c r="N455" s="286">
        <v>6</v>
      </c>
      <c r="O455" s="286">
        <v>3</v>
      </c>
      <c r="P455" s="286">
        <v>3</v>
      </c>
      <c r="Q455" s="286">
        <v>1</v>
      </c>
      <c r="R455" s="286">
        <v>1</v>
      </c>
      <c r="S455" s="286">
        <v>0</v>
      </c>
      <c r="T455" s="286">
        <v>1</v>
      </c>
      <c r="U455" s="286">
        <v>1</v>
      </c>
      <c r="V455" s="286">
        <v>0</v>
      </c>
      <c r="W455" s="286">
        <v>0</v>
      </c>
      <c r="X455" s="286">
        <v>0</v>
      </c>
      <c r="Y455" s="286">
        <v>0</v>
      </c>
    </row>
    <row r="456" spans="1:25">
      <c r="A456" s="212">
        <v>4003</v>
      </c>
      <c r="B456" s="212" t="s">
        <v>1642</v>
      </c>
      <c r="C456" s="212">
        <v>1</v>
      </c>
      <c r="D456" s="212" t="s">
        <v>1643</v>
      </c>
      <c r="E456" s="212" t="s">
        <v>2531</v>
      </c>
      <c r="F456" s="212">
        <v>6</v>
      </c>
      <c r="G456" s="212" t="s">
        <v>1645</v>
      </c>
      <c r="H456" s="212">
        <v>0</v>
      </c>
      <c r="I456" s="212" t="s">
        <v>2532</v>
      </c>
      <c r="J456" s="212">
        <v>479</v>
      </c>
      <c r="K456" s="286">
        <v>2226</v>
      </c>
      <c r="L456" s="286">
        <v>1020</v>
      </c>
      <c r="M456" s="286">
        <v>1184</v>
      </c>
      <c r="N456" s="286">
        <v>4</v>
      </c>
      <c r="O456" s="286">
        <v>2</v>
      </c>
      <c r="P456" s="286">
        <v>2</v>
      </c>
      <c r="Q456" s="286">
        <v>24</v>
      </c>
      <c r="R456" s="286">
        <v>17</v>
      </c>
      <c r="S456" s="286">
        <v>7</v>
      </c>
      <c r="T456" s="286">
        <v>2</v>
      </c>
      <c r="U456" s="286">
        <v>2</v>
      </c>
      <c r="V456" s="286">
        <v>0</v>
      </c>
      <c r="W456" s="286">
        <v>4</v>
      </c>
      <c r="X456" s="286">
        <v>2</v>
      </c>
      <c r="Y456" s="286">
        <v>2</v>
      </c>
    </row>
    <row r="457" spans="1:25">
      <c r="A457" s="212">
        <v>4012</v>
      </c>
      <c r="B457" s="212" t="s">
        <v>1642</v>
      </c>
      <c r="C457" s="212">
        <v>1</v>
      </c>
      <c r="D457" s="212" t="s">
        <v>1643</v>
      </c>
      <c r="E457" s="212" t="s">
        <v>2533</v>
      </c>
      <c r="F457" s="212">
        <v>6</v>
      </c>
      <c r="G457" s="212" t="s">
        <v>1645</v>
      </c>
      <c r="H457" s="212">
        <v>0</v>
      </c>
      <c r="I457" s="212" t="s">
        <v>2534</v>
      </c>
      <c r="J457" s="212">
        <v>3167</v>
      </c>
      <c r="K457" s="286">
        <v>17327</v>
      </c>
      <c r="L457" s="286">
        <v>6887</v>
      </c>
      <c r="M457" s="286">
        <v>10423</v>
      </c>
      <c r="N457" s="286">
        <v>107</v>
      </c>
      <c r="O457" s="286">
        <v>49</v>
      </c>
      <c r="P457" s="286">
        <v>58</v>
      </c>
      <c r="Q457" s="286">
        <v>90</v>
      </c>
      <c r="R457" s="286">
        <v>32</v>
      </c>
      <c r="S457" s="286">
        <v>58</v>
      </c>
      <c r="T457" s="286">
        <v>66</v>
      </c>
      <c r="U457" s="286">
        <v>23</v>
      </c>
      <c r="V457" s="286">
        <v>43</v>
      </c>
      <c r="W457" s="286">
        <v>24</v>
      </c>
      <c r="X457" s="286">
        <v>9</v>
      </c>
      <c r="Y457" s="286">
        <v>15</v>
      </c>
    </row>
    <row r="458" spans="1:25">
      <c r="A458" s="212">
        <v>4021</v>
      </c>
      <c r="B458" s="212" t="s">
        <v>1642</v>
      </c>
      <c r="C458" s="212">
        <v>1</v>
      </c>
      <c r="D458" s="212" t="s">
        <v>1643</v>
      </c>
      <c r="E458" s="212" t="s">
        <v>2535</v>
      </c>
      <c r="F458" s="212">
        <v>4</v>
      </c>
      <c r="G458" s="212" t="s">
        <v>1645</v>
      </c>
      <c r="H458" s="212">
        <v>0</v>
      </c>
      <c r="I458" s="212" t="s">
        <v>2536</v>
      </c>
      <c r="J458" s="212">
        <v>1363</v>
      </c>
      <c r="K458" s="286">
        <v>11967</v>
      </c>
      <c r="L458" s="286">
        <v>6261</v>
      </c>
      <c r="M458" s="286">
        <v>5543</v>
      </c>
      <c r="N458" s="286">
        <v>37</v>
      </c>
      <c r="O458" s="286">
        <v>25</v>
      </c>
      <c r="P458" s="286">
        <v>12</v>
      </c>
      <c r="Q458" s="286">
        <v>1161</v>
      </c>
      <c r="R458" s="286">
        <v>413</v>
      </c>
      <c r="S458" s="286">
        <v>748</v>
      </c>
      <c r="T458" s="286">
        <v>404</v>
      </c>
      <c r="U458" s="286">
        <v>73</v>
      </c>
      <c r="V458" s="286">
        <v>331</v>
      </c>
      <c r="W458" s="286">
        <v>757</v>
      </c>
      <c r="X458" s="286">
        <v>340</v>
      </c>
      <c r="Y458" s="286">
        <v>417</v>
      </c>
    </row>
    <row r="459" spans="1:25">
      <c r="A459" s="212">
        <v>4030</v>
      </c>
      <c r="B459" s="212" t="s">
        <v>1642</v>
      </c>
      <c r="C459" s="212">
        <v>1</v>
      </c>
      <c r="D459" s="212" t="s">
        <v>1643</v>
      </c>
      <c r="E459" s="212" t="s">
        <v>2537</v>
      </c>
      <c r="F459" s="212">
        <v>5</v>
      </c>
      <c r="G459" s="212" t="s">
        <v>1645</v>
      </c>
      <c r="H459" s="212">
        <v>0</v>
      </c>
      <c r="I459" s="212" t="s">
        <v>2538</v>
      </c>
      <c r="J459" s="212">
        <v>5</v>
      </c>
      <c r="K459" s="286">
        <v>40</v>
      </c>
      <c r="L459" s="286">
        <v>15</v>
      </c>
      <c r="M459" s="286">
        <v>25</v>
      </c>
      <c r="N459" s="286">
        <v>0</v>
      </c>
      <c r="O459" s="286">
        <v>0</v>
      </c>
      <c r="P459" s="286">
        <v>0</v>
      </c>
      <c r="Q459" s="286">
        <v>4</v>
      </c>
      <c r="R459" s="286">
        <v>0</v>
      </c>
      <c r="S459" s="286">
        <v>4</v>
      </c>
      <c r="T459" s="286">
        <v>0</v>
      </c>
      <c r="U459" s="286">
        <v>0</v>
      </c>
      <c r="V459" s="286">
        <v>0</v>
      </c>
      <c r="W459" s="286">
        <v>4</v>
      </c>
      <c r="X459" s="286">
        <v>0</v>
      </c>
      <c r="Y459" s="286">
        <v>4</v>
      </c>
    </row>
    <row r="460" spans="1:25">
      <c r="A460" s="212">
        <v>4039</v>
      </c>
      <c r="B460" s="212" t="s">
        <v>1642</v>
      </c>
      <c r="C460" s="212">
        <v>1</v>
      </c>
      <c r="D460" s="212" t="s">
        <v>1643</v>
      </c>
      <c r="E460" s="212" t="s">
        <v>2539</v>
      </c>
      <c r="F460" s="212">
        <v>5</v>
      </c>
      <c r="G460" s="212" t="s">
        <v>1645</v>
      </c>
      <c r="H460" s="212">
        <v>0</v>
      </c>
      <c r="I460" s="212" t="s">
        <v>2540</v>
      </c>
      <c r="J460" s="212">
        <v>1000</v>
      </c>
      <c r="K460" s="286">
        <v>9228</v>
      </c>
      <c r="L460" s="286">
        <v>4314</v>
      </c>
      <c r="M460" s="286">
        <v>4854</v>
      </c>
      <c r="N460" s="286">
        <v>13</v>
      </c>
      <c r="O460" s="286">
        <v>9</v>
      </c>
      <c r="P460" s="286">
        <v>4</v>
      </c>
      <c r="Q460" s="286">
        <v>1082</v>
      </c>
      <c r="R460" s="286">
        <v>348</v>
      </c>
      <c r="S460" s="286">
        <v>734</v>
      </c>
      <c r="T460" s="286">
        <v>385</v>
      </c>
      <c r="U460" s="286">
        <v>54</v>
      </c>
      <c r="V460" s="286">
        <v>331</v>
      </c>
      <c r="W460" s="286">
        <v>697</v>
      </c>
      <c r="X460" s="286">
        <v>294</v>
      </c>
      <c r="Y460" s="286">
        <v>403</v>
      </c>
    </row>
    <row r="461" spans="1:25">
      <c r="A461" s="212">
        <v>4048</v>
      </c>
      <c r="B461" s="212" t="s">
        <v>1642</v>
      </c>
      <c r="C461" s="212">
        <v>1</v>
      </c>
      <c r="D461" s="212" t="s">
        <v>1643</v>
      </c>
      <c r="E461" s="212" t="s">
        <v>2541</v>
      </c>
      <c r="F461" s="212">
        <v>5</v>
      </c>
      <c r="G461" s="212" t="s">
        <v>1645</v>
      </c>
      <c r="H461" s="212">
        <v>0</v>
      </c>
      <c r="I461" s="212" t="s">
        <v>2542</v>
      </c>
      <c r="J461" s="212">
        <v>188</v>
      </c>
      <c r="K461" s="286">
        <v>1584</v>
      </c>
      <c r="L461" s="286">
        <v>1274</v>
      </c>
      <c r="M461" s="286">
        <v>221</v>
      </c>
      <c r="N461" s="286">
        <v>1</v>
      </c>
      <c r="O461" s="286">
        <v>0</v>
      </c>
      <c r="P461" s="286">
        <v>1</v>
      </c>
      <c r="Q461" s="286">
        <v>61</v>
      </c>
      <c r="R461" s="286">
        <v>60</v>
      </c>
      <c r="S461" s="286">
        <v>1</v>
      </c>
      <c r="T461" s="286">
        <v>18</v>
      </c>
      <c r="U461" s="286">
        <v>18</v>
      </c>
      <c r="V461" s="286">
        <v>0</v>
      </c>
      <c r="W461" s="286">
        <v>43</v>
      </c>
      <c r="X461" s="286">
        <v>42</v>
      </c>
      <c r="Y461" s="286">
        <v>1</v>
      </c>
    </row>
    <row r="462" spans="1:25">
      <c r="A462" s="212">
        <v>4057</v>
      </c>
      <c r="B462" s="212" t="s">
        <v>1642</v>
      </c>
      <c r="C462" s="212">
        <v>1</v>
      </c>
      <c r="D462" s="212" t="s">
        <v>1643</v>
      </c>
      <c r="E462" s="212" t="s">
        <v>2543</v>
      </c>
      <c r="F462" s="212">
        <v>5</v>
      </c>
      <c r="G462" s="212" t="s">
        <v>1645</v>
      </c>
      <c r="H462" s="212">
        <v>0</v>
      </c>
      <c r="I462" s="212" t="s">
        <v>2544</v>
      </c>
      <c r="J462" s="212">
        <v>170</v>
      </c>
      <c r="K462" s="286">
        <v>1115</v>
      </c>
      <c r="L462" s="286">
        <v>658</v>
      </c>
      <c r="M462" s="286">
        <v>443</v>
      </c>
      <c r="N462" s="286">
        <v>23</v>
      </c>
      <c r="O462" s="286">
        <v>16</v>
      </c>
      <c r="P462" s="286">
        <v>7</v>
      </c>
      <c r="Q462" s="286">
        <v>14</v>
      </c>
      <c r="R462" s="286">
        <v>5</v>
      </c>
      <c r="S462" s="286">
        <v>9</v>
      </c>
      <c r="T462" s="286">
        <v>1</v>
      </c>
      <c r="U462" s="286">
        <v>1</v>
      </c>
      <c r="V462" s="286">
        <v>0</v>
      </c>
      <c r="W462" s="286">
        <v>13</v>
      </c>
      <c r="X462" s="286">
        <v>4</v>
      </c>
      <c r="Y462" s="286">
        <v>9</v>
      </c>
    </row>
    <row r="463" spans="1:25">
      <c r="A463" s="212">
        <v>4066</v>
      </c>
      <c r="B463" s="212" t="s">
        <v>1642</v>
      </c>
      <c r="C463" s="212">
        <v>1</v>
      </c>
      <c r="D463" s="212" t="s">
        <v>1643</v>
      </c>
      <c r="E463" s="212" t="s">
        <v>2545</v>
      </c>
      <c r="F463" s="212">
        <v>2</v>
      </c>
      <c r="G463" s="212" t="s">
        <v>1645</v>
      </c>
      <c r="H463" s="212">
        <v>0</v>
      </c>
      <c r="I463" s="212" t="s">
        <v>2546</v>
      </c>
      <c r="J463" s="212">
        <v>3074</v>
      </c>
      <c r="K463" s="286">
        <v>46745</v>
      </c>
      <c r="L463" s="286">
        <v>19058</v>
      </c>
      <c r="M463" s="286">
        <v>27616</v>
      </c>
      <c r="N463" s="286">
        <v>315</v>
      </c>
      <c r="O463" s="286">
        <v>270</v>
      </c>
      <c r="P463" s="286">
        <v>45</v>
      </c>
      <c r="Q463" s="286">
        <v>1660</v>
      </c>
      <c r="R463" s="286">
        <v>698</v>
      </c>
      <c r="S463" s="286">
        <v>962</v>
      </c>
      <c r="T463" s="286">
        <v>703</v>
      </c>
      <c r="U463" s="286">
        <v>569</v>
      </c>
      <c r="V463" s="286">
        <v>134</v>
      </c>
      <c r="W463" s="286">
        <v>956</v>
      </c>
      <c r="X463" s="286">
        <v>128</v>
      </c>
      <c r="Y463" s="286">
        <v>828</v>
      </c>
    </row>
    <row r="464" spans="1:25">
      <c r="A464" s="212">
        <v>4075</v>
      </c>
      <c r="B464" s="212" t="s">
        <v>1642</v>
      </c>
      <c r="C464" s="212">
        <v>1</v>
      </c>
      <c r="D464" s="212" t="s">
        <v>1643</v>
      </c>
      <c r="E464" s="212" t="s">
        <v>2547</v>
      </c>
      <c r="F464" s="212">
        <v>4</v>
      </c>
      <c r="G464" s="212" t="s">
        <v>1645</v>
      </c>
      <c r="H464" s="212">
        <v>0</v>
      </c>
      <c r="I464" s="212" t="s">
        <v>2548</v>
      </c>
      <c r="J464" s="212">
        <v>567</v>
      </c>
      <c r="K464" s="286">
        <v>13912</v>
      </c>
      <c r="L464" s="286">
        <v>5121</v>
      </c>
      <c r="M464" s="286">
        <v>8791</v>
      </c>
      <c r="N464" s="286">
        <v>126</v>
      </c>
      <c r="O464" s="286">
        <v>106</v>
      </c>
      <c r="P464" s="286">
        <v>20</v>
      </c>
      <c r="Q464" s="286">
        <v>609</v>
      </c>
      <c r="R464" s="286">
        <v>223</v>
      </c>
      <c r="S464" s="286">
        <v>386</v>
      </c>
      <c r="T464" s="286">
        <v>223</v>
      </c>
      <c r="U464" s="286">
        <v>214</v>
      </c>
      <c r="V464" s="286">
        <v>9</v>
      </c>
      <c r="W464" s="286">
        <v>386</v>
      </c>
      <c r="X464" s="286">
        <v>9</v>
      </c>
      <c r="Y464" s="286">
        <v>377</v>
      </c>
    </row>
    <row r="465" spans="1:25">
      <c r="A465" s="212">
        <v>4084</v>
      </c>
      <c r="B465" s="212" t="s">
        <v>1642</v>
      </c>
      <c r="C465" s="212">
        <v>1</v>
      </c>
      <c r="D465" s="212" t="s">
        <v>1643</v>
      </c>
      <c r="E465" s="212" t="s">
        <v>2549</v>
      </c>
      <c r="F465" s="212">
        <v>5</v>
      </c>
      <c r="G465" s="212" t="s">
        <v>1645</v>
      </c>
      <c r="H465" s="212">
        <v>0</v>
      </c>
      <c r="I465" s="212" t="s">
        <v>2550</v>
      </c>
      <c r="J465" s="212">
        <v>2</v>
      </c>
      <c r="K465" s="286">
        <v>38</v>
      </c>
      <c r="L465" s="286">
        <v>17</v>
      </c>
      <c r="M465" s="286">
        <v>21</v>
      </c>
      <c r="N465" s="286">
        <v>0</v>
      </c>
      <c r="O465" s="286">
        <v>0</v>
      </c>
      <c r="P465" s="286">
        <v>0</v>
      </c>
      <c r="Q465" s="286">
        <v>13</v>
      </c>
      <c r="R465" s="286">
        <v>9</v>
      </c>
      <c r="S465" s="286">
        <v>4</v>
      </c>
      <c r="T465" s="286">
        <v>13</v>
      </c>
      <c r="U465" s="286">
        <v>9</v>
      </c>
      <c r="V465" s="286">
        <v>4</v>
      </c>
      <c r="W465" s="286">
        <v>0</v>
      </c>
      <c r="X465" s="286">
        <v>0</v>
      </c>
      <c r="Y465" s="286">
        <v>0</v>
      </c>
    </row>
    <row r="466" spans="1:25">
      <c r="A466" s="212">
        <v>4093</v>
      </c>
      <c r="B466" s="212" t="s">
        <v>1642</v>
      </c>
      <c r="C466" s="212">
        <v>1</v>
      </c>
      <c r="D466" s="212" t="s">
        <v>1643</v>
      </c>
      <c r="E466" s="212" t="s">
        <v>2551</v>
      </c>
      <c r="F466" s="212">
        <v>5</v>
      </c>
      <c r="G466" s="212" t="s">
        <v>1645</v>
      </c>
      <c r="H466" s="212">
        <v>0</v>
      </c>
      <c r="I466" s="212" t="s">
        <v>2552</v>
      </c>
      <c r="J466" s="212">
        <v>1</v>
      </c>
      <c r="K466" s="286">
        <v>66</v>
      </c>
      <c r="L466" s="286">
        <v>31</v>
      </c>
      <c r="M466" s="286">
        <v>35</v>
      </c>
      <c r="N466" s="286">
        <v>0</v>
      </c>
      <c r="O466" s="286">
        <v>0</v>
      </c>
      <c r="P466" s="286">
        <v>0</v>
      </c>
      <c r="Q466" s="286">
        <v>0</v>
      </c>
      <c r="R466" s="286">
        <v>0</v>
      </c>
      <c r="S466" s="286">
        <v>0</v>
      </c>
      <c r="T466" s="286">
        <v>0</v>
      </c>
      <c r="U466" s="286">
        <v>0</v>
      </c>
      <c r="V466" s="286">
        <v>0</v>
      </c>
      <c r="W466" s="286">
        <v>0</v>
      </c>
      <c r="X466" s="286">
        <v>0</v>
      </c>
      <c r="Y466" s="286">
        <v>0</v>
      </c>
    </row>
    <row r="467" spans="1:25">
      <c r="A467" s="212">
        <v>4102</v>
      </c>
      <c r="B467" s="212" t="s">
        <v>1642</v>
      </c>
      <c r="C467" s="212">
        <v>1</v>
      </c>
      <c r="D467" s="212" t="s">
        <v>1643</v>
      </c>
      <c r="E467" s="212" t="s">
        <v>2553</v>
      </c>
      <c r="F467" s="212">
        <v>5</v>
      </c>
      <c r="G467" s="212" t="s">
        <v>1645</v>
      </c>
      <c r="H467" s="212">
        <v>0</v>
      </c>
      <c r="I467" s="212" t="s">
        <v>2554</v>
      </c>
      <c r="J467" s="212">
        <v>564</v>
      </c>
      <c r="K467" s="286">
        <v>13808</v>
      </c>
      <c r="L467" s="286">
        <v>5073</v>
      </c>
      <c r="M467" s="286">
        <v>8735</v>
      </c>
      <c r="N467" s="286">
        <v>126</v>
      </c>
      <c r="O467" s="286">
        <v>106</v>
      </c>
      <c r="P467" s="286">
        <v>20</v>
      </c>
      <c r="Q467" s="286">
        <v>596</v>
      </c>
      <c r="R467" s="286">
        <v>214</v>
      </c>
      <c r="S467" s="286">
        <v>382</v>
      </c>
      <c r="T467" s="286">
        <v>210</v>
      </c>
      <c r="U467" s="286">
        <v>205</v>
      </c>
      <c r="V467" s="286">
        <v>5</v>
      </c>
      <c r="W467" s="286">
        <v>386</v>
      </c>
      <c r="X467" s="286">
        <v>9</v>
      </c>
      <c r="Y467" s="286">
        <v>377</v>
      </c>
    </row>
    <row r="468" spans="1:25">
      <c r="A468" s="212">
        <v>4111</v>
      </c>
      <c r="B468" s="212" t="s">
        <v>1642</v>
      </c>
      <c r="C468" s="212">
        <v>1</v>
      </c>
      <c r="D468" s="212" t="s">
        <v>1643</v>
      </c>
      <c r="E468" s="212" t="s">
        <v>2555</v>
      </c>
      <c r="F468" s="212">
        <v>4</v>
      </c>
      <c r="G468" s="212" t="s">
        <v>1645</v>
      </c>
      <c r="H468" s="212">
        <v>0</v>
      </c>
      <c r="I468" s="212" t="s">
        <v>2556</v>
      </c>
      <c r="J468" s="212">
        <v>612</v>
      </c>
      <c r="K468" s="286">
        <v>9871</v>
      </c>
      <c r="L468" s="286">
        <v>5759</v>
      </c>
      <c r="M468" s="286">
        <v>4112</v>
      </c>
      <c r="N468" s="286">
        <v>130</v>
      </c>
      <c r="O468" s="286">
        <v>118</v>
      </c>
      <c r="P468" s="286">
        <v>12</v>
      </c>
      <c r="Q468" s="286">
        <v>408</v>
      </c>
      <c r="R468" s="286">
        <v>176</v>
      </c>
      <c r="S468" s="286">
        <v>232</v>
      </c>
      <c r="T468" s="286">
        <v>99</v>
      </c>
      <c r="U468" s="286">
        <v>79</v>
      </c>
      <c r="V468" s="286">
        <v>20</v>
      </c>
      <c r="W468" s="286">
        <v>308</v>
      </c>
      <c r="X468" s="286">
        <v>96</v>
      </c>
      <c r="Y468" s="286">
        <v>212</v>
      </c>
    </row>
    <row r="469" spans="1:25">
      <c r="A469" s="212">
        <v>4120</v>
      </c>
      <c r="B469" s="212" t="s">
        <v>1642</v>
      </c>
      <c r="C469" s="212">
        <v>1</v>
      </c>
      <c r="D469" s="212" t="s">
        <v>1643</v>
      </c>
      <c r="E469" s="212" t="s">
        <v>2557</v>
      </c>
      <c r="F469" s="212">
        <v>5</v>
      </c>
      <c r="G469" s="212" t="s">
        <v>1645</v>
      </c>
      <c r="H469" s="212">
        <v>0</v>
      </c>
      <c r="I469" s="212" t="s">
        <v>2558</v>
      </c>
      <c r="J469" s="212">
        <v>0</v>
      </c>
      <c r="K469" s="286">
        <v>0</v>
      </c>
      <c r="L469" s="286">
        <v>0</v>
      </c>
      <c r="M469" s="286">
        <v>0</v>
      </c>
      <c r="N469" s="286">
        <v>0</v>
      </c>
      <c r="O469" s="286">
        <v>0</v>
      </c>
      <c r="P469" s="286">
        <v>0</v>
      </c>
      <c r="Q469" s="286">
        <v>0</v>
      </c>
      <c r="R469" s="286">
        <v>0</v>
      </c>
      <c r="S469" s="286">
        <v>0</v>
      </c>
      <c r="T469" s="286">
        <v>0</v>
      </c>
      <c r="U469" s="286">
        <v>0</v>
      </c>
      <c r="V469" s="286">
        <v>0</v>
      </c>
      <c r="W469" s="286">
        <v>0</v>
      </c>
      <c r="X469" s="286">
        <v>0</v>
      </c>
      <c r="Y469" s="286">
        <v>0</v>
      </c>
    </row>
    <row r="470" spans="1:25">
      <c r="A470" s="212">
        <v>4129</v>
      </c>
      <c r="B470" s="212" t="s">
        <v>1642</v>
      </c>
      <c r="C470" s="212">
        <v>1</v>
      </c>
      <c r="D470" s="212" t="s">
        <v>1643</v>
      </c>
      <c r="E470" s="212" t="s">
        <v>2559</v>
      </c>
      <c r="F470" s="212">
        <v>5</v>
      </c>
      <c r="G470" s="212" t="s">
        <v>1645</v>
      </c>
      <c r="H470" s="212">
        <v>0</v>
      </c>
      <c r="I470" s="212" t="s">
        <v>2560</v>
      </c>
      <c r="J470" s="212">
        <v>558</v>
      </c>
      <c r="K470" s="286">
        <v>9036</v>
      </c>
      <c r="L470" s="286">
        <v>5272</v>
      </c>
      <c r="M470" s="286">
        <v>3764</v>
      </c>
      <c r="N470" s="286">
        <v>104</v>
      </c>
      <c r="O470" s="286">
        <v>94</v>
      </c>
      <c r="P470" s="286">
        <v>10</v>
      </c>
      <c r="Q470" s="286">
        <v>361</v>
      </c>
      <c r="R470" s="286">
        <v>151</v>
      </c>
      <c r="S470" s="286">
        <v>210</v>
      </c>
      <c r="T470" s="286">
        <v>58</v>
      </c>
      <c r="U470" s="286">
        <v>54</v>
      </c>
      <c r="V470" s="286">
        <v>4</v>
      </c>
      <c r="W470" s="286">
        <v>302</v>
      </c>
      <c r="X470" s="286">
        <v>96</v>
      </c>
      <c r="Y470" s="286">
        <v>206</v>
      </c>
    </row>
    <row r="471" spans="1:25">
      <c r="A471" s="212">
        <v>4138</v>
      </c>
      <c r="B471" s="212" t="s">
        <v>1642</v>
      </c>
      <c r="C471" s="212">
        <v>1</v>
      </c>
      <c r="D471" s="212" t="s">
        <v>1643</v>
      </c>
      <c r="E471" s="212" t="s">
        <v>2561</v>
      </c>
      <c r="F471" s="212">
        <v>5</v>
      </c>
      <c r="G471" s="212" t="s">
        <v>1645</v>
      </c>
      <c r="H471" s="212">
        <v>0</v>
      </c>
      <c r="I471" s="212" t="s">
        <v>2562</v>
      </c>
      <c r="J471" s="212">
        <v>54</v>
      </c>
      <c r="K471" s="286">
        <v>835</v>
      </c>
      <c r="L471" s="286">
        <v>487</v>
      </c>
      <c r="M471" s="286">
        <v>348</v>
      </c>
      <c r="N471" s="286">
        <v>26</v>
      </c>
      <c r="O471" s="286">
        <v>24</v>
      </c>
      <c r="P471" s="286">
        <v>2</v>
      </c>
      <c r="Q471" s="286">
        <v>47</v>
      </c>
      <c r="R471" s="286">
        <v>25</v>
      </c>
      <c r="S471" s="286">
        <v>22</v>
      </c>
      <c r="T471" s="286">
        <v>41</v>
      </c>
      <c r="U471" s="286">
        <v>25</v>
      </c>
      <c r="V471" s="286">
        <v>16</v>
      </c>
      <c r="W471" s="286">
        <v>6</v>
      </c>
      <c r="X471" s="286">
        <v>0</v>
      </c>
      <c r="Y471" s="286">
        <v>6</v>
      </c>
    </row>
    <row r="472" spans="1:25">
      <c r="A472" s="212">
        <v>4147</v>
      </c>
      <c r="B472" s="212" t="s">
        <v>1642</v>
      </c>
      <c r="C472" s="212">
        <v>1</v>
      </c>
      <c r="D472" s="212" t="s">
        <v>1643</v>
      </c>
      <c r="E472" s="212" t="s">
        <v>2563</v>
      </c>
      <c r="F472" s="212">
        <v>4</v>
      </c>
      <c r="G472" s="212" t="s">
        <v>1645</v>
      </c>
      <c r="H472" s="212">
        <v>0</v>
      </c>
      <c r="I472" s="212" t="s">
        <v>2564</v>
      </c>
      <c r="J472" s="212">
        <v>167</v>
      </c>
      <c r="K472" s="286">
        <v>1130</v>
      </c>
      <c r="L472" s="286">
        <v>618</v>
      </c>
      <c r="M472" s="286">
        <v>512</v>
      </c>
      <c r="N472" s="286">
        <v>1</v>
      </c>
      <c r="O472" s="286">
        <v>1</v>
      </c>
      <c r="P472" s="286">
        <v>0</v>
      </c>
      <c r="Q472" s="286">
        <v>94</v>
      </c>
      <c r="R472" s="286">
        <v>24</v>
      </c>
      <c r="S472" s="286">
        <v>70</v>
      </c>
      <c r="T472" s="286">
        <v>62</v>
      </c>
      <c r="U472" s="286">
        <v>24</v>
      </c>
      <c r="V472" s="286">
        <v>38</v>
      </c>
      <c r="W472" s="286">
        <v>32</v>
      </c>
      <c r="X472" s="286">
        <v>0</v>
      </c>
      <c r="Y472" s="286">
        <v>32</v>
      </c>
    </row>
    <row r="473" spans="1:25">
      <c r="A473" s="212">
        <v>4156</v>
      </c>
      <c r="B473" s="212" t="s">
        <v>1642</v>
      </c>
      <c r="C473" s="212">
        <v>1</v>
      </c>
      <c r="D473" s="212" t="s">
        <v>1643</v>
      </c>
      <c r="E473" s="212" t="s">
        <v>2565</v>
      </c>
      <c r="F473" s="212">
        <v>5</v>
      </c>
      <c r="G473" s="212" t="s">
        <v>1645</v>
      </c>
      <c r="H473" s="212">
        <v>0</v>
      </c>
      <c r="I473" s="212" t="s">
        <v>2566</v>
      </c>
      <c r="J473" s="212">
        <v>0</v>
      </c>
      <c r="K473" s="286">
        <v>0</v>
      </c>
      <c r="L473" s="286">
        <v>0</v>
      </c>
      <c r="M473" s="286">
        <v>0</v>
      </c>
      <c r="N473" s="286">
        <v>0</v>
      </c>
      <c r="O473" s="286">
        <v>0</v>
      </c>
      <c r="P473" s="286">
        <v>0</v>
      </c>
      <c r="Q473" s="286">
        <v>0</v>
      </c>
      <c r="R473" s="286">
        <v>0</v>
      </c>
      <c r="S473" s="286">
        <v>0</v>
      </c>
      <c r="T473" s="286">
        <v>0</v>
      </c>
      <c r="U473" s="286">
        <v>0</v>
      </c>
      <c r="V473" s="286">
        <v>0</v>
      </c>
      <c r="W473" s="286">
        <v>0</v>
      </c>
      <c r="X473" s="286">
        <v>0</v>
      </c>
      <c r="Y473" s="286">
        <v>0</v>
      </c>
    </row>
    <row r="474" spans="1:25">
      <c r="A474" s="212">
        <v>4165</v>
      </c>
      <c r="B474" s="212" t="s">
        <v>1642</v>
      </c>
      <c r="C474" s="212">
        <v>1</v>
      </c>
      <c r="D474" s="212" t="s">
        <v>1643</v>
      </c>
      <c r="E474" s="212" t="s">
        <v>2567</v>
      </c>
      <c r="F474" s="212">
        <v>5</v>
      </c>
      <c r="G474" s="212" t="s">
        <v>1645</v>
      </c>
      <c r="H474" s="212">
        <v>0</v>
      </c>
      <c r="I474" s="212" t="s">
        <v>2568</v>
      </c>
      <c r="J474" s="212">
        <v>47</v>
      </c>
      <c r="K474" s="286">
        <v>171</v>
      </c>
      <c r="L474" s="286">
        <v>101</v>
      </c>
      <c r="M474" s="286">
        <v>70</v>
      </c>
      <c r="N474" s="286">
        <v>0</v>
      </c>
      <c r="O474" s="286">
        <v>0</v>
      </c>
      <c r="P474" s="286">
        <v>0</v>
      </c>
      <c r="Q474" s="286">
        <v>27</v>
      </c>
      <c r="R474" s="286">
        <v>10</v>
      </c>
      <c r="S474" s="286">
        <v>17</v>
      </c>
      <c r="T474" s="286">
        <v>11</v>
      </c>
      <c r="U474" s="286">
        <v>10</v>
      </c>
      <c r="V474" s="286">
        <v>1</v>
      </c>
      <c r="W474" s="286">
        <v>16</v>
      </c>
      <c r="X474" s="286">
        <v>0</v>
      </c>
      <c r="Y474" s="286">
        <v>16</v>
      </c>
    </row>
    <row r="475" spans="1:25">
      <c r="A475" s="212">
        <v>4174</v>
      </c>
      <c r="B475" s="212" t="s">
        <v>1642</v>
      </c>
      <c r="C475" s="212">
        <v>1</v>
      </c>
      <c r="D475" s="212" t="s">
        <v>1643</v>
      </c>
      <c r="E475" s="212" t="s">
        <v>2569</v>
      </c>
      <c r="F475" s="212">
        <v>5</v>
      </c>
      <c r="G475" s="212" t="s">
        <v>1645</v>
      </c>
      <c r="H475" s="212">
        <v>0</v>
      </c>
      <c r="I475" s="212" t="s">
        <v>2570</v>
      </c>
      <c r="J475" s="212">
        <v>74</v>
      </c>
      <c r="K475" s="286">
        <v>225</v>
      </c>
      <c r="L475" s="286">
        <v>111</v>
      </c>
      <c r="M475" s="286">
        <v>114</v>
      </c>
      <c r="N475" s="286">
        <v>0</v>
      </c>
      <c r="O475" s="286">
        <v>0</v>
      </c>
      <c r="P475" s="286">
        <v>0</v>
      </c>
      <c r="Q475" s="286">
        <v>0</v>
      </c>
      <c r="R475" s="286">
        <v>0</v>
      </c>
      <c r="S475" s="286">
        <v>0</v>
      </c>
      <c r="T475" s="286">
        <v>0</v>
      </c>
      <c r="U475" s="286">
        <v>0</v>
      </c>
      <c r="V475" s="286">
        <v>0</v>
      </c>
      <c r="W475" s="286">
        <v>0</v>
      </c>
      <c r="X475" s="286">
        <v>0</v>
      </c>
      <c r="Y475" s="286">
        <v>0</v>
      </c>
    </row>
    <row r="476" spans="1:25">
      <c r="A476" s="212">
        <v>4183</v>
      </c>
      <c r="B476" s="212" t="s">
        <v>1642</v>
      </c>
      <c r="C476" s="212">
        <v>1</v>
      </c>
      <c r="D476" s="212" t="s">
        <v>1643</v>
      </c>
      <c r="E476" s="212" t="s">
        <v>2571</v>
      </c>
      <c r="F476" s="212">
        <v>5</v>
      </c>
      <c r="G476" s="212" t="s">
        <v>1645</v>
      </c>
      <c r="H476" s="212">
        <v>0</v>
      </c>
      <c r="I476" s="212" t="s">
        <v>2572</v>
      </c>
      <c r="J476" s="212">
        <v>28</v>
      </c>
      <c r="K476" s="286">
        <v>445</v>
      </c>
      <c r="L476" s="286">
        <v>214</v>
      </c>
      <c r="M476" s="286">
        <v>231</v>
      </c>
      <c r="N476" s="286">
        <v>0</v>
      </c>
      <c r="O476" s="286">
        <v>0</v>
      </c>
      <c r="P476" s="286">
        <v>0</v>
      </c>
      <c r="Q476" s="286">
        <v>60</v>
      </c>
      <c r="R476" s="286">
        <v>10</v>
      </c>
      <c r="S476" s="286">
        <v>50</v>
      </c>
      <c r="T476" s="286">
        <v>46</v>
      </c>
      <c r="U476" s="286">
        <v>10</v>
      </c>
      <c r="V476" s="286">
        <v>36</v>
      </c>
      <c r="W476" s="286">
        <v>14</v>
      </c>
      <c r="X476" s="286">
        <v>0</v>
      </c>
      <c r="Y476" s="286">
        <v>14</v>
      </c>
    </row>
    <row r="477" spans="1:25">
      <c r="A477" s="212">
        <v>4192</v>
      </c>
      <c r="B477" s="212" t="s">
        <v>1642</v>
      </c>
      <c r="C477" s="212">
        <v>1</v>
      </c>
      <c r="D477" s="212" t="s">
        <v>1643</v>
      </c>
      <c r="E477" s="212" t="s">
        <v>2573</v>
      </c>
      <c r="F477" s="212">
        <v>5</v>
      </c>
      <c r="G477" s="212" t="s">
        <v>1645</v>
      </c>
      <c r="H477" s="212">
        <v>0</v>
      </c>
      <c r="I477" s="212" t="s">
        <v>2574</v>
      </c>
      <c r="J477" s="212">
        <v>18</v>
      </c>
      <c r="K477" s="286">
        <v>289</v>
      </c>
      <c r="L477" s="286">
        <v>192</v>
      </c>
      <c r="M477" s="286">
        <v>97</v>
      </c>
      <c r="N477" s="286">
        <v>1</v>
      </c>
      <c r="O477" s="286">
        <v>1</v>
      </c>
      <c r="P477" s="286">
        <v>0</v>
      </c>
      <c r="Q477" s="286">
        <v>7</v>
      </c>
      <c r="R477" s="286">
        <v>4</v>
      </c>
      <c r="S477" s="286">
        <v>3</v>
      </c>
      <c r="T477" s="286">
        <v>5</v>
      </c>
      <c r="U477" s="286">
        <v>4</v>
      </c>
      <c r="V477" s="286">
        <v>1</v>
      </c>
      <c r="W477" s="286">
        <v>2</v>
      </c>
      <c r="X477" s="286">
        <v>0</v>
      </c>
      <c r="Y477" s="286">
        <v>2</v>
      </c>
    </row>
    <row r="478" spans="1:25">
      <c r="A478" s="212">
        <v>4201</v>
      </c>
      <c r="B478" s="212" t="s">
        <v>1642</v>
      </c>
      <c r="C478" s="212">
        <v>1</v>
      </c>
      <c r="D478" s="212" t="s">
        <v>1643</v>
      </c>
      <c r="E478" s="212" t="s">
        <v>2575</v>
      </c>
      <c r="F478" s="212">
        <v>4</v>
      </c>
      <c r="G478" s="212" t="s">
        <v>1645</v>
      </c>
      <c r="H478" s="212">
        <v>0</v>
      </c>
      <c r="I478" s="212" t="s">
        <v>2576</v>
      </c>
      <c r="J478" s="212">
        <v>141</v>
      </c>
      <c r="K478" s="286">
        <v>1985</v>
      </c>
      <c r="L478" s="286">
        <v>1239</v>
      </c>
      <c r="M478" s="286">
        <v>739</v>
      </c>
      <c r="N478" s="286">
        <v>0</v>
      </c>
      <c r="O478" s="286">
        <v>0</v>
      </c>
      <c r="P478" s="286">
        <v>0</v>
      </c>
      <c r="Q478" s="286">
        <v>111</v>
      </c>
      <c r="R478" s="286">
        <v>30</v>
      </c>
      <c r="S478" s="286">
        <v>81</v>
      </c>
      <c r="T478" s="286">
        <v>39</v>
      </c>
      <c r="U478" s="286">
        <v>27</v>
      </c>
      <c r="V478" s="286">
        <v>12</v>
      </c>
      <c r="W478" s="286">
        <v>72</v>
      </c>
      <c r="X478" s="286">
        <v>3</v>
      </c>
      <c r="Y478" s="286">
        <v>69</v>
      </c>
    </row>
    <row r="479" spans="1:25">
      <c r="A479" s="212">
        <v>4210</v>
      </c>
      <c r="B479" s="212" t="s">
        <v>1642</v>
      </c>
      <c r="C479" s="212">
        <v>1</v>
      </c>
      <c r="D479" s="212" t="s">
        <v>1643</v>
      </c>
      <c r="E479" s="212" t="s">
        <v>2577</v>
      </c>
      <c r="F479" s="212">
        <v>5</v>
      </c>
      <c r="G479" s="212" t="s">
        <v>1645</v>
      </c>
      <c r="H479" s="212">
        <v>0</v>
      </c>
      <c r="I479" s="212" t="s">
        <v>2578</v>
      </c>
      <c r="J479" s="212">
        <v>0</v>
      </c>
      <c r="K479" s="286">
        <v>0</v>
      </c>
      <c r="L479" s="286">
        <v>0</v>
      </c>
      <c r="M479" s="286">
        <v>0</v>
      </c>
      <c r="N479" s="286">
        <v>0</v>
      </c>
      <c r="O479" s="286">
        <v>0</v>
      </c>
      <c r="P479" s="286">
        <v>0</v>
      </c>
      <c r="Q479" s="286">
        <v>0</v>
      </c>
      <c r="R479" s="286">
        <v>0</v>
      </c>
      <c r="S479" s="286">
        <v>0</v>
      </c>
      <c r="T479" s="286">
        <v>0</v>
      </c>
      <c r="U479" s="286">
        <v>0</v>
      </c>
      <c r="V479" s="286">
        <v>0</v>
      </c>
      <c r="W479" s="286">
        <v>0</v>
      </c>
      <c r="X479" s="286">
        <v>0</v>
      </c>
      <c r="Y479" s="286">
        <v>0</v>
      </c>
    </row>
    <row r="480" spans="1:25">
      <c r="A480" s="212">
        <v>4219</v>
      </c>
      <c r="B480" s="212" t="s">
        <v>1642</v>
      </c>
      <c r="C480" s="212">
        <v>1</v>
      </c>
      <c r="D480" s="212" t="s">
        <v>1643</v>
      </c>
      <c r="E480" s="212" t="s">
        <v>2579</v>
      </c>
      <c r="F480" s="212">
        <v>5</v>
      </c>
      <c r="G480" s="212" t="s">
        <v>1645</v>
      </c>
      <c r="H480" s="212">
        <v>0</v>
      </c>
      <c r="I480" s="212" t="s">
        <v>2580</v>
      </c>
      <c r="J480" s="212">
        <v>136</v>
      </c>
      <c r="K480" s="286">
        <v>1966</v>
      </c>
      <c r="L480" s="286">
        <v>1223</v>
      </c>
      <c r="M480" s="286">
        <v>736</v>
      </c>
      <c r="N480" s="286">
        <v>0</v>
      </c>
      <c r="O480" s="286">
        <v>0</v>
      </c>
      <c r="P480" s="286">
        <v>0</v>
      </c>
      <c r="Q480" s="286">
        <v>111</v>
      </c>
      <c r="R480" s="286">
        <v>30</v>
      </c>
      <c r="S480" s="286">
        <v>81</v>
      </c>
      <c r="T480" s="286">
        <v>39</v>
      </c>
      <c r="U480" s="286">
        <v>27</v>
      </c>
      <c r="V480" s="286">
        <v>12</v>
      </c>
      <c r="W480" s="286">
        <v>72</v>
      </c>
      <c r="X480" s="286">
        <v>3</v>
      </c>
      <c r="Y480" s="286">
        <v>69</v>
      </c>
    </row>
    <row r="481" spans="1:25">
      <c r="A481" s="212">
        <v>4228</v>
      </c>
      <c r="B481" s="212" t="s">
        <v>1642</v>
      </c>
      <c r="C481" s="212">
        <v>1</v>
      </c>
      <c r="D481" s="212" t="s">
        <v>1643</v>
      </c>
      <c r="E481" s="212" t="s">
        <v>2581</v>
      </c>
      <c r="F481" s="212">
        <v>5</v>
      </c>
      <c r="G481" s="212" t="s">
        <v>1645</v>
      </c>
      <c r="H481" s="212">
        <v>0</v>
      </c>
      <c r="I481" s="212" t="s">
        <v>2582</v>
      </c>
      <c r="J481" s="212">
        <v>5</v>
      </c>
      <c r="K481" s="286">
        <v>19</v>
      </c>
      <c r="L481" s="286">
        <v>16</v>
      </c>
      <c r="M481" s="286">
        <v>3</v>
      </c>
      <c r="N481" s="286">
        <v>0</v>
      </c>
      <c r="O481" s="286">
        <v>0</v>
      </c>
      <c r="P481" s="286">
        <v>0</v>
      </c>
      <c r="Q481" s="286">
        <v>0</v>
      </c>
      <c r="R481" s="286">
        <v>0</v>
      </c>
      <c r="S481" s="286">
        <v>0</v>
      </c>
      <c r="T481" s="286">
        <v>0</v>
      </c>
      <c r="U481" s="286">
        <v>0</v>
      </c>
      <c r="V481" s="286">
        <v>0</v>
      </c>
      <c r="W481" s="286">
        <v>0</v>
      </c>
      <c r="X481" s="286">
        <v>0</v>
      </c>
      <c r="Y481" s="286">
        <v>0</v>
      </c>
    </row>
    <row r="482" spans="1:25">
      <c r="A482" s="212">
        <v>4237</v>
      </c>
      <c r="B482" s="212" t="s">
        <v>1642</v>
      </c>
      <c r="C482" s="212">
        <v>1</v>
      </c>
      <c r="D482" s="212" t="s">
        <v>1643</v>
      </c>
      <c r="E482" s="212" t="s">
        <v>2583</v>
      </c>
      <c r="F482" s="212">
        <v>4</v>
      </c>
      <c r="G482" s="212" t="s">
        <v>1645</v>
      </c>
      <c r="H482" s="212">
        <v>0</v>
      </c>
      <c r="I482" s="212" t="s">
        <v>2584</v>
      </c>
      <c r="J482" s="212">
        <v>47</v>
      </c>
      <c r="K482" s="286">
        <v>559</v>
      </c>
      <c r="L482" s="286">
        <v>367</v>
      </c>
      <c r="M482" s="286">
        <v>192</v>
      </c>
      <c r="N482" s="286">
        <v>10</v>
      </c>
      <c r="O482" s="286">
        <v>10</v>
      </c>
      <c r="P482" s="286">
        <v>0</v>
      </c>
      <c r="Q482" s="286">
        <v>70</v>
      </c>
      <c r="R482" s="286">
        <v>47</v>
      </c>
      <c r="S482" s="286">
        <v>23</v>
      </c>
      <c r="T482" s="286">
        <v>52</v>
      </c>
      <c r="U482" s="286">
        <v>44</v>
      </c>
      <c r="V482" s="286">
        <v>8</v>
      </c>
      <c r="W482" s="286">
        <v>18</v>
      </c>
      <c r="X482" s="286">
        <v>3</v>
      </c>
      <c r="Y482" s="286">
        <v>15</v>
      </c>
    </row>
    <row r="483" spans="1:25">
      <c r="A483" s="212">
        <v>4246</v>
      </c>
      <c r="B483" s="212" t="s">
        <v>1642</v>
      </c>
      <c r="C483" s="212">
        <v>1</v>
      </c>
      <c r="D483" s="212" t="s">
        <v>1643</v>
      </c>
      <c r="E483" s="212" t="s">
        <v>2585</v>
      </c>
      <c r="F483" s="212">
        <v>5</v>
      </c>
      <c r="G483" s="212" t="s">
        <v>1645</v>
      </c>
      <c r="H483" s="212">
        <v>0</v>
      </c>
      <c r="I483" s="212" t="s">
        <v>2586</v>
      </c>
      <c r="J483" s="212">
        <v>0</v>
      </c>
      <c r="K483" s="286">
        <v>0</v>
      </c>
      <c r="L483" s="286">
        <v>0</v>
      </c>
      <c r="M483" s="286">
        <v>0</v>
      </c>
      <c r="N483" s="286">
        <v>0</v>
      </c>
      <c r="O483" s="286">
        <v>0</v>
      </c>
      <c r="P483" s="286">
        <v>0</v>
      </c>
      <c r="Q483" s="286">
        <v>0</v>
      </c>
      <c r="R483" s="286">
        <v>0</v>
      </c>
      <c r="S483" s="286">
        <v>0</v>
      </c>
      <c r="T483" s="286">
        <v>0</v>
      </c>
      <c r="U483" s="286">
        <v>0</v>
      </c>
      <c r="V483" s="286">
        <v>0</v>
      </c>
      <c r="W483" s="286">
        <v>0</v>
      </c>
      <c r="X483" s="286">
        <v>0</v>
      </c>
      <c r="Y483" s="286">
        <v>0</v>
      </c>
    </row>
    <row r="484" spans="1:25">
      <c r="A484" s="212">
        <v>4255</v>
      </c>
      <c r="B484" s="212" t="s">
        <v>1642</v>
      </c>
      <c r="C484" s="212">
        <v>1</v>
      </c>
      <c r="D484" s="212" t="s">
        <v>1643</v>
      </c>
      <c r="E484" s="212" t="s">
        <v>2587</v>
      </c>
      <c r="F484" s="212">
        <v>5</v>
      </c>
      <c r="G484" s="212" t="s">
        <v>1645</v>
      </c>
      <c r="H484" s="212">
        <v>0</v>
      </c>
      <c r="I484" s="212" t="s">
        <v>2588</v>
      </c>
      <c r="J484" s="212">
        <v>31</v>
      </c>
      <c r="K484" s="286">
        <v>491</v>
      </c>
      <c r="L484" s="286">
        <v>342</v>
      </c>
      <c r="M484" s="286">
        <v>149</v>
      </c>
      <c r="N484" s="286">
        <v>10</v>
      </c>
      <c r="O484" s="286">
        <v>10</v>
      </c>
      <c r="P484" s="286">
        <v>0</v>
      </c>
      <c r="Q484" s="286">
        <v>39</v>
      </c>
      <c r="R484" s="286">
        <v>20</v>
      </c>
      <c r="S484" s="286">
        <v>19</v>
      </c>
      <c r="T484" s="286">
        <v>24</v>
      </c>
      <c r="U484" s="286">
        <v>20</v>
      </c>
      <c r="V484" s="286">
        <v>4</v>
      </c>
      <c r="W484" s="286">
        <v>15</v>
      </c>
      <c r="X484" s="286">
        <v>0</v>
      </c>
      <c r="Y484" s="286">
        <v>15</v>
      </c>
    </row>
    <row r="485" spans="1:25">
      <c r="A485" s="212">
        <v>4264</v>
      </c>
      <c r="B485" s="212" t="s">
        <v>1642</v>
      </c>
      <c r="C485" s="212">
        <v>1</v>
      </c>
      <c r="D485" s="212" t="s">
        <v>1643</v>
      </c>
      <c r="E485" s="212" t="s">
        <v>2589</v>
      </c>
      <c r="F485" s="212">
        <v>5</v>
      </c>
      <c r="G485" s="212" t="s">
        <v>1645</v>
      </c>
      <c r="H485" s="212">
        <v>0</v>
      </c>
      <c r="I485" s="212" t="s">
        <v>2590</v>
      </c>
      <c r="J485" s="212">
        <v>0</v>
      </c>
      <c r="K485" s="286">
        <v>0</v>
      </c>
      <c r="L485" s="286">
        <v>0</v>
      </c>
      <c r="M485" s="286">
        <v>0</v>
      </c>
      <c r="N485" s="286">
        <v>0</v>
      </c>
      <c r="O485" s="286">
        <v>0</v>
      </c>
      <c r="P485" s="286">
        <v>0</v>
      </c>
      <c r="Q485" s="286">
        <v>0</v>
      </c>
      <c r="R485" s="286">
        <v>0</v>
      </c>
      <c r="S485" s="286">
        <v>0</v>
      </c>
      <c r="T485" s="286">
        <v>0</v>
      </c>
      <c r="U485" s="286">
        <v>0</v>
      </c>
      <c r="V485" s="286">
        <v>0</v>
      </c>
      <c r="W485" s="286">
        <v>0</v>
      </c>
      <c r="X485" s="286">
        <v>0</v>
      </c>
      <c r="Y485" s="286">
        <v>0</v>
      </c>
    </row>
    <row r="486" spans="1:25">
      <c r="A486" s="212">
        <v>4273</v>
      </c>
      <c r="B486" s="212" t="s">
        <v>1642</v>
      </c>
      <c r="C486" s="212">
        <v>1</v>
      </c>
      <c r="D486" s="212" t="s">
        <v>1643</v>
      </c>
      <c r="E486" s="212" t="s">
        <v>2591</v>
      </c>
      <c r="F486" s="212">
        <v>5</v>
      </c>
      <c r="G486" s="212" t="s">
        <v>1645</v>
      </c>
      <c r="H486" s="212">
        <v>0</v>
      </c>
      <c r="I486" s="212" t="s">
        <v>2592</v>
      </c>
      <c r="J486" s="212">
        <v>16</v>
      </c>
      <c r="K486" s="286">
        <v>68</v>
      </c>
      <c r="L486" s="286">
        <v>25</v>
      </c>
      <c r="M486" s="286">
        <v>43</v>
      </c>
      <c r="N486" s="286">
        <v>0</v>
      </c>
      <c r="O486" s="286">
        <v>0</v>
      </c>
      <c r="P486" s="286">
        <v>0</v>
      </c>
      <c r="Q486" s="286">
        <v>31</v>
      </c>
      <c r="R486" s="286">
        <v>27</v>
      </c>
      <c r="S486" s="286">
        <v>4</v>
      </c>
      <c r="T486" s="286">
        <v>28</v>
      </c>
      <c r="U486" s="286">
        <v>24</v>
      </c>
      <c r="V486" s="286">
        <v>4</v>
      </c>
      <c r="W486" s="286">
        <v>3</v>
      </c>
      <c r="X486" s="286">
        <v>3</v>
      </c>
      <c r="Y486" s="286">
        <v>0</v>
      </c>
    </row>
    <row r="487" spans="1:25">
      <c r="A487" s="212">
        <v>4282</v>
      </c>
      <c r="B487" s="212" t="s">
        <v>1642</v>
      </c>
      <c r="C487" s="212">
        <v>1</v>
      </c>
      <c r="D487" s="212" t="s">
        <v>1643</v>
      </c>
      <c r="E487" s="212" t="s">
        <v>2593</v>
      </c>
      <c r="F487" s="212">
        <v>4</v>
      </c>
      <c r="G487" s="212" t="s">
        <v>1645</v>
      </c>
      <c r="H487" s="212">
        <v>0</v>
      </c>
      <c r="I487" s="212" t="s">
        <v>2594</v>
      </c>
      <c r="J487" s="212">
        <v>1539</v>
      </c>
      <c r="K487" s="286">
        <v>19280</v>
      </c>
      <c r="L487" s="286">
        <v>5952</v>
      </c>
      <c r="M487" s="286">
        <v>13264</v>
      </c>
      <c r="N487" s="286">
        <v>48</v>
      </c>
      <c r="O487" s="286">
        <v>35</v>
      </c>
      <c r="P487" s="286">
        <v>13</v>
      </c>
      <c r="Q487" s="286">
        <v>368</v>
      </c>
      <c r="R487" s="286">
        <v>198</v>
      </c>
      <c r="S487" s="286">
        <v>170</v>
      </c>
      <c r="T487" s="286">
        <v>228</v>
      </c>
      <c r="U487" s="286">
        <v>181</v>
      </c>
      <c r="V487" s="286">
        <v>47</v>
      </c>
      <c r="W487" s="286">
        <v>140</v>
      </c>
      <c r="X487" s="286">
        <v>17</v>
      </c>
      <c r="Y487" s="286">
        <v>123</v>
      </c>
    </row>
    <row r="488" spans="1:25">
      <c r="A488" s="212">
        <v>4291</v>
      </c>
      <c r="B488" s="212" t="s">
        <v>1642</v>
      </c>
      <c r="C488" s="212">
        <v>1</v>
      </c>
      <c r="D488" s="212" t="s">
        <v>1643</v>
      </c>
      <c r="E488" s="212" t="s">
        <v>2595</v>
      </c>
      <c r="F488" s="212">
        <v>5</v>
      </c>
      <c r="G488" s="212" t="s">
        <v>1645</v>
      </c>
      <c r="H488" s="212">
        <v>0</v>
      </c>
      <c r="I488" s="212" t="s">
        <v>2596</v>
      </c>
      <c r="J488" s="212">
        <v>1</v>
      </c>
      <c r="K488" s="286">
        <v>23</v>
      </c>
      <c r="L488" s="286">
        <v>19</v>
      </c>
      <c r="M488" s="286">
        <v>4</v>
      </c>
      <c r="N488" s="286">
        <v>0</v>
      </c>
      <c r="O488" s="286">
        <v>0</v>
      </c>
      <c r="P488" s="286">
        <v>0</v>
      </c>
      <c r="Q488" s="286">
        <v>4</v>
      </c>
      <c r="R488" s="286">
        <v>4</v>
      </c>
      <c r="S488" s="286">
        <v>0</v>
      </c>
      <c r="T488" s="286">
        <v>4</v>
      </c>
      <c r="U488" s="286">
        <v>4</v>
      </c>
      <c r="V488" s="286">
        <v>0</v>
      </c>
      <c r="W488" s="286">
        <v>0</v>
      </c>
      <c r="X488" s="286">
        <v>0</v>
      </c>
      <c r="Y488" s="286">
        <v>0</v>
      </c>
    </row>
    <row r="489" spans="1:25">
      <c r="A489" s="212">
        <v>4300</v>
      </c>
      <c r="B489" s="212" t="s">
        <v>1642</v>
      </c>
      <c r="C489" s="212">
        <v>1</v>
      </c>
      <c r="D489" s="212" t="s">
        <v>1643</v>
      </c>
      <c r="E489" s="212" t="s">
        <v>2597</v>
      </c>
      <c r="F489" s="212">
        <v>5</v>
      </c>
      <c r="G489" s="212" t="s">
        <v>1645</v>
      </c>
      <c r="H489" s="212">
        <v>0</v>
      </c>
      <c r="I489" s="212" t="s">
        <v>2598</v>
      </c>
      <c r="J489" s="212">
        <v>400</v>
      </c>
      <c r="K489" s="286">
        <v>11219</v>
      </c>
      <c r="L489" s="286">
        <v>1717</v>
      </c>
      <c r="M489" s="286">
        <v>9502</v>
      </c>
      <c r="N489" s="286">
        <v>0</v>
      </c>
      <c r="O489" s="286">
        <v>0</v>
      </c>
      <c r="P489" s="286">
        <v>0</v>
      </c>
      <c r="Q489" s="286">
        <v>51</v>
      </c>
      <c r="R489" s="286">
        <v>20</v>
      </c>
      <c r="S489" s="286">
        <v>31</v>
      </c>
      <c r="T489" s="286">
        <v>23</v>
      </c>
      <c r="U489" s="286">
        <v>18</v>
      </c>
      <c r="V489" s="286">
        <v>5</v>
      </c>
      <c r="W489" s="286">
        <v>28</v>
      </c>
      <c r="X489" s="286">
        <v>2</v>
      </c>
      <c r="Y489" s="286">
        <v>26</v>
      </c>
    </row>
    <row r="490" spans="1:25">
      <c r="A490" s="212">
        <v>4309</v>
      </c>
      <c r="B490" s="212" t="s">
        <v>1642</v>
      </c>
      <c r="C490" s="212">
        <v>1</v>
      </c>
      <c r="D490" s="212" t="s">
        <v>1643</v>
      </c>
      <c r="E490" s="212" t="s">
        <v>2599</v>
      </c>
      <c r="F490" s="212">
        <v>5</v>
      </c>
      <c r="G490" s="212" t="s">
        <v>1645</v>
      </c>
      <c r="H490" s="212">
        <v>0</v>
      </c>
      <c r="I490" s="212" t="s">
        <v>2600</v>
      </c>
      <c r="J490" s="212">
        <v>85</v>
      </c>
      <c r="K490" s="286">
        <v>2406</v>
      </c>
      <c r="L490" s="286">
        <v>1030</v>
      </c>
      <c r="M490" s="286">
        <v>1376</v>
      </c>
      <c r="N490" s="286">
        <v>7</v>
      </c>
      <c r="O490" s="286">
        <v>7</v>
      </c>
      <c r="P490" s="286">
        <v>0</v>
      </c>
      <c r="Q490" s="286">
        <v>29</v>
      </c>
      <c r="R490" s="286">
        <v>14</v>
      </c>
      <c r="S490" s="286">
        <v>15</v>
      </c>
      <c r="T490" s="286">
        <v>18</v>
      </c>
      <c r="U490" s="286">
        <v>14</v>
      </c>
      <c r="V490" s="286">
        <v>4</v>
      </c>
      <c r="W490" s="286">
        <v>11</v>
      </c>
      <c r="X490" s="286">
        <v>0</v>
      </c>
      <c r="Y490" s="286">
        <v>11</v>
      </c>
    </row>
    <row r="491" spans="1:25">
      <c r="A491" s="212">
        <v>4318</v>
      </c>
      <c r="B491" s="212" t="s">
        <v>1642</v>
      </c>
      <c r="C491" s="212">
        <v>1</v>
      </c>
      <c r="D491" s="212" t="s">
        <v>1643</v>
      </c>
      <c r="E491" s="212" t="s">
        <v>2601</v>
      </c>
      <c r="F491" s="212">
        <v>5</v>
      </c>
      <c r="G491" s="212" t="s">
        <v>1645</v>
      </c>
      <c r="H491" s="212">
        <v>0</v>
      </c>
      <c r="I491" s="212" t="s">
        <v>2602</v>
      </c>
      <c r="J491" s="212">
        <v>48</v>
      </c>
      <c r="K491" s="286">
        <v>996</v>
      </c>
      <c r="L491" s="286">
        <v>562</v>
      </c>
      <c r="M491" s="286">
        <v>422</v>
      </c>
      <c r="N491" s="286">
        <v>16</v>
      </c>
      <c r="O491" s="286">
        <v>14</v>
      </c>
      <c r="P491" s="286">
        <v>2</v>
      </c>
      <c r="Q491" s="286">
        <v>25</v>
      </c>
      <c r="R491" s="286">
        <v>7</v>
      </c>
      <c r="S491" s="286">
        <v>18</v>
      </c>
      <c r="T491" s="286">
        <v>7</v>
      </c>
      <c r="U491" s="286">
        <v>7</v>
      </c>
      <c r="V491" s="286">
        <v>0</v>
      </c>
      <c r="W491" s="286">
        <v>18</v>
      </c>
      <c r="X491" s="286">
        <v>0</v>
      </c>
      <c r="Y491" s="286">
        <v>18</v>
      </c>
    </row>
    <row r="492" spans="1:25">
      <c r="A492" s="212">
        <v>4327</v>
      </c>
      <c r="B492" s="212" t="s">
        <v>1642</v>
      </c>
      <c r="C492" s="212">
        <v>1</v>
      </c>
      <c r="D492" s="212" t="s">
        <v>1643</v>
      </c>
      <c r="E492" s="212" t="s">
        <v>2603</v>
      </c>
      <c r="F492" s="212">
        <v>5</v>
      </c>
      <c r="G492" s="212" t="s">
        <v>1645</v>
      </c>
      <c r="H492" s="212">
        <v>0</v>
      </c>
      <c r="I492" s="212" t="s">
        <v>2604</v>
      </c>
      <c r="J492" s="212">
        <v>958</v>
      </c>
      <c r="K492" s="286">
        <v>4288</v>
      </c>
      <c r="L492" s="286">
        <v>2349</v>
      </c>
      <c r="M492" s="286">
        <v>1887</v>
      </c>
      <c r="N492" s="286">
        <v>22</v>
      </c>
      <c r="O492" s="286">
        <v>12</v>
      </c>
      <c r="P492" s="286">
        <v>10</v>
      </c>
      <c r="Q492" s="286">
        <v>244</v>
      </c>
      <c r="R492" s="286">
        <v>147</v>
      </c>
      <c r="S492" s="286">
        <v>97</v>
      </c>
      <c r="T492" s="286">
        <v>169</v>
      </c>
      <c r="U492" s="286">
        <v>132</v>
      </c>
      <c r="V492" s="286">
        <v>37</v>
      </c>
      <c r="W492" s="286">
        <v>75</v>
      </c>
      <c r="X492" s="286">
        <v>15</v>
      </c>
      <c r="Y492" s="286">
        <v>60</v>
      </c>
    </row>
    <row r="493" spans="1:25">
      <c r="A493" s="212">
        <v>4336</v>
      </c>
      <c r="B493" s="212" t="s">
        <v>1642</v>
      </c>
      <c r="C493" s="212">
        <v>1</v>
      </c>
      <c r="D493" s="212" t="s">
        <v>1643</v>
      </c>
      <c r="E493" s="212" t="s">
        <v>2605</v>
      </c>
      <c r="F493" s="212">
        <v>5</v>
      </c>
      <c r="G493" s="212" t="s">
        <v>1645</v>
      </c>
      <c r="H493" s="212">
        <v>0</v>
      </c>
      <c r="I493" s="212" t="s">
        <v>2606</v>
      </c>
      <c r="J493" s="212">
        <v>47</v>
      </c>
      <c r="K493" s="286">
        <v>348</v>
      </c>
      <c r="L493" s="286">
        <v>275</v>
      </c>
      <c r="M493" s="286">
        <v>73</v>
      </c>
      <c r="N493" s="286">
        <v>3</v>
      </c>
      <c r="O493" s="286">
        <v>2</v>
      </c>
      <c r="P493" s="286">
        <v>1</v>
      </c>
      <c r="Q493" s="286">
        <v>15</v>
      </c>
      <c r="R493" s="286">
        <v>6</v>
      </c>
      <c r="S493" s="286">
        <v>9</v>
      </c>
      <c r="T493" s="286">
        <v>7</v>
      </c>
      <c r="U493" s="286">
        <v>6</v>
      </c>
      <c r="V493" s="286">
        <v>1</v>
      </c>
      <c r="W493" s="286">
        <v>8</v>
      </c>
      <c r="X493" s="286">
        <v>0</v>
      </c>
      <c r="Y493" s="286">
        <v>8</v>
      </c>
    </row>
    <row r="494" spans="1:25">
      <c r="A494" s="212">
        <v>4345</v>
      </c>
      <c r="B494" s="212" t="s">
        <v>1642</v>
      </c>
      <c r="C494" s="212">
        <v>1</v>
      </c>
      <c r="D494" s="212" t="s">
        <v>1643</v>
      </c>
      <c r="E494" s="212" t="s">
        <v>2607</v>
      </c>
      <c r="F494" s="212">
        <v>2</v>
      </c>
      <c r="G494" s="212" t="s">
        <v>1645</v>
      </c>
      <c r="H494" s="212">
        <v>0</v>
      </c>
      <c r="I494" s="212" t="s">
        <v>2608</v>
      </c>
      <c r="J494" s="212">
        <v>13765</v>
      </c>
      <c r="K494" s="286">
        <v>54456</v>
      </c>
      <c r="L494" s="286">
        <v>31463</v>
      </c>
      <c r="M494" s="286">
        <v>22765</v>
      </c>
      <c r="N494" s="286">
        <v>341</v>
      </c>
      <c r="O494" s="286">
        <v>254</v>
      </c>
      <c r="P494" s="286">
        <v>87</v>
      </c>
      <c r="Q494" s="286">
        <v>1904</v>
      </c>
      <c r="R494" s="286">
        <v>1427</v>
      </c>
      <c r="S494" s="286">
        <v>477</v>
      </c>
      <c r="T494" s="286">
        <v>1304</v>
      </c>
      <c r="U494" s="286">
        <v>1124</v>
      </c>
      <c r="V494" s="286">
        <v>180</v>
      </c>
      <c r="W494" s="286">
        <v>592</v>
      </c>
      <c r="X494" s="286">
        <v>300</v>
      </c>
      <c r="Y494" s="286">
        <v>292</v>
      </c>
    </row>
    <row r="495" spans="1:25">
      <c r="A495" s="212">
        <v>4354</v>
      </c>
      <c r="B495" s="212" t="s">
        <v>1642</v>
      </c>
      <c r="C495" s="212">
        <v>1</v>
      </c>
      <c r="D495" s="212" t="s">
        <v>1643</v>
      </c>
      <c r="E495" s="212" t="s">
        <v>2609</v>
      </c>
      <c r="F495" s="212">
        <v>3</v>
      </c>
      <c r="G495" s="212" t="s">
        <v>1645</v>
      </c>
      <c r="H495" s="212">
        <v>0</v>
      </c>
      <c r="I495" s="212" t="s">
        <v>2610</v>
      </c>
      <c r="J495" s="212">
        <v>12661</v>
      </c>
      <c r="K495" s="286">
        <v>45294</v>
      </c>
      <c r="L495" s="286">
        <v>25677</v>
      </c>
      <c r="M495" s="286">
        <v>19427</v>
      </c>
      <c r="N495" s="286">
        <v>329</v>
      </c>
      <c r="O495" s="286">
        <v>245</v>
      </c>
      <c r="P495" s="286">
        <v>84</v>
      </c>
      <c r="Q495" s="286">
        <v>1620</v>
      </c>
      <c r="R495" s="286">
        <v>1205</v>
      </c>
      <c r="S495" s="286">
        <v>415</v>
      </c>
      <c r="T495" s="286">
        <v>1153</v>
      </c>
      <c r="U495" s="286">
        <v>995</v>
      </c>
      <c r="V495" s="286">
        <v>158</v>
      </c>
      <c r="W495" s="286">
        <v>461</v>
      </c>
      <c r="X495" s="286">
        <v>207</v>
      </c>
      <c r="Y495" s="286">
        <v>254</v>
      </c>
    </row>
    <row r="496" spans="1:25">
      <c r="A496" s="212">
        <v>4363</v>
      </c>
      <c r="B496" s="212" t="s">
        <v>1642</v>
      </c>
      <c r="C496" s="212">
        <v>1</v>
      </c>
      <c r="D496" s="212" t="s">
        <v>1643</v>
      </c>
      <c r="E496" s="212" t="s">
        <v>2611</v>
      </c>
      <c r="F496" s="212">
        <v>4</v>
      </c>
      <c r="G496" s="212" t="s">
        <v>1645</v>
      </c>
      <c r="H496" s="212">
        <v>0</v>
      </c>
      <c r="I496" s="212" t="s">
        <v>2612</v>
      </c>
      <c r="J496" s="212">
        <v>2921</v>
      </c>
      <c r="K496" s="286">
        <v>12837</v>
      </c>
      <c r="L496" s="286">
        <v>7741</v>
      </c>
      <c r="M496" s="286">
        <v>5028</v>
      </c>
      <c r="N496" s="286">
        <v>154</v>
      </c>
      <c r="O496" s="286">
        <v>98</v>
      </c>
      <c r="P496" s="286">
        <v>56</v>
      </c>
      <c r="Q496" s="286">
        <v>287</v>
      </c>
      <c r="R496" s="286">
        <v>189</v>
      </c>
      <c r="S496" s="286">
        <v>98</v>
      </c>
      <c r="T496" s="286">
        <v>184</v>
      </c>
      <c r="U496" s="286">
        <v>145</v>
      </c>
      <c r="V496" s="286">
        <v>39</v>
      </c>
      <c r="W496" s="286">
        <v>103</v>
      </c>
      <c r="X496" s="286">
        <v>44</v>
      </c>
      <c r="Y496" s="286">
        <v>59</v>
      </c>
    </row>
    <row r="497" spans="1:25">
      <c r="A497" s="212">
        <v>4372</v>
      </c>
      <c r="B497" s="212" t="s">
        <v>1642</v>
      </c>
      <c r="C497" s="212">
        <v>1</v>
      </c>
      <c r="D497" s="212" t="s">
        <v>1643</v>
      </c>
      <c r="E497" s="212" t="s">
        <v>2613</v>
      </c>
      <c r="F497" s="212">
        <v>5</v>
      </c>
      <c r="G497" s="212" t="s">
        <v>1645</v>
      </c>
      <c r="H497" s="212">
        <v>0</v>
      </c>
      <c r="I497" s="212" t="s">
        <v>2614</v>
      </c>
      <c r="J497" s="212">
        <v>2</v>
      </c>
      <c r="K497" s="286">
        <v>2</v>
      </c>
      <c r="L497" s="286">
        <v>1</v>
      </c>
      <c r="M497" s="286">
        <v>1</v>
      </c>
      <c r="N497" s="286">
        <v>0</v>
      </c>
      <c r="O497" s="286">
        <v>0</v>
      </c>
      <c r="P497" s="286">
        <v>0</v>
      </c>
      <c r="Q497" s="286">
        <v>0</v>
      </c>
      <c r="R497" s="286">
        <v>0</v>
      </c>
      <c r="S497" s="286">
        <v>0</v>
      </c>
      <c r="T497" s="286">
        <v>0</v>
      </c>
      <c r="U497" s="286">
        <v>0</v>
      </c>
      <c r="V497" s="286">
        <v>0</v>
      </c>
      <c r="W497" s="286">
        <v>0</v>
      </c>
      <c r="X497" s="286">
        <v>0</v>
      </c>
      <c r="Y497" s="286">
        <v>0</v>
      </c>
    </row>
    <row r="498" spans="1:25">
      <c r="A498" s="212">
        <v>4381</v>
      </c>
      <c r="B498" s="212" t="s">
        <v>1642</v>
      </c>
      <c r="C498" s="212">
        <v>1</v>
      </c>
      <c r="D498" s="212" t="s">
        <v>1643</v>
      </c>
      <c r="E498" s="212" t="s">
        <v>2615</v>
      </c>
      <c r="F498" s="212">
        <v>5</v>
      </c>
      <c r="G498" s="212" t="s">
        <v>1645</v>
      </c>
      <c r="H498" s="212">
        <v>0</v>
      </c>
      <c r="I498" s="212" t="s">
        <v>2616</v>
      </c>
      <c r="J498" s="212">
        <v>727</v>
      </c>
      <c r="K498" s="286">
        <v>3264</v>
      </c>
      <c r="L498" s="286">
        <v>2061</v>
      </c>
      <c r="M498" s="286">
        <v>1179</v>
      </c>
      <c r="N498" s="286">
        <v>15</v>
      </c>
      <c r="O498" s="286">
        <v>12</v>
      </c>
      <c r="P498" s="286">
        <v>3</v>
      </c>
      <c r="Q498" s="286">
        <v>102</v>
      </c>
      <c r="R498" s="286">
        <v>76</v>
      </c>
      <c r="S498" s="286">
        <v>26</v>
      </c>
      <c r="T498" s="286">
        <v>57</v>
      </c>
      <c r="U498" s="286">
        <v>53</v>
      </c>
      <c r="V498" s="286">
        <v>4</v>
      </c>
      <c r="W498" s="286">
        <v>45</v>
      </c>
      <c r="X498" s="286">
        <v>23</v>
      </c>
      <c r="Y498" s="286">
        <v>22</v>
      </c>
    </row>
    <row r="499" spans="1:25">
      <c r="A499" s="212">
        <v>4390</v>
      </c>
      <c r="B499" s="212" t="s">
        <v>1642</v>
      </c>
      <c r="C499" s="212">
        <v>1</v>
      </c>
      <c r="D499" s="212" t="s">
        <v>1643</v>
      </c>
      <c r="E499" s="212" t="s">
        <v>2617</v>
      </c>
      <c r="F499" s="212">
        <v>5</v>
      </c>
      <c r="G499" s="212" t="s">
        <v>1645</v>
      </c>
      <c r="H499" s="212">
        <v>0</v>
      </c>
      <c r="I499" s="212" t="s">
        <v>2618</v>
      </c>
      <c r="J499" s="212">
        <v>2192</v>
      </c>
      <c r="K499" s="286">
        <v>9571</v>
      </c>
      <c r="L499" s="286">
        <v>5679</v>
      </c>
      <c r="M499" s="286">
        <v>3848</v>
      </c>
      <c r="N499" s="286">
        <v>139</v>
      </c>
      <c r="O499" s="286">
        <v>86</v>
      </c>
      <c r="P499" s="286">
        <v>53</v>
      </c>
      <c r="Q499" s="286">
        <v>185</v>
      </c>
      <c r="R499" s="286">
        <v>113</v>
      </c>
      <c r="S499" s="286">
        <v>72</v>
      </c>
      <c r="T499" s="286">
        <v>127</v>
      </c>
      <c r="U499" s="286">
        <v>92</v>
      </c>
      <c r="V499" s="286">
        <v>35</v>
      </c>
      <c r="W499" s="286">
        <v>58</v>
      </c>
      <c r="X499" s="286">
        <v>21</v>
      </c>
      <c r="Y499" s="286">
        <v>37</v>
      </c>
    </row>
    <row r="500" spans="1:25">
      <c r="A500" s="212">
        <v>4399</v>
      </c>
      <c r="B500" s="212" t="s">
        <v>1642</v>
      </c>
      <c r="C500" s="212">
        <v>1</v>
      </c>
      <c r="D500" s="212" t="s">
        <v>1643</v>
      </c>
      <c r="E500" s="212" t="s">
        <v>2619</v>
      </c>
      <c r="F500" s="212">
        <v>4</v>
      </c>
      <c r="G500" s="212" t="s">
        <v>1645</v>
      </c>
      <c r="H500" s="212">
        <v>0</v>
      </c>
      <c r="I500" s="212" t="s">
        <v>2620</v>
      </c>
      <c r="J500" s="212">
        <v>9721</v>
      </c>
      <c r="K500" s="286">
        <v>32365</v>
      </c>
      <c r="L500" s="286">
        <v>17887</v>
      </c>
      <c r="M500" s="286">
        <v>14356</v>
      </c>
      <c r="N500" s="286">
        <v>175</v>
      </c>
      <c r="O500" s="286">
        <v>147</v>
      </c>
      <c r="P500" s="286">
        <v>28</v>
      </c>
      <c r="Q500" s="286">
        <v>1333</v>
      </c>
      <c r="R500" s="286">
        <v>1016</v>
      </c>
      <c r="S500" s="286">
        <v>317</v>
      </c>
      <c r="T500" s="286">
        <v>969</v>
      </c>
      <c r="U500" s="286">
        <v>850</v>
      </c>
      <c r="V500" s="286">
        <v>119</v>
      </c>
      <c r="W500" s="286">
        <v>358</v>
      </c>
      <c r="X500" s="286">
        <v>163</v>
      </c>
      <c r="Y500" s="286">
        <v>195</v>
      </c>
    </row>
    <row r="501" spans="1:25">
      <c r="A501" s="212">
        <v>4408</v>
      </c>
      <c r="B501" s="212" t="s">
        <v>1642</v>
      </c>
      <c r="C501" s="212">
        <v>1</v>
      </c>
      <c r="D501" s="212" t="s">
        <v>1643</v>
      </c>
      <c r="E501" s="212" t="s">
        <v>2621</v>
      </c>
      <c r="F501" s="212">
        <v>5</v>
      </c>
      <c r="G501" s="212" t="s">
        <v>1645</v>
      </c>
      <c r="H501" s="212">
        <v>0</v>
      </c>
      <c r="I501" s="212" t="s">
        <v>2622</v>
      </c>
      <c r="J501" s="212">
        <v>5</v>
      </c>
      <c r="K501" s="286">
        <v>10</v>
      </c>
      <c r="L501" s="286">
        <v>6</v>
      </c>
      <c r="M501" s="286">
        <v>4</v>
      </c>
      <c r="N501" s="286">
        <v>0</v>
      </c>
      <c r="O501" s="286">
        <v>0</v>
      </c>
      <c r="P501" s="286">
        <v>0</v>
      </c>
      <c r="Q501" s="286">
        <v>1</v>
      </c>
      <c r="R501" s="286">
        <v>1</v>
      </c>
      <c r="S501" s="286">
        <v>0</v>
      </c>
      <c r="T501" s="286">
        <v>1</v>
      </c>
      <c r="U501" s="286">
        <v>1</v>
      </c>
      <c r="V501" s="286">
        <v>0</v>
      </c>
      <c r="W501" s="286">
        <v>0</v>
      </c>
      <c r="X501" s="286">
        <v>0</v>
      </c>
      <c r="Y501" s="286">
        <v>0</v>
      </c>
    </row>
    <row r="502" spans="1:25">
      <c r="A502" s="212">
        <v>4417</v>
      </c>
      <c r="B502" s="212" t="s">
        <v>1642</v>
      </c>
      <c r="C502" s="212">
        <v>1</v>
      </c>
      <c r="D502" s="212" t="s">
        <v>1643</v>
      </c>
      <c r="E502" s="212" t="s">
        <v>2623</v>
      </c>
      <c r="F502" s="212">
        <v>5</v>
      </c>
      <c r="G502" s="212" t="s">
        <v>1645</v>
      </c>
      <c r="H502" s="212">
        <v>0</v>
      </c>
      <c r="I502" s="212" t="s">
        <v>2624</v>
      </c>
      <c r="J502" s="212">
        <v>1658</v>
      </c>
      <c r="K502" s="286">
        <v>6289</v>
      </c>
      <c r="L502" s="286">
        <v>3368</v>
      </c>
      <c r="M502" s="286">
        <v>2921</v>
      </c>
      <c r="N502" s="286">
        <v>51</v>
      </c>
      <c r="O502" s="286">
        <v>39</v>
      </c>
      <c r="P502" s="286">
        <v>12</v>
      </c>
      <c r="Q502" s="286">
        <v>159</v>
      </c>
      <c r="R502" s="286">
        <v>99</v>
      </c>
      <c r="S502" s="286">
        <v>60</v>
      </c>
      <c r="T502" s="286">
        <v>100</v>
      </c>
      <c r="U502" s="286">
        <v>76</v>
      </c>
      <c r="V502" s="286">
        <v>24</v>
      </c>
      <c r="W502" s="286">
        <v>55</v>
      </c>
      <c r="X502" s="286">
        <v>20</v>
      </c>
      <c r="Y502" s="286">
        <v>35</v>
      </c>
    </row>
    <row r="503" spans="1:25">
      <c r="A503" s="212">
        <v>4426</v>
      </c>
      <c r="B503" s="212" t="s">
        <v>1642</v>
      </c>
      <c r="C503" s="212">
        <v>1</v>
      </c>
      <c r="D503" s="212" t="s">
        <v>1643</v>
      </c>
      <c r="E503" s="212" t="s">
        <v>2625</v>
      </c>
      <c r="F503" s="212">
        <v>5</v>
      </c>
      <c r="G503" s="212" t="s">
        <v>1645</v>
      </c>
      <c r="H503" s="212">
        <v>0</v>
      </c>
      <c r="I503" s="212" t="s">
        <v>2626</v>
      </c>
      <c r="J503" s="212">
        <v>4673</v>
      </c>
      <c r="K503" s="286">
        <v>12029</v>
      </c>
      <c r="L503" s="286">
        <v>5845</v>
      </c>
      <c r="M503" s="286">
        <v>6089</v>
      </c>
      <c r="N503" s="286">
        <v>24</v>
      </c>
      <c r="O503" s="286">
        <v>19</v>
      </c>
      <c r="P503" s="286">
        <v>5</v>
      </c>
      <c r="Q503" s="286">
        <v>712</v>
      </c>
      <c r="R503" s="286">
        <v>607</v>
      </c>
      <c r="S503" s="286">
        <v>105</v>
      </c>
      <c r="T503" s="286">
        <v>624</v>
      </c>
      <c r="U503" s="286">
        <v>585</v>
      </c>
      <c r="V503" s="286">
        <v>39</v>
      </c>
      <c r="W503" s="286">
        <v>88</v>
      </c>
      <c r="X503" s="286">
        <v>22</v>
      </c>
      <c r="Y503" s="286">
        <v>66</v>
      </c>
    </row>
    <row r="504" spans="1:25">
      <c r="A504" s="212">
        <v>4435</v>
      </c>
      <c r="B504" s="212" t="s">
        <v>1642</v>
      </c>
      <c r="C504" s="212">
        <v>1</v>
      </c>
      <c r="D504" s="212" t="s">
        <v>1643</v>
      </c>
      <c r="E504" s="212" t="s">
        <v>2627</v>
      </c>
      <c r="F504" s="212">
        <v>5</v>
      </c>
      <c r="G504" s="212" t="s">
        <v>1645</v>
      </c>
      <c r="H504" s="212">
        <v>0</v>
      </c>
      <c r="I504" s="212" t="s">
        <v>2628</v>
      </c>
      <c r="J504" s="212">
        <v>1537</v>
      </c>
      <c r="K504" s="286">
        <v>3409</v>
      </c>
      <c r="L504" s="286">
        <v>2089</v>
      </c>
      <c r="M504" s="286">
        <v>1314</v>
      </c>
      <c r="N504" s="286">
        <v>46</v>
      </c>
      <c r="O504" s="286">
        <v>41</v>
      </c>
      <c r="P504" s="286">
        <v>5</v>
      </c>
      <c r="Q504" s="286">
        <v>108</v>
      </c>
      <c r="R504" s="286">
        <v>93</v>
      </c>
      <c r="S504" s="286">
        <v>15</v>
      </c>
      <c r="T504" s="286">
        <v>40</v>
      </c>
      <c r="U504" s="286">
        <v>37</v>
      </c>
      <c r="V504" s="286">
        <v>3</v>
      </c>
      <c r="W504" s="286">
        <v>68</v>
      </c>
      <c r="X504" s="286">
        <v>56</v>
      </c>
      <c r="Y504" s="286">
        <v>12</v>
      </c>
    </row>
    <row r="505" spans="1:25">
      <c r="A505" s="212">
        <v>4444</v>
      </c>
      <c r="B505" s="212" t="s">
        <v>1642</v>
      </c>
      <c r="C505" s="212">
        <v>1</v>
      </c>
      <c r="D505" s="212" t="s">
        <v>1643</v>
      </c>
      <c r="E505" s="212" t="s">
        <v>2629</v>
      </c>
      <c r="F505" s="212">
        <v>5</v>
      </c>
      <c r="G505" s="212" t="s">
        <v>1645</v>
      </c>
      <c r="H505" s="212">
        <v>0</v>
      </c>
      <c r="I505" s="212" t="s">
        <v>2630</v>
      </c>
      <c r="J505" s="212">
        <v>1848</v>
      </c>
      <c r="K505" s="286">
        <v>10628</v>
      </c>
      <c r="L505" s="286">
        <v>6579</v>
      </c>
      <c r="M505" s="286">
        <v>4028</v>
      </c>
      <c r="N505" s="286">
        <v>54</v>
      </c>
      <c r="O505" s="286">
        <v>48</v>
      </c>
      <c r="P505" s="286">
        <v>6</v>
      </c>
      <c r="Q505" s="286">
        <v>353</v>
      </c>
      <c r="R505" s="286">
        <v>216</v>
      </c>
      <c r="S505" s="286">
        <v>137</v>
      </c>
      <c r="T505" s="286">
        <v>204</v>
      </c>
      <c r="U505" s="286">
        <v>151</v>
      </c>
      <c r="V505" s="286">
        <v>53</v>
      </c>
      <c r="W505" s="286">
        <v>147</v>
      </c>
      <c r="X505" s="286">
        <v>65</v>
      </c>
      <c r="Y505" s="286">
        <v>82</v>
      </c>
    </row>
    <row r="506" spans="1:25">
      <c r="A506" s="212">
        <v>4453</v>
      </c>
      <c r="B506" s="212" t="s">
        <v>1642</v>
      </c>
      <c r="C506" s="212">
        <v>1</v>
      </c>
      <c r="D506" s="212" t="s">
        <v>1643</v>
      </c>
      <c r="E506" s="212" t="s">
        <v>2631</v>
      </c>
      <c r="F506" s="212">
        <v>3</v>
      </c>
      <c r="G506" s="212" t="s">
        <v>1645</v>
      </c>
      <c r="H506" s="212">
        <v>0</v>
      </c>
      <c r="I506" s="212" t="s">
        <v>2632</v>
      </c>
      <c r="J506" s="212">
        <v>1104</v>
      </c>
      <c r="K506" s="286">
        <v>9162</v>
      </c>
      <c r="L506" s="286">
        <v>5786</v>
      </c>
      <c r="M506" s="286">
        <v>3338</v>
      </c>
      <c r="N506" s="286">
        <v>12</v>
      </c>
      <c r="O506" s="286">
        <v>9</v>
      </c>
      <c r="P506" s="286">
        <v>3</v>
      </c>
      <c r="Q506" s="286">
        <v>284</v>
      </c>
      <c r="R506" s="286">
        <v>222</v>
      </c>
      <c r="S506" s="286">
        <v>62</v>
      </c>
      <c r="T506" s="286">
        <v>151</v>
      </c>
      <c r="U506" s="286">
        <v>129</v>
      </c>
      <c r="V506" s="286">
        <v>22</v>
      </c>
      <c r="W506" s="286">
        <v>131</v>
      </c>
      <c r="X506" s="286">
        <v>93</v>
      </c>
      <c r="Y506" s="286">
        <v>38</v>
      </c>
    </row>
    <row r="507" spans="1:25">
      <c r="A507" s="212">
        <v>4462</v>
      </c>
      <c r="B507" s="212" t="s">
        <v>1642</v>
      </c>
      <c r="C507" s="212">
        <v>1</v>
      </c>
      <c r="D507" s="212" t="s">
        <v>1643</v>
      </c>
      <c r="E507" s="212" t="s">
        <v>2633</v>
      </c>
      <c r="F507" s="212">
        <v>4</v>
      </c>
      <c r="G507" s="212" t="s">
        <v>1645</v>
      </c>
      <c r="H507" s="212">
        <v>0</v>
      </c>
      <c r="I507" s="212" t="s">
        <v>2634</v>
      </c>
      <c r="J507" s="212">
        <v>1104</v>
      </c>
      <c r="K507" s="286">
        <v>9162</v>
      </c>
      <c r="L507" s="286">
        <v>5786</v>
      </c>
      <c r="M507" s="286">
        <v>3338</v>
      </c>
      <c r="N507" s="286">
        <v>12</v>
      </c>
      <c r="O507" s="286">
        <v>9</v>
      </c>
      <c r="P507" s="286">
        <v>3</v>
      </c>
      <c r="Q507" s="286">
        <v>284</v>
      </c>
      <c r="R507" s="286">
        <v>222</v>
      </c>
      <c r="S507" s="286">
        <v>62</v>
      </c>
      <c r="T507" s="286">
        <v>151</v>
      </c>
      <c r="U507" s="286">
        <v>129</v>
      </c>
      <c r="V507" s="286">
        <v>22</v>
      </c>
      <c r="W507" s="286">
        <v>131</v>
      </c>
      <c r="X507" s="286">
        <v>93</v>
      </c>
      <c r="Y507" s="286">
        <v>38</v>
      </c>
    </row>
    <row r="508" spans="1:25">
      <c r="A508" s="212">
        <v>4471</v>
      </c>
      <c r="B508" s="212" t="s">
        <v>1642</v>
      </c>
      <c r="C508" s="212">
        <v>1</v>
      </c>
      <c r="D508" s="212" t="s">
        <v>1643</v>
      </c>
      <c r="E508" s="212" t="s">
        <v>2635</v>
      </c>
      <c r="F508" s="212">
        <v>5</v>
      </c>
      <c r="G508" s="212" t="s">
        <v>1645</v>
      </c>
      <c r="H508" s="212">
        <v>0</v>
      </c>
      <c r="I508" s="212" t="s">
        <v>2636</v>
      </c>
      <c r="J508" s="212">
        <v>19</v>
      </c>
      <c r="K508" s="286">
        <v>186</v>
      </c>
      <c r="L508" s="286">
        <v>119</v>
      </c>
      <c r="M508" s="286">
        <v>67</v>
      </c>
      <c r="N508" s="286">
        <v>0</v>
      </c>
      <c r="O508" s="286">
        <v>0</v>
      </c>
      <c r="P508" s="286">
        <v>0</v>
      </c>
      <c r="Q508" s="286">
        <v>3</v>
      </c>
      <c r="R508" s="286">
        <v>2</v>
      </c>
      <c r="S508" s="286">
        <v>1</v>
      </c>
      <c r="T508" s="286">
        <v>3</v>
      </c>
      <c r="U508" s="286">
        <v>2</v>
      </c>
      <c r="V508" s="286">
        <v>1</v>
      </c>
      <c r="W508" s="286">
        <v>0</v>
      </c>
      <c r="X508" s="286">
        <v>0</v>
      </c>
      <c r="Y508" s="286">
        <v>0</v>
      </c>
    </row>
    <row r="509" spans="1:25">
      <c r="A509" s="212">
        <v>4480</v>
      </c>
      <c r="B509" s="212" t="s">
        <v>1642</v>
      </c>
      <c r="C509" s="212">
        <v>1</v>
      </c>
      <c r="D509" s="212" t="s">
        <v>1643</v>
      </c>
      <c r="E509" s="212" t="s">
        <v>2637</v>
      </c>
      <c r="F509" s="212">
        <v>5</v>
      </c>
      <c r="G509" s="212" t="s">
        <v>1645</v>
      </c>
      <c r="H509" s="212">
        <v>0</v>
      </c>
      <c r="I509" s="212" t="s">
        <v>2638</v>
      </c>
      <c r="J509" s="212">
        <v>33</v>
      </c>
      <c r="K509" s="286">
        <v>268</v>
      </c>
      <c r="L509" s="286">
        <v>201</v>
      </c>
      <c r="M509" s="286">
        <v>67</v>
      </c>
      <c r="N509" s="286">
        <v>1</v>
      </c>
      <c r="O509" s="286">
        <v>0</v>
      </c>
      <c r="P509" s="286">
        <v>1</v>
      </c>
      <c r="Q509" s="286">
        <v>50</v>
      </c>
      <c r="R509" s="286">
        <v>41</v>
      </c>
      <c r="S509" s="286">
        <v>9</v>
      </c>
      <c r="T509" s="286">
        <v>32</v>
      </c>
      <c r="U509" s="286">
        <v>26</v>
      </c>
      <c r="V509" s="286">
        <v>6</v>
      </c>
      <c r="W509" s="286">
        <v>18</v>
      </c>
      <c r="X509" s="286">
        <v>15</v>
      </c>
      <c r="Y509" s="286">
        <v>3</v>
      </c>
    </row>
    <row r="510" spans="1:25">
      <c r="A510" s="212">
        <v>4489</v>
      </c>
      <c r="B510" s="212" t="s">
        <v>1642</v>
      </c>
      <c r="C510" s="212">
        <v>1</v>
      </c>
      <c r="D510" s="212" t="s">
        <v>1643</v>
      </c>
      <c r="E510" s="212" t="s">
        <v>2639</v>
      </c>
      <c r="F510" s="212">
        <v>5</v>
      </c>
      <c r="G510" s="212" t="s">
        <v>1645</v>
      </c>
      <c r="H510" s="212">
        <v>0</v>
      </c>
      <c r="I510" s="212" t="s">
        <v>2640</v>
      </c>
      <c r="J510" s="212">
        <v>362</v>
      </c>
      <c r="K510" s="286">
        <v>2706</v>
      </c>
      <c r="L510" s="286">
        <v>2187</v>
      </c>
      <c r="M510" s="286">
        <v>515</v>
      </c>
      <c r="N510" s="286">
        <v>4</v>
      </c>
      <c r="O510" s="286">
        <v>3</v>
      </c>
      <c r="P510" s="286">
        <v>1</v>
      </c>
      <c r="Q510" s="286">
        <v>88</v>
      </c>
      <c r="R510" s="286">
        <v>67</v>
      </c>
      <c r="S510" s="286">
        <v>21</v>
      </c>
      <c r="T510" s="286">
        <v>61</v>
      </c>
      <c r="U510" s="286">
        <v>58</v>
      </c>
      <c r="V510" s="286">
        <v>3</v>
      </c>
      <c r="W510" s="286">
        <v>25</v>
      </c>
      <c r="X510" s="286">
        <v>9</v>
      </c>
      <c r="Y510" s="286">
        <v>16</v>
      </c>
    </row>
    <row r="511" spans="1:25">
      <c r="A511" s="212">
        <v>4498</v>
      </c>
      <c r="B511" s="212" t="s">
        <v>1642</v>
      </c>
      <c r="C511" s="212">
        <v>1</v>
      </c>
      <c r="D511" s="212" t="s">
        <v>1643</v>
      </c>
      <c r="E511" s="212" t="s">
        <v>2641</v>
      </c>
      <c r="F511" s="212">
        <v>5</v>
      </c>
      <c r="G511" s="212" t="s">
        <v>1645</v>
      </c>
      <c r="H511" s="212">
        <v>0</v>
      </c>
      <c r="I511" s="212" t="s">
        <v>2642</v>
      </c>
      <c r="J511" s="212">
        <v>13</v>
      </c>
      <c r="K511" s="286">
        <v>63</v>
      </c>
      <c r="L511" s="286">
        <v>48</v>
      </c>
      <c r="M511" s="286">
        <v>15</v>
      </c>
      <c r="N511" s="286">
        <v>0</v>
      </c>
      <c r="O511" s="286">
        <v>0</v>
      </c>
      <c r="P511" s="286">
        <v>0</v>
      </c>
      <c r="Q511" s="286">
        <v>7</v>
      </c>
      <c r="R511" s="286">
        <v>5</v>
      </c>
      <c r="S511" s="286">
        <v>2</v>
      </c>
      <c r="T511" s="286">
        <v>5</v>
      </c>
      <c r="U511" s="286">
        <v>5</v>
      </c>
      <c r="V511" s="286">
        <v>0</v>
      </c>
      <c r="W511" s="286">
        <v>2</v>
      </c>
      <c r="X511" s="286">
        <v>0</v>
      </c>
      <c r="Y511" s="286">
        <v>2</v>
      </c>
    </row>
    <row r="512" spans="1:25">
      <c r="A512" s="212">
        <v>4507</v>
      </c>
      <c r="B512" s="212" t="s">
        <v>1642</v>
      </c>
      <c r="C512" s="212">
        <v>1</v>
      </c>
      <c r="D512" s="212" t="s">
        <v>1643</v>
      </c>
      <c r="E512" s="212" t="s">
        <v>2643</v>
      </c>
      <c r="F512" s="212">
        <v>5</v>
      </c>
      <c r="G512" s="212" t="s">
        <v>1645</v>
      </c>
      <c r="H512" s="212">
        <v>0</v>
      </c>
      <c r="I512" s="212" t="s">
        <v>2644</v>
      </c>
      <c r="J512" s="212">
        <v>199</v>
      </c>
      <c r="K512" s="286">
        <v>1299</v>
      </c>
      <c r="L512" s="286">
        <v>893</v>
      </c>
      <c r="M512" s="286">
        <v>406</v>
      </c>
      <c r="N512" s="286">
        <v>3</v>
      </c>
      <c r="O512" s="286">
        <v>3</v>
      </c>
      <c r="P512" s="286">
        <v>0</v>
      </c>
      <c r="Q512" s="286">
        <v>54</v>
      </c>
      <c r="R512" s="286">
        <v>44</v>
      </c>
      <c r="S512" s="286">
        <v>10</v>
      </c>
      <c r="T512" s="286">
        <v>27</v>
      </c>
      <c r="U512" s="286">
        <v>21</v>
      </c>
      <c r="V512" s="286">
        <v>6</v>
      </c>
      <c r="W512" s="286">
        <v>27</v>
      </c>
      <c r="X512" s="286">
        <v>23</v>
      </c>
      <c r="Y512" s="286">
        <v>4</v>
      </c>
    </row>
    <row r="513" spans="1:25">
      <c r="A513" s="212">
        <v>4516</v>
      </c>
      <c r="B513" s="212" t="s">
        <v>1642</v>
      </c>
      <c r="C513" s="212">
        <v>1</v>
      </c>
      <c r="D513" s="212" t="s">
        <v>1643</v>
      </c>
      <c r="E513" s="212" t="s">
        <v>2645</v>
      </c>
      <c r="F513" s="212">
        <v>5</v>
      </c>
      <c r="G513" s="212" t="s">
        <v>1645</v>
      </c>
      <c r="H513" s="212">
        <v>0</v>
      </c>
      <c r="I513" s="280" t="s">
        <v>2646</v>
      </c>
      <c r="J513" s="280">
        <v>26</v>
      </c>
      <c r="K513" s="294">
        <v>81</v>
      </c>
      <c r="L513" s="294">
        <v>60</v>
      </c>
      <c r="M513" s="294">
        <v>21</v>
      </c>
      <c r="N513" s="286">
        <v>0</v>
      </c>
      <c r="O513" s="286">
        <v>0</v>
      </c>
      <c r="P513" s="286">
        <v>0</v>
      </c>
      <c r="Q513" s="286">
        <v>32</v>
      </c>
      <c r="R513" s="286">
        <v>32</v>
      </c>
      <c r="S513" s="286">
        <v>0</v>
      </c>
      <c r="T513" s="286">
        <v>0</v>
      </c>
      <c r="U513" s="286">
        <v>0</v>
      </c>
      <c r="V513" s="286">
        <v>0</v>
      </c>
      <c r="W513" s="286">
        <v>32</v>
      </c>
      <c r="X513" s="286">
        <v>32</v>
      </c>
      <c r="Y513" s="286">
        <v>0</v>
      </c>
    </row>
    <row r="514" spans="1:25">
      <c r="A514" s="212">
        <v>4525</v>
      </c>
      <c r="B514" s="212" t="s">
        <v>1642</v>
      </c>
      <c r="C514" s="212">
        <v>1</v>
      </c>
      <c r="D514" s="212" t="s">
        <v>1643</v>
      </c>
      <c r="E514" s="212" t="s">
        <v>2647</v>
      </c>
      <c r="F514" s="212">
        <v>5</v>
      </c>
      <c r="G514" s="212" t="s">
        <v>1645</v>
      </c>
      <c r="H514" s="212">
        <v>0</v>
      </c>
      <c r="I514" s="212" t="s">
        <v>2648</v>
      </c>
      <c r="J514" s="212">
        <v>452</v>
      </c>
      <c r="K514" s="286">
        <v>4559</v>
      </c>
      <c r="L514" s="286">
        <v>2278</v>
      </c>
      <c r="M514" s="286">
        <v>2247</v>
      </c>
      <c r="N514" s="286">
        <v>4</v>
      </c>
      <c r="O514" s="286">
        <v>3</v>
      </c>
      <c r="P514" s="286">
        <v>1</v>
      </c>
      <c r="Q514" s="286">
        <v>50</v>
      </c>
      <c r="R514" s="286">
        <v>31</v>
      </c>
      <c r="S514" s="286">
        <v>19</v>
      </c>
      <c r="T514" s="286">
        <v>23</v>
      </c>
      <c r="U514" s="286">
        <v>17</v>
      </c>
      <c r="V514" s="286">
        <v>6</v>
      </c>
      <c r="W514" s="286">
        <v>27</v>
      </c>
      <c r="X514" s="286">
        <v>14</v>
      </c>
      <c r="Y514" s="286">
        <v>13</v>
      </c>
    </row>
    <row r="515" spans="1:25">
      <c r="A515" s="212">
        <v>4534</v>
      </c>
      <c r="B515" s="212" t="s">
        <v>1642</v>
      </c>
      <c r="C515" s="212">
        <v>1</v>
      </c>
      <c r="D515" s="212" t="s">
        <v>1643</v>
      </c>
      <c r="E515" s="212" t="s">
        <v>2649</v>
      </c>
      <c r="F515" s="212">
        <v>6</v>
      </c>
      <c r="G515" s="212" t="s">
        <v>1645</v>
      </c>
      <c r="H515" s="212">
        <v>0</v>
      </c>
      <c r="I515" s="212" t="s">
        <v>2650</v>
      </c>
      <c r="J515" s="212">
        <v>67</v>
      </c>
      <c r="K515" s="286">
        <v>1261</v>
      </c>
      <c r="L515" s="286">
        <v>672</v>
      </c>
      <c r="M515" s="286">
        <v>571</v>
      </c>
      <c r="N515" s="286">
        <v>0</v>
      </c>
      <c r="O515" s="286">
        <v>0</v>
      </c>
      <c r="P515" s="286">
        <v>0</v>
      </c>
      <c r="Q515" s="286">
        <v>0</v>
      </c>
      <c r="R515" s="286">
        <v>0</v>
      </c>
      <c r="S515" s="286">
        <v>0</v>
      </c>
      <c r="T515" s="286">
        <v>0</v>
      </c>
      <c r="U515" s="286">
        <v>0</v>
      </c>
      <c r="V515" s="286">
        <v>0</v>
      </c>
      <c r="W515" s="286">
        <v>0</v>
      </c>
      <c r="X515" s="286">
        <v>0</v>
      </c>
      <c r="Y515" s="286">
        <v>0</v>
      </c>
    </row>
    <row r="516" spans="1:25">
      <c r="A516" s="212">
        <v>4543</v>
      </c>
      <c r="B516" s="212" t="s">
        <v>1642</v>
      </c>
      <c r="C516" s="212">
        <v>1</v>
      </c>
      <c r="D516" s="212" t="s">
        <v>1643</v>
      </c>
      <c r="E516" s="212" t="s">
        <v>2651</v>
      </c>
      <c r="F516" s="212">
        <v>6</v>
      </c>
      <c r="G516" s="212" t="s">
        <v>1645</v>
      </c>
      <c r="H516" s="212">
        <v>0</v>
      </c>
      <c r="I516" s="212" t="s">
        <v>2652</v>
      </c>
      <c r="J516" s="212">
        <v>385</v>
      </c>
      <c r="K516" s="286">
        <v>3298</v>
      </c>
      <c r="L516" s="286">
        <v>1606</v>
      </c>
      <c r="M516" s="286">
        <v>1676</v>
      </c>
      <c r="N516" s="286">
        <v>4</v>
      </c>
      <c r="O516" s="286">
        <v>3</v>
      </c>
      <c r="P516" s="286">
        <v>1</v>
      </c>
      <c r="Q516" s="286">
        <v>50</v>
      </c>
      <c r="R516" s="286">
        <v>31</v>
      </c>
      <c r="S516" s="286">
        <v>19</v>
      </c>
      <c r="T516" s="286">
        <v>23</v>
      </c>
      <c r="U516" s="286">
        <v>17</v>
      </c>
      <c r="V516" s="286">
        <v>6</v>
      </c>
      <c r="W516" s="286">
        <v>27</v>
      </c>
      <c r="X516" s="286">
        <v>14</v>
      </c>
      <c r="Y516" s="286">
        <v>13</v>
      </c>
    </row>
    <row r="517" spans="1:25">
      <c r="A517" s="212">
        <v>4552</v>
      </c>
      <c r="B517" s="212" t="s">
        <v>1642</v>
      </c>
      <c r="C517" s="212">
        <v>1</v>
      </c>
      <c r="D517" s="212" t="s">
        <v>1643</v>
      </c>
      <c r="E517" s="212" t="s">
        <v>2653</v>
      </c>
      <c r="F517" s="212">
        <v>2</v>
      </c>
      <c r="G517" s="212" t="s">
        <v>1645</v>
      </c>
      <c r="H517" s="212">
        <v>0</v>
      </c>
      <c r="I517" s="212" t="s">
        <v>2654</v>
      </c>
      <c r="J517" s="212">
        <v>8250</v>
      </c>
      <c r="K517" s="286">
        <v>62841</v>
      </c>
      <c r="L517" s="286">
        <v>43258</v>
      </c>
      <c r="M517" s="286">
        <v>19372</v>
      </c>
      <c r="N517" s="286">
        <v>1579</v>
      </c>
      <c r="O517" s="286">
        <v>1308</v>
      </c>
      <c r="P517" s="286">
        <v>271</v>
      </c>
      <c r="Q517" s="286">
        <v>5244</v>
      </c>
      <c r="R517" s="286">
        <v>3869</v>
      </c>
      <c r="S517" s="286">
        <v>1375</v>
      </c>
      <c r="T517" s="286">
        <v>1481</v>
      </c>
      <c r="U517" s="286">
        <v>1329</v>
      </c>
      <c r="V517" s="286">
        <v>152</v>
      </c>
      <c r="W517" s="286">
        <v>3751</v>
      </c>
      <c r="X517" s="286">
        <v>2529</v>
      </c>
      <c r="Y517" s="286">
        <v>1222</v>
      </c>
    </row>
    <row r="518" spans="1:25">
      <c r="A518" s="212">
        <v>4561</v>
      </c>
      <c r="B518" s="212" t="s">
        <v>1642</v>
      </c>
      <c r="C518" s="212">
        <v>1</v>
      </c>
      <c r="D518" s="212" t="s">
        <v>1643</v>
      </c>
      <c r="E518" s="212" t="s">
        <v>2655</v>
      </c>
      <c r="F518" s="212">
        <v>4</v>
      </c>
      <c r="G518" s="212" t="s">
        <v>1645</v>
      </c>
      <c r="H518" s="212">
        <v>0</v>
      </c>
      <c r="I518" s="212" t="s">
        <v>2656</v>
      </c>
      <c r="J518" s="212">
        <v>211</v>
      </c>
      <c r="K518" s="286">
        <v>11006</v>
      </c>
      <c r="L518" s="286">
        <v>8479</v>
      </c>
      <c r="M518" s="286">
        <v>2523</v>
      </c>
      <c r="N518" s="286">
        <v>198</v>
      </c>
      <c r="O518" s="286">
        <v>176</v>
      </c>
      <c r="P518" s="286">
        <v>22</v>
      </c>
      <c r="Q518" s="286">
        <v>1339</v>
      </c>
      <c r="R518" s="286">
        <v>826</v>
      </c>
      <c r="S518" s="286">
        <v>513</v>
      </c>
      <c r="T518" s="286">
        <v>358</v>
      </c>
      <c r="U518" s="286">
        <v>325</v>
      </c>
      <c r="V518" s="286">
        <v>33</v>
      </c>
      <c r="W518" s="286">
        <v>981</v>
      </c>
      <c r="X518" s="286">
        <v>501</v>
      </c>
      <c r="Y518" s="286">
        <v>480</v>
      </c>
    </row>
    <row r="519" spans="1:25">
      <c r="A519" s="212">
        <v>4570</v>
      </c>
      <c r="B519" s="212" t="s">
        <v>1642</v>
      </c>
      <c r="C519" s="212">
        <v>1</v>
      </c>
      <c r="D519" s="212" t="s">
        <v>1643</v>
      </c>
      <c r="E519" s="212" t="s">
        <v>2657</v>
      </c>
      <c r="F519" s="212">
        <v>5</v>
      </c>
      <c r="G519" s="212" t="s">
        <v>1645</v>
      </c>
      <c r="H519" s="212">
        <v>0</v>
      </c>
      <c r="I519" s="212" t="s">
        <v>2658</v>
      </c>
      <c r="J519" s="212">
        <v>1</v>
      </c>
      <c r="K519" s="286">
        <v>76</v>
      </c>
      <c r="L519" s="286">
        <v>64</v>
      </c>
      <c r="M519" s="286">
        <v>12</v>
      </c>
      <c r="N519" s="286">
        <v>30</v>
      </c>
      <c r="O519" s="286">
        <v>30</v>
      </c>
      <c r="P519" s="286">
        <v>0</v>
      </c>
      <c r="Q519" s="286">
        <v>3</v>
      </c>
      <c r="R519" s="286">
        <v>3</v>
      </c>
      <c r="S519" s="286">
        <v>0</v>
      </c>
      <c r="T519" s="286">
        <v>3</v>
      </c>
      <c r="U519" s="286">
        <v>3</v>
      </c>
      <c r="V519" s="286">
        <v>0</v>
      </c>
      <c r="W519" s="286">
        <v>0</v>
      </c>
      <c r="X519" s="286">
        <v>0</v>
      </c>
      <c r="Y519" s="286">
        <v>0</v>
      </c>
    </row>
    <row r="520" spans="1:25">
      <c r="A520" s="212">
        <v>4579</v>
      </c>
      <c r="B520" s="212" t="s">
        <v>1642</v>
      </c>
      <c r="C520" s="212">
        <v>1</v>
      </c>
      <c r="D520" s="212" t="s">
        <v>1643</v>
      </c>
      <c r="E520" s="212" t="s">
        <v>2659</v>
      </c>
      <c r="F520" s="212">
        <v>5</v>
      </c>
      <c r="G520" s="212" t="s">
        <v>1645</v>
      </c>
      <c r="H520" s="212">
        <v>0</v>
      </c>
      <c r="I520" s="212" t="s">
        <v>2660</v>
      </c>
      <c r="J520" s="212">
        <v>195</v>
      </c>
      <c r="K520" s="286">
        <v>10742</v>
      </c>
      <c r="L520" s="286">
        <v>8292</v>
      </c>
      <c r="M520" s="286">
        <v>2446</v>
      </c>
      <c r="N520" s="286">
        <v>168</v>
      </c>
      <c r="O520" s="286">
        <v>146</v>
      </c>
      <c r="P520" s="286">
        <v>22</v>
      </c>
      <c r="Q520" s="286">
        <v>1336</v>
      </c>
      <c r="R520" s="286">
        <v>823</v>
      </c>
      <c r="S520" s="286">
        <v>513</v>
      </c>
      <c r="T520" s="286">
        <v>355</v>
      </c>
      <c r="U520" s="286">
        <v>322</v>
      </c>
      <c r="V520" s="286">
        <v>33</v>
      </c>
      <c r="W520" s="286">
        <v>981</v>
      </c>
      <c r="X520" s="286">
        <v>501</v>
      </c>
      <c r="Y520" s="286">
        <v>480</v>
      </c>
    </row>
    <row r="521" spans="1:25">
      <c r="A521" s="212">
        <v>4588</v>
      </c>
      <c r="B521" s="212" t="s">
        <v>1642</v>
      </c>
      <c r="C521" s="212">
        <v>1</v>
      </c>
      <c r="D521" s="212" t="s">
        <v>1643</v>
      </c>
      <c r="E521" s="212" t="s">
        <v>2661</v>
      </c>
      <c r="F521" s="212">
        <v>5</v>
      </c>
      <c r="G521" s="212" t="s">
        <v>1645</v>
      </c>
      <c r="H521" s="212">
        <v>0</v>
      </c>
      <c r="I521" s="212" t="s">
        <v>2662</v>
      </c>
      <c r="J521" s="212">
        <v>15</v>
      </c>
      <c r="K521" s="286">
        <v>188</v>
      </c>
      <c r="L521" s="286">
        <v>123</v>
      </c>
      <c r="M521" s="286">
        <v>65</v>
      </c>
      <c r="N521" s="286">
        <v>0</v>
      </c>
      <c r="O521" s="286">
        <v>0</v>
      </c>
      <c r="P521" s="286">
        <v>0</v>
      </c>
      <c r="Q521" s="286">
        <v>0</v>
      </c>
      <c r="R521" s="286">
        <v>0</v>
      </c>
      <c r="S521" s="286">
        <v>0</v>
      </c>
      <c r="T521" s="286">
        <v>0</v>
      </c>
      <c r="U521" s="286">
        <v>0</v>
      </c>
      <c r="V521" s="286">
        <v>0</v>
      </c>
      <c r="W521" s="286">
        <v>0</v>
      </c>
      <c r="X521" s="286">
        <v>0</v>
      </c>
      <c r="Y521" s="286">
        <v>0</v>
      </c>
    </row>
    <row r="522" spans="1:25">
      <c r="A522" s="212">
        <v>4597</v>
      </c>
      <c r="B522" s="212" t="s">
        <v>1642</v>
      </c>
      <c r="C522" s="212">
        <v>1</v>
      </c>
      <c r="D522" s="212" t="s">
        <v>1643</v>
      </c>
      <c r="E522" s="212" t="s">
        <v>2663</v>
      </c>
      <c r="F522" s="212">
        <v>4</v>
      </c>
      <c r="G522" s="212" t="s">
        <v>1645</v>
      </c>
      <c r="H522" s="212">
        <v>0</v>
      </c>
      <c r="I522" s="212" t="s">
        <v>2664</v>
      </c>
      <c r="J522" s="212">
        <v>4327</v>
      </c>
      <c r="K522" s="286">
        <v>17235</v>
      </c>
      <c r="L522" s="286">
        <v>9439</v>
      </c>
      <c r="M522" s="286">
        <v>7685</v>
      </c>
      <c r="N522" s="286">
        <v>364</v>
      </c>
      <c r="O522" s="286">
        <v>227</v>
      </c>
      <c r="P522" s="286">
        <v>137</v>
      </c>
      <c r="Q522" s="286">
        <v>287</v>
      </c>
      <c r="R522" s="286">
        <v>188</v>
      </c>
      <c r="S522" s="286">
        <v>99</v>
      </c>
      <c r="T522" s="286">
        <v>174</v>
      </c>
      <c r="U522" s="286">
        <v>131</v>
      </c>
      <c r="V522" s="286">
        <v>43</v>
      </c>
      <c r="W522" s="286">
        <v>101</v>
      </c>
      <c r="X522" s="286">
        <v>46</v>
      </c>
      <c r="Y522" s="286">
        <v>55</v>
      </c>
    </row>
    <row r="523" spans="1:25">
      <c r="A523" s="212">
        <v>4606</v>
      </c>
      <c r="B523" s="212" t="s">
        <v>1642</v>
      </c>
      <c r="C523" s="212">
        <v>1</v>
      </c>
      <c r="D523" s="212" t="s">
        <v>1643</v>
      </c>
      <c r="E523" s="212" t="s">
        <v>2665</v>
      </c>
      <c r="F523" s="212">
        <v>5</v>
      </c>
      <c r="G523" s="212" t="s">
        <v>1645</v>
      </c>
      <c r="H523" s="212">
        <v>0</v>
      </c>
      <c r="I523" s="212" t="s">
        <v>2666</v>
      </c>
      <c r="J523" s="212">
        <v>2</v>
      </c>
      <c r="K523" s="286">
        <v>5</v>
      </c>
      <c r="L523" s="286">
        <v>3</v>
      </c>
      <c r="M523" s="286">
        <v>2</v>
      </c>
      <c r="N523" s="286">
        <v>2</v>
      </c>
      <c r="O523" s="286">
        <v>1</v>
      </c>
      <c r="P523" s="286">
        <v>1</v>
      </c>
      <c r="Q523" s="286">
        <v>1</v>
      </c>
      <c r="R523" s="286">
        <v>1</v>
      </c>
      <c r="S523" s="286">
        <v>0</v>
      </c>
      <c r="T523" s="286">
        <v>1</v>
      </c>
      <c r="U523" s="286">
        <v>1</v>
      </c>
      <c r="V523" s="286">
        <v>0</v>
      </c>
      <c r="W523" s="286">
        <v>0</v>
      </c>
      <c r="X523" s="286">
        <v>0</v>
      </c>
      <c r="Y523" s="286">
        <v>0</v>
      </c>
    </row>
    <row r="524" spans="1:25">
      <c r="A524" s="212">
        <v>4615</v>
      </c>
      <c r="B524" s="212" t="s">
        <v>1642</v>
      </c>
      <c r="C524" s="212">
        <v>1</v>
      </c>
      <c r="D524" s="212" t="s">
        <v>1643</v>
      </c>
      <c r="E524" s="212" t="s">
        <v>2667</v>
      </c>
      <c r="F524" s="212">
        <v>5</v>
      </c>
      <c r="G524" s="212" t="s">
        <v>1645</v>
      </c>
      <c r="H524" s="212">
        <v>0</v>
      </c>
      <c r="I524" s="212" t="s">
        <v>2668</v>
      </c>
      <c r="J524" s="212">
        <v>458</v>
      </c>
      <c r="K524" s="286">
        <v>1621</v>
      </c>
      <c r="L524" s="286">
        <v>798</v>
      </c>
      <c r="M524" s="286">
        <v>817</v>
      </c>
      <c r="N524" s="286">
        <v>1</v>
      </c>
      <c r="O524" s="286">
        <v>1</v>
      </c>
      <c r="P524" s="286">
        <v>0</v>
      </c>
      <c r="Q524" s="286">
        <v>13</v>
      </c>
      <c r="R524" s="286">
        <v>8</v>
      </c>
      <c r="S524" s="286">
        <v>5</v>
      </c>
      <c r="T524" s="286">
        <v>7</v>
      </c>
      <c r="U524" s="286">
        <v>6</v>
      </c>
      <c r="V524" s="286">
        <v>1</v>
      </c>
      <c r="W524" s="286">
        <v>6</v>
      </c>
      <c r="X524" s="286">
        <v>2</v>
      </c>
      <c r="Y524" s="286">
        <v>4</v>
      </c>
    </row>
    <row r="525" spans="1:25">
      <c r="A525" s="212">
        <v>4624</v>
      </c>
      <c r="B525" s="212" t="s">
        <v>1642</v>
      </c>
      <c r="C525" s="212">
        <v>1</v>
      </c>
      <c r="D525" s="212" t="s">
        <v>1643</v>
      </c>
      <c r="E525" s="212" t="s">
        <v>2669</v>
      </c>
      <c r="F525" s="212">
        <v>6</v>
      </c>
      <c r="G525" s="212" t="s">
        <v>1645</v>
      </c>
      <c r="H525" s="212">
        <v>0</v>
      </c>
      <c r="I525" s="212" t="s">
        <v>2670</v>
      </c>
      <c r="J525" s="212">
        <v>426</v>
      </c>
      <c r="K525" s="286">
        <v>1386</v>
      </c>
      <c r="L525" s="286">
        <v>667</v>
      </c>
      <c r="M525" s="286">
        <v>713</v>
      </c>
      <c r="N525" s="286">
        <v>1</v>
      </c>
      <c r="O525" s="286">
        <v>1</v>
      </c>
      <c r="P525" s="286">
        <v>0</v>
      </c>
      <c r="Q525" s="286">
        <v>9</v>
      </c>
      <c r="R525" s="286">
        <v>4</v>
      </c>
      <c r="S525" s="286">
        <v>5</v>
      </c>
      <c r="T525" s="286">
        <v>3</v>
      </c>
      <c r="U525" s="286">
        <v>2</v>
      </c>
      <c r="V525" s="286">
        <v>1</v>
      </c>
      <c r="W525" s="286">
        <v>6</v>
      </c>
      <c r="X525" s="286">
        <v>2</v>
      </c>
      <c r="Y525" s="286">
        <v>4</v>
      </c>
    </row>
    <row r="526" spans="1:25">
      <c r="A526" s="212">
        <v>4633</v>
      </c>
      <c r="B526" s="212" t="s">
        <v>1642</v>
      </c>
      <c r="C526" s="212">
        <v>1</v>
      </c>
      <c r="D526" s="212" t="s">
        <v>1643</v>
      </c>
      <c r="E526" s="212" t="s">
        <v>2671</v>
      </c>
      <c r="F526" s="212">
        <v>6</v>
      </c>
      <c r="G526" s="212" t="s">
        <v>1645</v>
      </c>
      <c r="H526" s="212">
        <v>0</v>
      </c>
      <c r="I526" s="212" t="s">
        <v>2672</v>
      </c>
      <c r="J526" s="212">
        <v>32</v>
      </c>
      <c r="K526" s="286">
        <v>235</v>
      </c>
      <c r="L526" s="286">
        <v>131</v>
      </c>
      <c r="M526" s="286">
        <v>104</v>
      </c>
      <c r="N526" s="286">
        <v>0</v>
      </c>
      <c r="O526" s="286">
        <v>0</v>
      </c>
      <c r="P526" s="286">
        <v>0</v>
      </c>
      <c r="Q526" s="286">
        <v>4</v>
      </c>
      <c r="R526" s="286">
        <v>4</v>
      </c>
      <c r="S526" s="286">
        <v>0</v>
      </c>
      <c r="T526" s="286">
        <v>4</v>
      </c>
      <c r="U526" s="286">
        <v>4</v>
      </c>
      <c r="V526" s="286">
        <v>0</v>
      </c>
      <c r="W526" s="286">
        <v>0</v>
      </c>
      <c r="X526" s="286">
        <v>0</v>
      </c>
      <c r="Y526" s="286">
        <v>0</v>
      </c>
    </row>
    <row r="527" spans="1:25">
      <c r="A527" s="212">
        <v>4642</v>
      </c>
      <c r="B527" s="212" t="s">
        <v>1642</v>
      </c>
      <c r="C527" s="212">
        <v>1</v>
      </c>
      <c r="D527" s="212" t="s">
        <v>1643</v>
      </c>
      <c r="E527" s="212" t="s">
        <v>2673</v>
      </c>
      <c r="F527" s="212">
        <v>5</v>
      </c>
      <c r="G527" s="212" t="s">
        <v>1645</v>
      </c>
      <c r="H527" s="212">
        <v>0</v>
      </c>
      <c r="I527" s="212" t="s">
        <v>2674</v>
      </c>
      <c r="J527" s="212">
        <v>830</v>
      </c>
      <c r="K527" s="286">
        <v>2214</v>
      </c>
      <c r="L527" s="286">
        <v>1342</v>
      </c>
      <c r="M527" s="286">
        <v>856</v>
      </c>
      <c r="N527" s="286">
        <v>0</v>
      </c>
      <c r="O527" s="286">
        <v>0</v>
      </c>
      <c r="P527" s="286">
        <v>0</v>
      </c>
      <c r="Q527" s="286">
        <v>4</v>
      </c>
      <c r="R527" s="286">
        <v>4</v>
      </c>
      <c r="S527" s="286">
        <v>0</v>
      </c>
      <c r="T527" s="286">
        <v>3</v>
      </c>
      <c r="U527" s="286">
        <v>3</v>
      </c>
      <c r="V527" s="286">
        <v>0</v>
      </c>
      <c r="W527" s="286">
        <v>1</v>
      </c>
      <c r="X527" s="286">
        <v>1</v>
      </c>
      <c r="Y527" s="286">
        <v>0</v>
      </c>
    </row>
    <row r="528" spans="1:25">
      <c r="A528" s="212">
        <v>4651</v>
      </c>
      <c r="B528" s="212" t="s">
        <v>1642</v>
      </c>
      <c r="C528" s="212">
        <v>1</v>
      </c>
      <c r="D528" s="212" t="s">
        <v>1643</v>
      </c>
      <c r="E528" s="212" t="s">
        <v>2675</v>
      </c>
      <c r="F528" s="212">
        <v>5</v>
      </c>
      <c r="G528" s="212" t="s">
        <v>1645</v>
      </c>
      <c r="H528" s="212">
        <v>0</v>
      </c>
      <c r="I528" s="212" t="s">
        <v>2676</v>
      </c>
      <c r="J528" s="212">
        <v>287</v>
      </c>
      <c r="K528" s="286">
        <v>662</v>
      </c>
      <c r="L528" s="286">
        <v>372</v>
      </c>
      <c r="M528" s="286">
        <v>290</v>
      </c>
      <c r="N528" s="286">
        <v>1</v>
      </c>
      <c r="O528" s="286">
        <v>0</v>
      </c>
      <c r="P528" s="286">
        <v>1</v>
      </c>
      <c r="Q528" s="286">
        <v>2</v>
      </c>
      <c r="R528" s="286">
        <v>1</v>
      </c>
      <c r="S528" s="286">
        <v>1</v>
      </c>
      <c r="T528" s="286">
        <v>2</v>
      </c>
      <c r="U528" s="286">
        <v>1</v>
      </c>
      <c r="V528" s="286">
        <v>1</v>
      </c>
      <c r="W528" s="286">
        <v>0</v>
      </c>
      <c r="X528" s="286">
        <v>0</v>
      </c>
      <c r="Y528" s="286">
        <v>0</v>
      </c>
    </row>
    <row r="529" spans="1:25">
      <c r="A529" s="212">
        <v>4660</v>
      </c>
      <c r="B529" s="212" t="s">
        <v>1642</v>
      </c>
      <c r="C529" s="212">
        <v>1</v>
      </c>
      <c r="D529" s="212" t="s">
        <v>1643</v>
      </c>
      <c r="E529" s="212" t="s">
        <v>2677</v>
      </c>
      <c r="F529" s="212">
        <v>5</v>
      </c>
      <c r="G529" s="212" t="s">
        <v>1645</v>
      </c>
      <c r="H529" s="212">
        <v>0</v>
      </c>
      <c r="I529" s="212" t="s">
        <v>2678</v>
      </c>
      <c r="J529" s="212">
        <v>1222</v>
      </c>
      <c r="K529" s="286">
        <v>5493</v>
      </c>
      <c r="L529" s="286">
        <v>2740</v>
      </c>
      <c r="M529" s="286">
        <v>2718</v>
      </c>
      <c r="N529" s="286">
        <v>5</v>
      </c>
      <c r="O529" s="286">
        <v>3</v>
      </c>
      <c r="P529" s="286">
        <v>2</v>
      </c>
      <c r="Q529" s="286">
        <v>37</v>
      </c>
      <c r="R529" s="286">
        <v>9</v>
      </c>
      <c r="S529" s="286">
        <v>28</v>
      </c>
      <c r="T529" s="286">
        <v>9</v>
      </c>
      <c r="U529" s="286">
        <v>4</v>
      </c>
      <c r="V529" s="286">
        <v>5</v>
      </c>
      <c r="W529" s="286">
        <v>28</v>
      </c>
      <c r="X529" s="286">
        <v>5</v>
      </c>
      <c r="Y529" s="286">
        <v>23</v>
      </c>
    </row>
    <row r="530" spans="1:25">
      <c r="A530" s="212">
        <v>4669</v>
      </c>
      <c r="B530" s="212" t="s">
        <v>1642</v>
      </c>
      <c r="C530" s="212">
        <v>1</v>
      </c>
      <c r="D530" s="212" t="s">
        <v>1643</v>
      </c>
      <c r="E530" s="212" t="s">
        <v>2679</v>
      </c>
      <c r="F530" s="212">
        <v>6</v>
      </c>
      <c r="G530" s="212" t="s">
        <v>1645</v>
      </c>
      <c r="H530" s="212">
        <v>0</v>
      </c>
      <c r="I530" s="212" t="s">
        <v>2680</v>
      </c>
      <c r="J530" s="212">
        <v>96</v>
      </c>
      <c r="K530" s="286">
        <v>512</v>
      </c>
      <c r="L530" s="286">
        <v>292</v>
      </c>
      <c r="M530" s="286">
        <v>218</v>
      </c>
      <c r="N530" s="286">
        <v>4</v>
      </c>
      <c r="O530" s="286">
        <v>2</v>
      </c>
      <c r="P530" s="286">
        <v>2</v>
      </c>
      <c r="Q530" s="286">
        <v>5</v>
      </c>
      <c r="R530" s="286">
        <v>3</v>
      </c>
      <c r="S530" s="286">
        <v>2</v>
      </c>
      <c r="T530" s="286">
        <v>1</v>
      </c>
      <c r="U530" s="286">
        <v>1</v>
      </c>
      <c r="V530" s="286">
        <v>0</v>
      </c>
      <c r="W530" s="286">
        <v>4</v>
      </c>
      <c r="X530" s="286">
        <v>2</v>
      </c>
      <c r="Y530" s="286">
        <v>2</v>
      </c>
    </row>
    <row r="531" spans="1:25">
      <c r="A531" s="212">
        <v>4678</v>
      </c>
      <c r="B531" s="212" t="s">
        <v>1642</v>
      </c>
      <c r="C531" s="212">
        <v>1</v>
      </c>
      <c r="D531" s="212" t="s">
        <v>1643</v>
      </c>
      <c r="E531" s="212" t="s">
        <v>2681</v>
      </c>
      <c r="F531" s="212">
        <v>6</v>
      </c>
      <c r="G531" s="212" t="s">
        <v>1645</v>
      </c>
      <c r="H531" s="212">
        <v>0</v>
      </c>
      <c r="I531" s="212" t="s">
        <v>2682</v>
      </c>
      <c r="J531" s="212">
        <v>1126</v>
      </c>
      <c r="K531" s="286">
        <v>4981</v>
      </c>
      <c r="L531" s="286">
        <v>2448</v>
      </c>
      <c r="M531" s="286">
        <v>2500</v>
      </c>
      <c r="N531" s="286">
        <v>1</v>
      </c>
      <c r="O531" s="286">
        <v>1</v>
      </c>
      <c r="P531" s="286">
        <v>0</v>
      </c>
      <c r="Q531" s="286">
        <v>32</v>
      </c>
      <c r="R531" s="286">
        <v>6</v>
      </c>
      <c r="S531" s="286">
        <v>26</v>
      </c>
      <c r="T531" s="286">
        <v>8</v>
      </c>
      <c r="U531" s="286">
        <v>3</v>
      </c>
      <c r="V531" s="286">
        <v>5</v>
      </c>
      <c r="W531" s="286">
        <v>24</v>
      </c>
      <c r="X531" s="286">
        <v>3</v>
      </c>
      <c r="Y531" s="286">
        <v>21</v>
      </c>
    </row>
    <row r="532" spans="1:25">
      <c r="A532" s="212">
        <v>4687</v>
      </c>
      <c r="B532" s="212" t="s">
        <v>1642</v>
      </c>
      <c r="C532" s="212">
        <v>1</v>
      </c>
      <c r="D532" s="212" t="s">
        <v>1643</v>
      </c>
      <c r="E532" s="212" t="s">
        <v>2683</v>
      </c>
      <c r="F532" s="212">
        <v>5</v>
      </c>
      <c r="G532" s="212" t="s">
        <v>1645</v>
      </c>
      <c r="H532" s="212">
        <v>0</v>
      </c>
      <c r="I532" s="212" t="s">
        <v>2684</v>
      </c>
      <c r="J532" s="212">
        <v>249</v>
      </c>
      <c r="K532" s="286">
        <v>692</v>
      </c>
      <c r="L532" s="286">
        <v>295</v>
      </c>
      <c r="M532" s="286">
        <v>391</v>
      </c>
      <c r="N532" s="286">
        <v>2</v>
      </c>
      <c r="O532" s="286">
        <v>1</v>
      </c>
      <c r="P532" s="286">
        <v>1</v>
      </c>
      <c r="Q532" s="286">
        <v>1</v>
      </c>
      <c r="R532" s="286">
        <v>0</v>
      </c>
      <c r="S532" s="286">
        <v>1</v>
      </c>
      <c r="T532" s="286">
        <v>1</v>
      </c>
      <c r="U532" s="286">
        <v>0</v>
      </c>
      <c r="V532" s="286">
        <v>1</v>
      </c>
      <c r="W532" s="286">
        <v>0</v>
      </c>
      <c r="X532" s="286">
        <v>0</v>
      </c>
      <c r="Y532" s="286">
        <v>0</v>
      </c>
    </row>
    <row r="533" spans="1:25">
      <c r="A533" s="212">
        <v>4696</v>
      </c>
      <c r="B533" s="212" t="s">
        <v>1642</v>
      </c>
      <c r="C533" s="212">
        <v>1</v>
      </c>
      <c r="D533" s="212" t="s">
        <v>1643</v>
      </c>
      <c r="E533" s="212" t="s">
        <v>2685</v>
      </c>
      <c r="F533" s="212">
        <v>5</v>
      </c>
      <c r="G533" s="212" t="s">
        <v>1645</v>
      </c>
      <c r="H533" s="212">
        <v>0</v>
      </c>
      <c r="I533" s="212" t="s">
        <v>2686</v>
      </c>
      <c r="J533" s="212">
        <v>241</v>
      </c>
      <c r="K533" s="286">
        <v>745</v>
      </c>
      <c r="L533" s="286">
        <v>389</v>
      </c>
      <c r="M533" s="286">
        <v>340</v>
      </c>
      <c r="N533" s="286">
        <v>1</v>
      </c>
      <c r="O533" s="286">
        <v>1</v>
      </c>
      <c r="P533" s="286">
        <v>0</v>
      </c>
      <c r="Q533" s="286">
        <v>23</v>
      </c>
      <c r="R533" s="286">
        <v>17</v>
      </c>
      <c r="S533" s="286">
        <v>6</v>
      </c>
      <c r="T533" s="286">
        <v>5</v>
      </c>
      <c r="U533" s="286">
        <v>4</v>
      </c>
      <c r="V533" s="286">
        <v>1</v>
      </c>
      <c r="W533" s="286">
        <v>18</v>
      </c>
      <c r="X533" s="286">
        <v>13</v>
      </c>
      <c r="Y533" s="286">
        <v>5</v>
      </c>
    </row>
    <row r="534" spans="1:25">
      <c r="A534" s="212">
        <v>4705</v>
      </c>
      <c r="B534" s="212" t="s">
        <v>1642</v>
      </c>
      <c r="C534" s="212">
        <v>1</v>
      </c>
      <c r="D534" s="212" t="s">
        <v>1643</v>
      </c>
      <c r="E534" s="212" t="s">
        <v>2687</v>
      </c>
      <c r="F534" s="212">
        <v>5</v>
      </c>
      <c r="G534" s="212" t="s">
        <v>1645</v>
      </c>
      <c r="H534" s="212">
        <v>0</v>
      </c>
      <c r="I534" s="212" t="s">
        <v>2688</v>
      </c>
      <c r="J534" s="212">
        <v>29</v>
      </c>
      <c r="K534" s="286">
        <v>42</v>
      </c>
      <c r="L534" s="286">
        <v>25</v>
      </c>
      <c r="M534" s="286">
        <v>16</v>
      </c>
      <c r="N534" s="286">
        <v>1</v>
      </c>
      <c r="O534" s="286">
        <v>1</v>
      </c>
      <c r="P534" s="286">
        <v>0</v>
      </c>
      <c r="Q534" s="286">
        <v>4</v>
      </c>
      <c r="R534" s="286">
        <v>4</v>
      </c>
      <c r="S534" s="286">
        <v>0</v>
      </c>
      <c r="T534" s="286">
        <v>0</v>
      </c>
      <c r="U534" s="286">
        <v>0</v>
      </c>
      <c r="V534" s="286">
        <v>0</v>
      </c>
      <c r="W534" s="286">
        <v>0</v>
      </c>
      <c r="X534" s="286">
        <v>0</v>
      </c>
      <c r="Y534" s="286">
        <v>0</v>
      </c>
    </row>
    <row r="535" spans="1:25">
      <c r="A535" s="212">
        <v>4714</v>
      </c>
      <c r="B535" s="212" t="s">
        <v>1642</v>
      </c>
      <c r="C535" s="212">
        <v>1</v>
      </c>
      <c r="D535" s="212" t="s">
        <v>1643</v>
      </c>
      <c r="E535" s="212" t="s">
        <v>2689</v>
      </c>
      <c r="F535" s="212">
        <v>5</v>
      </c>
      <c r="G535" s="212" t="s">
        <v>1645</v>
      </c>
      <c r="H535" s="212">
        <v>0</v>
      </c>
      <c r="I535" s="212" t="s">
        <v>2690</v>
      </c>
      <c r="J535" s="212">
        <v>446</v>
      </c>
      <c r="K535" s="286">
        <v>3255</v>
      </c>
      <c r="L535" s="286">
        <v>2097</v>
      </c>
      <c r="M535" s="286">
        <v>1149</v>
      </c>
      <c r="N535" s="286">
        <v>335</v>
      </c>
      <c r="O535" s="286">
        <v>217</v>
      </c>
      <c r="P535" s="286">
        <v>118</v>
      </c>
      <c r="Q535" s="286">
        <v>85</v>
      </c>
      <c r="R535" s="286">
        <v>64</v>
      </c>
      <c r="S535" s="286">
        <v>21</v>
      </c>
      <c r="T535" s="286">
        <v>59</v>
      </c>
      <c r="U535" s="286">
        <v>47</v>
      </c>
      <c r="V535" s="286">
        <v>12</v>
      </c>
      <c r="W535" s="286">
        <v>18</v>
      </c>
      <c r="X535" s="286">
        <v>10</v>
      </c>
      <c r="Y535" s="286">
        <v>8</v>
      </c>
    </row>
    <row r="536" spans="1:25">
      <c r="A536" s="212">
        <v>4723</v>
      </c>
      <c r="B536" s="212" t="s">
        <v>1642</v>
      </c>
      <c r="C536" s="212">
        <v>1</v>
      </c>
      <c r="D536" s="212" t="s">
        <v>1643</v>
      </c>
      <c r="E536" s="212" t="s">
        <v>2691</v>
      </c>
      <c r="F536" s="212">
        <v>6</v>
      </c>
      <c r="G536" s="212" t="s">
        <v>1645</v>
      </c>
      <c r="H536" s="212">
        <v>0</v>
      </c>
      <c r="I536" s="212" t="s">
        <v>2692</v>
      </c>
      <c r="J536" s="212">
        <v>420</v>
      </c>
      <c r="K536" s="286">
        <v>2832</v>
      </c>
      <c r="L536" s="286">
        <v>1792</v>
      </c>
      <c r="M536" s="286">
        <v>1031</v>
      </c>
      <c r="N536" s="286">
        <v>197</v>
      </c>
      <c r="O536" s="286">
        <v>102</v>
      </c>
      <c r="P536" s="286">
        <v>95</v>
      </c>
      <c r="Q536" s="286">
        <v>85</v>
      </c>
      <c r="R536" s="286">
        <v>64</v>
      </c>
      <c r="S536" s="286">
        <v>21</v>
      </c>
      <c r="T536" s="286">
        <v>59</v>
      </c>
      <c r="U536" s="286">
        <v>47</v>
      </c>
      <c r="V536" s="286">
        <v>12</v>
      </c>
      <c r="W536" s="286">
        <v>18</v>
      </c>
      <c r="X536" s="286">
        <v>10</v>
      </c>
      <c r="Y536" s="286">
        <v>8</v>
      </c>
    </row>
    <row r="537" spans="1:25">
      <c r="A537" s="212">
        <v>4732</v>
      </c>
      <c r="B537" s="212" t="s">
        <v>1642</v>
      </c>
      <c r="C537" s="212">
        <v>1</v>
      </c>
      <c r="D537" s="212" t="s">
        <v>1643</v>
      </c>
      <c r="E537" s="212" t="s">
        <v>2693</v>
      </c>
      <c r="F537" s="212">
        <v>6</v>
      </c>
      <c r="G537" s="212" t="s">
        <v>1645</v>
      </c>
      <c r="H537" s="212">
        <v>0</v>
      </c>
      <c r="I537" s="212" t="s">
        <v>2694</v>
      </c>
      <c r="J537" s="212">
        <v>26</v>
      </c>
      <c r="K537" s="286">
        <v>423</v>
      </c>
      <c r="L537" s="286">
        <v>305</v>
      </c>
      <c r="M537" s="286">
        <v>118</v>
      </c>
      <c r="N537" s="286">
        <v>138</v>
      </c>
      <c r="O537" s="286">
        <v>115</v>
      </c>
      <c r="P537" s="286">
        <v>23</v>
      </c>
      <c r="Q537" s="286">
        <v>0</v>
      </c>
      <c r="R537" s="286">
        <v>0</v>
      </c>
      <c r="S537" s="286">
        <v>0</v>
      </c>
      <c r="T537" s="286">
        <v>0</v>
      </c>
      <c r="U537" s="286">
        <v>0</v>
      </c>
      <c r="V537" s="286">
        <v>0</v>
      </c>
      <c r="W537" s="286">
        <v>0</v>
      </c>
      <c r="X537" s="286">
        <v>0</v>
      </c>
      <c r="Y537" s="286">
        <v>0</v>
      </c>
    </row>
    <row r="538" spans="1:25">
      <c r="A538" s="212">
        <v>4741</v>
      </c>
      <c r="B538" s="212" t="s">
        <v>1642</v>
      </c>
      <c r="C538" s="212">
        <v>1</v>
      </c>
      <c r="D538" s="212" t="s">
        <v>1643</v>
      </c>
      <c r="E538" s="212" t="s">
        <v>2695</v>
      </c>
      <c r="F538" s="212">
        <v>5</v>
      </c>
      <c r="G538" s="212" t="s">
        <v>1645</v>
      </c>
      <c r="H538" s="212">
        <v>0</v>
      </c>
      <c r="I538" s="212" t="s">
        <v>2696</v>
      </c>
      <c r="J538" s="212">
        <v>563</v>
      </c>
      <c r="K538" s="286">
        <v>2506</v>
      </c>
      <c r="L538" s="286">
        <v>1378</v>
      </c>
      <c r="M538" s="286">
        <v>1106</v>
      </c>
      <c r="N538" s="286">
        <v>16</v>
      </c>
      <c r="O538" s="286">
        <v>2</v>
      </c>
      <c r="P538" s="286">
        <v>14</v>
      </c>
      <c r="Q538" s="286">
        <v>117</v>
      </c>
      <c r="R538" s="286">
        <v>80</v>
      </c>
      <c r="S538" s="286">
        <v>37</v>
      </c>
      <c r="T538" s="286">
        <v>87</v>
      </c>
      <c r="U538" s="286">
        <v>65</v>
      </c>
      <c r="V538" s="286">
        <v>22</v>
      </c>
      <c r="W538" s="286">
        <v>30</v>
      </c>
      <c r="X538" s="286">
        <v>15</v>
      </c>
      <c r="Y538" s="286">
        <v>15</v>
      </c>
    </row>
    <row r="539" spans="1:25">
      <c r="A539" s="212">
        <v>4750</v>
      </c>
      <c r="B539" s="212" t="s">
        <v>1642</v>
      </c>
      <c r="C539" s="212">
        <v>1</v>
      </c>
      <c r="D539" s="212" t="s">
        <v>1643</v>
      </c>
      <c r="E539" s="212" t="s">
        <v>2697</v>
      </c>
      <c r="F539" s="212">
        <v>6</v>
      </c>
      <c r="G539" s="212" t="s">
        <v>1645</v>
      </c>
      <c r="H539" s="212">
        <v>0</v>
      </c>
      <c r="I539" s="212" t="s">
        <v>2698</v>
      </c>
      <c r="J539" s="212">
        <v>15</v>
      </c>
      <c r="K539" s="286">
        <v>111</v>
      </c>
      <c r="L539" s="286">
        <v>68</v>
      </c>
      <c r="M539" s="286">
        <v>43</v>
      </c>
      <c r="N539" s="286">
        <v>0</v>
      </c>
      <c r="O539" s="286">
        <v>0</v>
      </c>
      <c r="P539" s="286">
        <v>0</v>
      </c>
      <c r="Q539" s="286">
        <v>0</v>
      </c>
      <c r="R539" s="286">
        <v>0</v>
      </c>
      <c r="S539" s="286">
        <v>0</v>
      </c>
      <c r="T539" s="286">
        <v>0</v>
      </c>
      <c r="U539" s="286">
        <v>0</v>
      </c>
      <c r="V539" s="286">
        <v>0</v>
      </c>
      <c r="W539" s="286">
        <v>0</v>
      </c>
      <c r="X539" s="286">
        <v>0</v>
      </c>
      <c r="Y539" s="286">
        <v>0</v>
      </c>
    </row>
    <row r="540" spans="1:25">
      <c r="A540" s="212">
        <v>4759</v>
      </c>
      <c r="B540" s="212" t="s">
        <v>1642</v>
      </c>
      <c r="C540" s="212">
        <v>1</v>
      </c>
      <c r="D540" s="212" t="s">
        <v>1643</v>
      </c>
      <c r="E540" s="212" t="s">
        <v>2699</v>
      </c>
      <c r="F540" s="212">
        <v>6</v>
      </c>
      <c r="G540" s="212" t="s">
        <v>1645</v>
      </c>
      <c r="H540" s="212">
        <v>0</v>
      </c>
      <c r="I540" s="212" t="s">
        <v>2700</v>
      </c>
      <c r="J540" s="212">
        <v>548</v>
      </c>
      <c r="K540" s="286">
        <v>2395</v>
      </c>
      <c r="L540" s="286">
        <v>1310</v>
      </c>
      <c r="M540" s="286">
        <v>1063</v>
      </c>
      <c r="N540" s="286">
        <v>16</v>
      </c>
      <c r="O540" s="286">
        <v>2</v>
      </c>
      <c r="P540" s="286">
        <v>14</v>
      </c>
      <c r="Q540" s="286">
        <v>117</v>
      </c>
      <c r="R540" s="286">
        <v>80</v>
      </c>
      <c r="S540" s="286">
        <v>37</v>
      </c>
      <c r="T540" s="286">
        <v>87</v>
      </c>
      <c r="U540" s="286">
        <v>65</v>
      </c>
      <c r="V540" s="286">
        <v>22</v>
      </c>
      <c r="W540" s="286">
        <v>30</v>
      </c>
      <c r="X540" s="286">
        <v>15</v>
      </c>
      <c r="Y540" s="286">
        <v>15</v>
      </c>
    </row>
    <row r="541" spans="1:25">
      <c r="A541" s="212">
        <v>4768</v>
      </c>
      <c r="B541" s="212" t="s">
        <v>1642</v>
      </c>
      <c r="C541" s="212">
        <v>1</v>
      </c>
      <c r="D541" s="212" t="s">
        <v>1643</v>
      </c>
      <c r="E541" s="212" t="s">
        <v>2701</v>
      </c>
      <c r="F541" s="212">
        <v>4</v>
      </c>
      <c r="G541" s="212" t="s">
        <v>1645</v>
      </c>
      <c r="H541" s="212">
        <v>0</v>
      </c>
      <c r="I541" s="212" t="s">
        <v>2702</v>
      </c>
      <c r="J541" s="212">
        <v>198</v>
      </c>
      <c r="K541" s="286">
        <v>1383</v>
      </c>
      <c r="L541" s="286">
        <v>814</v>
      </c>
      <c r="M541" s="286">
        <v>557</v>
      </c>
      <c r="N541" s="286">
        <v>5</v>
      </c>
      <c r="O541" s="286">
        <v>4</v>
      </c>
      <c r="P541" s="286">
        <v>1</v>
      </c>
      <c r="Q541" s="286">
        <v>39</v>
      </c>
      <c r="R541" s="286">
        <v>10</v>
      </c>
      <c r="S541" s="286">
        <v>29</v>
      </c>
      <c r="T541" s="286">
        <v>8</v>
      </c>
      <c r="U541" s="286">
        <v>7</v>
      </c>
      <c r="V541" s="286">
        <v>1</v>
      </c>
      <c r="W541" s="286">
        <v>31</v>
      </c>
      <c r="X541" s="286">
        <v>3</v>
      </c>
      <c r="Y541" s="286">
        <v>28</v>
      </c>
    </row>
    <row r="542" spans="1:25">
      <c r="A542" s="212">
        <v>4777</v>
      </c>
      <c r="B542" s="212" t="s">
        <v>1642</v>
      </c>
      <c r="C542" s="212">
        <v>1</v>
      </c>
      <c r="D542" s="212" t="s">
        <v>1643</v>
      </c>
      <c r="E542" s="212" t="s">
        <v>2703</v>
      </c>
      <c r="F542" s="212">
        <v>5</v>
      </c>
      <c r="G542" s="212" t="s">
        <v>1645</v>
      </c>
      <c r="H542" s="212">
        <v>0</v>
      </c>
      <c r="I542" s="212" t="s">
        <v>2704</v>
      </c>
      <c r="J542" s="212">
        <v>1</v>
      </c>
      <c r="K542" s="286">
        <v>4</v>
      </c>
      <c r="L542" s="286">
        <v>3</v>
      </c>
      <c r="M542" s="286">
        <v>1</v>
      </c>
      <c r="N542" s="286">
        <v>0</v>
      </c>
      <c r="O542" s="286">
        <v>0</v>
      </c>
      <c r="P542" s="286">
        <v>0</v>
      </c>
      <c r="Q542" s="286">
        <v>0</v>
      </c>
      <c r="R542" s="286">
        <v>0</v>
      </c>
      <c r="S542" s="286">
        <v>0</v>
      </c>
      <c r="T542" s="286">
        <v>0</v>
      </c>
      <c r="U542" s="286">
        <v>0</v>
      </c>
      <c r="V542" s="286">
        <v>0</v>
      </c>
      <c r="W542" s="286">
        <v>0</v>
      </c>
      <c r="X542" s="286">
        <v>0</v>
      </c>
      <c r="Y542" s="286">
        <v>0</v>
      </c>
    </row>
    <row r="543" spans="1:25">
      <c r="A543" s="212">
        <v>4786</v>
      </c>
      <c r="B543" s="212" t="s">
        <v>1642</v>
      </c>
      <c r="C543" s="212">
        <v>1</v>
      </c>
      <c r="D543" s="212" t="s">
        <v>1643</v>
      </c>
      <c r="E543" s="212" t="s">
        <v>2705</v>
      </c>
      <c r="F543" s="212">
        <v>5</v>
      </c>
      <c r="G543" s="212" t="s">
        <v>1645</v>
      </c>
      <c r="H543" s="212">
        <v>0</v>
      </c>
      <c r="I543" s="212" t="s">
        <v>2706</v>
      </c>
      <c r="J543" s="212">
        <v>197</v>
      </c>
      <c r="K543" s="286">
        <v>1379</v>
      </c>
      <c r="L543" s="286">
        <v>811</v>
      </c>
      <c r="M543" s="286">
        <v>556</v>
      </c>
      <c r="N543" s="286">
        <v>5</v>
      </c>
      <c r="O543" s="286">
        <v>4</v>
      </c>
      <c r="P543" s="286">
        <v>1</v>
      </c>
      <c r="Q543" s="286">
        <v>39</v>
      </c>
      <c r="R543" s="286">
        <v>10</v>
      </c>
      <c r="S543" s="286">
        <v>29</v>
      </c>
      <c r="T543" s="286">
        <v>8</v>
      </c>
      <c r="U543" s="286">
        <v>7</v>
      </c>
      <c r="V543" s="286">
        <v>1</v>
      </c>
      <c r="W543" s="286">
        <v>31</v>
      </c>
      <c r="X543" s="286">
        <v>3</v>
      </c>
      <c r="Y543" s="286">
        <v>28</v>
      </c>
    </row>
    <row r="544" spans="1:25">
      <c r="A544" s="212">
        <v>4795</v>
      </c>
      <c r="B544" s="212" t="s">
        <v>1642</v>
      </c>
      <c r="C544" s="212">
        <v>1</v>
      </c>
      <c r="D544" s="212" t="s">
        <v>1643</v>
      </c>
      <c r="E544" s="212" t="s">
        <v>2707</v>
      </c>
      <c r="F544" s="212">
        <v>4</v>
      </c>
      <c r="G544" s="212" t="s">
        <v>1645</v>
      </c>
      <c r="H544" s="212">
        <v>0</v>
      </c>
      <c r="I544" s="212" t="s">
        <v>2708</v>
      </c>
      <c r="J544" s="212">
        <v>3508</v>
      </c>
      <c r="K544" s="286">
        <v>33200</v>
      </c>
      <c r="L544" s="286">
        <v>24513</v>
      </c>
      <c r="M544" s="286">
        <v>8603</v>
      </c>
      <c r="N544" s="286">
        <v>1010</v>
      </c>
      <c r="O544" s="286">
        <v>899</v>
      </c>
      <c r="P544" s="286">
        <v>111</v>
      </c>
      <c r="Q544" s="286">
        <v>3578</v>
      </c>
      <c r="R544" s="286">
        <v>2844</v>
      </c>
      <c r="S544" s="286">
        <v>734</v>
      </c>
      <c r="T544" s="286">
        <v>941</v>
      </c>
      <c r="U544" s="286">
        <v>866</v>
      </c>
      <c r="V544" s="286">
        <v>75</v>
      </c>
      <c r="W544" s="286">
        <v>2637</v>
      </c>
      <c r="X544" s="286">
        <v>1978</v>
      </c>
      <c r="Y544" s="286">
        <v>659</v>
      </c>
    </row>
    <row r="545" spans="1:25">
      <c r="A545" s="212">
        <v>4804</v>
      </c>
      <c r="B545" s="212" t="s">
        <v>1642</v>
      </c>
      <c r="C545" s="212">
        <v>1</v>
      </c>
      <c r="D545" s="212" t="s">
        <v>1643</v>
      </c>
      <c r="E545" s="212" t="s">
        <v>2709</v>
      </c>
      <c r="F545" s="212">
        <v>5</v>
      </c>
      <c r="G545" s="212" t="s">
        <v>1645</v>
      </c>
      <c r="H545" s="212">
        <v>0</v>
      </c>
      <c r="I545" s="212" t="s">
        <v>2710</v>
      </c>
      <c r="J545" s="212">
        <v>18</v>
      </c>
      <c r="K545" s="286">
        <v>275</v>
      </c>
      <c r="L545" s="286">
        <v>81</v>
      </c>
      <c r="M545" s="286">
        <v>194</v>
      </c>
      <c r="N545" s="286">
        <v>47</v>
      </c>
      <c r="O545" s="286">
        <v>22</v>
      </c>
      <c r="P545" s="286">
        <v>25</v>
      </c>
      <c r="Q545" s="286">
        <v>6</v>
      </c>
      <c r="R545" s="286">
        <v>5</v>
      </c>
      <c r="S545" s="286">
        <v>1</v>
      </c>
      <c r="T545" s="286">
        <v>6</v>
      </c>
      <c r="U545" s="286">
        <v>5</v>
      </c>
      <c r="V545" s="286">
        <v>1</v>
      </c>
      <c r="W545" s="286">
        <v>0</v>
      </c>
      <c r="X545" s="286">
        <v>0</v>
      </c>
      <c r="Y545" s="286">
        <v>0</v>
      </c>
    </row>
    <row r="546" spans="1:25">
      <c r="A546" s="212">
        <v>4813</v>
      </c>
      <c r="B546" s="212" t="s">
        <v>1642</v>
      </c>
      <c r="C546" s="212">
        <v>1</v>
      </c>
      <c r="D546" s="212" t="s">
        <v>1643</v>
      </c>
      <c r="E546" s="212" t="s">
        <v>2711</v>
      </c>
      <c r="F546" s="212">
        <v>5</v>
      </c>
      <c r="G546" s="212" t="s">
        <v>1645</v>
      </c>
      <c r="H546" s="212">
        <v>0</v>
      </c>
      <c r="I546" s="212" t="s">
        <v>2712</v>
      </c>
      <c r="J546" s="212">
        <v>439</v>
      </c>
      <c r="K546" s="286">
        <v>2378</v>
      </c>
      <c r="L546" s="286">
        <v>750</v>
      </c>
      <c r="M546" s="286">
        <v>1626</v>
      </c>
      <c r="N546" s="286">
        <v>3</v>
      </c>
      <c r="O546" s="286">
        <v>1</v>
      </c>
      <c r="P546" s="286">
        <v>2</v>
      </c>
      <c r="Q546" s="286">
        <v>23</v>
      </c>
      <c r="R546" s="286">
        <v>16</v>
      </c>
      <c r="S546" s="286">
        <v>7</v>
      </c>
      <c r="T546" s="286">
        <v>22</v>
      </c>
      <c r="U546" s="286">
        <v>16</v>
      </c>
      <c r="V546" s="286">
        <v>6</v>
      </c>
      <c r="W546" s="286">
        <v>1</v>
      </c>
      <c r="X546" s="286">
        <v>0</v>
      </c>
      <c r="Y546" s="286">
        <v>1</v>
      </c>
    </row>
    <row r="547" spans="1:25">
      <c r="A547" s="212">
        <v>4822</v>
      </c>
      <c r="B547" s="212" t="s">
        <v>1642</v>
      </c>
      <c r="C547" s="212">
        <v>1</v>
      </c>
      <c r="D547" s="212" t="s">
        <v>1643</v>
      </c>
      <c r="E547" s="212" t="s">
        <v>2713</v>
      </c>
      <c r="F547" s="212">
        <v>5</v>
      </c>
      <c r="G547" s="212" t="s">
        <v>1645</v>
      </c>
      <c r="H547" s="212">
        <v>0</v>
      </c>
      <c r="I547" s="212" t="s">
        <v>2714</v>
      </c>
      <c r="J547" s="212">
        <v>1711</v>
      </c>
      <c r="K547" s="286">
        <v>7900</v>
      </c>
      <c r="L547" s="286">
        <v>5913</v>
      </c>
      <c r="M547" s="286">
        <v>1950</v>
      </c>
      <c r="N547" s="286">
        <v>41</v>
      </c>
      <c r="O547" s="286">
        <v>33</v>
      </c>
      <c r="P547" s="286">
        <v>8</v>
      </c>
      <c r="Q547" s="286">
        <v>117</v>
      </c>
      <c r="R547" s="286">
        <v>99</v>
      </c>
      <c r="S547" s="286">
        <v>18</v>
      </c>
      <c r="T547" s="286">
        <v>32</v>
      </c>
      <c r="U547" s="286">
        <v>26</v>
      </c>
      <c r="V547" s="286">
        <v>6</v>
      </c>
      <c r="W547" s="286">
        <v>85</v>
      </c>
      <c r="X547" s="286">
        <v>73</v>
      </c>
      <c r="Y547" s="286">
        <v>12</v>
      </c>
    </row>
    <row r="548" spans="1:25">
      <c r="A548" s="212">
        <v>4831</v>
      </c>
      <c r="B548" s="212" t="s">
        <v>1642</v>
      </c>
      <c r="C548" s="212">
        <v>1</v>
      </c>
      <c r="D548" s="212" t="s">
        <v>1643</v>
      </c>
      <c r="E548" s="212" t="s">
        <v>2715</v>
      </c>
      <c r="F548" s="212">
        <v>6</v>
      </c>
      <c r="G548" s="212" t="s">
        <v>1645</v>
      </c>
      <c r="H548" s="212">
        <v>0</v>
      </c>
      <c r="I548" s="212" t="s">
        <v>2716</v>
      </c>
      <c r="J548" s="212">
        <v>1302</v>
      </c>
      <c r="K548" s="286">
        <v>5306</v>
      </c>
      <c r="L548" s="286">
        <v>3886</v>
      </c>
      <c r="M548" s="286">
        <v>1396</v>
      </c>
      <c r="N548" s="286">
        <v>34</v>
      </c>
      <c r="O548" s="286">
        <v>28</v>
      </c>
      <c r="P548" s="286">
        <v>6</v>
      </c>
      <c r="Q548" s="286">
        <v>99</v>
      </c>
      <c r="R548" s="286">
        <v>86</v>
      </c>
      <c r="S548" s="286">
        <v>13</v>
      </c>
      <c r="T548" s="286">
        <v>23</v>
      </c>
      <c r="U548" s="286">
        <v>18</v>
      </c>
      <c r="V548" s="286">
        <v>5</v>
      </c>
      <c r="W548" s="286">
        <v>76</v>
      </c>
      <c r="X548" s="286">
        <v>68</v>
      </c>
      <c r="Y548" s="286">
        <v>8</v>
      </c>
    </row>
    <row r="549" spans="1:25">
      <c r="A549" s="212">
        <v>4840</v>
      </c>
      <c r="B549" s="212" t="s">
        <v>1642</v>
      </c>
      <c r="C549" s="212">
        <v>1</v>
      </c>
      <c r="D549" s="212" t="s">
        <v>1643</v>
      </c>
      <c r="E549" s="212" t="s">
        <v>2717</v>
      </c>
      <c r="F549" s="212">
        <v>6</v>
      </c>
      <c r="G549" s="212" t="s">
        <v>1645</v>
      </c>
      <c r="H549" s="212">
        <v>0</v>
      </c>
      <c r="I549" s="212" t="s">
        <v>2718</v>
      </c>
      <c r="J549" s="212">
        <v>323</v>
      </c>
      <c r="K549" s="286">
        <v>1815</v>
      </c>
      <c r="L549" s="286">
        <v>1411</v>
      </c>
      <c r="M549" s="286">
        <v>391</v>
      </c>
      <c r="N549" s="286">
        <v>7</v>
      </c>
      <c r="O549" s="286">
        <v>5</v>
      </c>
      <c r="P549" s="286">
        <v>2</v>
      </c>
      <c r="Q549" s="286">
        <v>10</v>
      </c>
      <c r="R549" s="286">
        <v>7</v>
      </c>
      <c r="S549" s="286">
        <v>3</v>
      </c>
      <c r="T549" s="286">
        <v>5</v>
      </c>
      <c r="U549" s="286">
        <v>4</v>
      </c>
      <c r="V549" s="286">
        <v>1</v>
      </c>
      <c r="W549" s="286">
        <v>5</v>
      </c>
      <c r="X549" s="286">
        <v>3</v>
      </c>
      <c r="Y549" s="286">
        <v>2</v>
      </c>
    </row>
    <row r="550" spans="1:25">
      <c r="A550" s="212">
        <v>4849</v>
      </c>
      <c r="B550" s="212" t="s">
        <v>1642</v>
      </c>
      <c r="C550" s="212">
        <v>1</v>
      </c>
      <c r="D550" s="212" t="s">
        <v>1643</v>
      </c>
      <c r="E550" s="212" t="s">
        <v>2719</v>
      </c>
      <c r="F550" s="212">
        <v>6</v>
      </c>
      <c r="G550" s="212" t="s">
        <v>1645</v>
      </c>
      <c r="H550" s="212">
        <v>0</v>
      </c>
      <c r="I550" s="212" t="s">
        <v>2720</v>
      </c>
      <c r="J550" s="212">
        <v>86</v>
      </c>
      <c r="K550" s="286">
        <v>779</v>
      </c>
      <c r="L550" s="286">
        <v>616</v>
      </c>
      <c r="M550" s="286">
        <v>163</v>
      </c>
      <c r="N550" s="286">
        <v>0</v>
      </c>
      <c r="O550" s="286">
        <v>0</v>
      </c>
      <c r="P550" s="286">
        <v>0</v>
      </c>
      <c r="Q550" s="286">
        <v>8</v>
      </c>
      <c r="R550" s="286">
        <v>6</v>
      </c>
      <c r="S550" s="286">
        <v>2</v>
      </c>
      <c r="T550" s="286">
        <v>4</v>
      </c>
      <c r="U550" s="286">
        <v>4</v>
      </c>
      <c r="V550" s="286">
        <v>0</v>
      </c>
      <c r="W550" s="286">
        <v>4</v>
      </c>
      <c r="X550" s="286">
        <v>2</v>
      </c>
      <c r="Y550" s="286">
        <v>2</v>
      </c>
    </row>
    <row r="551" spans="1:25">
      <c r="A551" s="212">
        <v>4858</v>
      </c>
      <c r="B551" s="212" t="s">
        <v>1642</v>
      </c>
      <c r="C551" s="212">
        <v>1</v>
      </c>
      <c r="D551" s="212" t="s">
        <v>1643</v>
      </c>
      <c r="E551" s="212" t="s">
        <v>2721</v>
      </c>
      <c r="F551" s="212">
        <v>5</v>
      </c>
      <c r="G551" s="212" t="s">
        <v>1645</v>
      </c>
      <c r="H551" s="212">
        <v>0</v>
      </c>
      <c r="I551" s="212" t="s">
        <v>2722</v>
      </c>
      <c r="J551" s="212">
        <v>415</v>
      </c>
      <c r="K551" s="286">
        <v>9560</v>
      </c>
      <c r="L551" s="286">
        <v>7768</v>
      </c>
      <c r="M551" s="286">
        <v>1767</v>
      </c>
      <c r="N551" s="286">
        <v>573</v>
      </c>
      <c r="O551" s="286">
        <v>515</v>
      </c>
      <c r="P551" s="286">
        <v>58</v>
      </c>
      <c r="Q551" s="286">
        <v>2031</v>
      </c>
      <c r="R551" s="286">
        <v>1527</v>
      </c>
      <c r="S551" s="286">
        <v>504</v>
      </c>
      <c r="T551" s="286">
        <v>271</v>
      </c>
      <c r="U551" s="286">
        <v>242</v>
      </c>
      <c r="V551" s="286">
        <v>29</v>
      </c>
      <c r="W551" s="286">
        <v>1760</v>
      </c>
      <c r="X551" s="286">
        <v>1285</v>
      </c>
      <c r="Y551" s="286">
        <v>475</v>
      </c>
    </row>
    <row r="552" spans="1:25">
      <c r="A552" s="212">
        <v>4867</v>
      </c>
      <c r="B552" s="212" t="s">
        <v>1642</v>
      </c>
      <c r="C552" s="212">
        <v>1</v>
      </c>
      <c r="D552" s="212" t="s">
        <v>1643</v>
      </c>
      <c r="E552" s="212" t="s">
        <v>2723</v>
      </c>
      <c r="F552" s="212">
        <v>5</v>
      </c>
      <c r="G552" s="212" t="s">
        <v>1645</v>
      </c>
      <c r="H552" s="212">
        <v>0</v>
      </c>
      <c r="I552" s="212" t="s">
        <v>2724</v>
      </c>
      <c r="J552" s="212">
        <v>139</v>
      </c>
      <c r="K552" s="286">
        <v>3156</v>
      </c>
      <c r="L552" s="286">
        <v>2597</v>
      </c>
      <c r="M552" s="286">
        <v>539</v>
      </c>
      <c r="N552" s="286">
        <v>44</v>
      </c>
      <c r="O552" s="286">
        <v>43</v>
      </c>
      <c r="P552" s="286">
        <v>1</v>
      </c>
      <c r="Q552" s="286">
        <v>400</v>
      </c>
      <c r="R552" s="286">
        <v>330</v>
      </c>
      <c r="S552" s="286">
        <v>70</v>
      </c>
      <c r="T552" s="286">
        <v>159</v>
      </c>
      <c r="U552" s="286">
        <v>148</v>
      </c>
      <c r="V552" s="286">
        <v>11</v>
      </c>
      <c r="W552" s="286">
        <v>241</v>
      </c>
      <c r="X552" s="286">
        <v>182</v>
      </c>
      <c r="Y552" s="286">
        <v>59</v>
      </c>
    </row>
    <row r="553" spans="1:25">
      <c r="A553" s="212">
        <v>4876</v>
      </c>
      <c r="B553" s="212" t="s">
        <v>1642</v>
      </c>
      <c r="C553" s="212">
        <v>1</v>
      </c>
      <c r="D553" s="212" t="s">
        <v>1643</v>
      </c>
      <c r="E553" s="212" t="s">
        <v>2725</v>
      </c>
      <c r="F553" s="212">
        <v>5</v>
      </c>
      <c r="G553" s="212" t="s">
        <v>1645</v>
      </c>
      <c r="H553" s="212">
        <v>0</v>
      </c>
      <c r="I553" s="212" t="s">
        <v>2726</v>
      </c>
      <c r="J553" s="212">
        <v>57</v>
      </c>
      <c r="K553" s="286">
        <v>1460</v>
      </c>
      <c r="L553" s="286">
        <v>1168</v>
      </c>
      <c r="M553" s="286">
        <v>292</v>
      </c>
      <c r="N553" s="286">
        <v>19</v>
      </c>
      <c r="O553" s="286">
        <v>19</v>
      </c>
      <c r="P553" s="286">
        <v>0</v>
      </c>
      <c r="Q553" s="286">
        <v>121</v>
      </c>
      <c r="R553" s="286">
        <v>83</v>
      </c>
      <c r="S553" s="286">
        <v>38</v>
      </c>
      <c r="T553" s="286">
        <v>29</v>
      </c>
      <c r="U553" s="286">
        <v>26</v>
      </c>
      <c r="V553" s="286">
        <v>3</v>
      </c>
      <c r="W553" s="286">
        <v>92</v>
      </c>
      <c r="X553" s="286">
        <v>57</v>
      </c>
      <c r="Y553" s="286">
        <v>35</v>
      </c>
    </row>
    <row r="554" spans="1:25">
      <c r="A554" s="212">
        <v>4885</v>
      </c>
      <c r="B554" s="212" t="s">
        <v>1642</v>
      </c>
      <c r="C554" s="212">
        <v>1</v>
      </c>
      <c r="D554" s="212" t="s">
        <v>1643</v>
      </c>
      <c r="E554" s="212" t="s">
        <v>2727</v>
      </c>
      <c r="F554" s="212">
        <v>5</v>
      </c>
      <c r="G554" s="212" t="s">
        <v>1645</v>
      </c>
      <c r="H554" s="212">
        <v>0</v>
      </c>
      <c r="I554" s="212" t="s">
        <v>2728</v>
      </c>
      <c r="J554" s="212">
        <v>410</v>
      </c>
      <c r="K554" s="286">
        <v>2105</v>
      </c>
      <c r="L554" s="286">
        <v>752</v>
      </c>
      <c r="M554" s="286">
        <v>1353</v>
      </c>
      <c r="N554" s="286">
        <v>5</v>
      </c>
      <c r="O554" s="286">
        <v>3</v>
      </c>
      <c r="P554" s="286">
        <v>2</v>
      </c>
      <c r="Q554" s="286">
        <v>8</v>
      </c>
      <c r="R554" s="286">
        <v>0</v>
      </c>
      <c r="S554" s="286">
        <v>8</v>
      </c>
      <c r="T554" s="286">
        <v>2</v>
      </c>
      <c r="U554" s="286">
        <v>0</v>
      </c>
      <c r="V554" s="286">
        <v>2</v>
      </c>
      <c r="W554" s="286">
        <v>6</v>
      </c>
      <c r="X554" s="286">
        <v>0</v>
      </c>
      <c r="Y554" s="286">
        <v>6</v>
      </c>
    </row>
    <row r="555" spans="1:25">
      <c r="A555" s="212">
        <v>4894</v>
      </c>
      <c r="B555" s="212" t="s">
        <v>1642</v>
      </c>
      <c r="C555" s="212">
        <v>1</v>
      </c>
      <c r="D555" s="212" t="s">
        <v>1643</v>
      </c>
      <c r="E555" s="212" t="s">
        <v>2729</v>
      </c>
      <c r="F555" s="212">
        <v>5</v>
      </c>
      <c r="G555" s="212" t="s">
        <v>1645</v>
      </c>
      <c r="H555" s="212">
        <v>0</v>
      </c>
      <c r="I555" s="212" t="s">
        <v>2730</v>
      </c>
      <c r="J555" s="212">
        <v>319</v>
      </c>
      <c r="K555" s="286">
        <v>6366</v>
      </c>
      <c r="L555" s="286">
        <v>5484</v>
      </c>
      <c r="M555" s="286">
        <v>882</v>
      </c>
      <c r="N555" s="286">
        <v>278</v>
      </c>
      <c r="O555" s="286">
        <v>263</v>
      </c>
      <c r="P555" s="286">
        <v>15</v>
      </c>
      <c r="Q555" s="286">
        <v>872</v>
      </c>
      <c r="R555" s="286">
        <v>784</v>
      </c>
      <c r="S555" s="286">
        <v>88</v>
      </c>
      <c r="T555" s="286">
        <v>420</v>
      </c>
      <c r="U555" s="286">
        <v>403</v>
      </c>
      <c r="V555" s="286">
        <v>17</v>
      </c>
      <c r="W555" s="286">
        <v>452</v>
      </c>
      <c r="X555" s="286">
        <v>381</v>
      </c>
      <c r="Y555" s="286">
        <v>71</v>
      </c>
    </row>
    <row r="556" spans="1:25">
      <c r="A556" s="212">
        <v>4903</v>
      </c>
      <c r="B556" s="212" t="s">
        <v>1642</v>
      </c>
      <c r="C556" s="212">
        <v>1</v>
      </c>
      <c r="D556" s="212" t="s">
        <v>1643</v>
      </c>
      <c r="E556" s="212" t="s">
        <v>2731</v>
      </c>
      <c r="F556" s="212">
        <v>2</v>
      </c>
      <c r="G556" s="212" t="s">
        <v>1645</v>
      </c>
      <c r="H556" s="212">
        <v>0</v>
      </c>
      <c r="I556" s="212" t="s">
        <v>2732</v>
      </c>
      <c r="J556" s="212">
        <v>31496</v>
      </c>
      <c r="K556" s="286">
        <v>228205</v>
      </c>
      <c r="L556" s="286">
        <v>89249</v>
      </c>
      <c r="M556" s="286">
        <v>138132</v>
      </c>
      <c r="N556" s="286">
        <v>392</v>
      </c>
      <c r="O556" s="286">
        <v>142</v>
      </c>
      <c r="P556" s="286">
        <v>250</v>
      </c>
      <c r="Q556" s="286">
        <v>1781</v>
      </c>
      <c r="R556" s="286">
        <v>809</v>
      </c>
      <c r="S556" s="286">
        <v>972</v>
      </c>
      <c r="T556" s="286">
        <v>1229</v>
      </c>
      <c r="U556" s="286">
        <v>572</v>
      </c>
      <c r="V556" s="286">
        <v>657</v>
      </c>
      <c r="W556" s="286">
        <v>535</v>
      </c>
      <c r="X556" s="286">
        <v>229</v>
      </c>
      <c r="Y556" s="286">
        <v>306</v>
      </c>
    </row>
    <row r="557" spans="1:25">
      <c r="A557" s="212">
        <v>4912</v>
      </c>
      <c r="B557" s="212" t="s">
        <v>1642</v>
      </c>
      <c r="C557" s="212">
        <v>1</v>
      </c>
      <c r="D557" s="212" t="s">
        <v>1643</v>
      </c>
      <c r="E557" s="212" t="s">
        <v>2733</v>
      </c>
      <c r="F557" s="212">
        <v>3</v>
      </c>
      <c r="G557" s="212" t="s">
        <v>1645</v>
      </c>
      <c r="H557" s="212">
        <v>0</v>
      </c>
      <c r="I557" s="212" t="s">
        <v>2734</v>
      </c>
      <c r="J557" s="212">
        <v>1566</v>
      </c>
      <c r="K557" s="286">
        <v>25579</v>
      </c>
      <c r="L557" s="286">
        <v>10413</v>
      </c>
      <c r="M557" s="286">
        <v>15141</v>
      </c>
      <c r="N557" s="286">
        <v>106</v>
      </c>
      <c r="O557" s="286">
        <v>49</v>
      </c>
      <c r="P557" s="286">
        <v>57</v>
      </c>
      <c r="Q557" s="286">
        <v>588</v>
      </c>
      <c r="R557" s="286">
        <v>310</v>
      </c>
      <c r="S557" s="286">
        <v>278</v>
      </c>
      <c r="T557" s="286">
        <v>321</v>
      </c>
      <c r="U557" s="286">
        <v>199</v>
      </c>
      <c r="V557" s="286">
        <v>122</v>
      </c>
      <c r="W557" s="286">
        <v>262</v>
      </c>
      <c r="X557" s="286">
        <v>109</v>
      </c>
      <c r="Y557" s="286">
        <v>153</v>
      </c>
    </row>
    <row r="558" spans="1:25">
      <c r="A558" s="212">
        <v>4921</v>
      </c>
      <c r="B558" s="212" t="s">
        <v>1642</v>
      </c>
      <c r="C558" s="212">
        <v>1</v>
      </c>
      <c r="D558" s="212" t="s">
        <v>1643</v>
      </c>
      <c r="E558" s="212" t="s">
        <v>2735</v>
      </c>
      <c r="F558" s="212">
        <v>4</v>
      </c>
      <c r="G558" s="212" t="s">
        <v>1645</v>
      </c>
      <c r="H558" s="212">
        <v>0</v>
      </c>
      <c r="I558" s="212" t="s">
        <v>2736</v>
      </c>
      <c r="J558" s="212">
        <v>1566</v>
      </c>
      <c r="K558" s="286">
        <v>25579</v>
      </c>
      <c r="L558" s="286">
        <v>10413</v>
      </c>
      <c r="M558" s="286">
        <v>15141</v>
      </c>
      <c r="N558" s="286">
        <v>106</v>
      </c>
      <c r="O558" s="286">
        <v>49</v>
      </c>
      <c r="P558" s="286">
        <v>57</v>
      </c>
      <c r="Q558" s="286">
        <v>588</v>
      </c>
      <c r="R558" s="286">
        <v>310</v>
      </c>
      <c r="S558" s="286">
        <v>278</v>
      </c>
      <c r="T558" s="286">
        <v>321</v>
      </c>
      <c r="U558" s="286">
        <v>199</v>
      </c>
      <c r="V558" s="286">
        <v>122</v>
      </c>
      <c r="W558" s="286">
        <v>262</v>
      </c>
      <c r="X558" s="286">
        <v>109</v>
      </c>
      <c r="Y558" s="286">
        <v>153</v>
      </c>
    </row>
    <row r="559" spans="1:25">
      <c r="A559" s="212">
        <v>4930</v>
      </c>
      <c r="B559" s="212" t="s">
        <v>1642</v>
      </c>
      <c r="C559" s="212">
        <v>1</v>
      </c>
      <c r="D559" s="212" t="s">
        <v>1643</v>
      </c>
      <c r="E559" s="212" t="s">
        <v>2737</v>
      </c>
      <c r="F559" s="212">
        <v>5</v>
      </c>
      <c r="G559" s="212" t="s">
        <v>1645</v>
      </c>
      <c r="H559" s="212">
        <v>0</v>
      </c>
      <c r="I559" s="212" t="s">
        <v>2738</v>
      </c>
      <c r="J559" s="212">
        <v>4</v>
      </c>
      <c r="K559" s="286">
        <v>12</v>
      </c>
      <c r="L559" s="286">
        <v>9</v>
      </c>
      <c r="M559" s="286">
        <v>3</v>
      </c>
      <c r="N559" s="286">
        <v>0</v>
      </c>
      <c r="O559" s="286">
        <v>0</v>
      </c>
      <c r="P559" s="286">
        <v>0</v>
      </c>
      <c r="Q559" s="286">
        <v>0</v>
      </c>
      <c r="R559" s="286">
        <v>0</v>
      </c>
      <c r="S559" s="286">
        <v>0</v>
      </c>
      <c r="T559" s="286">
        <v>0</v>
      </c>
      <c r="U559" s="286">
        <v>0</v>
      </c>
      <c r="V559" s="286">
        <v>0</v>
      </c>
      <c r="W559" s="286">
        <v>0</v>
      </c>
      <c r="X559" s="286">
        <v>0</v>
      </c>
      <c r="Y559" s="286">
        <v>0</v>
      </c>
    </row>
    <row r="560" spans="1:25">
      <c r="A560" s="212">
        <v>4939</v>
      </c>
      <c r="B560" s="212" t="s">
        <v>1642</v>
      </c>
      <c r="C560" s="212">
        <v>1</v>
      </c>
      <c r="D560" s="212" t="s">
        <v>1643</v>
      </c>
      <c r="E560" s="212" t="s">
        <v>2739</v>
      </c>
      <c r="F560" s="212">
        <v>5</v>
      </c>
      <c r="G560" s="212" t="s">
        <v>1645</v>
      </c>
      <c r="H560" s="212">
        <v>0</v>
      </c>
      <c r="I560" s="212" t="s">
        <v>2740</v>
      </c>
      <c r="J560" s="212">
        <v>1232</v>
      </c>
      <c r="K560" s="286">
        <v>23032</v>
      </c>
      <c r="L560" s="286">
        <v>9309</v>
      </c>
      <c r="M560" s="286">
        <v>13698</v>
      </c>
      <c r="N560" s="286">
        <v>62</v>
      </c>
      <c r="O560" s="286">
        <v>49</v>
      </c>
      <c r="P560" s="286">
        <v>13</v>
      </c>
      <c r="Q560" s="286">
        <v>375</v>
      </c>
      <c r="R560" s="286">
        <v>188</v>
      </c>
      <c r="S560" s="286">
        <v>187</v>
      </c>
      <c r="T560" s="286">
        <v>140</v>
      </c>
      <c r="U560" s="286">
        <v>97</v>
      </c>
      <c r="V560" s="286">
        <v>43</v>
      </c>
      <c r="W560" s="286">
        <v>230</v>
      </c>
      <c r="X560" s="286">
        <v>89</v>
      </c>
      <c r="Y560" s="286">
        <v>141</v>
      </c>
    </row>
    <row r="561" spans="1:25">
      <c r="A561" s="212">
        <v>4948</v>
      </c>
      <c r="B561" s="212" t="s">
        <v>1642</v>
      </c>
      <c r="C561" s="212">
        <v>1</v>
      </c>
      <c r="D561" s="212" t="s">
        <v>1643</v>
      </c>
      <c r="E561" s="212" t="s">
        <v>2741</v>
      </c>
      <c r="F561" s="212">
        <v>5</v>
      </c>
      <c r="G561" s="212" t="s">
        <v>1645</v>
      </c>
      <c r="H561" s="212">
        <v>0</v>
      </c>
      <c r="I561" s="212" t="s">
        <v>2742</v>
      </c>
      <c r="J561" s="212">
        <v>47</v>
      </c>
      <c r="K561" s="286">
        <v>388</v>
      </c>
      <c r="L561" s="286">
        <v>212</v>
      </c>
      <c r="M561" s="286">
        <v>176</v>
      </c>
      <c r="N561" s="286">
        <v>0</v>
      </c>
      <c r="O561" s="286">
        <v>0</v>
      </c>
      <c r="P561" s="286">
        <v>0</v>
      </c>
      <c r="Q561" s="286">
        <v>7</v>
      </c>
      <c r="R561" s="286">
        <v>4</v>
      </c>
      <c r="S561" s="286">
        <v>3</v>
      </c>
      <c r="T561" s="286">
        <v>7</v>
      </c>
      <c r="U561" s="286">
        <v>4</v>
      </c>
      <c r="V561" s="286">
        <v>3</v>
      </c>
      <c r="W561" s="286">
        <v>0</v>
      </c>
      <c r="X561" s="286">
        <v>0</v>
      </c>
      <c r="Y561" s="286">
        <v>0</v>
      </c>
    </row>
    <row r="562" spans="1:25">
      <c r="A562" s="212">
        <v>4957</v>
      </c>
      <c r="B562" s="212" t="s">
        <v>1642</v>
      </c>
      <c r="C562" s="212">
        <v>1</v>
      </c>
      <c r="D562" s="212" t="s">
        <v>1643</v>
      </c>
      <c r="E562" s="212" t="s">
        <v>2743</v>
      </c>
      <c r="F562" s="212">
        <v>5</v>
      </c>
      <c r="G562" s="212" t="s">
        <v>1645</v>
      </c>
      <c r="H562" s="212">
        <v>0</v>
      </c>
      <c r="I562" s="212" t="s">
        <v>2744</v>
      </c>
      <c r="J562" s="212">
        <v>16</v>
      </c>
      <c r="K562" s="286">
        <v>48</v>
      </c>
      <c r="L562" s="286">
        <v>15</v>
      </c>
      <c r="M562" s="286">
        <v>33</v>
      </c>
      <c r="N562" s="286">
        <v>3</v>
      </c>
      <c r="O562" s="286">
        <v>0</v>
      </c>
      <c r="P562" s="286">
        <v>3</v>
      </c>
      <c r="Q562" s="286">
        <v>5</v>
      </c>
      <c r="R562" s="286">
        <v>0</v>
      </c>
      <c r="S562" s="286">
        <v>5</v>
      </c>
      <c r="T562" s="286">
        <v>5</v>
      </c>
      <c r="U562" s="286">
        <v>0</v>
      </c>
      <c r="V562" s="286">
        <v>5</v>
      </c>
      <c r="W562" s="286">
        <v>0</v>
      </c>
      <c r="X562" s="286">
        <v>0</v>
      </c>
      <c r="Y562" s="286">
        <v>0</v>
      </c>
    </row>
    <row r="563" spans="1:25">
      <c r="A563" s="212">
        <v>4966</v>
      </c>
      <c r="B563" s="212" t="s">
        <v>1642</v>
      </c>
      <c r="C563" s="212">
        <v>1</v>
      </c>
      <c r="D563" s="212" t="s">
        <v>1643</v>
      </c>
      <c r="E563" s="212" t="s">
        <v>2745</v>
      </c>
      <c r="F563" s="212">
        <v>5</v>
      </c>
      <c r="G563" s="212" t="s">
        <v>1645</v>
      </c>
      <c r="H563" s="212">
        <v>0</v>
      </c>
      <c r="I563" s="212" t="s">
        <v>2746</v>
      </c>
      <c r="J563" s="212">
        <v>266</v>
      </c>
      <c r="K563" s="286">
        <v>2064</v>
      </c>
      <c r="L563" s="286">
        <v>854</v>
      </c>
      <c r="M563" s="286">
        <v>1210</v>
      </c>
      <c r="N563" s="286">
        <v>41</v>
      </c>
      <c r="O563" s="286">
        <v>0</v>
      </c>
      <c r="P563" s="286">
        <v>41</v>
      </c>
      <c r="Q563" s="286">
        <v>201</v>
      </c>
      <c r="R563" s="286">
        <v>118</v>
      </c>
      <c r="S563" s="286">
        <v>83</v>
      </c>
      <c r="T563" s="286">
        <v>169</v>
      </c>
      <c r="U563" s="286">
        <v>98</v>
      </c>
      <c r="V563" s="286">
        <v>71</v>
      </c>
      <c r="W563" s="286">
        <v>32</v>
      </c>
      <c r="X563" s="286">
        <v>20</v>
      </c>
      <c r="Y563" s="286">
        <v>12</v>
      </c>
    </row>
    <row r="564" spans="1:25">
      <c r="A564" s="212">
        <v>4975</v>
      </c>
      <c r="B564" s="212" t="s">
        <v>1642</v>
      </c>
      <c r="C564" s="212">
        <v>1</v>
      </c>
      <c r="D564" s="212" t="s">
        <v>1643</v>
      </c>
      <c r="E564" s="212" t="s">
        <v>2747</v>
      </c>
      <c r="F564" s="212">
        <v>6</v>
      </c>
      <c r="G564" s="212" t="s">
        <v>1645</v>
      </c>
      <c r="H564" s="212">
        <v>0</v>
      </c>
      <c r="I564" s="212" t="s">
        <v>2748</v>
      </c>
      <c r="J564" s="212">
        <v>45</v>
      </c>
      <c r="K564" s="286">
        <v>291</v>
      </c>
      <c r="L564" s="286">
        <v>114</v>
      </c>
      <c r="M564" s="286">
        <v>177</v>
      </c>
      <c r="N564" s="286">
        <v>0</v>
      </c>
      <c r="O564" s="286">
        <v>0</v>
      </c>
      <c r="P564" s="286">
        <v>0</v>
      </c>
      <c r="Q564" s="286">
        <v>66</v>
      </c>
      <c r="R564" s="286">
        <v>29</v>
      </c>
      <c r="S564" s="286">
        <v>37</v>
      </c>
      <c r="T564" s="286">
        <v>60</v>
      </c>
      <c r="U564" s="286">
        <v>24</v>
      </c>
      <c r="V564" s="286">
        <v>36</v>
      </c>
      <c r="W564" s="286">
        <v>6</v>
      </c>
      <c r="X564" s="286">
        <v>5</v>
      </c>
      <c r="Y564" s="286">
        <v>1</v>
      </c>
    </row>
    <row r="565" spans="1:25">
      <c r="A565" s="212">
        <v>4984</v>
      </c>
      <c r="B565" s="212" t="s">
        <v>1642</v>
      </c>
      <c r="C565" s="212">
        <v>1</v>
      </c>
      <c r="D565" s="212" t="s">
        <v>1643</v>
      </c>
      <c r="E565" s="212" t="s">
        <v>2749</v>
      </c>
      <c r="F565" s="212">
        <v>6</v>
      </c>
      <c r="G565" s="212" t="s">
        <v>1645</v>
      </c>
      <c r="H565" s="212">
        <v>0</v>
      </c>
      <c r="I565" s="212" t="s">
        <v>2750</v>
      </c>
      <c r="J565" s="212">
        <v>221</v>
      </c>
      <c r="K565" s="286">
        <v>1773</v>
      </c>
      <c r="L565" s="286">
        <v>740</v>
      </c>
      <c r="M565" s="286">
        <v>1033</v>
      </c>
      <c r="N565" s="286">
        <v>41</v>
      </c>
      <c r="O565" s="286">
        <v>0</v>
      </c>
      <c r="P565" s="286">
        <v>41</v>
      </c>
      <c r="Q565" s="286">
        <v>135</v>
      </c>
      <c r="R565" s="286">
        <v>89</v>
      </c>
      <c r="S565" s="286">
        <v>46</v>
      </c>
      <c r="T565" s="286">
        <v>109</v>
      </c>
      <c r="U565" s="286">
        <v>74</v>
      </c>
      <c r="V565" s="286">
        <v>35</v>
      </c>
      <c r="W565" s="286">
        <v>26</v>
      </c>
      <c r="X565" s="286">
        <v>15</v>
      </c>
      <c r="Y565" s="286">
        <v>11</v>
      </c>
    </row>
    <row r="566" spans="1:25">
      <c r="A566" s="212">
        <v>4993</v>
      </c>
      <c r="B566" s="212" t="s">
        <v>1642</v>
      </c>
      <c r="C566" s="212">
        <v>1</v>
      </c>
      <c r="D566" s="212" t="s">
        <v>1643</v>
      </c>
      <c r="E566" s="212" t="s">
        <v>2751</v>
      </c>
      <c r="F566" s="212">
        <v>3</v>
      </c>
      <c r="G566" s="212" t="s">
        <v>1645</v>
      </c>
      <c r="H566" s="212">
        <v>0</v>
      </c>
      <c r="I566" s="212" t="s">
        <v>2752</v>
      </c>
      <c r="J566" s="212">
        <v>29930</v>
      </c>
      <c r="K566" s="286">
        <v>202626</v>
      </c>
      <c r="L566" s="286">
        <v>78836</v>
      </c>
      <c r="M566" s="286">
        <v>122991</v>
      </c>
      <c r="N566" s="286">
        <v>286</v>
      </c>
      <c r="O566" s="286">
        <v>93</v>
      </c>
      <c r="P566" s="286">
        <v>193</v>
      </c>
      <c r="Q566" s="286">
        <v>1193</v>
      </c>
      <c r="R566" s="286">
        <v>499</v>
      </c>
      <c r="S566" s="286">
        <v>694</v>
      </c>
      <c r="T566" s="286">
        <v>908</v>
      </c>
      <c r="U566" s="286">
        <v>373</v>
      </c>
      <c r="V566" s="286">
        <v>535</v>
      </c>
      <c r="W566" s="286">
        <v>273</v>
      </c>
      <c r="X566" s="286">
        <v>120</v>
      </c>
      <c r="Y566" s="286">
        <v>153</v>
      </c>
    </row>
    <row r="567" spans="1:25">
      <c r="A567" s="212">
        <v>5002</v>
      </c>
      <c r="B567" s="212" t="s">
        <v>1642</v>
      </c>
      <c r="C567" s="212">
        <v>1</v>
      </c>
      <c r="D567" s="212" t="s">
        <v>1643</v>
      </c>
      <c r="E567" s="212" t="s">
        <v>2753</v>
      </c>
      <c r="F567" s="212">
        <v>4</v>
      </c>
      <c r="G567" s="212" t="s">
        <v>1645</v>
      </c>
      <c r="H567" s="212">
        <v>0</v>
      </c>
      <c r="I567" s="212" t="s">
        <v>2754</v>
      </c>
      <c r="J567" s="212">
        <v>27622</v>
      </c>
      <c r="K567" s="286">
        <v>181227</v>
      </c>
      <c r="L567" s="286">
        <v>71150</v>
      </c>
      <c r="M567" s="286">
        <v>109439</v>
      </c>
      <c r="N567" s="286">
        <v>186</v>
      </c>
      <c r="O567" s="286">
        <v>79</v>
      </c>
      <c r="P567" s="286">
        <v>107</v>
      </c>
      <c r="Q567" s="286">
        <v>1108</v>
      </c>
      <c r="R567" s="286">
        <v>449</v>
      </c>
      <c r="S567" s="286">
        <v>659</v>
      </c>
      <c r="T567" s="286">
        <v>869</v>
      </c>
      <c r="U567" s="286">
        <v>339</v>
      </c>
      <c r="V567" s="286">
        <v>530</v>
      </c>
      <c r="W567" s="286">
        <v>227</v>
      </c>
      <c r="X567" s="286">
        <v>104</v>
      </c>
      <c r="Y567" s="286">
        <v>123</v>
      </c>
    </row>
    <row r="568" spans="1:25">
      <c r="A568" s="212">
        <v>5011</v>
      </c>
      <c r="B568" s="212" t="s">
        <v>1642</v>
      </c>
      <c r="C568" s="212">
        <v>1</v>
      </c>
      <c r="D568" s="212" t="s">
        <v>1643</v>
      </c>
      <c r="E568" s="212" t="s">
        <v>2755</v>
      </c>
      <c r="F568" s="212">
        <v>5</v>
      </c>
      <c r="G568" s="212" t="s">
        <v>1645</v>
      </c>
      <c r="H568" s="212">
        <v>0</v>
      </c>
      <c r="I568" s="212" t="s">
        <v>2756</v>
      </c>
      <c r="J568" s="212">
        <v>75</v>
      </c>
      <c r="K568" s="286">
        <v>978</v>
      </c>
      <c r="L568" s="286">
        <v>491</v>
      </c>
      <c r="M568" s="286">
        <v>487</v>
      </c>
      <c r="N568" s="286">
        <v>10</v>
      </c>
      <c r="O568" s="286">
        <v>6</v>
      </c>
      <c r="P568" s="286">
        <v>4</v>
      </c>
      <c r="Q568" s="286">
        <v>10</v>
      </c>
      <c r="R568" s="286">
        <v>8</v>
      </c>
      <c r="S568" s="286">
        <v>2</v>
      </c>
      <c r="T568" s="286">
        <v>8</v>
      </c>
      <c r="U568" s="286">
        <v>7</v>
      </c>
      <c r="V568" s="286">
        <v>1</v>
      </c>
      <c r="W568" s="286">
        <v>2</v>
      </c>
      <c r="X568" s="286">
        <v>1</v>
      </c>
      <c r="Y568" s="286">
        <v>1</v>
      </c>
    </row>
    <row r="569" spans="1:25">
      <c r="A569" s="212">
        <v>5020</v>
      </c>
      <c r="B569" s="212" t="s">
        <v>1642</v>
      </c>
      <c r="C569" s="212">
        <v>1</v>
      </c>
      <c r="D569" s="212" t="s">
        <v>1643</v>
      </c>
      <c r="E569" s="212" t="s">
        <v>2757</v>
      </c>
      <c r="F569" s="212">
        <v>5</v>
      </c>
      <c r="G569" s="212" t="s">
        <v>1645</v>
      </c>
      <c r="H569" s="212">
        <v>0</v>
      </c>
      <c r="I569" s="212" t="s">
        <v>2758</v>
      </c>
      <c r="J569" s="212">
        <v>1826</v>
      </c>
      <c r="K569" s="286">
        <v>16180</v>
      </c>
      <c r="L569" s="286">
        <v>4904</v>
      </c>
      <c r="M569" s="286">
        <v>11272</v>
      </c>
      <c r="N569" s="286">
        <v>33</v>
      </c>
      <c r="O569" s="286">
        <v>1</v>
      </c>
      <c r="P569" s="286">
        <v>32</v>
      </c>
      <c r="Q569" s="286">
        <v>492</v>
      </c>
      <c r="R569" s="286">
        <v>102</v>
      </c>
      <c r="S569" s="286">
        <v>390</v>
      </c>
      <c r="T569" s="286">
        <v>467</v>
      </c>
      <c r="U569" s="286">
        <v>91</v>
      </c>
      <c r="V569" s="286">
        <v>376</v>
      </c>
      <c r="W569" s="286">
        <v>18</v>
      </c>
      <c r="X569" s="286">
        <v>9</v>
      </c>
      <c r="Y569" s="286">
        <v>9</v>
      </c>
    </row>
    <row r="570" spans="1:25">
      <c r="A570" s="212">
        <v>5029</v>
      </c>
      <c r="B570" s="212" t="s">
        <v>1642</v>
      </c>
      <c r="C570" s="212">
        <v>1</v>
      </c>
      <c r="D570" s="212" t="s">
        <v>1643</v>
      </c>
      <c r="E570" s="212" t="s">
        <v>2759</v>
      </c>
      <c r="F570" s="212">
        <v>5</v>
      </c>
      <c r="G570" s="212" t="s">
        <v>1645</v>
      </c>
      <c r="H570" s="212">
        <v>0</v>
      </c>
      <c r="I570" s="212" t="s">
        <v>2760</v>
      </c>
      <c r="J570" s="212">
        <v>7002</v>
      </c>
      <c r="K570" s="286">
        <v>63686</v>
      </c>
      <c r="L570" s="286">
        <v>28346</v>
      </c>
      <c r="M570" s="286">
        <v>34995</v>
      </c>
      <c r="N570" s="286">
        <v>43</v>
      </c>
      <c r="O570" s="286">
        <v>27</v>
      </c>
      <c r="P570" s="286">
        <v>16</v>
      </c>
      <c r="Q570" s="286">
        <v>301</v>
      </c>
      <c r="R570" s="286">
        <v>201</v>
      </c>
      <c r="S570" s="286">
        <v>100</v>
      </c>
      <c r="T570" s="286">
        <v>173</v>
      </c>
      <c r="U570" s="286">
        <v>123</v>
      </c>
      <c r="V570" s="286">
        <v>50</v>
      </c>
      <c r="W570" s="286">
        <v>128</v>
      </c>
      <c r="X570" s="286">
        <v>78</v>
      </c>
      <c r="Y570" s="286">
        <v>50</v>
      </c>
    </row>
    <row r="571" spans="1:25">
      <c r="A571" s="212">
        <v>5038</v>
      </c>
      <c r="B571" s="212" t="s">
        <v>1642</v>
      </c>
      <c r="C571" s="212">
        <v>1</v>
      </c>
      <c r="D571" s="212" t="s">
        <v>1643</v>
      </c>
      <c r="E571" s="212" t="s">
        <v>2761</v>
      </c>
      <c r="F571" s="212">
        <v>6</v>
      </c>
      <c r="G571" s="212" t="s">
        <v>1645</v>
      </c>
      <c r="H571" s="212">
        <v>0</v>
      </c>
      <c r="I571" s="212" t="s">
        <v>2762</v>
      </c>
      <c r="J571" s="212">
        <v>2081</v>
      </c>
      <c r="K571" s="286">
        <v>20385</v>
      </c>
      <c r="L571" s="286">
        <v>8349</v>
      </c>
      <c r="M571" s="286">
        <v>12027</v>
      </c>
      <c r="N571" s="286">
        <v>5</v>
      </c>
      <c r="O571" s="286">
        <v>3</v>
      </c>
      <c r="P571" s="286">
        <v>2</v>
      </c>
      <c r="Q571" s="286">
        <v>43</v>
      </c>
      <c r="R571" s="286">
        <v>32</v>
      </c>
      <c r="S571" s="286">
        <v>11</v>
      </c>
      <c r="T571" s="286">
        <v>17</v>
      </c>
      <c r="U571" s="286">
        <v>15</v>
      </c>
      <c r="V571" s="286">
        <v>2</v>
      </c>
      <c r="W571" s="286">
        <v>26</v>
      </c>
      <c r="X571" s="286">
        <v>17</v>
      </c>
      <c r="Y571" s="286">
        <v>9</v>
      </c>
    </row>
    <row r="572" spans="1:25">
      <c r="A572" s="212">
        <v>5047</v>
      </c>
      <c r="B572" s="212" t="s">
        <v>1642</v>
      </c>
      <c r="C572" s="212">
        <v>1</v>
      </c>
      <c r="D572" s="212" t="s">
        <v>1643</v>
      </c>
      <c r="E572" s="212" t="s">
        <v>2763</v>
      </c>
      <c r="F572" s="212">
        <v>6</v>
      </c>
      <c r="G572" s="212" t="s">
        <v>1645</v>
      </c>
      <c r="H572" s="212">
        <v>0</v>
      </c>
      <c r="I572" s="212" t="s">
        <v>2764</v>
      </c>
      <c r="J572" s="212">
        <v>1644</v>
      </c>
      <c r="K572" s="286">
        <v>13580</v>
      </c>
      <c r="L572" s="286">
        <v>6989</v>
      </c>
      <c r="M572" s="286">
        <v>6527</v>
      </c>
      <c r="N572" s="286">
        <v>0</v>
      </c>
      <c r="O572" s="286">
        <v>0</v>
      </c>
      <c r="P572" s="286">
        <v>0</v>
      </c>
      <c r="Q572" s="286">
        <v>26</v>
      </c>
      <c r="R572" s="286">
        <v>20</v>
      </c>
      <c r="S572" s="286">
        <v>6</v>
      </c>
      <c r="T572" s="286">
        <v>20</v>
      </c>
      <c r="U572" s="286">
        <v>19</v>
      </c>
      <c r="V572" s="286">
        <v>1</v>
      </c>
      <c r="W572" s="286">
        <v>6</v>
      </c>
      <c r="X572" s="286">
        <v>1</v>
      </c>
      <c r="Y572" s="286">
        <v>5</v>
      </c>
    </row>
    <row r="573" spans="1:25">
      <c r="A573" s="212">
        <v>5056</v>
      </c>
      <c r="B573" s="212" t="s">
        <v>1642</v>
      </c>
      <c r="C573" s="212">
        <v>1</v>
      </c>
      <c r="D573" s="212" t="s">
        <v>1643</v>
      </c>
      <c r="E573" s="212" t="s">
        <v>2765</v>
      </c>
      <c r="F573" s="212">
        <v>6</v>
      </c>
      <c r="G573" s="212" t="s">
        <v>1645</v>
      </c>
      <c r="H573" s="212">
        <v>0</v>
      </c>
      <c r="I573" s="212" t="s">
        <v>2766</v>
      </c>
      <c r="J573" s="212">
        <v>930</v>
      </c>
      <c r="K573" s="286">
        <v>8614</v>
      </c>
      <c r="L573" s="286">
        <v>4267</v>
      </c>
      <c r="M573" s="286">
        <v>4335</v>
      </c>
      <c r="N573" s="286">
        <v>2</v>
      </c>
      <c r="O573" s="286">
        <v>1</v>
      </c>
      <c r="P573" s="286">
        <v>1</v>
      </c>
      <c r="Q573" s="286">
        <v>2</v>
      </c>
      <c r="R573" s="286">
        <v>0</v>
      </c>
      <c r="S573" s="286">
        <v>2</v>
      </c>
      <c r="T573" s="286">
        <v>0</v>
      </c>
      <c r="U573" s="286">
        <v>0</v>
      </c>
      <c r="V573" s="286">
        <v>0</v>
      </c>
      <c r="W573" s="286">
        <v>2</v>
      </c>
      <c r="X573" s="286">
        <v>0</v>
      </c>
      <c r="Y573" s="286">
        <v>2</v>
      </c>
    </row>
    <row r="574" spans="1:25">
      <c r="A574" s="212">
        <v>5065</v>
      </c>
      <c r="B574" s="212" t="s">
        <v>1642</v>
      </c>
      <c r="C574" s="212">
        <v>1</v>
      </c>
      <c r="D574" s="212" t="s">
        <v>1643</v>
      </c>
      <c r="E574" s="212" t="s">
        <v>2767</v>
      </c>
      <c r="F574" s="212">
        <v>6</v>
      </c>
      <c r="G574" s="212" t="s">
        <v>1645</v>
      </c>
      <c r="H574" s="212">
        <v>0</v>
      </c>
      <c r="I574" s="212" t="s">
        <v>2768</v>
      </c>
      <c r="J574" s="212">
        <v>2347</v>
      </c>
      <c r="K574" s="286">
        <v>21107</v>
      </c>
      <c r="L574" s="286">
        <v>8741</v>
      </c>
      <c r="M574" s="286">
        <v>12106</v>
      </c>
      <c r="N574" s="286">
        <v>36</v>
      </c>
      <c r="O574" s="286">
        <v>23</v>
      </c>
      <c r="P574" s="286">
        <v>13</v>
      </c>
      <c r="Q574" s="286">
        <v>230</v>
      </c>
      <c r="R574" s="286">
        <v>149</v>
      </c>
      <c r="S574" s="286">
        <v>81</v>
      </c>
      <c r="T574" s="286">
        <v>136</v>
      </c>
      <c r="U574" s="286">
        <v>89</v>
      </c>
      <c r="V574" s="286">
        <v>47</v>
      </c>
      <c r="W574" s="286">
        <v>94</v>
      </c>
      <c r="X574" s="286">
        <v>60</v>
      </c>
      <c r="Y574" s="286">
        <v>34</v>
      </c>
    </row>
    <row r="575" spans="1:25">
      <c r="A575" s="212">
        <v>5074</v>
      </c>
      <c r="B575" s="212" t="s">
        <v>1642</v>
      </c>
      <c r="C575" s="212">
        <v>1</v>
      </c>
      <c r="D575" s="212" t="s">
        <v>1643</v>
      </c>
      <c r="E575" s="212" t="s">
        <v>2769</v>
      </c>
      <c r="F575" s="212">
        <v>5</v>
      </c>
      <c r="G575" s="212" t="s">
        <v>1645</v>
      </c>
      <c r="H575" s="212">
        <v>0</v>
      </c>
      <c r="I575" s="212" t="s">
        <v>2770</v>
      </c>
      <c r="J575" s="212">
        <v>982</v>
      </c>
      <c r="K575" s="286">
        <v>8031</v>
      </c>
      <c r="L575" s="286">
        <v>2728</v>
      </c>
      <c r="M575" s="286">
        <v>5276</v>
      </c>
      <c r="N575" s="286">
        <v>24</v>
      </c>
      <c r="O575" s="286">
        <v>10</v>
      </c>
      <c r="P575" s="286">
        <v>14</v>
      </c>
      <c r="Q575" s="286">
        <v>25</v>
      </c>
      <c r="R575" s="286">
        <v>16</v>
      </c>
      <c r="S575" s="286">
        <v>9</v>
      </c>
      <c r="T575" s="286">
        <v>21</v>
      </c>
      <c r="U575" s="286">
        <v>16</v>
      </c>
      <c r="V575" s="286">
        <v>5</v>
      </c>
      <c r="W575" s="286">
        <v>4</v>
      </c>
      <c r="X575" s="286">
        <v>0</v>
      </c>
      <c r="Y575" s="286">
        <v>4</v>
      </c>
    </row>
    <row r="576" spans="1:25">
      <c r="A576" s="212">
        <v>5083</v>
      </c>
      <c r="B576" s="212" t="s">
        <v>1642</v>
      </c>
      <c r="C576" s="212">
        <v>1</v>
      </c>
      <c r="D576" s="212" t="s">
        <v>1643</v>
      </c>
      <c r="E576" s="212" t="s">
        <v>2771</v>
      </c>
      <c r="F576" s="212">
        <v>5</v>
      </c>
      <c r="G576" s="212" t="s">
        <v>1645</v>
      </c>
      <c r="H576" s="212">
        <v>0</v>
      </c>
      <c r="I576" s="212" t="s">
        <v>2772</v>
      </c>
      <c r="J576" s="212">
        <v>908</v>
      </c>
      <c r="K576" s="286">
        <v>10855</v>
      </c>
      <c r="L576" s="286">
        <v>4966</v>
      </c>
      <c r="M576" s="286">
        <v>5889</v>
      </c>
      <c r="N576" s="286">
        <v>3</v>
      </c>
      <c r="O576" s="286">
        <v>0</v>
      </c>
      <c r="P576" s="286">
        <v>3</v>
      </c>
      <c r="Q576" s="286">
        <v>7</v>
      </c>
      <c r="R576" s="286">
        <v>6</v>
      </c>
      <c r="S576" s="286">
        <v>1</v>
      </c>
      <c r="T576" s="286">
        <v>5</v>
      </c>
      <c r="U576" s="286">
        <v>5</v>
      </c>
      <c r="V576" s="286">
        <v>0</v>
      </c>
      <c r="W576" s="286">
        <v>2</v>
      </c>
      <c r="X576" s="286">
        <v>1</v>
      </c>
      <c r="Y576" s="286">
        <v>1</v>
      </c>
    </row>
    <row r="577" spans="1:25">
      <c r="A577" s="212">
        <v>5092</v>
      </c>
      <c r="B577" s="212" t="s">
        <v>1642</v>
      </c>
      <c r="C577" s="212">
        <v>1</v>
      </c>
      <c r="D577" s="212" t="s">
        <v>1643</v>
      </c>
      <c r="E577" s="212" t="s">
        <v>2773</v>
      </c>
      <c r="F577" s="212">
        <v>5</v>
      </c>
      <c r="G577" s="212" t="s">
        <v>1645</v>
      </c>
      <c r="H577" s="212">
        <v>0</v>
      </c>
      <c r="I577" s="212" t="s">
        <v>2774</v>
      </c>
      <c r="J577" s="212">
        <v>4854</v>
      </c>
      <c r="K577" s="286">
        <v>27425</v>
      </c>
      <c r="L577" s="286">
        <v>13945</v>
      </c>
      <c r="M577" s="286">
        <v>13308</v>
      </c>
      <c r="N577" s="286">
        <v>20</v>
      </c>
      <c r="O577" s="286">
        <v>6</v>
      </c>
      <c r="P577" s="286">
        <v>14</v>
      </c>
      <c r="Q577" s="286">
        <v>171</v>
      </c>
      <c r="R577" s="286">
        <v>80</v>
      </c>
      <c r="S577" s="286">
        <v>91</v>
      </c>
      <c r="T577" s="286">
        <v>155</v>
      </c>
      <c r="U577" s="286">
        <v>74</v>
      </c>
      <c r="V577" s="286">
        <v>81</v>
      </c>
      <c r="W577" s="286">
        <v>16</v>
      </c>
      <c r="X577" s="286">
        <v>6</v>
      </c>
      <c r="Y577" s="286">
        <v>10</v>
      </c>
    </row>
    <row r="578" spans="1:25">
      <c r="A578" s="212">
        <v>5101</v>
      </c>
      <c r="B578" s="212" t="s">
        <v>1642</v>
      </c>
      <c r="C578" s="212">
        <v>1</v>
      </c>
      <c r="D578" s="212" t="s">
        <v>1643</v>
      </c>
      <c r="E578" s="212" t="s">
        <v>2775</v>
      </c>
      <c r="F578" s="212">
        <v>5</v>
      </c>
      <c r="G578" s="212" t="s">
        <v>1645</v>
      </c>
      <c r="H578" s="212">
        <v>0</v>
      </c>
      <c r="I578" s="212" t="s">
        <v>2776</v>
      </c>
      <c r="J578" s="212">
        <v>4581</v>
      </c>
      <c r="K578" s="286">
        <v>16088</v>
      </c>
      <c r="L578" s="286">
        <v>3207</v>
      </c>
      <c r="M578" s="286">
        <v>12876</v>
      </c>
      <c r="N578" s="286">
        <v>10</v>
      </c>
      <c r="O578" s="286">
        <v>0</v>
      </c>
      <c r="P578" s="286">
        <v>10</v>
      </c>
      <c r="Q578" s="286">
        <v>42</v>
      </c>
      <c r="R578" s="286">
        <v>6</v>
      </c>
      <c r="S578" s="286">
        <v>36</v>
      </c>
      <c r="T578" s="286">
        <v>10</v>
      </c>
      <c r="U578" s="286">
        <v>6</v>
      </c>
      <c r="V578" s="286">
        <v>4</v>
      </c>
      <c r="W578" s="286">
        <v>32</v>
      </c>
      <c r="X578" s="286">
        <v>0</v>
      </c>
      <c r="Y578" s="286">
        <v>32</v>
      </c>
    </row>
    <row r="579" spans="1:25">
      <c r="A579" s="212">
        <v>5110</v>
      </c>
      <c r="B579" s="212" t="s">
        <v>1642</v>
      </c>
      <c r="C579" s="212">
        <v>1</v>
      </c>
      <c r="D579" s="212" t="s">
        <v>1643</v>
      </c>
      <c r="E579" s="212" t="s">
        <v>2777</v>
      </c>
      <c r="F579" s="212">
        <v>5</v>
      </c>
      <c r="G579" s="212" t="s">
        <v>1645</v>
      </c>
      <c r="H579" s="212">
        <v>0</v>
      </c>
      <c r="I579" s="212" t="s">
        <v>2778</v>
      </c>
      <c r="J579" s="212">
        <v>5082</v>
      </c>
      <c r="K579" s="286">
        <v>20321</v>
      </c>
      <c r="L579" s="286">
        <v>5125</v>
      </c>
      <c r="M579" s="286">
        <v>15111</v>
      </c>
      <c r="N579" s="286">
        <v>19</v>
      </c>
      <c r="O579" s="286">
        <v>11</v>
      </c>
      <c r="P579" s="286">
        <v>8</v>
      </c>
      <c r="Q579" s="286">
        <v>30</v>
      </c>
      <c r="R579" s="286">
        <v>12</v>
      </c>
      <c r="S579" s="286">
        <v>18</v>
      </c>
      <c r="T579" s="286">
        <v>11</v>
      </c>
      <c r="U579" s="286">
        <v>6</v>
      </c>
      <c r="V579" s="286">
        <v>5</v>
      </c>
      <c r="W579" s="286">
        <v>14</v>
      </c>
      <c r="X579" s="286">
        <v>2</v>
      </c>
      <c r="Y579" s="286">
        <v>12</v>
      </c>
    </row>
    <row r="580" spans="1:25">
      <c r="A580" s="212">
        <v>5119</v>
      </c>
      <c r="B580" s="212" t="s">
        <v>1642</v>
      </c>
      <c r="C580" s="212">
        <v>1</v>
      </c>
      <c r="D580" s="212" t="s">
        <v>1643</v>
      </c>
      <c r="E580" s="212" t="s">
        <v>2779</v>
      </c>
      <c r="F580" s="212">
        <v>5</v>
      </c>
      <c r="G580" s="212" t="s">
        <v>1645</v>
      </c>
      <c r="H580" s="212">
        <v>0</v>
      </c>
      <c r="I580" s="212" t="s">
        <v>2780</v>
      </c>
      <c r="J580" s="212">
        <v>2311</v>
      </c>
      <c r="K580" s="286">
        <v>17647</v>
      </c>
      <c r="L580" s="286">
        <v>7433</v>
      </c>
      <c r="M580" s="286">
        <v>10214</v>
      </c>
      <c r="N580" s="286">
        <v>24</v>
      </c>
      <c r="O580" s="286">
        <v>18</v>
      </c>
      <c r="P580" s="286">
        <v>6</v>
      </c>
      <c r="Q580" s="286">
        <v>30</v>
      </c>
      <c r="R580" s="286">
        <v>18</v>
      </c>
      <c r="S580" s="286">
        <v>12</v>
      </c>
      <c r="T580" s="286">
        <v>19</v>
      </c>
      <c r="U580" s="286">
        <v>11</v>
      </c>
      <c r="V580" s="286">
        <v>8</v>
      </c>
      <c r="W580" s="286">
        <v>11</v>
      </c>
      <c r="X580" s="286">
        <v>7</v>
      </c>
      <c r="Y580" s="286">
        <v>4</v>
      </c>
    </row>
    <row r="581" spans="1:25">
      <c r="A581" s="212">
        <v>5128</v>
      </c>
      <c r="B581" s="212" t="s">
        <v>1642</v>
      </c>
      <c r="C581" s="212">
        <v>1</v>
      </c>
      <c r="D581" s="212" t="s">
        <v>1643</v>
      </c>
      <c r="E581" s="212" t="s">
        <v>2781</v>
      </c>
      <c r="F581" s="212">
        <v>6</v>
      </c>
      <c r="G581" s="212" t="s">
        <v>1645</v>
      </c>
      <c r="H581" s="212">
        <v>0</v>
      </c>
      <c r="I581" s="212" t="s">
        <v>2782</v>
      </c>
      <c r="J581" s="212">
        <v>243</v>
      </c>
      <c r="K581" s="286">
        <v>7490</v>
      </c>
      <c r="L581" s="286">
        <v>3891</v>
      </c>
      <c r="M581" s="286">
        <v>3599</v>
      </c>
      <c r="N581" s="286">
        <v>2</v>
      </c>
      <c r="O581" s="286">
        <v>2</v>
      </c>
      <c r="P581" s="286">
        <v>0</v>
      </c>
      <c r="Q581" s="286">
        <v>1</v>
      </c>
      <c r="R581" s="286">
        <v>1</v>
      </c>
      <c r="S581" s="286">
        <v>0</v>
      </c>
      <c r="T581" s="286">
        <v>1</v>
      </c>
      <c r="U581" s="286">
        <v>1</v>
      </c>
      <c r="V581" s="286">
        <v>0</v>
      </c>
      <c r="W581" s="286">
        <v>0</v>
      </c>
      <c r="X581" s="286">
        <v>0</v>
      </c>
      <c r="Y581" s="286">
        <v>0</v>
      </c>
    </row>
    <row r="582" spans="1:25">
      <c r="A582" s="212">
        <v>5137</v>
      </c>
      <c r="B582" s="212" t="s">
        <v>1642</v>
      </c>
      <c r="C582" s="212">
        <v>1</v>
      </c>
      <c r="D582" s="212" t="s">
        <v>1643</v>
      </c>
      <c r="E582" s="212" t="s">
        <v>2783</v>
      </c>
      <c r="F582" s="212">
        <v>6</v>
      </c>
      <c r="G582" s="212" t="s">
        <v>1645</v>
      </c>
      <c r="H582" s="212">
        <v>0</v>
      </c>
      <c r="I582" s="212" t="s">
        <v>2784</v>
      </c>
      <c r="J582" s="212">
        <v>1787</v>
      </c>
      <c r="K582" s="286">
        <v>6173</v>
      </c>
      <c r="L582" s="286">
        <v>2405</v>
      </c>
      <c r="M582" s="286">
        <v>3768</v>
      </c>
      <c r="N582" s="286">
        <v>13</v>
      </c>
      <c r="O582" s="286">
        <v>9</v>
      </c>
      <c r="P582" s="286">
        <v>4</v>
      </c>
      <c r="Q582" s="286">
        <v>26</v>
      </c>
      <c r="R582" s="286">
        <v>16</v>
      </c>
      <c r="S582" s="286">
        <v>10</v>
      </c>
      <c r="T582" s="286">
        <v>15</v>
      </c>
      <c r="U582" s="286">
        <v>9</v>
      </c>
      <c r="V582" s="286">
        <v>6</v>
      </c>
      <c r="W582" s="286">
        <v>11</v>
      </c>
      <c r="X582" s="286">
        <v>7</v>
      </c>
      <c r="Y582" s="286">
        <v>4</v>
      </c>
    </row>
    <row r="583" spans="1:25">
      <c r="A583" s="212">
        <v>5146</v>
      </c>
      <c r="B583" s="212" t="s">
        <v>1642</v>
      </c>
      <c r="C583" s="212">
        <v>1</v>
      </c>
      <c r="D583" s="212" t="s">
        <v>1643</v>
      </c>
      <c r="E583" s="212" t="s">
        <v>2785</v>
      </c>
      <c r="F583" s="212">
        <v>6</v>
      </c>
      <c r="G583" s="212" t="s">
        <v>1645</v>
      </c>
      <c r="H583" s="212">
        <v>0</v>
      </c>
      <c r="I583" s="212" t="s">
        <v>2786</v>
      </c>
      <c r="J583" s="212">
        <v>281</v>
      </c>
      <c r="K583" s="286">
        <v>3984</v>
      </c>
      <c r="L583" s="286">
        <v>1137</v>
      </c>
      <c r="M583" s="286">
        <v>2847</v>
      </c>
      <c r="N583" s="286">
        <v>9</v>
      </c>
      <c r="O583" s="286">
        <v>7</v>
      </c>
      <c r="P583" s="286">
        <v>2</v>
      </c>
      <c r="Q583" s="286">
        <v>3</v>
      </c>
      <c r="R583" s="286">
        <v>1</v>
      </c>
      <c r="S583" s="286">
        <v>2</v>
      </c>
      <c r="T583" s="286">
        <v>3</v>
      </c>
      <c r="U583" s="286">
        <v>1</v>
      </c>
      <c r="V583" s="286">
        <v>2</v>
      </c>
      <c r="W583" s="286">
        <v>0</v>
      </c>
      <c r="X583" s="286">
        <v>0</v>
      </c>
      <c r="Y583" s="286">
        <v>0</v>
      </c>
    </row>
    <row r="584" spans="1:25">
      <c r="A584" s="212">
        <v>5155</v>
      </c>
      <c r="B584" s="212" t="s">
        <v>1642</v>
      </c>
      <c r="C584" s="212">
        <v>1</v>
      </c>
      <c r="D584" s="212" t="s">
        <v>1643</v>
      </c>
      <c r="E584" s="212" t="s">
        <v>2787</v>
      </c>
      <c r="F584" s="212">
        <v>4</v>
      </c>
      <c r="G584" s="212" t="s">
        <v>1645</v>
      </c>
      <c r="H584" s="212">
        <v>0</v>
      </c>
      <c r="I584" s="212" t="s">
        <v>2788</v>
      </c>
      <c r="J584" s="212">
        <v>2289</v>
      </c>
      <c r="K584" s="286">
        <v>21143</v>
      </c>
      <c r="L584" s="286">
        <v>7559</v>
      </c>
      <c r="M584" s="286">
        <v>13423</v>
      </c>
      <c r="N584" s="286">
        <v>100</v>
      </c>
      <c r="O584" s="286">
        <v>14</v>
      </c>
      <c r="P584" s="286">
        <v>86</v>
      </c>
      <c r="Q584" s="286">
        <v>85</v>
      </c>
      <c r="R584" s="286">
        <v>50</v>
      </c>
      <c r="S584" s="286">
        <v>35</v>
      </c>
      <c r="T584" s="286">
        <v>39</v>
      </c>
      <c r="U584" s="286">
        <v>34</v>
      </c>
      <c r="V584" s="286">
        <v>5</v>
      </c>
      <c r="W584" s="286">
        <v>46</v>
      </c>
      <c r="X584" s="286">
        <v>16</v>
      </c>
      <c r="Y584" s="286">
        <v>30</v>
      </c>
    </row>
    <row r="585" spans="1:25">
      <c r="A585" s="212">
        <v>5164</v>
      </c>
      <c r="B585" s="212" t="s">
        <v>1642</v>
      </c>
      <c r="C585" s="212">
        <v>1</v>
      </c>
      <c r="D585" s="212" t="s">
        <v>1643</v>
      </c>
      <c r="E585" s="212" t="s">
        <v>2789</v>
      </c>
      <c r="F585" s="212">
        <v>5</v>
      </c>
      <c r="G585" s="212" t="s">
        <v>1645</v>
      </c>
      <c r="H585" s="212">
        <v>0</v>
      </c>
      <c r="I585" s="212" t="s">
        <v>2790</v>
      </c>
      <c r="J585" s="212">
        <v>13</v>
      </c>
      <c r="K585" s="286">
        <v>86</v>
      </c>
      <c r="L585" s="286">
        <v>44</v>
      </c>
      <c r="M585" s="286">
        <v>42</v>
      </c>
      <c r="N585" s="286">
        <v>0</v>
      </c>
      <c r="O585" s="286">
        <v>0</v>
      </c>
      <c r="P585" s="286">
        <v>0</v>
      </c>
      <c r="Q585" s="286">
        <v>0</v>
      </c>
      <c r="R585" s="286">
        <v>0</v>
      </c>
      <c r="S585" s="286">
        <v>0</v>
      </c>
      <c r="T585" s="286">
        <v>0</v>
      </c>
      <c r="U585" s="286">
        <v>0</v>
      </c>
      <c r="V585" s="286">
        <v>0</v>
      </c>
      <c r="W585" s="286">
        <v>0</v>
      </c>
      <c r="X585" s="286">
        <v>0</v>
      </c>
      <c r="Y585" s="286">
        <v>0</v>
      </c>
    </row>
    <row r="586" spans="1:25">
      <c r="A586" s="212">
        <v>5173</v>
      </c>
      <c r="B586" s="212" t="s">
        <v>1642</v>
      </c>
      <c r="C586" s="212">
        <v>1</v>
      </c>
      <c r="D586" s="212" t="s">
        <v>1643</v>
      </c>
      <c r="E586" s="212" t="s">
        <v>2791</v>
      </c>
      <c r="F586" s="212">
        <v>5</v>
      </c>
      <c r="G586" s="212" t="s">
        <v>1645</v>
      </c>
      <c r="H586" s="212">
        <v>0</v>
      </c>
      <c r="I586" s="212" t="s">
        <v>2792</v>
      </c>
      <c r="J586" s="212">
        <v>630</v>
      </c>
      <c r="K586" s="286">
        <v>3917</v>
      </c>
      <c r="L586" s="286">
        <v>1220</v>
      </c>
      <c r="M586" s="286">
        <v>2668</v>
      </c>
      <c r="N586" s="286">
        <v>9</v>
      </c>
      <c r="O586" s="286">
        <v>3</v>
      </c>
      <c r="P586" s="286">
        <v>6</v>
      </c>
      <c r="Q586" s="286">
        <v>30</v>
      </c>
      <c r="R586" s="286">
        <v>13</v>
      </c>
      <c r="S586" s="286">
        <v>17</v>
      </c>
      <c r="T586" s="286">
        <v>6</v>
      </c>
      <c r="U586" s="286">
        <v>4</v>
      </c>
      <c r="V586" s="286">
        <v>2</v>
      </c>
      <c r="W586" s="286">
        <v>24</v>
      </c>
      <c r="X586" s="286">
        <v>9</v>
      </c>
      <c r="Y586" s="286">
        <v>15</v>
      </c>
    </row>
    <row r="587" spans="1:25">
      <c r="A587" s="212">
        <v>5182</v>
      </c>
      <c r="B587" s="212" t="s">
        <v>1642</v>
      </c>
      <c r="C587" s="212">
        <v>1</v>
      </c>
      <c r="D587" s="212" t="s">
        <v>1643</v>
      </c>
      <c r="E587" s="212" t="s">
        <v>2793</v>
      </c>
      <c r="F587" s="212">
        <v>5</v>
      </c>
      <c r="G587" s="212" t="s">
        <v>1645</v>
      </c>
      <c r="H587" s="212">
        <v>0</v>
      </c>
      <c r="I587" s="212" t="s">
        <v>2794</v>
      </c>
      <c r="J587" s="212">
        <v>1646</v>
      </c>
      <c r="K587" s="286">
        <v>17140</v>
      </c>
      <c r="L587" s="286">
        <v>6295</v>
      </c>
      <c r="M587" s="286">
        <v>10713</v>
      </c>
      <c r="N587" s="286">
        <v>91</v>
      </c>
      <c r="O587" s="286">
        <v>11</v>
      </c>
      <c r="P587" s="286">
        <v>80</v>
      </c>
      <c r="Q587" s="286">
        <v>55</v>
      </c>
      <c r="R587" s="286">
        <v>37</v>
      </c>
      <c r="S587" s="286">
        <v>18</v>
      </c>
      <c r="T587" s="286">
        <v>33</v>
      </c>
      <c r="U587" s="286">
        <v>30</v>
      </c>
      <c r="V587" s="286">
        <v>3</v>
      </c>
      <c r="W587" s="286">
        <v>22</v>
      </c>
      <c r="X587" s="286">
        <v>7</v>
      </c>
      <c r="Y587" s="286">
        <v>15</v>
      </c>
    </row>
    <row r="588" spans="1:25">
      <c r="A588" s="212">
        <v>5191</v>
      </c>
      <c r="B588" s="212" t="s">
        <v>1642</v>
      </c>
      <c r="C588" s="212">
        <v>1</v>
      </c>
      <c r="D588" s="212" t="s">
        <v>1643</v>
      </c>
      <c r="E588" s="212" t="s">
        <v>2795</v>
      </c>
      <c r="F588" s="212">
        <v>2</v>
      </c>
      <c r="G588" s="212" t="s">
        <v>1645</v>
      </c>
      <c r="H588" s="212">
        <v>0</v>
      </c>
      <c r="I588" s="212" t="s">
        <v>2796</v>
      </c>
      <c r="J588" s="212">
        <v>18423</v>
      </c>
      <c r="K588" s="286">
        <v>96619</v>
      </c>
      <c r="L588" s="286">
        <v>39403</v>
      </c>
      <c r="M588" s="286">
        <v>56754</v>
      </c>
      <c r="N588" s="286">
        <v>144</v>
      </c>
      <c r="O588" s="286">
        <v>81</v>
      </c>
      <c r="P588" s="286">
        <v>63</v>
      </c>
      <c r="Q588" s="286">
        <v>2863</v>
      </c>
      <c r="R588" s="286">
        <v>1323</v>
      </c>
      <c r="S588" s="286">
        <v>1537</v>
      </c>
      <c r="T588" s="286">
        <v>1736</v>
      </c>
      <c r="U588" s="286">
        <v>849</v>
      </c>
      <c r="V588" s="286">
        <v>887</v>
      </c>
      <c r="W588" s="286">
        <v>1117</v>
      </c>
      <c r="X588" s="286">
        <v>466</v>
      </c>
      <c r="Y588" s="286">
        <v>648</v>
      </c>
    </row>
    <row r="589" spans="1:25">
      <c r="A589" s="212">
        <v>5200</v>
      </c>
      <c r="B589" s="212" t="s">
        <v>1642</v>
      </c>
      <c r="C589" s="212">
        <v>1</v>
      </c>
      <c r="D589" s="212" t="s">
        <v>1643</v>
      </c>
      <c r="E589" s="212" t="s">
        <v>2797</v>
      </c>
      <c r="F589" s="212">
        <v>4</v>
      </c>
      <c r="G589" s="212" t="s">
        <v>1645</v>
      </c>
      <c r="H589" s="212">
        <v>0</v>
      </c>
      <c r="I589" s="212" t="s">
        <v>2798</v>
      </c>
      <c r="J589" s="212">
        <v>13966</v>
      </c>
      <c r="K589" s="286">
        <v>46546</v>
      </c>
      <c r="L589" s="286">
        <v>15824</v>
      </c>
      <c r="M589" s="286">
        <v>30389</v>
      </c>
      <c r="N589" s="286">
        <v>65</v>
      </c>
      <c r="O589" s="286">
        <v>28</v>
      </c>
      <c r="P589" s="286">
        <v>37</v>
      </c>
      <c r="Q589" s="286">
        <v>624</v>
      </c>
      <c r="R589" s="286">
        <v>213</v>
      </c>
      <c r="S589" s="286">
        <v>411</v>
      </c>
      <c r="T589" s="286">
        <v>422</v>
      </c>
      <c r="U589" s="286">
        <v>159</v>
      </c>
      <c r="V589" s="286">
        <v>263</v>
      </c>
      <c r="W589" s="286">
        <v>202</v>
      </c>
      <c r="X589" s="286">
        <v>54</v>
      </c>
      <c r="Y589" s="286">
        <v>148</v>
      </c>
    </row>
    <row r="590" spans="1:25">
      <c r="A590" s="212">
        <v>5209</v>
      </c>
      <c r="B590" s="212" t="s">
        <v>1642</v>
      </c>
      <c r="C590" s="212">
        <v>1</v>
      </c>
      <c r="D590" s="212" t="s">
        <v>1643</v>
      </c>
      <c r="E590" s="212" t="s">
        <v>2799</v>
      </c>
      <c r="F590" s="212">
        <v>5</v>
      </c>
      <c r="G590" s="212" t="s">
        <v>1645</v>
      </c>
      <c r="H590" s="212">
        <v>0</v>
      </c>
      <c r="I590" s="212" t="s">
        <v>2800</v>
      </c>
      <c r="J590" s="212">
        <v>13</v>
      </c>
      <c r="K590" s="286">
        <v>30</v>
      </c>
      <c r="L590" s="286">
        <v>10</v>
      </c>
      <c r="M590" s="286">
        <v>20</v>
      </c>
      <c r="N590" s="286">
        <v>0</v>
      </c>
      <c r="O590" s="286">
        <v>0</v>
      </c>
      <c r="P590" s="286">
        <v>0</v>
      </c>
      <c r="Q590" s="286">
        <v>4</v>
      </c>
      <c r="R590" s="286">
        <v>4</v>
      </c>
      <c r="S590" s="286">
        <v>0</v>
      </c>
      <c r="T590" s="286">
        <v>4</v>
      </c>
      <c r="U590" s="286">
        <v>4</v>
      </c>
      <c r="V590" s="286">
        <v>0</v>
      </c>
      <c r="W590" s="286">
        <v>0</v>
      </c>
      <c r="X590" s="286">
        <v>0</v>
      </c>
      <c r="Y590" s="286">
        <v>0</v>
      </c>
    </row>
    <row r="591" spans="1:25">
      <c r="A591" s="212">
        <v>5218</v>
      </c>
      <c r="B591" s="212" t="s">
        <v>1642</v>
      </c>
      <c r="C591" s="212">
        <v>1</v>
      </c>
      <c r="D591" s="212" t="s">
        <v>1643</v>
      </c>
      <c r="E591" s="212" t="s">
        <v>2801</v>
      </c>
      <c r="F591" s="212">
        <v>5</v>
      </c>
      <c r="G591" s="212" t="s">
        <v>1645</v>
      </c>
      <c r="H591" s="212">
        <v>0</v>
      </c>
      <c r="I591" s="212" t="s">
        <v>2802</v>
      </c>
      <c r="J591" s="212">
        <v>2351</v>
      </c>
      <c r="K591" s="286">
        <v>12240</v>
      </c>
      <c r="L591" s="286">
        <v>3789</v>
      </c>
      <c r="M591" s="286">
        <v>8442</v>
      </c>
      <c r="N591" s="286">
        <v>16</v>
      </c>
      <c r="O591" s="286">
        <v>11</v>
      </c>
      <c r="P591" s="286">
        <v>5</v>
      </c>
      <c r="Q591" s="286">
        <v>157</v>
      </c>
      <c r="R591" s="286">
        <v>54</v>
      </c>
      <c r="S591" s="286">
        <v>103</v>
      </c>
      <c r="T591" s="286">
        <v>95</v>
      </c>
      <c r="U591" s="286">
        <v>34</v>
      </c>
      <c r="V591" s="286">
        <v>61</v>
      </c>
      <c r="W591" s="286">
        <v>62</v>
      </c>
      <c r="X591" s="286">
        <v>20</v>
      </c>
      <c r="Y591" s="286">
        <v>42</v>
      </c>
    </row>
    <row r="592" spans="1:25">
      <c r="A592" s="212">
        <v>5227</v>
      </c>
      <c r="B592" s="212" t="s">
        <v>1642</v>
      </c>
      <c r="C592" s="212">
        <v>1</v>
      </c>
      <c r="D592" s="212" t="s">
        <v>1643</v>
      </c>
      <c r="E592" s="212" t="s">
        <v>2803</v>
      </c>
      <c r="F592" s="212">
        <v>6</v>
      </c>
      <c r="G592" s="212" t="s">
        <v>1645</v>
      </c>
      <c r="H592" s="212">
        <v>0</v>
      </c>
      <c r="I592" s="212" t="s">
        <v>2804</v>
      </c>
      <c r="J592" s="212">
        <v>2212</v>
      </c>
      <c r="K592" s="286">
        <v>8941</v>
      </c>
      <c r="L592" s="286">
        <v>2429</v>
      </c>
      <c r="M592" s="286">
        <v>6509</v>
      </c>
      <c r="N592" s="286">
        <v>15</v>
      </c>
      <c r="O592" s="286">
        <v>11</v>
      </c>
      <c r="P592" s="286">
        <v>4</v>
      </c>
      <c r="Q592" s="286">
        <v>105</v>
      </c>
      <c r="R592" s="286">
        <v>30</v>
      </c>
      <c r="S592" s="286">
        <v>75</v>
      </c>
      <c r="T592" s="286">
        <v>87</v>
      </c>
      <c r="U592" s="286">
        <v>26</v>
      </c>
      <c r="V592" s="286">
        <v>61</v>
      </c>
      <c r="W592" s="286">
        <v>18</v>
      </c>
      <c r="X592" s="286">
        <v>4</v>
      </c>
      <c r="Y592" s="286">
        <v>14</v>
      </c>
    </row>
    <row r="593" spans="1:25">
      <c r="A593" s="212">
        <v>5236</v>
      </c>
      <c r="B593" s="212" t="s">
        <v>1642</v>
      </c>
      <c r="C593" s="212">
        <v>1</v>
      </c>
      <c r="D593" s="212" t="s">
        <v>1643</v>
      </c>
      <c r="E593" s="212" t="s">
        <v>2805</v>
      </c>
      <c r="F593" s="212">
        <v>6</v>
      </c>
      <c r="G593" s="212" t="s">
        <v>1645</v>
      </c>
      <c r="H593" s="212">
        <v>0</v>
      </c>
      <c r="I593" s="212" t="s">
        <v>2806</v>
      </c>
      <c r="J593" s="212">
        <v>139</v>
      </c>
      <c r="K593" s="286">
        <v>3299</v>
      </c>
      <c r="L593" s="286">
        <v>1360</v>
      </c>
      <c r="M593" s="286">
        <v>1933</v>
      </c>
      <c r="N593" s="286">
        <v>1</v>
      </c>
      <c r="O593" s="286">
        <v>0</v>
      </c>
      <c r="P593" s="286">
        <v>1</v>
      </c>
      <c r="Q593" s="286">
        <v>52</v>
      </c>
      <c r="R593" s="286">
        <v>24</v>
      </c>
      <c r="S593" s="286">
        <v>28</v>
      </c>
      <c r="T593" s="286">
        <v>8</v>
      </c>
      <c r="U593" s="286">
        <v>8</v>
      </c>
      <c r="V593" s="286">
        <v>0</v>
      </c>
      <c r="W593" s="286">
        <v>44</v>
      </c>
      <c r="X593" s="286">
        <v>16</v>
      </c>
      <c r="Y593" s="286">
        <v>28</v>
      </c>
    </row>
    <row r="594" spans="1:25">
      <c r="A594" s="212">
        <v>5245</v>
      </c>
      <c r="B594" s="212" t="s">
        <v>1642</v>
      </c>
      <c r="C594" s="212">
        <v>1</v>
      </c>
      <c r="D594" s="212" t="s">
        <v>1643</v>
      </c>
      <c r="E594" s="212" t="s">
        <v>2807</v>
      </c>
      <c r="F594" s="212">
        <v>5</v>
      </c>
      <c r="G594" s="212" t="s">
        <v>1645</v>
      </c>
      <c r="H594" s="212">
        <v>0</v>
      </c>
      <c r="I594" s="212" t="s">
        <v>2808</v>
      </c>
      <c r="J594" s="212">
        <v>3352</v>
      </c>
      <c r="K594" s="286">
        <v>7213</v>
      </c>
      <c r="L594" s="286">
        <v>4558</v>
      </c>
      <c r="M594" s="286">
        <v>2648</v>
      </c>
      <c r="N594" s="286">
        <v>9</v>
      </c>
      <c r="O594" s="286">
        <v>6</v>
      </c>
      <c r="P594" s="286">
        <v>3</v>
      </c>
      <c r="Q594" s="286">
        <v>14</v>
      </c>
      <c r="R594" s="286">
        <v>6</v>
      </c>
      <c r="S594" s="286">
        <v>8</v>
      </c>
      <c r="T594" s="286">
        <v>5</v>
      </c>
      <c r="U594" s="286">
        <v>5</v>
      </c>
      <c r="V594" s="286">
        <v>0</v>
      </c>
      <c r="W594" s="286">
        <v>9</v>
      </c>
      <c r="X594" s="286">
        <v>1</v>
      </c>
      <c r="Y594" s="286">
        <v>8</v>
      </c>
    </row>
    <row r="595" spans="1:25">
      <c r="A595" s="212">
        <v>5254</v>
      </c>
      <c r="B595" s="212" t="s">
        <v>1642</v>
      </c>
      <c r="C595" s="212">
        <v>1</v>
      </c>
      <c r="D595" s="212" t="s">
        <v>1643</v>
      </c>
      <c r="E595" s="212" t="s">
        <v>2809</v>
      </c>
      <c r="F595" s="212">
        <v>5</v>
      </c>
      <c r="G595" s="212" t="s">
        <v>1645</v>
      </c>
      <c r="H595" s="212">
        <v>0</v>
      </c>
      <c r="I595" s="212" t="s">
        <v>2810</v>
      </c>
      <c r="J595" s="212">
        <v>6878</v>
      </c>
      <c r="K595" s="286">
        <v>18526</v>
      </c>
      <c r="L595" s="286">
        <v>5812</v>
      </c>
      <c r="M595" s="286">
        <v>12637</v>
      </c>
      <c r="N595" s="286">
        <v>35</v>
      </c>
      <c r="O595" s="286">
        <v>10</v>
      </c>
      <c r="P595" s="286">
        <v>25</v>
      </c>
      <c r="Q595" s="286">
        <v>320</v>
      </c>
      <c r="R595" s="286">
        <v>101</v>
      </c>
      <c r="S595" s="286">
        <v>219</v>
      </c>
      <c r="T595" s="286">
        <v>237</v>
      </c>
      <c r="U595" s="286">
        <v>79</v>
      </c>
      <c r="V595" s="286">
        <v>158</v>
      </c>
      <c r="W595" s="286">
        <v>83</v>
      </c>
      <c r="X595" s="286">
        <v>22</v>
      </c>
      <c r="Y595" s="286">
        <v>61</v>
      </c>
    </row>
    <row r="596" spans="1:25">
      <c r="A596" s="212">
        <v>5263</v>
      </c>
      <c r="B596" s="212" t="s">
        <v>1642</v>
      </c>
      <c r="C596" s="212">
        <v>1</v>
      </c>
      <c r="D596" s="212" t="s">
        <v>1643</v>
      </c>
      <c r="E596" s="212" t="s">
        <v>2811</v>
      </c>
      <c r="F596" s="212">
        <v>5</v>
      </c>
      <c r="G596" s="212" t="s">
        <v>1645</v>
      </c>
      <c r="H596" s="212">
        <v>0</v>
      </c>
      <c r="I596" s="212" t="s">
        <v>2812</v>
      </c>
      <c r="J596" s="212">
        <v>119</v>
      </c>
      <c r="K596" s="286">
        <v>600</v>
      </c>
      <c r="L596" s="286">
        <v>213</v>
      </c>
      <c r="M596" s="286">
        <v>387</v>
      </c>
      <c r="N596" s="286">
        <v>0</v>
      </c>
      <c r="O596" s="286">
        <v>0</v>
      </c>
      <c r="P596" s="286">
        <v>0</v>
      </c>
      <c r="Q596" s="286">
        <v>0</v>
      </c>
      <c r="R596" s="286">
        <v>0</v>
      </c>
      <c r="S596" s="286">
        <v>0</v>
      </c>
      <c r="T596" s="286">
        <v>0</v>
      </c>
      <c r="U596" s="286">
        <v>0</v>
      </c>
      <c r="V596" s="286">
        <v>0</v>
      </c>
      <c r="W596" s="286">
        <v>0</v>
      </c>
      <c r="X596" s="286">
        <v>0</v>
      </c>
      <c r="Y596" s="286">
        <v>0</v>
      </c>
    </row>
    <row r="597" spans="1:25">
      <c r="A597" s="212">
        <v>5272</v>
      </c>
      <c r="B597" s="212" t="s">
        <v>1642</v>
      </c>
      <c r="C597" s="212">
        <v>1</v>
      </c>
      <c r="D597" s="212" t="s">
        <v>1643</v>
      </c>
      <c r="E597" s="212" t="s">
        <v>2813</v>
      </c>
      <c r="F597" s="212">
        <v>5</v>
      </c>
      <c r="G597" s="212" t="s">
        <v>1645</v>
      </c>
      <c r="H597" s="212">
        <v>0</v>
      </c>
      <c r="I597" s="212" t="s">
        <v>2814</v>
      </c>
      <c r="J597" s="212">
        <v>86</v>
      </c>
      <c r="K597" s="286">
        <v>2235</v>
      </c>
      <c r="L597" s="286">
        <v>721</v>
      </c>
      <c r="M597" s="286">
        <v>1304</v>
      </c>
      <c r="N597" s="286">
        <v>0</v>
      </c>
      <c r="O597" s="286">
        <v>0</v>
      </c>
      <c r="P597" s="286">
        <v>0</v>
      </c>
      <c r="Q597" s="286">
        <v>7</v>
      </c>
      <c r="R597" s="286">
        <v>6</v>
      </c>
      <c r="S597" s="286">
        <v>1</v>
      </c>
      <c r="T597" s="286">
        <v>6</v>
      </c>
      <c r="U597" s="286">
        <v>5</v>
      </c>
      <c r="V597" s="286">
        <v>1</v>
      </c>
      <c r="W597" s="286">
        <v>1</v>
      </c>
      <c r="X597" s="286">
        <v>1</v>
      </c>
      <c r="Y597" s="286">
        <v>0</v>
      </c>
    </row>
    <row r="598" spans="1:25">
      <c r="A598" s="212">
        <v>5281</v>
      </c>
      <c r="B598" s="212" t="s">
        <v>1642</v>
      </c>
      <c r="C598" s="212">
        <v>1</v>
      </c>
      <c r="D598" s="212" t="s">
        <v>1643</v>
      </c>
      <c r="E598" s="212" t="s">
        <v>2815</v>
      </c>
      <c r="F598" s="212">
        <v>5</v>
      </c>
      <c r="G598" s="212" t="s">
        <v>1645</v>
      </c>
      <c r="H598" s="212">
        <v>0</v>
      </c>
      <c r="I598" s="212" t="s">
        <v>2816</v>
      </c>
      <c r="J598" s="212">
        <v>1167</v>
      </c>
      <c r="K598" s="286">
        <v>5702</v>
      </c>
      <c r="L598" s="286">
        <v>721</v>
      </c>
      <c r="M598" s="286">
        <v>4951</v>
      </c>
      <c r="N598" s="286">
        <v>5</v>
      </c>
      <c r="O598" s="286">
        <v>1</v>
      </c>
      <c r="P598" s="286">
        <v>4</v>
      </c>
      <c r="Q598" s="286">
        <v>122</v>
      </c>
      <c r="R598" s="286">
        <v>42</v>
      </c>
      <c r="S598" s="286">
        <v>80</v>
      </c>
      <c r="T598" s="286">
        <v>75</v>
      </c>
      <c r="U598" s="286">
        <v>32</v>
      </c>
      <c r="V598" s="286">
        <v>43</v>
      </c>
      <c r="W598" s="286">
        <v>47</v>
      </c>
      <c r="X598" s="286">
        <v>10</v>
      </c>
      <c r="Y598" s="286">
        <v>37</v>
      </c>
    </row>
    <row r="599" spans="1:25">
      <c r="A599" s="212">
        <v>5290</v>
      </c>
      <c r="B599" s="212" t="s">
        <v>1642</v>
      </c>
      <c r="C599" s="212">
        <v>1</v>
      </c>
      <c r="D599" s="212" t="s">
        <v>1643</v>
      </c>
      <c r="E599" s="212" t="s">
        <v>2817</v>
      </c>
      <c r="F599" s="212">
        <v>4</v>
      </c>
      <c r="G599" s="212" t="s">
        <v>1645</v>
      </c>
      <c r="H599" s="212">
        <v>0</v>
      </c>
      <c r="I599" s="212" t="s">
        <v>2818</v>
      </c>
      <c r="J599" s="212">
        <v>2330</v>
      </c>
      <c r="K599" s="286">
        <v>13896</v>
      </c>
      <c r="L599" s="286">
        <v>5731</v>
      </c>
      <c r="M599" s="286">
        <v>8102</v>
      </c>
      <c r="N599" s="286">
        <v>19</v>
      </c>
      <c r="O599" s="286">
        <v>14</v>
      </c>
      <c r="P599" s="286">
        <v>5</v>
      </c>
      <c r="Q599" s="286">
        <v>485</v>
      </c>
      <c r="R599" s="286">
        <v>213</v>
      </c>
      <c r="S599" s="286">
        <v>269</v>
      </c>
      <c r="T599" s="286">
        <v>198</v>
      </c>
      <c r="U599" s="286">
        <v>138</v>
      </c>
      <c r="V599" s="286">
        <v>60</v>
      </c>
      <c r="W599" s="286">
        <v>282</v>
      </c>
      <c r="X599" s="286">
        <v>71</v>
      </c>
      <c r="Y599" s="286">
        <v>208</v>
      </c>
    </row>
    <row r="600" spans="1:25">
      <c r="A600" s="212">
        <v>5299</v>
      </c>
      <c r="B600" s="212" t="s">
        <v>1642</v>
      </c>
      <c r="C600" s="212">
        <v>1</v>
      </c>
      <c r="D600" s="212" t="s">
        <v>1643</v>
      </c>
      <c r="E600" s="212" t="s">
        <v>2819</v>
      </c>
      <c r="F600" s="212">
        <v>5</v>
      </c>
      <c r="G600" s="212" t="s">
        <v>1645</v>
      </c>
      <c r="H600" s="212">
        <v>0</v>
      </c>
      <c r="I600" s="212" t="s">
        <v>2820</v>
      </c>
      <c r="J600" s="212">
        <v>7</v>
      </c>
      <c r="K600" s="286">
        <v>22</v>
      </c>
      <c r="L600" s="286">
        <v>8</v>
      </c>
      <c r="M600" s="286">
        <v>14</v>
      </c>
      <c r="N600" s="286">
        <v>0</v>
      </c>
      <c r="O600" s="286">
        <v>0</v>
      </c>
      <c r="P600" s="286">
        <v>0</v>
      </c>
      <c r="Q600" s="286">
        <v>1</v>
      </c>
      <c r="R600" s="286">
        <v>0</v>
      </c>
      <c r="S600" s="286">
        <v>1</v>
      </c>
      <c r="T600" s="286">
        <v>1</v>
      </c>
      <c r="U600" s="286">
        <v>0</v>
      </c>
      <c r="V600" s="286">
        <v>1</v>
      </c>
      <c r="W600" s="286">
        <v>0</v>
      </c>
      <c r="X600" s="286">
        <v>0</v>
      </c>
      <c r="Y600" s="286">
        <v>0</v>
      </c>
    </row>
    <row r="601" spans="1:25">
      <c r="A601" s="212">
        <v>5308</v>
      </c>
      <c r="B601" s="212" t="s">
        <v>1642</v>
      </c>
      <c r="C601" s="212">
        <v>1</v>
      </c>
      <c r="D601" s="212" t="s">
        <v>1643</v>
      </c>
      <c r="E601" s="212" t="s">
        <v>2821</v>
      </c>
      <c r="F601" s="212">
        <v>5</v>
      </c>
      <c r="G601" s="212" t="s">
        <v>1645</v>
      </c>
      <c r="H601" s="212">
        <v>0</v>
      </c>
      <c r="I601" s="212" t="s">
        <v>2822</v>
      </c>
      <c r="J601" s="212">
        <v>285</v>
      </c>
      <c r="K601" s="286">
        <v>1980</v>
      </c>
      <c r="L601" s="286">
        <v>871</v>
      </c>
      <c r="M601" s="286">
        <v>1109</v>
      </c>
      <c r="N601" s="286">
        <v>6</v>
      </c>
      <c r="O601" s="286">
        <v>4</v>
      </c>
      <c r="P601" s="286">
        <v>2</v>
      </c>
      <c r="Q601" s="286">
        <v>118</v>
      </c>
      <c r="R601" s="286">
        <v>50</v>
      </c>
      <c r="S601" s="286">
        <v>68</v>
      </c>
      <c r="T601" s="286">
        <v>80</v>
      </c>
      <c r="U601" s="286">
        <v>49</v>
      </c>
      <c r="V601" s="286">
        <v>31</v>
      </c>
      <c r="W601" s="286">
        <v>38</v>
      </c>
      <c r="X601" s="286">
        <v>1</v>
      </c>
      <c r="Y601" s="286">
        <v>37</v>
      </c>
    </row>
    <row r="602" spans="1:25">
      <c r="A602" s="212">
        <v>5317</v>
      </c>
      <c r="B602" s="212" t="s">
        <v>1642</v>
      </c>
      <c r="C602" s="212">
        <v>1</v>
      </c>
      <c r="D602" s="212" t="s">
        <v>1643</v>
      </c>
      <c r="E602" s="212" t="s">
        <v>2823</v>
      </c>
      <c r="F602" s="212">
        <v>5</v>
      </c>
      <c r="G602" s="212" t="s">
        <v>1645</v>
      </c>
      <c r="H602" s="212">
        <v>0</v>
      </c>
      <c r="I602" s="212" t="s">
        <v>2824</v>
      </c>
      <c r="J602" s="212">
        <v>289</v>
      </c>
      <c r="K602" s="286">
        <v>1356</v>
      </c>
      <c r="L602" s="286">
        <v>302</v>
      </c>
      <c r="M602" s="286">
        <v>1054</v>
      </c>
      <c r="N602" s="286">
        <v>0</v>
      </c>
      <c r="O602" s="286">
        <v>0</v>
      </c>
      <c r="P602" s="286">
        <v>0</v>
      </c>
      <c r="Q602" s="286">
        <v>1</v>
      </c>
      <c r="R602" s="286">
        <v>1</v>
      </c>
      <c r="S602" s="286">
        <v>0</v>
      </c>
      <c r="T602" s="286">
        <v>1</v>
      </c>
      <c r="U602" s="286">
        <v>1</v>
      </c>
      <c r="V602" s="286">
        <v>0</v>
      </c>
      <c r="W602" s="286">
        <v>0</v>
      </c>
      <c r="X602" s="286">
        <v>0</v>
      </c>
      <c r="Y602" s="286">
        <v>0</v>
      </c>
    </row>
    <row r="603" spans="1:25">
      <c r="A603" s="212">
        <v>5326</v>
      </c>
      <c r="B603" s="212" t="s">
        <v>1642</v>
      </c>
      <c r="C603" s="212">
        <v>1</v>
      </c>
      <c r="D603" s="212" t="s">
        <v>1643</v>
      </c>
      <c r="E603" s="212" t="s">
        <v>2825</v>
      </c>
      <c r="F603" s="212">
        <v>5</v>
      </c>
      <c r="G603" s="212" t="s">
        <v>1645</v>
      </c>
      <c r="H603" s="212">
        <v>0</v>
      </c>
      <c r="I603" s="212" t="s">
        <v>2826</v>
      </c>
      <c r="J603" s="212">
        <v>264</v>
      </c>
      <c r="K603" s="286">
        <v>1258</v>
      </c>
      <c r="L603" s="286">
        <v>1065</v>
      </c>
      <c r="M603" s="286">
        <v>193</v>
      </c>
      <c r="N603" s="286">
        <v>0</v>
      </c>
      <c r="O603" s="286">
        <v>0</v>
      </c>
      <c r="P603" s="286">
        <v>0</v>
      </c>
      <c r="Q603" s="286">
        <v>57</v>
      </c>
      <c r="R603" s="286">
        <v>55</v>
      </c>
      <c r="S603" s="286">
        <v>2</v>
      </c>
      <c r="T603" s="286">
        <v>5</v>
      </c>
      <c r="U603" s="286">
        <v>5</v>
      </c>
      <c r="V603" s="286">
        <v>0</v>
      </c>
      <c r="W603" s="286">
        <v>52</v>
      </c>
      <c r="X603" s="286">
        <v>50</v>
      </c>
      <c r="Y603" s="286">
        <v>2</v>
      </c>
    </row>
    <row r="604" spans="1:25">
      <c r="A604" s="212">
        <v>5335</v>
      </c>
      <c r="B604" s="212" t="s">
        <v>1642</v>
      </c>
      <c r="C604" s="212">
        <v>1</v>
      </c>
      <c r="D604" s="212" t="s">
        <v>1643</v>
      </c>
      <c r="E604" s="212" t="s">
        <v>2827</v>
      </c>
      <c r="F604" s="212">
        <v>5</v>
      </c>
      <c r="G604" s="212" t="s">
        <v>1645</v>
      </c>
      <c r="H604" s="212">
        <v>0</v>
      </c>
      <c r="I604" s="212" t="s">
        <v>2828</v>
      </c>
      <c r="J604" s="212">
        <v>44</v>
      </c>
      <c r="K604" s="286">
        <v>275</v>
      </c>
      <c r="L604" s="286">
        <v>180</v>
      </c>
      <c r="M604" s="286">
        <v>95</v>
      </c>
      <c r="N604" s="286">
        <v>0</v>
      </c>
      <c r="O604" s="286">
        <v>0</v>
      </c>
      <c r="P604" s="286">
        <v>0</v>
      </c>
      <c r="Q604" s="286">
        <v>42</v>
      </c>
      <c r="R604" s="286">
        <v>30</v>
      </c>
      <c r="S604" s="286">
        <v>12</v>
      </c>
      <c r="T604" s="286">
        <v>41</v>
      </c>
      <c r="U604" s="286">
        <v>29</v>
      </c>
      <c r="V604" s="286">
        <v>12</v>
      </c>
      <c r="W604" s="286">
        <v>1</v>
      </c>
      <c r="X604" s="286">
        <v>1</v>
      </c>
      <c r="Y604" s="286">
        <v>0</v>
      </c>
    </row>
    <row r="605" spans="1:25">
      <c r="A605" s="212">
        <v>5344</v>
      </c>
      <c r="B605" s="212" t="s">
        <v>1642</v>
      </c>
      <c r="C605" s="212">
        <v>1</v>
      </c>
      <c r="D605" s="212" t="s">
        <v>1643</v>
      </c>
      <c r="E605" s="212" t="s">
        <v>2829</v>
      </c>
      <c r="F605" s="212">
        <v>5</v>
      </c>
      <c r="G605" s="212" t="s">
        <v>1645</v>
      </c>
      <c r="H605" s="212">
        <v>0</v>
      </c>
      <c r="I605" s="212" t="s">
        <v>2830</v>
      </c>
      <c r="J605" s="212">
        <v>392</v>
      </c>
      <c r="K605" s="286">
        <v>4705</v>
      </c>
      <c r="L605" s="286">
        <v>2097</v>
      </c>
      <c r="M605" s="286">
        <v>2597</v>
      </c>
      <c r="N605" s="286">
        <v>8</v>
      </c>
      <c r="O605" s="286">
        <v>7</v>
      </c>
      <c r="P605" s="286">
        <v>1</v>
      </c>
      <c r="Q605" s="286">
        <v>105</v>
      </c>
      <c r="R605" s="286">
        <v>60</v>
      </c>
      <c r="S605" s="286">
        <v>42</v>
      </c>
      <c r="T605" s="286">
        <v>58</v>
      </c>
      <c r="U605" s="286">
        <v>42</v>
      </c>
      <c r="V605" s="286">
        <v>16</v>
      </c>
      <c r="W605" s="286">
        <v>42</v>
      </c>
      <c r="X605" s="286">
        <v>14</v>
      </c>
      <c r="Y605" s="286">
        <v>25</v>
      </c>
    </row>
    <row r="606" spans="1:25">
      <c r="A606" s="212">
        <v>5353</v>
      </c>
      <c r="B606" s="212" t="s">
        <v>1642</v>
      </c>
      <c r="C606" s="212">
        <v>1</v>
      </c>
      <c r="D606" s="212" t="s">
        <v>1643</v>
      </c>
      <c r="E606" s="212" t="s">
        <v>2831</v>
      </c>
      <c r="F606" s="212">
        <v>6</v>
      </c>
      <c r="G606" s="212" t="s">
        <v>1645</v>
      </c>
      <c r="H606" s="212">
        <v>0</v>
      </c>
      <c r="I606" s="212" t="s">
        <v>2832</v>
      </c>
      <c r="J606" s="212">
        <v>292</v>
      </c>
      <c r="K606" s="286">
        <v>2853</v>
      </c>
      <c r="L606" s="286">
        <v>1450</v>
      </c>
      <c r="M606" s="286">
        <v>1395</v>
      </c>
      <c r="N606" s="286">
        <v>8</v>
      </c>
      <c r="O606" s="286">
        <v>7</v>
      </c>
      <c r="P606" s="286">
        <v>1</v>
      </c>
      <c r="Q606" s="286">
        <v>62</v>
      </c>
      <c r="R606" s="286">
        <v>33</v>
      </c>
      <c r="S606" s="286">
        <v>26</v>
      </c>
      <c r="T606" s="286">
        <v>15</v>
      </c>
      <c r="U606" s="286">
        <v>15</v>
      </c>
      <c r="V606" s="286">
        <v>0</v>
      </c>
      <c r="W606" s="286">
        <v>42</v>
      </c>
      <c r="X606" s="286">
        <v>14</v>
      </c>
      <c r="Y606" s="286">
        <v>25</v>
      </c>
    </row>
    <row r="607" spans="1:25">
      <c r="A607" s="212">
        <v>5362</v>
      </c>
      <c r="B607" s="212" t="s">
        <v>1642</v>
      </c>
      <c r="C607" s="212">
        <v>1</v>
      </c>
      <c r="D607" s="212" t="s">
        <v>1643</v>
      </c>
      <c r="E607" s="212" t="s">
        <v>2833</v>
      </c>
      <c r="F607" s="212">
        <v>6</v>
      </c>
      <c r="G607" s="212" t="s">
        <v>1645</v>
      </c>
      <c r="H607" s="212">
        <v>0</v>
      </c>
      <c r="I607" s="212" t="s">
        <v>2834</v>
      </c>
      <c r="J607" s="212">
        <v>56</v>
      </c>
      <c r="K607" s="286">
        <v>1483</v>
      </c>
      <c r="L607" s="286">
        <v>497</v>
      </c>
      <c r="M607" s="286">
        <v>983</v>
      </c>
      <c r="N607" s="286">
        <v>0</v>
      </c>
      <c r="O607" s="286">
        <v>0</v>
      </c>
      <c r="P607" s="286">
        <v>0</v>
      </c>
      <c r="Q607" s="286">
        <v>43</v>
      </c>
      <c r="R607" s="286">
        <v>27</v>
      </c>
      <c r="S607" s="286">
        <v>16</v>
      </c>
      <c r="T607" s="286">
        <v>43</v>
      </c>
      <c r="U607" s="286">
        <v>27</v>
      </c>
      <c r="V607" s="286">
        <v>16</v>
      </c>
      <c r="W607" s="286">
        <v>0</v>
      </c>
      <c r="X607" s="286">
        <v>0</v>
      </c>
      <c r="Y607" s="286">
        <v>0</v>
      </c>
    </row>
    <row r="608" spans="1:25">
      <c r="A608" s="212">
        <v>5371</v>
      </c>
      <c r="B608" s="212" t="s">
        <v>1642</v>
      </c>
      <c r="C608" s="212">
        <v>1</v>
      </c>
      <c r="D608" s="212" t="s">
        <v>1643</v>
      </c>
      <c r="E608" s="212" t="s">
        <v>2835</v>
      </c>
      <c r="F608" s="212">
        <v>6</v>
      </c>
      <c r="G608" s="212" t="s">
        <v>1645</v>
      </c>
      <c r="H608" s="212">
        <v>0</v>
      </c>
      <c r="I608" s="212" t="s">
        <v>2836</v>
      </c>
      <c r="J608" s="212">
        <v>44</v>
      </c>
      <c r="K608" s="286">
        <v>369</v>
      </c>
      <c r="L608" s="286">
        <v>150</v>
      </c>
      <c r="M608" s="286">
        <v>219</v>
      </c>
      <c r="N608" s="286">
        <v>0</v>
      </c>
      <c r="O608" s="286">
        <v>0</v>
      </c>
      <c r="P608" s="286">
        <v>0</v>
      </c>
      <c r="Q608" s="286">
        <v>0</v>
      </c>
      <c r="R608" s="286">
        <v>0</v>
      </c>
      <c r="S608" s="286">
        <v>0</v>
      </c>
      <c r="T608" s="286">
        <v>0</v>
      </c>
      <c r="U608" s="286">
        <v>0</v>
      </c>
      <c r="V608" s="286">
        <v>0</v>
      </c>
      <c r="W608" s="286">
        <v>0</v>
      </c>
      <c r="X608" s="286">
        <v>0</v>
      </c>
      <c r="Y608" s="286">
        <v>0</v>
      </c>
    </row>
    <row r="609" spans="1:25">
      <c r="A609" s="212">
        <v>5380</v>
      </c>
      <c r="B609" s="212" t="s">
        <v>1642</v>
      </c>
      <c r="C609" s="212">
        <v>1</v>
      </c>
      <c r="D609" s="212" t="s">
        <v>1643</v>
      </c>
      <c r="E609" s="212" t="s">
        <v>2837</v>
      </c>
      <c r="F609" s="212">
        <v>5</v>
      </c>
      <c r="G609" s="212" t="s">
        <v>1645</v>
      </c>
      <c r="H609" s="212">
        <v>0</v>
      </c>
      <c r="I609" s="212" t="s">
        <v>2838</v>
      </c>
      <c r="J609" s="212">
        <v>1049</v>
      </c>
      <c r="K609" s="286">
        <v>4300</v>
      </c>
      <c r="L609" s="286">
        <v>1208</v>
      </c>
      <c r="M609" s="286">
        <v>3040</v>
      </c>
      <c r="N609" s="286">
        <v>5</v>
      </c>
      <c r="O609" s="286">
        <v>3</v>
      </c>
      <c r="P609" s="286">
        <v>2</v>
      </c>
      <c r="Q609" s="286">
        <v>161</v>
      </c>
      <c r="R609" s="286">
        <v>17</v>
      </c>
      <c r="S609" s="286">
        <v>144</v>
      </c>
      <c r="T609" s="286">
        <v>12</v>
      </c>
      <c r="U609" s="286">
        <v>12</v>
      </c>
      <c r="V609" s="286">
        <v>0</v>
      </c>
      <c r="W609" s="286">
        <v>149</v>
      </c>
      <c r="X609" s="286">
        <v>5</v>
      </c>
      <c r="Y609" s="286">
        <v>144</v>
      </c>
    </row>
    <row r="610" spans="1:25">
      <c r="A610" s="212">
        <v>5389</v>
      </c>
      <c r="B610" s="212" t="s">
        <v>1642</v>
      </c>
      <c r="C610" s="212">
        <v>1</v>
      </c>
      <c r="D610" s="212" t="s">
        <v>1643</v>
      </c>
      <c r="E610" s="212" t="s">
        <v>2839</v>
      </c>
      <c r="F610" s="212">
        <v>6</v>
      </c>
      <c r="G610" s="212" t="s">
        <v>1645</v>
      </c>
      <c r="H610" s="212">
        <v>0</v>
      </c>
      <c r="I610" s="212" t="s">
        <v>2840</v>
      </c>
      <c r="J610" s="212">
        <v>127</v>
      </c>
      <c r="K610" s="286">
        <v>512</v>
      </c>
      <c r="L610" s="286">
        <v>230</v>
      </c>
      <c r="M610" s="286">
        <v>278</v>
      </c>
      <c r="N610" s="286">
        <v>2</v>
      </c>
      <c r="O610" s="286">
        <v>2</v>
      </c>
      <c r="P610" s="286">
        <v>0</v>
      </c>
      <c r="Q610" s="286">
        <v>136</v>
      </c>
      <c r="R610" s="286">
        <v>0</v>
      </c>
      <c r="S610" s="286">
        <v>136</v>
      </c>
      <c r="T610" s="286">
        <v>0</v>
      </c>
      <c r="U610" s="286">
        <v>0</v>
      </c>
      <c r="V610" s="286">
        <v>0</v>
      </c>
      <c r="W610" s="286">
        <v>136</v>
      </c>
      <c r="X610" s="286">
        <v>0</v>
      </c>
      <c r="Y610" s="286">
        <v>136</v>
      </c>
    </row>
    <row r="611" spans="1:25">
      <c r="A611" s="212">
        <v>5398</v>
      </c>
      <c r="B611" s="212" t="s">
        <v>1642</v>
      </c>
      <c r="C611" s="212">
        <v>1</v>
      </c>
      <c r="D611" s="212" t="s">
        <v>1643</v>
      </c>
      <c r="E611" s="212" t="s">
        <v>2841</v>
      </c>
      <c r="F611" s="212">
        <v>6</v>
      </c>
      <c r="G611" s="212" t="s">
        <v>1645</v>
      </c>
      <c r="H611" s="212">
        <v>0</v>
      </c>
      <c r="I611" s="212" t="s">
        <v>2842</v>
      </c>
      <c r="J611" s="212">
        <v>922</v>
      </c>
      <c r="K611" s="286">
        <v>3788</v>
      </c>
      <c r="L611" s="286">
        <v>978</v>
      </c>
      <c r="M611" s="286">
        <v>2762</v>
      </c>
      <c r="N611" s="286">
        <v>3</v>
      </c>
      <c r="O611" s="286">
        <v>1</v>
      </c>
      <c r="P611" s="286">
        <v>2</v>
      </c>
      <c r="Q611" s="286">
        <v>25</v>
      </c>
      <c r="R611" s="286">
        <v>17</v>
      </c>
      <c r="S611" s="286">
        <v>8</v>
      </c>
      <c r="T611" s="286">
        <v>12</v>
      </c>
      <c r="U611" s="286">
        <v>12</v>
      </c>
      <c r="V611" s="286">
        <v>0</v>
      </c>
      <c r="W611" s="286">
        <v>13</v>
      </c>
      <c r="X611" s="286">
        <v>5</v>
      </c>
      <c r="Y611" s="286">
        <v>8</v>
      </c>
    </row>
    <row r="612" spans="1:25">
      <c r="A612" s="212">
        <v>5407</v>
      </c>
      <c r="B612" s="212" t="s">
        <v>1642</v>
      </c>
      <c r="C612" s="212">
        <v>1</v>
      </c>
      <c r="D612" s="212" t="s">
        <v>1643</v>
      </c>
      <c r="E612" s="212" t="s">
        <v>2843</v>
      </c>
      <c r="F612" s="212">
        <v>4</v>
      </c>
      <c r="G612" s="212" t="s">
        <v>1645</v>
      </c>
      <c r="H612" s="212">
        <v>0</v>
      </c>
      <c r="I612" s="212" t="s">
        <v>2844</v>
      </c>
      <c r="J612" s="212">
        <v>2124</v>
      </c>
      <c r="K612" s="286">
        <v>36139</v>
      </c>
      <c r="L612" s="286">
        <v>17841</v>
      </c>
      <c r="M612" s="286">
        <v>18232</v>
      </c>
      <c r="N612" s="286">
        <v>60</v>
      </c>
      <c r="O612" s="286">
        <v>39</v>
      </c>
      <c r="P612" s="286">
        <v>21</v>
      </c>
      <c r="Q612" s="286">
        <v>1754</v>
      </c>
      <c r="R612" s="286">
        <v>897</v>
      </c>
      <c r="S612" s="286">
        <v>857</v>
      </c>
      <c r="T612" s="286">
        <v>1116</v>
      </c>
      <c r="U612" s="286">
        <v>552</v>
      </c>
      <c r="V612" s="286">
        <v>564</v>
      </c>
      <c r="W612" s="286">
        <v>633</v>
      </c>
      <c r="X612" s="286">
        <v>341</v>
      </c>
      <c r="Y612" s="286">
        <v>292</v>
      </c>
    </row>
    <row r="613" spans="1:25">
      <c r="A613" s="212">
        <v>5416</v>
      </c>
      <c r="B613" s="212" t="s">
        <v>1642</v>
      </c>
      <c r="C613" s="212">
        <v>1</v>
      </c>
      <c r="D613" s="212" t="s">
        <v>1643</v>
      </c>
      <c r="E613" s="212" t="s">
        <v>2845</v>
      </c>
      <c r="F613" s="212">
        <v>5</v>
      </c>
      <c r="G613" s="212" t="s">
        <v>1645</v>
      </c>
      <c r="H613" s="212">
        <v>0</v>
      </c>
      <c r="I613" s="212" t="s">
        <v>2846</v>
      </c>
      <c r="J613" s="212">
        <v>21</v>
      </c>
      <c r="K613" s="286">
        <v>204</v>
      </c>
      <c r="L613" s="286">
        <v>141</v>
      </c>
      <c r="M613" s="286">
        <v>63</v>
      </c>
      <c r="N613" s="286">
        <v>0</v>
      </c>
      <c r="O613" s="286">
        <v>0</v>
      </c>
      <c r="P613" s="286">
        <v>0</v>
      </c>
      <c r="Q613" s="286">
        <v>11</v>
      </c>
      <c r="R613" s="286">
        <v>8</v>
      </c>
      <c r="S613" s="286">
        <v>3</v>
      </c>
      <c r="T613" s="286">
        <v>9</v>
      </c>
      <c r="U613" s="286">
        <v>7</v>
      </c>
      <c r="V613" s="286">
        <v>2</v>
      </c>
      <c r="W613" s="286">
        <v>2</v>
      </c>
      <c r="X613" s="286">
        <v>1</v>
      </c>
      <c r="Y613" s="286">
        <v>1</v>
      </c>
    </row>
    <row r="614" spans="1:25">
      <c r="A614" s="212">
        <v>5425</v>
      </c>
      <c r="B614" s="212" t="s">
        <v>1642</v>
      </c>
      <c r="C614" s="212">
        <v>1</v>
      </c>
      <c r="D614" s="212" t="s">
        <v>1643</v>
      </c>
      <c r="E614" s="212" t="s">
        <v>2847</v>
      </c>
      <c r="F614" s="212">
        <v>5</v>
      </c>
      <c r="G614" s="212" t="s">
        <v>1645</v>
      </c>
      <c r="H614" s="212">
        <v>0</v>
      </c>
      <c r="I614" s="212" t="s">
        <v>2848</v>
      </c>
      <c r="J614" s="212">
        <v>20</v>
      </c>
      <c r="K614" s="286">
        <v>593</v>
      </c>
      <c r="L614" s="286">
        <v>233</v>
      </c>
      <c r="M614" s="286">
        <v>360</v>
      </c>
      <c r="N614" s="286">
        <v>0</v>
      </c>
      <c r="O614" s="286">
        <v>0</v>
      </c>
      <c r="P614" s="286">
        <v>0</v>
      </c>
      <c r="Q614" s="286">
        <v>8</v>
      </c>
      <c r="R614" s="286">
        <v>5</v>
      </c>
      <c r="S614" s="286">
        <v>3</v>
      </c>
      <c r="T614" s="286">
        <v>4</v>
      </c>
      <c r="U614" s="286">
        <v>2</v>
      </c>
      <c r="V614" s="286">
        <v>2</v>
      </c>
      <c r="W614" s="286">
        <v>4</v>
      </c>
      <c r="X614" s="286">
        <v>3</v>
      </c>
      <c r="Y614" s="286">
        <v>1</v>
      </c>
    </row>
    <row r="615" spans="1:25">
      <c r="A615" s="212">
        <v>5434</v>
      </c>
      <c r="B615" s="212" t="s">
        <v>1642</v>
      </c>
      <c r="C615" s="212">
        <v>1</v>
      </c>
      <c r="D615" s="212" t="s">
        <v>1643</v>
      </c>
      <c r="E615" s="212" t="s">
        <v>2849</v>
      </c>
      <c r="F615" s="212">
        <v>5</v>
      </c>
      <c r="G615" s="212" t="s">
        <v>1645</v>
      </c>
      <c r="H615" s="212">
        <v>0</v>
      </c>
      <c r="I615" s="212" t="s">
        <v>2850</v>
      </c>
      <c r="J615" s="212">
        <v>83</v>
      </c>
      <c r="K615" s="286">
        <v>1424</v>
      </c>
      <c r="L615" s="286">
        <v>586</v>
      </c>
      <c r="M615" s="286">
        <v>838</v>
      </c>
      <c r="N615" s="286">
        <v>7</v>
      </c>
      <c r="O615" s="286">
        <v>0</v>
      </c>
      <c r="P615" s="286">
        <v>7</v>
      </c>
      <c r="Q615" s="286">
        <v>163</v>
      </c>
      <c r="R615" s="286">
        <v>106</v>
      </c>
      <c r="S615" s="286">
        <v>57</v>
      </c>
      <c r="T615" s="286">
        <v>153</v>
      </c>
      <c r="U615" s="286">
        <v>99</v>
      </c>
      <c r="V615" s="286">
        <v>54</v>
      </c>
      <c r="W615" s="286">
        <v>10</v>
      </c>
      <c r="X615" s="286">
        <v>7</v>
      </c>
      <c r="Y615" s="286">
        <v>3</v>
      </c>
    </row>
    <row r="616" spans="1:25">
      <c r="A616" s="212">
        <v>5443</v>
      </c>
      <c r="B616" s="212" t="s">
        <v>1642</v>
      </c>
      <c r="C616" s="212">
        <v>1</v>
      </c>
      <c r="D616" s="212" t="s">
        <v>1643</v>
      </c>
      <c r="E616" s="212" t="s">
        <v>2851</v>
      </c>
      <c r="F616" s="212">
        <v>5</v>
      </c>
      <c r="G616" s="212" t="s">
        <v>1645</v>
      </c>
      <c r="H616" s="212">
        <v>0</v>
      </c>
      <c r="I616" s="280" t="s">
        <v>2852</v>
      </c>
      <c r="J616" s="280">
        <v>39</v>
      </c>
      <c r="K616" s="294">
        <v>866</v>
      </c>
      <c r="L616" s="294">
        <v>362</v>
      </c>
      <c r="M616" s="294">
        <v>504</v>
      </c>
      <c r="N616" s="286">
        <v>1</v>
      </c>
      <c r="O616" s="286">
        <v>1</v>
      </c>
      <c r="P616" s="286">
        <v>0</v>
      </c>
      <c r="Q616" s="286">
        <v>0</v>
      </c>
      <c r="R616" s="286">
        <v>0</v>
      </c>
      <c r="S616" s="286">
        <v>0</v>
      </c>
      <c r="T616" s="286">
        <v>0</v>
      </c>
      <c r="U616" s="286">
        <v>0</v>
      </c>
      <c r="V616" s="286">
        <v>0</v>
      </c>
      <c r="W616" s="286">
        <v>0</v>
      </c>
      <c r="X616" s="286">
        <v>0</v>
      </c>
      <c r="Y616" s="286">
        <v>0</v>
      </c>
    </row>
    <row r="617" spans="1:25">
      <c r="A617" s="212">
        <v>5452</v>
      </c>
      <c r="B617" s="212" t="s">
        <v>1642</v>
      </c>
      <c r="C617" s="212">
        <v>1</v>
      </c>
      <c r="D617" s="212" t="s">
        <v>1643</v>
      </c>
      <c r="E617" s="212" t="s">
        <v>2853</v>
      </c>
      <c r="F617" s="212">
        <v>5</v>
      </c>
      <c r="G617" s="212" t="s">
        <v>1645</v>
      </c>
      <c r="H617" s="212">
        <v>0</v>
      </c>
      <c r="I617" s="280" t="s">
        <v>2854</v>
      </c>
      <c r="J617" s="280">
        <v>765</v>
      </c>
      <c r="K617" s="294">
        <v>18102</v>
      </c>
      <c r="L617" s="294">
        <v>8585</v>
      </c>
      <c r="M617" s="294">
        <v>9502</v>
      </c>
      <c r="N617" s="286">
        <v>20</v>
      </c>
      <c r="O617" s="286">
        <v>14</v>
      </c>
      <c r="P617" s="286">
        <v>6</v>
      </c>
      <c r="Q617" s="286">
        <v>718</v>
      </c>
      <c r="R617" s="286">
        <v>370</v>
      </c>
      <c r="S617" s="286">
        <v>348</v>
      </c>
      <c r="T617" s="286">
        <v>420</v>
      </c>
      <c r="U617" s="286">
        <v>195</v>
      </c>
      <c r="V617" s="286">
        <v>225</v>
      </c>
      <c r="W617" s="286">
        <v>298</v>
      </c>
      <c r="X617" s="286">
        <v>175</v>
      </c>
      <c r="Y617" s="286">
        <v>123</v>
      </c>
    </row>
    <row r="618" spans="1:25">
      <c r="A618" s="212">
        <v>5461</v>
      </c>
      <c r="B618" s="212" t="s">
        <v>1642</v>
      </c>
      <c r="C618" s="212">
        <v>1</v>
      </c>
      <c r="D618" s="212" t="s">
        <v>1643</v>
      </c>
      <c r="E618" s="212" t="s">
        <v>2855</v>
      </c>
      <c r="F618" s="212">
        <v>6</v>
      </c>
      <c r="G618" s="212" t="s">
        <v>1645</v>
      </c>
      <c r="H618" s="212">
        <v>0</v>
      </c>
      <c r="I618" s="280" t="s">
        <v>2856</v>
      </c>
      <c r="J618" s="280">
        <v>134</v>
      </c>
      <c r="K618" s="294">
        <v>1787</v>
      </c>
      <c r="L618" s="294">
        <v>1009</v>
      </c>
      <c r="M618" s="294">
        <v>776</v>
      </c>
      <c r="N618" s="286">
        <v>1</v>
      </c>
      <c r="O618" s="286">
        <v>1</v>
      </c>
      <c r="P618" s="286">
        <v>0</v>
      </c>
      <c r="Q618" s="286">
        <v>54</v>
      </c>
      <c r="R618" s="286">
        <v>40</v>
      </c>
      <c r="S618" s="286">
        <v>14</v>
      </c>
      <c r="T618" s="286">
        <v>39</v>
      </c>
      <c r="U618" s="286">
        <v>33</v>
      </c>
      <c r="V618" s="286">
        <v>6</v>
      </c>
      <c r="W618" s="286">
        <v>15</v>
      </c>
      <c r="X618" s="286">
        <v>7</v>
      </c>
      <c r="Y618" s="286">
        <v>8</v>
      </c>
    </row>
    <row r="619" spans="1:25">
      <c r="A619" s="212">
        <v>5470</v>
      </c>
      <c r="B619" s="212" t="s">
        <v>1642</v>
      </c>
      <c r="C619" s="212">
        <v>1</v>
      </c>
      <c r="D619" s="212" t="s">
        <v>1643</v>
      </c>
      <c r="E619" s="212" t="s">
        <v>2857</v>
      </c>
      <c r="F619" s="212">
        <v>6</v>
      </c>
      <c r="G619" s="212" t="s">
        <v>1645</v>
      </c>
      <c r="H619" s="212">
        <v>0</v>
      </c>
      <c r="I619" s="280" t="s">
        <v>2858</v>
      </c>
      <c r="J619" s="280">
        <v>42</v>
      </c>
      <c r="K619" s="294">
        <v>343</v>
      </c>
      <c r="L619" s="294">
        <v>188</v>
      </c>
      <c r="M619" s="294">
        <v>155</v>
      </c>
      <c r="N619" s="286">
        <v>0</v>
      </c>
      <c r="O619" s="286">
        <v>0</v>
      </c>
      <c r="P619" s="286">
        <v>0</v>
      </c>
      <c r="Q619" s="286">
        <v>82</v>
      </c>
      <c r="R619" s="286">
        <v>44</v>
      </c>
      <c r="S619" s="286">
        <v>38</v>
      </c>
      <c r="T619" s="286">
        <v>76</v>
      </c>
      <c r="U619" s="286">
        <v>40</v>
      </c>
      <c r="V619" s="286">
        <v>36</v>
      </c>
      <c r="W619" s="286">
        <v>6</v>
      </c>
      <c r="X619" s="286">
        <v>4</v>
      </c>
      <c r="Y619" s="286">
        <v>2</v>
      </c>
    </row>
    <row r="620" spans="1:25">
      <c r="A620" s="212">
        <v>5479</v>
      </c>
      <c r="B620" s="212" t="s">
        <v>1642</v>
      </c>
      <c r="C620" s="212">
        <v>1</v>
      </c>
      <c r="D620" s="212" t="s">
        <v>1643</v>
      </c>
      <c r="E620" s="212" t="s">
        <v>2859</v>
      </c>
      <c r="F620" s="212">
        <v>6</v>
      </c>
      <c r="G620" s="212" t="s">
        <v>1645</v>
      </c>
      <c r="H620" s="212">
        <v>0</v>
      </c>
      <c r="I620" s="280" t="s">
        <v>2860</v>
      </c>
      <c r="J620" s="280">
        <v>145</v>
      </c>
      <c r="K620" s="294">
        <v>8393</v>
      </c>
      <c r="L620" s="294">
        <v>4044</v>
      </c>
      <c r="M620" s="294">
        <v>4349</v>
      </c>
      <c r="N620" s="286">
        <v>1</v>
      </c>
      <c r="O620" s="286">
        <v>1</v>
      </c>
      <c r="P620" s="286">
        <v>0</v>
      </c>
      <c r="Q620" s="286">
        <v>366</v>
      </c>
      <c r="R620" s="286">
        <v>182</v>
      </c>
      <c r="S620" s="286">
        <v>184</v>
      </c>
      <c r="T620" s="286">
        <v>181</v>
      </c>
      <c r="U620" s="286">
        <v>76</v>
      </c>
      <c r="V620" s="286">
        <v>105</v>
      </c>
      <c r="W620" s="286">
        <v>185</v>
      </c>
      <c r="X620" s="286">
        <v>106</v>
      </c>
      <c r="Y620" s="286">
        <v>79</v>
      </c>
    </row>
    <row r="621" spans="1:25">
      <c r="A621" s="212">
        <v>5488</v>
      </c>
      <c r="B621" s="212" t="s">
        <v>1642</v>
      </c>
      <c r="C621" s="212">
        <v>1</v>
      </c>
      <c r="D621" s="212" t="s">
        <v>1643</v>
      </c>
      <c r="E621" s="212" t="s">
        <v>2861</v>
      </c>
      <c r="F621" s="212">
        <v>6</v>
      </c>
      <c r="G621" s="212" t="s">
        <v>1645</v>
      </c>
      <c r="H621" s="212">
        <v>0</v>
      </c>
      <c r="I621" s="280" t="s">
        <v>2862</v>
      </c>
      <c r="J621" s="280">
        <v>132</v>
      </c>
      <c r="K621" s="294">
        <v>1796</v>
      </c>
      <c r="L621" s="294">
        <v>941</v>
      </c>
      <c r="M621" s="294">
        <v>855</v>
      </c>
      <c r="N621" s="286">
        <v>8</v>
      </c>
      <c r="O621" s="286">
        <v>3</v>
      </c>
      <c r="P621" s="286">
        <v>5</v>
      </c>
      <c r="Q621" s="286">
        <v>41</v>
      </c>
      <c r="R621" s="286">
        <v>28</v>
      </c>
      <c r="S621" s="286">
        <v>13</v>
      </c>
      <c r="T621" s="286">
        <v>11</v>
      </c>
      <c r="U621" s="286">
        <v>11</v>
      </c>
      <c r="V621" s="286">
        <v>0</v>
      </c>
      <c r="W621" s="286">
        <v>30</v>
      </c>
      <c r="X621" s="286">
        <v>17</v>
      </c>
      <c r="Y621" s="286">
        <v>13</v>
      </c>
    </row>
    <row r="622" spans="1:25">
      <c r="A622" s="212">
        <v>5497</v>
      </c>
      <c r="B622" s="212" t="s">
        <v>1642</v>
      </c>
      <c r="C622" s="212">
        <v>1</v>
      </c>
      <c r="D622" s="212" t="s">
        <v>1643</v>
      </c>
      <c r="E622" s="212" t="s">
        <v>2863</v>
      </c>
      <c r="F622" s="212">
        <v>6</v>
      </c>
      <c r="G622" s="212" t="s">
        <v>1645</v>
      </c>
      <c r="H622" s="212">
        <v>0</v>
      </c>
      <c r="I622" s="280" t="s">
        <v>2864</v>
      </c>
      <c r="J622" s="280">
        <v>27</v>
      </c>
      <c r="K622" s="294">
        <v>893</v>
      </c>
      <c r="L622" s="294">
        <v>508</v>
      </c>
      <c r="M622" s="294">
        <v>385</v>
      </c>
      <c r="N622" s="286">
        <v>0</v>
      </c>
      <c r="O622" s="286">
        <v>0</v>
      </c>
      <c r="P622" s="286">
        <v>0</v>
      </c>
      <c r="Q622" s="286">
        <v>0</v>
      </c>
      <c r="R622" s="286">
        <v>0</v>
      </c>
      <c r="S622" s="286">
        <v>0</v>
      </c>
      <c r="T622" s="286">
        <v>0</v>
      </c>
      <c r="U622" s="286">
        <v>0</v>
      </c>
      <c r="V622" s="286">
        <v>0</v>
      </c>
      <c r="W622" s="286">
        <v>0</v>
      </c>
      <c r="X622" s="286">
        <v>0</v>
      </c>
      <c r="Y622" s="286">
        <v>0</v>
      </c>
    </row>
    <row r="623" spans="1:25">
      <c r="A623" s="212">
        <v>5506</v>
      </c>
      <c r="B623" s="212" t="s">
        <v>1642</v>
      </c>
      <c r="C623" s="212">
        <v>1</v>
      </c>
      <c r="D623" s="212" t="s">
        <v>1643</v>
      </c>
      <c r="E623" s="212" t="s">
        <v>2865</v>
      </c>
      <c r="F623" s="212">
        <v>6</v>
      </c>
      <c r="G623" s="212" t="s">
        <v>1645</v>
      </c>
      <c r="H623" s="212">
        <v>0</v>
      </c>
      <c r="I623" s="280" t="s">
        <v>2866</v>
      </c>
      <c r="J623" s="280">
        <v>24</v>
      </c>
      <c r="K623" s="294">
        <v>107</v>
      </c>
      <c r="L623" s="294">
        <v>60</v>
      </c>
      <c r="M623" s="294">
        <v>47</v>
      </c>
      <c r="N623" s="286">
        <v>0</v>
      </c>
      <c r="O623" s="286">
        <v>0</v>
      </c>
      <c r="P623" s="286">
        <v>0</v>
      </c>
      <c r="Q623" s="286">
        <v>36</v>
      </c>
      <c r="R623" s="286">
        <v>36</v>
      </c>
      <c r="S623" s="286">
        <v>0</v>
      </c>
      <c r="T623" s="286">
        <v>3</v>
      </c>
      <c r="U623" s="286">
        <v>3</v>
      </c>
      <c r="V623" s="286">
        <v>0</v>
      </c>
      <c r="W623" s="286">
        <v>33</v>
      </c>
      <c r="X623" s="286">
        <v>33</v>
      </c>
      <c r="Y623" s="286">
        <v>0</v>
      </c>
    </row>
    <row r="624" spans="1:25">
      <c r="A624" s="212">
        <v>5515</v>
      </c>
      <c r="B624" s="212" t="s">
        <v>1642</v>
      </c>
      <c r="C624" s="212">
        <v>1</v>
      </c>
      <c r="D624" s="212" t="s">
        <v>1643</v>
      </c>
      <c r="E624" s="212" t="s">
        <v>2867</v>
      </c>
      <c r="F624" s="212">
        <v>6</v>
      </c>
      <c r="G624" s="212" t="s">
        <v>1645</v>
      </c>
      <c r="H624" s="212">
        <v>0</v>
      </c>
      <c r="I624" s="280" t="s">
        <v>2868</v>
      </c>
      <c r="J624" s="280">
        <v>29</v>
      </c>
      <c r="K624" s="294">
        <v>191</v>
      </c>
      <c r="L624" s="294">
        <v>121</v>
      </c>
      <c r="M624" s="294">
        <v>70</v>
      </c>
      <c r="N624" s="286">
        <v>5</v>
      </c>
      <c r="O624" s="286">
        <v>5</v>
      </c>
      <c r="P624" s="286">
        <v>0</v>
      </c>
      <c r="Q624" s="286">
        <v>3</v>
      </c>
      <c r="R624" s="286">
        <v>0</v>
      </c>
      <c r="S624" s="286">
        <v>3</v>
      </c>
      <c r="T624" s="286">
        <v>0</v>
      </c>
      <c r="U624" s="286">
        <v>0</v>
      </c>
      <c r="V624" s="286">
        <v>0</v>
      </c>
      <c r="W624" s="286">
        <v>3</v>
      </c>
      <c r="X624" s="286">
        <v>0</v>
      </c>
      <c r="Y624" s="286">
        <v>3</v>
      </c>
    </row>
    <row r="625" spans="1:25">
      <c r="A625" s="212">
        <v>5524</v>
      </c>
      <c r="B625" s="212" t="s">
        <v>1642</v>
      </c>
      <c r="C625" s="212">
        <v>1</v>
      </c>
      <c r="D625" s="212" t="s">
        <v>1643</v>
      </c>
      <c r="E625" s="212" t="s">
        <v>2869</v>
      </c>
      <c r="F625" s="212">
        <v>6</v>
      </c>
      <c r="G625" s="212" t="s">
        <v>1645</v>
      </c>
      <c r="H625" s="212">
        <v>0</v>
      </c>
      <c r="I625" s="280" t="s">
        <v>2870</v>
      </c>
      <c r="J625" s="280">
        <v>232</v>
      </c>
      <c r="K625" s="294">
        <v>4592</v>
      </c>
      <c r="L625" s="294">
        <v>1714</v>
      </c>
      <c r="M625" s="294">
        <v>2865</v>
      </c>
      <c r="N625" s="286">
        <v>5</v>
      </c>
      <c r="O625" s="286">
        <v>4</v>
      </c>
      <c r="P625" s="286">
        <v>1</v>
      </c>
      <c r="Q625" s="286">
        <v>136</v>
      </c>
      <c r="R625" s="286">
        <v>40</v>
      </c>
      <c r="S625" s="286">
        <v>96</v>
      </c>
      <c r="T625" s="286">
        <v>110</v>
      </c>
      <c r="U625" s="286">
        <v>32</v>
      </c>
      <c r="V625" s="286">
        <v>78</v>
      </c>
      <c r="W625" s="286">
        <v>26</v>
      </c>
      <c r="X625" s="286">
        <v>8</v>
      </c>
      <c r="Y625" s="286">
        <v>18</v>
      </c>
    </row>
    <row r="626" spans="1:25">
      <c r="A626" s="212">
        <v>5533</v>
      </c>
      <c r="B626" s="212" t="s">
        <v>1642</v>
      </c>
      <c r="C626" s="212">
        <v>1</v>
      </c>
      <c r="D626" s="212" t="s">
        <v>1643</v>
      </c>
      <c r="E626" s="212" t="s">
        <v>2871</v>
      </c>
      <c r="F626" s="212">
        <v>5</v>
      </c>
      <c r="G626" s="212" t="s">
        <v>1645</v>
      </c>
      <c r="H626" s="212">
        <v>0</v>
      </c>
      <c r="I626" s="212" t="s">
        <v>2872</v>
      </c>
      <c r="J626" s="212">
        <v>106</v>
      </c>
      <c r="K626" s="286">
        <v>2627</v>
      </c>
      <c r="L626" s="286">
        <v>1226</v>
      </c>
      <c r="M626" s="286">
        <v>1397</v>
      </c>
      <c r="N626" s="286">
        <v>1</v>
      </c>
      <c r="O626" s="286">
        <v>1</v>
      </c>
      <c r="P626" s="286">
        <v>0</v>
      </c>
      <c r="Q626" s="286">
        <v>450</v>
      </c>
      <c r="R626" s="286">
        <v>190</v>
      </c>
      <c r="S626" s="286">
        <v>260</v>
      </c>
      <c r="T626" s="286">
        <v>422</v>
      </c>
      <c r="U626" s="286">
        <v>168</v>
      </c>
      <c r="V626" s="286">
        <v>254</v>
      </c>
      <c r="W626" s="286">
        <v>28</v>
      </c>
      <c r="X626" s="286">
        <v>22</v>
      </c>
      <c r="Y626" s="286">
        <v>6</v>
      </c>
    </row>
    <row r="627" spans="1:25">
      <c r="A627" s="212">
        <v>5542</v>
      </c>
      <c r="B627" s="212" t="s">
        <v>1642</v>
      </c>
      <c r="C627" s="212">
        <v>1</v>
      </c>
      <c r="D627" s="212" t="s">
        <v>1643</v>
      </c>
      <c r="E627" s="212" t="s">
        <v>2873</v>
      </c>
      <c r="F627" s="212">
        <v>5</v>
      </c>
      <c r="G627" s="212" t="s">
        <v>1645</v>
      </c>
      <c r="H627" s="212">
        <v>0</v>
      </c>
      <c r="I627" s="212" t="s">
        <v>2874</v>
      </c>
      <c r="J627" s="212">
        <v>654</v>
      </c>
      <c r="K627" s="286">
        <v>8233</v>
      </c>
      <c r="L627" s="286">
        <v>4735</v>
      </c>
      <c r="M627" s="286">
        <v>3453</v>
      </c>
      <c r="N627" s="286">
        <v>9</v>
      </c>
      <c r="O627" s="286">
        <v>8</v>
      </c>
      <c r="P627" s="286">
        <v>1</v>
      </c>
      <c r="Q627" s="286">
        <v>373</v>
      </c>
      <c r="R627" s="286">
        <v>199</v>
      </c>
      <c r="S627" s="286">
        <v>174</v>
      </c>
      <c r="T627" s="286">
        <v>83</v>
      </c>
      <c r="U627" s="286">
        <v>66</v>
      </c>
      <c r="V627" s="286">
        <v>17</v>
      </c>
      <c r="W627" s="286">
        <v>285</v>
      </c>
      <c r="X627" s="286">
        <v>129</v>
      </c>
      <c r="Y627" s="286">
        <v>156</v>
      </c>
    </row>
    <row r="628" spans="1:25">
      <c r="A628" s="212">
        <v>5551</v>
      </c>
      <c r="B628" s="212" t="s">
        <v>1642</v>
      </c>
      <c r="C628" s="212">
        <v>1</v>
      </c>
      <c r="D628" s="212" t="s">
        <v>1643</v>
      </c>
      <c r="E628" s="212" t="s">
        <v>2875</v>
      </c>
      <c r="F628" s="212">
        <v>6</v>
      </c>
      <c r="G628" s="212" t="s">
        <v>1645</v>
      </c>
      <c r="H628" s="212">
        <v>0</v>
      </c>
      <c r="I628" s="212" t="s">
        <v>2876</v>
      </c>
      <c r="J628" s="212">
        <v>153</v>
      </c>
      <c r="K628" s="286">
        <v>408</v>
      </c>
      <c r="L628" s="286">
        <v>251</v>
      </c>
      <c r="M628" s="286">
        <v>157</v>
      </c>
      <c r="N628" s="286">
        <v>1</v>
      </c>
      <c r="O628" s="286">
        <v>1</v>
      </c>
      <c r="P628" s="286">
        <v>0</v>
      </c>
      <c r="Q628" s="286">
        <v>3</v>
      </c>
      <c r="R628" s="286">
        <v>3</v>
      </c>
      <c r="S628" s="286">
        <v>0</v>
      </c>
      <c r="T628" s="286">
        <v>3</v>
      </c>
      <c r="U628" s="286">
        <v>3</v>
      </c>
      <c r="V628" s="286">
        <v>0</v>
      </c>
      <c r="W628" s="286">
        <v>0</v>
      </c>
      <c r="X628" s="286">
        <v>0</v>
      </c>
      <c r="Y628" s="286">
        <v>0</v>
      </c>
    </row>
    <row r="629" spans="1:25">
      <c r="A629" s="212">
        <v>5560</v>
      </c>
      <c r="B629" s="212" t="s">
        <v>1642</v>
      </c>
      <c r="C629" s="212">
        <v>1</v>
      </c>
      <c r="D629" s="212" t="s">
        <v>1643</v>
      </c>
      <c r="E629" s="212" t="s">
        <v>2877</v>
      </c>
      <c r="F629" s="212">
        <v>6</v>
      </c>
      <c r="G629" s="212" t="s">
        <v>1645</v>
      </c>
      <c r="H629" s="212">
        <v>0</v>
      </c>
      <c r="I629" s="212" t="s">
        <v>2878</v>
      </c>
      <c r="J629" s="212">
        <v>340</v>
      </c>
      <c r="K629" s="286">
        <v>6675</v>
      </c>
      <c r="L629" s="286">
        <v>3887</v>
      </c>
      <c r="M629" s="286">
        <v>2768</v>
      </c>
      <c r="N629" s="286">
        <v>6</v>
      </c>
      <c r="O629" s="286">
        <v>5</v>
      </c>
      <c r="P629" s="286">
        <v>1</v>
      </c>
      <c r="Q629" s="286">
        <v>364</v>
      </c>
      <c r="R629" s="286">
        <v>194</v>
      </c>
      <c r="S629" s="286">
        <v>170</v>
      </c>
      <c r="T629" s="286">
        <v>78</v>
      </c>
      <c r="U629" s="286">
        <v>61</v>
      </c>
      <c r="V629" s="286">
        <v>17</v>
      </c>
      <c r="W629" s="286">
        <v>281</v>
      </c>
      <c r="X629" s="286">
        <v>129</v>
      </c>
      <c r="Y629" s="286">
        <v>152</v>
      </c>
    </row>
    <row r="630" spans="1:25">
      <c r="A630" s="212">
        <v>5569</v>
      </c>
      <c r="B630" s="212" t="s">
        <v>1642</v>
      </c>
      <c r="C630" s="212">
        <v>1</v>
      </c>
      <c r="D630" s="212" t="s">
        <v>1643</v>
      </c>
      <c r="E630" s="212" t="s">
        <v>2879</v>
      </c>
      <c r="F630" s="212">
        <v>6</v>
      </c>
      <c r="G630" s="212" t="s">
        <v>1645</v>
      </c>
      <c r="H630" s="212">
        <v>0</v>
      </c>
      <c r="I630" s="212" t="s">
        <v>2880</v>
      </c>
      <c r="J630" s="212">
        <v>102</v>
      </c>
      <c r="K630" s="286">
        <v>960</v>
      </c>
      <c r="L630" s="286">
        <v>492</v>
      </c>
      <c r="M630" s="286">
        <v>443</v>
      </c>
      <c r="N630" s="286">
        <v>2</v>
      </c>
      <c r="O630" s="286">
        <v>2</v>
      </c>
      <c r="P630" s="286">
        <v>0</v>
      </c>
      <c r="Q630" s="286">
        <v>2</v>
      </c>
      <c r="R630" s="286">
        <v>2</v>
      </c>
      <c r="S630" s="286">
        <v>0</v>
      </c>
      <c r="T630" s="286">
        <v>2</v>
      </c>
      <c r="U630" s="286">
        <v>2</v>
      </c>
      <c r="V630" s="286">
        <v>0</v>
      </c>
      <c r="W630" s="286">
        <v>0</v>
      </c>
      <c r="X630" s="286">
        <v>0</v>
      </c>
      <c r="Y630" s="286">
        <v>0</v>
      </c>
    </row>
    <row r="631" spans="1:25">
      <c r="A631" s="212">
        <v>5578</v>
      </c>
      <c r="B631" s="212" t="s">
        <v>1642</v>
      </c>
      <c r="C631" s="212">
        <v>1</v>
      </c>
      <c r="D631" s="212" t="s">
        <v>1643</v>
      </c>
      <c r="E631" s="212" t="s">
        <v>2881</v>
      </c>
      <c r="F631" s="212">
        <v>6</v>
      </c>
      <c r="G631" s="212" t="s">
        <v>1645</v>
      </c>
      <c r="H631" s="212">
        <v>0</v>
      </c>
      <c r="I631" s="212" t="s">
        <v>2882</v>
      </c>
      <c r="J631" s="212">
        <v>59</v>
      </c>
      <c r="K631" s="286">
        <v>190</v>
      </c>
      <c r="L631" s="286">
        <v>105</v>
      </c>
      <c r="M631" s="286">
        <v>85</v>
      </c>
      <c r="N631" s="286">
        <v>0</v>
      </c>
      <c r="O631" s="286">
        <v>0</v>
      </c>
      <c r="P631" s="286">
        <v>0</v>
      </c>
      <c r="Q631" s="286">
        <v>4</v>
      </c>
      <c r="R631" s="286">
        <v>0</v>
      </c>
      <c r="S631" s="286">
        <v>4</v>
      </c>
      <c r="T631" s="286">
        <v>0</v>
      </c>
      <c r="U631" s="286">
        <v>0</v>
      </c>
      <c r="V631" s="286">
        <v>0</v>
      </c>
      <c r="W631" s="286">
        <v>4</v>
      </c>
      <c r="X631" s="286">
        <v>0</v>
      </c>
      <c r="Y631" s="286">
        <v>4</v>
      </c>
    </row>
    <row r="632" spans="1:25">
      <c r="A632" s="212">
        <v>5587</v>
      </c>
      <c r="B632" s="212" t="s">
        <v>1642</v>
      </c>
      <c r="C632" s="212">
        <v>1</v>
      </c>
      <c r="D632" s="212" t="s">
        <v>1643</v>
      </c>
      <c r="E632" s="212" t="s">
        <v>2883</v>
      </c>
      <c r="F632" s="212">
        <v>5</v>
      </c>
      <c r="G632" s="212" t="s">
        <v>1645</v>
      </c>
      <c r="H632" s="212">
        <v>0</v>
      </c>
      <c r="I632" s="212" t="s">
        <v>2884</v>
      </c>
      <c r="J632" s="212">
        <v>436</v>
      </c>
      <c r="K632" s="286">
        <v>4090</v>
      </c>
      <c r="L632" s="286">
        <v>1973</v>
      </c>
      <c r="M632" s="286">
        <v>2115</v>
      </c>
      <c r="N632" s="286">
        <v>22</v>
      </c>
      <c r="O632" s="286">
        <v>15</v>
      </c>
      <c r="P632" s="286">
        <v>7</v>
      </c>
      <c r="Q632" s="286">
        <v>31</v>
      </c>
      <c r="R632" s="286">
        <v>19</v>
      </c>
      <c r="S632" s="286">
        <v>12</v>
      </c>
      <c r="T632" s="286">
        <v>25</v>
      </c>
      <c r="U632" s="286">
        <v>15</v>
      </c>
      <c r="V632" s="286">
        <v>10</v>
      </c>
      <c r="W632" s="286">
        <v>6</v>
      </c>
      <c r="X632" s="286">
        <v>4</v>
      </c>
      <c r="Y632" s="286">
        <v>2</v>
      </c>
    </row>
    <row r="633" spans="1:25">
      <c r="A633" s="212">
        <v>5596</v>
      </c>
      <c r="B633" s="212" t="s">
        <v>1642</v>
      </c>
      <c r="C633" s="212">
        <v>1</v>
      </c>
      <c r="D633" s="212" t="s">
        <v>1643</v>
      </c>
      <c r="E633" s="212" t="s">
        <v>2885</v>
      </c>
      <c r="F633" s="212">
        <v>6</v>
      </c>
      <c r="G633" s="212" t="s">
        <v>1645</v>
      </c>
      <c r="H633" s="212">
        <v>0</v>
      </c>
      <c r="I633" s="212" t="s">
        <v>2886</v>
      </c>
      <c r="J633" s="212">
        <v>227</v>
      </c>
      <c r="K633" s="286">
        <v>1826</v>
      </c>
      <c r="L633" s="286">
        <v>843</v>
      </c>
      <c r="M633" s="286">
        <v>983</v>
      </c>
      <c r="N633" s="286">
        <v>0</v>
      </c>
      <c r="O633" s="286">
        <v>0</v>
      </c>
      <c r="P633" s="286">
        <v>0</v>
      </c>
      <c r="Q633" s="286">
        <v>22</v>
      </c>
      <c r="R633" s="286">
        <v>12</v>
      </c>
      <c r="S633" s="286">
        <v>10</v>
      </c>
      <c r="T633" s="286">
        <v>22</v>
      </c>
      <c r="U633" s="286">
        <v>12</v>
      </c>
      <c r="V633" s="286">
        <v>10</v>
      </c>
      <c r="W633" s="286">
        <v>0</v>
      </c>
      <c r="X633" s="286">
        <v>0</v>
      </c>
      <c r="Y633" s="286">
        <v>0</v>
      </c>
    </row>
    <row r="634" spans="1:25">
      <c r="A634" s="212">
        <v>5605</v>
      </c>
      <c r="B634" s="212" t="s">
        <v>1642</v>
      </c>
      <c r="C634" s="212">
        <v>1</v>
      </c>
      <c r="D634" s="212" t="s">
        <v>1643</v>
      </c>
      <c r="E634" s="212" t="s">
        <v>2887</v>
      </c>
      <c r="F634" s="212">
        <v>6</v>
      </c>
      <c r="G634" s="212" t="s">
        <v>1645</v>
      </c>
      <c r="H634" s="212">
        <v>0</v>
      </c>
      <c r="I634" s="212" t="s">
        <v>2888</v>
      </c>
      <c r="J634" s="212">
        <v>209</v>
      </c>
      <c r="K634" s="286">
        <v>2264</v>
      </c>
      <c r="L634" s="286">
        <v>1130</v>
      </c>
      <c r="M634" s="286">
        <v>1132</v>
      </c>
      <c r="N634" s="286">
        <v>22</v>
      </c>
      <c r="O634" s="286">
        <v>15</v>
      </c>
      <c r="P634" s="286">
        <v>7</v>
      </c>
      <c r="Q634" s="286">
        <v>9</v>
      </c>
      <c r="R634" s="286">
        <v>7</v>
      </c>
      <c r="S634" s="286">
        <v>2</v>
      </c>
      <c r="T634" s="286">
        <v>3</v>
      </c>
      <c r="U634" s="286">
        <v>3</v>
      </c>
      <c r="V634" s="286">
        <v>0</v>
      </c>
      <c r="W634" s="286">
        <v>6</v>
      </c>
      <c r="X634" s="286">
        <v>4</v>
      </c>
      <c r="Y634" s="286">
        <v>2</v>
      </c>
    </row>
    <row r="635" spans="1:25">
      <c r="A635" s="212">
        <v>5614</v>
      </c>
      <c r="B635" s="212" t="s">
        <v>1642</v>
      </c>
      <c r="C635" s="212">
        <v>1</v>
      </c>
      <c r="D635" s="212" t="s">
        <v>1643</v>
      </c>
      <c r="E635" s="212" t="s">
        <v>2889</v>
      </c>
      <c r="F635" s="212">
        <v>2</v>
      </c>
      <c r="G635" s="212" t="s">
        <v>1645</v>
      </c>
      <c r="H635" s="212">
        <v>0</v>
      </c>
      <c r="I635" s="212" t="s">
        <v>2890</v>
      </c>
      <c r="J635" s="212">
        <v>8189</v>
      </c>
      <c r="K635" s="286">
        <v>81476</v>
      </c>
      <c r="L635" s="286">
        <v>36635</v>
      </c>
      <c r="M635" s="286">
        <v>44434</v>
      </c>
      <c r="N635" s="286">
        <v>177</v>
      </c>
      <c r="O635" s="286">
        <v>100</v>
      </c>
      <c r="P635" s="286">
        <v>77</v>
      </c>
      <c r="Q635" s="286">
        <v>1601</v>
      </c>
      <c r="R635" s="286">
        <v>636</v>
      </c>
      <c r="S635" s="286">
        <v>965</v>
      </c>
      <c r="T635" s="286">
        <v>498</v>
      </c>
      <c r="U635" s="286">
        <v>321</v>
      </c>
      <c r="V635" s="286">
        <v>177</v>
      </c>
      <c r="W635" s="286">
        <v>1096</v>
      </c>
      <c r="X635" s="286">
        <v>314</v>
      </c>
      <c r="Y635" s="286">
        <v>782</v>
      </c>
    </row>
    <row r="636" spans="1:25">
      <c r="A636" s="212">
        <v>5623</v>
      </c>
      <c r="B636" s="212" t="s">
        <v>1642</v>
      </c>
      <c r="C636" s="212">
        <v>1</v>
      </c>
      <c r="D636" s="212" t="s">
        <v>1643</v>
      </c>
      <c r="E636" s="212" t="s">
        <v>2891</v>
      </c>
      <c r="F636" s="212">
        <v>3</v>
      </c>
      <c r="G636" s="212" t="s">
        <v>1645</v>
      </c>
      <c r="H636" s="212">
        <v>0</v>
      </c>
      <c r="I636" s="212" t="s">
        <v>2892</v>
      </c>
      <c r="J636" s="212">
        <v>793</v>
      </c>
      <c r="K636" s="286">
        <v>40852</v>
      </c>
      <c r="L636" s="286">
        <v>18712</v>
      </c>
      <c r="M636" s="286">
        <v>22078</v>
      </c>
      <c r="N636" s="286">
        <v>49</v>
      </c>
      <c r="O636" s="286">
        <v>26</v>
      </c>
      <c r="P636" s="286">
        <v>23</v>
      </c>
      <c r="Q636" s="286">
        <v>836</v>
      </c>
      <c r="R636" s="286">
        <v>226</v>
      </c>
      <c r="S636" s="286">
        <v>610</v>
      </c>
      <c r="T636" s="286">
        <v>146</v>
      </c>
      <c r="U636" s="286">
        <v>103</v>
      </c>
      <c r="V636" s="286">
        <v>43</v>
      </c>
      <c r="W636" s="286">
        <v>690</v>
      </c>
      <c r="X636" s="286">
        <v>123</v>
      </c>
      <c r="Y636" s="286">
        <v>567</v>
      </c>
    </row>
    <row r="637" spans="1:25">
      <c r="A637" s="212">
        <v>5632</v>
      </c>
      <c r="B637" s="212" t="s">
        <v>1642</v>
      </c>
      <c r="C637" s="212">
        <v>1</v>
      </c>
      <c r="D637" s="212" t="s">
        <v>1643</v>
      </c>
      <c r="E637" s="212" t="s">
        <v>2893</v>
      </c>
      <c r="F637" s="212">
        <v>4</v>
      </c>
      <c r="G637" s="212" t="s">
        <v>1645</v>
      </c>
      <c r="H637" s="212">
        <v>0</v>
      </c>
      <c r="I637" s="212" t="s">
        <v>2894</v>
      </c>
      <c r="J637" s="212">
        <v>793</v>
      </c>
      <c r="K637" s="286">
        <v>40852</v>
      </c>
      <c r="L637" s="286">
        <v>18712</v>
      </c>
      <c r="M637" s="286">
        <v>22078</v>
      </c>
      <c r="N637" s="286">
        <v>49</v>
      </c>
      <c r="O637" s="286">
        <v>26</v>
      </c>
      <c r="P637" s="286">
        <v>23</v>
      </c>
      <c r="Q637" s="286">
        <v>836</v>
      </c>
      <c r="R637" s="286">
        <v>226</v>
      </c>
      <c r="S637" s="286">
        <v>610</v>
      </c>
      <c r="T637" s="286">
        <v>146</v>
      </c>
      <c r="U637" s="286">
        <v>103</v>
      </c>
      <c r="V637" s="286">
        <v>43</v>
      </c>
      <c r="W637" s="286">
        <v>690</v>
      </c>
      <c r="X637" s="286">
        <v>123</v>
      </c>
      <c r="Y637" s="286">
        <v>567</v>
      </c>
    </row>
    <row r="638" spans="1:25">
      <c r="A638" s="212">
        <v>5641</v>
      </c>
      <c r="B638" s="212" t="s">
        <v>1642</v>
      </c>
      <c r="C638" s="212">
        <v>1</v>
      </c>
      <c r="D638" s="212" t="s">
        <v>1643</v>
      </c>
      <c r="E638" s="212" t="s">
        <v>2895</v>
      </c>
      <c r="F638" s="212">
        <v>5</v>
      </c>
      <c r="G638" s="212" t="s">
        <v>1645</v>
      </c>
      <c r="H638" s="212">
        <v>0</v>
      </c>
      <c r="I638" s="212" t="s">
        <v>2896</v>
      </c>
      <c r="J638" s="212">
        <v>7</v>
      </c>
      <c r="K638" s="286">
        <v>73</v>
      </c>
      <c r="L638" s="286">
        <v>35</v>
      </c>
      <c r="M638" s="286">
        <v>38</v>
      </c>
      <c r="N638" s="286">
        <v>0</v>
      </c>
      <c r="O638" s="286">
        <v>0</v>
      </c>
      <c r="P638" s="286">
        <v>0</v>
      </c>
      <c r="Q638" s="286">
        <v>12</v>
      </c>
      <c r="R638" s="286">
        <v>11</v>
      </c>
      <c r="S638" s="286">
        <v>1</v>
      </c>
      <c r="T638" s="286">
        <v>12</v>
      </c>
      <c r="U638" s="286">
        <v>11</v>
      </c>
      <c r="V638" s="286">
        <v>1</v>
      </c>
      <c r="W638" s="286">
        <v>0</v>
      </c>
      <c r="X638" s="286">
        <v>0</v>
      </c>
      <c r="Y638" s="286">
        <v>0</v>
      </c>
    </row>
    <row r="639" spans="1:25">
      <c r="A639" s="212">
        <v>5650</v>
      </c>
      <c r="B639" s="212" t="s">
        <v>1642</v>
      </c>
      <c r="C639" s="212">
        <v>1</v>
      </c>
      <c r="D639" s="212" t="s">
        <v>1643</v>
      </c>
      <c r="E639" s="212" t="s">
        <v>2897</v>
      </c>
      <c r="F639" s="212">
        <v>5</v>
      </c>
      <c r="G639" s="212" t="s">
        <v>1645</v>
      </c>
      <c r="H639" s="212">
        <v>0</v>
      </c>
      <c r="I639" s="212" t="s">
        <v>2898</v>
      </c>
      <c r="J639" s="212">
        <v>213</v>
      </c>
      <c r="K639" s="286">
        <v>4360</v>
      </c>
      <c r="L639" s="286">
        <v>620</v>
      </c>
      <c r="M639" s="286">
        <v>3740</v>
      </c>
      <c r="N639" s="286">
        <v>6</v>
      </c>
      <c r="O639" s="286">
        <v>0</v>
      </c>
      <c r="P639" s="286">
        <v>6</v>
      </c>
      <c r="Q639" s="286">
        <v>90</v>
      </c>
      <c r="R639" s="286">
        <v>43</v>
      </c>
      <c r="S639" s="286">
        <v>47</v>
      </c>
      <c r="T639" s="286">
        <v>15</v>
      </c>
      <c r="U639" s="286">
        <v>7</v>
      </c>
      <c r="V639" s="286">
        <v>8</v>
      </c>
      <c r="W639" s="286">
        <v>75</v>
      </c>
      <c r="X639" s="286">
        <v>36</v>
      </c>
      <c r="Y639" s="286">
        <v>39</v>
      </c>
    </row>
    <row r="640" spans="1:25">
      <c r="A640" s="212">
        <v>5659</v>
      </c>
      <c r="B640" s="212" t="s">
        <v>1642</v>
      </c>
      <c r="C640" s="212">
        <v>1</v>
      </c>
      <c r="D640" s="212" t="s">
        <v>1643</v>
      </c>
      <c r="E640" s="212" t="s">
        <v>2899</v>
      </c>
      <c r="F640" s="212">
        <v>5</v>
      </c>
      <c r="G640" s="212" t="s">
        <v>1645</v>
      </c>
      <c r="H640" s="212">
        <v>0</v>
      </c>
      <c r="I640" s="212" t="s">
        <v>2900</v>
      </c>
      <c r="J640" s="212">
        <v>164</v>
      </c>
      <c r="K640" s="286">
        <v>4786</v>
      </c>
      <c r="L640" s="286">
        <v>313</v>
      </c>
      <c r="M640" s="286">
        <v>4425</v>
      </c>
      <c r="N640" s="286">
        <v>2</v>
      </c>
      <c r="O640" s="286">
        <v>1</v>
      </c>
      <c r="P640" s="286">
        <v>1</v>
      </c>
      <c r="Q640" s="286">
        <v>58</v>
      </c>
      <c r="R640" s="286">
        <v>24</v>
      </c>
      <c r="S640" s="286">
        <v>34</v>
      </c>
      <c r="T640" s="286">
        <v>9</v>
      </c>
      <c r="U640" s="286">
        <v>5</v>
      </c>
      <c r="V640" s="286">
        <v>4</v>
      </c>
      <c r="W640" s="286">
        <v>49</v>
      </c>
      <c r="X640" s="286">
        <v>19</v>
      </c>
      <c r="Y640" s="286">
        <v>30</v>
      </c>
    </row>
    <row r="641" spans="1:25">
      <c r="A641" s="212">
        <v>5668</v>
      </c>
      <c r="B641" s="212" t="s">
        <v>1642</v>
      </c>
      <c r="C641" s="212">
        <v>1</v>
      </c>
      <c r="D641" s="212" t="s">
        <v>1643</v>
      </c>
      <c r="E641" s="212" t="s">
        <v>2901</v>
      </c>
      <c r="F641" s="212">
        <v>5</v>
      </c>
      <c r="G641" s="212" t="s">
        <v>1645</v>
      </c>
      <c r="H641" s="212">
        <v>0</v>
      </c>
      <c r="I641" s="212" t="s">
        <v>2902</v>
      </c>
      <c r="J641" s="212">
        <v>11</v>
      </c>
      <c r="K641" s="286">
        <v>471</v>
      </c>
      <c r="L641" s="286">
        <v>184</v>
      </c>
      <c r="M641" s="286">
        <v>287</v>
      </c>
      <c r="N641" s="286">
        <v>0</v>
      </c>
      <c r="O641" s="286">
        <v>0</v>
      </c>
      <c r="P641" s="286">
        <v>0</v>
      </c>
      <c r="Q641" s="286">
        <v>10</v>
      </c>
      <c r="R641" s="286">
        <v>2</v>
      </c>
      <c r="S641" s="286">
        <v>8</v>
      </c>
      <c r="T641" s="286">
        <v>4</v>
      </c>
      <c r="U641" s="286">
        <v>2</v>
      </c>
      <c r="V641" s="286">
        <v>2</v>
      </c>
      <c r="W641" s="286">
        <v>6</v>
      </c>
      <c r="X641" s="286">
        <v>0</v>
      </c>
      <c r="Y641" s="286">
        <v>6</v>
      </c>
    </row>
    <row r="642" spans="1:25">
      <c r="A642" s="212">
        <v>5677</v>
      </c>
      <c r="B642" s="212" t="s">
        <v>1642</v>
      </c>
      <c r="C642" s="212">
        <v>1</v>
      </c>
      <c r="D642" s="212" t="s">
        <v>1643</v>
      </c>
      <c r="E642" s="212" t="s">
        <v>2903</v>
      </c>
      <c r="F642" s="212">
        <v>5</v>
      </c>
      <c r="G642" s="212" t="s">
        <v>1645</v>
      </c>
      <c r="H642" s="212">
        <v>0</v>
      </c>
      <c r="I642" s="212" t="s">
        <v>2904</v>
      </c>
      <c r="J642" s="212">
        <v>32</v>
      </c>
      <c r="K642" s="286">
        <v>1111</v>
      </c>
      <c r="L642" s="286">
        <v>643</v>
      </c>
      <c r="M642" s="286">
        <v>468</v>
      </c>
      <c r="N642" s="286">
        <v>0</v>
      </c>
      <c r="O642" s="286">
        <v>0</v>
      </c>
      <c r="P642" s="286">
        <v>0</v>
      </c>
      <c r="Q642" s="286">
        <v>10</v>
      </c>
      <c r="R642" s="286">
        <v>2</v>
      </c>
      <c r="S642" s="286">
        <v>8</v>
      </c>
      <c r="T642" s="286">
        <v>1</v>
      </c>
      <c r="U642" s="286">
        <v>1</v>
      </c>
      <c r="V642" s="286">
        <v>0</v>
      </c>
      <c r="W642" s="286">
        <v>9</v>
      </c>
      <c r="X642" s="286">
        <v>1</v>
      </c>
      <c r="Y642" s="286">
        <v>8</v>
      </c>
    </row>
    <row r="643" spans="1:25">
      <c r="A643" s="212">
        <v>5686</v>
      </c>
      <c r="B643" s="212" t="s">
        <v>1642</v>
      </c>
      <c r="C643" s="212">
        <v>1</v>
      </c>
      <c r="D643" s="212" t="s">
        <v>1643</v>
      </c>
      <c r="E643" s="212" t="s">
        <v>2905</v>
      </c>
      <c r="F643" s="212">
        <v>5</v>
      </c>
      <c r="G643" s="212" t="s">
        <v>1645</v>
      </c>
      <c r="H643" s="212">
        <v>0</v>
      </c>
      <c r="I643" s="212" t="s">
        <v>2906</v>
      </c>
      <c r="J643" s="212">
        <v>69</v>
      </c>
      <c r="K643" s="286">
        <v>3924</v>
      </c>
      <c r="L643" s="286">
        <v>2498</v>
      </c>
      <c r="M643" s="286">
        <v>1426</v>
      </c>
      <c r="N643" s="286">
        <v>3</v>
      </c>
      <c r="O643" s="286">
        <v>3</v>
      </c>
      <c r="P643" s="286">
        <v>0</v>
      </c>
      <c r="Q643" s="286">
        <v>36</v>
      </c>
      <c r="R643" s="286">
        <v>10</v>
      </c>
      <c r="S643" s="286">
        <v>26</v>
      </c>
      <c r="T643" s="286">
        <v>6</v>
      </c>
      <c r="U643" s="286">
        <v>3</v>
      </c>
      <c r="V643" s="286">
        <v>3</v>
      </c>
      <c r="W643" s="286">
        <v>30</v>
      </c>
      <c r="X643" s="286">
        <v>7</v>
      </c>
      <c r="Y643" s="286">
        <v>23</v>
      </c>
    </row>
    <row r="644" spans="1:25">
      <c r="A644" s="212">
        <v>5695</v>
      </c>
      <c r="B644" s="212" t="s">
        <v>1642</v>
      </c>
      <c r="C644" s="212">
        <v>1</v>
      </c>
      <c r="D644" s="212" t="s">
        <v>1643</v>
      </c>
      <c r="E644" s="212" t="s">
        <v>2907</v>
      </c>
      <c r="F644" s="212">
        <v>5</v>
      </c>
      <c r="G644" s="212" t="s">
        <v>1645</v>
      </c>
      <c r="H644" s="212">
        <v>0</v>
      </c>
      <c r="I644" s="212" t="s">
        <v>2908</v>
      </c>
      <c r="J644" s="212">
        <v>1</v>
      </c>
      <c r="K644" s="286">
        <v>61</v>
      </c>
      <c r="L644" s="286">
        <v>26</v>
      </c>
      <c r="M644" s="286">
        <v>35</v>
      </c>
      <c r="N644" s="286">
        <v>0</v>
      </c>
      <c r="O644" s="286">
        <v>0</v>
      </c>
      <c r="P644" s="286">
        <v>0</v>
      </c>
      <c r="Q644" s="286">
        <v>0</v>
      </c>
      <c r="R644" s="286">
        <v>0</v>
      </c>
      <c r="S644" s="286">
        <v>0</v>
      </c>
      <c r="T644" s="286">
        <v>0</v>
      </c>
      <c r="U644" s="286">
        <v>0</v>
      </c>
      <c r="V644" s="286">
        <v>0</v>
      </c>
      <c r="W644" s="286">
        <v>0</v>
      </c>
      <c r="X644" s="286">
        <v>0</v>
      </c>
      <c r="Y644" s="286">
        <v>0</v>
      </c>
    </row>
    <row r="645" spans="1:25">
      <c r="A645" s="212">
        <v>5704</v>
      </c>
      <c r="B645" s="212" t="s">
        <v>1642</v>
      </c>
      <c r="C645" s="212">
        <v>1</v>
      </c>
      <c r="D645" s="212" t="s">
        <v>1643</v>
      </c>
      <c r="E645" s="212" t="s">
        <v>2909</v>
      </c>
      <c r="F645" s="212">
        <v>5</v>
      </c>
      <c r="G645" s="212" t="s">
        <v>1645</v>
      </c>
      <c r="H645" s="212">
        <v>0</v>
      </c>
      <c r="I645" s="212" t="s">
        <v>2910</v>
      </c>
      <c r="J645" s="212">
        <v>156</v>
      </c>
      <c r="K645" s="286">
        <v>22763</v>
      </c>
      <c r="L645" s="286">
        <v>12662</v>
      </c>
      <c r="M645" s="286">
        <v>10101</v>
      </c>
      <c r="N645" s="286">
        <v>31</v>
      </c>
      <c r="O645" s="286">
        <v>18</v>
      </c>
      <c r="P645" s="286">
        <v>13</v>
      </c>
      <c r="Q645" s="286">
        <v>543</v>
      </c>
      <c r="R645" s="286">
        <v>105</v>
      </c>
      <c r="S645" s="286">
        <v>438</v>
      </c>
      <c r="T645" s="286">
        <v>63</v>
      </c>
      <c r="U645" s="286">
        <v>53</v>
      </c>
      <c r="V645" s="286">
        <v>10</v>
      </c>
      <c r="W645" s="286">
        <v>480</v>
      </c>
      <c r="X645" s="286">
        <v>52</v>
      </c>
      <c r="Y645" s="286">
        <v>428</v>
      </c>
    </row>
    <row r="646" spans="1:25">
      <c r="A646" s="212">
        <v>5713</v>
      </c>
      <c r="B646" s="212" t="s">
        <v>1642</v>
      </c>
      <c r="C646" s="212">
        <v>1</v>
      </c>
      <c r="D646" s="212" t="s">
        <v>1643</v>
      </c>
      <c r="E646" s="212" t="s">
        <v>2911</v>
      </c>
      <c r="F646" s="212">
        <v>5</v>
      </c>
      <c r="G646" s="212" t="s">
        <v>1645</v>
      </c>
      <c r="H646" s="212">
        <v>0</v>
      </c>
      <c r="I646" s="212" t="s">
        <v>2912</v>
      </c>
      <c r="J646" s="212">
        <v>140</v>
      </c>
      <c r="K646" s="286">
        <v>3303</v>
      </c>
      <c r="L646" s="286">
        <v>1731</v>
      </c>
      <c r="M646" s="286">
        <v>1558</v>
      </c>
      <c r="N646" s="286">
        <v>7</v>
      </c>
      <c r="O646" s="286">
        <v>4</v>
      </c>
      <c r="P646" s="286">
        <v>3</v>
      </c>
      <c r="Q646" s="286">
        <v>77</v>
      </c>
      <c r="R646" s="286">
        <v>29</v>
      </c>
      <c r="S646" s="286">
        <v>48</v>
      </c>
      <c r="T646" s="286">
        <v>36</v>
      </c>
      <c r="U646" s="286">
        <v>21</v>
      </c>
      <c r="V646" s="286">
        <v>15</v>
      </c>
      <c r="W646" s="286">
        <v>41</v>
      </c>
      <c r="X646" s="286">
        <v>8</v>
      </c>
      <c r="Y646" s="286">
        <v>33</v>
      </c>
    </row>
    <row r="647" spans="1:25">
      <c r="A647" s="212">
        <v>5722</v>
      </c>
      <c r="B647" s="212" t="s">
        <v>1642</v>
      </c>
      <c r="C647" s="212">
        <v>1</v>
      </c>
      <c r="D647" s="212" t="s">
        <v>1643</v>
      </c>
      <c r="E647" s="212" t="s">
        <v>2913</v>
      </c>
      <c r="F647" s="212">
        <v>5</v>
      </c>
      <c r="G647" s="212" t="s">
        <v>1645</v>
      </c>
      <c r="H647" s="212">
        <v>0</v>
      </c>
      <c r="I647" s="212" t="s">
        <v>2914</v>
      </c>
      <c r="J647" s="212">
        <v>0</v>
      </c>
      <c r="K647" s="286">
        <v>0</v>
      </c>
      <c r="L647" s="286">
        <v>0</v>
      </c>
      <c r="M647" s="286">
        <v>0</v>
      </c>
      <c r="N647" s="286">
        <v>0</v>
      </c>
      <c r="O647" s="286">
        <v>0</v>
      </c>
      <c r="P647" s="286">
        <v>0</v>
      </c>
      <c r="Q647" s="286">
        <v>0</v>
      </c>
      <c r="R647" s="286">
        <v>0</v>
      </c>
      <c r="S647" s="286">
        <v>0</v>
      </c>
      <c r="T647" s="286">
        <v>0</v>
      </c>
      <c r="U647" s="286">
        <v>0</v>
      </c>
      <c r="V647" s="286">
        <v>0</v>
      </c>
      <c r="W647" s="286">
        <v>0</v>
      </c>
      <c r="X647" s="286">
        <v>0</v>
      </c>
      <c r="Y647" s="286">
        <v>0</v>
      </c>
    </row>
    <row r="648" spans="1:25">
      <c r="A648" s="212">
        <v>5731</v>
      </c>
      <c r="B648" s="212" t="s">
        <v>1642</v>
      </c>
      <c r="C648" s="212">
        <v>1</v>
      </c>
      <c r="D648" s="212" t="s">
        <v>1643</v>
      </c>
      <c r="E648" s="212" t="s">
        <v>2915</v>
      </c>
      <c r="F648" s="212">
        <v>3</v>
      </c>
      <c r="G648" s="212" t="s">
        <v>1645</v>
      </c>
      <c r="H648" s="212">
        <v>0</v>
      </c>
      <c r="I648" s="212" t="s">
        <v>2916</v>
      </c>
      <c r="J648" s="212">
        <v>7396</v>
      </c>
      <c r="K648" s="286">
        <v>40624</v>
      </c>
      <c r="L648" s="286">
        <v>17923</v>
      </c>
      <c r="M648" s="286">
        <v>22356</v>
      </c>
      <c r="N648" s="286">
        <v>128</v>
      </c>
      <c r="O648" s="286">
        <v>74</v>
      </c>
      <c r="P648" s="286">
        <v>54</v>
      </c>
      <c r="Q648" s="286">
        <v>765</v>
      </c>
      <c r="R648" s="286">
        <v>410</v>
      </c>
      <c r="S648" s="286">
        <v>355</v>
      </c>
      <c r="T648" s="286">
        <v>352</v>
      </c>
      <c r="U648" s="286">
        <v>218</v>
      </c>
      <c r="V648" s="286">
        <v>134</v>
      </c>
      <c r="W648" s="286">
        <v>406</v>
      </c>
      <c r="X648" s="286">
        <v>191</v>
      </c>
      <c r="Y648" s="286">
        <v>215</v>
      </c>
    </row>
    <row r="649" spans="1:25">
      <c r="A649" s="212">
        <v>5740</v>
      </c>
      <c r="B649" s="212" t="s">
        <v>1642</v>
      </c>
      <c r="C649" s="212">
        <v>1</v>
      </c>
      <c r="D649" s="212" t="s">
        <v>1643</v>
      </c>
      <c r="E649" s="212" t="s">
        <v>2917</v>
      </c>
      <c r="F649" s="212">
        <v>4</v>
      </c>
      <c r="G649" s="212" t="s">
        <v>1645</v>
      </c>
      <c r="H649" s="212">
        <v>0</v>
      </c>
      <c r="I649" s="212" t="s">
        <v>2918</v>
      </c>
      <c r="J649" s="212">
        <v>7396</v>
      </c>
      <c r="K649" s="286">
        <v>40624</v>
      </c>
      <c r="L649" s="286">
        <v>17923</v>
      </c>
      <c r="M649" s="286">
        <v>22356</v>
      </c>
      <c r="N649" s="286">
        <v>128</v>
      </c>
      <c r="O649" s="286">
        <v>74</v>
      </c>
      <c r="P649" s="286">
        <v>54</v>
      </c>
      <c r="Q649" s="286">
        <v>765</v>
      </c>
      <c r="R649" s="286">
        <v>410</v>
      </c>
      <c r="S649" s="286">
        <v>355</v>
      </c>
      <c r="T649" s="286">
        <v>352</v>
      </c>
      <c r="U649" s="286">
        <v>218</v>
      </c>
      <c r="V649" s="286">
        <v>134</v>
      </c>
      <c r="W649" s="286">
        <v>406</v>
      </c>
      <c r="X649" s="286">
        <v>191</v>
      </c>
      <c r="Y649" s="286">
        <v>215</v>
      </c>
    </row>
    <row r="650" spans="1:25">
      <c r="A650" s="212">
        <v>5749</v>
      </c>
      <c r="B650" s="212" t="s">
        <v>1642</v>
      </c>
      <c r="C650" s="212">
        <v>1</v>
      </c>
      <c r="D650" s="212" t="s">
        <v>1643</v>
      </c>
      <c r="E650" s="212" t="s">
        <v>2919</v>
      </c>
      <c r="F650" s="212">
        <v>5</v>
      </c>
      <c r="G650" s="212" t="s">
        <v>1645</v>
      </c>
      <c r="H650" s="212">
        <v>0</v>
      </c>
      <c r="I650" s="212" t="s">
        <v>2920</v>
      </c>
      <c r="J650" s="212">
        <v>8</v>
      </c>
      <c r="K650" s="286">
        <v>52</v>
      </c>
      <c r="L650" s="286">
        <v>21</v>
      </c>
      <c r="M650" s="286">
        <v>31</v>
      </c>
      <c r="N650" s="286">
        <v>0</v>
      </c>
      <c r="O650" s="286">
        <v>0</v>
      </c>
      <c r="P650" s="286">
        <v>0</v>
      </c>
      <c r="Q650" s="286">
        <v>2</v>
      </c>
      <c r="R650" s="286">
        <v>1</v>
      </c>
      <c r="S650" s="286">
        <v>1</v>
      </c>
      <c r="T650" s="286">
        <v>0</v>
      </c>
      <c r="U650" s="286">
        <v>0</v>
      </c>
      <c r="V650" s="286">
        <v>0</v>
      </c>
      <c r="W650" s="286">
        <v>2</v>
      </c>
      <c r="X650" s="286">
        <v>1</v>
      </c>
      <c r="Y650" s="286">
        <v>1</v>
      </c>
    </row>
    <row r="651" spans="1:25">
      <c r="A651" s="212">
        <v>5758</v>
      </c>
      <c r="B651" s="212" t="s">
        <v>1642</v>
      </c>
      <c r="C651" s="212">
        <v>1</v>
      </c>
      <c r="D651" s="212" t="s">
        <v>1643</v>
      </c>
      <c r="E651" s="212" t="s">
        <v>2921</v>
      </c>
      <c r="F651" s="212">
        <v>5</v>
      </c>
      <c r="G651" s="212" t="s">
        <v>1645</v>
      </c>
      <c r="H651" s="212">
        <v>0</v>
      </c>
      <c r="I651" s="212" t="s">
        <v>2922</v>
      </c>
      <c r="J651" s="212">
        <v>167</v>
      </c>
      <c r="K651" s="286">
        <v>1901</v>
      </c>
      <c r="L651" s="286">
        <v>847</v>
      </c>
      <c r="M651" s="286">
        <v>1018</v>
      </c>
      <c r="N651" s="286">
        <v>0</v>
      </c>
      <c r="O651" s="286">
        <v>0</v>
      </c>
      <c r="P651" s="286">
        <v>0</v>
      </c>
      <c r="Q651" s="286">
        <v>140</v>
      </c>
      <c r="R651" s="286">
        <v>81</v>
      </c>
      <c r="S651" s="286">
        <v>59</v>
      </c>
      <c r="T651" s="286">
        <v>49</v>
      </c>
      <c r="U651" s="286">
        <v>29</v>
      </c>
      <c r="V651" s="286">
        <v>20</v>
      </c>
      <c r="W651" s="286">
        <v>91</v>
      </c>
      <c r="X651" s="286">
        <v>52</v>
      </c>
      <c r="Y651" s="286">
        <v>39</v>
      </c>
    </row>
    <row r="652" spans="1:25">
      <c r="A652" s="212">
        <v>5767</v>
      </c>
      <c r="B652" s="212" t="s">
        <v>1642</v>
      </c>
      <c r="C652" s="212">
        <v>1</v>
      </c>
      <c r="D652" s="212" t="s">
        <v>1643</v>
      </c>
      <c r="E652" s="212" t="s">
        <v>2923</v>
      </c>
      <c r="F652" s="212">
        <v>6</v>
      </c>
      <c r="G652" s="212" t="s">
        <v>1645</v>
      </c>
      <c r="H652" s="212">
        <v>0</v>
      </c>
      <c r="I652" s="212" t="s">
        <v>2924</v>
      </c>
      <c r="J652" s="212">
        <v>9</v>
      </c>
      <c r="K652" s="286">
        <v>49</v>
      </c>
      <c r="L652" s="286">
        <v>6</v>
      </c>
      <c r="M652" s="286">
        <v>10</v>
      </c>
      <c r="N652" s="286">
        <v>0</v>
      </c>
      <c r="O652" s="286">
        <v>0</v>
      </c>
      <c r="P652" s="286">
        <v>0</v>
      </c>
      <c r="Q652" s="286">
        <v>0</v>
      </c>
      <c r="R652" s="286">
        <v>0</v>
      </c>
      <c r="S652" s="286">
        <v>0</v>
      </c>
      <c r="T652" s="286">
        <v>0</v>
      </c>
      <c r="U652" s="286">
        <v>0</v>
      </c>
      <c r="V652" s="286">
        <v>0</v>
      </c>
      <c r="W652" s="286">
        <v>0</v>
      </c>
      <c r="X652" s="286">
        <v>0</v>
      </c>
      <c r="Y652" s="286">
        <v>0</v>
      </c>
    </row>
    <row r="653" spans="1:25">
      <c r="A653" s="212">
        <v>5776</v>
      </c>
      <c r="B653" s="212" t="s">
        <v>1642</v>
      </c>
      <c r="C653" s="212">
        <v>1</v>
      </c>
      <c r="D653" s="212" t="s">
        <v>1643</v>
      </c>
      <c r="E653" s="212" t="s">
        <v>2925</v>
      </c>
      <c r="F653" s="212">
        <v>6</v>
      </c>
      <c r="G653" s="212" t="s">
        <v>1645</v>
      </c>
      <c r="H653" s="212">
        <v>0</v>
      </c>
      <c r="I653" s="212" t="s">
        <v>2926</v>
      </c>
      <c r="J653" s="212">
        <v>13</v>
      </c>
      <c r="K653" s="286">
        <v>109</v>
      </c>
      <c r="L653" s="286">
        <v>19</v>
      </c>
      <c r="M653" s="286">
        <v>90</v>
      </c>
      <c r="N653" s="286">
        <v>0</v>
      </c>
      <c r="O653" s="286">
        <v>0</v>
      </c>
      <c r="P653" s="286">
        <v>0</v>
      </c>
      <c r="Q653" s="286">
        <v>0</v>
      </c>
      <c r="R653" s="286">
        <v>0</v>
      </c>
      <c r="S653" s="286">
        <v>0</v>
      </c>
      <c r="T653" s="286">
        <v>0</v>
      </c>
      <c r="U653" s="286">
        <v>0</v>
      </c>
      <c r="V653" s="286">
        <v>0</v>
      </c>
      <c r="W653" s="286">
        <v>0</v>
      </c>
      <c r="X653" s="286">
        <v>0</v>
      </c>
      <c r="Y653" s="286">
        <v>0</v>
      </c>
    </row>
    <row r="654" spans="1:25">
      <c r="A654" s="212">
        <v>5785</v>
      </c>
      <c r="B654" s="212" t="s">
        <v>1642</v>
      </c>
      <c r="C654" s="212">
        <v>1</v>
      </c>
      <c r="D654" s="212" t="s">
        <v>1643</v>
      </c>
      <c r="E654" s="212" t="s">
        <v>2927</v>
      </c>
      <c r="F654" s="212">
        <v>6</v>
      </c>
      <c r="G654" s="212" t="s">
        <v>1645</v>
      </c>
      <c r="H654" s="212">
        <v>0</v>
      </c>
      <c r="I654" s="212" t="s">
        <v>2928</v>
      </c>
      <c r="J654" s="212">
        <v>96</v>
      </c>
      <c r="K654" s="286">
        <v>782</v>
      </c>
      <c r="L654" s="286">
        <v>309</v>
      </c>
      <c r="M654" s="286">
        <v>473</v>
      </c>
      <c r="N654" s="286">
        <v>0</v>
      </c>
      <c r="O654" s="286">
        <v>0</v>
      </c>
      <c r="P654" s="286">
        <v>0</v>
      </c>
      <c r="Q654" s="286">
        <v>86</v>
      </c>
      <c r="R654" s="286">
        <v>42</v>
      </c>
      <c r="S654" s="286">
        <v>44</v>
      </c>
      <c r="T654" s="286">
        <v>44</v>
      </c>
      <c r="U654" s="286">
        <v>25</v>
      </c>
      <c r="V654" s="286">
        <v>19</v>
      </c>
      <c r="W654" s="286">
        <v>42</v>
      </c>
      <c r="X654" s="286">
        <v>17</v>
      </c>
      <c r="Y654" s="286">
        <v>25</v>
      </c>
    </row>
    <row r="655" spans="1:25">
      <c r="A655" s="212">
        <v>5794</v>
      </c>
      <c r="B655" s="212" t="s">
        <v>1642</v>
      </c>
      <c r="C655" s="212">
        <v>1</v>
      </c>
      <c r="D655" s="212" t="s">
        <v>1643</v>
      </c>
      <c r="E655" s="212" t="s">
        <v>2929</v>
      </c>
      <c r="F655" s="212">
        <v>6</v>
      </c>
      <c r="G655" s="212" t="s">
        <v>1645</v>
      </c>
      <c r="H655" s="212">
        <v>0</v>
      </c>
      <c r="I655" s="212" t="s">
        <v>2930</v>
      </c>
      <c r="J655" s="212">
        <v>21</v>
      </c>
      <c r="K655" s="286">
        <v>709</v>
      </c>
      <c r="L655" s="286">
        <v>389</v>
      </c>
      <c r="M655" s="286">
        <v>320</v>
      </c>
      <c r="N655" s="286">
        <v>0</v>
      </c>
      <c r="O655" s="286">
        <v>0</v>
      </c>
      <c r="P655" s="286">
        <v>0</v>
      </c>
      <c r="Q655" s="286">
        <v>37</v>
      </c>
      <c r="R655" s="286">
        <v>27</v>
      </c>
      <c r="S655" s="286">
        <v>10</v>
      </c>
      <c r="T655" s="286">
        <v>0</v>
      </c>
      <c r="U655" s="286">
        <v>0</v>
      </c>
      <c r="V655" s="286">
        <v>0</v>
      </c>
      <c r="W655" s="286">
        <v>37</v>
      </c>
      <c r="X655" s="286">
        <v>27</v>
      </c>
      <c r="Y655" s="286">
        <v>10</v>
      </c>
    </row>
    <row r="656" spans="1:25">
      <c r="A656" s="212">
        <v>5803</v>
      </c>
      <c r="B656" s="212" t="s">
        <v>1642</v>
      </c>
      <c r="C656" s="212">
        <v>1</v>
      </c>
      <c r="D656" s="212" t="s">
        <v>1643</v>
      </c>
      <c r="E656" s="212" t="s">
        <v>2931</v>
      </c>
      <c r="F656" s="212">
        <v>6</v>
      </c>
      <c r="G656" s="212" t="s">
        <v>1645</v>
      </c>
      <c r="H656" s="212">
        <v>0</v>
      </c>
      <c r="I656" s="212" t="s">
        <v>2932</v>
      </c>
      <c r="J656" s="212">
        <v>28</v>
      </c>
      <c r="K656" s="286">
        <v>252</v>
      </c>
      <c r="L656" s="286">
        <v>124</v>
      </c>
      <c r="M656" s="286">
        <v>125</v>
      </c>
      <c r="N656" s="286">
        <v>0</v>
      </c>
      <c r="O656" s="286">
        <v>0</v>
      </c>
      <c r="P656" s="286">
        <v>0</v>
      </c>
      <c r="Q656" s="286">
        <v>17</v>
      </c>
      <c r="R656" s="286">
        <v>12</v>
      </c>
      <c r="S656" s="286">
        <v>5</v>
      </c>
      <c r="T656" s="286">
        <v>5</v>
      </c>
      <c r="U656" s="286">
        <v>4</v>
      </c>
      <c r="V656" s="286">
        <v>1</v>
      </c>
      <c r="W656" s="286">
        <v>12</v>
      </c>
      <c r="X656" s="286">
        <v>8</v>
      </c>
      <c r="Y656" s="286">
        <v>4</v>
      </c>
    </row>
    <row r="657" spans="1:25">
      <c r="A657" s="212">
        <v>5812</v>
      </c>
      <c r="B657" s="212" t="s">
        <v>1642</v>
      </c>
      <c r="C657" s="212">
        <v>1</v>
      </c>
      <c r="D657" s="212" t="s">
        <v>1643</v>
      </c>
      <c r="E657" s="212" t="s">
        <v>2933</v>
      </c>
      <c r="F657" s="212">
        <v>5</v>
      </c>
      <c r="G657" s="212" t="s">
        <v>1645</v>
      </c>
      <c r="H657" s="212">
        <v>0</v>
      </c>
      <c r="I657" s="212" t="s">
        <v>2934</v>
      </c>
      <c r="J657" s="212">
        <v>96</v>
      </c>
      <c r="K657" s="286">
        <v>1290</v>
      </c>
      <c r="L657" s="286">
        <v>830</v>
      </c>
      <c r="M657" s="286">
        <v>460</v>
      </c>
      <c r="N657" s="286">
        <v>7</v>
      </c>
      <c r="O657" s="286">
        <v>5</v>
      </c>
      <c r="P657" s="286">
        <v>2</v>
      </c>
      <c r="Q657" s="286">
        <v>72</v>
      </c>
      <c r="R657" s="286">
        <v>36</v>
      </c>
      <c r="S657" s="286">
        <v>36</v>
      </c>
      <c r="T657" s="286">
        <v>35</v>
      </c>
      <c r="U657" s="286">
        <v>24</v>
      </c>
      <c r="V657" s="286">
        <v>11</v>
      </c>
      <c r="W657" s="286">
        <v>37</v>
      </c>
      <c r="X657" s="286">
        <v>12</v>
      </c>
      <c r="Y657" s="286">
        <v>25</v>
      </c>
    </row>
    <row r="658" spans="1:25">
      <c r="A658" s="212">
        <v>5821</v>
      </c>
      <c r="B658" s="212" t="s">
        <v>1642</v>
      </c>
      <c r="C658" s="212">
        <v>1</v>
      </c>
      <c r="D658" s="212" t="s">
        <v>1643</v>
      </c>
      <c r="E658" s="212" t="s">
        <v>2935</v>
      </c>
      <c r="F658" s="212">
        <v>5</v>
      </c>
      <c r="G658" s="212" t="s">
        <v>1645</v>
      </c>
      <c r="H658" s="212">
        <v>0</v>
      </c>
      <c r="I658" s="212" t="s">
        <v>2936</v>
      </c>
      <c r="J658" s="212">
        <v>2976</v>
      </c>
      <c r="K658" s="286">
        <v>20945</v>
      </c>
      <c r="L658" s="286">
        <v>10090</v>
      </c>
      <c r="M658" s="286">
        <v>10606</v>
      </c>
      <c r="N658" s="286">
        <v>44</v>
      </c>
      <c r="O658" s="286">
        <v>26</v>
      </c>
      <c r="P658" s="286">
        <v>18</v>
      </c>
      <c r="Q658" s="286">
        <v>58</v>
      </c>
      <c r="R658" s="286">
        <v>38</v>
      </c>
      <c r="S658" s="286">
        <v>20</v>
      </c>
      <c r="T658" s="286">
        <v>20</v>
      </c>
      <c r="U658" s="286">
        <v>15</v>
      </c>
      <c r="V658" s="286">
        <v>5</v>
      </c>
      <c r="W658" s="286">
        <v>38</v>
      </c>
      <c r="X658" s="286">
        <v>23</v>
      </c>
      <c r="Y658" s="286">
        <v>15</v>
      </c>
    </row>
    <row r="659" spans="1:25">
      <c r="A659" s="212">
        <v>5830</v>
      </c>
      <c r="B659" s="212" t="s">
        <v>1642</v>
      </c>
      <c r="C659" s="212">
        <v>1</v>
      </c>
      <c r="D659" s="212" t="s">
        <v>1643</v>
      </c>
      <c r="E659" s="212" t="s">
        <v>2937</v>
      </c>
      <c r="F659" s="212">
        <v>5</v>
      </c>
      <c r="G659" s="212" t="s">
        <v>1645</v>
      </c>
      <c r="H659" s="212">
        <v>0</v>
      </c>
      <c r="I659" s="212" t="s">
        <v>2938</v>
      </c>
      <c r="J659" s="212">
        <v>3897</v>
      </c>
      <c r="K659" s="286">
        <v>12574</v>
      </c>
      <c r="L659" s="286">
        <v>3864</v>
      </c>
      <c r="M659" s="286">
        <v>8671</v>
      </c>
      <c r="N659" s="286">
        <v>55</v>
      </c>
      <c r="O659" s="286">
        <v>24</v>
      </c>
      <c r="P659" s="286">
        <v>31</v>
      </c>
      <c r="Q659" s="286">
        <v>399</v>
      </c>
      <c r="R659" s="286">
        <v>198</v>
      </c>
      <c r="S659" s="286">
        <v>201</v>
      </c>
      <c r="T659" s="286">
        <v>214</v>
      </c>
      <c r="U659" s="286">
        <v>128</v>
      </c>
      <c r="V659" s="286">
        <v>86</v>
      </c>
      <c r="W659" s="286">
        <v>180</v>
      </c>
      <c r="X659" s="286">
        <v>70</v>
      </c>
      <c r="Y659" s="286">
        <v>110</v>
      </c>
    </row>
    <row r="660" spans="1:25">
      <c r="A660" s="212">
        <v>5839</v>
      </c>
      <c r="B660" s="212" t="s">
        <v>1642</v>
      </c>
      <c r="C660" s="212">
        <v>1</v>
      </c>
      <c r="D660" s="212" t="s">
        <v>1643</v>
      </c>
      <c r="E660" s="212" t="s">
        <v>2939</v>
      </c>
      <c r="F660" s="212">
        <v>6</v>
      </c>
      <c r="G660" s="212" t="s">
        <v>1645</v>
      </c>
      <c r="H660" s="212">
        <v>0</v>
      </c>
      <c r="I660" s="212" t="s">
        <v>2940</v>
      </c>
      <c r="J660" s="212">
        <v>870</v>
      </c>
      <c r="K660" s="286">
        <v>1769</v>
      </c>
      <c r="L660" s="286">
        <v>297</v>
      </c>
      <c r="M660" s="286">
        <v>1472</v>
      </c>
      <c r="N660" s="286">
        <v>1</v>
      </c>
      <c r="O660" s="286">
        <v>0</v>
      </c>
      <c r="P660" s="286">
        <v>1</v>
      </c>
      <c r="Q660" s="286">
        <v>95</v>
      </c>
      <c r="R660" s="286">
        <v>16</v>
      </c>
      <c r="S660" s="286">
        <v>79</v>
      </c>
      <c r="T660" s="286">
        <v>20</v>
      </c>
      <c r="U660" s="286">
        <v>1</v>
      </c>
      <c r="V660" s="286">
        <v>19</v>
      </c>
      <c r="W660" s="286">
        <v>70</v>
      </c>
      <c r="X660" s="286">
        <v>15</v>
      </c>
      <c r="Y660" s="286">
        <v>55</v>
      </c>
    </row>
    <row r="661" spans="1:25">
      <c r="A661" s="212">
        <v>5848</v>
      </c>
      <c r="B661" s="212" t="s">
        <v>1642</v>
      </c>
      <c r="C661" s="212">
        <v>1</v>
      </c>
      <c r="D661" s="212" t="s">
        <v>1643</v>
      </c>
      <c r="E661" s="212" t="s">
        <v>2941</v>
      </c>
      <c r="F661" s="212">
        <v>6</v>
      </c>
      <c r="G661" s="212" t="s">
        <v>1645</v>
      </c>
      <c r="H661" s="212">
        <v>0</v>
      </c>
      <c r="I661" s="212" t="s">
        <v>2942</v>
      </c>
      <c r="J661" s="212">
        <v>471</v>
      </c>
      <c r="K661" s="286">
        <v>687</v>
      </c>
      <c r="L661" s="286">
        <v>150</v>
      </c>
      <c r="M661" s="286">
        <v>537</v>
      </c>
      <c r="N661" s="286">
        <v>1</v>
      </c>
      <c r="O661" s="286">
        <v>0</v>
      </c>
      <c r="P661" s="286">
        <v>1</v>
      </c>
      <c r="Q661" s="286">
        <v>2</v>
      </c>
      <c r="R661" s="286">
        <v>0</v>
      </c>
      <c r="S661" s="286">
        <v>2</v>
      </c>
      <c r="T661" s="286">
        <v>1</v>
      </c>
      <c r="U661" s="286">
        <v>0</v>
      </c>
      <c r="V661" s="286">
        <v>1</v>
      </c>
      <c r="W661" s="286">
        <v>1</v>
      </c>
      <c r="X661" s="286">
        <v>0</v>
      </c>
      <c r="Y661" s="286">
        <v>1</v>
      </c>
    </row>
    <row r="662" spans="1:25">
      <c r="A662" s="212">
        <v>5857</v>
      </c>
      <c r="B662" s="212" t="s">
        <v>1642</v>
      </c>
      <c r="C662" s="212">
        <v>1</v>
      </c>
      <c r="D662" s="212" t="s">
        <v>1643</v>
      </c>
      <c r="E662" s="212" t="s">
        <v>2943</v>
      </c>
      <c r="F662" s="212">
        <v>6</v>
      </c>
      <c r="G662" s="212" t="s">
        <v>1645</v>
      </c>
      <c r="H662" s="212">
        <v>0</v>
      </c>
      <c r="I662" s="212" t="s">
        <v>2944</v>
      </c>
      <c r="J662" s="212">
        <v>141</v>
      </c>
      <c r="K662" s="286">
        <v>189</v>
      </c>
      <c r="L662" s="286">
        <v>40</v>
      </c>
      <c r="M662" s="286">
        <v>149</v>
      </c>
      <c r="N662" s="286">
        <v>1</v>
      </c>
      <c r="O662" s="286">
        <v>0</v>
      </c>
      <c r="P662" s="286">
        <v>1</v>
      </c>
      <c r="Q662" s="286">
        <v>7</v>
      </c>
      <c r="R662" s="286">
        <v>0</v>
      </c>
      <c r="S662" s="286">
        <v>7</v>
      </c>
      <c r="T662" s="286">
        <v>2</v>
      </c>
      <c r="U662" s="286">
        <v>0</v>
      </c>
      <c r="V662" s="286">
        <v>2</v>
      </c>
      <c r="W662" s="286">
        <v>5</v>
      </c>
      <c r="X662" s="286">
        <v>0</v>
      </c>
      <c r="Y662" s="286">
        <v>5</v>
      </c>
    </row>
    <row r="663" spans="1:25">
      <c r="A663" s="212">
        <v>5866</v>
      </c>
      <c r="B663" s="212" t="s">
        <v>1642</v>
      </c>
      <c r="C663" s="212">
        <v>1</v>
      </c>
      <c r="D663" s="212" t="s">
        <v>1643</v>
      </c>
      <c r="E663" s="212" t="s">
        <v>2945</v>
      </c>
      <c r="F663" s="212">
        <v>6</v>
      </c>
      <c r="G663" s="212" t="s">
        <v>1645</v>
      </c>
      <c r="H663" s="212">
        <v>0</v>
      </c>
      <c r="I663" s="212" t="s">
        <v>2946</v>
      </c>
      <c r="J663" s="212">
        <v>287</v>
      </c>
      <c r="K663" s="286">
        <v>553</v>
      </c>
      <c r="L663" s="286">
        <v>175</v>
      </c>
      <c r="M663" s="286">
        <v>378</v>
      </c>
      <c r="N663" s="286">
        <v>1</v>
      </c>
      <c r="O663" s="286">
        <v>1</v>
      </c>
      <c r="P663" s="286">
        <v>0</v>
      </c>
      <c r="Q663" s="286">
        <v>0</v>
      </c>
      <c r="R663" s="286">
        <v>0</v>
      </c>
      <c r="S663" s="286">
        <v>0</v>
      </c>
      <c r="T663" s="286">
        <v>0</v>
      </c>
      <c r="U663" s="286">
        <v>0</v>
      </c>
      <c r="V663" s="286">
        <v>0</v>
      </c>
      <c r="W663" s="286">
        <v>0</v>
      </c>
      <c r="X663" s="286">
        <v>0</v>
      </c>
      <c r="Y663" s="286">
        <v>0</v>
      </c>
    </row>
    <row r="664" spans="1:25">
      <c r="A664" s="212">
        <v>5875</v>
      </c>
      <c r="B664" s="212" t="s">
        <v>1642</v>
      </c>
      <c r="C664" s="212">
        <v>1</v>
      </c>
      <c r="D664" s="212" t="s">
        <v>1643</v>
      </c>
      <c r="E664" s="212" t="s">
        <v>2947</v>
      </c>
      <c r="F664" s="212">
        <v>6</v>
      </c>
      <c r="G664" s="212" t="s">
        <v>1645</v>
      </c>
      <c r="H664" s="212">
        <v>0</v>
      </c>
      <c r="I664" s="212" t="s">
        <v>2948</v>
      </c>
      <c r="J664" s="212">
        <v>570</v>
      </c>
      <c r="K664" s="286">
        <v>1703</v>
      </c>
      <c r="L664" s="286">
        <v>584</v>
      </c>
      <c r="M664" s="286">
        <v>1114</v>
      </c>
      <c r="N664" s="286">
        <v>4</v>
      </c>
      <c r="O664" s="286">
        <v>1</v>
      </c>
      <c r="P664" s="286">
        <v>3</v>
      </c>
      <c r="Q664" s="286">
        <v>81</v>
      </c>
      <c r="R664" s="286">
        <v>67</v>
      </c>
      <c r="S664" s="286">
        <v>14</v>
      </c>
      <c r="T664" s="286">
        <v>81</v>
      </c>
      <c r="U664" s="286">
        <v>67</v>
      </c>
      <c r="V664" s="286">
        <v>14</v>
      </c>
      <c r="W664" s="286">
        <v>0</v>
      </c>
      <c r="X664" s="286">
        <v>0</v>
      </c>
      <c r="Y664" s="286">
        <v>0</v>
      </c>
    </row>
    <row r="665" spans="1:25">
      <c r="A665" s="212">
        <v>5884</v>
      </c>
      <c r="B665" s="212" t="s">
        <v>1642</v>
      </c>
      <c r="C665" s="212">
        <v>1</v>
      </c>
      <c r="D665" s="212" t="s">
        <v>1643</v>
      </c>
      <c r="E665" s="212" t="s">
        <v>2949</v>
      </c>
      <c r="F665" s="212">
        <v>6</v>
      </c>
      <c r="G665" s="212" t="s">
        <v>1645</v>
      </c>
      <c r="H665" s="212">
        <v>0</v>
      </c>
      <c r="I665" s="280" t="s">
        <v>2950</v>
      </c>
      <c r="J665" s="280">
        <v>493</v>
      </c>
      <c r="K665" s="294">
        <v>4092</v>
      </c>
      <c r="L665" s="294">
        <v>1794</v>
      </c>
      <c r="M665" s="294">
        <v>2270</v>
      </c>
      <c r="N665" s="286">
        <v>15</v>
      </c>
      <c r="O665" s="286">
        <v>13</v>
      </c>
      <c r="P665" s="286">
        <v>2</v>
      </c>
      <c r="Q665" s="286">
        <v>133</v>
      </c>
      <c r="R665" s="286">
        <v>61</v>
      </c>
      <c r="S665" s="286">
        <v>72</v>
      </c>
      <c r="T665" s="286">
        <v>71</v>
      </c>
      <c r="U665" s="286">
        <v>38</v>
      </c>
      <c r="V665" s="286">
        <v>33</v>
      </c>
      <c r="W665" s="286">
        <v>62</v>
      </c>
      <c r="X665" s="286">
        <v>23</v>
      </c>
      <c r="Y665" s="286">
        <v>39</v>
      </c>
    </row>
    <row r="666" spans="1:25">
      <c r="A666" s="212">
        <v>5893</v>
      </c>
      <c r="B666" s="212" t="s">
        <v>1642</v>
      </c>
      <c r="C666" s="212">
        <v>1</v>
      </c>
      <c r="D666" s="212" t="s">
        <v>1643</v>
      </c>
      <c r="E666" s="212" t="s">
        <v>2951</v>
      </c>
      <c r="F666" s="212">
        <v>6</v>
      </c>
      <c r="G666" s="212" t="s">
        <v>1645</v>
      </c>
      <c r="H666" s="212">
        <v>0</v>
      </c>
      <c r="I666" s="212" t="s">
        <v>2952</v>
      </c>
      <c r="J666" s="212">
        <v>1065</v>
      </c>
      <c r="K666" s="286">
        <v>3581</v>
      </c>
      <c r="L666" s="286">
        <v>824</v>
      </c>
      <c r="M666" s="286">
        <v>2751</v>
      </c>
      <c r="N666" s="286">
        <v>32</v>
      </c>
      <c r="O666" s="286">
        <v>9</v>
      </c>
      <c r="P666" s="286">
        <v>23</v>
      </c>
      <c r="Q666" s="286">
        <v>81</v>
      </c>
      <c r="R666" s="286">
        <v>54</v>
      </c>
      <c r="S666" s="286">
        <v>27</v>
      </c>
      <c r="T666" s="286">
        <v>39</v>
      </c>
      <c r="U666" s="286">
        <v>22</v>
      </c>
      <c r="V666" s="286">
        <v>17</v>
      </c>
      <c r="W666" s="286">
        <v>42</v>
      </c>
      <c r="X666" s="286">
        <v>32</v>
      </c>
      <c r="Y666" s="286">
        <v>10</v>
      </c>
    </row>
    <row r="667" spans="1:25">
      <c r="A667" s="212">
        <v>5902</v>
      </c>
      <c r="B667" s="212" t="s">
        <v>1642</v>
      </c>
      <c r="C667" s="212">
        <v>1</v>
      </c>
      <c r="D667" s="212" t="s">
        <v>1643</v>
      </c>
      <c r="E667" s="212" t="s">
        <v>2953</v>
      </c>
      <c r="F667" s="212">
        <v>5</v>
      </c>
      <c r="G667" s="212" t="s">
        <v>1645</v>
      </c>
      <c r="H667" s="212">
        <v>0</v>
      </c>
      <c r="I667" s="212" t="s">
        <v>2954</v>
      </c>
      <c r="J667" s="212">
        <v>249</v>
      </c>
      <c r="K667" s="286">
        <v>3848</v>
      </c>
      <c r="L667" s="286">
        <v>2266</v>
      </c>
      <c r="M667" s="286">
        <v>1561</v>
      </c>
      <c r="N667" s="286">
        <v>22</v>
      </c>
      <c r="O667" s="286">
        <v>19</v>
      </c>
      <c r="P667" s="286">
        <v>3</v>
      </c>
      <c r="Q667" s="286">
        <v>94</v>
      </c>
      <c r="R667" s="286">
        <v>56</v>
      </c>
      <c r="S667" s="286">
        <v>38</v>
      </c>
      <c r="T667" s="286">
        <v>34</v>
      </c>
      <c r="U667" s="286">
        <v>22</v>
      </c>
      <c r="V667" s="286">
        <v>12</v>
      </c>
      <c r="W667" s="286">
        <v>58</v>
      </c>
      <c r="X667" s="286">
        <v>33</v>
      </c>
      <c r="Y667" s="286">
        <v>25</v>
      </c>
    </row>
    <row r="668" spans="1:25">
      <c r="A668" s="212">
        <v>5911</v>
      </c>
      <c r="B668" s="212" t="s">
        <v>1642</v>
      </c>
      <c r="C668" s="212">
        <v>1</v>
      </c>
      <c r="D668" s="212" t="s">
        <v>1643</v>
      </c>
      <c r="E668" s="212" t="s">
        <v>2955</v>
      </c>
      <c r="F668" s="212">
        <v>2</v>
      </c>
      <c r="G668" s="212" t="s">
        <v>1645</v>
      </c>
      <c r="H668" s="212">
        <v>0</v>
      </c>
      <c r="I668" s="212" t="s">
        <v>2956</v>
      </c>
      <c r="J668" s="212">
        <v>18964</v>
      </c>
      <c r="K668" s="286">
        <v>321523</v>
      </c>
      <c r="L668" s="286">
        <v>82718</v>
      </c>
      <c r="M668" s="286">
        <v>237244</v>
      </c>
      <c r="N668" s="286">
        <v>945</v>
      </c>
      <c r="O668" s="286">
        <v>348</v>
      </c>
      <c r="P668" s="286">
        <v>597</v>
      </c>
      <c r="Q668" s="286">
        <v>3657</v>
      </c>
      <c r="R668" s="286">
        <v>1091</v>
      </c>
      <c r="S668" s="286">
        <v>2566</v>
      </c>
      <c r="T668" s="286">
        <v>1515</v>
      </c>
      <c r="U668" s="286">
        <v>619</v>
      </c>
      <c r="V668" s="286">
        <v>896</v>
      </c>
      <c r="W668" s="286">
        <v>2139</v>
      </c>
      <c r="X668" s="286">
        <v>471</v>
      </c>
      <c r="Y668" s="286">
        <v>1668</v>
      </c>
    </row>
    <row r="669" spans="1:25">
      <c r="A669" s="212">
        <v>5920</v>
      </c>
      <c r="B669" s="212" t="s">
        <v>1642</v>
      </c>
      <c r="C669" s="212">
        <v>1</v>
      </c>
      <c r="D669" s="212" t="s">
        <v>1643</v>
      </c>
      <c r="E669" s="212" t="s">
        <v>2957</v>
      </c>
      <c r="F669" s="212">
        <v>4</v>
      </c>
      <c r="G669" s="212" t="s">
        <v>1645</v>
      </c>
      <c r="H669" s="212">
        <v>0</v>
      </c>
      <c r="I669" s="212" t="s">
        <v>2958</v>
      </c>
      <c r="J669" s="212">
        <v>11715</v>
      </c>
      <c r="K669" s="286">
        <v>170795</v>
      </c>
      <c r="L669" s="286">
        <v>46822</v>
      </c>
      <c r="M669" s="286">
        <v>123693</v>
      </c>
      <c r="N669" s="286">
        <v>240</v>
      </c>
      <c r="O669" s="286">
        <v>118</v>
      </c>
      <c r="P669" s="286">
        <v>122</v>
      </c>
      <c r="Q669" s="286">
        <v>1882</v>
      </c>
      <c r="R669" s="286">
        <v>505</v>
      </c>
      <c r="S669" s="286">
        <v>1377</v>
      </c>
      <c r="T669" s="286">
        <v>889</v>
      </c>
      <c r="U669" s="286">
        <v>301</v>
      </c>
      <c r="V669" s="286">
        <v>588</v>
      </c>
      <c r="W669" s="286">
        <v>990</v>
      </c>
      <c r="X669" s="286">
        <v>203</v>
      </c>
      <c r="Y669" s="286">
        <v>787</v>
      </c>
    </row>
    <row r="670" spans="1:25">
      <c r="A670" s="212">
        <v>5929</v>
      </c>
      <c r="B670" s="212" t="s">
        <v>1642</v>
      </c>
      <c r="C670" s="212">
        <v>1</v>
      </c>
      <c r="D670" s="212" t="s">
        <v>1643</v>
      </c>
      <c r="E670" s="212" t="s">
        <v>2959</v>
      </c>
      <c r="F670" s="212">
        <v>5</v>
      </c>
      <c r="G670" s="212" t="s">
        <v>1645</v>
      </c>
      <c r="H670" s="212">
        <v>0</v>
      </c>
      <c r="I670" s="212" t="s">
        <v>2960</v>
      </c>
      <c r="J670" s="212">
        <v>15</v>
      </c>
      <c r="K670" s="286">
        <v>119</v>
      </c>
      <c r="L670" s="286">
        <v>57</v>
      </c>
      <c r="M670" s="286">
        <v>62</v>
      </c>
      <c r="N670" s="286">
        <v>2</v>
      </c>
      <c r="O670" s="286">
        <v>1</v>
      </c>
      <c r="P670" s="286">
        <v>1</v>
      </c>
      <c r="Q670" s="286">
        <v>1</v>
      </c>
      <c r="R670" s="286">
        <v>1</v>
      </c>
      <c r="S670" s="286">
        <v>0</v>
      </c>
      <c r="T670" s="286">
        <v>1</v>
      </c>
      <c r="U670" s="286">
        <v>1</v>
      </c>
      <c r="V670" s="286">
        <v>0</v>
      </c>
      <c r="W670" s="286">
        <v>0</v>
      </c>
      <c r="X670" s="286">
        <v>0</v>
      </c>
      <c r="Y670" s="286">
        <v>0</v>
      </c>
    </row>
    <row r="671" spans="1:25">
      <c r="A671" s="212">
        <v>5938</v>
      </c>
      <c r="B671" s="212" t="s">
        <v>1642</v>
      </c>
      <c r="C671" s="212">
        <v>1</v>
      </c>
      <c r="D671" s="212" t="s">
        <v>1643</v>
      </c>
      <c r="E671" s="212" t="s">
        <v>2961</v>
      </c>
      <c r="F671" s="212">
        <v>5</v>
      </c>
      <c r="G671" s="212" t="s">
        <v>1645</v>
      </c>
      <c r="H671" s="212">
        <v>0</v>
      </c>
      <c r="I671" s="212" t="s">
        <v>2962</v>
      </c>
      <c r="J671" s="212">
        <v>341</v>
      </c>
      <c r="K671" s="286">
        <v>83911</v>
      </c>
      <c r="L671" s="286">
        <v>23096</v>
      </c>
      <c r="M671" s="286">
        <v>60815</v>
      </c>
      <c r="N671" s="286">
        <v>71</v>
      </c>
      <c r="O671" s="286">
        <v>31</v>
      </c>
      <c r="P671" s="286">
        <v>40</v>
      </c>
      <c r="Q671" s="286">
        <v>944</v>
      </c>
      <c r="R671" s="286">
        <v>272</v>
      </c>
      <c r="S671" s="286">
        <v>672</v>
      </c>
      <c r="T671" s="286">
        <v>473</v>
      </c>
      <c r="U671" s="286">
        <v>143</v>
      </c>
      <c r="V671" s="286">
        <v>330</v>
      </c>
      <c r="W671" s="286">
        <v>471</v>
      </c>
      <c r="X671" s="286">
        <v>129</v>
      </c>
      <c r="Y671" s="286">
        <v>342</v>
      </c>
    </row>
    <row r="672" spans="1:25">
      <c r="A672" s="212">
        <v>5947</v>
      </c>
      <c r="B672" s="212" t="s">
        <v>1642</v>
      </c>
      <c r="C672" s="212">
        <v>1</v>
      </c>
      <c r="D672" s="212" t="s">
        <v>1643</v>
      </c>
      <c r="E672" s="212" t="s">
        <v>2963</v>
      </c>
      <c r="F672" s="212">
        <v>5</v>
      </c>
      <c r="G672" s="212" t="s">
        <v>1645</v>
      </c>
      <c r="H672" s="212">
        <v>0</v>
      </c>
      <c r="I672" s="212" t="s">
        <v>2964</v>
      </c>
      <c r="J672" s="212">
        <v>4313</v>
      </c>
      <c r="K672" s="286">
        <v>50580</v>
      </c>
      <c r="L672" s="286">
        <v>11811</v>
      </c>
      <c r="M672" s="286">
        <v>38666</v>
      </c>
      <c r="N672" s="286">
        <v>100</v>
      </c>
      <c r="O672" s="286">
        <v>54</v>
      </c>
      <c r="P672" s="286">
        <v>46</v>
      </c>
      <c r="Q672" s="286">
        <v>779</v>
      </c>
      <c r="R672" s="286">
        <v>178</v>
      </c>
      <c r="S672" s="286">
        <v>601</v>
      </c>
      <c r="T672" s="286">
        <v>318</v>
      </c>
      <c r="U672" s="286">
        <v>121</v>
      </c>
      <c r="V672" s="286">
        <v>197</v>
      </c>
      <c r="W672" s="286">
        <v>458</v>
      </c>
      <c r="X672" s="286">
        <v>56</v>
      </c>
      <c r="Y672" s="286">
        <v>402</v>
      </c>
    </row>
    <row r="673" spans="1:25">
      <c r="A673" s="212">
        <v>5956</v>
      </c>
      <c r="B673" s="212" t="s">
        <v>1642</v>
      </c>
      <c r="C673" s="212">
        <v>1</v>
      </c>
      <c r="D673" s="212" t="s">
        <v>1643</v>
      </c>
      <c r="E673" s="212" t="s">
        <v>2965</v>
      </c>
      <c r="F673" s="212">
        <v>5</v>
      </c>
      <c r="G673" s="212" t="s">
        <v>1645</v>
      </c>
      <c r="H673" s="212">
        <v>0</v>
      </c>
      <c r="I673" s="212" t="s">
        <v>2966</v>
      </c>
      <c r="J673" s="212">
        <v>2910</v>
      </c>
      <c r="K673" s="286">
        <v>19955</v>
      </c>
      <c r="L673" s="286">
        <v>4985</v>
      </c>
      <c r="M673" s="286">
        <v>14936</v>
      </c>
      <c r="N673" s="286">
        <v>14</v>
      </c>
      <c r="O673" s="286">
        <v>6</v>
      </c>
      <c r="P673" s="286">
        <v>8</v>
      </c>
      <c r="Q673" s="286">
        <v>82</v>
      </c>
      <c r="R673" s="286">
        <v>15</v>
      </c>
      <c r="S673" s="286">
        <v>67</v>
      </c>
      <c r="T673" s="286">
        <v>53</v>
      </c>
      <c r="U673" s="286">
        <v>15</v>
      </c>
      <c r="V673" s="286">
        <v>38</v>
      </c>
      <c r="W673" s="286">
        <v>29</v>
      </c>
      <c r="X673" s="286">
        <v>0</v>
      </c>
      <c r="Y673" s="286">
        <v>29</v>
      </c>
    </row>
    <row r="674" spans="1:25">
      <c r="A674" s="212">
        <v>5965</v>
      </c>
      <c r="B674" s="212" t="s">
        <v>1642</v>
      </c>
      <c r="C674" s="212">
        <v>1</v>
      </c>
      <c r="D674" s="212" t="s">
        <v>1643</v>
      </c>
      <c r="E674" s="212" t="s">
        <v>2967</v>
      </c>
      <c r="F674" s="212">
        <v>5</v>
      </c>
      <c r="G674" s="212" t="s">
        <v>1645</v>
      </c>
      <c r="H674" s="212">
        <v>0</v>
      </c>
      <c r="I674" s="212" t="s">
        <v>2968</v>
      </c>
      <c r="J674" s="212">
        <v>291</v>
      </c>
      <c r="K674" s="286">
        <v>3428</v>
      </c>
      <c r="L674" s="286">
        <v>564</v>
      </c>
      <c r="M674" s="286">
        <v>2807</v>
      </c>
      <c r="N674" s="286">
        <v>7</v>
      </c>
      <c r="O674" s="286">
        <v>0</v>
      </c>
      <c r="P674" s="286">
        <v>7</v>
      </c>
      <c r="Q674" s="286">
        <v>19</v>
      </c>
      <c r="R674" s="286">
        <v>6</v>
      </c>
      <c r="S674" s="286">
        <v>13</v>
      </c>
      <c r="T674" s="286">
        <v>17</v>
      </c>
      <c r="U674" s="286">
        <v>6</v>
      </c>
      <c r="V674" s="286">
        <v>11</v>
      </c>
      <c r="W674" s="286">
        <v>2</v>
      </c>
      <c r="X674" s="286">
        <v>0</v>
      </c>
      <c r="Y674" s="286">
        <v>2</v>
      </c>
    </row>
    <row r="675" spans="1:25">
      <c r="A675" s="212">
        <v>5974</v>
      </c>
      <c r="B675" s="212" t="s">
        <v>1642</v>
      </c>
      <c r="C675" s="212">
        <v>1</v>
      </c>
      <c r="D675" s="212" t="s">
        <v>1643</v>
      </c>
      <c r="E675" s="212" t="s">
        <v>2969</v>
      </c>
      <c r="F675" s="212">
        <v>6</v>
      </c>
      <c r="G675" s="212" t="s">
        <v>1645</v>
      </c>
      <c r="H675" s="212">
        <v>0</v>
      </c>
      <c r="I675" s="212" t="s">
        <v>2970</v>
      </c>
      <c r="J675" s="212">
        <v>20</v>
      </c>
      <c r="K675" s="286">
        <v>117</v>
      </c>
      <c r="L675" s="286">
        <v>4</v>
      </c>
      <c r="M675" s="286">
        <v>113</v>
      </c>
      <c r="N675" s="286">
        <v>0</v>
      </c>
      <c r="O675" s="286">
        <v>0</v>
      </c>
      <c r="P675" s="286">
        <v>0</v>
      </c>
      <c r="Q675" s="286">
        <v>0</v>
      </c>
      <c r="R675" s="286">
        <v>0</v>
      </c>
      <c r="S675" s="286">
        <v>0</v>
      </c>
      <c r="T675" s="286">
        <v>0</v>
      </c>
      <c r="U675" s="286">
        <v>0</v>
      </c>
      <c r="V675" s="286">
        <v>0</v>
      </c>
      <c r="W675" s="286">
        <v>0</v>
      </c>
      <c r="X675" s="286">
        <v>0</v>
      </c>
      <c r="Y675" s="286">
        <v>0</v>
      </c>
    </row>
    <row r="676" spans="1:25">
      <c r="A676" s="212">
        <v>5983</v>
      </c>
      <c r="B676" s="212" t="s">
        <v>1642</v>
      </c>
      <c r="C676" s="212">
        <v>1</v>
      </c>
      <c r="D676" s="212" t="s">
        <v>1643</v>
      </c>
      <c r="E676" s="212" t="s">
        <v>2971</v>
      </c>
      <c r="F676" s="212">
        <v>6</v>
      </c>
      <c r="G676" s="212" t="s">
        <v>1645</v>
      </c>
      <c r="H676" s="212">
        <v>0</v>
      </c>
      <c r="I676" s="212" t="s">
        <v>2972</v>
      </c>
      <c r="J676" s="212">
        <v>271</v>
      </c>
      <c r="K676" s="286">
        <v>3311</v>
      </c>
      <c r="L676" s="286">
        <v>560</v>
      </c>
      <c r="M676" s="286">
        <v>2694</v>
      </c>
      <c r="N676" s="286">
        <v>7</v>
      </c>
      <c r="O676" s="286">
        <v>0</v>
      </c>
      <c r="P676" s="286">
        <v>7</v>
      </c>
      <c r="Q676" s="286">
        <v>19</v>
      </c>
      <c r="R676" s="286">
        <v>6</v>
      </c>
      <c r="S676" s="286">
        <v>13</v>
      </c>
      <c r="T676" s="286">
        <v>17</v>
      </c>
      <c r="U676" s="286">
        <v>6</v>
      </c>
      <c r="V676" s="286">
        <v>11</v>
      </c>
      <c r="W676" s="286">
        <v>2</v>
      </c>
      <c r="X676" s="286">
        <v>0</v>
      </c>
      <c r="Y676" s="286">
        <v>2</v>
      </c>
    </row>
    <row r="677" spans="1:25">
      <c r="A677" s="212">
        <v>5992</v>
      </c>
      <c r="B677" s="212" t="s">
        <v>1642</v>
      </c>
      <c r="C677" s="212">
        <v>1</v>
      </c>
      <c r="D677" s="212" t="s">
        <v>1643</v>
      </c>
      <c r="E677" s="212" t="s">
        <v>2973</v>
      </c>
      <c r="F677" s="212">
        <v>5</v>
      </c>
      <c r="G677" s="212" t="s">
        <v>1645</v>
      </c>
      <c r="H677" s="212">
        <v>0</v>
      </c>
      <c r="I677" s="212" t="s">
        <v>2974</v>
      </c>
      <c r="J677" s="212">
        <v>3534</v>
      </c>
      <c r="K677" s="286">
        <v>10281</v>
      </c>
      <c r="L677" s="286">
        <v>5007</v>
      </c>
      <c r="M677" s="286">
        <v>5217</v>
      </c>
      <c r="N677" s="286">
        <v>43</v>
      </c>
      <c r="O677" s="286">
        <v>23</v>
      </c>
      <c r="P677" s="286">
        <v>20</v>
      </c>
      <c r="Q677" s="286">
        <v>55</v>
      </c>
      <c r="R677" s="286">
        <v>31</v>
      </c>
      <c r="S677" s="286">
        <v>24</v>
      </c>
      <c r="T677" s="286">
        <v>27</v>
      </c>
      <c r="U677" s="286">
        <v>15</v>
      </c>
      <c r="V677" s="286">
        <v>12</v>
      </c>
      <c r="W677" s="286">
        <v>28</v>
      </c>
      <c r="X677" s="286">
        <v>16</v>
      </c>
      <c r="Y677" s="286">
        <v>12</v>
      </c>
    </row>
    <row r="678" spans="1:25">
      <c r="A678" s="212">
        <v>6001</v>
      </c>
      <c r="B678" s="212" t="s">
        <v>1642</v>
      </c>
      <c r="C678" s="212">
        <v>1</v>
      </c>
      <c r="D678" s="212" t="s">
        <v>1643</v>
      </c>
      <c r="E678" s="212" t="s">
        <v>2975</v>
      </c>
      <c r="F678" s="212">
        <v>5</v>
      </c>
      <c r="G678" s="212" t="s">
        <v>1645</v>
      </c>
      <c r="H678" s="212">
        <v>0</v>
      </c>
      <c r="I678" s="212" t="s">
        <v>2976</v>
      </c>
      <c r="J678" s="212">
        <v>311</v>
      </c>
      <c r="K678" s="286">
        <v>2521</v>
      </c>
      <c r="L678" s="286">
        <v>1302</v>
      </c>
      <c r="M678" s="286">
        <v>1190</v>
      </c>
      <c r="N678" s="286">
        <v>3</v>
      </c>
      <c r="O678" s="286">
        <v>3</v>
      </c>
      <c r="P678" s="286">
        <v>0</v>
      </c>
      <c r="Q678" s="286">
        <v>2</v>
      </c>
      <c r="R678" s="286">
        <v>2</v>
      </c>
      <c r="S678" s="286">
        <v>0</v>
      </c>
      <c r="T678" s="286">
        <v>0</v>
      </c>
      <c r="U678" s="286">
        <v>0</v>
      </c>
      <c r="V678" s="286">
        <v>0</v>
      </c>
      <c r="W678" s="286">
        <v>2</v>
      </c>
      <c r="X678" s="286">
        <v>2</v>
      </c>
      <c r="Y678" s="286">
        <v>0</v>
      </c>
    </row>
    <row r="679" spans="1:25">
      <c r="A679" s="212">
        <v>6010</v>
      </c>
      <c r="B679" s="212" t="s">
        <v>1642</v>
      </c>
      <c r="C679" s="212">
        <v>1</v>
      </c>
      <c r="D679" s="212" t="s">
        <v>1643</v>
      </c>
      <c r="E679" s="212" t="s">
        <v>2977</v>
      </c>
      <c r="F679" s="212">
        <v>6</v>
      </c>
      <c r="G679" s="212" t="s">
        <v>1645</v>
      </c>
      <c r="H679" s="212">
        <v>0</v>
      </c>
      <c r="I679" s="212" t="s">
        <v>2978</v>
      </c>
      <c r="J679" s="212">
        <v>250</v>
      </c>
      <c r="K679" s="286">
        <v>948</v>
      </c>
      <c r="L679" s="286">
        <v>618</v>
      </c>
      <c r="M679" s="286">
        <v>318</v>
      </c>
      <c r="N679" s="286">
        <v>3</v>
      </c>
      <c r="O679" s="286">
        <v>3</v>
      </c>
      <c r="P679" s="286">
        <v>0</v>
      </c>
      <c r="Q679" s="286">
        <v>0</v>
      </c>
      <c r="R679" s="286">
        <v>0</v>
      </c>
      <c r="S679" s="286">
        <v>0</v>
      </c>
      <c r="T679" s="286">
        <v>0</v>
      </c>
      <c r="U679" s="286">
        <v>0</v>
      </c>
      <c r="V679" s="286">
        <v>0</v>
      </c>
      <c r="W679" s="286">
        <v>0</v>
      </c>
      <c r="X679" s="286">
        <v>0</v>
      </c>
      <c r="Y679" s="286">
        <v>0</v>
      </c>
    </row>
    <row r="680" spans="1:25">
      <c r="A680" s="212">
        <v>6019</v>
      </c>
      <c r="B680" s="212" t="s">
        <v>1642</v>
      </c>
      <c r="C680" s="212">
        <v>1</v>
      </c>
      <c r="D680" s="212" t="s">
        <v>1643</v>
      </c>
      <c r="E680" s="212" t="s">
        <v>2979</v>
      </c>
      <c r="F680" s="212">
        <v>6</v>
      </c>
      <c r="G680" s="212" t="s">
        <v>1645</v>
      </c>
      <c r="H680" s="212">
        <v>0</v>
      </c>
      <c r="I680" s="212" t="s">
        <v>2980</v>
      </c>
      <c r="J680" s="212">
        <v>61</v>
      </c>
      <c r="K680" s="286">
        <v>1573</v>
      </c>
      <c r="L680" s="286">
        <v>684</v>
      </c>
      <c r="M680" s="286">
        <v>872</v>
      </c>
      <c r="N680" s="286">
        <v>0</v>
      </c>
      <c r="O680" s="286">
        <v>0</v>
      </c>
      <c r="P680" s="286">
        <v>0</v>
      </c>
      <c r="Q680" s="286">
        <v>2</v>
      </c>
      <c r="R680" s="286">
        <v>2</v>
      </c>
      <c r="S680" s="286">
        <v>0</v>
      </c>
      <c r="T680" s="286">
        <v>0</v>
      </c>
      <c r="U680" s="286">
        <v>0</v>
      </c>
      <c r="V680" s="286">
        <v>0</v>
      </c>
      <c r="W680" s="286">
        <v>2</v>
      </c>
      <c r="X680" s="286">
        <v>2</v>
      </c>
      <c r="Y680" s="286">
        <v>0</v>
      </c>
    </row>
    <row r="681" spans="1:25">
      <c r="A681" s="212">
        <v>6028</v>
      </c>
      <c r="B681" s="212" t="s">
        <v>1642</v>
      </c>
      <c r="C681" s="212">
        <v>1</v>
      </c>
      <c r="D681" s="212" t="s">
        <v>1643</v>
      </c>
      <c r="E681" s="212" t="s">
        <v>2981</v>
      </c>
      <c r="F681" s="212">
        <v>4</v>
      </c>
      <c r="G681" s="212" t="s">
        <v>1645</v>
      </c>
      <c r="H681" s="212">
        <v>0</v>
      </c>
      <c r="I681" s="212" t="s">
        <v>2982</v>
      </c>
      <c r="J681" s="212">
        <v>80</v>
      </c>
      <c r="K681" s="286">
        <v>2394</v>
      </c>
      <c r="L681" s="286">
        <v>655</v>
      </c>
      <c r="M681" s="286">
        <v>1738</v>
      </c>
      <c r="N681" s="286">
        <v>0</v>
      </c>
      <c r="O681" s="286">
        <v>0</v>
      </c>
      <c r="P681" s="286">
        <v>0</v>
      </c>
      <c r="Q681" s="286">
        <v>73</v>
      </c>
      <c r="R681" s="286">
        <v>17</v>
      </c>
      <c r="S681" s="286">
        <v>56</v>
      </c>
      <c r="T681" s="286">
        <v>17</v>
      </c>
      <c r="U681" s="286">
        <v>8</v>
      </c>
      <c r="V681" s="286">
        <v>9</v>
      </c>
      <c r="W681" s="286">
        <v>56</v>
      </c>
      <c r="X681" s="286">
        <v>9</v>
      </c>
      <c r="Y681" s="286">
        <v>47</v>
      </c>
    </row>
    <row r="682" spans="1:25">
      <c r="A682" s="212">
        <v>6037</v>
      </c>
      <c r="B682" s="212" t="s">
        <v>1642</v>
      </c>
      <c r="C682" s="212">
        <v>1</v>
      </c>
      <c r="D682" s="212" t="s">
        <v>1643</v>
      </c>
      <c r="E682" s="212" t="s">
        <v>2983</v>
      </c>
      <c r="F682" s="212">
        <v>5</v>
      </c>
      <c r="G682" s="212" t="s">
        <v>1645</v>
      </c>
      <c r="H682" s="212">
        <v>0</v>
      </c>
      <c r="I682" s="212" t="s">
        <v>2984</v>
      </c>
      <c r="J682" s="212">
        <v>0</v>
      </c>
      <c r="K682" s="286">
        <v>0</v>
      </c>
      <c r="L682" s="286">
        <v>0</v>
      </c>
      <c r="M682" s="286">
        <v>0</v>
      </c>
      <c r="N682" s="286">
        <v>0</v>
      </c>
      <c r="O682" s="286">
        <v>0</v>
      </c>
      <c r="P682" s="286">
        <v>0</v>
      </c>
      <c r="Q682" s="286">
        <v>0</v>
      </c>
      <c r="R682" s="286">
        <v>0</v>
      </c>
      <c r="S682" s="286">
        <v>0</v>
      </c>
      <c r="T682" s="286">
        <v>0</v>
      </c>
      <c r="U682" s="286">
        <v>0</v>
      </c>
      <c r="V682" s="286">
        <v>0</v>
      </c>
      <c r="W682" s="286">
        <v>0</v>
      </c>
      <c r="X682" s="286">
        <v>0</v>
      </c>
      <c r="Y682" s="286">
        <v>0</v>
      </c>
    </row>
    <row r="683" spans="1:25">
      <c r="A683" s="212">
        <v>6046</v>
      </c>
      <c r="B683" s="212" t="s">
        <v>1642</v>
      </c>
      <c r="C683" s="212">
        <v>1</v>
      </c>
      <c r="D683" s="212" t="s">
        <v>1643</v>
      </c>
      <c r="E683" s="212" t="s">
        <v>2985</v>
      </c>
      <c r="F683" s="212">
        <v>5</v>
      </c>
      <c r="G683" s="212" t="s">
        <v>1645</v>
      </c>
      <c r="H683" s="212">
        <v>0</v>
      </c>
      <c r="I683" s="212" t="s">
        <v>2986</v>
      </c>
      <c r="J683" s="212">
        <v>67</v>
      </c>
      <c r="K683" s="286">
        <v>2196</v>
      </c>
      <c r="L683" s="286">
        <v>553</v>
      </c>
      <c r="M683" s="286">
        <v>1642</v>
      </c>
      <c r="N683" s="286">
        <v>0</v>
      </c>
      <c r="O683" s="286">
        <v>0</v>
      </c>
      <c r="P683" s="286">
        <v>0</v>
      </c>
      <c r="Q683" s="286">
        <v>64</v>
      </c>
      <c r="R683" s="286">
        <v>16</v>
      </c>
      <c r="S683" s="286">
        <v>48</v>
      </c>
      <c r="T683" s="286">
        <v>17</v>
      </c>
      <c r="U683" s="286">
        <v>8</v>
      </c>
      <c r="V683" s="286">
        <v>9</v>
      </c>
      <c r="W683" s="286">
        <v>47</v>
      </c>
      <c r="X683" s="286">
        <v>8</v>
      </c>
      <c r="Y683" s="286">
        <v>39</v>
      </c>
    </row>
    <row r="684" spans="1:25">
      <c r="A684" s="212">
        <v>6055</v>
      </c>
      <c r="B684" s="212" t="s">
        <v>1642</v>
      </c>
      <c r="C684" s="212">
        <v>1</v>
      </c>
      <c r="D684" s="212" t="s">
        <v>1643</v>
      </c>
      <c r="E684" s="212" t="s">
        <v>2987</v>
      </c>
      <c r="F684" s="212">
        <v>5</v>
      </c>
      <c r="G684" s="212" t="s">
        <v>1645</v>
      </c>
      <c r="H684" s="212">
        <v>0</v>
      </c>
      <c r="I684" s="212" t="s">
        <v>2988</v>
      </c>
      <c r="J684" s="212">
        <v>13</v>
      </c>
      <c r="K684" s="286">
        <v>198</v>
      </c>
      <c r="L684" s="286">
        <v>102</v>
      </c>
      <c r="M684" s="286">
        <v>96</v>
      </c>
      <c r="N684" s="286">
        <v>0</v>
      </c>
      <c r="O684" s="286">
        <v>0</v>
      </c>
      <c r="P684" s="286">
        <v>0</v>
      </c>
      <c r="Q684" s="286">
        <v>9</v>
      </c>
      <c r="R684" s="286">
        <v>1</v>
      </c>
      <c r="S684" s="286">
        <v>8</v>
      </c>
      <c r="T684" s="286">
        <v>0</v>
      </c>
      <c r="U684" s="286">
        <v>0</v>
      </c>
      <c r="V684" s="286">
        <v>0</v>
      </c>
      <c r="W684" s="286">
        <v>9</v>
      </c>
      <c r="X684" s="286">
        <v>1</v>
      </c>
      <c r="Y684" s="286">
        <v>8</v>
      </c>
    </row>
    <row r="685" spans="1:25">
      <c r="A685" s="212">
        <v>6064</v>
      </c>
      <c r="B685" s="212" t="s">
        <v>1642</v>
      </c>
      <c r="C685" s="212">
        <v>1</v>
      </c>
      <c r="D685" s="212" t="s">
        <v>1643</v>
      </c>
      <c r="E685" s="212" t="s">
        <v>2989</v>
      </c>
      <c r="F685" s="212">
        <v>4</v>
      </c>
      <c r="G685" s="212" t="s">
        <v>1645</v>
      </c>
      <c r="H685" s="212">
        <v>0</v>
      </c>
      <c r="I685" s="212" t="s">
        <v>2990</v>
      </c>
      <c r="J685" s="212">
        <v>7162</v>
      </c>
      <c r="K685" s="286">
        <v>148185</v>
      </c>
      <c r="L685" s="286">
        <v>35185</v>
      </c>
      <c r="M685" s="286">
        <v>111720</v>
      </c>
      <c r="N685" s="286">
        <v>705</v>
      </c>
      <c r="O685" s="286">
        <v>230</v>
      </c>
      <c r="P685" s="286">
        <v>475</v>
      </c>
      <c r="Q685" s="286">
        <v>1702</v>
      </c>
      <c r="R685" s="286">
        <v>569</v>
      </c>
      <c r="S685" s="286">
        <v>1133</v>
      </c>
      <c r="T685" s="286">
        <v>609</v>
      </c>
      <c r="U685" s="286">
        <v>310</v>
      </c>
      <c r="V685" s="286">
        <v>299</v>
      </c>
      <c r="W685" s="286">
        <v>1093</v>
      </c>
      <c r="X685" s="286">
        <v>259</v>
      </c>
      <c r="Y685" s="286">
        <v>834</v>
      </c>
    </row>
    <row r="686" spans="1:25">
      <c r="A686" s="212">
        <v>6073</v>
      </c>
      <c r="B686" s="212" t="s">
        <v>1642</v>
      </c>
      <c r="C686" s="212">
        <v>1</v>
      </c>
      <c r="D686" s="212" t="s">
        <v>1643</v>
      </c>
      <c r="E686" s="212" t="s">
        <v>2991</v>
      </c>
      <c r="F686" s="212">
        <v>5</v>
      </c>
      <c r="G686" s="212" t="s">
        <v>1645</v>
      </c>
      <c r="H686" s="212">
        <v>0</v>
      </c>
      <c r="I686" s="212" t="s">
        <v>2992</v>
      </c>
      <c r="J686" s="212">
        <v>26</v>
      </c>
      <c r="K686" s="286">
        <v>180</v>
      </c>
      <c r="L686" s="286">
        <v>82</v>
      </c>
      <c r="M686" s="286">
        <v>98</v>
      </c>
      <c r="N686" s="286">
        <v>7</v>
      </c>
      <c r="O686" s="286">
        <v>3</v>
      </c>
      <c r="P686" s="286">
        <v>4</v>
      </c>
      <c r="Q686" s="286">
        <v>5</v>
      </c>
      <c r="R686" s="286">
        <v>3</v>
      </c>
      <c r="S686" s="286">
        <v>2</v>
      </c>
      <c r="T686" s="286">
        <v>4</v>
      </c>
      <c r="U686" s="286">
        <v>3</v>
      </c>
      <c r="V686" s="286">
        <v>1</v>
      </c>
      <c r="W686" s="286">
        <v>1</v>
      </c>
      <c r="X686" s="286">
        <v>0</v>
      </c>
      <c r="Y686" s="286">
        <v>1</v>
      </c>
    </row>
    <row r="687" spans="1:25">
      <c r="A687" s="212">
        <v>6082</v>
      </c>
      <c r="B687" s="212" t="s">
        <v>1642</v>
      </c>
      <c r="C687" s="212">
        <v>1</v>
      </c>
      <c r="D687" s="212" t="s">
        <v>1643</v>
      </c>
      <c r="E687" s="212" t="s">
        <v>2993</v>
      </c>
      <c r="F687" s="212">
        <v>5</v>
      </c>
      <c r="G687" s="212" t="s">
        <v>1645</v>
      </c>
      <c r="H687" s="212">
        <v>0</v>
      </c>
      <c r="I687" s="212" t="s">
        <v>2994</v>
      </c>
      <c r="J687" s="212">
        <v>74</v>
      </c>
      <c r="K687" s="286">
        <v>1788</v>
      </c>
      <c r="L687" s="286">
        <v>678</v>
      </c>
      <c r="M687" s="286">
        <v>1110</v>
      </c>
      <c r="N687" s="286">
        <v>2</v>
      </c>
      <c r="O687" s="286">
        <v>2</v>
      </c>
      <c r="P687" s="286">
        <v>0</v>
      </c>
      <c r="Q687" s="286">
        <v>75</v>
      </c>
      <c r="R687" s="286">
        <v>35</v>
      </c>
      <c r="S687" s="286">
        <v>40</v>
      </c>
      <c r="T687" s="286">
        <v>52</v>
      </c>
      <c r="U687" s="286">
        <v>30</v>
      </c>
      <c r="V687" s="286">
        <v>22</v>
      </c>
      <c r="W687" s="286">
        <v>23</v>
      </c>
      <c r="X687" s="286">
        <v>5</v>
      </c>
      <c r="Y687" s="286">
        <v>18</v>
      </c>
    </row>
    <row r="688" spans="1:25">
      <c r="A688" s="212">
        <v>6091</v>
      </c>
      <c r="B688" s="212" t="s">
        <v>1642</v>
      </c>
      <c r="C688" s="212">
        <v>1</v>
      </c>
      <c r="D688" s="212" t="s">
        <v>1643</v>
      </c>
      <c r="E688" s="212" t="s">
        <v>2995</v>
      </c>
      <c r="F688" s="212">
        <v>5</v>
      </c>
      <c r="G688" s="212" t="s">
        <v>1645</v>
      </c>
      <c r="H688" s="212">
        <v>0</v>
      </c>
      <c r="I688" s="212" t="s">
        <v>2996</v>
      </c>
      <c r="J688" s="212">
        <v>1580</v>
      </c>
      <c r="K688" s="286">
        <v>22518</v>
      </c>
      <c r="L688" s="286">
        <v>2391</v>
      </c>
      <c r="M688" s="286">
        <v>19776</v>
      </c>
      <c r="N688" s="286">
        <v>110</v>
      </c>
      <c r="O688" s="286">
        <v>7</v>
      </c>
      <c r="P688" s="286">
        <v>103</v>
      </c>
      <c r="Q688" s="286">
        <v>241</v>
      </c>
      <c r="R688" s="286">
        <v>57</v>
      </c>
      <c r="S688" s="286">
        <v>184</v>
      </c>
      <c r="T688" s="286">
        <v>106</v>
      </c>
      <c r="U688" s="286">
        <v>52</v>
      </c>
      <c r="V688" s="286">
        <v>54</v>
      </c>
      <c r="W688" s="286">
        <v>135</v>
      </c>
      <c r="X688" s="286">
        <v>5</v>
      </c>
      <c r="Y688" s="286">
        <v>130</v>
      </c>
    </row>
    <row r="689" spans="1:25">
      <c r="A689" s="212">
        <v>6100</v>
      </c>
      <c r="B689" s="212" t="s">
        <v>1642</v>
      </c>
      <c r="C689" s="212">
        <v>1</v>
      </c>
      <c r="D689" s="212" t="s">
        <v>1643</v>
      </c>
      <c r="E689" s="212" t="s">
        <v>2997</v>
      </c>
      <c r="F689" s="212">
        <v>6</v>
      </c>
      <c r="G689" s="212" t="s">
        <v>1645</v>
      </c>
      <c r="H689" s="212">
        <v>0</v>
      </c>
      <c r="I689" s="212" t="s">
        <v>2998</v>
      </c>
      <c r="J689" s="212">
        <v>884</v>
      </c>
      <c r="K689" s="286">
        <v>15324</v>
      </c>
      <c r="L689" s="286">
        <v>965</v>
      </c>
      <c r="M689" s="286">
        <v>14195</v>
      </c>
      <c r="N689" s="286">
        <v>16</v>
      </c>
      <c r="O689" s="286">
        <v>1</v>
      </c>
      <c r="P689" s="286">
        <v>15</v>
      </c>
      <c r="Q689" s="286">
        <v>134</v>
      </c>
      <c r="R689" s="286">
        <v>5</v>
      </c>
      <c r="S689" s="286">
        <v>129</v>
      </c>
      <c r="T689" s="286">
        <v>22</v>
      </c>
      <c r="U689" s="286">
        <v>1</v>
      </c>
      <c r="V689" s="286">
        <v>21</v>
      </c>
      <c r="W689" s="286">
        <v>112</v>
      </c>
      <c r="X689" s="286">
        <v>4</v>
      </c>
      <c r="Y689" s="286">
        <v>108</v>
      </c>
    </row>
    <row r="690" spans="1:25">
      <c r="A690" s="212">
        <v>6109</v>
      </c>
      <c r="B690" s="212" t="s">
        <v>1642</v>
      </c>
      <c r="C690" s="212">
        <v>1</v>
      </c>
      <c r="D690" s="212" t="s">
        <v>1643</v>
      </c>
      <c r="E690" s="212" t="s">
        <v>2999</v>
      </c>
      <c r="F690" s="212">
        <v>6</v>
      </c>
      <c r="G690" s="212" t="s">
        <v>1645</v>
      </c>
      <c r="H690" s="212">
        <v>0</v>
      </c>
      <c r="I690" s="212" t="s">
        <v>3000</v>
      </c>
      <c r="J690" s="212">
        <v>696</v>
      </c>
      <c r="K690" s="286">
        <v>7194</v>
      </c>
      <c r="L690" s="286">
        <v>1426</v>
      </c>
      <c r="M690" s="286">
        <v>5581</v>
      </c>
      <c r="N690" s="286">
        <v>94</v>
      </c>
      <c r="O690" s="286">
        <v>6</v>
      </c>
      <c r="P690" s="286">
        <v>88</v>
      </c>
      <c r="Q690" s="286">
        <v>107</v>
      </c>
      <c r="R690" s="286">
        <v>52</v>
      </c>
      <c r="S690" s="286">
        <v>55</v>
      </c>
      <c r="T690" s="286">
        <v>84</v>
      </c>
      <c r="U690" s="286">
        <v>51</v>
      </c>
      <c r="V690" s="286">
        <v>33</v>
      </c>
      <c r="W690" s="286">
        <v>23</v>
      </c>
      <c r="X690" s="286">
        <v>1</v>
      </c>
      <c r="Y690" s="286">
        <v>22</v>
      </c>
    </row>
    <row r="691" spans="1:25">
      <c r="A691" s="212">
        <v>6118</v>
      </c>
      <c r="B691" s="212" t="s">
        <v>1642</v>
      </c>
      <c r="C691" s="212">
        <v>1</v>
      </c>
      <c r="D691" s="212" t="s">
        <v>1643</v>
      </c>
      <c r="E691" s="212" t="s">
        <v>3001</v>
      </c>
      <c r="F691" s="212">
        <v>5</v>
      </c>
      <c r="G691" s="212" t="s">
        <v>1645</v>
      </c>
      <c r="H691" s="212">
        <v>0</v>
      </c>
      <c r="I691" s="212" t="s">
        <v>3002</v>
      </c>
      <c r="J691" s="212">
        <v>4130</v>
      </c>
      <c r="K691" s="286">
        <v>102518</v>
      </c>
      <c r="L691" s="286">
        <v>24929</v>
      </c>
      <c r="M691" s="286">
        <v>76891</v>
      </c>
      <c r="N691" s="286">
        <v>447</v>
      </c>
      <c r="O691" s="286">
        <v>151</v>
      </c>
      <c r="P691" s="286">
        <v>296</v>
      </c>
      <c r="Q691" s="286">
        <v>1098</v>
      </c>
      <c r="R691" s="286">
        <v>335</v>
      </c>
      <c r="S691" s="286">
        <v>763</v>
      </c>
      <c r="T691" s="286">
        <v>263</v>
      </c>
      <c r="U691" s="286">
        <v>126</v>
      </c>
      <c r="V691" s="286">
        <v>137</v>
      </c>
      <c r="W691" s="286">
        <v>835</v>
      </c>
      <c r="X691" s="286">
        <v>209</v>
      </c>
      <c r="Y691" s="286">
        <v>626</v>
      </c>
    </row>
    <row r="692" spans="1:25">
      <c r="A692" s="212">
        <v>6127</v>
      </c>
      <c r="B692" s="212" t="s">
        <v>1642</v>
      </c>
      <c r="C692" s="212">
        <v>1</v>
      </c>
      <c r="D692" s="212" t="s">
        <v>1643</v>
      </c>
      <c r="E692" s="212" t="s">
        <v>3003</v>
      </c>
      <c r="F692" s="212">
        <v>6</v>
      </c>
      <c r="G692" s="212" t="s">
        <v>1645</v>
      </c>
      <c r="H692" s="212">
        <v>0</v>
      </c>
      <c r="I692" s="212" t="s">
        <v>3004</v>
      </c>
      <c r="J692" s="212">
        <v>383</v>
      </c>
      <c r="K692" s="286">
        <v>27933</v>
      </c>
      <c r="L692" s="286">
        <v>8448</v>
      </c>
      <c r="M692" s="286">
        <v>19455</v>
      </c>
      <c r="N692" s="286">
        <v>111</v>
      </c>
      <c r="O692" s="286">
        <v>41</v>
      </c>
      <c r="P692" s="286">
        <v>70</v>
      </c>
      <c r="Q692" s="286">
        <v>503</v>
      </c>
      <c r="R692" s="286">
        <v>154</v>
      </c>
      <c r="S692" s="286">
        <v>349</v>
      </c>
      <c r="T692" s="286">
        <v>47</v>
      </c>
      <c r="U692" s="286">
        <v>24</v>
      </c>
      <c r="V692" s="286">
        <v>23</v>
      </c>
      <c r="W692" s="286">
        <v>456</v>
      </c>
      <c r="X692" s="286">
        <v>130</v>
      </c>
      <c r="Y692" s="286">
        <v>326</v>
      </c>
    </row>
    <row r="693" spans="1:25">
      <c r="A693" s="212">
        <v>6136</v>
      </c>
      <c r="B693" s="212" t="s">
        <v>1642</v>
      </c>
      <c r="C693" s="212">
        <v>1</v>
      </c>
      <c r="D693" s="212" t="s">
        <v>1643</v>
      </c>
      <c r="E693" s="212" t="s">
        <v>3005</v>
      </c>
      <c r="F693" s="212">
        <v>6</v>
      </c>
      <c r="G693" s="212" t="s">
        <v>1645</v>
      </c>
      <c r="H693" s="212">
        <v>0</v>
      </c>
      <c r="I693" s="212" t="s">
        <v>3006</v>
      </c>
      <c r="J693" s="212">
        <v>155</v>
      </c>
      <c r="K693" s="286">
        <v>12125</v>
      </c>
      <c r="L693" s="286">
        <v>3553</v>
      </c>
      <c r="M693" s="286">
        <v>8572</v>
      </c>
      <c r="N693" s="286">
        <v>2</v>
      </c>
      <c r="O693" s="286">
        <v>0</v>
      </c>
      <c r="P693" s="286">
        <v>2</v>
      </c>
      <c r="Q693" s="286">
        <v>75</v>
      </c>
      <c r="R693" s="286">
        <v>14</v>
      </c>
      <c r="S693" s="286">
        <v>61</v>
      </c>
      <c r="T693" s="286">
        <v>21</v>
      </c>
      <c r="U693" s="286">
        <v>7</v>
      </c>
      <c r="V693" s="286">
        <v>14</v>
      </c>
      <c r="W693" s="286">
        <v>54</v>
      </c>
      <c r="X693" s="286">
        <v>7</v>
      </c>
      <c r="Y693" s="286">
        <v>47</v>
      </c>
    </row>
    <row r="694" spans="1:25">
      <c r="A694" s="212">
        <v>6145</v>
      </c>
      <c r="B694" s="212" t="s">
        <v>1642</v>
      </c>
      <c r="C694" s="212">
        <v>1</v>
      </c>
      <c r="D694" s="212" t="s">
        <v>1643</v>
      </c>
      <c r="E694" s="212" t="s">
        <v>3007</v>
      </c>
      <c r="F694" s="212">
        <v>6</v>
      </c>
      <c r="G694" s="212" t="s">
        <v>1645</v>
      </c>
      <c r="H694" s="212">
        <v>0</v>
      </c>
      <c r="I694" s="212" t="s">
        <v>3008</v>
      </c>
      <c r="J694" s="212">
        <v>1428</v>
      </c>
      <c r="K694" s="286">
        <v>20689</v>
      </c>
      <c r="L694" s="286">
        <v>4843</v>
      </c>
      <c r="M694" s="286">
        <v>15664</v>
      </c>
      <c r="N694" s="286">
        <v>134</v>
      </c>
      <c r="O694" s="286">
        <v>45</v>
      </c>
      <c r="P694" s="286">
        <v>89</v>
      </c>
      <c r="Q694" s="286">
        <v>137</v>
      </c>
      <c r="R694" s="286">
        <v>46</v>
      </c>
      <c r="S694" s="286">
        <v>91</v>
      </c>
      <c r="T694" s="286">
        <v>58</v>
      </c>
      <c r="U694" s="286">
        <v>30</v>
      </c>
      <c r="V694" s="286">
        <v>28</v>
      </c>
      <c r="W694" s="286">
        <v>79</v>
      </c>
      <c r="X694" s="286">
        <v>16</v>
      </c>
      <c r="Y694" s="286">
        <v>63</v>
      </c>
    </row>
    <row r="695" spans="1:25">
      <c r="A695" s="212">
        <v>6154</v>
      </c>
      <c r="B695" s="212" t="s">
        <v>1642</v>
      </c>
      <c r="C695" s="212">
        <v>1</v>
      </c>
      <c r="D695" s="212" t="s">
        <v>1643</v>
      </c>
      <c r="E695" s="212" t="s">
        <v>3009</v>
      </c>
      <c r="F695" s="212">
        <v>6</v>
      </c>
      <c r="G695" s="212" t="s">
        <v>1645</v>
      </c>
      <c r="H695" s="212">
        <v>0</v>
      </c>
      <c r="I695" s="212" t="s">
        <v>3010</v>
      </c>
      <c r="J695" s="212">
        <v>1102</v>
      </c>
      <c r="K695" s="286">
        <v>22332</v>
      </c>
      <c r="L695" s="286">
        <v>3317</v>
      </c>
      <c r="M695" s="286">
        <v>18711</v>
      </c>
      <c r="N695" s="286">
        <v>180</v>
      </c>
      <c r="O695" s="286">
        <v>58</v>
      </c>
      <c r="P695" s="286">
        <v>122</v>
      </c>
      <c r="Q695" s="286">
        <v>135</v>
      </c>
      <c r="R695" s="286">
        <v>58</v>
      </c>
      <c r="S695" s="286">
        <v>77</v>
      </c>
      <c r="T695" s="286">
        <v>92</v>
      </c>
      <c r="U695" s="286">
        <v>46</v>
      </c>
      <c r="V695" s="286">
        <v>46</v>
      </c>
      <c r="W695" s="286">
        <v>43</v>
      </c>
      <c r="X695" s="286">
        <v>12</v>
      </c>
      <c r="Y695" s="286">
        <v>31</v>
      </c>
    </row>
    <row r="696" spans="1:25">
      <c r="A696" s="212">
        <v>6163</v>
      </c>
      <c r="B696" s="212" t="s">
        <v>1642</v>
      </c>
      <c r="C696" s="212">
        <v>1</v>
      </c>
      <c r="D696" s="212" t="s">
        <v>1643</v>
      </c>
      <c r="E696" s="212" t="s">
        <v>3011</v>
      </c>
      <c r="F696" s="212">
        <v>6</v>
      </c>
      <c r="G696" s="212" t="s">
        <v>1645</v>
      </c>
      <c r="H696" s="212">
        <v>0</v>
      </c>
      <c r="I696" s="212" t="s">
        <v>3012</v>
      </c>
      <c r="J696" s="212">
        <v>286</v>
      </c>
      <c r="K696" s="286">
        <v>6424</v>
      </c>
      <c r="L696" s="286">
        <v>1543</v>
      </c>
      <c r="M696" s="286">
        <v>4718</v>
      </c>
      <c r="N696" s="286">
        <v>2</v>
      </c>
      <c r="O696" s="286">
        <v>2</v>
      </c>
      <c r="P696" s="286">
        <v>0</v>
      </c>
      <c r="Q696" s="286">
        <v>54</v>
      </c>
      <c r="R696" s="286">
        <v>13</v>
      </c>
      <c r="S696" s="286">
        <v>41</v>
      </c>
      <c r="T696" s="286">
        <v>1</v>
      </c>
      <c r="U696" s="286">
        <v>0</v>
      </c>
      <c r="V696" s="286">
        <v>1</v>
      </c>
      <c r="W696" s="286">
        <v>53</v>
      </c>
      <c r="X696" s="286">
        <v>13</v>
      </c>
      <c r="Y696" s="286">
        <v>40</v>
      </c>
    </row>
    <row r="697" spans="1:25">
      <c r="A697" s="212">
        <v>6172</v>
      </c>
      <c r="B697" s="212" t="s">
        <v>1642</v>
      </c>
      <c r="C697" s="212">
        <v>1</v>
      </c>
      <c r="D697" s="212" t="s">
        <v>1643</v>
      </c>
      <c r="E697" s="212" t="s">
        <v>3013</v>
      </c>
      <c r="F697" s="212">
        <v>6</v>
      </c>
      <c r="G697" s="212" t="s">
        <v>1645</v>
      </c>
      <c r="H697" s="212">
        <v>0</v>
      </c>
      <c r="I697" s="212" t="s">
        <v>3014</v>
      </c>
      <c r="J697" s="212">
        <v>173</v>
      </c>
      <c r="K697" s="286">
        <v>6922</v>
      </c>
      <c r="L697" s="286">
        <v>1825</v>
      </c>
      <c r="M697" s="286">
        <v>5097</v>
      </c>
      <c r="N697" s="286">
        <v>11</v>
      </c>
      <c r="O697" s="286">
        <v>2</v>
      </c>
      <c r="P697" s="286">
        <v>9</v>
      </c>
      <c r="Q697" s="286">
        <v>141</v>
      </c>
      <c r="R697" s="286">
        <v>34</v>
      </c>
      <c r="S697" s="286">
        <v>107</v>
      </c>
      <c r="T697" s="286">
        <v>18</v>
      </c>
      <c r="U697" s="286">
        <v>12</v>
      </c>
      <c r="V697" s="286">
        <v>6</v>
      </c>
      <c r="W697" s="286">
        <v>123</v>
      </c>
      <c r="X697" s="286">
        <v>22</v>
      </c>
      <c r="Y697" s="286">
        <v>101</v>
      </c>
    </row>
    <row r="698" spans="1:25">
      <c r="A698" s="212">
        <v>6181</v>
      </c>
      <c r="B698" s="212" t="s">
        <v>1642</v>
      </c>
      <c r="C698" s="212">
        <v>1</v>
      </c>
      <c r="D698" s="212" t="s">
        <v>1643</v>
      </c>
      <c r="E698" s="212" t="s">
        <v>3015</v>
      </c>
      <c r="F698" s="212">
        <v>6</v>
      </c>
      <c r="G698" s="212" t="s">
        <v>1645</v>
      </c>
      <c r="H698" s="212">
        <v>0</v>
      </c>
      <c r="I698" s="212" t="s">
        <v>3016</v>
      </c>
      <c r="J698" s="212">
        <v>603</v>
      </c>
      <c r="K698" s="286">
        <v>6093</v>
      </c>
      <c r="L698" s="286">
        <v>1400</v>
      </c>
      <c r="M698" s="286">
        <v>4674</v>
      </c>
      <c r="N698" s="286">
        <v>7</v>
      </c>
      <c r="O698" s="286">
        <v>3</v>
      </c>
      <c r="P698" s="286">
        <v>4</v>
      </c>
      <c r="Q698" s="286">
        <v>53</v>
      </c>
      <c r="R698" s="286">
        <v>16</v>
      </c>
      <c r="S698" s="286">
        <v>37</v>
      </c>
      <c r="T698" s="286">
        <v>26</v>
      </c>
      <c r="U698" s="286">
        <v>7</v>
      </c>
      <c r="V698" s="286">
        <v>19</v>
      </c>
      <c r="W698" s="286">
        <v>27</v>
      </c>
      <c r="X698" s="286">
        <v>9</v>
      </c>
      <c r="Y698" s="286">
        <v>18</v>
      </c>
    </row>
    <row r="699" spans="1:25">
      <c r="A699" s="212">
        <v>6190</v>
      </c>
      <c r="B699" s="212" t="s">
        <v>1642</v>
      </c>
      <c r="C699" s="212">
        <v>1</v>
      </c>
      <c r="D699" s="212" t="s">
        <v>1643</v>
      </c>
      <c r="E699" s="212" t="s">
        <v>3017</v>
      </c>
      <c r="F699" s="212">
        <v>5</v>
      </c>
      <c r="G699" s="212" t="s">
        <v>1645</v>
      </c>
      <c r="H699" s="212">
        <v>0</v>
      </c>
      <c r="I699" s="212" t="s">
        <v>3018</v>
      </c>
      <c r="J699" s="212">
        <v>1164</v>
      </c>
      <c r="K699" s="286">
        <v>17001</v>
      </c>
      <c r="L699" s="286">
        <v>6139</v>
      </c>
      <c r="M699" s="286">
        <v>10631</v>
      </c>
      <c r="N699" s="286">
        <v>58</v>
      </c>
      <c r="O699" s="286">
        <v>39</v>
      </c>
      <c r="P699" s="286">
        <v>19</v>
      </c>
      <c r="Q699" s="286">
        <v>90</v>
      </c>
      <c r="R699" s="286">
        <v>43</v>
      </c>
      <c r="S699" s="286">
        <v>47</v>
      </c>
      <c r="T699" s="286">
        <v>66</v>
      </c>
      <c r="U699" s="286">
        <v>33</v>
      </c>
      <c r="V699" s="286">
        <v>33</v>
      </c>
      <c r="W699" s="286">
        <v>24</v>
      </c>
      <c r="X699" s="286">
        <v>10</v>
      </c>
      <c r="Y699" s="286">
        <v>14</v>
      </c>
    </row>
    <row r="700" spans="1:25">
      <c r="A700" s="212">
        <v>6199</v>
      </c>
      <c r="B700" s="212" t="s">
        <v>1642</v>
      </c>
      <c r="C700" s="212">
        <v>1</v>
      </c>
      <c r="D700" s="212" t="s">
        <v>1643</v>
      </c>
      <c r="E700" s="212" t="s">
        <v>3019</v>
      </c>
      <c r="F700" s="212">
        <v>5</v>
      </c>
      <c r="G700" s="212" t="s">
        <v>1645</v>
      </c>
      <c r="H700" s="212">
        <v>0</v>
      </c>
      <c r="I700" s="212" t="s">
        <v>3020</v>
      </c>
      <c r="J700" s="212">
        <v>188</v>
      </c>
      <c r="K700" s="286">
        <v>4180</v>
      </c>
      <c r="L700" s="286">
        <v>966</v>
      </c>
      <c r="M700" s="286">
        <v>3214</v>
      </c>
      <c r="N700" s="286">
        <v>81</v>
      </c>
      <c r="O700" s="286">
        <v>28</v>
      </c>
      <c r="P700" s="286">
        <v>53</v>
      </c>
      <c r="Q700" s="286">
        <v>193</v>
      </c>
      <c r="R700" s="286">
        <v>96</v>
      </c>
      <c r="S700" s="286">
        <v>97</v>
      </c>
      <c r="T700" s="286">
        <v>118</v>
      </c>
      <c r="U700" s="286">
        <v>66</v>
      </c>
      <c r="V700" s="286">
        <v>52</v>
      </c>
      <c r="W700" s="286">
        <v>75</v>
      </c>
      <c r="X700" s="286">
        <v>30</v>
      </c>
      <c r="Y700" s="286">
        <v>45</v>
      </c>
    </row>
    <row r="701" spans="1:25">
      <c r="A701" s="212">
        <v>6208</v>
      </c>
      <c r="B701" s="212" t="s">
        <v>1642</v>
      </c>
      <c r="C701" s="212">
        <v>1</v>
      </c>
      <c r="D701" s="212" t="s">
        <v>1643</v>
      </c>
      <c r="E701" s="212" t="s">
        <v>3021</v>
      </c>
      <c r="F701" s="212">
        <v>6</v>
      </c>
      <c r="G701" s="212" t="s">
        <v>1645</v>
      </c>
      <c r="H701" s="212">
        <v>0</v>
      </c>
      <c r="I701" s="212" t="s">
        <v>3022</v>
      </c>
      <c r="J701" s="212">
        <v>8</v>
      </c>
      <c r="K701" s="286">
        <v>128</v>
      </c>
      <c r="L701" s="286">
        <v>76</v>
      </c>
      <c r="M701" s="286">
        <v>52</v>
      </c>
      <c r="N701" s="286">
        <v>0</v>
      </c>
      <c r="O701" s="286">
        <v>0</v>
      </c>
      <c r="P701" s="286">
        <v>0</v>
      </c>
      <c r="Q701" s="286">
        <v>3</v>
      </c>
      <c r="R701" s="286">
        <v>1</v>
      </c>
      <c r="S701" s="286">
        <v>2</v>
      </c>
      <c r="T701" s="286">
        <v>0</v>
      </c>
      <c r="U701" s="286">
        <v>0</v>
      </c>
      <c r="V701" s="286">
        <v>0</v>
      </c>
      <c r="W701" s="286">
        <v>3</v>
      </c>
      <c r="X701" s="286">
        <v>1</v>
      </c>
      <c r="Y701" s="286">
        <v>2</v>
      </c>
    </row>
    <row r="702" spans="1:25">
      <c r="A702" s="212">
        <v>6217</v>
      </c>
      <c r="B702" s="212" t="s">
        <v>1642</v>
      </c>
      <c r="C702" s="212">
        <v>1</v>
      </c>
      <c r="D702" s="212" t="s">
        <v>1643</v>
      </c>
      <c r="E702" s="212" t="s">
        <v>3023</v>
      </c>
      <c r="F702" s="212">
        <v>6</v>
      </c>
      <c r="G702" s="212" t="s">
        <v>1645</v>
      </c>
      <c r="H702" s="212">
        <v>0</v>
      </c>
      <c r="I702" s="212" t="s">
        <v>3024</v>
      </c>
      <c r="J702" s="212">
        <v>180</v>
      </c>
      <c r="K702" s="286">
        <v>4052</v>
      </c>
      <c r="L702" s="286">
        <v>890</v>
      </c>
      <c r="M702" s="286">
        <v>3162</v>
      </c>
      <c r="N702" s="286">
        <v>81</v>
      </c>
      <c r="O702" s="286">
        <v>28</v>
      </c>
      <c r="P702" s="286">
        <v>53</v>
      </c>
      <c r="Q702" s="286">
        <v>190</v>
      </c>
      <c r="R702" s="286">
        <v>95</v>
      </c>
      <c r="S702" s="286">
        <v>95</v>
      </c>
      <c r="T702" s="286">
        <v>118</v>
      </c>
      <c r="U702" s="286">
        <v>66</v>
      </c>
      <c r="V702" s="286">
        <v>52</v>
      </c>
      <c r="W702" s="286">
        <v>72</v>
      </c>
      <c r="X702" s="286">
        <v>29</v>
      </c>
      <c r="Y702" s="286">
        <v>43</v>
      </c>
    </row>
    <row r="703" spans="1:25">
      <c r="A703" s="212">
        <v>6226</v>
      </c>
      <c r="B703" s="212" t="s">
        <v>1642</v>
      </c>
      <c r="C703" s="212">
        <v>1</v>
      </c>
      <c r="D703" s="212" t="s">
        <v>1643</v>
      </c>
      <c r="E703" s="212" t="s">
        <v>3025</v>
      </c>
      <c r="F703" s="212">
        <v>2</v>
      </c>
      <c r="G703" s="212" t="s">
        <v>1645</v>
      </c>
      <c r="H703" s="212">
        <v>0</v>
      </c>
      <c r="I703" s="212" t="s">
        <v>3026</v>
      </c>
      <c r="J703" s="212">
        <v>1282</v>
      </c>
      <c r="K703" s="286">
        <v>17266</v>
      </c>
      <c r="L703" s="286">
        <v>9805</v>
      </c>
      <c r="M703" s="286">
        <v>7461</v>
      </c>
      <c r="N703" s="286">
        <v>69</v>
      </c>
      <c r="O703" s="286">
        <v>50</v>
      </c>
      <c r="P703" s="286">
        <v>19</v>
      </c>
      <c r="Q703" s="286">
        <v>62</v>
      </c>
      <c r="R703" s="286">
        <v>13</v>
      </c>
      <c r="S703" s="286">
        <v>49</v>
      </c>
      <c r="T703" s="286">
        <v>10</v>
      </c>
      <c r="U703" s="286">
        <v>3</v>
      </c>
      <c r="V703" s="286">
        <v>7</v>
      </c>
      <c r="W703" s="286">
        <v>52</v>
      </c>
      <c r="X703" s="286">
        <v>10</v>
      </c>
      <c r="Y703" s="286">
        <v>42</v>
      </c>
    </row>
    <row r="704" spans="1:25">
      <c r="A704" s="212">
        <v>6235</v>
      </c>
      <c r="B704" s="212" t="s">
        <v>1642</v>
      </c>
      <c r="C704" s="212">
        <v>1</v>
      </c>
      <c r="D704" s="212" t="s">
        <v>1643</v>
      </c>
      <c r="E704" s="212" t="s">
        <v>3027</v>
      </c>
      <c r="F704" s="212">
        <v>3</v>
      </c>
      <c r="G704" s="212" t="s">
        <v>1645</v>
      </c>
      <c r="H704" s="212">
        <v>0</v>
      </c>
      <c r="I704" s="212" t="s">
        <v>3028</v>
      </c>
      <c r="J704" s="212">
        <v>956</v>
      </c>
      <c r="K704" s="286">
        <v>11343</v>
      </c>
      <c r="L704" s="286">
        <v>6541</v>
      </c>
      <c r="M704" s="286">
        <v>4802</v>
      </c>
      <c r="N704" s="286">
        <v>15</v>
      </c>
      <c r="O704" s="286">
        <v>4</v>
      </c>
      <c r="P704" s="286">
        <v>11</v>
      </c>
      <c r="Q704" s="286">
        <v>10</v>
      </c>
      <c r="R704" s="286">
        <v>3</v>
      </c>
      <c r="S704" s="286">
        <v>7</v>
      </c>
      <c r="T704" s="286">
        <v>5</v>
      </c>
      <c r="U704" s="286">
        <v>0</v>
      </c>
      <c r="V704" s="286">
        <v>5</v>
      </c>
      <c r="W704" s="286">
        <v>5</v>
      </c>
      <c r="X704" s="286">
        <v>3</v>
      </c>
      <c r="Y704" s="286">
        <v>2</v>
      </c>
    </row>
    <row r="705" spans="1:25">
      <c r="A705" s="212">
        <v>6244</v>
      </c>
      <c r="B705" s="212" t="s">
        <v>1642</v>
      </c>
      <c r="C705" s="212">
        <v>1</v>
      </c>
      <c r="D705" s="212" t="s">
        <v>1643</v>
      </c>
      <c r="E705" s="212" t="s">
        <v>3029</v>
      </c>
      <c r="F705" s="212">
        <v>4</v>
      </c>
      <c r="G705" s="212" t="s">
        <v>1645</v>
      </c>
      <c r="H705" s="212">
        <v>0</v>
      </c>
      <c r="I705" s="212" t="s">
        <v>3030</v>
      </c>
      <c r="J705" s="212">
        <v>956</v>
      </c>
      <c r="K705" s="286">
        <v>11343</v>
      </c>
      <c r="L705" s="286">
        <v>6541</v>
      </c>
      <c r="M705" s="286">
        <v>4802</v>
      </c>
      <c r="N705" s="286">
        <v>15</v>
      </c>
      <c r="O705" s="286">
        <v>4</v>
      </c>
      <c r="P705" s="286">
        <v>11</v>
      </c>
      <c r="Q705" s="286">
        <v>10</v>
      </c>
      <c r="R705" s="286">
        <v>3</v>
      </c>
      <c r="S705" s="286">
        <v>7</v>
      </c>
      <c r="T705" s="286">
        <v>5</v>
      </c>
      <c r="U705" s="286">
        <v>0</v>
      </c>
      <c r="V705" s="286">
        <v>5</v>
      </c>
      <c r="W705" s="286">
        <v>5</v>
      </c>
      <c r="X705" s="286">
        <v>3</v>
      </c>
      <c r="Y705" s="286">
        <v>2</v>
      </c>
    </row>
    <row r="706" spans="1:25">
      <c r="A706" s="212">
        <v>6253</v>
      </c>
      <c r="B706" s="212" t="s">
        <v>1642</v>
      </c>
      <c r="C706" s="212">
        <v>1</v>
      </c>
      <c r="D706" s="212" t="s">
        <v>1643</v>
      </c>
      <c r="E706" s="212" t="s">
        <v>3031</v>
      </c>
      <c r="F706" s="212">
        <v>5</v>
      </c>
      <c r="G706" s="212" t="s">
        <v>1645</v>
      </c>
      <c r="H706" s="212">
        <v>0</v>
      </c>
      <c r="I706" s="212" t="s">
        <v>3032</v>
      </c>
      <c r="J706" s="212">
        <v>1</v>
      </c>
      <c r="K706" s="286">
        <v>24</v>
      </c>
      <c r="L706" s="286">
        <v>18</v>
      </c>
      <c r="M706" s="286">
        <v>6</v>
      </c>
      <c r="N706" s="286">
        <v>0</v>
      </c>
      <c r="O706" s="286">
        <v>0</v>
      </c>
      <c r="P706" s="286">
        <v>0</v>
      </c>
      <c r="Q706" s="286">
        <v>0</v>
      </c>
      <c r="R706" s="286">
        <v>0</v>
      </c>
      <c r="S706" s="286">
        <v>0</v>
      </c>
      <c r="T706" s="286">
        <v>0</v>
      </c>
      <c r="U706" s="286">
        <v>0</v>
      </c>
      <c r="V706" s="286">
        <v>0</v>
      </c>
      <c r="W706" s="286">
        <v>0</v>
      </c>
      <c r="X706" s="286">
        <v>0</v>
      </c>
      <c r="Y706" s="286">
        <v>0</v>
      </c>
    </row>
    <row r="707" spans="1:25">
      <c r="A707" s="212">
        <v>6262</v>
      </c>
      <c r="B707" s="212" t="s">
        <v>1642</v>
      </c>
      <c r="C707" s="212">
        <v>1</v>
      </c>
      <c r="D707" s="212" t="s">
        <v>1643</v>
      </c>
      <c r="E707" s="212" t="s">
        <v>3033</v>
      </c>
      <c r="F707" s="212">
        <v>5</v>
      </c>
      <c r="G707" s="212" t="s">
        <v>1645</v>
      </c>
      <c r="H707" s="212">
        <v>0</v>
      </c>
      <c r="I707" s="212" t="s">
        <v>3034</v>
      </c>
      <c r="J707" s="212">
        <v>828</v>
      </c>
      <c r="K707" s="286">
        <v>10882</v>
      </c>
      <c r="L707" s="286">
        <v>6436</v>
      </c>
      <c r="M707" s="286">
        <v>4446</v>
      </c>
      <c r="N707" s="286">
        <v>0</v>
      </c>
      <c r="O707" s="286">
        <v>0</v>
      </c>
      <c r="P707" s="286">
        <v>0</v>
      </c>
      <c r="Q707" s="286">
        <v>0</v>
      </c>
      <c r="R707" s="286">
        <v>0</v>
      </c>
      <c r="S707" s="286">
        <v>0</v>
      </c>
      <c r="T707" s="286">
        <v>0</v>
      </c>
      <c r="U707" s="286">
        <v>0</v>
      </c>
      <c r="V707" s="286">
        <v>0</v>
      </c>
      <c r="W707" s="286">
        <v>0</v>
      </c>
      <c r="X707" s="286">
        <v>0</v>
      </c>
      <c r="Y707" s="286">
        <v>0</v>
      </c>
    </row>
    <row r="708" spans="1:25">
      <c r="A708" s="212">
        <v>6271</v>
      </c>
      <c r="B708" s="212" t="s">
        <v>1642</v>
      </c>
      <c r="C708" s="212">
        <v>1</v>
      </c>
      <c r="D708" s="212" t="s">
        <v>1643</v>
      </c>
      <c r="E708" s="212" t="s">
        <v>3035</v>
      </c>
      <c r="F708" s="212">
        <v>5</v>
      </c>
      <c r="G708" s="212" t="s">
        <v>1645</v>
      </c>
      <c r="H708" s="212">
        <v>0</v>
      </c>
      <c r="I708" s="212" t="s">
        <v>3036</v>
      </c>
      <c r="J708" s="212">
        <v>127</v>
      </c>
      <c r="K708" s="286">
        <v>437</v>
      </c>
      <c r="L708" s="286">
        <v>87</v>
      </c>
      <c r="M708" s="286">
        <v>350</v>
      </c>
      <c r="N708" s="286">
        <v>15</v>
      </c>
      <c r="O708" s="286">
        <v>4</v>
      </c>
      <c r="P708" s="286">
        <v>11</v>
      </c>
      <c r="Q708" s="286">
        <v>10</v>
      </c>
      <c r="R708" s="286">
        <v>3</v>
      </c>
      <c r="S708" s="286">
        <v>7</v>
      </c>
      <c r="T708" s="286">
        <v>5</v>
      </c>
      <c r="U708" s="286">
        <v>0</v>
      </c>
      <c r="V708" s="286">
        <v>5</v>
      </c>
      <c r="W708" s="286">
        <v>5</v>
      </c>
      <c r="X708" s="286">
        <v>3</v>
      </c>
      <c r="Y708" s="286">
        <v>2</v>
      </c>
    </row>
    <row r="709" spans="1:25">
      <c r="A709" s="212">
        <v>6280</v>
      </c>
      <c r="B709" s="212" t="s">
        <v>1642</v>
      </c>
      <c r="C709" s="212">
        <v>1</v>
      </c>
      <c r="D709" s="212" t="s">
        <v>1643</v>
      </c>
      <c r="E709" s="212" t="s">
        <v>3037</v>
      </c>
      <c r="F709" s="212">
        <v>3</v>
      </c>
      <c r="G709" s="212" t="s">
        <v>1645</v>
      </c>
      <c r="H709" s="212">
        <v>0</v>
      </c>
      <c r="I709" s="212" t="s">
        <v>3038</v>
      </c>
      <c r="J709" s="212">
        <v>326</v>
      </c>
      <c r="K709" s="286">
        <v>5923</v>
      </c>
      <c r="L709" s="286">
        <v>3264</v>
      </c>
      <c r="M709" s="286">
        <v>2659</v>
      </c>
      <c r="N709" s="286">
        <v>54</v>
      </c>
      <c r="O709" s="286">
        <v>46</v>
      </c>
      <c r="P709" s="286">
        <v>8</v>
      </c>
      <c r="Q709" s="286">
        <v>52</v>
      </c>
      <c r="R709" s="286">
        <v>10</v>
      </c>
      <c r="S709" s="286">
        <v>42</v>
      </c>
      <c r="T709" s="286">
        <v>5</v>
      </c>
      <c r="U709" s="286">
        <v>3</v>
      </c>
      <c r="V709" s="286">
        <v>2</v>
      </c>
      <c r="W709" s="286">
        <v>47</v>
      </c>
      <c r="X709" s="286">
        <v>7</v>
      </c>
      <c r="Y709" s="286">
        <v>40</v>
      </c>
    </row>
    <row r="710" spans="1:25">
      <c r="A710" s="212">
        <v>6289</v>
      </c>
      <c r="B710" s="212" t="s">
        <v>1642</v>
      </c>
      <c r="C710" s="212">
        <v>1</v>
      </c>
      <c r="D710" s="212" t="s">
        <v>1643</v>
      </c>
      <c r="E710" s="212" t="s">
        <v>3039</v>
      </c>
      <c r="F710" s="212">
        <v>4</v>
      </c>
      <c r="G710" s="212" t="s">
        <v>1645</v>
      </c>
      <c r="H710" s="212">
        <v>0</v>
      </c>
      <c r="I710" s="212" t="s">
        <v>3040</v>
      </c>
      <c r="J710" s="212">
        <v>326</v>
      </c>
      <c r="K710" s="286">
        <v>5923</v>
      </c>
      <c r="L710" s="286">
        <v>3264</v>
      </c>
      <c r="M710" s="286">
        <v>2659</v>
      </c>
      <c r="N710" s="286">
        <v>54</v>
      </c>
      <c r="O710" s="286">
        <v>46</v>
      </c>
      <c r="P710" s="286">
        <v>8</v>
      </c>
      <c r="Q710" s="286">
        <v>52</v>
      </c>
      <c r="R710" s="286">
        <v>10</v>
      </c>
      <c r="S710" s="286">
        <v>42</v>
      </c>
      <c r="T710" s="286">
        <v>5</v>
      </c>
      <c r="U710" s="286">
        <v>3</v>
      </c>
      <c r="V710" s="286">
        <v>2</v>
      </c>
      <c r="W710" s="286">
        <v>47</v>
      </c>
      <c r="X710" s="286">
        <v>7</v>
      </c>
      <c r="Y710" s="286">
        <v>40</v>
      </c>
    </row>
    <row r="711" spans="1:25">
      <c r="A711" s="212">
        <v>6298</v>
      </c>
      <c r="B711" s="212" t="s">
        <v>1642</v>
      </c>
      <c r="C711" s="212">
        <v>1</v>
      </c>
      <c r="D711" s="212" t="s">
        <v>1643</v>
      </c>
      <c r="E711" s="212" t="s">
        <v>3041</v>
      </c>
      <c r="F711" s="212">
        <v>5</v>
      </c>
      <c r="G711" s="212" t="s">
        <v>1645</v>
      </c>
      <c r="H711" s="212">
        <v>0</v>
      </c>
      <c r="I711" s="212" t="s">
        <v>3042</v>
      </c>
      <c r="J711" s="212">
        <v>7</v>
      </c>
      <c r="K711" s="286">
        <v>521</v>
      </c>
      <c r="L711" s="286">
        <v>293</v>
      </c>
      <c r="M711" s="286">
        <v>228</v>
      </c>
      <c r="N711" s="286">
        <v>43</v>
      </c>
      <c r="O711" s="286">
        <v>35</v>
      </c>
      <c r="P711" s="286">
        <v>8</v>
      </c>
      <c r="Q711" s="286">
        <v>0</v>
      </c>
      <c r="R711" s="286">
        <v>0</v>
      </c>
      <c r="S711" s="286">
        <v>0</v>
      </c>
      <c r="T711" s="286">
        <v>0</v>
      </c>
      <c r="U711" s="286">
        <v>0</v>
      </c>
      <c r="V711" s="286">
        <v>0</v>
      </c>
      <c r="W711" s="286">
        <v>0</v>
      </c>
      <c r="X711" s="286">
        <v>0</v>
      </c>
      <c r="Y711" s="286">
        <v>0</v>
      </c>
    </row>
    <row r="712" spans="1:25">
      <c r="A712" s="212">
        <v>6307</v>
      </c>
      <c r="B712" s="212" t="s">
        <v>1642</v>
      </c>
      <c r="C712" s="212">
        <v>1</v>
      </c>
      <c r="D712" s="212" t="s">
        <v>1643</v>
      </c>
      <c r="E712" s="212" t="s">
        <v>3043</v>
      </c>
      <c r="F712" s="212">
        <v>5</v>
      </c>
      <c r="G712" s="212" t="s">
        <v>1645</v>
      </c>
      <c r="H712" s="212">
        <v>0</v>
      </c>
      <c r="I712" s="212" t="s">
        <v>3044</v>
      </c>
      <c r="J712" s="212">
        <v>294</v>
      </c>
      <c r="K712" s="286">
        <v>5305</v>
      </c>
      <c r="L712" s="286">
        <v>2913</v>
      </c>
      <c r="M712" s="286">
        <v>2392</v>
      </c>
      <c r="N712" s="286">
        <v>11</v>
      </c>
      <c r="O712" s="286">
        <v>11</v>
      </c>
      <c r="P712" s="286">
        <v>0</v>
      </c>
      <c r="Q712" s="286">
        <v>49</v>
      </c>
      <c r="R712" s="286">
        <v>8</v>
      </c>
      <c r="S712" s="286">
        <v>41</v>
      </c>
      <c r="T712" s="286">
        <v>3</v>
      </c>
      <c r="U712" s="286">
        <v>2</v>
      </c>
      <c r="V712" s="286">
        <v>1</v>
      </c>
      <c r="W712" s="286">
        <v>46</v>
      </c>
      <c r="X712" s="286">
        <v>6</v>
      </c>
      <c r="Y712" s="286">
        <v>40</v>
      </c>
    </row>
    <row r="713" spans="1:25">
      <c r="A713" s="212">
        <v>6316</v>
      </c>
      <c r="B713" s="212" t="s">
        <v>1642</v>
      </c>
      <c r="C713" s="212">
        <v>1</v>
      </c>
      <c r="D713" s="212" t="s">
        <v>1643</v>
      </c>
      <c r="E713" s="212" t="s">
        <v>3045</v>
      </c>
      <c r="F713" s="212">
        <v>5</v>
      </c>
      <c r="G713" s="212" t="s">
        <v>1645</v>
      </c>
      <c r="H713" s="212">
        <v>0</v>
      </c>
      <c r="I713" s="212" t="s">
        <v>3046</v>
      </c>
      <c r="J713" s="212">
        <v>25</v>
      </c>
      <c r="K713" s="286">
        <v>97</v>
      </c>
      <c r="L713" s="286">
        <v>58</v>
      </c>
      <c r="M713" s="286">
        <v>39</v>
      </c>
      <c r="N713" s="286">
        <v>0</v>
      </c>
      <c r="O713" s="286">
        <v>0</v>
      </c>
      <c r="P713" s="286">
        <v>0</v>
      </c>
      <c r="Q713" s="286">
        <v>3</v>
      </c>
      <c r="R713" s="286">
        <v>2</v>
      </c>
      <c r="S713" s="286">
        <v>1</v>
      </c>
      <c r="T713" s="286">
        <v>2</v>
      </c>
      <c r="U713" s="286">
        <v>1</v>
      </c>
      <c r="V713" s="286">
        <v>1</v>
      </c>
      <c r="W713" s="286">
        <v>1</v>
      </c>
      <c r="X713" s="286">
        <v>1</v>
      </c>
      <c r="Y713" s="286">
        <v>0</v>
      </c>
    </row>
    <row r="714" spans="1:25">
      <c r="A714" s="212">
        <v>6325</v>
      </c>
      <c r="B714" s="212" t="s">
        <v>1642</v>
      </c>
      <c r="C714" s="212">
        <v>1</v>
      </c>
      <c r="D714" s="212" t="s">
        <v>1643</v>
      </c>
      <c r="E714" s="212" t="s">
        <v>3047</v>
      </c>
      <c r="F714" s="212">
        <v>2</v>
      </c>
      <c r="G714" s="212" t="s">
        <v>1645</v>
      </c>
      <c r="H714" s="212">
        <v>0</v>
      </c>
      <c r="I714" s="212" t="s">
        <v>3048</v>
      </c>
      <c r="J714" s="212">
        <v>13830</v>
      </c>
      <c r="K714" s="286">
        <v>165131</v>
      </c>
      <c r="L714" s="286">
        <v>95348</v>
      </c>
      <c r="M714" s="286">
        <v>68695</v>
      </c>
      <c r="N714" s="286">
        <v>18802</v>
      </c>
      <c r="O714" s="286">
        <v>6768</v>
      </c>
      <c r="P714" s="286">
        <v>12032</v>
      </c>
      <c r="Q714" s="286">
        <v>5723</v>
      </c>
      <c r="R714" s="286">
        <v>4212</v>
      </c>
      <c r="S714" s="286">
        <v>1510</v>
      </c>
      <c r="T714" s="286">
        <v>2848</v>
      </c>
      <c r="U714" s="286">
        <v>2330</v>
      </c>
      <c r="V714" s="286">
        <v>517</v>
      </c>
      <c r="W714" s="286">
        <v>2865</v>
      </c>
      <c r="X714" s="286">
        <v>1878</v>
      </c>
      <c r="Y714" s="286">
        <v>987</v>
      </c>
    </row>
    <row r="715" spans="1:25">
      <c r="A715" s="212">
        <v>6334</v>
      </c>
      <c r="B715" s="212" t="s">
        <v>1642</v>
      </c>
      <c r="C715" s="212">
        <v>1</v>
      </c>
      <c r="D715" s="212" t="s">
        <v>1643</v>
      </c>
      <c r="E715" s="212" t="s">
        <v>3049</v>
      </c>
      <c r="F715" s="212">
        <v>3</v>
      </c>
      <c r="G715" s="212" t="s">
        <v>1645</v>
      </c>
      <c r="H715" s="212">
        <v>0</v>
      </c>
      <c r="I715" s="212" t="s">
        <v>3050</v>
      </c>
      <c r="J715" s="212">
        <v>6511</v>
      </c>
      <c r="K715" s="286">
        <v>20960</v>
      </c>
      <c r="L715" s="286">
        <v>11799</v>
      </c>
      <c r="M715" s="286">
        <v>9128</v>
      </c>
      <c r="N715" s="286">
        <v>68</v>
      </c>
      <c r="O715" s="286">
        <v>40</v>
      </c>
      <c r="P715" s="286">
        <v>28</v>
      </c>
      <c r="Q715" s="286">
        <v>709</v>
      </c>
      <c r="R715" s="286">
        <v>444</v>
      </c>
      <c r="S715" s="286">
        <v>265</v>
      </c>
      <c r="T715" s="286">
        <v>499</v>
      </c>
      <c r="U715" s="286">
        <v>357</v>
      </c>
      <c r="V715" s="286">
        <v>142</v>
      </c>
      <c r="W715" s="286">
        <v>209</v>
      </c>
      <c r="X715" s="286">
        <v>86</v>
      </c>
      <c r="Y715" s="286">
        <v>123</v>
      </c>
    </row>
    <row r="716" spans="1:25">
      <c r="A716" s="212">
        <v>6343</v>
      </c>
      <c r="B716" s="212" t="s">
        <v>1642</v>
      </c>
      <c r="C716" s="212">
        <v>1</v>
      </c>
      <c r="D716" s="212" t="s">
        <v>1643</v>
      </c>
      <c r="E716" s="212" t="s">
        <v>3051</v>
      </c>
      <c r="F716" s="212">
        <v>4</v>
      </c>
      <c r="G716" s="212" t="s">
        <v>1645</v>
      </c>
      <c r="H716" s="212">
        <v>0</v>
      </c>
      <c r="I716" s="212" t="s">
        <v>3052</v>
      </c>
      <c r="J716" s="212">
        <v>1801</v>
      </c>
      <c r="K716" s="286">
        <v>8846</v>
      </c>
      <c r="L716" s="286">
        <v>4763</v>
      </c>
      <c r="M716" s="286">
        <v>4051</v>
      </c>
      <c r="N716" s="286">
        <v>39</v>
      </c>
      <c r="O716" s="286">
        <v>19</v>
      </c>
      <c r="P716" s="286">
        <v>20</v>
      </c>
      <c r="Q716" s="286">
        <v>577</v>
      </c>
      <c r="R716" s="286">
        <v>355</v>
      </c>
      <c r="S716" s="286">
        <v>222</v>
      </c>
      <c r="T716" s="286">
        <v>393</v>
      </c>
      <c r="U716" s="286">
        <v>282</v>
      </c>
      <c r="V716" s="286">
        <v>111</v>
      </c>
      <c r="W716" s="286">
        <v>183</v>
      </c>
      <c r="X716" s="286">
        <v>72</v>
      </c>
      <c r="Y716" s="286">
        <v>111</v>
      </c>
    </row>
    <row r="717" spans="1:25">
      <c r="A717" s="212">
        <v>6352</v>
      </c>
      <c r="B717" s="212" t="s">
        <v>1642</v>
      </c>
      <c r="C717" s="212">
        <v>1</v>
      </c>
      <c r="D717" s="212" t="s">
        <v>1643</v>
      </c>
      <c r="E717" s="212" t="s">
        <v>3053</v>
      </c>
      <c r="F717" s="212">
        <v>5</v>
      </c>
      <c r="G717" s="212" t="s">
        <v>1645</v>
      </c>
      <c r="H717" s="212">
        <v>0</v>
      </c>
      <c r="I717" s="212" t="s">
        <v>3054</v>
      </c>
      <c r="J717" s="212">
        <v>746</v>
      </c>
      <c r="K717" s="286">
        <v>3586</v>
      </c>
      <c r="L717" s="286">
        <v>1994</v>
      </c>
      <c r="M717" s="286">
        <v>1587</v>
      </c>
      <c r="N717" s="286">
        <v>24</v>
      </c>
      <c r="O717" s="286">
        <v>14</v>
      </c>
      <c r="P717" s="286">
        <v>10</v>
      </c>
      <c r="Q717" s="286">
        <v>184</v>
      </c>
      <c r="R717" s="286">
        <v>128</v>
      </c>
      <c r="S717" s="286">
        <v>56</v>
      </c>
      <c r="T717" s="286">
        <v>131</v>
      </c>
      <c r="U717" s="286">
        <v>111</v>
      </c>
      <c r="V717" s="286">
        <v>20</v>
      </c>
      <c r="W717" s="286">
        <v>52</v>
      </c>
      <c r="X717" s="286">
        <v>16</v>
      </c>
      <c r="Y717" s="286">
        <v>36</v>
      </c>
    </row>
    <row r="718" spans="1:25">
      <c r="A718" s="212">
        <v>6361</v>
      </c>
      <c r="B718" s="212" t="s">
        <v>1642</v>
      </c>
      <c r="C718" s="212">
        <v>1</v>
      </c>
      <c r="D718" s="212" t="s">
        <v>1643</v>
      </c>
      <c r="E718" s="212" t="s">
        <v>3055</v>
      </c>
      <c r="F718" s="212">
        <v>5</v>
      </c>
      <c r="G718" s="212" t="s">
        <v>1645</v>
      </c>
      <c r="H718" s="212">
        <v>0</v>
      </c>
      <c r="I718" s="212" t="s">
        <v>3056</v>
      </c>
      <c r="J718" s="212">
        <v>242</v>
      </c>
      <c r="K718" s="286">
        <v>1011</v>
      </c>
      <c r="L718" s="286">
        <v>644</v>
      </c>
      <c r="M718" s="286">
        <v>366</v>
      </c>
      <c r="N718" s="286">
        <v>3</v>
      </c>
      <c r="O718" s="286">
        <v>3</v>
      </c>
      <c r="P718" s="286">
        <v>0</v>
      </c>
      <c r="Q718" s="286">
        <v>97</v>
      </c>
      <c r="R718" s="286">
        <v>63</v>
      </c>
      <c r="S718" s="286">
        <v>34</v>
      </c>
      <c r="T718" s="286">
        <v>67</v>
      </c>
      <c r="U718" s="286">
        <v>54</v>
      </c>
      <c r="V718" s="286">
        <v>13</v>
      </c>
      <c r="W718" s="286">
        <v>30</v>
      </c>
      <c r="X718" s="286">
        <v>9</v>
      </c>
      <c r="Y718" s="286">
        <v>21</v>
      </c>
    </row>
    <row r="719" spans="1:25">
      <c r="A719" s="212">
        <v>6370</v>
      </c>
      <c r="B719" s="212" t="s">
        <v>1642</v>
      </c>
      <c r="C719" s="212">
        <v>1</v>
      </c>
      <c r="D719" s="212" t="s">
        <v>1643</v>
      </c>
      <c r="E719" s="212" t="s">
        <v>3057</v>
      </c>
      <c r="F719" s="212">
        <v>5</v>
      </c>
      <c r="G719" s="212" t="s">
        <v>1645</v>
      </c>
      <c r="H719" s="212">
        <v>0</v>
      </c>
      <c r="I719" s="212" t="s">
        <v>3058</v>
      </c>
      <c r="J719" s="212">
        <v>34</v>
      </c>
      <c r="K719" s="286">
        <v>359</v>
      </c>
      <c r="L719" s="286">
        <v>167</v>
      </c>
      <c r="M719" s="286">
        <v>192</v>
      </c>
      <c r="N719" s="286">
        <v>0</v>
      </c>
      <c r="O719" s="286">
        <v>0</v>
      </c>
      <c r="P719" s="286">
        <v>0</v>
      </c>
      <c r="Q719" s="286">
        <v>44</v>
      </c>
      <c r="R719" s="286">
        <v>19</v>
      </c>
      <c r="S719" s="286">
        <v>25</v>
      </c>
      <c r="T719" s="286">
        <v>18</v>
      </c>
      <c r="U719" s="286">
        <v>12</v>
      </c>
      <c r="V719" s="286">
        <v>6</v>
      </c>
      <c r="W719" s="286">
        <v>26</v>
      </c>
      <c r="X719" s="286">
        <v>7</v>
      </c>
      <c r="Y719" s="286">
        <v>19</v>
      </c>
    </row>
    <row r="720" spans="1:25">
      <c r="A720" s="212">
        <v>6379</v>
      </c>
      <c r="B720" s="212" t="s">
        <v>1642</v>
      </c>
      <c r="C720" s="212">
        <v>1</v>
      </c>
      <c r="D720" s="212" t="s">
        <v>1643</v>
      </c>
      <c r="E720" s="212" t="s">
        <v>3059</v>
      </c>
      <c r="F720" s="212">
        <v>5</v>
      </c>
      <c r="G720" s="212" t="s">
        <v>1645</v>
      </c>
      <c r="H720" s="212">
        <v>0</v>
      </c>
      <c r="I720" s="212" t="s">
        <v>3060</v>
      </c>
      <c r="J720" s="212">
        <v>62</v>
      </c>
      <c r="K720" s="286">
        <v>220</v>
      </c>
      <c r="L720" s="286">
        <v>135</v>
      </c>
      <c r="M720" s="286">
        <v>85</v>
      </c>
      <c r="N720" s="286">
        <v>0</v>
      </c>
      <c r="O720" s="286">
        <v>0</v>
      </c>
      <c r="P720" s="286">
        <v>0</v>
      </c>
      <c r="Q720" s="286">
        <v>2</v>
      </c>
      <c r="R720" s="286">
        <v>1</v>
      </c>
      <c r="S720" s="286">
        <v>1</v>
      </c>
      <c r="T720" s="286">
        <v>2</v>
      </c>
      <c r="U720" s="286">
        <v>1</v>
      </c>
      <c r="V720" s="286">
        <v>1</v>
      </c>
      <c r="W720" s="286">
        <v>0</v>
      </c>
      <c r="X720" s="286">
        <v>0</v>
      </c>
      <c r="Y720" s="286">
        <v>0</v>
      </c>
    </row>
    <row r="721" spans="1:25">
      <c r="A721" s="212">
        <v>6388</v>
      </c>
      <c r="B721" s="212" t="s">
        <v>1642</v>
      </c>
      <c r="C721" s="212">
        <v>1</v>
      </c>
      <c r="D721" s="212" t="s">
        <v>1643</v>
      </c>
      <c r="E721" s="212" t="s">
        <v>3061</v>
      </c>
      <c r="F721" s="212">
        <v>5</v>
      </c>
      <c r="G721" s="212" t="s">
        <v>1645</v>
      </c>
      <c r="H721" s="212">
        <v>0</v>
      </c>
      <c r="I721" s="212" t="s">
        <v>3062</v>
      </c>
      <c r="J721" s="212">
        <v>717</v>
      </c>
      <c r="K721" s="286">
        <v>3670</v>
      </c>
      <c r="L721" s="286">
        <v>1823</v>
      </c>
      <c r="M721" s="286">
        <v>1821</v>
      </c>
      <c r="N721" s="286">
        <v>12</v>
      </c>
      <c r="O721" s="286">
        <v>2</v>
      </c>
      <c r="P721" s="286">
        <v>10</v>
      </c>
      <c r="Q721" s="286">
        <v>250</v>
      </c>
      <c r="R721" s="286">
        <v>144</v>
      </c>
      <c r="S721" s="286">
        <v>106</v>
      </c>
      <c r="T721" s="286">
        <v>175</v>
      </c>
      <c r="U721" s="286">
        <v>104</v>
      </c>
      <c r="V721" s="286">
        <v>71</v>
      </c>
      <c r="W721" s="286">
        <v>75</v>
      </c>
      <c r="X721" s="286">
        <v>40</v>
      </c>
      <c r="Y721" s="286">
        <v>35</v>
      </c>
    </row>
    <row r="722" spans="1:25">
      <c r="A722" s="212">
        <v>6397</v>
      </c>
      <c r="B722" s="212" t="s">
        <v>1642</v>
      </c>
      <c r="C722" s="212">
        <v>1</v>
      </c>
      <c r="D722" s="212" t="s">
        <v>1643</v>
      </c>
      <c r="E722" s="212" t="s">
        <v>3063</v>
      </c>
      <c r="F722" s="212">
        <v>4</v>
      </c>
      <c r="G722" s="212" t="s">
        <v>1645</v>
      </c>
      <c r="H722" s="212">
        <v>0</v>
      </c>
      <c r="I722" s="212" t="s">
        <v>3064</v>
      </c>
      <c r="J722" s="212">
        <v>4710</v>
      </c>
      <c r="K722" s="286">
        <v>12114</v>
      </c>
      <c r="L722" s="286">
        <v>7036</v>
      </c>
      <c r="M722" s="286">
        <v>5077</v>
      </c>
      <c r="N722" s="286">
        <v>29</v>
      </c>
      <c r="O722" s="286">
        <v>21</v>
      </c>
      <c r="P722" s="286">
        <v>8</v>
      </c>
      <c r="Q722" s="286">
        <v>132</v>
      </c>
      <c r="R722" s="286">
        <v>89</v>
      </c>
      <c r="S722" s="286">
        <v>43</v>
      </c>
      <c r="T722" s="286">
        <v>106</v>
      </c>
      <c r="U722" s="286">
        <v>75</v>
      </c>
      <c r="V722" s="286">
        <v>31</v>
      </c>
      <c r="W722" s="286">
        <v>26</v>
      </c>
      <c r="X722" s="286">
        <v>14</v>
      </c>
      <c r="Y722" s="286">
        <v>12</v>
      </c>
    </row>
    <row r="723" spans="1:25">
      <c r="A723" s="212">
        <v>6406</v>
      </c>
      <c r="B723" s="212" t="s">
        <v>1642</v>
      </c>
      <c r="C723" s="212">
        <v>1</v>
      </c>
      <c r="D723" s="212" t="s">
        <v>1643</v>
      </c>
      <c r="E723" s="212" t="s">
        <v>3065</v>
      </c>
      <c r="F723" s="212">
        <v>5</v>
      </c>
      <c r="G723" s="212" t="s">
        <v>1645</v>
      </c>
      <c r="H723" s="212">
        <v>0</v>
      </c>
      <c r="I723" s="212" t="s">
        <v>3066</v>
      </c>
      <c r="J723" s="212">
        <v>555</v>
      </c>
      <c r="K723" s="286">
        <v>1966</v>
      </c>
      <c r="L723" s="286">
        <v>1056</v>
      </c>
      <c r="M723" s="286">
        <v>910</v>
      </c>
      <c r="N723" s="286">
        <v>12</v>
      </c>
      <c r="O723" s="286">
        <v>7</v>
      </c>
      <c r="P723" s="286">
        <v>5</v>
      </c>
      <c r="Q723" s="286">
        <v>28</v>
      </c>
      <c r="R723" s="286">
        <v>24</v>
      </c>
      <c r="S723" s="286">
        <v>4</v>
      </c>
      <c r="T723" s="286">
        <v>25</v>
      </c>
      <c r="U723" s="286">
        <v>21</v>
      </c>
      <c r="V723" s="286">
        <v>4</v>
      </c>
      <c r="W723" s="286">
        <v>3</v>
      </c>
      <c r="X723" s="286">
        <v>3</v>
      </c>
      <c r="Y723" s="286">
        <v>0</v>
      </c>
    </row>
    <row r="724" spans="1:25">
      <c r="A724" s="212">
        <v>6415</v>
      </c>
      <c r="B724" s="212" t="s">
        <v>1642</v>
      </c>
      <c r="C724" s="212">
        <v>1</v>
      </c>
      <c r="D724" s="212" t="s">
        <v>1643</v>
      </c>
      <c r="E724" s="212" t="s">
        <v>3067</v>
      </c>
      <c r="F724" s="212">
        <v>5</v>
      </c>
      <c r="G724" s="212" t="s">
        <v>1645</v>
      </c>
      <c r="H724" s="212">
        <v>0</v>
      </c>
      <c r="I724" s="212" t="s">
        <v>3068</v>
      </c>
      <c r="J724" s="212">
        <v>2699</v>
      </c>
      <c r="K724" s="286">
        <v>7203</v>
      </c>
      <c r="L724" s="286">
        <v>4236</v>
      </c>
      <c r="M724" s="286">
        <v>2967</v>
      </c>
      <c r="N724" s="286">
        <v>7</v>
      </c>
      <c r="O724" s="286">
        <v>7</v>
      </c>
      <c r="P724" s="286">
        <v>0</v>
      </c>
      <c r="Q724" s="286">
        <v>29</v>
      </c>
      <c r="R724" s="286">
        <v>18</v>
      </c>
      <c r="S724" s="286">
        <v>11</v>
      </c>
      <c r="T724" s="286">
        <v>12</v>
      </c>
      <c r="U724" s="286">
        <v>11</v>
      </c>
      <c r="V724" s="286">
        <v>1</v>
      </c>
      <c r="W724" s="286">
        <v>17</v>
      </c>
      <c r="X724" s="286">
        <v>7</v>
      </c>
      <c r="Y724" s="286">
        <v>10</v>
      </c>
    </row>
    <row r="725" spans="1:25">
      <c r="A725" s="212">
        <v>6424</v>
      </c>
      <c r="B725" s="212" t="s">
        <v>1642</v>
      </c>
      <c r="C725" s="212">
        <v>1</v>
      </c>
      <c r="D725" s="212" t="s">
        <v>1643</v>
      </c>
      <c r="E725" s="212" t="s">
        <v>3069</v>
      </c>
      <c r="F725" s="212">
        <v>5</v>
      </c>
      <c r="G725" s="212" t="s">
        <v>1645</v>
      </c>
      <c r="H725" s="212">
        <v>0</v>
      </c>
      <c r="I725" s="212" t="s">
        <v>3070</v>
      </c>
      <c r="J725" s="212">
        <v>423</v>
      </c>
      <c r="K725" s="286">
        <v>901</v>
      </c>
      <c r="L725" s="286">
        <v>517</v>
      </c>
      <c r="M725" s="286">
        <v>384</v>
      </c>
      <c r="N725" s="286">
        <v>0</v>
      </c>
      <c r="O725" s="286">
        <v>0</v>
      </c>
      <c r="P725" s="286">
        <v>0</v>
      </c>
      <c r="Q725" s="286">
        <v>42</v>
      </c>
      <c r="R725" s="286">
        <v>18</v>
      </c>
      <c r="S725" s="286">
        <v>24</v>
      </c>
      <c r="T725" s="286">
        <v>37</v>
      </c>
      <c r="U725" s="286">
        <v>15</v>
      </c>
      <c r="V725" s="286">
        <v>22</v>
      </c>
      <c r="W725" s="286">
        <v>5</v>
      </c>
      <c r="X725" s="286">
        <v>3</v>
      </c>
      <c r="Y725" s="286">
        <v>2</v>
      </c>
    </row>
    <row r="726" spans="1:25">
      <c r="A726" s="212">
        <v>6433</v>
      </c>
      <c r="B726" s="212" t="s">
        <v>1642</v>
      </c>
      <c r="C726" s="212">
        <v>1</v>
      </c>
      <c r="D726" s="212" t="s">
        <v>1643</v>
      </c>
      <c r="E726" s="212" t="s">
        <v>3071</v>
      </c>
      <c r="F726" s="212">
        <v>5</v>
      </c>
      <c r="G726" s="212" t="s">
        <v>1645</v>
      </c>
      <c r="H726" s="212">
        <v>0</v>
      </c>
      <c r="I726" s="212" t="s">
        <v>3072</v>
      </c>
      <c r="J726" s="212">
        <v>1033</v>
      </c>
      <c r="K726" s="286">
        <v>2044</v>
      </c>
      <c r="L726" s="286">
        <v>1227</v>
      </c>
      <c r="M726" s="286">
        <v>816</v>
      </c>
      <c r="N726" s="286">
        <v>10</v>
      </c>
      <c r="O726" s="286">
        <v>7</v>
      </c>
      <c r="P726" s="286">
        <v>3</v>
      </c>
      <c r="Q726" s="286">
        <v>33</v>
      </c>
      <c r="R726" s="286">
        <v>29</v>
      </c>
      <c r="S726" s="286">
        <v>4</v>
      </c>
      <c r="T726" s="286">
        <v>32</v>
      </c>
      <c r="U726" s="286">
        <v>28</v>
      </c>
      <c r="V726" s="286">
        <v>4</v>
      </c>
      <c r="W726" s="286">
        <v>1</v>
      </c>
      <c r="X726" s="286">
        <v>1</v>
      </c>
      <c r="Y726" s="286">
        <v>0</v>
      </c>
    </row>
    <row r="727" spans="1:25">
      <c r="A727" s="212">
        <v>6442</v>
      </c>
      <c r="B727" s="212" t="s">
        <v>1642</v>
      </c>
      <c r="C727" s="212">
        <v>1</v>
      </c>
      <c r="D727" s="212" t="s">
        <v>1643</v>
      </c>
      <c r="E727" s="212" t="s">
        <v>3073</v>
      </c>
      <c r="F727" s="212">
        <v>3</v>
      </c>
      <c r="G727" s="212" t="s">
        <v>1645</v>
      </c>
      <c r="H727" s="212">
        <v>0</v>
      </c>
      <c r="I727" s="212" t="s">
        <v>3074</v>
      </c>
      <c r="J727" s="212">
        <v>7319</v>
      </c>
      <c r="K727" s="286">
        <v>144171</v>
      </c>
      <c r="L727" s="286">
        <v>83549</v>
      </c>
      <c r="M727" s="286">
        <v>59567</v>
      </c>
      <c r="N727" s="286">
        <v>18734</v>
      </c>
      <c r="O727" s="286">
        <v>6728</v>
      </c>
      <c r="P727" s="286">
        <v>12004</v>
      </c>
      <c r="Q727" s="286">
        <v>5014</v>
      </c>
      <c r="R727" s="286">
        <v>3768</v>
      </c>
      <c r="S727" s="286">
        <v>1245</v>
      </c>
      <c r="T727" s="286">
        <v>2349</v>
      </c>
      <c r="U727" s="286">
        <v>1973</v>
      </c>
      <c r="V727" s="286">
        <v>375</v>
      </c>
      <c r="W727" s="286">
        <v>2656</v>
      </c>
      <c r="X727" s="286">
        <v>1792</v>
      </c>
      <c r="Y727" s="286">
        <v>864</v>
      </c>
    </row>
    <row r="728" spans="1:25">
      <c r="A728" s="212">
        <v>6451</v>
      </c>
      <c r="B728" s="212" t="s">
        <v>1642</v>
      </c>
      <c r="C728" s="212">
        <v>1</v>
      </c>
      <c r="D728" s="212" t="s">
        <v>1643</v>
      </c>
      <c r="E728" s="212" t="s">
        <v>3075</v>
      </c>
      <c r="F728" s="212">
        <v>4</v>
      </c>
      <c r="G728" s="212" t="s">
        <v>1645</v>
      </c>
      <c r="H728" s="212">
        <v>0</v>
      </c>
      <c r="I728" s="212" t="s">
        <v>3076</v>
      </c>
      <c r="J728" s="212">
        <v>642</v>
      </c>
      <c r="K728" s="286">
        <v>8486</v>
      </c>
      <c r="L728" s="286">
        <v>7064</v>
      </c>
      <c r="M728" s="286">
        <v>1398</v>
      </c>
      <c r="N728" s="286">
        <v>111</v>
      </c>
      <c r="O728" s="286">
        <v>98</v>
      </c>
      <c r="P728" s="286">
        <v>13</v>
      </c>
      <c r="Q728" s="286">
        <v>493</v>
      </c>
      <c r="R728" s="286">
        <v>459</v>
      </c>
      <c r="S728" s="286">
        <v>34</v>
      </c>
      <c r="T728" s="286">
        <v>259</v>
      </c>
      <c r="U728" s="286">
        <v>249</v>
      </c>
      <c r="V728" s="286">
        <v>10</v>
      </c>
      <c r="W728" s="286">
        <v>234</v>
      </c>
      <c r="X728" s="286">
        <v>210</v>
      </c>
      <c r="Y728" s="286">
        <v>24</v>
      </c>
    </row>
    <row r="729" spans="1:25">
      <c r="A729" s="212">
        <v>6460</v>
      </c>
      <c r="B729" s="212" t="s">
        <v>1642</v>
      </c>
      <c r="C729" s="212">
        <v>1</v>
      </c>
      <c r="D729" s="212" t="s">
        <v>1643</v>
      </c>
      <c r="E729" s="212" t="s">
        <v>3077</v>
      </c>
      <c r="F729" s="212">
        <v>5</v>
      </c>
      <c r="G729" s="212" t="s">
        <v>1645</v>
      </c>
      <c r="H729" s="212">
        <v>0</v>
      </c>
      <c r="I729" s="212" t="s">
        <v>3078</v>
      </c>
      <c r="J729" s="212">
        <v>6</v>
      </c>
      <c r="K729" s="286">
        <v>53</v>
      </c>
      <c r="L729" s="286">
        <v>34</v>
      </c>
      <c r="M729" s="286">
        <v>19</v>
      </c>
      <c r="N729" s="286">
        <v>0</v>
      </c>
      <c r="O729" s="286">
        <v>0</v>
      </c>
      <c r="P729" s="286">
        <v>0</v>
      </c>
      <c r="Q729" s="286">
        <v>0</v>
      </c>
      <c r="R729" s="286">
        <v>0</v>
      </c>
      <c r="S729" s="286">
        <v>0</v>
      </c>
      <c r="T729" s="286">
        <v>0</v>
      </c>
      <c r="U729" s="286">
        <v>0</v>
      </c>
      <c r="V729" s="286">
        <v>0</v>
      </c>
      <c r="W729" s="286">
        <v>0</v>
      </c>
      <c r="X729" s="286">
        <v>0</v>
      </c>
      <c r="Y729" s="286">
        <v>0</v>
      </c>
    </row>
    <row r="730" spans="1:25">
      <c r="A730" s="212">
        <v>6469</v>
      </c>
      <c r="B730" s="212" t="s">
        <v>1642</v>
      </c>
      <c r="C730" s="212">
        <v>1</v>
      </c>
      <c r="D730" s="212" t="s">
        <v>1643</v>
      </c>
      <c r="E730" s="212" t="s">
        <v>3079</v>
      </c>
      <c r="F730" s="212">
        <v>5</v>
      </c>
      <c r="G730" s="212" t="s">
        <v>1645</v>
      </c>
      <c r="H730" s="212">
        <v>0</v>
      </c>
      <c r="I730" s="212" t="s">
        <v>3080</v>
      </c>
      <c r="J730" s="212">
        <v>290</v>
      </c>
      <c r="K730" s="286">
        <v>3801</v>
      </c>
      <c r="L730" s="286">
        <v>3202</v>
      </c>
      <c r="M730" s="286">
        <v>575</v>
      </c>
      <c r="N730" s="286">
        <v>20</v>
      </c>
      <c r="O730" s="286">
        <v>18</v>
      </c>
      <c r="P730" s="286">
        <v>2</v>
      </c>
      <c r="Q730" s="286">
        <v>109</v>
      </c>
      <c r="R730" s="286">
        <v>102</v>
      </c>
      <c r="S730" s="286">
        <v>7</v>
      </c>
      <c r="T730" s="286">
        <v>40</v>
      </c>
      <c r="U730" s="286">
        <v>39</v>
      </c>
      <c r="V730" s="286">
        <v>1</v>
      </c>
      <c r="W730" s="286">
        <v>69</v>
      </c>
      <c r="X730" s="286">
        <v>63</v>
      </c>
      <c r="Y730" s="286">
        <v>6</v>
      </c>
    </row>
    <row r="731" spans="1:25">
      <c r="A731" s="212">
        <v>6478</v>
      </c>
      <c r="B731" s="212" t="s">
        <v>1642</v>
      </c>
      <c r="C731" s="212">
        <v>1</v>
      </c>
      <c r="D731" s="212" t="s">
        <v>1643</v>
      </c>
      <c r="E731" s="212" t="s">
        <v>3081</v>
      </c>
      <c r="F731" s="212">
        <v>5</v>
      </c>
      <c r="G731" s="212" t="s">
        <v>1645</v>
      </c>
      <c r="H731" s="212">
        <v>0</v>
      </c>
      <c r="I731" s="212" t="s">
        <v>3082</v>
      </c>
      <c r="J731" s="212">
        <v>345</v>
      </c>
      <c r="K731" s="286">
        <v>4614</v>
      </c>
      <c r="L731" s="286">
        <v>3813</v>
      </c>
      <c r="M731" s="286">
        <v>801</v>
      </c>
      <c r="N731" s="286">
        <v>91</v>
      </c>
      <c r="O731" s="286">
        <v>80</v>
      </c>
      <c r="P731" s="286">
        <v>11</v>
      </c>
      <c r="Q731" s="286">
        <v>384</v>
      </c>
      <c r="R731" s="286">
        <v>357</v>
      </c>
      <c r="S731" s="286">
        <v>27</v>
      </c>
      <c r="T731" s="286">
        <v>219</v>
      </c>
      <c r="U731" s="286">
        <v>210</v>
      </c>
      <c r="V731" s="286">
        <v>9</v>
      </c>
      <c r="W731" s="286">
        <v>165</v>
      </c>
      <c r="X731" s="286">
        <v>147</v>
      </c>
      <c r="Y731" s="286">
        <v>18</v>
      </c>
    </row>
    <row r="732" spans="1:25">
      <c r="A732" s="212">
        <v>6487</v>
      </c>
      <c r="B732" s="212" t="s">
        <v>1642</v>
      </c>
      <c r="C732" s="212">
        <v>1</v>
      </c>
      <c r="D732" s="212" t="s">
        <v>1643</v>
      </c>
      <c r="E732" s="212" t="s">
        <v>3083</v>
      </c>
      <c r="F732" s="212">
        <v>5</v>
      </c>
      <c r="G732" s="212" t="s">
        <v>1645</v>
      </c>
      <c r="H732" s="212">
        <v>0</v>
      </c>
      <c r="I732" s="212" t="s">
        <v>3084</v>
      </c>
      <c r="J732" s="212">
        <v>1</v>
      </c>
      <c r="K732" s="286">
        <v>18</v>
      </c>
      <c r="L732" s="286">
        <v>15</v>
      </c>
      <c r="M732" s="286">
        <v>3</v>
      </c>
      <c r="N732" s="286">
        <v>0</v>
      </c>
      <c r="O732" s="286">
        <v>0</v>
      </c>
      <c r="P732" s="286">
        <v>0</v>
      </c>
      <c r="Q732" s="286">
        <v>0</v>
      </c>
      <c r="R732" s="286">
        <v>0</v>
      </c>
      <c r="S732" s="286">
        <v>0</v>
      </c>
      <c r="T732" s="286">
        <v>0</v>
      </c>
      <c r="U732" s="286">
        <v>0</v>
      </c>
      <c r="V732" s="286">
        <v>0</v>
      </c>
      <c r="W732" s="286">
        <v>0</v>
      </c>
      <c r="X732" s="286">
        <v>0</v>
      </c>
      <c r="Y732" s="286">
        <v>0</v>
      </c>
    </row>
    <row r="733" spans="1:25">
      <c r="A733" s="212">
        <v>6496</v>
      </c>
      <c r="B733" s="212" t="s">
        <v>1642</v>
      </c>
      <c r="C733" s="212">
        <v>1</v>
      </c>
      <c r="D733" s="212" t="s">
        <v>1643</v>
      </c>
      <c r="E733" s="212" t="s">
        <v>3085</v>
      </c>
      <c r="F733" s="212">
        <v>4</v>
      </c>
      <c r="G733" s="212" t="s">
        <v>1645</v>
      </c>
      <c r="H733" s="212">
        <v>0</v>
      </c>
      <c r="I733" s="212" t="s">
        <v>3086</v>
      </c>
      <c r="J733" s="212">
        <v>1748</v>
      </c>
      <c r="K733" s="286">
        <v>7818</v>
      </c>
      <c r="L733" s="286">
        <v>6185</v>
      </c>
      <c r="M733" s="286">
        <v>1628</v>
      </c>
      <c r="N733" s="286">
        <v>20</v>
      </c>
      <c r="O733" s="286">
        <v>19</v>
      </c>
      <c r="P733" s="286">
        <v>1</v>
      </c>
      <c r="Q733" s="286">
        <v>90</v>
      </c>
      <c r="R733" s="286">
        <v>62</v>
      </c>
      <c r="S733" s="286">
        <v>28</v>
      </c>
      <c r="T733" s="286">
        <v>46</v>
      </c>
      <c r="U733" s="286">
        <v>38</v>
      </c>
      <c r="V733" s="286">
        <v>8</v>
      </c>
      <c r="W733" s="286">
        <v>44</v>
      </c>
      <c r="X733" s="286">
        <v>24</v>
      </c>
      <c r="Y733" s="286">
        <v>20</v>
      </c>
    </row>
    <row r="734" spans="1:25">
      <c r="A734" s="212">
        <v>6505</v>
      </c>
      <c r="B734" s="212" t="s">
        <v>1642</v>
      </c>
      <c r="C734" s="212">
        <v>1</v>
      </c>
      <c r="D734" s="212" t="s">
        <v>1643</v>
      </c>
      <c r="E734" s="212" t="s">
        <v>3087</v>
      </c>
      <c r="F734" s="212">
        <v>5</v>
      </c>
      <c r="G734" s="212" t="s">
        <v>1645</v>
      </c>
      <c r="H734" s="212">
        <v>0</v>
      </c>
      <c r="I734" s="212" t="s">
        <v>3088</v>
      </c>
      <c r="J734" s="212">
        <v>2</v>
      </c>
      <c r="K734" s="286">
        <v>5</v>
      </c>
      <c r="L734" s="286">
        <v>2</v>
      </c>
      <c r="M734" s="286">
        <v>3</v>
      </c>
      <c r="N734" s="286">
        <v>0</v>
      </c>
      <c r="O734" s="286">
        <v>0</v>
      </c>
      <c r="P734" s="286">
        <v>0</v>
      </c>
      <c r="Q734" s="286">
        <v>0</v>
      </c>
      <c r="R734" s="286">
        <v>0</v>
      </c>
      <c r="S734" s="286">
        <v>0</v>
      </c>
      <c r="T734" s="286">
        <v>0</v>
      </c>
      <c r="U734" s="286">
        <v>0</v>
      </c>
      <c r="V734" s="286">
        <v>0</v>
      </c>
      <c r="W734" s="286">
        <v>0</v>
      </c>
      <c r="X734" s="286">
        <v>0</v>
      </c>
      <c r="Y734" s="286">
        <v>0</v>
      </c>
    </row>
    <row r="735" spans="1:25">
      <c r="A735" s="212">
        <v>6514</v>
      </c>
      <c r="B735" s="212" t="s">
        <v>1642</v>
      </c>
      <c r="C735" s="212">
        <v>1</v>
      </c>
      <c r="D735" s="212" t="s">
        <v>1643</v>
      </c>
      <c r="E735" s="212" t="s">
        <v>3089</v>
      </c>
      <c r="F735" s="212">
        <v>5</v>
      </c>
      <c r="G735" s="212" t="s">
        <v>1645</v>
      </c>
      <c r="H735" s="212">
        <v>0</v>
      </c>
      <c r="I735" s="212" t="s">
        <v>3090</v>
      </c>
      <c r="J735" s="212">
        <v>1746</v>
      </c>
      <c r="K735" s="286">
        <v>7813</v>
      </c>
      <c r="L735" s="286">
        <v>6183</v>
      </c>
      <c r="M735" s="286">
        <v>1625</v>
      </c>
      <c r="N735" s="286">
        <v>20</v>
      </c>
      <c r="O735" s="286">
        <v>19</v>
      </c>
      <c r="P735" s="286">
        <v>1</v>
      </c>
      <c r="Q735" s="286">
        <v>90</v>
      </c>
      <c r="R735" s="286">
        <v>62</v>
      </c>
      <c r="S735" s="286">
        <v>28</v>
      </c>
      <c r="T735" s="286">
        <v>46</v>
      </c>
      <c r="U735" s="286">
        <v>38</v>
      </c>
      <c r="V735" s="286">
        <v>8</v>
      </c>
      <c r="W735" s="286">
        <v>44</v>
      </c>
      <c r="X735" s="286">
        <v>24</v>
      </c>
      <c r="Y735" s="286">
        <v>20</v>
      </c>
    </row>
    <row r="736" spans="1:25">
      <c r="A736" s="212">
        <v>6523</v>
      </c>
      <c r="B736" s="212" t="s">
        <v>1642</v>
      </c>
      <c r="C736" s="212">
        <v>1</v>
      </c>
      <c r="D736" s="212" t="s">
        <v>1643</v>
      </c>
      <c r="E736" s="212" t="s">
        <v>3091</v>
      </c>
      <c r="F736" s="212">
        <v>4</v>
      </c>
      <c r="G736" s="212" t="s">
        <v>1645</v>
      </c>
      <c r="H736" s="212">
        <v>0</v>
      </c>
      <c r="I736" s="212" t="s">
        <v>3092</v>
      </c>
      <c r="J736" s="212">
        <v>1142</v>
      </c>
      <c r="K736" s="286">
        <v>7501</v>
      </c>
      <c r="L736" s="286">
        <v>6232</v>
      </c>
      <c r="M736" s="286">
        <v>1223</v>
      </c>
      <c r="N736" s="286">
        <v>94</v>
      </c>
      <c r="O736" s="286">
        <v>81</v>
      </c>
      <c r="P736" s="286">
        <v>13</v>
      </c>
      <c r="Q736" s="286">
        <v>894</v>
      </c>
      <c r="R736" s="286">
        <v>814</v>
      </c>
      <c r="S736" s="286">
        <v>80</v>
      </c>
      <c r="T736" s="286">
        <v>434</v>
      </c>
      <c r="U736" s="286">
        <v>408</v>
      </c>
      <c r="V736" s="286">
        <v>26</v>
      </c>
      <c r="W736" s="286">
        <v>460</v>
      </c>
      <c r="X736" s="286">
        <v>406</v>
      </c>
      <c r="Y736" s="286">
        <v>54</v>
      </c>
    </row>
    <row r="737" spans="1:25">
      <c r="A737" s="212">
        <v>6532</v>
      </c>
      <c r="B737" s="212" t="s">
        <v>1642</v>
      </c>
      <c r="C737" s="212">
        <v>1</v>
      </c>
      <c r="D737" s="212" t="s">
        <v>1643</v>
      </c>
      <c r="E737" s="212" t="s">
        <v>3093</v>
      </c>
      <c r="F737" s="212">
        <v>5</v>
      </c>
      <c r="G737" s="212" t="s">
        <v>1645</v>
      </c>
      <c r="H737" s="212">
        <v>0</v>
      </c>
      <c r="I737" s="212" t="s">
        <v>3094</v>
      </c>
      <c r="J737" s="212">
        <v>7</v>
      </c>
      <c r="K737" s="286">
        <v>108</v>
      </c>
      <c r="L737" s="286">
        <v>63</v>
      </c>
      <c r="M737" s="286">
        <v>24</v>
      </c>
      <c r="N737" s="286">
        <v>0</v>
      </c>
      <c r="O737" s="286">
        <v>0</v>
      </c>
      <c r="P737" s="286">
        <v>0</v>
      </c>
      <c r="Q737" s="286">
        <v>1</v>
      </c>
      <c r="R737" s="286">
        <v>1</v>
      </c>
      <c r="S737" s="286">
        <v>0</v>
      </c>
      <c r="T737" s="286">
        <v>1</v>
      </c>
      <c r="U737" s="286">
        <v>1</v>
      </c>
      <c r="V737" s="286">
        <v>0</v>
      </c>
      <c r="W737" s="286">
        <v>0</v>
      </c>
      <c r="X737" s="286">
        <v>0</v>
      </c>
      <c r="Y737" s="286">
        <v>0</v>
      </c>
    </row>
    <row r="738" spans="1:25">
      <c r="A738" s="212">
        <v>6541</v>
      </c>
      <c r="B738" s="212" t="s">
        <v>1642</v>
      </c>
      <c r="C738" s="212">
        <v>1</v>
      </c>
      <c r="D738" s="212" t="s">
        <v>1643</v>
      </c>
      <c r="E738" s="212" t="s">
        <v>3095</v>
      </c>
      <c r="F738" s="212">
        <v>5</v>
      </c>
      <c r="G738" s="212" t="s">
        <v>1645</v>
      </c>
      <c r="H738" s="212">
        <v>0</v>
      </c>
      <c r="I738" s="212" t="s">
        <v>3096</v>
      </c>
      <c r="J738" s="212">
        <v>539</v>
      </c>
      <c r="K738" s="286">
        <v>4676</v>
      </c>
      <c r="L738" s="286">
        <v>4023</v>
      </c>
      <c r="M738" s="286">
        <v>631</v>
      </c>
      <c r="N738" s="286">
        <v>55</v>
      </c>
      <c r="O738" s="286">
        <v>45</v>
      </c>
      <c r="P738" s="286">
        <v>10</v>
      </c>
      <c r="Q738" s="286">
        <v>767</v>
      </c>
      <c r="R738" s="286">
        <v>702</v>
      </c>
      <c r="S738" s="286">
        <v>65</v>
      </c>
      <c r="T738" s="286">
        <v>342</v>
      </c>
      <c r="U738" s="286">
        <v>317</v>
      </c>
      <c r="V738" s="286">
        <v>25</v>
      </c>
      <c r="W738" s="286">
        <v>425</v>
      </c>
      <c r="X738" s="286">
        <v>385</v>
      </c>
      <c r="Y738" s="286">
        <v>40</v>
      </c>
    </row>
    <row r="739" spans="1:25">
      <c r="A739" s="212">
        <v>6550</v>
      </c>
      <c r="B739" s="212" t="s">
        <v>1642</v>
      </c>
      <c r="C739" s="212">
        <v>1</v>
      </c>
      <c r="D739" s="212" t="s">
        <v>1643</v>
      </c>
      <c r="E739" s="212" t="s">
        <v>3097</v>
      </c>
      <c r="F739" s="212">
        <v>5</v>
      </c>
      <c r="G739" s="212" t="s">
        <v>1645</v>
      </c>
      <c r="H739" s="212">
        <v>0</v>
      </c>
      <c r="I739" s="212" t="s">
        <v>3098</v>
      </c>
      <c r="J739" s="212">
        <v>221</v>
      </c>
      <c r="K739" s="286">
        <v>1694</v>
      </c>
      <c r="L739" s="286">
        <v>1340</v>
      </c>
      <c r="M739" s="286">
        <v>351</v>
      </c>
      <c r="N739" s="286">
        <v>20</v>
      </c>
      <c r="O739" s="286">
        <v>17</v>
      </c>
      <c r="P739" s="286">
        <v>3</v>
      </c>
      <c r="Q739" s="286">
        <v>102</v>
      </c>
      <c r="R739" s="286">
        <v>90</v>
      </c>
      <c r="S739" s="286">
        <v>12</v>
      </c>
      <c r="T739" s="286">
        <v>79</v>
      </c>
      <c r="U739" s="286">
        <v>78</v>
      </c>
      <c r="V739" s="286">
        <v>1</v>
      </c>
      <c r="W739" s="286">
        <v>23</v>
      </c>
      <c r="X739" s="286">
        <v>12</v>
      </c>
      <c r="Y739" s="286">
        <v>11</v>
      </c>
    </row>
    <row r="740" spans="1:25">
      <c r="A740" s="212">
        <v>6559</v>
      </c>
      <c r="B740" s="212" t="s">
        <v>1642</v>
      </c>
      <c r="C740" s="212">
        <v>1</v>
      </c>
      <c r="D740" s="212" t="s">
        <v>1643</v>
      </c>
      <c r="E740" s="212" t="s">
        <v>3099</v>
      </c>
      <c r="F740" s="212">
        <v>5</v>
      </c>
      <c r="G740" s="212" t="s">
        <v>1645</v>
      </c>
      <c r="H740" s="212">
        <v>0</v>
      </c>
      <c r="I740" s="212" t="s">
        <v>3100</v>
      </c>
      <c r="J740" s="212">
        <v>96</v>
      </c>
      <c r="K740" s="286">
        <v>169</v>
      </c>
      <c r="L740" s="286">
        <v>119</v>
      </c>
      <c r="M740" s="286">
        <v>50</v>
      </c>
      <c r="N740" s="286">
        <v>0</v>
      </c>
      <c r="O740" s="286">
        <v>0</v>
      </c>
      <c r="P740" s="286">
        <v>0</v>
      </c>
      <c r="Q740" s="286">
        <v>0</v>
      </c>
      <c r="R740" s="286">
        <v>0</v>
      </c>
      <c r="S740" s="286">
        <v>0</v>
      </c>
      <c r="T740" s="286">
        <v>0</v>
      </c>
      <c r="U740" s="286">
        <v>0</v>
      </c>
      <c r="V740" s="286">
        <v>0</v>
      </c>
      <c r="W740" s="286">
        <v>0</v>
      </c>
      <c r="X740" s="286">
        <v>0</v>
      </c>
      <c r="Y740" s="286">
        <v>0</v>
      </c>
    </row>
    <row r="741" spans="1:25">
      <c r="A741" s="212">
        <v>6568</v>
      </c>
      <c r="B741" s="212" t="s">
        <v>1642</v>
      </c>
      <c r="C741" s="212">
        <v>1</v>
      </c>
      <c r="D741" s="212" t="s">
        <v>1643</v>
      </c>
      <c r="E741" s="212" t="s">
        <v>3101</v>
      </c>
      <c r="F741" s="212">
        <v>5</v>
      </c>
      <c r="G741" s="212" t="s">
        <v>1645</v>
      </c>
      <c r="H741" s="212">
        <v>0</v>
      </c>
      <c r="I741" s="212" t="s">
        <v>3102</v>
      </c>
      <c r="J741" s="212">
        <v>279</v>
      </c>
      <c r="K741" s="286">
        <v>854</v>
      </c>
      <c r="L741" s="286">
        <v>687</v>
      </c>
      <c r="M741" s="286">
        <v>167</v>
      </c>
      <c r="N741" s="286">
        <v>19</v>
      </c>
      <c r="O741" s="286">
        <v>19</v>
      </c>
      <c r="P741" s="286">
        <v>0</v>
      </c>
      <c r="Q741" s="286">
        <v>24</v>
      </c>
      <c r="R741" s="286">
        <v>21</v>
      </c>
      <c r="S741" s="286">
        <v>3</v>
      </c>
      <c r="T741" s="286">
        <v>12</v>
      </c>
      <c r="U741" s="286">
        <v>12</v>
      </c>
      <c r="V741" s="286">
        <v>0</v>
      </c>
      <c r="W741" s="286">
        <v>12</v>
      </c>
      <c r="X741" s="286">
        <v>9</v>
      </c>
      <c r="Y741" s="286">
        <v>3</v>
      </c>
    </row>
    <row r="742" spans="1:25">
      <c r="A742" s="212">
        <v>6577</v>
      </c>
      <c r="B742" s="212" t="s">
        <v>1642</v>
      </c>
      <c r="C742" s="212">
        <v>1</v>
      </c>
      <c r="D742" s="212" t="s">
        <v>1643</v>
      </c>
      <c r="E742" s="212" t="s">
        <v>3103</v>
      </c>
      <c r="F742" s="212">
        <v>4</v>
      </c>
      <c r="G742" s="212" t="s">
        <v>1645</v>
      </c>
      <c r="H742" s="212">
        <v>0</v>
      </c>
      <c r="I742" s="212" t="s">
        <v>3104</v>
      </c>
      <c r="J742" s="212">
        <v>650</v>
      </c>
      <c r="K742" s="286">
        <v>36632</v>
      </c>
      <c r="L742" s="286">
        <v>16618</v>
      </c>
      <c r="M742" s="286">
        <v>19902</v>
      </c>
      <c r="N742" s="286">
        <v>17585</v>
      </c>
      <c r="O742" s="286">
        <v>5993</v>
      </c>
      <c r="P742" s="286">
        <v>11592</v>
      </c>
      <c r="Q742" s="286">
        <v>856</v>
      </c>
      <c r="R742" s="286">
        <v>672</v>
      </c>
      <c r="S742" s="286">
        <v>184</v>
      </c>
      <c r="T742" s="286">
        <v>212</v>
      </c>
      <c r="U742" s="286">
        <v>154</v>
      </c>
      <c r="V742" s="286">
        <v>58</v>
      </c>
      <c r="W742" s="286">
        <v>644</v>
      </c>
      <c r="X742" s="286">
        <v>518</v>
      </c>
      <c r="Y742" s="286">
        <v>126</v>
      </c>
    </row>
    <row r="743" spans="1:25">
      <c r="A743" s="212">
        <v>6586</v>
      </c>
      <c r="B743" s="212" t="s">
        <v>1642</v>
      </c>
      <c r="C743" s="212">
        <v>1</v>
      </c>
      <c r="D743" s="212" t="s">
        <v>1643</v>
      </c>
      <c r="E743" s="212" t="s">
        <v>3105</v>
      </c>
      <c r="F743" s="212">
        <v>5</v>
      </c>
      <c r="G743" s="212" t="s">
        <v>1645</v>
      </c>
      <c r="H743" s="212">
        <v>0</v>
      </c>
      <c r="I743" s="212" t="s">
        <v>3106</v>
      </c>
      <c r="J743" s="212">
        <v>2</v>
      </c>
      <c r="K743" s="286">
        <v>43</v>
      </c>
      <c r="L743" s="286">
        <v>24</v>
      </c>
      <c r="M743" s="286">
        <v>19</v>
      </c>
      <c r="N743" s="286">
        <v>0</v>
      </c>
      <c r="O743" s="286">
        <v>0</v>
      </c>
      <c r="P743" s="286">
        <v>0</v>
      </c>
      <c r="Q743" s="286">
        <v>0</v>
      </c>
      <c r="R743" s="286">
        <v>0</v>
      </c>
      <c r="S743" s="286">
        <v>0</v>
      </c>
      <c r="T743" s="286">
        <v>0</v>
      </c>
      <c r="U743" s="286">
        <v>0</v>
      </c>
      <c r="V743" s="286">
        <v>0</v>
      </c>
      <c r="W743" s="286">
        <v>0</v>
      </c>
      <c r="X743" s="286">
        <v>0</v>
      </c>
      <c r="Y743" s="286">
        <v>0</v>
      </c>
    </row>
    <row r="744" spans="1:25">
      <c r="A744" s="212">
        <v>6595</v>
      </c>
      <c r="B744" s="212" t="s">
        <v>1642</v>
      </c>
      <c r="C744" s="212">
        <v>1</v>
      </c>
      <c r="D744" s="212" t="s">
        <v>1643</v>
      </c>
      <c r="E744" s="212" t="s">
        <v>3107</v>
      </c>
      <c r="F744" s="212">
        <v>5</v>
      </c>
      <c r="G744" s="212" t="s">
        <v>1645</v>
      </c>
      <c r="H744" s="212">
        <v>0</v>
      </c>
      <c r="I744" s="212" t="s">
        <v>3108</v>
      </c>
      <c r="J744" s="212">
        <v>157</v>
      </c>
      <c r="K744" s="286">
        <v>1530</v>
      </c>
      <c r="L744" s="286">
        <v>851</v>
      </c>
      <c r="M744" s="286">
        <v>671</v>
      </c>
      <c r="N744" s="286">
        <v>46</v>
      </c>
      <c r="O744" s="286">
        <v>28</v>
      </c>
      <c r="P744" s="286">
        <v>18</v>
      </c>
      <c r="Q744" s="286">
        <v>55</v>
      </c>
      <c r="R744" s="286">
        <v>36</v>
      </c>
      <c r="S744" s="286">
        <v>19</v>
      </c>
      <c r="T744" s="286">
        <v>30</v>
      </c>
      <c r="U744" s="286">
        <v>25</v>
      </c>
      <c r="V744" s="286">
        <v>5</v>
      </c>
      <c r="W744" s="286">
        <v>25</v>
      </c>
      <c r="X744" s="286">
        <v>11</v>
      </c>
      <c r="Y744" s="286">
        <v>14</v>
      </c>
    </row>
    <row r="745" spans="1:25">
      <c r="A745" s="212">
        <v>6604</v>
      </c>
      <c r="B745" s="212" t="s">
        <v>1642</v>
      </c>
      <c r="C745" s="212">
        <v>1</v>
      </c>
      <c r="D745" s="212" t="s">
        <v>1643</v>
      </c>
      <c r="E745" s="212" t="s">
        <v>3109</v>
      </c>
      <c r="F745" s="212">
        <v>5</v>
      </c>
      <c r="G745" s="212" t="s">
        <v>1645</v>
      </c>
      <c r="H745" s="212">
        <v>0</v>
      </c>
      <c r="I745" s="212" t="s">
        <v>3110</v>
      </c>
      <c r="J745" s="212">
        <v>491</v>
      </c>
      <c r="K745" s="286">
        <v>35059</v>
      </c>
      <c r="L745" s="286">
        <v>15743</v>
      </c>
      <c r="M745" s="286">
        <v>19212</v>
      </c>
      <c r="N745" s="286">
        <v>17539</v>
      </c>
      <c r="O745" s="286">
        <v>5965</v>
      </c>
      <c r="P745" s="286">
        <v>11574</v>
      </c>
      <c r="Q745" s="286">
        <v>801</v>
      </c>
      <c r="R745" s="286">
        <v>636</v>
      </c>
      <c r="S745" s="286">
        <v>165</v>
      </c>
      <c r="T745" s="286">
        <v>182</v>
      </c>
      <c r="U745" s="286">
        <v>129</v>
      </c>
      <c r="V745" s="286">
        <v>53</v>
      </c>
      <c r="W745" s="286">
        <v>619</v>
      </c>
      <c r="X745" s="286">
        <v>507</v>
      </c>
      <c r="Y745" s="286">
        <v>112</v>
      </c>
    </row>
    <row r="746" spans="1:25">
      <c r="A746" s="212">
        <v>6613</v>
      </c>
      <c r="B746" s="212" t="s">
        <v>1642</v>
      </c>
      <c r="C746" s="212">
        <v>1</v>
      </c>
      <c r="D746" s="212" t="s">
        <v>1643</v>
      </c>
      <c r="E746" s="212" t="s">
        <v>3111</v>
      </c>
      <c r="F746" s="212">
        <v>4</v>
      </c>
      <c r="G746" s="212" t="s">
        <v>1645</v>
      </c>
      <c r="H746" s="212">
        <v>0</v>
      </c>
      <c r="I746" s="212" t="s">
        <v>3112</v>
      </c>
      <c r="J746" s="212">
        <v>2927</v>
      </c>
      <c r="K746" s="286">
        <v>82122</v>
      </c>
      <c r="L746" s="286">
        <v>46761</v>
      </c>
      <c r="M746" s="286">
        <v>34516</v>
      </c>
      <c r="N746" s="286">
        <v>886</v>
      </c>
      <c r="O746" s="286">
        <v>526</v>
      </c>
      <c r="P746" s="286">
        <v>358</v>
      </c>
      <c r="Q746" s="286">
        <v>2598</v>
      </c>
      <c r="R746" s="286">
        <v>1697</v>
      </c>
      <c r="S746" s="286">
        <v>900</v>
      </c>
      <c r="T746" s="286">
        <v>1358</v>
      </c>
      <c r="U746" s="286">
        <v>1088</v>
      </c>
      <c r="V746" s="286">
        <v>269</v>
      </c>
      <c r="W746" s="286">
        <v>1231</v>
      </c>
      <c r="X746" s="286">
        <v>606</v>
      </c>
      <c r="Y746" s="286">
        <v>625</v>
      </c>
    </row>
    <row r="747" spans="1:25">
      <c r="A747" s="212">
        <v>6622</v>
      </c>
      <c r="B747" s="212" t="s">
        <v>1642</v>
      </c>
      <c r="C747" s="212">
        <v>1</v>
      </c>
      <c r="D747" s="212" t="s">
        <v>1643</v>
      </c>
      <c r="E747" s="212" t="s">
        <v>3113</v>
      </c>
      <c r="F747" s="212">
        <v>5</v>
      </c>
      <c r="G747" s="212" t="s">
        <v>1645</v>
      </c>
      <c r="H747" s="212">
        <v>0</v>
      </c>
      <c r="I747" s="212" t="s">
        <v>3114</v>
      </c>
      <c r="J747" s="212">
        <v>17</v>
      </c>
      <c r="K747" s="286">
        <v>140</v>
      </c>
      <c r="L747" s="286">
        <v>99</v>
      </c>
      <c r="M747" s="286">
        <v>41</v>
      </c>
      <c r="N747" s="286">
        <v>2</v>
      </c>
      <c r="O747" s="286">
        <v>2</v>
      </c>
      <c r="P747" s="286">
        <v>0</v>
      </c>
      <c r="Q747" s="286">
        <v>7</v>
      </c>
      <c r="R747" s="286">
        <v>6</v>
      </c>
      <c r="S747" s="286">
        <v>1</v>
      </c>
      <c r="T747" s="286">
        <v>6</v>
      </c>
      <c r="U747" s="286">
        <v>6</v>
      </c>
      <c r="V747" s="286">
        <v>0</v>
      </c>
      <c r="W747" s="286">
        <v>1</v>
      </c>
      <c r="X747" s="286">
        <v>0</v>
      </c>
      <c r="Y747" s="286">
        <v>1</v>
      </c>
    </row>
    <row r="748" spans="1:25">
      <c r="A748" s="212">
        <v>6631</v>
      </c>
      <c r="B748" s="212" t="s">
        <v>1642</v>
      </c>
      <c r="C748" s="212">
        <v>1</v>
      </c>
      <c r="D748" s="212" t="s">
        <v>1643</v>
      </c>
      <c r="E748" s="212" t="s">
        <v>3115</v>
      </c>
      <c r="F748" s="212">
        <v>5</v>
      </c>
      <c r="G748" s="212" t="s">
        <v>1645</v>
      </c>
      <c r="H748" s="212">
        <v>0</v>
      </c>
      <c r="I748" s="212" t="s">
        <v>3116</v>
      </c>
      <c r="J748" s="212">
        <v>78</v>
      </c>
      <c r="K748" s="286">
        <v>829</v>
      </c>
      <c r="L748" s="286">
        <v>431</v>
      </c>
      <c r="M748" s="286">
        <v>398</v>
      </c>
      <c r="N748" s="286">
        <v>96</v>
      </c>
      <c r="O748" s="286">
        <v>39</v>
      </c>
      <c r="P748" s="286">
        <v>57</v>
      </c>
      <c r="Q748" s="286">
        <v>57</v>
      </c>
      <c r="R748" s="286">
        <v>31</v>
      </c>
      <c r="S748" s="286">
        <v>26</v>
      </c>
      <c r="T748" s="286">
        <v>20</v>
      </c>
      <c r="U748" s="286">
        <v>16</v>
      </c>
      <c r="V748" s="286">
        <v>4</v>
      </c>
      <c r="W748" s="286">
        <v>37</v>
      </c>
      <c r="X748" s="286">
        <v>15</v>
      </c>
      <c r="Y748" s="286">
        <v>22</v>
      </c>
    </row>
    <row r="749" spans="1:25">
      <c r="A749" s="212">
        <v>6640</v>
      </c>
      <c r="B749" s="212" t="s">
        <v>1642</v>
      </c>
      <c r="C749" s="212">
        <v>1</v>
      </c>
      <c r="D749" s="212" t="s">
        <v>1643</v>
      </c>
      <c r="E749" s="212" t="s">
        <v>3117</v>
      </c>
      <c r="F749" s="212">
        <v>5</v>
      </c>
      <c r="G749" s="212" t="s">
        <v>1645</v>
      </c>
      <c r="H749" s="212">
        <v>0</v>
      </c>
      <c r="I749" s="212" t="s">
        <v>3118</v>
      </c>
      <c r="J749" s="212">
        <v>961</v>
      </c>
      <c r="K749" s="286">
        <v>32842</v>
      </c>
      <c r="L749" s="286">
        <v>17001</v>
      </c>
      <c r="M749" s="286">
        <v>15684</v>
      </c>
      <c r="N749" s="286">
        <v>312</v>
      </c>
      <c r="O749" s="286">
        <v>211</v>
      </c>
      <c r="P749" s="286">
        <v>101</v>
      </c>
      <c r="Q749" s="286">
        <v>410</v>
      </c>
      <c r="R749" s="286">
        <v>339</v>
      </c>
      <c r="S749" s="286">
        <v>71</v>
      </c>
      <c r="T749" s="286">
        <v>253</v>
      </c>
      <c r="U749" s="286">
        <v>228</v>
      </c>
      <c r="V749" s="286">
        <v>25</v>
      </c>
      <c r="W749" s="286">
        <v>155</v>
      </c>
      <c r="X749" s="286">
        <v>111</v>
      </c>
      <c r="Y749" s="286">
        <v>44</v>
      </c>
    </row>
    <row r="750" spans="1:25">
      <c r="A750" s="212">
        <v>6649</v>
      </c>
      <c r="B750" s="212" t="s">
        <v>1642</v>
      </c>
      <c r="C750" s="212">
        <v>1</v>
      </c>
      <c r="D750" s="212" t="s">
        <v>1643</v>
      </c>
      <c r="E750" s="212" t="s">
        <v>3119</v>
      </c>
      <c r="F750" s="212">
        <v>5</v>
      </c>
      <c r="G750" s="212" t="s">
        <v>1645</v>
      </c>
      <c r="H750" s="212">
        <v>0</v>
      </c>
      <c r="I750" s="212" t="s">
        <v>3120</v>
      </c>
      <c r="J750" s="212">
        <v>411</v>
      </c>
      <c r="K750" s="286">
        <v>16383</v>
      </c>
      <c r="L750" s="286">
        <v>14643</v>
      </c>
      <c r="M750" s="286">
        <v>1695</v>
      </c>
      <c r="N750" s="286">
        <v>61</v>
      </c>
      <c r="O750" s="286">
        <v>49</v>
      </c>
      <c r="P750" s="286">
        <v>12</v>
      </c>
      <c r="Q750" s="286">
        <v>104</v>
      </c>
      <c r="R750" s="286">
        <v>93</v>
      </c>
      <c r="S750" s="286">
        <v>11</v>
      </c>
      <c r="T750" s="286">
        <v>93</v>
      </c>
      <c r="U750" s="286">
        <v>88</v>
      </c>
      <c r="V750" s="286">
        <v>5</v>
      </c>
      <c r="W750" s="286">
        <v>11</v>
      </c>
      <c r="X750" s="286">
        <v>5</v>
      </c>
      <c r="Y750" s="286">
        <v>6</v>
      </c>
    </row>
    <row r="751" spans="1:25">
      <c r="A751" s="212">
        <v>6658</v>
      </c>
      <c r="B751" s="212" t="s">
        <v>1642</v>
      </c>
      <c r="C751" s="212">
        <v>1</v>
      </c>
      <c r="D751" s="212" t="s">
        <v>1643</v>
      </c>
      <c r="E751" s="212" t="s">
        <v>3121</v>
      </c>
      <c r="F751" s="212">
        <v>5</v>
      </c>
      <c r="G751" s="212" t="s">
        <v>1645</v>
      </c>
      <c r="H751" s="212">
        <v>0</v>
      </c>
      <c r="I751" s="212" t="s">
        <v>3122</v>
      </c>
      <c r="J751" s="212">
        <v>1460</v>
      </c>
      <c r="K751" s="286">
        <v>31928</v>
      </c>
      <c r="L751" s="286">
        <v>14587</v>
      </c>
      <c r="M751" s="286">
        <v>16698</v>
      </c>
      <c r="N751" s="286">
        <v>415</v>
      </c>
      <c r="O751" s="286">
        <v>225</v>
      </c>
      <c r="P751" s="286">
        <v>188</v>
      </c>
      <c r="Q751" s="286">
        <v>2020</v>
      </c>
      <c r="R751" s="286">
        <v>1228</v>
      </c>
      <c r="S751" s="286">
        <v>791</v>
      </c>
      <c r="T751" s="286">
        <v>986</v>
      </c>
      <c r="U751" s="286">
        <v>750</v>
      </c>
      <c r="V751" s="286">
        <v>235</v>
      </c>
      <c r="W751" s="286">
        <v>1027</v>
      </c>
      <c r="X751" s="286">
        <v>475</v>
      </c>
      <c r="Y751" s="286">
        <v>552</v>
      </c>
    </row>
    <row r="752" spans="1:25">
      <c r="A752" s="212">
        <v>6667</v>
      </c>
      <c r="B752" s="212" t="s">
        <v>1642</v>
      </c>
      <c r="C752" s="212">
        <v>1</v>
      </c>
      <c r="D752" s="212" t="s">
        <v>1643</v>
      </c>
      <c r="E752" s="212" t="s">
        <v>3123</v>
      </c>
      <c r="F752" s="212">
        <v>4</v>
      </c>
      <c r="G752" s="212" t="s">
        <v>1645</v>
      </c>
      <c r="H752" s="212">
        <v>0</v>
      </c>
      <c r="I752" s="212" t="s">
        <v>3124</v>
      </c>
      <c r="J752" s="212">
        <v>173</v>
      </c>
      <c r="K752" s="286">
        <v>1392</v>
      </c>
      <c r="L752" s="286">
        <v>570</v>
      </c>
      <c r="M752" s="286">
        <v>799</v>
      </c>
      <c r="N752" s="286">
        <v>0</v>
      </c>
      <c r="O752" s="286">
        <v>0</v>
      </c>
      <c r="P752" s="286">
        <v>0</v>
      </c>
      <c r="Q752" s="286">
        <v>65</v>
      </c>
      <c r="R752" s="286">
        <v>46</v>
      </c>
      <c r="S752" s="286">
        <v>19</v>
      </c>
      <c r="T752" s="286">
        <v>22</v>
      </c>
      <c r="U752" s="286">
        <v>18</v>
      </c>
      <c r="V752" s="286">
        <v>4</v>
      </c>
      <c r="W752" s="286">
        <v>43</v>
      </c>
      <c r="X752" s="286">
        <v>28</v>
      </c>
      <c r="Y752" s="286">
        <v>15</v>
      </c>
    </row>
    <row r="753" spans="1:25">
      <c r="A753" s="212">
        <v>6676</v>
      </c>
      <c r="B753" s="212" t="s">
        <v>1642</v>
      </c>
      <c r="C753" s="212">
        <v>1</v>
      </c>
      <c r="D753" s="212" t="s">
        <v>1643</v>
      </c>
      <c r="E753" s="212" t="s">
        <v>3125</v>
      </c>
      <c r="F753" s="212">
        <v>5</v>
      </c>
      <c r="G753" s="212" t="s">
        <v>1645</v>
      </c>
      <c r="H753" s="212">
        <v>0</v>
      </c>
      <c r="I753" s="212" t="s">
        <v>3126</v>
      </c>
      <c r="J753" s="212">
        <v>0</v>
      </c>
      <c r="K753" s="286">
        <v>0</v>
      </c>
      <c r="L753" s="286">
        <v>0</v>
      </c>
      <c r="M753" s="286">
        <v>0</v>
      </c>
      <c r="N753" s="286">
        <v>0</v>
      </c>
      <c r="O753" s="286">
        <v>0</v>
      </c>
      <c r="P753" s="286">
        <v>0</v>
      </c>
      <c r="Q753" s="286">
        <v>0</v>
      </c>
      <c r="R753" s="286">
        <v>0</v>
      </c>
      <c r="S753" s="286">
        <v>0</v>
      </c>
      <c r="T753" s="286">
        <v>0</v>
      </c>
      <c r="U753" s="286">
        <v>0</v>
      </c>
      <c r="V753" s="286">
        <v>0</v>
      </c>
      <c r="W753" s="286">
        <v>0</v>
      </c>
      <c r="X753" s="286">
        <v>0</v>
      </c>
      <c r="Y753" s="286">
        <v>0</v>
      </c>
    </row>
    <row r="754" spans="1:25">
      <c r="A754" s="212">
        <v>6685</v>
      </c>
      <c r="B754" s="212" t="s">
        <v>1642</v>
      </c>
      <c r="C754" s="212">
        <v>1</v>
      </c>
      <c r="D754" s="212" t="s">
        <v>1643</v>
      </c>
      <c r="E754" s="212" t="s">
        <v>3127</v>
      </c>
      <c r="F754" s="212">
        <v>5</v>
      </c>
      <c r="G754" s="212" t="s">
        <v>1645</v>
      </c>
      <c r="H754" s="212">
        <v>0</v>
      </c>
      <c r="I754" s="212" t="s">
        <v>3128</v>
      </c>
      <c r="J754" s="212">
        <v>150</v>
      </c>
      <c r="K754" s="286">
        <v>1221</v>
      </c>
      <c r="L754" s="286">
        <v>482</v>
      </c>
      <c r="M754" s="286">
        <v>727</v>
      </c>
      <c r="N754" s="286">
        <v>0</v>
      </c>
      <c r="O754" s="286">
        <v>0</v>
      </c>
      <c r="P754" s="286">
        <v>0</v>
      </c>
      <c r="Q754" s="286">
        <v>65</v>
      </c>
      <c r="R754" s="286">
        <v>46</v>
      </c>
      <c r="S754" s="286">
        <v>19</v>
      </c>
      <c r="T754" s="286">
        <v>22</v>
      </c>
      <c r="U754" s="286">
        <v>18</v>
      </c>
      <c r="V754" s="286">
        <v>4</v>
      </c>
      <c r="W754" s="286">
        <v>43</v>
      </c>
      <c r="X754" s="286">
        <v>28</v>
      </c>
      <c r="Y754" s="286">
        <v>15</v>
      </c>
    </row>
    <row r="755" spans="1:25">
      <c r="A755" s="212">
        <v>6694</v>
      </c>
      <c r="B755" s="212" t="s">
        <v>1642</v>
      </c>
      <c r="C755" s="212">
        <v>1</v>
      </c>
      <c r="D755" s="212" t="s">
        <v>1643</v>
      </c>
      <c r="E755" s="212" t="s">
        <v>3129</v>
      </c>
      <c r="F755" s="212">
        <v>5</v>
      </c>
      <c r="G755" s="212" t="s">
        <v>1645</v>
      </c>
      <c r="H755" s="212">
        <v>0</v>
      </c>
      <c r="I755" s="212" t="s">
        <v>3130</v>
      </c>
      <c r="J755" s="212">
        <v>4</v>
      </c>
      <c r="K755" s="286">
        <v>30</v>
      </c>
      <c r="L755" s="286">
        <v>26</v>
      </c>
      <c r="M755" s="286">
        <v>4</v>
      </c>
      <c r="N755" s="286">
        <v>0</v>
      </c>
      <c r="O755" s="286">
        <v>0</v>
      </c>
      <c r="P755" s="286">
        <v>0</v>
      </c>
      <c r="Q755" s="286">
        <v>0</v>
      </c>
      <c r="R755" s="286">
        <v>0</v>
      </c>
      <c r="S755" s="286">
        <v>0</v>
      </c>
      <c r="T755" s="286">
        <v>0</v>
      </c>
      <c r="U755" s="286">
        <v>0</v>
      </c>
      <c r="V755" s="286">
        <v>0</v>
      </c>
      <c r="W755" s="286">
        <v>0</v>
      </c>
      <c r="X755" s="286">
        <v>0</v>
      </c>
      <c r="Y755" s="286">
        <v>0</v>
      </c>
    </row>
    <row r="756" spans="1:25">
      <c r="A756" s="212">
        <v>6703</v>
      </c>
      <c r="B756" s="212" t="s">
        <v>1642</v>
      </c>
      <c r="C756" s="212">
        <v>1</v>
      </c>
      <c r="D756" s="212" t="s">
        <v>1643</v>
      </c>
      <c r="E756" s="212" t="s">
        <v>3131</v>
      </c>
      <c r="F756" s="212">
        <v>5</v>
      </c>
      <c r="G756" s="212" t="s">
        <v>1645</v>
      </c>
      <c r="H756" s="212">
        <v>0</v>
      </c>
      <c r="I756" s="212" t="s">
        <v>3132</v>
      </c>
      <c r="J756" s="212">
        <v>19</v>
      </c>
      <c r="K756" s="286">
        <v>141</v>
      </c>
      <c r="L756" s="286">
        <v>62</v>
      </c>
      <c r="M756" s="286">
        <v>68</v>
      </c>
      <c r="N756" s="286">
        <v>0</v>
      </c>
      <c r="O756" s="286">
        <v>0</v>
      </c>
      <c r="P756" s="286">
        <v>0</v>
      </c>
      <c r="Q756" s="286">
        <v>0</v>
      </c>
      <c r="R756" s="286">
        <v>0</v>
      </c>
      <c r="S756" s="286">
        <v>0</v>
      </c>
      <c r="T756" s="286">
        <v>0</v>
      </c>
      <c r="U756" s="286">
        <v>0</v>
      </c>
      <c r="V756" s="286">
        <v>0</v>
      </c>
      <c r="W756" s="286">
        <v>0</v>
      </c>
      <c r="X756" s="286">
        <v>0</v>
      </c>
      <c r="Y756" s="286">
        <v>0</v>
      </c>
    </row>
    <row r="757" spans="1:25">
      <c r="I757" s="280" t="s">
        <v>5307</v>
      </c>
      <c r="J757" s="294">
        <f>J274+J449+J513+SUM(J616:J625)+J665</f>
        <v>2845</v>
      </c>
      <c r="K757" s="294">
        <f>K274+K449+K513+SUM(K616:K625)+K665</f>
        <v>47034</v>
      </c>
      <c r="L757" s="294">
        <f t="shared" ref="L757:Y757" si="0">L274+L449+L513+SUM(L616:L625)+L665</f>
        <v>22573</v>
      </c>
      <c r="M757" s="294">
        <f t="shared" si="0"/>
        <v>24399</v>
      </c>
      <c r="N757" s="294">
        <f t="shared" si="0"/>
        <v>117</v>
      </c>
      <c r="O757" s="294">
        <f t="shared" si="0"/>
        <v>91</v>
      </c>
      <c r="P757" s="294">
        <f t="shared" si="0"/>
        <v>26</v>
      </c>
      <c r="Q757" s="294">
        <f t="shared" si="0"/>
        <v>1697</v>
      </c>
      <c r="R757" s="294">
        <f t="shared" si="0"/>
        <v>888</v>
      </c>
      <c r="S757" s="294">
        <f t="shared" si="0"/>
        <v>809</v>
      </c>
      <c r="T757" s="294">
        <f t="shared" si="0"/>
        <v>952</v>
      </c>
      <c r="U757" s="294">
        <f t="shared" si="0"/>
        <v>463</v>
      </c>
      <c r="V757" s="294">
        <f t="shared" si="0"/>
        <v>489</v>
      </c>
      <c r="W757" s="294">
        <f t="shared" si="0"/>
        <v>745</v>
      </c>
      <c r="X757" s="294">
        <f t="shared" si="0"/>
        <v>425</v>
      </c>
      <c r="Y757" s="294">
        <f t="shared" si="0"/>
        <v>320</v>
      </c>
    </row>
    <row r="758" spans="1:25">
      <c r="I758" s="212" t="s">
        <v>5306</v>
      </c>
      <c r="J758" s="297">
        <f>J757/J13*100</f>
        <v>1.3283901965270417</v>
      </c>
      <c r="K758" s="297">
        <f>K757/K13*100</f>
        <v>2.1348988834833795</v>
      </c>
      <c r="L758" s="297">
        <f t="shared" ref="L758:Y758" si="1">L757/L13*100</f>
        <v>1.9344599186383624</v>
      </c>
      <c r="M758" s="297">
        <f t="shared" si="1"/>
        <v>2.3710218162382777</v>
      </c>
      <c r="N758" s="297">
        <f t="shared" si="1"/>
        <v>0.32011819748830339</v>
      </c>
      <c r="O758" s="297">
        <f t="shared" si="1"/>
        <v>0.42402497553702062</v>
      </c>
      <c r="P758" s="297">
        <f t="shared" si="1"/>
        <v>0.1723452207344558</v>
      </c>
      <c r="Q758" s="297">
        <f t="shared" si="1"/>
        <v>2.0135980160660676</v>
      </c>
      <c r="R758" s="297">
        <f t="shared" si="1"/>
        <v>1.6990662788917803</v>
      </c>
      <c r="S758" s="297">
        <f t="shared" si="1"/>
        <v>2.5275720936045238</v>
      </c>
      <c r="T758" s="297">
        <f t="shared" si="1"/>
        <v>2.6466499860995274</v>
      </c>
      <c r="U758" s="297">
        <f t="shared" si="1"/>
        <v>1.8179676456730014</v>
      </c>
      <c r="V758" s="297">
        <f t="shared" si="1"/>
        <v>4.6566993619655275</v>
      </c>
      <c r="W758" s="297">
        <f t="shared" si="1"/>
        <v>1.5493074907457474</v>
      </c>
      <c r="X758" s="297">
        <f t="shared" si="1"/>
        <v>1.5922373744942306</v>
      </c>
      <c r="Y758" s="297">
        <f t="shared" si="1"/>
        <v>1.4960961241759783</v>
      </c>
    </row>
    <row r="759" spans="1:25">
      <c r="K759" s="286"/>
      <c r="L759" s="286"/>
      <c r="M759" s="286"/>
      <c r="N759" s="286"/>
      <c r="O759" s="286"/>
      <c r="P759" s="286"/>
      <c r="Q759" s="286"/>
      <c r="R759" s="286"/>
      <c r="S759" s="286"/>
      <c r="T759" s="286"/>
      <c r="U759" s="286"/>
      <c r="V759" s="286"/>
      <c r="W759" s="286"/>
      <c r="X759" s="286"/>
      <c r="Y759" s="286"/>
    </row>
    <row r="760" spans="1:25">
      <c r="K760" s="286"/>
      <c r="L760" s="286"/>
      <c r="M760" s="286"/>
      <c r="N760" s="286"/>
      <c r="O760" s="286"/>
      <c r="P760" s="286"/>
      <c r="Q760" s="286"/>
      <c r="R760" s="286"/>
      <c r="S760" s="286"/>
      <c r="T760" s="286"/>
      <c r="U760" s="286"/>
      <c r="V760" s="286"/>
      <c r="W760" s="286"/>
      <c r="X760" s="286"/>
      <c r="Y760" s="286"/>
    </row>
    <row r="761" spans="1:25">
      <c r="K761" s="286"/>
      <c r="L761" s="286"/>
      <c r="M761" s="286"/>
      <c r="N761" s="286"/>
      <c r="O761" s="286"/>
      <c r="P761" s="286"/>
      <c r="Q761" s="286"/>
      <c r="R761" s="286"/>
      <c r="S761" s="286"/>
      <c r="T761" s="286"/>
      <c r="U761" s="286"/>
      <c r="V761" s="286"/>
      <c r="W761" s="286"/>
      <c r="X761" s="286"/>
      <c r="Y761" s="286"/>
    </row>
    <row r="762" spans="1:25">
      <c r="K762" s="286"/>
      <c r="L762" s="286"/>
      <c r="M762" s="286"/>
      <c r="N762" s="286"/>
      <c r="O762" s="286"/>
      <c r="P762" s="286"/>
      <c r="Q762" s="286"/>
      <c r="R762" s="286"/>
      <c r="S762" s="286"/>
      <c r="T762" s="286"/>
      <c r="U762" s="286"/>
      <c r="V762" s="286"/>
      <c r="W762" s="286"/>
      <c r="X762" s="286"/>
      <c r="Y762" s="286"/>
    </row>
    <row r="763" spans="1:25">
      <c r="K763" s="286"/>
      <c r="L763" s="286"/>
      <c r="M763" s="286"/>
      <c r="N763" s="286"/>
      <c r="O763" s="286"/>
      <c r="P763" s="286"/>
      <c r="Q763" s="286"/>
      <c r="R763" s="286"/>
      <c r="S763" s="286"/>
      <c r="T763" s="286"/>
      <c r="U763" s="286"/>
      <c r="V763" s="286"/>
      <c r="W763" s="286"/>
      <c r="X763" s="286"/>
      <c r="Y763" s="286"/>
    </row>
    <row r="764" spans="1:25">
      <c r="K764" s="286"/>
      <c r="L764" s="286"/>
      <c r="M764" s="286"/>
      <c r="N764" s="286"/>
      <c r="O764" s="286"/>
      <c r="P764" s="286"/>
      <c r="Q764" s="286"/>
      <c r="R764" s="286"/>
      <c r="S764" s="286"/>
      <c r="T764" s="286"/>
      <c r="U764" s="286"/>
      <c r="V764" s="286"/>
      <c r="W764" s="286"/>
      <c r="X764" s="286"/>
      <c r="Y764" s="286"/>
    </row>
    <row r="765" spans="1:25">
      <c r="K765" s="286"/>
      <c r="L765" s="286"/>
      <c r="M765" s="286"/>
      <c r="N765" s="286"/>
      <c r="O765" s="286"/>
      <c r="P765" s="286"/>
      <c r="Q765" s="286"/>
      <c r="R765" s="286"/>
      <c r="S765" s="286"/>
      <c r="T765" s="286"/>
      <c r="U765" s="286"/>
      <c r="V765" s="286"/>
      <c r="W765" s="286"/>
      <c r="X765" s="286"/>
      <c r="Y765" s="286"/>
    </row>
    <row r="766" spans="1:25">
      <c r="K766" s="286"/>
      <c r="L766" s="286"/>
      <c r="M766" s="286"/>
      <c r="N766" s="286"/>
      <c r="O766" s="286"/>
      <c r="P766" s="286"/>
      <c r="Q766" s="286"/>
      <c r="R766" s="286"/>
      <c r="S766" s="286"/>
      <c r="T766" s="286"/>
      <c r="U766" s="286"/>
      <c r="V766" s="286"/>
      <c r="W766" s="286"/>
      <c r="X766" s="286"/>
      <c r="Y766" s="286"/>
    </row>
    <row r="767" spans="1:25">
      <c r="K767" s="286"/>
      <c r="L767" s="286"/>
      <c r="M767" s="286"/>
      <c r="N767" s="286"/>
      <c r="O767" s="286"/>
      <c r="P767" s="286"/>
      <c r="Q767" s="286"/>
      <c r="R767" s="286"/>
      <c r="S767" s="286"/>
      <c r="T767" s="286"/>
      <c r="U767" s="286"/>
      <c r="V767" s="286"/>
      <c r="W767" s="286"/>
      <c r="X767" s="286"/>
      <c r="Y767" s="286"/>
    </row>
    <row r="768" spans="1:25">
      <c r="K768" s="286"/>
      <c r="L768" s="286"/>
      <c r="M768" s="286"/>
      <c r="N768" s="286"/>
      <c r="O768" s="286"/>
      <c r="P768" s="286"/>
      <c r="Q768" s="286"/>
      <c r="R768" s="286"/>
      <c r="S768" s="286"/>
      <c r="T768" s="286"/>
      <c r="U768" s="286"/>
      <c r="V768" s="286"/>
      <c r="W768" s="286"/>
      <c r="X768" s="286"/>
      <c r="Y768" s="286"/>
    </row>
    <row r="769" spans="11:25">
      <c r="K769" s="286"/>
      <c r="L769" s="286"/>
      <c r="M769" s="286"/>
      <c r="N769" s="286"/>
      <c r="O769" s="286"/>
      <c r="P769" s="286"/>
      <c r="Q769" s="286"/>
      <c r="R769" s="286"/>
      <c r="S769" s="286"/>
      <c r="T769" s="286"/>
      <c r="U769" s="286"/>
      <c r="V769" s="286"/>
      <c r="W769" s="286"/>
      <c r="X769" s="286"/>
      <c r="Y769" s="286"/>
    </row>
    <row r="770" spans="11:25">
      <c r="K770" s="286"/>
      <c r="L770" s="286"/>
      <c r="M770" s="286"/>
      <c r="N770" s="286"/>
      <c r="O770" s="286"/>
      <c r="P770" s="286"/>
      <c r="Q770" s="286"/>
      <c r="R770" s="286"/>
      <c r="S770" s="286"/>
      <c r="T770" s="286"/>
      <c r="U770" s="286"/>
      <c r="V770" s="286"/>
      <c r="W770" s="286"/>
      <c r="X770" s="286"/>
      <c r="Y770" s="286"/>
    </row>
    <row r="771" spans="11:25">
      <c r="K771" s="286"/>
      <c r="L771" s="286"/>
      <c r="M771" s="286"/>
      <c r="N771" s="286"/>
      <c r="O771" s="286"/>
      <c r="P771" s="286"/>
      <c r="Q771" s="286"/>
      <c r="R771" s="286"/>
      <c r="S771" s="286"/>
      <c r="T771" s="286"/>
      <c r="U771" s="286"/>
      <c r="V771" s="286"/>
      <c r="W771" s="286"/>
      <c r="X771" s="286"/>
      <c r="Y771" s="286"/>
    </row>
    <row r="772" spans="11:25">
      <c r="K772" s="286"/>
      <c r="L772" s="286"/>
      <c r="M772" s="286"/>
      <c r="N772" s="286"/>
      <c r="O772" s="286"/>
      <c r="P772" s="286"/>
      <c r="Q772" s="286"/>
      <c r="R772" s="286"/>
      <c r="S772" s="286"/>
      <c r="T772" s="286"/>
      <c r="U772" s="286"/>
      <c r="V772" s="286"/>
      <c r="W772" s="286"/>
      <c r="X772" s="286"/>
      <c r="Y772" s="286"/>
    </row>
    <row r="773" spans="11:25">
      <c r="K773" s="286"/>
      <c r="L773" s="286"/>
      <c r="M773" s="286"/>
      <c r="N773" s="286"/>
      <c r="O773" s="286"/>
      <c r="P773" s="286"/>
      <c r="Q773" s="286"/>
      <c r="R773" s="286"/>
      <c r="S773" s="286"/>
      <c r="T773" s="286"/>
      <c r="U773" s="286"/>
      <c r="V773" s="286"/>
      <c r="W773" s="286"/>
      <c r="X773" s="286"/>
      <c r="Y773" s="286"/>
    </row>
    <row r="774" spans="11:25">
      <c r="K774" s="286"/>
      <c r="L774" s="286"/>
      <c r="M774" s="286"/>
      <c r="N774" s="286"/>
      <c r="O774" s="286"/>
      <c r="P774" s="286"/>
      <c r="Q774" s="286"/>
      <c r="R774" s="286"/>
      <c r="S774" s="286"/>
      <c r="T774" s="286"/>
      <c r="U774" s="286"/>
      <c r="V774" s="286"/>
      <c r="W774" s="286"/>
      <c r="X774" s="286"/>
      <c r="Y774" s="286"/>
    </row>
    <row r="775" spans="11:25">
      <c r="K775" s="286"/>
      <c r="L775" s="286"/>
      <c r="M775" s="286"/>
      <c r="N775" s="286"/>
      <c r="O775" s="286"/>
      <c r="P775" s="286"/>
      <c r="Q775" s="286"/>
      <c r="R775" s="286"/>
      <c r="S775" s="286"/>
      <c r="T775" s="286"/>
      <c r="U775" s="286"/>
      <c r="V775" s="286"/>
      <c r="W775" s="286"/>
      <c r="X775" s="286"/>
      <c r="Y775" s="286"/>
    </row>
    <row r="776" spans="11:25">
      <c r="K776" s="286"/>
      <c r="L776" s="286"/>
      <c r="M776" s="286"/>
      <c r="N776" s="286"/>
      <c r="O776" s="286"/>
      <c r="P776" s="286"/>
      <c r="Q776" s="286"/>
      <c r="R776" s="286"/>
      <c r="S776" s="286"/>
      <c r="T776" s="286"/>
      <c r="U776" s="286"/>
      <c r="V776" s="286"/>
      <c r="W776" s="286"/>
      <c r="X776" s="286"/>
      <c r="Y776" s="286"/>
    </row>
    <row r="777" spans="11:25">
      <c r="K777" s="286"/>
      <c r="L777" s="286"/>
      <c r="M777" s="286"/>
      <c r="N777" s="286"/>
      <c r="O777" s="286"/>
      <c r="P777" s="286"/>
      <c r="Q777" s="286"/>
      <c r="R777" s="286"/>
      <c r="S777" s="286"/>
      <c r="T777" s="286"/>
      <c r="U777" s="286"/>
      <c r="V777" s="286"/>
      <c r="W777" s="286"/>
      <c r="X777" s="286"/>
      <c r="Y777" s="286"/>
    </row>
    <row r="778" spans="11:25">
      <c r="K778" s="286"/>
      <c r="L778" s="286"/>
      <c r="M778" s="286"/>
      <c r="N778" s="286"/>
      <c r="O778" s="286"/>
      <c r="P778" s="286"/>
      <c r="Q778" s="286"/>
      <c r="R778" s="286"/>
      <c r="S778" s="286"/>
      <c r="T778" s="286"/>
      <c r="U778" s="286"/>
      <c r="V778" s="286"/>
      <c r="W778" s="286"/>
      <c r="X778" s="286"/>
      <c r="Y778" s="286"/>
    </row>
    <row r="779" spans="11:25">
      <c r="K779" s="286"/>
      <c r="L779" s="286"/>
      <c r="M779" s="286"/>
      <c r="N779" s="286"/>
      <c r="O779" s="286"/>
      <c r="P779" s="286"/>
      <c r="Q779" s="286"/>
      <c r="R779" s="286"/>
      <c r="S779" s="286"/>
      <c r="T779" s="286"/>
      <c r="U779" s="286"/>
      <c r="V779" s="286"/>
      <c r="W779" s="286"/>
      <c r="X779" s="286"/>
      <c r="Y779" s="286"/>
    </row>
    <row r="780" spans="11:25">
      <c r="K780" s="286"/>
      <c r="L780" s="286"/>
      <c r="M780" s="286"/>
      <c r="N780" s="286"/>
      <c r="O780" s="286"/>
      <c r="P780" s="286"/>
      <c r="Q780" s="286"/>
      <c r="R780" s="286"/>
      <c r="S780" s="286"/>
      <c r="T780" s="286"/>
      <c r="U780" s="286"/>
      <c r="V780" s="286"/>
      <c r="W780" s="286"/>
      <c r="X780" s="286"/>
      <c r="Y780" s="286"/>
    </row>
    <row r="781" spans="11:25">
      <c r="K781" s="286"/>
      <c r="L781" s="286"/>
      <c r="M781" s="286"/>
      <c r="N781" s="286"/>
      <c r="O781" s="286"/>
      <c r="P781" s="286"/>
      <c r="Q781" s="286"/>
      <c r="R781" s="286"/>
      <c r="S781" s="286"/>
      <c r="T781" s="286"/>
      <c r="U781" s="286"/>
      <c r="V781" s="286"/>
      <c r="W781" s="286"/>
      <c r="X781" s="286"/>
      <c r="Y781" s="286"/>
    </row>
    <row r="782" spans="11:25">
      <c r="K782" s="286"/>
      <c r="L782" s="286"/>
      <c r="M782" s="286"/>
      <c r="N782" s="286"/>
      <c r="O782" s="286"/>
      <c r="P782" s="286"/>
      <c r="Q782" s="286"/>
      <c r="R782" s="286"/>
      <c r="S782" s="286"/>
      <c r="T782" s="286"/>
      <c r="U782" s="286"/>
      <c r="V782" s="286"/>
      <c r="W782" s="286"/>
      <c r="X782" s="286"/>
      <c r="Y782" s="286"/>
    </row>
    <row r="783" spans="11:25">
      <c r="K783" s="286"/>
      <c r="L783" s="286"/>
      <c r="M783" s="286"/>
      <c r="N783" s="286"/>
      <c r="O783" s="286"/>
      <c r="P783" s="286"/>
      <c r="Q783" s="286"/>
      <c r="R783" s="286"/>
      <c r="S783" s="286"/>
      <c r="T783" s="286"/>
      <c r="U783" s="286"/>
      <c r="V783" s="286"/>
      <c r="W783" s="286"/>
      <c r="X783" s="286"/>
      <c r="Y783" s="286"/>
    </row>
    <row r="784" spans="11:25">
      <c r="K784" s="286"/>
      <c r="L784" s="286"/>
      <c r="M784" s="286"/>
      <c r="N784" s="286"/>
      <c r="O784" s="286"/>
      <c r="P784" s="286"/>
      <c r="Q784" s="286"/>
      <c r="R784" s="286"/>
      <c r="S784" s="286"/>
      <c r="T784" s="286"/>
      <c r="U784" s="286"/>
      <c r="V784" s="286"/>
      <c r="W784" s="286"/>
      <c r="X784" s="286"/>
      <c r="Y784" s="286"/>
    </row>
    <row r="785" spans="11:25">
      <c r="K785" s="286"/>
      <c r="L785" s="286"/>
      <c r="M785" s="286"/>
      <c r="N785" s="286"/>
      <c r="O785" s="286"/>
      <c r="P785" s="286"/>
      <c r="Q785" s="286"/>
      <c r="R785" s="286"/>
      <c r="S785" s="286"/>
      <c r="T785" s="286"/>
      <c r="U785" s="286"/>
      <c r="V785" s="286"/>
      <c r="W785" s="286"/>
      <c r="X785" s="286"/>
      <c r="Y785" s="286"/>
    </row>
    <row r="786" spans="11:25">
      <c r="K786" s="286"/>
      <c r="L786" s="286"/>
      <c r="M786" s="286"/>
      <c r="N786" s="286"/>
      <c r="O786" s="286"/>
      <c r="P786" s="286"/>
      <c r="Q786" s="286"/>
      <c r="R786" s="286"/>
      <c r="S786" s="286"/>
      <c r="T786" s="286"/>
      <c r="U786" s="286"/>
      <c r="V786" s="286"/>
      <c r="W786" s="286"/>
      <c r="X786" s="286"/>
      <c r="Y786" s="286"/>
    </row>
    <row r="787" spans="11:25">
      <c r="K787" s="286"/>
      <c r="L787" s="286"/>
      <c r="M787" s="286"/>
      <c r="N787" s="286"/>
      <c r="O787" s="286"/>
      <c r="P787" s="286"/>
      <c r="Q787" s="286"/>
      <c r="R787" s="286"/>
      <c r="S787" s="286"/>
      <c r="T787" s="286"/>
      <c r="U787" s="286"/>
      <c r="V787" s="286"/>
      <c r="W787" s="286"/>
      <c r="X787" s="286"/>
      <c r="Y787" s="286"/>
    </row>
    <row r="788" spans="11:25">
      <c r="K788" s="286"/>
      <c r="L788" s="286"/>
      <c r="M788" s="286"/>
      <c r="N788" s="286"/>
      <c r="O788" s="286"/>
      <c r="P788" s="286"/>
      <c r="Q788" s="286"/>
      <c r="R788" s="286"/>
      <c r="S788" s="286"/>
      <c r="T788" s="286"/>
      <c r="U788" s="286"/>
      <c r="V788" s="286"/>
      <c r="W788" s="286"/>
      <c r="X788" s="286"/>
      <c r="Y788" s="286"/>
    </row>
    <row r="789" spans="11:25">
      <c r="K789" s="286"/>
      <c r="L789" s="286"/>
      <c r="M789" s="286"/>
      <c r="N789" s="286"/>
      <c r="O789" s="286"/>
      <c r="P789" s="286"/>
      <c r="Q789" s="286"/>
      <c r="R789" s="286"/>
      <c r="S789" s="286"/>
      <c r="T789" s="286"/>
      <c r="U789" s="286"/>
      <c r="V789" s="286"/>
      <c r="W789" s="286"/>
      <c r="X789" s="286"/>
      <c r="Y789" s="286"/>
    </row>
    <row r="790" spans="11:25">
      <c r="K790" s="286"/>
      <c r="L790" s="286"/>
      <c r="M790" s="286"/>
      <c r="N790" s="286"/>
      <c r="O790" s="286"/>
      <c r="P790" s="286"/>
      <c r="Q790" s="286"/>
      <c r="R790" s="286"/>
      <c r="S790" s="286"/>
      <c r="T790" s="286"/>
      <c r="U790" s="286"/>
      <c r="V790" s="286"/>
      <c r="W790" s="286"/>
      <c r="X790" s="286"/>
      <c r="Y790" s="286"/>
    </row>
    <row r="791" spans="11:25">
      <c r="K791" s="286"/>
      <c r="L791" s="286"/>
      <c r="M791" s="286"/>
      <c r="N791" s="286"/>
      <c r="O791" s="286"/>
      <c r="P791" s="286"/>
      <c r="Q791" s="286"/>
      <c r="R791" s="286"/>
      <c r="S791" s="286"/>
      <c r="T791" s="286"/>
      <c r="U791" s="286"/>
      <c r="V791" s="286"/>
      <c r="W791" s="286"/>
      <c r="X791" s="286"/>
      <c r="Y791" s="286"/>
    </row>
    <row r="792" spans="11:25">
      <c r="K792" s="286"/>
      <c r="L792" s="286"/>
      <c r="M792" s="286"/>
      <c r="N792" s="286"/>
      <c r="O792" s="286"/>
      <c r="P792" s="286"/>
      <c r="Q792" s="286"/>
      <c r="R792" s="286"/>
      <c r="S792" s="286"/>
      <c r="T792" s="286"/>
      <c r="U792" s="286"/>
      <c r="V792" s="286"/>
      <c r="W792" s="286"/>
      <c r="X792" s="286"/>
      <c r="Y792" s="286"/>
    </row>
    <row r="793" spans="11:25">
      <c r="K793" s="286"/>
      <c r="L793" s="286"/>
      <c r="M793" s="286"/>
      <c r="N793" s="286"/>
      <c r="O793" s="286"/>
      <c r="P793" s="286"/>
      <c r="Q793" s="286"/>
      <c r="R793" s="286"/>
      <c r="S793" s="286"/>
      <c r="T793" s="286"/>
      <c r="U793" s="286"/>
      <c r="V793" s="286"/>
      <c r="W793" s="286"/>
      <c r="X793" s="286"/>
      <c r="Y793" s="286"/>
    </row>
    <row r="794" spans="11:25">
      <c r="K794" s="286"/>
      <c r="L794" s="286"/>
      <c r="M794" s="286"/>
      <c r="N794" s="286"/>
      <c r="O794" s="286"/>
      <c r="P794" s="286"/>
      <c r="Q794" s="286"/>
      <c r="R794" s="286"/>
      <c r="S794" s="286"/>
      <c r="T794" s="286"/>
      <c r="U794" s="286"/>
      <c r="V794" s="286"/>
      <c r="W794" s="286"/>
      <c r="X794" s="286"/>
      <c r="Y794" s="286"/>
    </row>
    <row r="795" spans="11:25">
      <c r="K795" s="286"/>
      <c r="L795" s="286"/>
      <c r="M795" s="286"/>
      <c r="N795" s="286"/>
      <c r="O795" s="286"/>
      <c r="P795" s="286"/>
      <c r="Q795" s="286"/>
      <c r="R795" s="286"/>
      <c r="S795" s="286"/>
      <c r="T795" s="286"/>
      <c r="U795" s="286"/>
      <c r="V795" s="286"/>
      <c r="W795" s="286"/>
      <c r="X795" s="286"/>
      <c r="Y795" s="286"/>
    </row>
    <row r="796" spans="11:25">
      <c r="K796" s="286"/>
      <c r="L796" s="286"/>
      <c r="M796" s="286"/>
      <c r="N796" s="286"/>
      <c r="O796" s="286"/>
      <c r="P796" s="286"/>
      <c r="Q796" s="286"/>
      <c r="R796" s="286"/>
      <c r="S796" s="286"/>
      <c r="T796" s="286"/>
      <c r="U796" s="286"/>
      <c r="V796" s="286"/>
      <c r="W796" s="286"/>
      <c r="X796" s="286"/>
      <c r="Y796" s="286"/>
    </row>
    <row r="797" spans="11:25">
      <c r="K797" s="286"/>
      <c r="L797" s="286"/>
      <c r="M797" s="286"/>
      <c r="N797" s="286"/>
      <c r="O797" s="286"/>
      <c r="P797" s="286"/>
      <c r="Q797" s="286"/>
      <c r="R797" s="286"/>
      <c r="S797" s="286"/>
      <c r="T797" s="286"/>
      <c r="U797" s="286"/>
      <c r="V797" s="286"/>
      <c r="W797" s="286"/>
      <c r="X797" s="286"/>
      <c r="Y797" s="286"/>
    </row>
    <row r="798" spans="11:25">
      <c r="K798" s="286"/>
      <c r="L798" s="286"/>
      <c r="M798" s="286"/>
      <c r="N798" s="286"/>
      <c r="O798" s="286"/>
      <c r="P798" s="286"/>
      <c r="Q798" s="286"/>
      <c r="R798" s="286"/>
      <c r="S798" s="286"/>
      <c r="T798" s="286"/>
      <c r="U798" s="286"/>
      <c r="V798" s="286"/>
      <c r="W798" s="286"/>
      <c r="X798" s="286"/>
      <c r="Y798" s="286"/>
    </row>
    <row r="799" spans="11:25">
      <c r="K799" s="286"/>
      <c r="L799" s="286"/>
      <c r="M799" s="286"/>
      <c r="N799" s="286"/>
      <c r="O799" s="286"/>
      <c r="P799" s="286"/>
      <c r="Q799" s="286"/>
      <c r="R799" s="286"/>
      <c r="S799" s="286"/>
      <c r="T799" s="286"/>
      <c r="U799" s="286"/>
      <c r="V799" s="286"/>
      <c r="W799" s="286"/>
      <c r="X799" s="286"/>
      <c r="Y799" s="286"/>
    </row>
    <row r="800" spans="11:25">
      <c r="K800" s="286"/>
      <c r="L800" s="286"/>
      <c r="M800" s="286"/>
      <c r="N800" s="286"/>
      <c r="O800" s="286"/>
      <c r="P800" s="286"/>
      <c r="Q800" s="286"/>
      <c r="R800" s="286"/>
      <c r="S800" s="286"/>
      <c r="T800" s="286"/>
      <c r="U800" s="286"/>
      <c r="V800" s="286"/>
      <c r="W800" s="286"/>
      <c r="X800" s="286"/>
      <c r="Y800" s="286"/>
    </row>
    <row r="801" spans="11:25">
      <c r="K801" s="286"/>
      <c r="L801" s="286"/>
      <c r="M801" s="286"/>
      <c r="N801" s="286"/>
      <c r="O801" s="286"/>
      <c r="P801" s="286"/>
      <c r="Q801" s="286"/>
      <c r="R801" s="286"/>
      <c r="S801" s="286"/>
      <c r="T801" s="286"/>
      <c r="U801" s="286"/>
      <c r="V801" s="286"/>
      <c r="W801" s="286"/>
      <c r="X801" s="286"/>
      <c r="Y801" s="286"/>
    </row>
    <row r="802" spans="11:25">
      <c r="K802" s="286"/>
      <c r="L802" s="286"/>
      <c r="M802" s="286"/>
      <c r="N802" s="286"/>
      <c r="O802" s="286"/>
      <c r="P802" s="286"/>
      <c r="Q802" s="286"/>
      <c r="R802" s="286"/>
      <c r="S802" s="286"/>
      <c r="T802" s="286"/>
      <c r="U802" s="286"/>
      <c r="V802" s="286"/>
      <c r="W802" s="286"/>
      <c r="X802" s="286"/>
      <c r="Y802" s="286"/>
    </row>
    <row r="803" spans="11:25">
      <c r="K803" s="286"/>
      <c r="L803" s="286"/>
      <c r="M803" s="286"/>
      <c r="N803" s="286"/>
      <c r="O803" s="286"/>
      <c r="P803" s="286"/>
      <c r="Q803" s="286"/>
      <c r="R803" s="286"/>
      <c r="S803" s="286"/>
      <c r="T803" s="286"/>
      <c r="U803" s="286"/>
      <c r="V803" s="286"/>
      <c r="W803" s="286"/>
      <c r="X803" s="286"/>
      <c r="Y803" s="286"/>
    </row>
    <row r="804" spans="11:25">
      <c r="K804" s="286"/>
      <c r="L804" s="286"/>
      <c r="M804" s="286"/>
      <c r="N804" s="286"/>
      <c r="O804" s="286"/>
      <c r="P804" s="286"/>
      <c r="Q804" s="286"/>
      <c r="R804" s="286"/>
      <c r="S804" s="286"/>
      <c r="T804" s="286"/>
      <c r="U804" s="286"/>
      <c r="V804" s="286"/>
      <c r="W804" s="286"/>
      <c r="X804" s="286"/>
      <c r="Y804" s="286"/>
    </row>
    <row r="805" spans="11:25">
      <c r="K805" s="286"/>
      <c r="L805" s="286"/>
      <c r="M805" s="286"/>
      <c r="N805" s="286"/>
      <c r="O805" s="286"/>
      <c r="P805" s="286"/>
      <c r="Q805" s="286"/>
      <c r="R805" s="286"/>
      <c r="S805" s="286"/>
      <c r="T805" s="286"/>
      <c r="U805" s="286"/>
      <c r="V805" s="286"/>
      <c r="W805" s="286"/>
      <c r="X805" s="286"/>
      <c r="Y805" s="286"/>
    </row>
    <row r="806" spans="11:25">
      <c r="K806" s="286"/>
      <c r="L806" s="286"/>
      <c r="M806" s="286"/>
      <c r="N806" s="286"/>
      <c r="O806" s="286"/>
      <c r="P806" s="286"/>
      <c r="Q806" s="286"/>
      <c r="R806" s="286"/>
      <c r="S806" s="286"/>
      <c r="T806" s="286"/>
      <c r="U806" s="286"/>
      <c r="V806" s="286"/>
      <c r="W806" s="286"/>
      <c r="X806" s="286"/>
      <c r="Y806" s="286"/>
    </row>
    <row r="807" spans="11:25">
      <c r="K807" s="286"/>
      <c r="L807" s="286"/>
      <c r="M807" s="286"/>
      <c r="N807" s="286"/>
      <c r="O807" s="286"/>
      <c r="P807" s="286"/>
      <c r="Q807" s="286"/>
      <c r="R807" s="286"/>
      <c r="S807" s="286"/>
      <c r="T807" s="286"/>
      <c r="U807" s="286"/>
      <c r="V807" s="286"/>
      <c r="W807" s="286"/>
      <c r="X807" s="286"/>
      <c r="Y807" s="286"/>
    </row>
    <row r="808" spans="11:25">
      <c r="K808" s="286"/>
      <c r="L808" s="286"/>
      <c r="M808" s="286"/>
      <c r="N808" s="286"/>
      <c r="O808" s="286"/>
      <c r="P808" s="286"/>
      <c r="Q808" s="286"/>
      <c r="R808" s="286"/>
      <c r="S808" s="286"/>
      <c r="T808" s="286"/>
      <c r="U808" s="286"/>
      <c r="V808" s="286"/>
      <c r="W808" s="286"/>
      <c r="X808" s="286"/>
      <c r="Y808" s="286"/>
    </row>
    <row r="809" spans="11:25">
      <c r="K809" s="286"/>
      <c r="L809" s="286"/>
      <c r="M809" s="286"/>
      <c r="N809" s="286"/>
      <c r="O809" s="286"/>
      <c r="P809" s="286"/>
      <c r="Q809" s="286"/>
      <c r="R809" s="286"/>
      <c r="S809" s="286"/>
      <c r="T809" s="286"/>
      <c r="U809" s="286"/>
      <c r="V809" s="286"/>
      <c r="W809" s="286"/>
      <c r="X809" s="286"/>
      <c r="Y809" s="286"/>
    </row>
    <row r="810" spans="11:25">
      <c r="K810" s="286"/>
      <c r="L810" s="286"/>
      <c r="M810" s="286"/>
      <c r="N810" s="286"/>
      <c r="O810" s="286"/>
      <c r="P810" s="286"/>
      <c r="Q810" s="286"/>
      <c r="R810" s="286"/>
      <c r="S810" s="286"/>
      <c r="T810" s="286"/>
      <c r="U810" s="286"/>
      <c r="V810" s="286"/>
      <c r="W810" s="286"/>
      <c r="X810" s="286"/>
      <c r="Y810" s="286"/>
    </row>
    <row r="811" spans="11:25">
      <c r="K811" s="286"/>
      <c r="L811" s="286"/>
      <c r="M811" s="286"/>
      <c r="N811" s="286"/>
      <c r="O811" s="286"/>
      <c r="P811" s="286"/>
      <c r="Q811" s="286"/>
      <c r="R811" s="286"/>
      <c r="S811" s="286"/>
      <c r="T811" s="286"/>
      <c r="U811" s="286"/>
      <c r="V811" s="286"/>
      <c r="W811" s="286"/>
      <c r="X811" s="286"/>
      <c r="Y811" s="286"/>
    </row>
    <row r="812" spans="11:25">
      <c r="K812" s="286"/>
      <c r="L812" s="286"/>
      <c r="M812" s="286"/>
      <c r="N812" s="286"/>
      <c r="O812" s="286"/>
      <c r="P812" s="286"/>
      <c r="Q812" s="286"/>
      <c r="R812" s="286"/>
      <c r="S812" s="286"/>
      <c r="T812" s="286"/>
      <c r="U812" s="286"/>
      <c r="V812" s="286"/>
      <c r="W812" s="286"/>
      <c r="X812" s="286"/>
      <c r="Y812" s="286"/>
    </row>
    <row r="813" spans="11:25">
      <c r="K813" s="286"/>
      <c r="L813" s="286"/>
      <c r="M813" s="286"/>
      <c r="N813" s="286"/>
      <c r="O813" s="286"/>
      <c r="P813" s="286"/>
      <c r="Q813" s="286"/>
      <c r="R813" s="286"/>
      <c r="S813" s="286"/>
      <c r="T813" s="286"/>
      <c r="U813" s="286"/>
      <c r="V813" s="286"/>
      <c r="W813" s="286"/>
      <c r="X813" s="286"/>
      <c r="Y813" s="286"/>
    </row>
    <row r="814" spans="11:25">
      <c r="K814" s="286"/>
      <c r="L814" s="286"/>
      <c r="M814" s="286"/>
      <c r="N814" s="286"/>
      <c r="O814" s="286"/>
      <c r="P814" s="286"/>
      <c r="Q814" s="286"/>
      <c r="R814" s="286"/>
      <c r="S814" s="286"/>
      <c r="T814" s="286"/>
      <c r="U814" s="286"/>
      <c r="V814" s="286"/>
      <c r="W814" s="286"/>
      <c r="X814" s="286"/>
      <c r="Y814" s="286"/>
    </row>
    <row r="815" spans="11:25">
      <c r="K815" s="286"/>
      <c r="L815" s="286"/>
      <c r="M815" s="286"/>
      <c r="N815" s="286"/>
      <c r="O815" s="286"/>
      <c r="P815" s="286"/>
      <c r="Q815" s="286"/>
      <c r="R815" s="286"/>
      <c r="S815" s="286"/>
      <c r="T815" s="286"/>
      <c r="U815" s="286"/>
      <c r="V815" s="286"/>
      <c r="W815" s="286"/>
      <c r="X815" s="286"/>
      <c r="Y815" s="286"/>
    </row>
    <row r="816" spans="11:25">
      <c r="K816" s="286"/>
      <c r="L816" s="286"/>
      <c r="M816" s="286"/>
      <c r="N816" s="286"/>
      <c r="O816" s="286"/>
      <c r="P816" s="286"/>
      <c r="Q816" s="286"/>
      <c r="R816" s="286"/>
      <c r="S816" s="286"/>
      <c r="T816" s="286"/>
      <c r="U816" s="286"/>
      <c r="V816" s="286"/>
      <c r="W816" s="286"/>
      <c r="X816" s="286"/>
      <c r="Y816" s="286"/>
    </row>
    <row r="817" spans="11:25">
      <c r="K817" s="286"/>
      <c r="L817" s="286"/>
      <c r="M817" s="286"/>
      <c r="N817" s="286"/>
      <c r="O817" s="286"/>
      <c r="P817" s="286"/>
      <c r="Q817" s="286"/>
      <c r="R817" s="286"/>
      <c r="S817" s="286"/>
      <c r="T817" s="286"/>
      <c r="U817" s="286"/>
      <c r="V817" s="286"/>
      <c r="W817" s="286"/>
      <c r="X817" s="286"/>
      <c r="Y817" s="286"/>
    </row>
    <row r="818" spans="11:25">
      <c r="K818" s="286"/>
      <c r="L818" s="286"/>
      <c r="M818" s="286"/>
      <c r="N818" s="286"/>
      <c r="O818" s="286"/>
      <c r="P818" s="286"/>
      <c r="Q818" s="286"/>
      <c r="R818" s="286"/>
      <c r="S818" s="286"/>
      <c r="T818" s="286"/>
      <c r="U818" s="286"/>
      <c r="V818" s="286"/>
      <c r="W818" s="286"/>
      <c r="X818" s="286"/>
      <c r="Y818" s="286"/>
    </row>
    <row r="819" spans="11:25">
      <c r="K819" s="286"/>
      <c r="L819" s="286"/>
      <c r="M819" s="286"/>
      <c r="N819" s="286"/>
      <c r="O819" s="286"/>
      <c r="P819" s="286"/>
      <c r="Q819" s="286"/>
      <c r="R819" s="286"/>
      <c r="S819" s="286"/>
      <c r="T819" s="286"/>
      <c r="U819" s="286"/>
      <c r="V819" s="286"/>
      <c r="W819" s="286"/>
      <c r="X819" s="286"/>
      <c r="Y819" s="286"/>
    </row>
    <row r="820" spans="11:25">
      <c r="K820" s="286"/>
      <c r="L820" s="286"/>
      <c r="M820" s="286"/>
      <c r="N820" s="286"/>
      <c r="O820" s="286"/>
      <c r="P820" s="286"/>
      <c r="Q820" s="286"/>
      <c r="R820" s="286"/>
      <c r="S820" s="286"/>
      <c r="T820" s="286"/>
      <c r="U820" s="286"/>
      <c r="V820" s="286"/>
      <c r="W820" s="286"/>
      <c r="X820" s="286"/>
      <c r="Y820" s="286"/>
    </row>
    <row r="821" spans="11:25">
      <c r="K821" s="286"/>
      <c r="L821" s="286"/>
      <c r="M821" s="286"/>
      <c r="N821" s="286"/>
      <c r="O821" s="286"/>
      <c r="P821" s="286"/>
      <c r="Q821" s="286"/>
      <c r="R821" s="286"/>
      <c r="S821" s="286"/>
      <c r="T821" s="286"/>
      <c r="U821" s="286"/>
      <c r="V821" s="286"/>
      <c r="W821" s="286"/>
      <c r="X821" s="286"/>
      <c r="Y821" s="286"/>
    </row>
    <row r="822" spans="11:25">
      <c r="K822" s="286"/>
      <c r="L822" s="286"/>
      <c r="M822" s="286"/>
      <c r="N822" s="286"/>
      <c r="O822" s="286"/>
      <c r="P822" s="286"/>
      <c r="Q822" s="286"/>
      <c r="R822" s="286"/>
      <c r="S822" s="286"/>
      <c r="T822" s="286"/>
      <c r="U822" s="286"/>
      <c r="V822" s="286"/>
      <c r="W822" s="286"/>
      <c r="X822" s="286"/>
      <c r="Y822" s="286"/>
    </row>
    <row r="823" spans="11:25">
      <c r="K823" s="286"/>
      <c r="L823" s="286"/>
      <c r="M823" s="286"/>
      <c r="N823" s="286"/>
      <c r="O823" s="286"/>
      <c r="P823" s="286"/>
      <c r="Q823" s="286"/>
      <c r="R823" s="286"/>
      <c r="S823" s="286"/>
      <c r="T823" s="286"/>
      <c r="U823" s="286"/>
      <c r="V823" s="286"/>
      <c r="W823" s="286"/>
      <c r="X823" s="286"/>
      <c r="Y823" s="286"/>
    </row>
    <row r="824" spans="11:25">
      <c r="K824" s="286"/>
      <c r="L824" s="286"/>
      <c r="M824" s="286"/>
      <c r="N824" s="286"/>
      <c r="O824" s="286"/>
      <c r="P824" s="286"/>
      <c r="Q824" s="286"/>
      <c r="R824" s="286"/>
      <c r="S824" s="286"/>
      <c r="T824" s="286"/>
      <c r="U824" s="286"/>
      <c r="V824" s="286"/>
      <c r="W824" s="286"/>
      <c r="X824" s="286"/>
      <c r="Y824" s="286"/>
    </row>
    <row r="825" spans="11:25">
      <c r="K825" s="286"/>
      <c r="L825" s="286"/>
      <c r="M825" s="286"/>
      <c r="N825" s="286"/>
      <c r="O825" s="286"/>
      <c r="P825" s="286"/>
      <c r="Q825" s="286"/>
      <c r="R825" s="286"/>
      <c r="S825" s="286"/>
      <c r="T825" s="286"/>
      <c r="U825" s="286"/>
      <c r="V825" s="286"/>
      <c r="W825" s="286"/>
      <c r="X825" s="286"/>
      <c r="Y825" s="286"/>
    </row>
    <row r="826" spans="11:25">
      <c r="K826" s="286"/>
      <c r="L826" s="286"/>
      <c r="M826" s="286"/>
      <c r="N826" s="286"/>
      <c r="O826" s="286"/>
      <c r="P826" s="286"/>
      <c r="Q826" s="286"/>
      <c r="R826" s="286"/>
      <c r="S826" s="286"/>
      <c r="T826" s="286"/>
      <c r="U826" s="286"/>
      <c r="V826" s="286"/>
      <c r="W826" s="286"/>
      <c r="X826" s="286"/>
      <c r="Y826" s="286"/>
    </row>
    <row r="827" spans="11:25">
      <c r="K827" s="286"/>
      <c r="L827" s="286"/>
      <c r="M827" s="286"/>
      <c r="N827" s="286"/>
      <c r="O827" s="286"/>
      <c r="P827" s="286"/>
      <c r="Q827" s="286"/>
      <c r="R827" s="286"/>
      <c r="S827" s="286"/>
      <c r="T827" s="286"/>
      <c r="U827" s="286"/>
      <c r="V827" s="286"/>
      <c r="W827" s="286"/>
      <c r="X827" s="286"/>
      <c r="Y827" s="286"/>
    </row>
    <row r="828" spans="11:25">
      <c r="K828" s="286"/>
      <c r="L828" s="286"/>
      <c r="M828" s="286"/>
      <c r="N828" s="286"/>
      <c r="O828" s="286"/>
      <c r="P828" s="286"/>
      <c r="Q828" s="286"/>
      <c r="R828" s="286"/>
      <c r="S828" s="286"/>
      <c r="T828" s="286"/>
      <c r="U828" s="286"/>
      <c r="V828" s="286"/>
      <c r="W828" s="286"/>
      <c r="X828" s="286"/>
      <c r="Y828" s="286"/>
    </row>
    <row r="829" spans="11:25">
      <c r="K829" s="286"/>
      <c r="L829" s="286"/>
      <c r="M829" s="286"/>
      <c r="N829" s="286"/>
      <c r="O829" s="286"/>
      <c r="P829" s="286"/>
      <c r="Q829" s="286"/>
      <c r="R829" s="286"/>
      <c r="S829" s="286"/>
      <c r="T829" s="286"/>
      <c r="U829" s="286"/>
      <c r="V829" s="286"/>
      <c r="W829" s="286"/>
      <c r="X829" s="286"/>
      <c r="Y829" s="286"/>
    </row>
    <row r="830" spans="11:25">
      <c r="K830" s="286"/>
      <c r="L830" s="286"/>
      <c r="M830" s="286"/>
      <c r="N830" s="286"/>
      <c r="O830" s="286"/>
      <c r="P830" s="286"/>
      <c r="Q830" s="286"/>
      <c r="R830" s="286"/>
      <c r="S830" s="286"/>
      <c r="T830" s="286"/>
      <c r="U830" s="286"/>
      <c r="V830" s="286"/>
      <c r="W830" s="286"/>
      <c r="X830" s="286"/>
      <c r="Y830" s="286"/>
    </row>
    <row r="831" spans="11:25">
      <c r="K831" s="286"/>
      <c r="L831" s="286"/>
      <c r="M831" s="286"/>
      <c r="N831" s="286"/>
      <c r="O831" s="286"/>
      <c r="P831" s="286"/>
      <c r="Q831" s="286"/>
      <c r="R831" s="286"/>
      <c r="S831" s="286"/>
      <c r="T831" s="286"/>
      <c r="U831" s="286"/>
      <c r="V831" s="286"/>
      <c r="W831" s="286"/>
      <c r="X831" s="286"/>
      <c r="Y831" s="286"/>
    </row>
    <row r="832" spans="11:25">
      <c r="K832" s="286"/>
      <c r="L832" s="286"/>
      <c r="M832" s="286"/>
      <c r="N832" s="286"/>
      <c r="O832" s="286"/>
      <c r="P832" s="286"/>
      <c r="Q832" s="286"/>
      <c r="R832" s="286"/>
      <c r="S832" s="286"/>
      <c r="T832" s="286"/>
      <c r="U832" s="286"/>
      <c r="V832" s="286"/>
      <c r="W832" s="286"/>
      <c r="X832" s="286"/>
      <c r="Y832" s="286"/>
    </row>
    <row r="833" spans="11:25">
      <c r="K833" s="286"/>
      <c r="L833" s="286"/>
      <c r="M833" s="286"/>
      <c r="N833" s="286"/>
      <c r="O833" s="286"/>
      <c r="P833" s="286"/>
      <c r="Q833" s="286"/>
      <c r="R833" s="286"/>
      <c r="S833" s="286"/>
      <c r="T833" s="286"/>
      <c r="U833" s="286"/>
      <c r="V833" s="286"/>
      <c r="W833" s="286"/>
      <c r="X833" s="286"/>
      <c r="Y833" s="286"/>
    </row>
    <row r="834" spans="11:25">
      <c r="K834" s="286"/>
      <c r="L834" s="286"/>
      <c r="M834" s="286"/>
      <c r="N834" s="286"/>
      <c r="O834" s="286"/>
      <c r="P834" s="286"/>
      <c r="Q834" s="286"/>
      <c r="R834" s="286"/>
      <c r="S834" s="286"/>
      <c r="T834" s="286"/>
      <c r="U834" s="286"/>
      <c r="V834" s="286"/>
      <c r="W834" s="286"/>
      <c r="X834" s="286"/>
      <c r="Y834" s="286"/>
    </row>
    <row r="835" spans="11:25">
      <c r="K835" s="286"/>
      <c r="L835" s="286"/>
      <c r="M835" s="286"/>
      <c r="N835" s="286"/>
      <c r="O835" s="286"/>
      <c r="P835" s="286"/>
      <c r="Q835" s="286"/>
      <c r="R835" s="286"/>
      <c r="S835" s="286"/>
      <c r="T835" s="286"/>
      <c r="U835" s="286"/>
      <c r="V835" s="286"/>
      <c r="W835" s="286"/>
      <c r="X835" s="286"/>
      <c r="Y835" s="286"/>
    </row>
    <row r="836" spans="11:25">
      <c r="K836" s="286"/>
      <c r="L836" s="286"/>
      <c r="M836" s="286"/>
      <c r="N836" s="286"/>
      <c r="O836" s="286"/>
      <c r="P836" s="286"/>
      <c r="Q836" s="286"/>
      <c r="R836" s="286"/>
      <c r="S836" s="286"/>
      <c r="T836" s="286"/>
      <c r="U836" s="286"/>
      <c r="V836" s="286"/>
      <c r="W836" s="286"/>
      <c r="X836" s="286"/>
      <c r="Y836" s="286"/>
    </row>
    <row r="837" spans="11:25">
      <c r="K837" s="286"/>
      <c r="L837" s="286"/>
      <c r="M837" s="286"/>
      <c r="N837" s="286"/>
      <c r="O837" s="286"/>
      <c r="P837" s="286"/>
      <c r="Q837" s="286"/>
      <c r="R837" s="286"/>
      <c r="S837" s="286"/>
      <c r="T837" s="286"/>
      <c r="U837" s="286"/>
      <c r="V837" s="286"/>
      <c r="W837" s="286"/>
      <c r="X837" s="286"/>
      <c r="Y837" s="286"/>
    </row>
    <row r="838" spans="11:25">
      <c r="K838" s="286"/>
      <c r="L838" s="286"/>
      <c r="M838" s="286"/>
      <c r="N838" s="286"/>
      <c r="O838" s="286"/>
      <c r="P838" s="286"/>
      <c r="Q838" s="286"/>
      <c r="R838" s="286"/>
      <c r="S838" s="286"/>
      <c r="T838" s="286"/>
      <c r="U838" s="286"/>
      <c r="V838" s="286"/>
      <c r="W838" s="286"/>
      <c r="X838" s="286"/>
      <c r="Y838" s="286"/>
    </row>
    <row r="839" spans="11:25">
      <c r="K839" s="286"/>
      <c r="L839" s="286"/>
      <c r="M839" s="286"/>
      <c r="N839" s="286"/>
      <c r="O839" s="286"/>
      <c r="P839" s="286"/>
      <c r="Q839" s="286"/>
      <c r="R839" s="286"/>
      <c r="S839" s="286"/>
      <c r="T839" s="286"/>
      <c r="U839" s="286"/>
      <c r="V839" s="286"/>
      <c r="W839" s="286"/>
      <c r="X839" s="286"/>
      <c r="Y839" s="286"/>
    </row>
    <row r="840" spans="11:25">
      <c r="K840" s="286"/>
      <c r="L840" s="286"/>
      <c r="M840" s="286"/>
      <c r="N840" s="286"/>
      <c r="O840" s="286"/>
      <c r="P840" s="286"/>
      <c r="Q840" s="286"/>
      <c r="R840" s="286"/>
      <c r="S840" s="286"/>
      <c r="T840" s="286"/>
      <c r="U840" s="286"/>
      <c r="V840" s="286"/>
      <c r="W840" s="286"/>
      <c r="X840" s="286"/>
      <c r="Y840" s="286"/>
    </row>
    <row r="841" spans="11:25">
      <c r="K841" s="286"/>
      <c r="L841" s="286"/>
      <c r="M841" s="286"/>
      <c r="N841" s="286"/>
      <c r="O841" s="286"/>
      <c r="P841" s="286"/>
      <c r="Q841" s="286"/>
      <c r="R841" s="286"/>
      <c r="S841" s="286"/>
      <c r="T841" s="286"/>
      <c r="U841" s="286"/>
      <c r="V841" s="286"/>
      <c r="W841" s="286"/>
      <c r="X841" s="286"/>
      <c r="Y841" s="286"/>
    </row>
    <row r="842" spans="11:25">
      <c r="K842" s="286"/>
      <c r="L842" s="286"/>
      <c r="M842" s="286"/>
      <c r="N842" s="286"/>
      <c r="O842" s="286"/>
      <c r="P842" s="286"/>
      <c r="Q842" s="286"/>
      <c r="R842" s="286"/>
      <c r="S842" s="286"/>
      <c r="T842" s="286"/>
      <c r="U842" s="286"/>
      <c r="V842" s="286"/>
      <c r="W842" s="286"/>
      <c r="X842" s="286"/>
      <c r="Y842" s="286"/>
    </row>
    <row r="843" spans="11:25">
      <c r="K843" s="286"/>
      <c r="L843" s="286"/>
      <c r="M843" s="286"/>
      <c r="N843" s="286"/>
      <c r="O843" s="286"/>
      <c r="P843" s="286"/>
      <c r="Q843" s="286"/>
      <c r="R843" s="286"/>
      <c r="S843" s="286"/>
      <c r="T843" s="286"/>
      <c r="U843" s="286"/>
      <c r="V843" s="286"/>
      <c r="W843" s="286"/>
      <c r="X843" s="286"/>
      <c r="Y843" s="286"/>
    </row>
    <row r="844" spans="11:25">
      <c r="K844" s="286"/>
      <c r="L844" s="286"/>
      <c r="M844" s="286"/>
      <c r="N844" s="286"/>
      <c r="O844" s="286"/>
      <c r="P844" s="286"/>
      <c r="Q844" s="286"/>
      <c r="R844" s="286"/>
      <c r="S844" s="286"/>
      <c r="T844" s="286"/>
      <c r="U844" s="286"/>
      <c r="V844" s="286"/>
      <c r="W844" s="286"/>
      <c r="X844" s="286"/>
      <c r="Y844" s="286"/>
    </row>
    <row r="845" spans="11:25">
      <c r="K845" s="286"/>
      <c r="L845" s="286"/>
      <c r="M845" s="286"/>
      <c r="N845" s="286"/>
      <c r="O845" s="286"/>
      <c r="P845" s="286"/>
      <c r="Q845" s="286"/>
      <c r="R845" s="286"/>
      <c r="S845" s="286"/>
      <c r="T845" s="286"/>
      <c r="U845" s="286"/>
      <c r="V845" s="286"/>
      <c r="W845" s="286"/>
      <c r="X845" s="286"/>
      <c r="Y845" s="286"/>
    </row>
    <row r="846" spans="11:25">
      <c r="K846" s="286"/>
      <c r="L846" s="286"/>
      <c r="M846" s="286"/>
      <c r="N846" s="286"/>
      <c r="O846" s="286"/>
      <c r="P846" s="286"/>
      <c r="Q846" s="286"/>
      <c r="R846" s="286"/>
      <c r="S846" s="286"/>
      <c r="T846" s="286"/>
      <c r="U846" s="286"/>
      <c r="V846" s="286"/>
      <c r="W846" s="286"/>
      <c r="X846" s="286"/>
      <c r="Y846" s="286"/>
    </row>
    <row r="847" spans="11:25">
      <c r="K847" s="286"/>
      <c r="L847" s="286"/>
      <c r="M847" s="286"/>
      <c r="N847" s="286"/>
      <c r="O847" s="286"/>
      <c r="P847" s="286"/>
      <c r="Q847" s="286"/>
      <c r="R847" s="286"/>
      <c r="S847" s="286"/>
      <c r="T847" s="286"/>
      <c r="U847" s="286"/>
      <c r="V847" s="286"/>
      <c r="W847" s="286"/>
      <c r="X847" s="286"/>
      <c r="Y847" s="286"/>
    </row>
    <row r="848" spans="11:25">
      <c r="K848" s="286"/>
      <c r="L848" s="286"/>
      <c r="M848" s="286"/>
      <c r="N848" s="286"/>
      <c r="O848" s="286"/>
      <c r="P848" s="286"/>
      <c r="Q848" s="286"/>
      <c r="R848" s="286"/>
      <c r="S848" s="286"/>
      <c r="T848" s="286"/>
      <c r="U848" s="286"/>
      <c r="V848" s="286"/>
      <c r="W848" s="286"/>
      <c r="X848" s="286"/>
      <c r="Y848" s="286"/>
    </row>
    <row r="849" spans="11:25">
      <c r="K849" s="286"/>
      <c r="L849" s="286"/>
      <c r="M849" s="286"/>
      <c r="N849" s="286"/>
      <c r="O849" s="286"/>
      <c r="P849" s="286"/>
      <c r="Q849" s="286"/>
      <c r="R849" s="286"/>
      <c r="S849" s="286"/>
      <c r="T849" s="286"/>
      <c r="U849" s="286"/>
      <c r="V849" s="286"/>
      <c r="W849" s="286"/>
      <c r="X849" s="286"/>
      <c r="Y849" s="286"/>
    </row>
    <row r="850" spans="11:25">
      <c r="K850" s="286"/>
      <c r="L850" s="286"/>
      <c r="M850" s="286"/>
      <c r="N850" s="286"/>
      <c r="O850" s="286"/>
      <c r="P850" s="286"/>
      <c r="Q850" s="286"/>
      <c r="R850" s="286"/>
      <c r="S850" s="286"/>
      <c r="T850" s="286"/>
      <c r="U850" s="286"/>
      <c r="V850" s="286"/>
      <c r="W850" s="286"/>
      <c r="X850" s="286"/>
      <c r="Y850" s="286"/>
    </row>
    <row r="851" spans="11:25">
      <c r="K851" s="286"/>
      <c r="L851" s="286"/>
      <c r="M851" s="286"/>
      <c r="N851" s="286"/>
      <c r="O851" s="286"/>
      <c r="P851" s="286"/>
      <c r="Q851" s="286"/>
      <c r="R851" s="286"/>
      <c r="S851" s="286"/>
      <c r="T851" s="286"/>
      <c r="U851" s="286"/>
      <c r="V851" s="286"/>
      <c r="W851" s="286"/>
      <c r="X851" s="286"/>
      <c r="Y851" s="286"/>
    </row>
    <row r="852" spans="11:25">
      <c r="K852" s="286"/>
      <c r="L852" s="286"/>
      <c r="M852" s="286"/>
      <c r="N852" s="286"/>
      <c r="O852" s="286"/>
      <c r="P852" s="286"/>
      <c r="Q852" s="286"/>
      <c r="R852" s="286"/>
      <c r="S852" s="286"/>
      <c r="T852" s="286"/>
      <c r="U852" s="286"/>
      <c r="V852" s="286"/>
      <c r="W852" s="286"/>
      <c r="X852" s="286"/>
      <c r="Y852" s="286"/>
    </row>
    <row r="853" spans="11:25">
      <c r="K853" s="286"/>
      <c r="L853" s="286"/>
      <c r="M853" s="286"/>
      <c r="N853" s="286"/>
      <c r="O853" s="286"/>
      <c r="P853" s="286"/>
      <c r="Q853" s="286"/>
      <c r="R853" s="286"/>
      <c r="S853" s="286"/>
      <c r="T853" s="286"/>
      <c r="U853" s="286"/>
      <c r="V853" s="286"/>
      <c r="W853" s="286"/>
      <c r="X853" s="286"/>
      <c r="Y853" s="286"/>
    </row>
    <row r="854" spans="11:25">
      <c r="K854" s="286"/>
      <c r="L854" s="286"/>
      <c r="M854" s="286"/>
      <c r="N854" s="286"/>
      <c r="O854" s="286"/>
      <c r="P854" s="286"/>
      <c r="Q854" s="286"/>
      <c r="R854" s="286"/>
      <c r="S854" s="286"/>
      <c r="T854" s="286"/>
      <c r="U854" s="286"/>
      <c r="V854" s="286"/>
      <c r="W854" s="286"/>
      <c r="X854" s="286"/>
      <c r="Y854" s="286"/>
    </row>
    <row r="855" spans="11:25">
      <c r="K855" s="286"/>
      <c r="L855" s="286"/>
      <c r="M855" s="286"/>
      <c r="N855" s="286"/>
      <c r="O855" s="286"/>
      <c r="P855" s="286"/>
      <c r="Q855" s="286"/>
      <c r="R855" s="286"/>
      <c r="S855" s="286"/>
      <c r="T855" s="286"/>
      <c r="U855" s="286"/>
      <c r="V855" s="286"/>
      <c r="W855" s="286"/>
      <c r="X855" s="286"/>
      <c r="Y855" s="286"/>
    </row>
    <row r="856" spans="11:25">
      <c r="K856" s="286"/>
      <c r="L856" s="286"/>
      <c r="M856" s="286"/>
      <c r="N856" s="286"/>
      <c r="O856" s="286"/>
      <c r="P856" s="286"/>
      <c r="Q856" s="286"/>
      <c r="R856" s="286"/>
      <c r="S856" s="286"/>
      <c r="T856" s="286"/>
      <c r="U856" s="286"/>
      <c r="V856" s="286"/>
      <c r="W856" s="286"/>
      <c r="X856" s="286"/>
      <c r="Y856" s="286"/>
    </row>
    <row r="857" spans="11:25">
      <c r="K857" s="286"/>
      <c r="L857" s="286"/>
      <c r="M857" s="286"/>
      <c r="N857" s="286"/>
      <c r="O857" s="286"/>
      <c r="P857" s="286"/>
      <c r="Q857" s="286"/>
      <c r="R857" s="286"/>
      <c r="S857" s="286"/>
      <c r="T857" s="286"/>
      <c r="U857" s="286"/>
      <c r="V857" s="286"/>
      <c r="W857" s="286"/>
      <c r="X857" s="286"/>
      <c r="Y857" s="286"/>
    </row>
    <row r="858" spans="11:25">
      <c r="K858" s="286"/>
      <c r="L858" s="286"/>
      <c r="M858" s="286"/>
      <c r="N858" s="286"/>
      <c r="O858" s="286"/>
      <c r="P858" s="286"/>
      <c r="Q858" s="286"/>
      <c r="R858" s="286"/>
      <c r="S858" s="286"/>
      <c r="T858" s="286"/>
      <c r="U858" s="286"/>
      <c r="V858" s="286"/>
      <c r="W858" s="286"/>
      <c r="X858" s="286"/>
      <c r="Y858" s="286"/>
    </row>
    <row r="859" spans="11:25">
      <c r="K859" s="286"/>
      <c r="L859" s="286"/>
      <c r="M859" s="286"/>
      <c r="N859" s="286"/>
      <c r="O859" s="286"/>
      <c r="P859" s="286"/>
      <c r="Q859" s="286"/>
      <c r="R859" s="286"/>
      <c r="S859" s="286"/>
      <c r="T859" s="286"/>
      <c r="U859" s="286"/>
      <c r="V859" s="286"/>
      <c r="W859" s="286"/>
      <c r="X859" s="286"/>
      <c r="Y859" s="286"/>
    </row>
    <row r="860" spans="11:25">
      <c r="K860" s="286"/>
      <c r="L860" s="286"/>
      <c r="M860" s="286"/>
      <c r="N860" s="286"/>
      <c r="O860" s="286"/>
      <c r="P860" s="286"/>
      <c r="Q860" s="286"/>
      <c r="R860" s="286"/>
      <c r="S860" s="286"/>
      <c r="T860" s="286"/>
      <c r="U860" s="286"/>
      <c r="V860" s="286"/>
      <c r="W860" s="286"/>
      <c r="X860" s="286"/>
      <c r="Y860" s="286"/>
    </row>
    <row r="861" spans="11:25">
      <c r="K861" s="286"/>
      <c r="L861" s="286"/>
      <c r="M861" s="286"/>
      <c r="N861" s="286"/>
      <c r="O861" s="286"/>
      <c r="P861" s="286"/>
      <c r="Q861" s="286"/>
      <c r="R861" s="286"/>
      <c r="S861" s="286"/>
      <c r="T861" s="286"/>
      <c r="U861" s="286"/>
      <c r="V861" s="286"/>
      <c r="W861" s="286"/>
      <c r="X861" s="286"/>
      <c r="Y861" s="286"/>
    </row>
    <row r="862" spans="11:25">
      <c r="K862" s="286"/>
      <c r="L862" s="286"/>
      <c r="M862" s="286"/>
      <c r="N862" s="286"/>
      <c r="O862" s="286"/>
      <c r="P862" s="286"/>
      <c r="Q862" s="286"/>
      <c r="R862" s="286"/>
      <c r="S862" s="286"/>
      <c r="T862" s="286"/>
      <c r="U862" s="286"/>
      <c r="V862" s="286"/>
      <c r="W862" s="286"/>
      <c r="X862" s="286"/>
      <c r="Y862" s="286"/>
    </row>
    <row r="863" spans="11:25">
      <c r="K863" s="286"/>
      <c r="L863" s="286"/>
      <c r="M863" s="286"/>
      <c r="N863" s="286"/>
      <c r="O863" s="286"/>
      <c r="P863" s="286"/>
      <c r="Q863" s="286"/>
      <c r="R863" s="286"/>
      <c r="S863" s="286"/>
      <c r="T863" s="286"/>
      <c r="U863" s="286"/>
      <c r="V863" s="286"/>
      <c r="W863" s="286"/>
      <c r="X863" s="286"/>
      <c r="Y863" s="286"/>
    </row>
    <row r="864" spans="11:25">
      <c r="K864" s="286"/>
      <c r="L864" s="286"/>
      <c r="M864" s="286"/>
      <c r="N864" s="286"/>
      <c r="O864" s="286"/>
      <c r="P864" s="286"/>
      <c r="Q864" s="286"/>
      <c r="R864" s="286"/>
      <c r="S864" s="286"/>
      <c r="T864" s="286"/>
      <c r="U864" s="286"/>
      <c r="V864" s="286"/>
      <c r="W864" s="286"/>
      <c r="X864" s="286"/>
      <c r="Y864" s="286"/>
    </row>
    <row r="865" spans="11:25">
      <c r="K865" s="286"/>
      <c r="L865" s="286"/>
      <c r="M865" s="286"/>
      <c r="N865" s="286"/>
      <c r="O865" s="286"/>
      <c r="P865" s="286"/>
      <c r="Q865" s="286"/>
      <c r="R865" s="286"/>
      <c r="S865" s="286"/>
      <c r="T865" s="286"/>
      <c r="U865" s="286"/>
      <c r="V865" s="286"/>
      <c r="W865" s="286"/>
      <c r="X865" s="286"/>
      <c r="Y865" s="286"/>
    </row>
  </sheetData>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3CDD-F6E2-4E76-BB40-7045CCBE84EF}">
  <dimension ref="A1:S778"/>
  <sheetViews>
    <sheetView workbookViewId="0">
      <pane xSplit="5" ySplit="9" topLeftCell="F761" activePane="bottomRight" state="frozen"/>
      <selection pane="topRight" activeCell="F1" sqref="F1"/>
      <selection pane="bottomLeft" activeCell="A10" sqref="A10"/>
      <selection pane="bottomRight" activeCell="H774" sqref="H774"/>
    </sheetView>
  </sheetViews>
  <sheetFormatPr defaultColWidth="12.5" defaultRowHeight="12" outlineLevelRow="1"/>
  <cols>
    <col min="1" max="1" width="2.08203125" style="234" bestFit="1" customWidth="1"/>
    <col min="2" max="2" width="12.5" style="234"/>
    <col min="3" max="3" width="2.08203125" style="234" bestFit="1" customWidth="1"/>
    <col min="4" max="4" width="3" style="234" bestFit="1" customWidth="1"/>
    <col min="5" max="5" width="27.58203125" style="234" customWidth="1"/>
    <col min="6" max="16384" width="12.5" style="234"/>
  </cols>
  <sheetData>
    <row r="1" spans="1:19" s="232" customFormat="1">
      <c r="A1" s="269" t="s">
        <v>3138</v>
      </c>
      <c r="B1" s="269"/>
      <c r="C1" s="269"/>
      <c r="D1" s="269"/>
      <c r="E1" s="269"/>
      <c r="F1" s="269"/>
      <c r="G1" s="269"/>
      <c r="H1" s="269"/>
    </row>
    <row r="2" spans="1:19" s="232" customFormat="1">
      <c r="A2" s="232" t="s">
        <v>5300</v>
      </c>
    </row>
    <row r="3" spans="1:19" s="232" customFormat="1"/>
    <row r="4" spans="1:19" s="232" customFormat="1" outlineLevel="1">
      <c r="A4" s="232" t="s">
        <v>3140</v>
      </c>
    </row>
    <row r="5" spans="1:19" s="232" customFormat="1">
      <c r="A5" s="276"/>
      <c r="B5" s="276"/>
      <c r="C5" s="276"/>
      <c r="D5" s="276"/>
      <c r="E5" s="276"/>
      <c r="F5" s="251" t="s">
        <v>3141</v>
      </c>
      <c r="G5" s="251" t="s">
        <v>3141</v>
      </c>
      <c r="H5" s="251" t="s">
        <v>3141</v>
      </c>
      <c r="I5" s="251" t="s">
        <v>3141</v>
      </c>
      <c r="J5" s="251" t="s">
        <v>3141</v>
      </c>
      <c r="K5" s="251" t="s">
        <v>3141</v>
      </c>
      <c r="L5" s="251" t="s">
        <v>3141</v>
      </c>
      <c r="M5" s="251" t="s">
        <v>3141</v>
      </c>
      <c r="N5" s="251" t="s">
        <v>3141</v>
      </c>
      <c r="O5" s="251" t="s">
        <v>3141</v>
      </c>
      <c r="P5" s="251" t="s">
        <v>3141</v>
      </c>
      <c r="Q5" s="251" t="s">
        <v>3141</v>
      </c>
      <c r="R5" s="251" t="s">
        <v>3141</v>
      </c>
      <c r="S5" s="251" t="s">
        <v>3141</v>
      </c>
    </row>
    <row r="6" spans="1:19" s="232" customFormat="1">
      <c r="A6" s="276"/>
      <c r="B6" s="276"/>
      <c r="C6" s="276"/>
      <c r="D6" s="276"/>
      <c r="E6" s="276"/>
      <c r="F6" s="251" t="s">
        <v>3142</v>
      </c>
      <c r="G6" s="251" t="s">
        <v>3142</v>
      </c>
      <c r="H6" s="251" t="s">
        <v>3142</v>
      </c>
      <c r="I6" s="251" t="s">
        <v>3142</v>
      </c>
      <c r="J6" s="251" t="s">
        <v>3142</v>
      </c>
      <c r="K6" s="251" t="s">
        <v>3142</v>
      </c>
      <c r="L6" s="251" t="s">
        <v>3142</v>
      </c>
      <c r="M6" s="251" t="s">
        <v>3143</v>
      </c>
      <c r="N6" s="251" t="s">
        <v>3143</v>
      </c>
      <c r="O6" s="251" t="s">
        <v>3143</v>
      </c>
      <c r="P6" s="251" t="s">
        <v>3143</v>
      </c>
      <c r="Q6" s="251" t="s">
        <v>3143</v>
      </c>
      <c r="R6" s="251" t="s">
        <v>3143</v>
      </c>
      <c r="S6" s="251" t="s">
        <v>3143</v>
      </c>
    </row>
    <row r="7" spans="1:19" s="232" customFormat="1" ht="36">
      <c r="A7" s="276"/>
      <c r="B7" s="276"/>
      <c r="C7" s="276"/>
      <c r="D7" s="276"/>
      <c r="E7" s="276"/>
      <c r="F7" s="251" t="s">
        <v>3144</v>
      </c>
      <c r="G7" s="251" t="s">
        <v>3145</v>
      </c>
      <c r="H7" s="251" t="s">
        <v>3146</v>
      </c>
      <c r="I7" s="251" t="s">
        <v>3147</v>
      </c>
      <c r="J7" s="251" t="s">
        <v>3148</v>
      </c>
      <c r="K7" s="251" t="s">
        <v>3149</v>
      </c>
      <c r="L7" s="251" t="s">
        <v>3150</v>
      </c>
      <c r="M7" s="251" t="s">
        <v>3144</v>
      </c>
      <c r="N7" s="251" t="s">
        <v>3145</v>
      </c>
      <c r="O7" s="251" t="s">
        <v>3146</v>
      </c>
      <c r="P7" s="251" t="s">
        <v>3147</v>
      </c>
      <c r="Q7" s="251" t="s">
        <v>3148</v>
      </c>
      <c r="R7" s="251" t="s">
        <v>3149</v>
      </c>
      <c r="S7" s="251" t="s">
        <v>3150</v>
      </c>
    </row>
    <row r="8" spans="1:19" s="232" customFormat="1">
      <c r="A8" s="276"/>
      <c r="B8" s="276"/>
      <c r="C8" s="276"/>
      <c r="D8" s="276"/>
      <c r="E8" s="276"/>
      <c r="F8" s="277" t="s">
        <v>3151</v>
      </c>
      <c r="G8" s="277" t="s">
        <v>3152</v>
      </c>
      <c r="H8" s="277" t="s">
        <v>3152</v>
      </c>
      <c r="I8" s="277" t="s">
        <v>3152</v>
      </c>
      <c r="J8" s="277" t="s">
        <v>3152</v>
      </c>
      <c r="K8" s="277" t="s">
        <v>3152</v>
      </c>
      <c r="L8" s="277" t="s">
        <v>3152</v>
      </c>
      <c r="M8" s="277" t="s">
        <v>3151</v>
      </c>
      <c r="N8" s="277" t="s">
        <v>3152</v>
      </c>
      <c r="O8" s="277" t="s">
        <v>3152</v>
      </c>
      <c r="P8" s="277" t="s">
        <v>3152</v>
      </c>
      <c r="Q8" s="277" t="s">
        <v>3152</v>
      </c>
      <c r="R8" s="277" t="s">
        <v>3152</v>
      </c>
      <c r="S8" s="277" t="s">
        <v>3152</v>
      </c>
    </row>
    <row r="9" spans="1:19" s="232" customFormat="1">
      <c r="A9" s="257" t="s">
        <v>5301</v>
      </c>
      <c r="B9" s="257" t="s">
        <v>3154</v>
      </c>
      <c r="C9" s="257" t="s">
        <v>3994</v>
      </c>
      <c r="D9" s="257" t="s">
        <v>5302</v>
      </c>
      <c r="E9" s="257" t="s">
        <v>3157</v>
      </c>
      <c r="F9" s="257" t="s">
        <v>3158</v>
      </c>
      <c r="G9" s="257"/>
      <c r="H9" s="257"/>
      <c r="I9" s="257"/>
      <c r="J9" s="257"/>
      <c r="K9" s="257"/>
      <c r="L9" s="257"/>
      <c r="M9" s="257"/>
      <c r="N9" s="257"/>
      <c r="O9" s="257"/>
      <c r="P9" s="257"/>
      <c r="Q9" s="257"/>
      <c r="R9" s="257"/>
      <c r="S9" s="257"/>
    </row>
    <row r="10" spans="1:19">
      <c r="A10" s="238" t="s">
        <v>3159</v>
      </c>
      <c r="B10" s="238" t="s">
        <v>5303</v>
      </c>
      <c r="C10" s="238" t="s">
        <v>3161</v>
      </c>
      <c r="D10" s="238" t="s">
        <v>3162</v>
      </c>
      <c r="E10" s="238" t="s">
        <v>3163</v>
      </c>
      <c r="F10" s="278">
        <v>5288891</v>
      </c>
      <c r="G10" s="278">
        <v>62427908</v>
      </c>
      <c r="H10" s="278">
        <v>34264589</v>
      </c>
      <c r="I10" s="278">
        <v>27671981</v>
      </c>
      <c r="J10" s="278">
        <v>55168640</v>
      </c>
      <c r="K10" s="278">
        <v>29683807</v>
      </c>
      <c r="L10" s="278">
        <v>25017213</v>
      </c>
      <c r="M10" s="278">
        <v>5156063</v>
      </c>
      <c r="N10" s="278">
        <v>57949915</v>
      </c>
      <c r="O10" s="278">
        <v>31837426</v>
      </c>
      <c r="P10" s="278">
        <v>25621151</v>
      </c>
      <c r="Q10" s="278">
        <v>50725472</v>
      </c>
      <c r="R10" s="278">
        <v>27264154</v>
      </c>
      <c r="S10" s="278">
        <v>22993698</v>
      </c>
    </row>
    <row r="11" spans="1:19">
      <c r="A11" s="241" t="s">
        <v>3159</v>
      </c>
      <c r="B11" s="241" t="s">
        <v>5303</v>
      </c>
      <c r="C11" s="241" t="s">
        <v>3161</v>
      </c>
      <c r="D11" s="241" t="s">
        <v>3164</v>
      </c>
      <c r="E11" s="241" t="s">
        <v>3165</v>
      </c>
      <c r="F11" s="278">
        <v>5250079</v>
      </c>
      <c r="G11" s="278">
        <v>60403052</v>
      </c>
      <c r="H11" s="278">
        <v>32837945</v>
      </c>
      <c r="I11" s="278">
        <v>27073769</v>
      </c>
      <c r="J11" s="278">
        <v>53150006</v>
      </c>
      <c r="K11" s="278">
        <v>28258869</v>
      </c>
      <c r="L11" s="278">
        <v>24423517</v>
      </c>
      <c r="M11" s="278">
        <v>5156063</v>
      </c>
      <c r="N11" s="278">
        <v>57949915</v>
      </c>
      <c r="O11" s="278">
        <v>31837426</v>
      </c>
      <c r="P11" s="278">
        <v>25621151</v>
      </c>
      <c r="Q11" s="278">
        <v>50725472</v>
      </c>
      <c r="R11" s="278">
        <v>27264154</v>
      </c>
      <c r="S11" s="278">
        <v>22993698</v>
      </c>
    </row>
    <row r="12" spans="1:19">
      <c r="A12" s="241" t="s">
        <v>3159</v>
      </c>
      <c r="B12" s="241" t="s">
        <v>5303</v>
      </c>
      <c r="C12" s="241" t="s">
        <v>3161</v>
      </c>
      <c r="D12" s="241" t="s">
        <v>3166</v>
      </c>
      <c r="E12" s="241" t="s">
        <v>3167</v>
      </c>
      <c r="F12" s="278">
        <v>43623</v>
      </c>
      <c r="G12" s="278">
        <v>461376</v>
      </c>
      <c r="H12" s="278">
        <v>325504</v>
      </c>
      <c r="I12" s="278">
        <v>135221</v>
      </c>
      <c r="J12" s="278">
        <v>309271</v>
      </c>
      <c r="K12" s="278">
        <v>204262</v>
      </c>
      <c r="L12" s="278">
        <v>104430</v>
      </c>
      <c r="M12" s="278">
        <v>42458</v>
      </c>
      <c r="N12" s="278">
        <v>453703</v>
      </c>
      <c r="O12" s="278">
        <v>319560</v>
      </c>
      <c r="P12" s="278">
        <v>133492</v>
      </c>
      <c r="Q12" s="278">
        <v>301694</v>
      </c>
      <c r="R12" s="278">
        <v>198384</v>
      </c>
      <c r="S12" s="278">
        <v>102731</v>
      </c>
    </row>
    <row r="13" spans="1:19">
      <c r="A13" s="241" t="s">
        <v>3159</v>
      </c>
      <c r="B13" s="241" t="s">
        <v>5303</v>
      </c>
      <c r="C13" s="241" t="s">
        <v>3168</v>
      </c>
      <c r="D13" s="241" t="s">
        <v>3133</v>
      </c>
      <c r="E13" s="241" t="s">
        <v>3169</v>
      </c>
      <c r="F13" s="278">
        <v>39774</v>
      </c>
      <c r="G13" s="278">
        <v>419895</v>
      </c>
      <c r="H13" s="278">
        <v>291936</v>
      </c>
      <c r="I13" s="278">
        <v>127395</v>
      </c>
      <c r="J13" s="278">
        <v>279050</v>
      </c>
      <c r="K13" s="278">
        <v>179357</v>
      </c>
      <c r="L13" s="278">
        <v>99195</v>
      </c>
      <c r="M13" s="278">
        <v>38642</v>
      </c>
      <c r="N13" s="278">
        <v>412411</v>
      </c>
      <c r="O13" s="278">
        <v>286132</v>
      </c>
      <c r="P13" s="278">
        <v>125715</v>
      </c>
      <c r="Q13" s="278">
        <v>271652</v>
      </c>
      <c r="R13" s="278">
        <v>173610</v>
      </c>
      <c r="S13" s="278">
        <v>97544</v>
      </c>
    </row>
    <row r="14" spans="1:19">
      <c r="A14" s="241" t="s">
        <v>3159</v>
      </c>
      <c r="B14" s="241" t="s">
        <v>5303</v>
      </c>
      <c r="C14" s="241" t="s">
        <v>3170</v>
      </c>
      <c r="D14" s="241" t="s">
        <v>3133</v>
      </c>
      <c r="E14" s="241" t="s">
        <v>3171</v>
      </c>
      <c r="F14" s="278">
        <v>34263</v>
      </c>
      <c r="G14" s="278">
        <v>360300</v>
      </c>
      <c r="H14" s="278">
        <v>240199</v>
      </c>
      <c r="I14" s="278">
        <v>119608</v>
      </c>
      <c r="J14" s="278">
        <v>236080</v>
      </c>
      <c r="K14" s="278">
        <v>142801</v>
      </c>
      <c r="L14" s="278">
        <v>92847</v>
      </c>
      <c r="M14" s="278">
        <v>34127</v>
      </c>
      <c r="N14" s="278">
        <v>359300</v>
      </c>
      <c r="O14" s="278">
        <v>239412</v>
      </c>
      <c r="P14" s="278">
        <v>119395</v>
      </c>
      <c r="Q14" s="278">
        <v>235102</v>
      </c>
      <c r="R14" s="278">
        <v>142032</v>
      </c>
      <c r="S14" s="278">
        <v>92638</v>
      </c>
    </row>
    <row r="15" spans="1:19">
      <c r="A15" s="241" t="s">
        <v>3159</v>
      </c>
      <c r="B15" s="241" t="s">
        <v>5303</v>
      </c>
      <c r="C15" s="241" t="s">
        <v>3172</v>
      </c>
      <c r="D15" s="241" t="s">
        <v>3133</v>
      </c>
      <c r="E15" s="241" t="s">
        <v>3173</v>
      </c>
      <c r="F15" s="278">
        <v>126</v>
      </c>
      <c r="G15" s="278">
        <v>1508</v>
      </c>
      <c r="H15" s="278">
        <v>866</v>
      </c>
      <c r="I15" s="278">
        <v>631</v>
      </c>
      <c r="J15" s="278">
        <v>1356</v>
      </c>
      <c r="K15" s="278">
        <v>750</v>
      </c>
      <c r="L15" s="278">
        <v>595</v>
      </c>
      <c r="M15" s="278">
        <v>126</v>
      </c>
      <c r="N15" s="278">
        <v>1508</v>
      </c>
      <c r="O15" s="278">
        <v>866</v>
      </c>
      <c r="P15" s="278">
        <v>631</v>
      </c>
      <c r="Q15" s="278">
        <v>1356</v>
      </c>
      <c r="R15" s="278">
        <v>750</v>
      </c>
      <c r="S15" s="278">
        <v>595</v>
      </c>
    </row>
    <row r="16" spans="1:19">
      <c r="A16" s="241" t="s">
        <v>3159</v>
      </c>
      <c r="B16" s="241" t="s">
        <v>5303</v>
      </c>
      <c r="C16" s="241" t="s">
        <v>3172</v>
      </c>
      <c r="D16" s="241" t="s">
        <v>3133</v>
      </c>
      <c r="E16" s="241" t="s">
        <v>3174</v>
      </c>
      <c r="F16" s="278">
        <v>17293</v>
      </c>
      <c r="G16" s="278">
        <v>201851</v>
      </c>
      <c r="H16" s="278">
        <v>126409</v>
      </c>
      <c r="I16" s="278">
        <v>75186</v>
      </c>
      <c r="J16" s="278">
        <v>125407</v>
      </c>
      <c r="K16" s="278">
        <v>67980</v>
      </c>
      <c r="L16" s="278">
        <v>57205</v>
      </c>
      <c r="M16" s="278">
        <v>17279</v>
      </c>
      <c r="N16" s="278">
        <v>201767</v>
      </c>
      <c r="O16" s="278">
        <v>126360</v>
      </c>
      <c r="P16" s="278">
        <v>75151</v>
      </c>
      <c r="Q16" s="278">
        <v>125323</v>
      </c>
      <c r="R16" s="278">
        <v>67931</v>
      </c>
      <c r="S16" s="278">
        <v>57170</v>
      </c>
    </row>
    <row r="17" spans="1:19">
      <c r="A17" s="241" t="s">
        <v>3159</v>
      </c>
      <c r="B17" s="241" t="s">
        <v>5303</v>
      </c>
      <c r="C17" s="241" t="s">
        <v>3172</v>
      </c>
      <c r="D17" s="241" t="s">
        <v>3133</v>
      </c>
      <c r="E17" s="241" t="s">
        <v>3175</v>
      </c>
      <c r="F17" s="278">
        <v>7751</v>
      </c>
      <c r="G17" s="278">
        <v>71539</v>
      </c>
      <c r="H17" s="278">
        <v>47764</v>
      </c>
      <c r="I17" s="278">
        <v>23669</v>
      </c>
      <c r="J17" s="278">
        <v>57360</v>
      </c>
      <c r="K17" s="278">
        <v>37946</v>
      </c>
      <c r="L17" s="278">
        <v>19319</v>
      </c>
      <c r="M17" s="278">
        <v>7721</v>
      </c>
      <c r="N17" s="278">
        <v>71231</v>
      </c>
      <c r="O17" s="278">
        <v>47531</v>
      </c>
      <c r="P17" s="278">
        <v>23594</v>
      </c>
      <c r="Q17" s="278">
        <v>57057</v>
      </c>
      <c r="R17" s="278">
        <v>37717</v>
      </c>
      <c r="S17" s="278">
        <v>19245</v>
      </c>
    </row>
    <row r="18" spans="1:19">
      <c r="A18" s="241" t="s">
        <v>3159</v>
      </c>
      <c r="B18" s="241" t="s">
        <v>5303</v>
      </c>
      <c r="C18" s="241" t="s">
        <v>3172</v>
      </c>
      <c r="D18" s="241" t="s">
        <v>3133</v>
      </c>
      <c r="E18" s="241" t="s">
        <v>3176</v>
      </c>
      <c r="F18" s="278">
        <v>6250</v>
      </c>
      <c r="G18" s="278">
        <v>65932</v>
      </c>
      <c r="H18" s="278">
        <v>50242</v>
      </c>
      <c r="I18" s="278">
        <v>15592</v>
      </c>
      <c r="J18" s="278">
        <v>38345</v>
      </c>
      <c r="K18" s="278">
        <v>25552</v>
      </c>
      <c r="L18" s="278">
        <v>12711</v>
      </c>
      <c r="M18" s="278">
        <v>6160</v>
      </c>
      <c r="N18" s="278">
        <v>65332</v>
      </c>
      <c r="O18" s="278">
        <v>49741</v>
      </c>
      <c r="P18" s="278">
        <v>15493</v>
      </c>
      <c r="Q18" s="278">
        <v>37762</v>
      </c>
      <c r="R18" s="278">
        <v>25065</v>
      </c>
      <c r="S18" s="278">
        <v>12615</v>
      </c>
    </row>
    <row r="19" spans="1:19">
      <c r="A19" s="241" t="s">
        <v>3159</v>
      </c>
      <c r="B19" s="241" t="s">
        <v>5303</v>
      </c>
      <c r="C19" s="241" t="s">
        <v>3172</v>
      </c>
      <c r="D19" s="241" t="s">
        <v>3133</v>
      </c>
      <c r="E19" s="241" t="s">
        <v>3177</v>
      </c>
      <c r="F19" s="278">
        <v>2843</v>
      </c>
      <c r="G19" s="278">
        <v>19470</v>
      </c>
      <c r="H19" s="278">
        <v>14918</v>
      </c>
      <c r="I19" s="278">
        <v>4530</v>
      </c>
      <c r="J19" s="278">
        <v>13612</v>
      </c>
      <c r="K19" s="278">
        <v>10573</v>
      </c>
      <c r="L19" s="278">
        <v>3017</v>
      </c>
      <c r="M19" s="278">
        <v>2841</v>
      </c>
      <c r="N19" s="278">
        <v>19462</v>
      </c>
      <c r="O19" s="278">
        <v>14914</v>
      </c>
      <c r="P19" s="278">
        <v>4526</v>
      </c>
      <c r="Q19" s="278">
        <v>13604</v>
      </c>
      <c r="R19" s="278">
        <v>10569</v>
      </c>
      <c r="S19" s="278">
        <v>3013</v>
      </c>
    </row>
    <row r="20" spans="1:19">
      <c r="A20" s="241" t="s">
        <v>3159</v>
      </c>
      <c r="B20" s="241" t="s">
        <v>5303</v>
      </c>
      <c r="C20" s="241" t="s">
        <v>3170</v>
      </c>
      <c r="D20" s="241" t="s">
        <v>3133</v>
      </c>
      <c r="E20" s="241" t="s">
        <v>3178</v>
      </c>
      <c r="F20" s="278">
        <v>5506</v>
      </c>
      <c r="G20" s="278">
        <v>59554</v>
      </c>
      <c r="H20" s="278">
        <v>51696</v>
      </c>
      <c r="I20" s="278">
        <v>7787</v>
      </c>
      <c r="J20" s="278">
        <v>42932</v>
      </c>
      <c r="K20" s="278">
        <v>36518</v>
      </c>
      <c r="L20" s="278">
        <v>6348</v>
      </c>
      <c r="M20" s="278">
        <v>4510</v>
      </c>
      <c r="N20" s="278">
        <v>53070</v>
      </c>
      <c r="O20" s="278">
        <v>46679</v>
      </c>
      <c r="P20" s="278">
        <v>6320</v>
      </c>
      <c r="Q20" s="278">
        <v>36512</v>
      </c>
      <c r="R20" s="278">
        <v>31540</v>
      </c>
      <c r="S20" s="278">
        <v>4906</v>
      </c>
    </row>
    <row r="21" spans="1:19">
      <c r="A21" s="241" t="s">
        <v>3159</v>
      </c>
      <c r="B21" s="241" t="s">
        <v>5303</v>
      </c>
      <c r="C21" s="241" t="s">
        <v>3172</v>
      </c>
      <c r="D21" s="241" t="s">
        <v>3133</v>
      </c>
      <c r="E21" s="241" t="s">
        <v>3179</v>
      </c>
      <c r="F21" s="278">
        <v>8</v>
      </c>
      <c r="G21" s="278">
        <v>43</v>
      </c>
      <c r="H21" s="278">
        <v>38</v>
      </c>
      <c r="I21" s="278">
        <v>5</v>
      </c>
      <c r="J21" s="278">
        <v>26</v>
      </c>
      <c r="K21" s="278">
        <v>21</v>
      </c>
      <c r="L21" s="278">
        <v>5</v>
      </c>
      <c r="M21" s="278">
        <v>5</v>
      </c>
      <c r="N21" s="278">
        <v>35</v>
      </c>
      <c r="O21" s="278">
        <v>30</v>
      </c>
      <c r="P21" s="278">
        <v>5</v>
      </c>
      <c r="Q21" s="278">
        <v>18</v>
      </c>
      <c r="R21" s="278">
        <v>13</v>
      </c>
      <c r="S21" s="278">
        <v>5</v>
      </c>
    </row>
    <row r="22" spans="1:19">
      <c r="A22" s="241" t="s">
        <v>3159</v>
      </c>
      <c r="B22" s="241" t="s">
        <v>5303</v>
      </c>
      <c r="C22" s="241" t="s">
        <v>3172</v>
      </c>
      <c r="D22" s="241" t="s">
        <v>3133</v>
      </c>
      <c r="E22" s="241" t="s">
        <v>3180</v>
      </c>
      <c r="F22" s="278">
        <v>3412</v>
      </c>
      <c r="G22" s="278">
        <v>35951</v>
      </c>
      <c r="H22" s="278">
        <v>31570</v>
      </c>
      <c r="I22" s="278">
        <v>4311</v>
      </c>
      <c r="J22" s="278">
        <v>25222</v>
      </c>
      <c r="K22" s="278">
        <v>21401</v>
      </c>
      <c r="L22" s="278">
        <v>3756</v>
      </c>
      <c r="M22" s="278">
        <v>2422</v>
      </c>
      <c r="N22" s="278">
        <v>29479</v>
      </c>
      <c r="O22" s="278">
        <v>26565</v>
      </c>
      <c r="P22" s="278">
        <v>2844</v>
      </c>
      <c r="Q22" s="278">
        <v>18814</v>
      </c>
      <c r="R22" s="278">
        <v>16435</v>
      </c>
      <c r="S22" s="278">
        <v>2314</v>
      </c>
    </row>
    <row r="23" spans="1:19">
      <c r="A23" s="241" t="s">
        <v>3159</v>
      </c>
      <c r="B23" s="241" t="s">
        <v>5303</v>
      </c>
      <c r="C23" s="241" t="s">
        <v>3172</v>
      </c>
      <c r="D23" s="241" t="s">
        <v>3133</v>
      </c>
      <c r="E23" s="241" t="s">
        <v>3181</v>
      </c>
      <c r="F23" s="278">
        <v>671</v>
      </c>
      <c r="G23" s="278">
        <v>6890</v>
      </c>
      <c r="H23" s="278">
        <v>5936</v>
      </c>
      <c r="I23" s="278">
        <v>953</v>
      </c>
      <c r="J23" s="278">
        <v>5201</v>
      </c>
      <c r="K23" s="278">
        <v>4574</v>
      </c>
      <c r="L23" s="278">
        <v>626</v>
      </c>
      <c r="M23" s="278">
        <v>671</v>
      </c>
      <c r="N23" s="278">
        <v>6890</v>
      </c>
      <c r="O23" s="278">
        <v>5936</v>
      </c>
      <c r="P23" s="278">
        <v>953</v>
      </c>
      <c r="Q23" s="278">
        <v>5201</v>
      </c>
      <c r="R23" s="278">
        <v>4574</v>
      </c>
      <c r="S23" s="278">
        <v>626</v>
      </c>
    </row>
    <row r="24" spans="1:19">
      <c r="A24" s="241" t="s">
        <v>3159</v>
      </c>
      <c r="B24" s="241" t="s">
        <v>5303</v>
      </c>
      <c r="C24" s="241" t="s">
        <v>3172</v>
      </c>
      <c r="D24" s="241" t="s">
        <v>3133</v>
      </c>
      <c r="E24" s="241" t="s">
        <v>3182</v>
      </c>
      <c r="F24" s="278">
        <v>85</v>
      </c>
      <c r="G24" s="278">
        <v>586</v>
      </c>
      <c r="H24" s="278">
        <v>395</v>
      </c>
      <c r="I24" s="278">
        <v>191</v>
      </c>
      <c r="J24" s="278">
        <v>440</v>
      </c>
      <c r="K24" s="278">
        <v>281</v>
      </c>
      <c r="L24" s="278">
        <v>159</v>
      </c>
      <c r="M24" s="278">
        <v>84</v>
      </c>
      <c r="N24" s="278">
        <v>584</v>
      </c>
      <c r="O24" s="278">
        <v>393</v>
      </c>
      <c r="P24" s="278">
        <v>191</v>
      </c>
      <c r="Q24" s="278">
        <v>438</v>
      </c>
      <c r="R24" s="278">
        <v>279</v>
      </c>
      <c r="S24" s="278">
        <v>159</v>
      </c>
    </row>
    <row r="25" spans="1:19">
      <c r="A25" s="241" t="s">
        <v>3159</v>
      </c>
      <c r="B25" s="241" t="s">
        <v>5303</v>
      </c>
      <c r="C25" s="241" t="s">
        <v>3172</v>
      </c>
      <c r="D25" s="241" t="s">
        <v>3133</v>
      </c>
      <c r="E25" s="241" t="s">
        <v>3183</v>
      </c>
      <c r="F25" s="278">
        <v>1247</v>
      </c>
      <c r="G25" s="278">
        <v>15109</v>
      </c>
      <c r="H25" s="278">
        <v>13080</v>
      </c>
      <c r="I25" s="278">
        <v>2029</v>
      </c>
      <c r="J25" s="278">
        <v>11345</v>
      </c>
      <c r="K25" s="278">
        <v>9780</v>
      </c>
      <c r="L25" s="278">
        <v>1565</v>
      </c>
      <c r="M25" s="278">
        <v>1247</v>
      </c>
      <c r="N25" s="278">
        <v>15109</v>
      </c>
      <c r="O25" s="278">
        <v>13080</v>
      </c>
      <c r="P25" s="278">
        <v>2029</v>
      </c>
      <c r="Q25" s="278">
        <v>11345</v>
      </c>
      <c r="R25" s="278">
        <v>9780</v>
      </c>
      <c r="S25" s="278">
        <v>1565</v>
      </c>
    </row>
    <row r="26" spans="1:19">
      <c r="A26" s="241" t="s">
        <v>3159</v>
      </c>
      <c r="B26" s="241" t="s">
        <v>5303</v>
      </c>
      <c r="C26" s="241" t="s">
        <v>3172</v>
      </c>
      <c r="D26" s="241" t="s">
        <v>3133</v>
      </c>
      <c r="E26" s="241" t="s">
        <v>3184</v>
      </c>
      <c r="F26" s="278">
        <v>83</v>
      </c>
      <c r="G26" s="278">
        <v>975</v>
      </c>
      <c r="H26" s="278">
        <v>677</v>
      </c>
      <c r="I26" s="278">
        <v>298</v>
      </c>
      <c r="J26" s="278">
        <v>698</v>
      </c>
      <c r="K26" s="278">
        <v>461</v>
      </c>
      <c r="L26" s="278">
        <v>237</v>
      </c>
      <c r="M26" s="278">
        <v>81</v>
      </c>
      <c r="N26" s="278">
        <v>973</v>
      </c>
      <c r="O26" s="278">
        <v>675</v>
      </c>
      <c r="P26" s="278">
        <v>298</v>
      </c>
      <c r="Q26" s="278">
        <v>696</v>
      </c>
      <c r="R26" s="278">
        <v>459</v>
      </c>
      <c r="S26" s="278">
        <v>237</v>
      </c>
    </row>
    <row r="27" spans="1:19">
      <c r="A27" s="241" t="s">
        <v>3159</v>
      </c>
      <c r="B27" s="241" t="s">
        <v>5303</v>
      </c>
      <c r="C27" s="241" t="s">
        <v>3168</v>
      </c>
      <c r="D27" s="241" t="s">
        <v>3134</v>
      </c>
      <c r="E27" s="241" t="s">
        <v>3185</v>
      </c>
      <c r="F27" s="278">
        <v>3833</v>
      </c>
      <c r="G27" s="278">
        <v>41202</v>
      </c>
      <c r="H27" s="278">
        <v>33461</v>
      </c>
      <c r="I27" s="278">
        <v>7654</v>
      </c>
      <c r="J27" s="278">
        <v>29968</v>
      </c>
      <c r="K27" s="278">
        <v>24822</v>
      </c>
      <c r="L27" s="278">
        <v>5065</v>
      </c>
      <c r="M27" s="278">
        <v>3800</v>
      </c>
      <c r="N27" s="278">
        <v>41013</v>
      </c>
      <c r="O27" s="278">
        <v>33321</v>
      </c>
      <c r="P27" s="278">
        <v>7605</v>
      </c>
      <c r="Q27" s="278">
        <v>29789</v>
      </c>
      <c r="R27" s="278">
        <v>24691</v>
      </c>
      <c r="S27" s="278">
        <v>5017</v>
      </c>
    </row>
    <row r="28" spans="1:19">
      <c r="A28" s="241" t="s">
        <v>3159</v>
      </c>
      <c r="B28" s="241" t="s">
        <v>5303</v>
      </c>
      <c r="C28" s="241" t="s">
        <v>3170</v>
      </c>
      <c r="D28" s="241" t="s">
        <v>3134</v>
      </c>
      <c r="E28" s="241" t="s">
        <v>3186</v>
      </c>
      <c r="F28" s="278">
        <v>1814</v>
      </c>
      <c r="G28" s="278">
        <v>24176</v>
      </c>
      <c r="H28" s="278">
        <v>21052</v>
      </c>
      <c r="I28" s="278">
        <v>3042</v>
      </c>
      <c r="J28" s="278">
        <v>18632</v>
      </c>
      <c r="K28" s="278">
        <v>16750</v>
      </c>
      <c r="L28" s="278">
        <v>1805</v>
      </c>
      <c r="M28" s="278">
        <v>1814</v>
      </c>
      <c r="N28" s="278">
        <v>24176</v>
      </c>
      <c r="O28" s="278">
        <v>21052</v>
      </c>
      <c r="P28" s="278">
        <v>3042</v>
      </c>
      <c r="Q28" s="278">
        <v>18632</v>
      </c>
      <c r="R28" s="278">
        <v>16750</v>
      </c>
      <c r="S28" s="278">
        <v>1805</v>
      </c>
    </row>
    <row r="29" spans="1:19">
      <c r="A29" s="241" t="s">
        <v>3159</v>
      </c>
      <c r="B29" s="241" t="s">
        <v>5303</v>
      </c>
      <c r="C29" s="241" t="s">
        <v>3172</v>
      </c>
      <c r="D29" s="241" t="s">
        <v>3134</v>
      </c>
      <c r="E29" s="241" t="s">
        <v>3187</v>
      </c>
      <c r="F29" s="278">
        <v>8</v>
      </c>
      <c r="G29" s="278">
        <v>29</v>
      </c>
      <c r="H29" s="278">
        <v>23</v>
      </c>
      <c r="I29" s="278">
        <v>6</v>
      </c>
      <c r="J29" s="278">
        <v>22</v>
      </c>
      <c r="K29" s="278">
        <v>17</v>
      </c>
      <c r="L29" s="278">
        <v>5</v>
      </c>
      <c r="M29" s="278">
        <v>8</v>
      </c>
      <c r="N29" s="278">
        <v>29</v>
      </c>
      <c r="O29" s="278">
        <v>23</v>
      </c>
      <c r="P29" s="278">
        <v>6</v>
      </c>
      <c r="Q29" s="278">
        <v>22</v>
      </c>
      <c r="R29" s="278">
        <v>17</v>
      </c>
      <c r="S29" s="278">
        <v>5</v>
      </c>
    </row>
    <row r="30" spans="1:19">
      <c r="A30" s="241" t="s">
        <v>3159</v>
      </c>
      <c r="B30" s="241" t="s">
        <v>5303</v>
      </c>
      <c r="C30" s="241" t="s">
        <v>3172</v>
      </c>
      <c r="D30" s="241" t="s">
        <v>3134</v>
      </c>
      <c r="E30" s="241" t="s">
        <v>3188</v>
      </c>
      <c r="F30" s="278">
        <v>1721</v>
      </c>
      <c r="G30" s="278">
        <v>23460</v>
      </c>
      <c r="H30" s="278">
        <v>20424</v>
      </c>
      <c r="I30" s="278">
        <v>2954</v>
      </c>
      <c r="J30" s="278">
        <v>18428</v>
      </c>
      <c r="K30" s="278">
        <v>16619</v>
      </c>
      <c r="L30" s="278">
        <v>1732</v>
      </c>
      <c r="M30" s="278">
        <v>1721</v>
      </c>
      <c r="N30" s="278">
        <v>23460</v>
      </c>
      <c r="O30" s="278">
        <v>20424</v>
      </c>
      <c r="P30" s="278">
        <v>2954</v>
      </c>
      <c r="Q30" s="278">
        <v>18428</v>
      </c>
      <c r="R30" s="278">
        <v>16619</v>
      </c>
      <c r="S30" s="278">
        <v>1732</v>
      </c>
    </row>
    <row r="31" spans="1:19">
      <c r="A31" s="241" t="s">
        <v>3159</v>
      </c>
      <c r="B31" s="241" t="s">
        <v>5303</v>
      </c>
      <c r="C31" s="241" t="s">
        <v>3172</v>
      </c>
      <c r="D31" s="241" t="s">
        <v>3134</v>
      </c>
      <c r="E31" s="241" t="s">
        <v>3189</v>
      </c>
      <c r="F31" s="278">
        <v>85</v>
      </c>
      <c r="G31" s="278">
        <v>687</v>
      </c>
      <c r="H31" s="278">
        <v>605</v>
      </c>
      <c r="I31" s="278">
        <v>82</v>
      </c>
      <c r="J31" s="278">
        <v>182</v>
      </c>
      <c r="K31" s="278">
        <v>114</v>
      </c>
      <c r="L31" s="278">
        <v>68</v>
      </c>
      <c r="M31" s="278">
        <v>85</v>
      </c>
      <c r="N31" s="278">
        <v>687</v>
      </c>
      <c r="O31" s="278">
        <v>605</v>
      </c>
      <c r="P31" s="278">
        <v>82</v>
      </c>
      <c r="Q31" s="278">
        <v>182</v>
      </c>
      <c r="R31" s="278">
        <v>114</v>
      </c>
      <c r="S31" s="278">
        <v>68</v>
      </c>
    </row>
    <row r="32" spans="1:19">
      <c r="A32" s="241" t="s">
        <v>3159</v>
      </c>
      <c r="B32" s="241" t="s">
        <v>5303</v>
      </c>
      <c r="C32" s="241" t="s">
        <v>3170</v>
      </c>
      <c r="D32" s="241" t="s">
        <v>3134</v>
      </c>
      <c r="E32" s="241" t="s">
        <v>3190</v>
      </c>
      <c r="F32" s="278">
        <v>2018</v>
      </c>
      <c r="G32" s="278">
        <v>17025</v>
      </c>
      <c r="H32" s="278">
        <v>12408</v>
      </c>
      <c r="I32" s="278">
        <v>4612</v>
      </c>
      <c r="J32" s="278">
        <v>11336</v>
      </c>
      <c r="K32" s="278">
        <v>8072</v>
      </c>
      <c r="L32" s="278">
        <v>3260</v>
      </c>
      <c r="M32" s="278">
        <v>1985</v>
      </c>
      <c r="N32" s="278">
        <v>16836</v>
      </c>
      <c r="O32" s="278">
        <v>12268</v>
      </c>
      <c r="P32" s="278">
        <v>4563</v>
      </c>
      <c r="Q32" s="278">
        <v>11157</v>
      </c>
      <c r="R32" s="278">
        <v>7941</v>
      </c>
      <c r="S32" s="278">
        <v>3212</v>
      </c>
    </row>
    <row r="33" spans="1:19">
      <c r="A33" s="241" t="s">
        <v>3159</v>
      </c>
      <c r="B33" s="241" t="s">
        <v>5303</v>
      </c>
      <c r="C33" s="241" t="s">
        <v>3172</v>
      </c>
      <c r="D33" s="241" t="s">
        <v>3134</v>
      </c>
      <c r="E33" s="241" t="s">
        <v>3191</v>
      </c>
      <c r="F33" s="278">
        <v>16</v>
      </c>
      <c r="G33" s="278">
        <v>98</v>
      </c>
      <c r="H33" s="278">
        <v>68</v>
      </c>
      <c r="I33" s="278">
        <v>30</v>
      </c>
      <c r="J33" s="278">
        <v>73</v>
      </c>
      <c r="K33" s="278">
        <v>47</v>
      </c>
      <c r="L33" s="278">
        <v>26</v>
      </c>
      <c r="M33" s="278">
        <v>16</v>
      </c>
      <c r="N33" s="278">
        <v>98</v>
      </c>
      <c r="O33" s="278">
        <v>68</v>
      </c>
      <c r="P33" s="278">
        <v>30</v>
      </c>
      <c r="Q33" s="278">
        <v>73</v>
      </c>
      <c r="R33" s="278">
        <v>47</v>
      </c>
      <c r="S33" s="278">
        <v>26</v>
      </c>
    </row>
    <row r="34" spans="1:19">
      <c r="A34" s="241" t="s">
        <v>3159</v>
      </c>
      <c r="B34" s="241" t="s">
        <v>5303</v>
      </c>
      <c r="C34" s="241" t="s">
        <v>3172</v>
      </c>
      <c r="D34" s="241" t="s">
        <v>3134</v>
      </c>
      <c r="E34" s="241" t="s">
        <v>3192</v>
      </c>
      <c r="F34" s="278">
        <v>1202</v>
      </c>
      <c r="G34" s="278">
        <v>11380</v>
      </c>
      <c r="H34" s="278">
        <v>7833</v>
      </c>
      <c r="I34" s="278">
        <v>3542</v>
      </c>
      <c r="J34" s="278">
        <v>8349</v>
      </c>
      <c r="K34" s="278">
        <v>5822</v>
      </c>
      <c r="L34" s="278">
        <v>2523</v>
      </c>
      <c r="M34" s="278">
        <v>1181</v>
      </c>
      <c r="N34" s="278">
        <v>11248</v>
      </c>
      <c r="O34" s="278">
        <v>7740</v>
      </c>
      <c r="P34" s="278">
        <v>3503</v>
      </c>
      <c r="Q34" s="278">
        <v>8227</v>
      </c>
      <c r="R34" s="278">
        <v>5738</v>
      </c>
      <c r="S34" s="278">
        <v>2485</v>
      </c>
    </row>
    <row r="35" spans="1:19">
      <c r="A35" s="241" t="s">
        <v>3159</v>
      </c>
      <c r="B35" s="241" t="s">
        <v>5303</v>
      </c>
      <c r="C35" s="241" t="s">
        <v>3172</v>
      </c>
      <c r="D35" s="241" t="s">
        <v>3134</v>
      </c>
      <c r="E35" s="241" t="s">
        <v>3193</v>
      </c>
      <c r="F35" s="278">
        <v>800</v>
      </c>
      <c r="G35" s="278">
        <v>5547</v>
      </c>
      <c r="H35" s="278">
        <v>4507</v>
      </c>
      <c r="I35" s="278">
        <v>1040</v>
      </c>
      <c r="J35" s="278">
        <v>2914</v>
      </c>
      <c r="K35" s="278">
        <v>2203</v>
      </c>
      <c r="L35" s="278">
        <v>711</v>
      </c>
      <c r="M35" s="278">
        <v>788</v>
      </c>
      <c r="N35" s="278">
        <v>5490</v>
      </c>
      <c r="O35" s="278">
        <v>4460</v>
      </c>
      <c r="P35" s="278">
        <v>1030</v>
      </c>
      <c r="Q35" s="278">
        <v>2857</v>
      </c>
      <c r="R35" s="278">
        <v>2156</v>
      </c>
      <c r="S35" s="278">
        <v>701</v>
      </c>
    </row>
    <row r="36" spans="1:19">
      <c r="A36" s="241" t="s">
        <v>3159</v>
      </c>
      <c r="B36" s="241" t="s">
        <v>5303</v>
      </c>
      <c r="C36" s="241" t="s">
        <v>3161</v>
      </c>
      <c r="D36" s="241" t="s">
        <v>3194</v>
      </c>
      <c r="E36" s="241" t="s">
        <v>3195</v>
      </c>
      <c r="F36" s="278">
        <v>5206456</v>
      </c>
      <c r="G36" s="278">
        <v>59941676</v>
      </c>
      <c r="H36" s="278">
        <v>32512441</v>
      </c>
      <c r="I36" s="278">
        <v>26938548</v>
      </c>
      <c r="J36" s="278">
        <v>52840735</v>
      </c>
      <c r="K36" s="278">
        <v>28054607</v>
      </c>
      <c r="L36" s="278">
        <v>24319087</v>
      </c>
      <c r="M36" s="278">
        <v>5113605</v>
      </c>
      <c r="N36" s="278">
        <v>57496212</v>
      </c>
      <c r="O36" s="278">
        <v>31517866</v>
      </c>
      <c r="P36" s="278">
        <v>25487659</v>
      </c>
      <c r="Q36" s="278">
        <v>50423778</v>
      </c>
      <c r="R36" s="278">
        <v>27065770</v>
      </c>
      <c r="S36" s="278">
        <v>22890967</v>
      </c>
    </row>
    <row r="37" spans="1:19">
      <c r="A37" s="241" t="s">
        <v>3159</v>
      </c>
      <c r="B37" s="241" t="s">
        <v>5303</v>
      </c>
      <c r="C37" s="241" t="s">
        <v>3168</v>
      </c>
      <c r="D37" s="241" t="s">
        <v>3135</v>
      </c>
      <c r="E37" s="241" t="s">
        <v>3196</v>
      </c>
      <c r="F37" s="278">
        <v>1868</v>
      </c>
      <c r="G37" s="278">
        <v>19716</v>
      </c>
      <c r="H37" s="278">
        <v>16658</v>
      </c>
      <c r="I37" s="278">
        <v>3037</v>
      </c>
      <c r="J37" s="278">
        <v>16535</v>
      </c>
      <c r="K37" s="278">
        <v>14196</v>
      </c>
      <c r="L37" s="278">
        <v>2319</v>
      </c>
      <c r="M37" s="278">
        <v>1865</v>
      </c>
      <c r="N37" s="278">
        <v>19697</v>
      </c>
      <c r="O37" s="278">
        <v>16643</v>
      </c>
      <c r="P37" s="278">
        <v>3033</v>
      </c>
      <c r="Q37" s="278">
        <v>16516</v>
      </c>
      <c r="R37" s="278">
        <v>14181</v>
      </c>
      <c r="S37" s="278">
        <v>2315</v>
      </c>
    </row>
    <row r="38" spans="1:19">
      <c r="A38" s="241" t="s">
        <v>3159</v>
      </c>
      <c r="B38" s="241" t="s">
        <v>5303</v>
      </c>
      <c r="C38" s="241" t="s">
        <v>3170</v>
      </c>
      <c r="D38" s="241" t="s">
        <v>3135</v>
      </c>
      <c r="E38" s="241" t="s">
        <v>3197</v>
      </c>
      <c r="F38" s="278">
        <v>1868</v>
      </c>
      <c r="G38" s="278">
        <v>19716</v>
      </c>
      <c r="H38" s="278">
        <v>16658</v>
      </c>
      <c r="I38" s="278">
        <v>3037</v>
      </c>
      <c r="J38" s="278">
        <v>16535</v>
      </c>
      <c r="K38" s="278">
        <v>14196</v>
      </c>
      <c r="L38" s="278">
        <v>2319</v>
      </c>
      <c r="M38" s="278">
        <v>1865</v>
      </c>
      <c r="N38" s="278">
        <v>19697</v>
      </c>
      <c r="O38" s="278">
        <v>16643</v>
      </c>
      <c r="P38" s="278">
        <v>3033</v>
      </c>
      <c r="Q38" s="278">
        <v>16516</v>
      </c>
      <c r="R38" s="278">
        <v>14181</v>
      </c>
      <c r="S38" s="278">
        <v>2315</v>
      </c>
    </row>
    <row r="39" spans="1:19">
      <c r="A39" s="241" t="s">
        <v>3159</v>
      </c>
      <c r="B39" s="241" t="s">
        <v>5303</v>
      </c>
      <c r="C39" s="241" t="s">
        <v>3172</v>
      </c>
      <c r="D39" s="241" t="s">
        <v>3135</v>
      </c>
      <c r="E39" s="241" t="s">
        <v>3198</v>
      </c>
      <c r="F39" s="278">
        <v>131</v>
      </c>
      <c r="G39" s="278">
        <v>1926</v>
      </c>
      <c r="H39" s="278">
        <v>1455</v>
      </c>
      <c r="I39" s="278">
        <v>471</v>
      </c>
      <c r="J39" s="278">
        <v>1623</v>
      </c>
      <c r="K39" s="278">
        <v>1193</v>
      </c>
      <c r="L39" s="278">
        <v>430</v>
      </c>
      <c r="M39" s="278">
        <v>131</v>
      </c>
      <c r="N39" s="278">
        <v>1926</v>
      </c>
      <c r="O39" s="278">
        <v>1455</v>
      </c>
      <c r="P39" s="278">
        <v>471</v>
      </c>
      <c r="Q39" s="278">
        <v>1623</v>
      </c>
      <c r="R39" s="278">
        <v>1193</v>
      </c>
      <c r="S39" s="278">
        <v>430</v>
      </c>
    </row>
    <row r="40" spans="1:19">
      <c r="A40" s="241" t="s">
        <v>3159</v>
      </c>
      <c r="B40" s="241" t="s">
        <v>5303</v>
      </c>
      <c r="C40" s="241" t="s">
        <v>3172</v>
      </c>
      <c r="D40" s="241" t="s">
        <v>3135</v>
      </c>
      <c r="E40" s="241" t="s">
        <v>3199</v>
      </c>
      <c r="F40" s="278">
        <v>7</v>
      </c>
      <c r="G40" s="278">
        <v>339</v>
      </c>
      <c r="H40" s="278">
        <v>293</v>
      </c>
      <c r="I40" s="278">
        <v>46</v>
      </c>
      <c r="J40" s="278">
        <v>325</v>
      </c>
      <c r="K40" s="278">
        <v>280</v>
      </c>
      <c r="L40" s="278">
        <v>45</v>
      </c>
      <c r="M40" s="278">
        <v>7</v>
      </c>
      <c r="N40" s="278">
        <v>339</v>
      </c>
      <c r="O40" s="278">
        <v>293</v>
      </c>
      <c r="P40" s="278">
        <v>46</v>
      </c>
      <c r="Q40" s="278">
        <v>325</v>
      </c>
      <c r="R40" s="278">
        <v>280</v>
      </c>
      <c r="S40" s="278">
        <v>45</v>
      </c>
    </row>
    <row r="41" spans="1:19">
      <c r="A41" s="241" t="s">
        <v>3159</v>
      </c>
      <c r="B41" s="241" t="s">
        <v>5303</v>
      </c>
      <c r="C41" s="241" t="s">
        <v>3172</v>
      </c>
      <c r="D41" s="241" t="s">
        <v>3135</v>
      </c>
      <c r="E41" s="241" t="s">
        <v>3200</v>
      </c>
      <c r="F41" s="278">
        <v>18</v>
      </c>
      <c r="G41" s="278">
        <v>332</v>
      </c>
      <c r="H41" s="278">
        <v>306</v>
      </c>
      <c r="I41" s="278">
        <v>21</v>
      </c>
      <c r="J41" s="278">
        <v>302</v>
      </c>
      <c r="K41" s="278">
        <v>285</v>
      </c>
      <c r="L41" s="278">
        <v>12</v>
      </c>
      <c r="M41" s="278">
        <v>18</v>
      </c>
      <c r="N41" s="278">
        <v>332</v>
      </c>
      <c r="O41" s="278">
        <v>306</v>
      </c>
      <c r="P41" s="278">
        <v>21</v>
      </c>
      <c r="Q41" s="278">
        <v>302</v>
      </c>
      <c r="R41" s="278">
        <v>285</v>
      </c>
      <c r="S41" s="278">
        <v>12</v>
      </c>
    </row>
    <row r="42" spans="1:19">
      <c r="A42" s="241" t="s">
        <v>3159</v>
      </c>
      <c r="B42" s="241" t="s">
        <v>5303</v>
      </c>
      <c r="C42" s="241" t="s">
        <v>3172</v>
      </c>
      <c r="D42" s="241" t="s">
        <v>3135</v>
      </c>
      <c r="E42" s="241" t="s">
        <v>3201</v>
      </c>
      <c r="F42" s="278">
        <v>21</v>
      </c>
      <c r="G42" s="278">
        <v>914</v>
      </c>
      <c r="H42" s="278">
        <v>825</v>
      </c>
      <c r="I42" s="278">
        <v>89</v>
      </c>
      <c r="J42" s="278">
        <v>860</v>
      </c>
      <c r="K42" s="278">
        <v>784</v>
      </c>
      <c r="L42" s="278">
        <v>76</v>
      </c>
      <c r="M42" s="278">
        <v>21</v>
      </c>
      <c r="N42" s="278">
        <v>914</v>
      </c>
      <c r="O42" s="278">
        <v>825</v>
      </c>
      <c r="P42" s="278">
        <v>89</v>
      </c>
      <c r="Q42" s="278">
        <v>860</v>
      </c>
      <c r="R42" s="278">
        <v>784</v>
      </c>
      <c r="S42" s="278">
        <v>76</v>
      </c>
    </row>
    <row r="43" spans="1:19">
      <c r="A43" s="241" t="s">
        <v>3159</v>
      </c>
      <c r="B43" s="241" t="s">
        <v>5303</v>
      </c>
      <c r="C43" s="241" t="s">
        <v>3172</v>
      </c>
      <c r="D43" s="241" t="s">
        <v>3135</v>
      </c>
      <c r="E43" s="241" t="s">
        <v>3202</v>
      </c>
      <c r="F43" s="278">
        <v>1459</v>
      </c>
      <c r="G43" s="278">
        <v>12571</v>
      </c>
      <c r="H43" s="278">
        <v>10483</v>
      </c>
      <c r="I43" s="278">
        <v>2072</v>
      </c>
      <c r="J43" s="278">
        <v>10133</v>
      </c>
      <c r="K43" s="278">
        <v>8638</v>
      </c>
      <c r="L43" s="278">
        <v>1480</v>
      </c>
      <c r="M43" s="278">
        <v>1457</v>
      </c>
      <c r="N43" s="278">
        <v>12556</v>
      </c>
      <c r="O43" s="278">
        <v>10469</v>
      </c>
      <c r="P43" s="278">
        <v>2071</v>
      </c>
      <c r="Q43" s="278">
        <v>10118</v>
      </c>
      <c r="R43" s="278">
        <v>8624</v>
      </c>
      <c r="S43" s="278">
        <v>1479</v>
      </c>
    </row>
    <row r="44" spans="1:19">
      <c r="A44" s="241" t="s">
        <v>3159</v>
      </c>
      <c r="B44" s="241" t="s">
        <v>5303</v>
      </c>
      <c r="C44" s="241" t="s">
        <v>3172</v>
      </c>
      <c r="D44" s="241" t="s">
        <v>3135</v>
      </c>
      <c r="E44" s="241" t="s">
        <v>3203</v>
      </c>
      <c r="F44" s="278">
        <v>190</v>
      </c>
      <c r="G44" s="278">
        <v>3192</v>
      </c>
      <c r="H44" s="278">
        <v>2930</v>
      </c>
      <c r="I44" s="278">
        <v>262</v>
      </c>
      <c r="J44" s="278">
        <v>2913</v>
      </c>
      <c r="K44" s="278">
        <v>2698</v>
      </c>
      <c r="L44" s="278">
        <v>215</v>
      </c>
      <c r="M44" s="278">
        <v>190</v>
      </c>
      <c r="N44" s="278">
        <v>3192</v>
      </c>
      <c r="O44" s="278">
        <v>2930</v>
      </c>
      <c r="P44" s="278">
        <v>262</v>
      </c>
      <c r="Q44" s="278">
        <v>2913</v>
      </c>
      <c r="R44" s="278">
        <v>2698</v>
      </c>
      <c r="S44" s="278">
        <v>215</v>
      </c>
    </row>
    <row r="45" spans="1:19">
      <c r="A45" s="241" t="s">
        <v>3159</v>
      </c>
      <c r="B45" s="241" t="s">
        <v>5303</v>
      </c>
      <c r="C45" s="241" t="s">
        <v>3172</v>
      </c>
      <c r="D45" s="241" t="s">
        <v>3135</v>
      </c>
      <c r="E45" s="241" t="s">
        <v>3204</v>
      </c>
      <c r="F45" s="278">
        <v>35</v>
      </c>
      <c r="G45" s="278">
        <v>275</v>
      </c>
      <c r="H45" s="278">
        <v>213</v>
      </c>
      <c r="I45" s="278">
        <v>62</v>
      </c>
      <c r="J45" s="278">
        <v>228</v>
      </c>
      <c r="K45" s="278">
        <v>179</v>
      </c>
      <c r="L45" s="278">
        <v>49</v>
      </c>
      <c r="M45" s="278">
        <v>34</v>
      </c>
      <c r="N45" s="278">
        <v>271</v>
      </c>
      <c r="O45" s="278">
        <v>212</v>
      </c>
      <c r="P45" s="278">
        <v>59</v>
      </c>
      <c r="Q45" s="278">
        <v>224</v>
      </c>
      <c r="R45" s="278">
        <v>178</v>
      </c>
      <c r="S45" s="278">
        <v>46</v>
      </c>
    </row>
    <row r="46" spans="1:19">
      <c r="A46" s="241" t="s">
        <v>3159</v>
      </c>
      <c r="B46" s="241" t="s">
        <v>5303</v>
      </c>
      <c r="C46" s="241" t="s">
        <v>3168</v>
      </c>
      <c r="D46" s="241" t="s">
        <v>3205</v>
      </c>
      <c r="E46" s="241" t="s">
        <v>3206</v>
      </c>
      <c r="F46" s="278">
        <v>485139</v>
      </c>
      <c r="G46" s="278">
        <v>3737447</v>
      </c>
      <c r="H46" s="278">
        <v>3015297</v>
      </c>
      <c r="I46" s="278">
        <v>710027</v>
      </c>
      <c r="J46" s="278">
        <v>2886927</v>
      </c>
      <c r="K46" s="278">
        <v>2366609</v>
      </c>
      <c r="L46" s="278">
        <v>508528</v>
      </c>
      <c r="M46" s="278">
        <v>485135</v>
      </c>
      <c r="N46" s="278">
        <v>3737415</v>
      </c>
      <c r="O46" s="278">
        <v>3015271</v>
      </c>
      <c r="P46" s="278">
        <v>710021</v>
      </c>
      <c r="Q46" s="278">
        <v>2886895</v>
      </c>
      <c r="R46" s="278">
        <v>2366583</v>
      </c>
      <c r="S46" s="278">
        <v>508522</v>
      </c>
    </row>
    <row r="47" spans="1:19">
      <c r="A47" s="241" t="s">
        <v>3159</v>
      </c>
      <c r="B47" s="241" t="s">
        <v>5303</v>
      </c>
      <c r="C47" s="241" t="s">
        <v>3170</v>
      </c>
      <c r="D47" s="241" t="s">
        <v>3205</v>
      </c>
      <c r="E47" s="241" t="s">
        <v>3207</v>
      </c>
      <c r="F47" s="278">
        <v>209730</v>
      </c>
      <c r="G47" s="278">
        <v>1825968</v>
      </c>
      <c r="H47" s="278">
        <v>1452990</v>
      </c>
      <c r="I47" s="278">
        <v>365280</v>
      </c>
      <c r="J47" s="278">
        <v>1441799</v>
      </c>
      <c r="K47" s="278">
        <v>1163663</v>
      </c>
      <c r="L47" s="278">
        <v>270576</v>
      </c>
      <c r="M47" s="278">
        <v>209726</v>
      </c>
      <c r="N47" s="278">
        <v>1825936</v>
      </c>
      <c r="O47" s="278">
        <v>1452964</v>
      </c>
      <c r="P47" s="278">
        <v>365274</v>
      </c>
      <c r="Q47" s="278">
        <v>1441767</v>
      </c>
      <c r="R47" s="278">
        <v>1163637</v>
      </c>
      <c r="S47" s="278">
        <v>270570</v>
      </c>
    </row>
    <row r="48" spans="1:19">
      <c r="A48" s="241" t="s">
        <v>3159</v>
      </c>
      <c r="B48" s="241" t="s">
        <v>5303</v>
      </c>
      <c r="C48" s="241" t="s">
        <v>3172</v>
      </c>
      <c r="D48" s="241" t="s">
        <v>3205</v>
      </c>
      <c r="E48" s="241" t="s">
        <v>3208</v>
      </c>
      <c r="F48" s="278">
        <v>919</v>
      </c>
      <c r="G48" s="278">
        <v>14163</v>
      </c>
      <c r="H48" s="278">
        <v>10929</v>
      </c>
      <c r="I48" s="278">
        <v>3063</v>
      </c>
      <c r="J48" s="278">
        <v>13000</v>
      </c>
      <c r="K48" s="278">
        <v>9948</v>
      </c>
      <c r="L48" s="278">
        <v>2881</v>
      </c>
      <c r="M48" s="278">
        <v>919</v>
      </c>
      <c r="N48" s="278">
        <v>14163</v>
      </c>
      <c r="O48" s="278">
        <v>10929</v>
      </c>
      <c r="P48" s="278">
        <v>3063</v>
      </c>
      <c r="Q48" s="278">
        <v>13000</v>
      </c>
      <c r="R48" s="278">
        <v>9948</v>
      </c>
      <c r="S48" s="278">
        <v>2881</v>
      </c>
    </row>
    <row r="49" spans="1:19">
      <c r="A49" s="241" t="s">
        <v>3159</v>
      </c>
      <c r="B49" s="241" t="s">
        <v>5303</v>
      </c>
      <c r="C49" s="241" t="s">
        <v>3172</v>
      </c>
      <c r="D49" s="241" t="s">
        <v>3205</v>
      </c>
      <c r="E49" s="241" t="s">
        <v>3209</v>
      </c>
      <c r="F49" s="278">
        <v>7617</v>
      </c>
      <c r="G49" s="278">
        <v>186003</v>
      </c>
      <c r="H49" s="278">
        <v>157666</v>
      </c>
      <c r="I49" s="278">
        <v>28296</v>
      </c>
      <c r="J49" s="278">
        <v>169927</v>
      </c>
      <c r="K49" s="278">
        <v>144721</v>
      </c>
      <c r="L49" s="278">
        <v>25169</v>
      </c>
      <c r="M49" s="278">
        <v>7617</v>
      </c>
      <c r="N49" s="278">
        <v>186003</v>
      </c>
      <c r="O49" s="278">
        <v>157666</v>
      </c>
      <c r="P49" s="278">
        <v>28296</v>
      </c>
      <c r="Q49" s="278">
        <v>169927</v>
      </c>
      <c r="R49" s="278">
        <v>144721</v>
      </c>
      <c r="S49" s="278">
        <v>25169</v>
      </c>
    </row>
    <row r="50" spans="1:19">
      <c r="A50" s="241" t="s">
        <v>3159</v>
      </c>
      <c r="B50" s="241" t="s">
        <v>5303</v>
      </c>
      <c r="C50" s="241" t="s">
        <v>3172</v>
      </c>
      <c r="D50" s="241" t="s">
        <v>3205</v>
      </c>
      <c r="E50" s="241" t="s">
        <v>3210</v>
      </c>
      <c r="F50" s="278">
        <v>74591</v>
      </c>
      <c r="G50" s="278">
        <v>746640</v>
      </c>
      <c r="H50" s="278">
        <v>625757</v>
      </c>
      <c r="I50" s="278">
        <v>120425</v>
      </c>
      <c r="J50" s="278">
        <v>586688</v>
      </c>
      <c r="K50" s="278">
        <v>507438</v>
      </c>
      <c r="L50" s="278">
        <v>78803</v>
      </c>
      <c r="M50" s="278">
        <v>74591</v>
      </c>
      <c r="N50" s="278">
        <v>746640</v>
      </c>
      <c r="O50" s="278">
        <v>625757</v>
      </c>
      <c r="P50" s="278">
        <v>120425</v>
      </c>
      <c r="Q50" s="278">
        <v>586688</v>
      </c>
      <c r="R50" s="278">
        <v>507438</v>
      </c>
      <c r="S50" s="278">
        <v>78803</v>
      </c>
    </row>
    <row r="51" spans="1:19">
      <c r="A51" s="241" t="s">
        <v>3159</v>
      </c>
      <c r="B51" s="241" t="s">
        <v>5303</v>
      </c>
      <c r="C51" s="241" t="s">
        <v>3172</v>
      </c>
      <c r="D51" s="241" t="s">
        <v>3205</v>
      </c>
      <c r="E51" s="241" t="s">
        <v>3211</v>
      </c>
      <c r="F51" s="278">
        <v>6380</v>
      </c>
      <c r="G51" s="278">
        <v>74342</v>
      </c>
      <c r="H51" s="278">
        <v>63893</v>
      </c>
      <c r="I51" s="278">
        <v>10340</v>
      </c>
      <c r="J51" s="278">
        <v>63224</v>
      </c>
      <c r="K51" s="278">
        <v>55517</v>
      </c>
      <c r="L51" s="278">
        <v>7603</v>
      </c>
      <c r="M51" s="278">
        <v>6376</v>
      </c>
      <c r="N51" s="278">
        <v>74310</v>
      </c>
      <c r="O51" s="278">
        <v>63867</v>
      </c>
      <c r="P51" s="278">
        <v>10334</v>
      </c>
      <c r="Q51" s="278">
        <v>63192</v>
      </c>
      <c r="R51" s="278">
        <v>55491</v>
      </c>
      <c r="S51" s="278">
        <v>7597</v>
      </c>
    </row>
    <row r="52" spans="1:19">
      <c r="A52" s="241" t="s">
        <v>3159</v>
      </c>
      <c r="B52" s="241" t="s">
        <v>5303</v>
      </c>
      <c r="C52" s="241" t="s">
        <v>3172</v>
      </c>
      <c r="D52" s="241" t="s">
        <v>3205</v>
      </c>
      <c r="E52" s="241" t="s">
        <v>3212</v>
      </c>
      <c r="F52" s="278">
        <v>50005</v>
      </c>
      <c r="G52" s="278">
        <v>464662</v>
      </c>
      <c r="H52" s="278">
        <v>355658</v>
      </c>
      <c r="I52" s="278">
        <v>102337</v>
      </c>
      <c r="J52" s="278">
        <v>376685</v>
      </c>
      <c r="K52" s="278">
        <v>289571</v>
      </c>
      <c r="L52" s="278">
        <v>80550</v>
      </c>
      <c r="M52" s="278">
        <v>50005</v>
      </c>
      <c r="N52" s="278">
        <v>464662</v>
      </c>
      <c r="O52" s="278">
        <v>355658</v>
      </c>
      <c r="P52" s="278">
        <v>102337</v>
      </c>
      <c r="Q52" s="278">
        <v>376685</v>
      </c>
      <c r="R52" s="278">
        <v>289571</v>
      </c>
      <c r="S52" s="278">
        <v>80550</v>
      </c>
    </row>
    <row r="53" spans="1:19">
      <c r="A53" s="241" t="s">
        <v>3159</v>
      </c>
      <c r="B53" s="241" t="s">
        <v>5303</v>
      </c>
      <c r="C53" s="241" t="s">
        <v>3172</v>
      </c>
      <c r="D53" s="241" t="s">
        <v>3205</v>
      </c>
      <c r="E53" s="241" t="s">
        <v>3213</v>
      </c>
      <c r="F53" s="278">
        <v>41884</v>
      </c>
      <c r="G53" s="278">
        <v>200239</v>
      </c>
      <c r="H53" s="278">
        <v>143360</v>
      </c>
      <c r="I53" s="278">
        <v>56777</v>
      </c>
      <c r="J53" s="278">
        <v>134276</v>
      </c>
      <c r="K53" s="278">
        <v>92489</v>
      </c>
      <c r="L53" s="278">
        <v>41697</v>
      </c>
      <c r="M53" s="278">
        <v>41884</v>
      </c>
      <c r="N53" s="278">
        <v>200239</v>
      </c>
      <c r="O53" s="278">
        <v>143360</v>
      </c>
      <c r="P53" s="278">
        <v>56777</v>
      </c>
      <c r="Q53" s="278">
        <v>134276</v>
      </c>
      <c r="R53" s="278">
        <v>92489</v>
      </c>
      <c r="S53" s="278">
        <v>41697</v>
      </c>
    </row>
    <row r="54" spans="1:19">
      <c r="A54" s="241" t="s">
        <v>3159</v>
      </c>
      <c r="B54" s="241" t="s">
        <v>5303</v>
      </c>
      <c r="C54" s="241" t="s">
        <v>3172</v>
      </c>
      <c r="D54" s="241" t="s">
        <v>3205</v>
      </c>
      <c r="E54" s="241" t="s">
        <v>3214</v>
      </c>
      <c r="F54" s="278">
        <v>28334</v>
      </c>
      <c r="G54" s="278">
        <v>139919</v>
      </c>
      <c r="H54" s="278">
        <v>95727</v>
      </c>
      <c r="I54" s="278">
        <v>44042</v>
      </c>
      <c r="J54" s="278">
        <v>97999</v>
      </c>
      <c r="K54" s="278">
        <v>63979</v>
      </c>
      <c r="L54" s="278">
        <v>33873</v>
      </c>
      <c r="M54" s="278">
        <v>28334</v>
      </c>
      <c r="N54" s="278">
        <v>139919</v>
      </c>
      <c r="O54" s="278">
        <v>95727</v>
      </c>
      <c r="P54" s="278">
        <v>44042</v>
      </c>
      <c r="Q54" s="278">
        <v>97999</v>
      </c>
      <c r="R54" s="278">
        <v>63979</v>
      </c>
      <c r="S54" s="278">
        <v>33873</v>
      </c>
    </row>
    <row r="55" spans="1:19">
      <c r="A55" s="241" t="s">
        <v>3159</v>
      </c>
      <c r="B55" s="241" t="s">
        <v>5303</v>
      </c>
      <c r="C55" s="241" t="s">
        <v>3170</v>
      </c>
      <c r="D55" s="241" t="s">
        <v>3205</v>
      </c>
      <c r="E55" s="241" t="s">
        <v>3215</v>
      </c>
      <c r="F55" s="278">
        <v>149592</v>
      </c>
      <c r="G55" s="278">
        <v>847026</v>
      </c>
      <c r="H55" s="278">
        <v>684848</v>
      </c>
      <c r="I55" s="278">
        <v>160680</v>
      </c>
      <c r="J55" s="278">
        <v>591098</v>
      </c>
      <c r="K55" s="278">
        <v>485898</v>
      </c>
      <c r="L55" s="278">
        <v>103796</v>
      </c>
      <c r="M55" s="278">
        <v>149592</v>
      </c>
      <c r="N55" s="278">
        <v>847026</v>
      </c>
      <c r="O55" s="278">
        <v>684848</v>
      </c>
      <c r="P55" s="278">
        <v>160680</v>
      </c>
      <c r="Q55" s="278">
        <v>591098</v>
      </c>
      <c r="R55" s="278">
        <v>485898</v>
      </c>
      <c r="S55" s="278">
        <v>103796</v>
      </c>
    </row>
    <row r="56" spans="1:19">
      <c r="A56" s="241" t="s">
        <v>3159</v>
      </c>
      <c r="B56" s="241" t="s">
        <v>5303</v>
      </c>
      <c r="C56" s="241" t="s">
        <v>3172</v>
      </c>
      <c r="D56" s="241" t="s">
        <v>3205</v>
      </c>
      <c r="E56" s="241" t="s">
        <v>3216</v>
      </c>
      <c r="F56" s="278">
        <v>522</v>
      </c>
      <c r="G56" s="278">
        <v>2674</v>
      </c>
      <c r="H56" s="278">
        <v>1974</v>
      </c>
      <c r="I56" s="278">
        <v>687</v>
      </c>
      <c r="J56" s="278">
        <v>2166</v>
      </c>
      <c r="K56" s="278">
        <v>1625</v>
      </c>
      <c r="L56" s="278">
        <v>530</v>
      </c>
      <c r="M56" s="278">
        <v>522</v>
      </c>
      <c r="N56" s="278">
        <v>2674</v>
      </c>
      <c r="O56" s="278">
        <v>1974</v>
      </c>
      <c r="P56" s="278">
        <v>687</v>
      </c>
      <c r="Q56" s="278">
        <v>2166</v>
      </c>
      <c r="R56" s="278">
        <v>1625</v>
      </c>
      <c r="S56" s="278">
        <v>530</v>
      </c>
    </row>
    <row r="57" spans="1:19">
      <c r="A57" s="241" t="s">
        <v>3159</v>
      </c>
      <c r="B57" s="241" t="s">
        <v>5303</v>
      </c>
      <c r="C57" s="241" t="s">
        <v>3172</v>
      </c>
      <c r="D57" s="241" t="s">
        <v>3205</v>
      </c>
      <c r="E57" s="241" t="s">
        <v>3217</v>
      </c>
      <c r="F57" s="278">
        <v>17013</v>
      </c>
      <c r="G57" s="278">
        <v>68361</v>
      </c>
      <c r="H57" s="278">
        <v>56935</v>
      </c>
      <c r="I57" s="278">
        <v>11370</v>
      </c>
      <c r="J57" s="278">
        <v>41724</v>
      </c>
      <c r="K57" s="278">
        <v>35512</v>
      </c>
      <c r="L57" s="278">
        <v>6163</v>
      </c>
      <c r="M57" s="278">
        <v>17013</v>
      </c>
      <c r="N57" s="278">
        <v>68361</v>
      </c>
      <c r="O57" s="278">
        <v>56935</v>
      </c>
      <c r="P57" s="278">
        <v>11370</v>
      </c>
      <c r="Q57" s="278">
        <v>41724</v>
      </c>
      <c r="R57" s="278">
        <v>35512</v>
      </c>
      <c r="S57" s="278">
        <v>6163</v>
      </c>
    </row>
    <row r="58" spans="1:19">
      <c r="A58" s="241" t="s">
        <v>3159</v>
      </c>
      <c r="B58" s="241" t="s">
        <v>5303</v>
      </c>
      <c r="C58" s="241" t="s">
        <v>3172</v>
      </c>
      <c r="D58" s="241" t="s">
        <v>3205</v>
      </c>
      <c r="E58" s="241" t="s">
        <v>3218</v>
      </c>
      <c r="F58" s="278">
        <v>21514</v>
      </c>
      <c r="G58" s="278">
        <v>193663</v>
      </c>
      <c r="H58" s="278">
        <v>164607</v>
      </c>
      <c r="I58" s="278">
        <v>28913</v>
      </c>
      <c r="J58" s="278">
        <v>151252</v>
      </c>
      <c r="K58" s="278">
        <v>131651</v>
      </c>
      <c r="L58" s="278">
        <v>19470</v>
      </c>
      <c r="M58" s="278">
        <v>21514</v>
      </c>
      <c r="N58" s="278">
        <v>193663</v>
      </c>
      <c r="O58" s="278">
        <v>164607</v>
      </c>
      <c r="P58" s="278">
        <v>28913</v>
      </c>
      <c r="Q58" s="278">
        <v>151252</v>
      </c>
      <c r="R58" s="278">
        <v>131651</v>
      </c>
      <c r="S58" s="278">
        <v>19470</v>
      </c>
    </row>
    <row r="59" spans="1:19">
      <c r="A59" s="241" t="s">
        <v>3159</v>
      </c>
      <c r="B59" s="241" t="s">
        <v>5303</v>
      </c>
      <c r="C59" s="241" t="s">
        <v>3172</v>
      </c>
      <c r="D59" s="241" t="s">
        <v>3205</v>
      </c>
      <c r="E59" s="241" t="s">
        <v>3219</v>
      </c>
      <c r="F59" s="278">
        <v>8519</v>
      </c>
      <c r="G59" s="278">
        <v>70104</v>
      </c>
      <c r="H59" s="278">
        <v>59133</v>
      </c>
      <c r="I59" s="278">
        <v>10889</v>
      </c>
      <c r="J59" s="278">
        <v>54058</v>
      </c>
      <c r="K59" s="278">
        <v>46868</v>
      </c>
      <c r="L59" s="278">
        <v>7112</v>
      </c>
      <c r="M59" s="278">
        <v>8519</v>
      </c>
      <c r="N59" s="278">
        <v>70104</v>
      </c>
      <c r="O59" s="278">
        <v>59133</v>
      </c>
      <c r="P59" s="278">
        <v>10889</v>
      </c>
      <c r="Q59" s="278">
        <v>54058</v>
      </c>
      <c r="R59" s="278">
        <v>46868</v>
      </c>
      <c r="S59" s="278">
        <v>7112</v>
      </c>
    </row>
    <row r="60" spans="1:19">
      <c r="A60" s="241" t="s">
        <v>3159</v>
      </c>
      <c r="B60" s="241" t="s">
        <v>5303</v>
      </c>
      <c r="C60" s="241" t="s">
        <v>3172</v>
      </c>
      <c r="D60" s="241" t="s">
        <v>3205</v>
      </c>
      <c r="E60" s="241" t="s">
        <v>3220</v>
      </c>
      <c r="F60" s="278">
        <v>5924</v>
      </c>
      <c r="G60" s="278">
        <v>25561</v>
      </c>
      <c r="H60" s="278">
        <v>19705</v>
      </c>
      <c r="I60" s="278">
        <v>5677</v>
      </c>
      <c r="J60" s="278">
        <v>15566</v>
      </c>
      <c r="K60" s="278">
        <v>11947</v>
      </c>
      <c r="L60" s="278">
        <v>3441</v>
      </c>
      <c r="M60" s="278">
        <v>5924</v>
      </c>
      <c r="N60" s="278">
        <v>25561</v>
      </c>
      <c r="O60" s="278">
        <v>19705</v>
      </c>
      <c r="P60" s="278">
        <v>5677</v>
      </c>
      <c r="Q60" s="278">
        <v>15566</v>
      </c>
      <c r="R60" s="278">
        <v>11947</v>
      </c>
      <c r="S60" s="278">
        <v>3441</v>
      </c>
    </row>
    <row r="61" spans="1:19">
      <c r="A61" s="241" t="s">
        <v>3159</v>
      </c>
      <c r="B61" s="241" t="s">
        <v>5303</v>
      </c>
      <c r="C61" s="241" t="s">
        <v>3172</v>
      </c>
      <c r="D61" s="241" t="s">
        <v>3205</v>
      </c>
      <c r="E61" s="241" t="s">
        <v>3221</v>
      </c>
      <c r="F61" s="278">
        <v>9019</v>
      </c>
      <c r="G61" s="278">
        <v>37772</v>
      </c>
      <c r="H61" s="278">
        <v>31710</v>
      </c>
      <c r="I61" s="278">
        <v>6058</v>
      </c>
      <c r="J61" s="278">
        <v>22970</v>
      </c>
      <c r="K61" s="278">
        <v>19706</v>
      </c>
      <c r="L61" s="278">
        <v>3261</v>
      </c>
      <c r="M61" s="278">
        <v>9019</v>
      </c>
      <c r="N61" s="278">
        <v>37772</v>
      </c>
      <c r="O61" s="278">
        <v>31710</v>
      </c>
      <c r="P61" s="278">
        <v>6058</v>
      </c>
      <c r="Q61" s="278">
        <v>22970</v>
      </c>
      <c r="R61" s="278">
        <v>19706</v>
      </c>
      <c r="S61" s="278">
        <v>3261</v>
      </c>
    </row>
    <row r="62" spans="1:19">
      <c r="A62" s="241" t="s">
        <v>3159</v>
      </c>
      <c r="B62" s="241" t="s">
        <v>5303</v>
      </c>
      <c r="C62" s="241" t="s">
        <v>3172</v>
      </c>
      <c r="D62" s="241" t="s">
        <v>3205</v>
      </c>
      <c r="E62" s="241" t="s">
        <v>3222</v>
      </c>
      <c r="F62" s="278">
        <v>11907</v>
      </c>
      <c r="G62" s="278">
        <v>43553</v>
      </c>
      <c r="H62" s="278">
        <v>34170</v>
      </c>
      <c r="I62" s="278">
        <v>9346</v>
      </c>
      <c r="J62" s="278">
        <v>24718</v>
      </c>
      <c r="K62" s="278">
        <v>19243</v>
      </c>
      <c r="L62" s="278">
        <v>5443</v>
      </c>
      <c r="M62" s="278">
        <v>11907</v>
      </c>
      <c r="N62" s="278">
        <v>43553</v>
      </c>
      <c r="O62" s="278">
        <v>34170</v>
      </c>
      <c r="P62" s="278">
        <v>9346</v>
      </c>
      <c r="Q62" s="278">
        <v>24718</v>
      </c>
      <c r="R62" s="278">
        <v>19243</v>
      </c>
      <c r="S62" s="278">
        <v>5443</v>
      </c>
    </row>
    <row r="63" spans="1:19">
      <c r="A63" s="241" t="s">
        <v>3159</v>
      </c>
      <c r="B63" s="241" t="s">
        <v>5303</v>
      </c>
      <c r="C63" s="241" t="s">
        <v>3172</v>
      </c>
      <c r="D63" s="241" t="s">
        <v>3205</v>
      </c>
      <c r="E63" s="241" t="s">
        <v>3223</v>
      </c>
      <c r="F63" s="278">
        <v>22027</v>
      </c>
      <c r="G63" s="278">
        <v>106479</v>
      </c>
      <c r="H63" s="278">
        <v>84744</v>
      </c>
      <c r="I63" s="278">
        <v>21655</v>
      </c>
      <c r="J63" s="278">
        <v>69715</v>
      </c>
      <c r="K63" s="278">
        <v>56268</v>
      </c>
      <c r="L63" s="278">
        <v>13377</v>
      </c>
      <c r="M63" s="278">
        <v>22027</v>
      </c>
      <c r="N63" s="278">
        <v>106479</v>
      </c>
      <c r="O63" s="278">
        <v>84744</v>
      </c>
      <c r="P63" s="278">
        <v>21655</v>
      </c>
      <c r="Q63" s="278">
        <v>69715</v>
      </c>
      <c r="R63" s="278">
        <v>56268</v>
      </c>
      <c r="S63" s="278">
        <v>13377</v>
      </c>
    </row>
    <row r="64" spans="1:19">
      <c r="A64" s="241" t="s">
        <v>3159</v>
      </c>
      <c r="B64" s="241" t="s">
        <v>5303</v>
      </c>
      <c r="C64" s="241" t="s">
        <v>3172</v>
      </c>
      <c r="D64" s="241" t="s">
        <v>3205</v>
      </c>
      <c r="E64" s="241" t="s">
        <v>3224</v>
      </c>
      <c r="F64" s="278">
        <v>24204</v>
      </c>
      <c r="G64" s="278">
        <v>115987</v>
      </c>
      <c r="H64" s="278">
        <v>85617</v>
      </c>
      <c r="I64" s="278">
        <v>30195</v>
      </c>
      <c r="J64" s="278">
        <v>76320</v>
      </c>
      <c r="K64" s="278">
        <v>55428</v>
      </c>
      <c r="L64" s="278">
        <v>20729</v>
      </c>
      <c r="M64" s="278">
        <v>24204</v>
      </c>
      <c r="N64" s="278">
        <v>115987</v>
      </c>
      <c r="O64" s="278">
        <v>85617</v>
      </c>
      <c r="P64" s="278">
        <v>30195</v>
      </c>
      <c r="Q64" s="278">
        <v>76320</v>
      </c>
      <c r="R64" s="278">
        <v>55428</v>
      </c>
      <c r="S64" s="278">
        <v>20729</v>
      </c>
    </row>
    <row r="65" spans="1:19">
      <c r="A65" s="241" t="s">
        <v>3159</v>
      </c>
      <c r="B65" s="241" t="s">
        <v>5303</v>
      </c>
      <c r="C65" s="241" t="s">
        <v>3172</v>
      </c>
      <c r="D65" s="241" t="s">
        <v>3205</v>
      </c>
      <c r="E65" s="241" t="s">
        <v>3225</v>
      </c>
      <c r="F65" s="278">
        <v>28943</v>
      </c>
      <c r="G65" s="278">
        <v>182872</v>
      </c>
      <c r="H65" s="278">
        <v>146253</v>
      </c>
      <c r="I65" s="278">
        <v>35890</v>
      </c>
      <c r="J65" s="278">
        <v>132609</v>
      </c>
      <c r="K65" s="278">
        <v>107650</v>
      </c>
      <c r="L65" s="278">
        <v>24270</v>
      </c>
      <c r="M65" s="278">
        <v>28943</v>
      </c>
      <c r="N65" s="278">
        <v>182872</v>
      </c>
      <c r="O65" s="278">
        <v>146253</v>
      </c>
      <c r="P65" s="278">
        <v>35890</v>
      </c>
      <c r="Q65" s="278">
        <v>132609</v>
      </c>
      <c r="R65" s="278">
        <v>107650</v>
      </c>
      <c r="S65" s="278">
        <v>24270</v>
      </c>
    </row>
    <row r="66" spans="1:19">
      <c r="A66" s="241" t="s">
        <v>3159</v>
      </c>
      <c r="B66" s="241" t="s">
        <v>5303</v>
      </c>
      <c r="C66" s="241" t="s">
        <v>3170</v>
      </c>
      <c r="D66" s="241" t="s">
        <v>3205</v>
      </c>
      <c r="E66" s="241" t="s">
        <v>3226</v>
      </c>
      <c r="F66" s="278">
        <v>125773</v>
      </c>
      <c r="G66" s="278">
        <v>1064262</v>
      </c>
      <c r="H66" s="278">
        <v>877309</v>
      </c>
      <c r="I66" s="278">
        <v>184027</v>
      </c>
      <c r="J66" s="278">
        <v>853905</v>
      </c>
      <c r="K66" s="278">
        <v>716947</v>
      </c>
      <c r="L66" s="278">
        <v>134133</v>
      </c>
      <c r="M66" s="278">
        <v>125773</v>
      </c>
      <c r="N66" s="278">
        <v>1064262</v>
      </c>
      <c r="O66" s="278">
        <v>877309</v>
      </c>
      <c r="P66" s="278">
        <v>184027</v>
      </c>
      <c r="Q66" s="278">
        <v>853905</v>
      </c>
      <c r="R66" s="278">
        <v>716947</v>
      </c>
      <c r="S66" s="278">
        <v>134133</v>
      </c>
    </row>
    <row r="67" spans="1:19">
      <c r="A67" s="241" t="s">
        <v>3159</v>
      </c>
      <c r="B67" s="241" t="s">
        <v>5303</v>
      </c>
      <c r="C67" s="241" t="s">
        <v>3172</v>
      </c>
      <c r="D67" s="241" t="s">
        <v>3205</v>
      </c>
      <c r="E67" s="241" t="s">
        <v>3227</v>
      </c>
      <c r="F67" s="278">
        <v>662</v>
      </c>
      <c r="G67" s="278">
        <v>10544</v>
      </c>
      <c r="H67" s="278">
        <v>8437</v>
      </c>
      <c r="I67" s="278">
        <v>2104</v>
      </c>
      <c r="J67" s="278">
        <v>9312</v>
      </c>
      <c r="K67" s="278">
        <v>7482</v>
      </c>
      <c r="L67" s="278">
        <v>1827</v>
      </c>
      <c r="M67" s="278">
        <v>662</v>
      </c>
      <c r="N67" s="278">
        <v>10544</v>
      </c>
      <c r="O67" s="278">
        <v>8437</v>
      </c>
      <c r="P67" s="278">
        <v>2104</v>
      </c>
      <c r="Q67" s="278">
        <v>9312</v>
      </c>
      <c r="R67" s="278">
        <v>7482</v>
      </c>
      <c r="S67" s="278">
        <v>1827</v>
      </c>
    </row>
    <row r="68" spans="1:19">
      <c r="A68" s="241" t="s">
        <v>3159</v>
      </c>
      <c r="B68" s="241" t="s">
        <v>5303</v>
      </c>
      <c r="C68" s="241" t="s">
        <v>3172</v>
      </c>
      <c r="D68" s="241" t="s">
        <v>3205</v>
      </c>
      <c r="E68" s="241" t="s">
        <v>3228</v>
      </c>
      <c r="F68" s="278">
        <v>51685</v>
      </c>
      <c r="G68" s="278">
        <v>401091</v>
      </c>
      <c r="H68" s="278">
        <v>332626</v>
      </c>
      <c r="I68" s="278">
        <v>68109</v>
      </c>
      <c r="J68" s="278">
        <v>313898</v>
      </c>
      <c r="K68" s="278">
        <v>266394</v>
      </c>
      <c r="L68" s="278">
        <v>47171</v>
      </c>
      <c r="M68" s="278">
        <v>51685</v>
      </c>
      <c r="N68" s="278">
        <v>401091</v>
      </c>
      <c r="O68" s="278">
        <v>332626</v>
      </c>
      <c r="P68" s="278">
        <v>68109</v>
      </c>
      <c r="Q68" s="278">
        <v>313898</v>
      </c>
      <c r="R68" s="278">
        <v>266394</v>
      </c>
      <c r="S68" s="278">
        <v>47171</v>
      </c>
    </row>
    <row r="69" spans="1:19">
      <c r="A69" s="241" t="s">
        <v>3159</v>
      </c>
      <c r="B69" s="241" t="s">
        <v>5303</v>
      </c>
      <c r="C69" s="241" t="s">
        <v>3172</v>
      </c>
      <c r="D69" s="241" t="s">
        <v>3205</v>
      </c>
      <c r="E69" s="241" t="s">
        <v>3229</v>
      </c>
      <c r="F69" s="278">
        <v>11325</v>
      </c>
      <c r="G69" s="278">
        <v>157029</v>
      </c>
      <c r="H69" s="278">
        <v>132933</v>
      </c>
      <c r="I69" s="278">
        <v>23639</v>
      </c>
      <c r="J69" s="278">
        <v>139997</v>
      </c>
      <c r="K69" s="278">
        <v>119522</v>
      </c>
      <c r="L69" s="278">
        <v>20033</v>
      </c>
      <c r="M69" s="278">
        <v>11325</v>
      </c>
      <c r="N69" s="278">
        <v>157029</v>
      </c>
      <c r="O69" s="278">
        <v>132933</v>
      </c>
      <c r="P69" s="278">
        <v>23639</v>
      </c>
      <c r="Q69" s="278">
        <v>139997</v>
      </c>
      <c r="R69" s="278">
        <v>119522</v>
      </c>
      <c r="S69" s="278">
        <v>20033</v>
      </c>
    </row>
    <row r="70" spans="1:19">
      <c r="A70" s="241" t="s">
        <v>3159</v>
      </c>
      <c r="B70" s="241" t="s">
        <v>5303</v>
      </c>
      <c r="C70" s="241" t="s">
        <v>3172</v>
      </c>
      <c r="D70" s="241" t="s">
        <v>3205</v>
      </c>
      <c r="E70" s="241" t="s">
        <v>3230</v>
      </c>
      <c r="F70" s="278">
        <v>45649</v>
      </c>
      <c r="G70" s="278">
        <v>322238</v>
      </c>
      <c r="H70" s="278">
        <v>258038</v>
      </c>
      <c r="I70" s="278">
        <v>63914</v>
      </c>
      <c r="J70" s="278">
        <v>245538</v>
      </c>
      <c r="K70" s="278">
        <v>199745</v>
      </c>
      <c r="L70" s="278">
        <v>45534</v>
      </c>
      <c r="M70" s="278">
        <v>45649</v>
      </c>
      <c r="N70" s="278">
        <v>322238</v>
      </c>
      <c r="O70" s="278">
        <v>258038</v>
      </c>
      <c r="P70" s="278">
        <v>63914</v>
      </c>
      <c r="Q70" s="278">
        <v>245538</v>
      </c>
      <c r="R70" s="278">
        <v>199745</v>
      </c>
      <c r="S70" s="278">
        <v>45534</v>
      </c>
    </row>
    <row r="71" spans="1:19">
      <c r="A71" s="241" t="s">
        <v>3159</v>
      </c>
      <c r="B71" s="241" t="s">
        <v>5303</v>
      </c>
      <c r="C71" s="241" t="s">
        <v>3172</v>
      </c>
      <c r="D71" s="241" t="s">
        <v>3205</v>
      </c>
      <c r="E71" s="241" t="s">
        <v>3231</v>
      </c>
      <c r="F71" s="278">
        <v>10782</v>
      </c>
      <c r="G71" s="278">
        <v>127692</v>
      </c>
      <c r="H71" s="278">
        <v>107974</v>
      </c>
      <c r="I71" s="278">
        <v>18034</v>
      </c>
      <c r="J71" s="278">
        <v>109538</v>
      </c>
      <c r="K71" s="278">
        <v>94073</v>
      </c>
      <c r="L71" s="278">
        <v>13805</v>
      </c>
      <c r="M71" s="278">
        <v>10782</v>
      </c>
      <c r="N71" s="278">
        <v>127692</v>
      </c>
      <c r="O71" s="278">
        <v>107974</v>
      </c>
      <c r="P71" s="278">
        <v>18034</v>
      </c>
      <c r="Q71" s="278">
        <v>109538</v>
      </c>
      <c r="R71" s="278">
        <v>94073</v>
      </c>
      <c r="S71" s="278">
        <v>13805</v>
      </c>
    </row>
    <row r="72" spans="1:19">
      <c r="A72" s="241" t="s">
        <v>3159</v>
      </c>
      <c r="B72" s="241" t="s">
        <v>5303</v>
      </c>
      <c r="C72" s="241" t="s">
        <v>3172</v>
      </c>
      <c r="D72" s="241" t="s">
        <v>3205</v>
      </c>
      <c r="E72" s="241" t="s">
        <v>3232</v>
      </c>
      <c r="F72" s="278">
        <v>5670</v>
      </c>
      <c r="G72" s="278">
        <v>45668</v>
      </c>
      <c r="H72" s="278">
        <v>37301</v>
      </c>
      <c r="I72" s="278">
        <v>8227</v>
      </c>
      <c r="J72" s="278">
        <v>35622</v>
      </c>
      <c r="K72" s="278">
        <v>29731</v>
      </c>
      <c r="L72" s="278">
        <v>5763</v>
      </c>
      <c r="M72" s="278">
        <v>5670</v>
      </c>
      <c r="N72" s="278">
        <v>45668</v>
      </c>
      <c r="O72" s="278">
        <v>37301</v>
      </c>
      <c r="P72" s="278">
        <v>8227</v>
      </c>
      <c r="Q72" s="278">
        <v>35622</v>
      </c>
      <c r="R72" s="278">
        <v>29731</v>
      </c>
      <c r="S72" s="278">
        <v>5763</v>
      </c>
    </row>
    <row r="73" spans="1:19">
      <c r="A73" s="241" t="s">
        <v>3159</v>
      </c>
      <c r="B73" s="241" t="s">
        <v>5303</v>
      </c>
      <c r="C73" s="241" t="s">
        <v>3168</v>
      </c>
      <c r="D73" s="241" t="s">
        <v>3233</v>
      </c>
      <c r="E73" s="241" t="s">
        <v>3234</v>
      </c>
      <c r="F73" s="278">
        <v>412682</v>
      </c>
      <c r="G73" s="278">
        <v>8804194</v>
      </c>
      <c r="H73" s="278">
        <v>6162315</v>
      </c>
      <c r="I73" s="278">
        <v>2638718</v>
      </c>
      <c r="J73" s="278">
        <v>8072185</v>
      </c>
      <c r="K73" s="278">
        <v>5642493</v>
      </c>
      <c r="L73" s="278">
        <v>2426627</v>
      </c>
      <c r="M73" s="278">
        <v>412617</v>
      </c>
      <c r="N73" s="278">
        <v>8803643</v>
      </c>
      <c r="O73" s="278">
        <v>6161978</v>
      </c>
      <c r="P73" s="278">
        <v>2638504</v>
      </c>
      <c r="Q73" s="278">
        <v>8071640</v>
      </c>
      <c r="R73" s="278">
        <v>5642159</v>
      </c>
      <c r="S73" s="278">
        <v>2426416</v>
      </c>
    </row>
    <row r="74" spans="1:19">
      <c r="A74" s="241" t="s">
        <v>3159</v>
      </c>
      <c r="B74" s="241" t="s">
        <v>5303</v>
      </c>
      <c r="C74" s="241" t="s">
        <v>3170</v>
      </c>
      <c r="D74" s="241" t="s">
        <v>3233</v>
      </c>
      <c r="E74" s="241" t="s">
        <v>3235</v>
      </c>
      <c r="F74" s="278">
        <v>43766</v>
      </c>
      <c r="G74" s="278">
        <v>1277205</v>
      </c>
      <c r="H74" s="278">
        <v>594655</v>
      </c>
      <c r="I74" s="278">
        <v>682120</v>
      </c>
      <c r="J74" s="278">
        <v>1185142</v>
      </c>
      <c r="K74" s="278">
        <v>539156</v>
      </c>
      <c r="L74" s="278">
        <v>645564</v>
      </c>
      <c r="M74" s="278">
        <v>43751</v>
      </c>
      <c r="N74" s="278">
        <v>1276920</v>
      </c>
      <c r="O74" s="278">
        <v>594529</v>
      </c>
      <c r="P74" s="278">
        <v>681961</v>
      </c>
      <c r="Q74" s="278">
        <v>1184863</v>
      </c>
      <c r="R74" s="278">
        <v>539033</v>
      </c>
      <c r="S74" s="278">
        <v>645408</v>
      </c>
    </row>
    <row r="75" spans="1:19">
      <c r="A75" s="241" t="s">
        <v>3159</v>
      </c>
      <c r="B75" s="241" t="s">
        <v>5303</v>
      </c>
      <c r="C75" s="241" t="s">
        <v>3172</v>
      </c>
      <c r="D75" s="241" t="s">
        <v>3233</v>
      </c>
      <c r="E75" s="241" t="s">
        <v>3236</v>
      </c>
      <c r="F75" s="278">
        <v>612</v>
      </c>
      <c r="G75" s="278">
        <v>19288</v>
      </c>
      <c r="H75" s="278">
        <v>10969</v>
      </c>
      <c r="I75" s="278">
        <v>8299</v>
      </c>
      <c r="J75" s="278">
        <v>18236</v>
      </c>
      <c r="K75" s="278">
        <v>10110</v>
      </c>
      <c r="L75" s="278">
        <v>8106</v>
      </c>
      <c r="M75" s="278">
        <v>612</v>
      </c>
      <c r="N75" s="278">
        <v>19288</v>
      </c>
      <c r="O75" s="278">
        <v>10969</v>
      </c>
      <c r="P75" s="278">
        <v>8299</v>
      </c>
      <c r="Q75" s="278">
        <v>18236</v>
      </c>
      <c r="R75" s="278">
        <v>10110</v>
      </c>
      <c r="S75" s="278">
        <v>8106</v>
      </c>
    </row>
    <row r="76" spans="1:19">
      <c r="A76" s="241" t="s">
        <v>3159</v>
      </c>
      <c r="B76" s="241" t="s">
        <v>5303</v>
      </c>
      <c r="C76" s="241" t="s">
        <v>3172</v>
      </c>
      <c r="D76" s="241" t="s">
        <v>3233</v>
      </c>
      <c r="E76" s="241" t="s">
        <v>3237</v>
      </c>
      <c r="F76" s="278">
        <v>3907</v>
      </c>
      <c r="G76" s="278">
        <v>176999</v>
      </c>
      <c r="H76" s="278">
        <v>95772</v>
      </c>
      <c r="I76" s="278">
        <v>81182</v>
      </c>
      <c r="J76" s="278">
        <v>169168</v>
      </c>
      <c r="K76" s="278">
        <v>90630</v>
      </c>
      <c r="L76" s="278">
        <v>78493</v>
      </c>
      <c r="M76" s="278">
        <v>3901</v>
      </c>
      <c r="N76" s="278">
        <v>176965</v>
      </c>
      <c r="O76" s="278">
        <v>95753</v>
      </c>
      <c r="P76" s="278">
        <v>81167</v>
      </c>
      <c r="Q76" s="278">
        <v>169134</v>
      </c>
      <c r="R76" s="278">
        <v>90611</v>
      </c>
      <c r="S76" s="278">
        <v>78478</v>
      </c>
    </row>
    <row r="77" spans="1:19">
      <c r="A77" s="241" t="s">
        <v>3159</v>
      </c>
      <c r="B77" s="241" t="s">
        <v>5303</v>
      </c>
      <c r="C77" s="241" t="s">
        <v>3172</v>
      </c>
      <c r="D77" s="241" t="s">
        <v>3233</v>
      </c>
      <c r="E77" s="241" t="s">
        <v>3238</v>
      </c>
      <c r="F77" s="278">
        <v>7913</v>
      </c>
      <c r="G77" s="278">
        <v>160786</v>
      </c>
      <c r="H77" s="278">
        <v>65910</v>
      </c>
      <c r="I77" s="278">
        <v>94859</v>
      </c>
      <c r="J77" s="278">
        <v>143274</v>
      </c>
      <c r="K77" s="278">
        <v>55190</v>
      </c>
      <c r="L77" s="278">
        <v>88070</v>
      </c>
      <c r="M77" s="278">
        <v>7913</v>
      </c>
      <c r="N77" s="278">
        <v>160786</v>
      </c>
      <c r="O77" s="278">
        <v>65910</v>
      </c>
      <c r="P77" s="278">
        <v>94859</v>
      </c>
      <c r="Q77" s="278">
        <v>143274</v>
      </c>
      <c r="R77" s="278">
        <v>55190</v>
      </c>
      <c r="S77" s="278">
        <v>88070</v>
      </c>
    </row>
    <row r="78" spans="1:19">
      <c r="A78" s="241" t="s">
        <v>3159</v>
      </c>
      <c r="B78" s="241" t="s">
        <v>5303</v>
      </c>
      <c r="C78" s="241" t="s">
        <v>3172</v>
      </c>
      <c r="D78" s="241" t="s">
        <v>3233</v>
      </c>
      <c r="E78" s="241" t="s">
        <v>3239</v>
      </c>
      <c r="F78" s="278">
        <v>2808</v>
      </c>
      <c r="G78" s="278">
        <v>53476</v>
      </c>
      <c r="H78" s="278">
        <v>22082</v>
      </c>
      <c r="I78" s="278">
        <v>31394</v>
      </c>
      <c r="J78" s="278">
        <v>46097</v>
      </c>
      <c r="K78" s="278">
        <v>18108</v>
      </c>
      <c r="L78" s="278">
        <v>27989</v>
      </c>
      <c r="M78" s="278">
        <v>2803</v>
      </c>
      <c r="N78" s="278">
        <v>53462</v>
      </c>
      <c r="O78" s="278">
        <v>22075</v>
      </c>
      <c r="P78" s="278">
        <v>31387</v>
      </c>
      <c r="Q78" s="278">
        <v>46089</v>
      </c>
      <c r="R78" s="278">
        <v>18104</v>
      </c>
      <c r="S78" s="278">
        <v>27985</v>
      </c>
    </row>
    <row r="79" spans="1:19">
      <c r="A79" s="241" t="s">
        <v>3159</v>
      </c>
      <c r="B79" s="241" t="s">
        <v>5303</v>
      </c>
      <c r="C79" s="241" t="s">
        <v>3172</v>
      </c>
      <c r="D79" s="241" t="s">
        <v>3233</v>
      </c>
      <c r="E79" s="241" t="s">
        <v>3240</v>
      </c>
      <c r="F79" s="278">
        <v>2650</v>
      </c>
      <c r="G79" s="278">
        <v>57298</v>
      </c>
      <c r="H79" s="278">
        <v>33432</v>
      </c>
      <c r="I79" s="278">
        <v>23863</v>
      </c>
      <c r="J79" s="278">
        <v>52273</v>
      </c>
      <c r="K79" s="278">
        <v>30283</v>
      </c>
      <c r="L79" s="278">
        <v>21987</v>
      </c>
      <c r="M79" s="278">
        <v>2650</v>
      </c>
      <c r="N79" s="278">
        <v>57298</v>
      </c>
      <c r="O79" s="278">
        <v>33432</v>
      </c>
      <c r="P79" s="278">
        <v>23863</v>
      </c>
      <c r="Q79" s="278">
        <v>52273</v>
      </c>
      <c r="R79" s="278">
        <v>30283</v>
      </c>
      <c r="S79" s="278">
        <v>21987</v>
      </c>
    </row>
    <row r="80" spans="1:19">
      <c r="A80" s="241" t="s">
        <v>3159</v>
      </c>
      <c r="B80" s="241" t="s">
        <v>5303</v>
      </c>
      <c r="C80" s="241" t="s">
        <v>3172</v>
      </c>
      <c r="D80" s="241" t="s">
        <v>3233</v>
      </c>
      <c r="E80" s="241" t="s">
        <v>3241</v>
      </c>
      <c r="F80" s="278">
        <v>192</v>
      </c>
      <c r="G80" s="278">
        <v>7230</v>
      </c>
      <c r="H80" s="278">
        <v>5507</v>
      </c>
      <c r="I80" s="278">
        <v>1723</v>
      </c>
      <c r="J80" s="278">
        <v>6694</v>
      </c>
      <c r="K80" s="278">
        <v>5105</v>
      </c>
      <c r="L80" s="278">
        <v>1589</v>
      </c>
      <c r="M80" s="278">
        <v>192</v>
      </c>
      <c r="N80" s="278">
        <v>7230</v>
      </c>
      <c r="O80" s="278">
        <v>5507</v>
      </c>
      <c r="P80" s="278">
        <v>1723</v>
      </c>
      <c r="Q80" s="278">
        <v>6694</v>
      </c>
      <c r="R80" s="278">
        <v>5105</v>
      </c>
      <c r="S80" s="278">
        <v>1589</v>
      </c>
    </row>
    <row r="81" spans="1:19">
      <c r="A81" s="241" t="s">
        <v>3159</v>
      </c>
      <c r="B81" s="241" t="s">
        <v>5303</v>
      </c>
      <c r="C81" s="241" t="s">
        <v>3172</v>
      </c>
      <c r="D81" s="241" t="s">
        <v>3233</v>
      </c>
      <c r="E81" s="241" t="s">
        <v>3242</v>
      </c>
      <c r="F81" s="278">
        <v>1345</v>
      </c>
      <c r="G81" s="278">
        <v>18664</v>
      </c>
      <c r="H81" s="278">
        <v>13189</v>
      </c>
      <c r="I81" s="278">
        <v>5469</v>
      </c>
      <c r="J81" s="278">
        <v>16135</v>
      </c>
      <c r="K81" s="278">
        <v>11306</v>
      </c>
      <c r="L81" s="278">
        <v>4823</v>
      </c>
      <c r="M81" s="278">
        <v>1345</v>
      </c>
      <c r="N81" s="278">
        <v>18664</v>
      </c>
      <c r="O81" s="278">
        <v>13189</v>
      </c>
      <c r="P81" s="278">
        <v>5469</v>
      </c>
      <c r="Q81" s="278">
        <v>16135</v>
      </c>
      <c r="R81" s="278">
        <v>11306</v>
      </c>
      <c r="S81" s="278">
        <v>4823</v>
      </c>
    </row>
    <row r="82" spans="1:19">
      <c r="A82" s="241" t="s">
        <v>3159</v>
      </c>
      <c r="B82" s="241" t="s">
        <v>5303</v>
      </c>
      <c r="C82" s="241" t="s">
        <v>3172</v>
      </c>
      <c r="D82" s="241" t="s">
        <v>3233</v>
      </c>
      <c r="E82" s="241" t="s">
        <v>3243</v>
      </c>
      <c r="F82" s="278">
        <v>8597</v>
      </c>
      <c r="G82" s="278">
        <v>278301</v>
      </c>
      <c r="H82" s="278">
        <v>128561</v>
      </c>
      <c r="I82" s="278">
        <v>149659</v>
      </c>
      <c r="J82" s="278">
        <v>261680</v>
      </c>
      <c r="K82" s="278">
        <v>119158</v>
      </c>
      <c r="L82" s="278">
        <v>142443</v>
      </c>
      <c r="M82" s="278">
        <v>8597</v>
      </c>
      <c r="N82" s="278">
        <v>278301</v>
      </c>
      <c r="O82" s="278">
        <v>128561</v>
      </c>
      <c r="P82" s="278">
        <v>149659</v>
      </c>
      <c r="Q82" s="278">
        <v>261680</v>
      </c>
      <c r="R82" s="278">
        <v>119158</v>
      </c>
      <c r="S82" s="278">
        <v>142443</v>
      </c>
    </row>
    <row r="83" spans="1:19">
      <c r="A83" s="241" t="s">
        <v>3159</v>
      </c>
      <c r="B83" s="241" t="s">
        <v>5303</v>
      </c>
      <c r="C83" s="241" t="s">
        <v>3172</v>
      </c>
      <c r="D83" s="241" t="s">
        <v>3233</v>
      </c>
      <c r="E83" s="241" t="s">
        <v>3244</v>
      </c>
      <c r="F83" s="278">
        <v>331</v>
      </c>
      <c r="G83" s="278">
        <v>11606</v>
      </c>
      <c r="H83" s="278">
        <v>8662</v>
      </c>
      <c r="I83" s="278">
        <v>2944</v>
      </c>
      <c r="J83" s="278">
        <v>10936</v>
      </c>
      <c r="K83" s="278">
        <v>8160</v>
      </c>
      <c r="L83" s="278">
        <v>2776</v>
      </c>
      <c r="M83" s="278">
        <v>331</v>
      </c>
      <c r="N83" s="278">
        <v>11606</v>
      </c>
      <c r="O83" s="278">
        <v>8662</v>
      </c>
      <c r="P83" s="278">
        <v>2944</v>
      </c>
      <c r="Q83" s="278">
        <v>10936</v>
      </c>
      <c r="R83" s="278">
        <v>8160</v>
      </c>
      <c r="S83" s="278">
        <v>2776</v>
      </c>
    </row>
    <row r="84" spans="1:19">
      <c r="A84" s="241" t="s">
        <v>3159</v>
      </c>
      <c r="B84" s="241" t="s">
        <v>5303</v>
      </c>
      <c r="C84" s="241" t="s">
        <v>3172</v>
      </c>
      <c r="D84" s="241" t="s">
        <v>3233</v>
      </c>
      <c r="E84" s="241" t="s">
        <v>3245</v>
      </c>
      <c r="F84" s="278">
        <v>15411</v>
      </c>
      <c r="G84" s="278">
        <v>493557</v>
      </c>
      <c r="H84" s="278">
        <v>210571</v>
      </c>
      <c r="I84" s="278">
        <v>282728</v>
      </c>
      <c r="J84" s="278">
        <v>460649</v>
      </c>
      <c r="K84" s="278">
        <v>191106</v>
      </c>
      <c r="L84" s="278">
        <v>269288</v>
      </c>
      <c r="M84" s="278">
        <v>15407</v>
      </c>
      <c r="N84" s="278">
        <v>493320</v>
      </c>
      <c r="O84" s="278">
        <v>210471</v>
      </c>
      <c r="P84" s="278">
        <v>282591</v>
      </c>
      <c r="Q84" s="278">
        <v>460412</v>
      </c>
      <c r="R84" s="278">
        <v>191006</v>
      </c>
      <c r="S84" s="278">
        <v>269151</v>
      </c>
    </row>
    <row r="85" spans="1:19">
      <c r="A85" s="241" t="s">
        <v>3159</v>
      </c>
      <c r="B85" s="241" t="s">
        <v>5303</v>
      </c>
      <c r="C85" s="241" t="s">
        <v>3170</v>
      </c>
      <c r="D85" s="241" t="s">
        <v>3233</v>
      </c>
      <c r="E85" s="241" t="s">
        <v>3246</v>
      </c>
      <c r="F85" s="278">
        <v>8426</v>
      </c>
      <c r="G85" s="278">
        <v>138160</v>
      </c>
      <c r="H85" s="278">
        <v>96183</v>
      </c>
      <c r="I85" s="278">
        <v>41938</v>
      </c>
      <c r="J85" s="278">
        <v>116287</v>
      </c>
      <c r="K85" s="278">
        <v>79977</v>
      </c>
      <c r="L85" s="278">
        <v>36271</v>
      </c>
      <c r="M85" s="278">
        <v>8382</v>
      </c>
      <c r="N85" s="278">
        <v>137913</v>
      </c>
      <c r="O85" s="278">
        <v>95990</v>
      </c>
      <c r="P85" s="278">
        <v>41884</v>
      </c>
      <c r="Q85" s="278">
        <v>116040</v>
      </c>
      <c r="R85" s="278">
        <v>79784</v>
      </c>
      <c r="S85" s="278">
        <v>36217</v>
      </c>
    </row>
    <row r="86" spans="1:19">
      <c r="A86" s="241" t="s">
        <v>3159</v>
      </c>
      <c r="B86" s="241" t="s">
        <v>5303</v>
      </c>
      <c r="C86" s="241" t="s">
        <v>3172</v>
      </c>
      <c r="D86" s="241" t="s">
        <v>3233</v>
      </c>
      <c r="E86" s="241" t="s">
        <v>3247</v>
      </c>
      <c r="F86" s="278">
        <v>125</v>
      </c>
      <c r="G86" s="278">
        <v>5111</v>
      </c>
      <c r="H86" s="278">
        <v>3400</v>
      </c>
      <c r="I86" s="278">
        <v>1711</v>
      </c>
      <c r="J86" s="278">
        <v>4870</v>
      </c>
      <c r="K86" s="278">
        <v>3217</v>
      </c>
      <c r="L86" s="278">
        <v>1653</v>
      </c>
      <c r="M86" s="278">
        <v>125</v>
      </c>
      <c r="N86" s="278">
        <v>5111</v>
      </c>
      <c r="O86" s="278">
        <v>3400</v>
      </c>
      <c r="P86" s="278">
        <v>1711</v>
      </c>
      <c r="Q86" s="278">
        <v>4870</v>
      </c>
      <c r="R86" s="278">
        <v>3217</v>
      </c>
      <c r="S86" s="278">
        <v>1653</v>
      </c>
    </row>
    <row r="87" spans="1:19">
      <c r="A87" s="241" t="s">
        <v>3159</v>
      </c>
      <c r="B87" s="241" t="s">
        <v>5303</v>
      </c>
      <c r="C87" s="241" t="s">
        <v>3172</v>
      </c>
      <c r="D87" s="241" t="s">
        <v>3233</v>
      </c>
      <c r="E87" s="241" t="s">
        <v>3248</v>
      </c>
      <c r="F87" s="278">
        <v>1052</v>
      </c>
      <c r="G87" s="278">
        <v>36066</v>
      </c>
      <c r="H87" s="278">
        <v>27437</v>
      </c>
      <c r="I87" s="278">
        <v>8621</v>
      </c>
      <c r="J87" s="278">
        <v>34022</v>
      </c>
      <c r="K87" s="278">
        <v>25947</v>
      </c>
      <c r="L87" s="278">
        <v>8067</v>
      </c>
      <c r="M87" s="278">
        <v>1052</v>
      </c>
      <c r="N87" s="278">
        <v>36066</v>
      </c>
      <c r="O87" s="278">
        <v>27437</v>
      </c>
      <c r="P87" s="278">
        <v>8621</v>
      </c>
      <c r="Q87" s="278">
        <v>34022</v>
      </c>
      <c r="R87" s="278">
        <v>25947</v>
      </c>
      <c r="S87" s="278">
        <v>8067</v>
      </c>
    </row>
    <row r="88" spans="1:19">
      <c r="A88" s="241" t="s">
        <v>3159</v>
      </c>
      <c r="B88" s="241" t="s">
        <v>5303</v>
      </c>
      <c r="C88" s="241" t="s">
        <v>3172</v>
      </c>
      <c r="D88" s="241" t="s">
        <v>3233</v>
      </c>
      <c r="E88" s="241" t="s">
        <v>3249</v>
      </c>
      <c r="F88" s="278">
        <v>2332</v>
      </c>
      <c r="G88" s="278">
        <v>40898</v>
      </c>
      <c r="H88" s="278">
        <v>27341</v>
      </c>
      <c r="I88" s="278">
        <v>13553</v>
      </c>
      <c r="J88" s="278">
        <v>35666</v>
      </c>
      <c r="K88" s="278">
        <v>23754</v>
      </c>
      <c r="L88" s="278">
        <v>11908</v>
      </c>
      <c r="M88" s="278">
        <v>2327</v>
      </c>
      <c r="N88" s="278">
        <v>40796</v>
      </c>
      <c r="O88" s="278">
        <v>27282</v>
      </c>
      <c r="P88" s="278">
        <v>13510</v>
      </c>
      <c r="Q88" s="278">
        <v>35564</v>
      </c>
      <c r="R88" s="278">
        <v>23695</v>
      </c>
      <c r="S88" s="278">
        <v>11865</v>
      </c>
    </row>
    <row r="89" spans="1:19">
      <c r="A89" s="241" t="s">
        <v>3159</v>
      </c>
      <c r="B89" s="241" t="s">
        <v>5303</v>
      </c>
      <c r="C89" s="241" t="s">
        <v>3172</v>
      </c>
      <c r="D89" s="241" t="s">
        <v>3233</v>
      </c>
      <c r="E89" s="241" t="s">
        <v>3250</v>
      </c>
      <c r="F89" s="278">
        <v>2691</v>
      </c>
      <c r="G89" s="278">
        <v>29305</v>
      </c>
      <c r="H89" s="278">
        <v>17911</v>
      </c>
      <c r="I89" s="278">
        <v>11394</v>
      </c>
      <c r="J89" s="278">
        <v>18319</v>
      </c>
      <c r="K89" s="278">
        <v>9605</v>
      </c>
      <c r="L89" s="278">
        <v>8714</v>
      </c>
      <c r="M89" s="278">
        <v>2691</v>
      </c>
      <c r="N89" s="278">
        <v>29305</v>
      </c>
      <c r="O89" s="278">
        <v>17911</v>
      </c>
      <c r="P89" s="278">
        <v>11394</v>
      </c>
      <c r="Q89" s="278">
        <v>18319</v>
      </c>
      <c r="R89" s="278">
        <v>9605</v>
      </c>
      <c r="S89" s="278">
        <v>8714</v>
      </c>
    </row>
    <row r="90" spans="1:19">
      <c r="A90" s="241" t="s">
        <v>3159</v>
      </c>
      <c r="B90" s="241" t="s">
        <v>5303</v>
      </c>
      <c r="C90" s="241" t="s">
        <v>3172</v>
      </c>
      <c r="D90" s="241" t="s">
        <v>3233</v>
      </c>
      <c r="E90" s="241" t="s">
        <v>3251</v>
      </c>
      <c r="F90" s="278">
        <v>309</v>
      </c>
      <c r="G90" s="278">
        <v>2551</v>
      </c>
      <c r="H90" s="278">
        <v>2058</v>
      </c>
      <c r="I90" s="278">
        <v>475</v>
      </c>
      <c r="J90" s="278">
        <v>2192</v>
      </c>
      <c r="K90" s="278">
        <v>1766</v>
      </c>
      <c r="L90" s="278">
        <v>408</v>
      </c>
      <c r="M90" s="278">
        <v>309</v>
      </c>
      <c r="N90" s="278">
        <v>2551</v>
      </c>
      <c r="O90" s="278">
        <v>2058</v>
      </c>
      <c r="P90" s="278">
        <v>475</v>
      </c>
      <c r="Q90" s="278">
        <v>2192</v>
      </c>
      <c r="R90" s="278">
        <v>1766</v>
      </c>
      <c r="S90" s="278">
        <v>408</v>
      </c>
    </row>
    <row r="91" spans="1:19">
      <c r="A91" s="241" t="s">
        <v>3159</v>
      </c>
      <c r="B91" s="241" t="s">
        <v>5303</v>
      </c>
      <c r="C91" s="241" t="s">
        <v>3172</v>
      </c>
      <c r="D91" s="241" t="s">
        <v>3233</v>
      </c>
      <c r="E91" s="241" t="s">
        <v>3252</v>
      </c>
      <c r="F91" s="278">
        <v>6</v>
      </c>
      <c r="G91" s="278">
        <v>1403</v>
      </c>
      <c r="H91" s="278">
        <v>1197</v>
      </c>
      <c r="I91" s="278">
        <v>206</v>
      </c>
      <c r="J91" s="278">
        <v>1403</v>
      </c>
      <c r="K91" s="278">
        <v>1197</v>
      </c>
      <c r="L91" s="278">
        <v>206</v>
      </c>
      <c r="M91" s="278">
        <v>6</v>
      </c>
      <c r="N91" s="278">
        <v>1403</v>
      </c>
      <c r="O91" s="278">
        <v>1197</v>
      </c>
      <c r="P91" s="278">
        <v>206</v>
      </c>
      <c r="Q91" s="278">
        <v>1403</v>
      </c>
      <c r="R91" s="278">
        <v>1197</v>
      </c>
      <c r="S91" s="278">
        <v>206</v>
      </c>
    </row>
    <row r="92" spans="1:19">
      <c r="A92" s="241" t="s">
        <v>3159</v>
      </c>
      <c r="B92" s="241" t="s">
        <v>5303</v>
      </c>
      <c r="C92" s="241" t="s">
        <v>3172</v>
      </c>
      <c r="D92" s="241" t="s">
        <v>3233</v>
      </c>
      <c r="E92" s="241" t="s">
        <v>3253</v>
      </c>
      <c r="F92" s="278">
        <v>1911</v>
      </c>
      <c r="G92" s="278">
        <v>22826</v>
      </c>
      <c r="H92" s="278">
        <v>16839</v>
      </c>
      <c r="I92" s="278">
        <v>5978</v>
      </c>
      <c r="J92" s="278">
        <v>19815</v>
      </c>
      <c r="K92" s="278">
        <v>14491</v>
      </c>
      <c r="L92" s="278">
        <v>5315</v>
      </c>
      <c r="M92" s="278">
        <v>1872</v>
      </c>
      <c r="N92" s="278">
        <v>22681</v>
      </c>
      <c r="O92" s="278">
        <v>16705</v>
      </c>
      <c r="P92" s="278">
        <v>5967</v>
      </c>
      <c r="Q92" s="278">
        <v>19670</v>
      </c>
      <c r="R92" s="278">
        <v>14357</v>
      </c>
      <c r="S92" s="278">
        <v>5304</v>
      </c>
    </row>
    <row r="93" spans="1:19">
      <c r="A93" s="241" t="s">
        <v>3159</v>
      </c>
      <c r="B93" s="241" t="s">
        <v>5303</v>
      </c>
      <c r="C93" s="241" t="s">
        <v>3170</v>
      </c>
      <c r="D93" s="241" t="s">
        <v>3233</v>
      </c>
      <c r="E93" s="241" t="s">
        <v>3254</v>
      </c>
      <c r="F93" s="278">
        <v>32577</v>
      </c>
      <c r="G93" s="278">
        <v>320303</v>
      </c>
      <c r="H93" s="278">
        <v>135072</v>
      </c>
      <c r="I93" s="278">
        <v>185135</v>
      </c>
      <c r="J93" s="278">
        <v>267092</v>
      </c>
      <c r="K93" s="278">
        <v>101713</v>
      </c>
      <c r="L93" s="278">
        <v>165285</v>
      </c>
      <c r="M93" s="278">
        <v>32577</v>
      </c>
      <c r="N93" s="278">
        <v>320303</v>
      </c>
      <c r="O93" s="278">
        <v>135072</v>
      </c>
      <c r="P93" s="278">
        <v>185135</v>
      </c>
      <c r="Q93" s="278">
        <v>267092</v>
      </c>
      <c r="R93" s="278">
        <v>101713</v>
      </c>
      <c r="S93" s="278">
        <v>165285</v>
      </c>
    </row>
    <row r="94" spans="1:19">
      <c r="A94" s="241" t="s">
        <v>3159</v>
      </c>
      <c r="B94" s="241" t="s">
        <v>5303</v>
      </c>
      <c r="C94" s="241" t="s">
        <v>3172</v>
      </c>
      <c r="D94" s="241" t="s">
        <v>3233</v>
      </c>
      <c r="E94" s="241" t="s">
        <v>3255</v>
      </c>
      <c r="F94" s="278">
        <v>252</v>
      </c>
      <c r="G94" s="278">
        <v>3412</v>
      </c>
      <c r="H94" s="278">
        <v>1946</v>
      </c>
      <c r="I94" s="278">
        <v>1466</v>
      </c>
      <c r="J94" s="278">
        <v>3176</v>
      </c>
      <c r="K94" s="278">
        <v>1773</v>
      </c>
      <c r="L94" s="278">
        <v>1403</v>
      </c>
      <c r="M94" s="278">
        <v>252</v>
      </c>
      <c r="N94" s="278">
        <v>3412</v>
      </c>
      <c r="O94" s="278">
        <v>1946</v>
      </c>
      <c r="P94" s="278">
        <v>1466</v>
      </c>
      <c r="Q94" s="278">
        <v>3176</v>
      </c>
      <c r="R94" s="278">
        <v>1773</v>
      </c>
      <c r="S94" s="278">
        <v>1403</v>
      </c>
    </row>
    <row r="95" spans="1:19">
      <c r="A95" s="241" t="s">
        <v>3159</v>
      </c>
      <c r="B95" s="241" t="s">
        <v>5303</v>
      </c>
      <c r="C95" s="241" t="s">
        <v>3172</v>
      </c>
      <c r="D95" s="241" t="s">
        <v>3233</v>
      </c>
      <c r="E95" s="241" t="s">
        <v>3256</v>
      </c>
      <c r="F95" s="278">
        <v>1769</v>
      </c>
      <c r="G95" s="278">
        <v>24264</v>
      </c>
      <c r="H95" s="278">
        <v>16226</v>
      </c>
      <c r="I95" s="278">
        <v>8034</v>
      </c>
      <c r="J95" s="278">
        <v>21427</v>
      </c>
      <c r="K95" s="278">
        <v>14360</v>
      </c>
      <c r="L95" s="278">
        <v>7063</v>
      </c>
      <c r="M95" s="278">
        <v>1769</v>
      </c>
      <c r="N95" s="278">
        <v>24264</v>
      </c>
      <c r="O95" s="278">
        <v>16226</v>
      </c>
      <c r="P95" s="278">
        <v>8034</v>
      </c>
      <c r="Q95" s="278">
        <v>21427</v>
      </c>
      <c r="R95" s="278">
        <v>14360</v>
      </c>
      <c r="S95" s="278">
        <v>7063</v>
      </c>
    </row>
    <row r="96" spans="1:19">
      <c r="A96" s="241" t="s">
        <v>3159</v>
      </c>
      <c r="B96" s="241" t="s">
        <v>5303</v>
      </c>
      <c r="C96" s="241" t="s">
        <v>3172</v>
      </c>
      <c r="D96" s="241" t="s">
        <v>3233</v>
      </c>
      <c r="E96" s="241" t="s">
        <v>3257</v>
      </c>
      <c r="F96" s="278">
        <v>4196</v>
      </c>
      <c r="G96" s="278">
        <v>25040</v>
      </c>
      <c r="H96" s="278">
        <v>12912</v>
      </c>
      <c r="I96" s="278">
        <v>12128</v>
      </c>
      <c r="J96" s="278">
        <v>18102</v>
      </c>
      <c r="K96" s="278">
        <v>8621</v>
      </c>
      <c r="L96" s="278">
        <v>9481</v>
      </c>
      <c r="M96" s="278">
        <v>4196</v>
      </c>
      <c r="N96" s="278">
        <v>25040</v>
      </c>
      <c r="O96" s="278">
        <v>12912</v>
      </c>
      <c r="P96" s="278">
        <v>12128</v>
      </c>
      <c r="Q96" s="278">
        <v>18102</v>
      </c>
      <c r="R96" s="278">
        <v>8621</v>
      </c>
      <c r="S96" s="278">
        <v>9481</v>
      </c>
    </row>
    <row r="97" spans="1:19">
      <c r="A97" s="241" t="s">
        <v>3159</v>
      </c>
      <c r="B97" s="241" t="s">
        <v>5303</v>
      </c>
      <c r="C97" s="241" t="s">
        <v>3172</v>
      </c>
      <c r="D97" s="241" t="s">
        <v>3233</v>
      </c>
      <c r="E97" s="241" t="s">
        <v>3258</v>
      </c>
      <c r="F97" s="278">
        <v>646</v>
      </c>
      <c r="G97" s="278">
        <v>5544</v>
      </c>
      <c r="H97" s="278">
        <v>3313</v>
      </c>
      <c r="I97" s="278">
        <v>2231</v>
      </c>
      <c r="J97" s="278">
        <v>4434</v>
      </c>
      <c r="K97" s="278">
        <v>2535</v>
      </c>
      <c r="L97" s="278">
        <v>1899</v>
      </c>
      <c r="M97" s="278">
        <v>646</v>
      </c>
      <c r="N97" s="278">
        <v>5544</v>
      </c>
      <c r="O97" s="278">
        <v>3313</v>
      </c>
      <c r="P97" s="278">
        <v>2231</v>
      </c>
      <c r="Q97" s="278">
        <v>4434</v>
      </c>
      <c r="R97" s="278">
        <v>2535</v>
      </c>
      <c r="S97" s="278">
        <v>1899</v>
      </c>
    </row>
    <row r="98" spans="1:19">
      <c r="A98" s="241" t="s">
        <v>3159</v>
      </c>
      <c r="B98" s="241" t="s">
        <v>5303</v>
      </c>
      <c r="C98" s="241" t="s">
        <v>3172</v>
      </c>
      <c r="D98" s="241" t="s">
        <v>3233</v>
      </c>
      <c r="E98" s="241" t="s">
        <v>3259</v>
      </c>
      <c r="F98" s="278">
        <v>2401</v>
      </c>
      <c r="G98" s="278">
        <v>26338</v>
      </c>
      <c r="H98" s="278">
        <v>16493</v>
      </c>
      <c r="I98" s="278">
        <v>9843</v>
      </c>
      <c r="J98" s="278">
        <v>22307</v>
      </c>
      <c r="K98" s="278">
        <v>13690</v>
      </c>
      <c r="L98" s="278">
        <v>8616</v>
      </c>
      <c r="M98" s="278">
        <v>2401</v>
      </c>
      <c r="N98" s="278">
        <v>26338</v>
      </c>
      <c r="O98" s="278">
        <v>16493</v>
      </c>
      <c r="P98" s="278">
        <v>9843</v>
      </c>
      <c r="Q98" s="278">
        <v>22307</v>
      </c>
      <c r="R98" s="278">
        <v>13690</v>
      </c>
      <c r="S98" s="278">
        <v>8616</v>
      </c>
    </row>
    <row r="99" spans="1:19">
      <c r="A99" s="241" t="s">
        <v>3159</v>
      </c>
      <c r="B99" s="241" t="s">
        <v>5303</v>
      </c>
      <c r="C99" s="241" t="s">
        <v>3172</v>
      </c>
      <c r="D99" s="241" t="s">
        <v>3233</v>
      </c>
      <c r="E99" s="241" t="s">
        <v>3260</v>
      </c>
      <c r="F99" s="278">
        <v>2464</v>
      </c>
      <c r="G99" s="278">
        <v>26662</v>
      </c>
      <c r="H99" s="278">
        <v>16360</v>
      </c>
      <c r="I99" s="278">
        <v>10296</v>
      </c>
      <c r="J99" s="278">
        <v>22594</v>
      </c>
      <c r="K99" s="278">
        <v>13649</v>
      </c>
      <c r="L99" s="278">
        <v>8940</v>
      </c>
      <c r="M99" s="278">
        <v>2464</v>
      </c>
      <c r="N99" s="278">
        <v>26662</v>
      </c>
      <c r="O99" s="278">
        <v>16360</v>
      </c>
      <c r="P99" s="278">
        <v>10296</v>
      </c>
      <c r="Q99" s="278">
        <v>22594</v>
      </c>
      <c r="R99" s="278">
        <v>13649</v>
      </c>
      <c r="S99" s="278">
        <v>8940</v>
      </c>
    </row>
    <row r="100" spans="1:19">
      <c r="A100" s="241" t="s">
        <v>3159</v>
      </c>
      <c r="B100" s="241" t="s">
        <v>5303</v>
      </c>
      <c r="C100" s="241" t="s">
        <v>3172</v>
      </c>
      <c r="D100" s="241" t="s">
        <v>3233</v>
      </c>
      <c r="E100" s="241" t="s">
        <v>3261</v>
      </c>
      <c r="F100" s="278">
        <v>9400</v>
      </c>
      <c r="G100" s="278">
        <v>103993</v>
      </c>
      <c r="H100" s="278">
        <v>26651</v>
      </c>
      <c r="I100" s="278">
        <v>77307</v>
      </c>
      <c r="J100" s="278">
        <v>89308</v>
      </c>
      <c r="K100" s="278">
        <v>17809</v>
      </c>
      <c r="L100" s="278">
        <v>71464</v>
      </c>
      <c r="M100" s="278">
        <v>9400</v>
      </c>
      <c r="N100" s="278">
        <v>103993</v>
      </c>
      <c r="O100" s="278">
        <v>26651</v>
      </c>
      <c r="P100" s="278">
        <v>77307</v>
      </c>
      <c r="Q100" s="278">
        <v>89308</v>
      </c>
      <c r="R100" s="278">
        <v>17809</v>
      </c>
      <c r="S100" s="278">
        <v>71464</v>
      </c>
    </row>
    <row r="101" spans="1:19">
      <c r="A101" s="241" t="s">
        <v>3159</v>
      </c>
      <c r="B101" s="241" t="s">
        <v>5303</v>
      </c>
      <c r="C101" s="241" t="s">
        <v>3172</v>
      </c>
      <c r="D101" s="241" t="s">
        <v>3233</v>
      </c>
      <c r="E101" s="241" t="s">
        <v>3262</v>
      </c>
      <c r="F101" s="278">
        <v>613</v>
      </c>
      <c r="G101" s="278">
        <v>10690</v>
      </c>
      <c r="H101" s="278">
        <v>2214</v>
      </c>
      <c r="I101" s="278">
        <v>8476</v>
      </c>
      <c r="J101" s="278">
        <v>9733</v>
      </c>
      <c r="K101" s="278">
        <v>1627</v>
      </c>
      <c r="L101" s="278">
        <v>8106</v>
      </c>
      <c r="M101" s="278">
        <v>613</v>
      </c>
      <c r="N101" s="278">
        <v>10690</v>
      </c>
      <c r="O101" s="278">
        <v>2214</v>
      </c>
      <c r="P101" s="278">
        <v>8476</v>
      </c>
      <c r="Q101" s="278">
        <v>9733</v>
      </c>
      <c r="R101" s="278">
        <v>1627</v>
      </c>
      <c r="S101" s="278">
        <v>8106</v>
      </c>
    </row>
    <row r="102" spans="1:19">
      <c r="A102" s="241" t="s">
        <v>3159</v>
      </c>
      <c r="B102" s="241" t="s">
        <v>5303</v>
      </c>
      <c r="C102" s="241" t="s">
        <v>3172</v>
      </c>
      <c r="D102" s="241" t="s">
        <v>3233</v>
      </c>
      <c r="E102" s="241" t="s">
        <v>3263</v>
      </c>
      <c r="F102" s="278">
        <v>3205</v>
      </c>
      <c r="G102" s="278">
        <v>23760</v>
      </c>
      <c r="H102" s="278">
        <v>8626</v>
      </c>
      <c r="I102" s="278">
        <v>15123</v>
      </c>
      <c r="J102" s="278">
        <v>18325</v>
      </c>
      <c r="K102" s="278">
        <v>5471</v>
      </c>
      <c r="L102" s="278">
        <v>12843</v>
      </c>
      <c r="M102" s="278">
        <v>3205</v>
      </c>
      <c r="N102" s="278">
        <v>23760</v>
      </c>
      <c r="O102" s="278">
        <v>8626</v>
      </c>
      <c r="P102" s="278">
        <v>15123</v>
      </c>
      <c r="Q102" s="278">
        <v>18325</v>
      </c>
      <c r="R102" s="278">
        <v>5471</v>
      </c>
      <c r="S102" s="278">
        <v>12843</v>
      </c>
    </row>
    <row r="103" spans="1:19">
      <c r="A103" s="241" t="s">
        <v>3159</v>
      </c>
      <c r="B103" s="241" t="s">
        <v>5303</v>
      </c>
      <c r="C103" s="241" t="s">
        <v>3172</v>
      </c>
      <c r="D103" s="241" t="s">
        <v>3233</v>
      </c>
      <c r="E103" s="241" t="s">
        <v>3264</v>
      </c>
      <c r="F103" s="278">
        <v>7631</v>
      </c>
      <c r="G103" s="278">
        <v>70600</v>
      </c>
      <c r="H103" s="278">
        <v>30331</v>
      </c>
      <c r="I103" s="278">
        <v>40231</v>
      </c>
      <c r="J103" s="278">
        <v>57686</v>
      </c>
      <c r="K103" s="278">
        <v>22178</v>
      </c>
      <c r="L103" s="278">
        <v>35470</v>
      </c>
      <c r="M103" s="278">
        <v>7631</v>
      </c>
      <c r="N103" s="278">
        <v>70600</v>
      </c>
      <c r="O103" s="278">
        <v>30331</v>
      </c>
      <c r="P103" s="278">
        <v>40231</v>
      </c>
      <c r="Q103" s="278">
        <v>57686</v>
      </c>
      <c r="R103" s="278">
        <v>22178</v>
      </c>
      <c r="S103" s="278">
        <v>35470</v>
      </c>
    </row>
    <row r="104" spans="1:19">
      <c r="A104" s="241" t="s">
        <v>3159</v>
      </c>
      <c r="B104" s="241" t="s">
        <v>5303</v>
      </c>
      <c r="C104" s="241" t="s">
        <v>3170</v>
      </c>
      <c r="D104" s="241" t="s">
        <v>3233</v>
      </c>
      <c r="E104" s="241" t="s">
        <v>3265</v>
      </c>
      <c r="F104" s="278">
        <v>11521</v>
      </c>
      <c r="G104" s="278">
        <v>112689</v>
      </c>
      <c r="H104" s="278">
        <v>88142</v>
      </c>
      <c r="I104" s="278">
        <v>24494</v>
      </c>
      <c r="J104" s="278">
        <v>94128</v>
      </c>
      <c r="K104" s="278">
        <v>74252</v>
      </c>
      <c r="L104" s="278">
        <v>19823</v>
      </c>
      <c r="M104" s="278">
        <v>11516</v>
      </c>
      <c r="N104" s="278">
        <v>112672</v>
      </c>
      <c r="O104" s="278">
        <v>88126</v>
      </c>
      <c r="P104" s="278">
        <v>24493</v>
      </c>
      <c r="Q104" s="278">
        <v>94111</v>
      </c>
      <c r="R104" s="278">
        <v>74236</v>
      </c>
      <c r="S104" s="278">
        <v>19822</v>
      </c>
    </row>
    <row r="105" spans="1:19">
      <c r="A105" s="241" t="s">
        <v>3159</v>
      </c>
      <c r="B105" s="241" t="s">
        <v>5303</v>
      </c>
      <c r="C105" s="241" t="s">
        <v>3172</v>
      </c>
      <c r="D105" s="241" t="s">
        <v>3233</v>
      </c>
      <c r="E105" s="241" t="s">
        <v>3266</v>
      </c>
      <c r="F105" s="278">
        <v>115</v>
      </c>
      <c r="G105" s="278">
        <v>852</v>
      </c>
      <c r="H105" s="278">
        <v>596</v>
      </c>
      <c r="I105" s="278">
        <v>256</v>
      </c>
      <c r="J105" s="278">
        <v>700</v>
      </c>
      <c r="K105" s="278">
        <v>477</v>
      </c>
      <c r="L105" s="278">
        <v>223</v>
      </c>
      <c r="M105" s="278">
        <v>115</v>
      </c>
      <c r="N105" s="278">
        <v>852</v>
      </c>
      <c r="O105" s="278">
        <v>596</v>
      </c>
      <c r="P105" s="278">
        <v>256</v>
      </c>
      <c r="Q105" s="278">
        <v>700</v>
      </c>
      <c r="R105" s="278">
        <v>477</v>
      </c>
      <c r="S105" s="278">
        <v>223</v>
      </c>
    </row>
    <row r="106" spans="1:19">
      <c r="A106" s="241" t="s">
        <v>3159</v>
      </c>
      <c r="B106" s="241" t="s">
        <v>5303</v>
      </c>
      <c r="C106" s="241" t="s">
        <v>3172</v>
      </c>
      <c r="D106" s="241" t="s">
        <v>3233</v>
      </c>
      <c r="E106" s="241" t="s">
        <v>3267</v>
      </c>
      <c r="F106" s="278">
        <v>5419</v>
      </c>
      <c r="G106" s="278">
        <v>42417</v>
      </c>
      <c r="H106" s="278">
        <v>33831</v>
      </c>
      <c r="I106" s="278">
        <v>8539</v>
      </c>
      <c r="J106" s="278">
        <v>33475</v>
      </c>
      <c r="K106" s="278">
        <v>27095</v>
      </c>
      <c r="L106" s="278">
        <v>6333</v>
      </c>
      <c r="M106" s="278">
        <v>5414</v>
      </c>
      <c r="N106" s="278">
        <v>42400</v>
      </c>
      <c r="O106" s="278">
        <v>33815</v>
      </c>
      <c r="P106" s="278">
        <v>8538</v>
      </c>
      <c r="Q106" s="278">
        <v>33458</v>
      </c>
      <c r="R106" s="278">
        <v>27079</v>
      </c>
      <c r="S106" s="278">
        <v>6332</v>
      </c>
    </row>
    <row r="107" spans="1:19">
      <c r="A107" s="241" t="s">
        <v>3159</v>
      </c>
      <c r="B107" s="241" t="s">
        <v>5303</v>
      </c>
      <c r="C107" s="241" t="s">
        <v>3172</v>
      </c>
      <c r="D107" s="241" t="s">
        <v>3233</v>
      </c>
      <c r="E107" s="241" t="s">
        <v>3268</v>
      </c>
      <c r="F107" s="278">
        <v>2572</v>
      </c>
      <c r="G107" s="278">
        <v>48915</v>
      </c>
      <c r="H107" s="278">
        <v>39956</v>
      </c>
      <c r="I107" s="278">
        <v>8956</v>
      </c>
      <c r="J107" s="278">
        <v>44670</v>
      </c>
      <c r="K107" s="278">
        <v>36673</v>
      </c>
      <c r="L107" s="278">
        <v>7994</v>
      </c>
      <c r="M107" s="278">
        <v>2572</v>
      </c>
      <c r="N107" s="278">
        <v>48915</v>
      </c>
      <c r="O107" s="278">
        <v>39956</v>
      </c>
      <c r="P107" s="278">
        <v>8956</v>
      </c>
      <c r="Q107" s="278">
        <v>44670</v>
      </c>
      <c r="R107" s="278">
        <v>36673</v>
      </c>
      <c r="S107" s="278">
        <v>7994</v>
      </c>
    </row>
    <row r="108" spans="1:19">
      <c r="A108" s="241" t="s">
        <v>3159</v>
      </c>
      <c r="B108" s="241" t="s">
        <v>5303</v>
      </c>
      <c r="C108" s="241" t="s">
        <v>3172</v>
      </c>
      <c r="D108" s="241" t="s">
        <v>3233</v>
      </c>
      <c r="E108" s="241" t="s">
        <v>3269</v>
      </c>
      <c r="F108" s="278">
        <v>1120</v>
      </c>
      <c r="G108" s="278">
        <v>7954</v>
      </c>
      <c r="H108" s="278">
        <v>5496</v>
      </c>
      <c r="I108" s="278">
        <v>2455</v>
      </c>
      <c r="J108" s="278">
        <v>6213</v>
      </c>
      <c r="K108" s="278">
        <v>4279</v>
      </c>
      <c r="L108" s="278">
        <v>1931</v>
      </c>
      <c r="M108" s="278">
        <v>1120</v>
      </c>
      <c r="N108" s="278">
        <v>7954</v>
      </c>
      <c r="O108" s="278">
        <v>5496</v>
      </c>
      <c r="P108" s="278">
        <v>2455</v>
      </c>
      <c r="Q108" s="278">
        <v>6213</v>
      </c>
      <c r="R108" s="278">
        <v>4279</v>
      </c>
      <c r="S108" s="278">
        <v>1931</v>
      </c>
    </row>
    <row r="109" spans="1:19">
      <c r="A109" s="241" t="s">
        <v>3159</v>
      </c>
      <c r="B109" s="241" t="s">
        <v>5303</v>
      </c>
      <c r="C109" s="241" t="s">
        <v>3172</v>
      </c>
      <c r="D109" s="241" t="s">
        <v>3233</v>
      </c>
      <c r="E109" s="241" t="s">
        <v>3270</v>
      </c>
      <c r="F109" s="278">
        <v>2295</v>
      </c>
      <c r="G109" s="278">
        <v>12551</v>
      </c>
      <c r="H109" s="278">
        <v>8263</v>
      </c>
      <c r="I109" s="278">
        <v>4288</v>
      </c>
      <c r="J109" s="278">
        <v>9070</v>
      </c>
      <c r="K109" s="278">
        <v>5728</v>
      </c>
      <c r="L109" s="278">
        <v>3342</v>
      </c>
      <c r="M109" s="278">
        <v>2295</v>
      </c>
      <c r="N109" s="278">
        <v>12551</v>
      </c>
      <c r="O109" s="278">
        <v>8263</v>
      </c>
      <c r="P109" s="278">
        <v>4288</v>
      </c>
      <c r="Q109" s="278">
        <v>9070</v>
      </c>
      <c r="R109" s="278">
        <v>5728</v>
      </c>
      <c r="S109" s="278">
        <v>3342</v>
      </c>
    </row>
    <row r="110" spans="1:19">
      <c r="A110" s="241" t="s">
        <v>3159</v>
      </c>
      <c r="B110" s="241" t="s">
        <v>5303</v>
      </c>
      <c r="C110" s="241" t="s">
        <v>3170</v>
      </c>
      <c r="D110" s="241" t="s">
        <v>3233</v>
      </c>
      <c r="E110" s="241" t="s">
        <v>3271</v>
      </c>
      <c r="F110" s="278">
        <v>17673</v>
      </c>
      <c r="G110" s="278">
        <v>124583</v>
      </c>
      <c r="H110" s="278">
        <v>90571</v>
      </c>
      <c r="I110" s="278">
        <v>33981</v>
      </c>
      <c r="J110" s="278">
        <v>97148</v>
      </c>
      <c r="K110" s="278">
        <v>69745</v>
      </c>
      <c r="L110" s="278">
        <v>27374</v>
      </c>
      <c r="M110" s="278">
        <v>17673</v>
      </c>
      <c r="N110" s="278">
        <v>124583</v>
      </c>
      <c r="O110" s="278">
        <v>90571</v>
      </c>
      <c r="P110" s="278">
        <v>33981</v>
      </c>
      <c r="Q110" s="278">
        <v>97148</v>
      </c>
      <c r="R110" s="278">
        <v>69745</v>
      </c>
      <c r="S110" s="278">
        <v>27374</v>
      </c>
    </row>
    <row r="111" spans="1:19">
      <c r="A111" s="241" t="s">
        <v>3159</v>
      </c>
      <c r="B111" s="241" t="s">
        <v>5303</v>
      </c>
      <c r="C111" s="241" t="s">
        <v>3172</v>
      </c>
      <c r="D111" s="241" t="s">
        <v>3233</v>
      </c>
      <c r="E111" s="241" t="s">
        <v>3272</v>
      </c>
      <c r="F111" s="278">
        <v>155</v>
      </c>
      <c r="G111" s="278">
        <v>1347</v>
      </c>
      <c r="H111" s="278">
        <v>986</v>
      </c>
      <c r="I111" s="278">
        <v>361</v>
      </c>
      <c r="J111" s="278">
        <v>1223</v>
      </c>
      <c r="K111" s="278">
        <v>909</v>
      </c>
      <c r="L111" s="278">
        <v>314</v>
      </c>
      <c r="M111" s="278">
        <v>155</v>
      </c>
      <c r="N111" s="278">
        <v>1347</v>
      </c>
      <c r="O111" s="278">
        <v>986</v>
      </c>
      <c r="P111" s="278">
        <v>361</v>
      </c>
      <c r="Q111" s="278">
        <v>1223</v>
      </c>
      <c r="R111" s="278">
        <v>909</v>
      </c>
      <c r="S111" s="278">
        <v>314</v>
      </c>
    </row>
    <row r="112" spans="1:19">
      <c r="A112" s="241" t="s">
        <v>3159</v>
      </c>
      <c r="B112" s="241" t="s">
        <v>5303</v>
      </c>
      <c r="C112" s="241" t="s">
        <v>3172</v>
      </c>
      <c r="D112" s="241" t="s">
        <v>3233</v>
      </c>
      <c r="E112" s="241" t="s">
        <v>3273</v>
      </c>
      <c r="F112" s="278">
        <v>7848</v>
      </c>
      <c r="G112" s="278">
        <v>73963</v>
      </c>
      <c r="H112" s="278">
        <v>55506</v>
      </c>
      <c r="I112" s="278">
        <v>18427</v>
      </c>
      <c r="J112" s="278">
        <v>61312</v>
      </c>
      <c r="K112" s="278">
        <v>46008</v>
      </c>
      <c r="L112" s="278">
        <v>15276</v>
      </c>
      <c r="M112" s="278">
        <v>7848</v>
      </c>
      <c r="N112" s="278">
        <v>73963</v>
      </c>
      <c r="O112" s="278">
        <v>55506</v>
      </c>
      <c r="P112" s="278">
        <v>18427</v>
      </c>
      <c r="Q112" s="278">
        <v>61312</v>
      </c>
      <c r="R112" s="278">
        <v>46008</v>
      </c>
      <c r="S112" s="278">
        <v>15276</v>
      </c>
    </row>
    <row r="113" spans="1:19">
      <c r="A113" s="241" t="s">
        <v>3159</v>
      </c>
      <c r="B113" s="241" t="s">
        <v>5303</v>
      </c>
      <c r="C113" s="241" t="s">
        <v>3172</v>
      </c>
      <c r="D113" s="241" t="s">
        <v>3233</v>
      </c>
      <c r="E113" s="241" t="s">
        <v>3274</v>
      </c>
      <c r="F113" s="278">
        <v>1089</v>
      </c>
      <c r="G113" s="278">
        <v>5681</v>
      </c>
      <c r="H113" s="278">
        <v>3461</v>
      </c>
      <c r="I113" s="278">
        <v>2220</v>
      </c>
      <c r="J113" s="278">
        <v>3995</v>
      </c>
      <c r="K113" s="278">
        <v>2238</v>
      </c>
      <c r="L113" s="278">
        <v>1757</v>
      </c>
      <c r="M113" s="278">
        <v>1089</v>
      </c>
      <c r="N113" s="278">
        <v>5681</v>
      </c>
      <c r="O113" s="278">
        <v>3461</v>
      </c>
      <c r="P113" s="278">
        <v>2220</v>
      </c>
      <c r="Q113" s="278">
        <v>3995</v>
      </c>
      <c r="R113" s="278">
        <v>2238</v>
      </c>
      <c r="S113" s="278">
        <v>1757</v>
      </c>
    </row>
    <row r="114" spans="1:19">
      <c r="A114" s="241" t="s">
        <v>3159</v>
      </c>
      <c r="B114" s="241" t="s">
        <v>5303</v>
      </c>
      <c r="C114" s="241" t="s">
        <v>3172</v>
      </c>
      <c r="D114" s="241" t="s">
        <v>3233</v>
      </c>
      <c r="E114" s="241" t="s">
        <v>3275</v>
      </c>
      <c r="F114" s="278">
        <v>6607</v>
      </c>
      <c r="G114" s="278">
        <v>23575</v>
      </c>
      <c r="H114" s="278">
        <v>17600</v>
      </c>
      <c r="I114" s="278">
        <v>5975</v>
      </c>
      <c r="J114" s="278">
        <v>13875</v>
      </c>
      <c r="K114" s="278">
        <v>9957</v>
      </c>
      <c r="L114" s="278">
        <v>3918</v>
      </c>
      <c r="M114" s="278">
        <v>6607</v>
      </c>
      <c r="N114" s="278">
        <v>23575</v>
      </c>
      <c r="O114" s="278">
        <v>17600</v>
      </c>
      <c r="P114" s="278">
        <v>5975</v>
      </c>
      <c r="Q114" s="278">
        <v>13875</v>
      </c>
      <c r="R114" s="278">
        <v>9957</v>
      </c>
      <c r="S114" s="278">
        <v>3918</v>
      </c>
    </row>
    <row r="115" spans="1:19">
      <c r="A115" s="241" t="s">
        <v>3159</v>
      </c>
      <c r="B115" s="241" t="s">
        <v>5303</v>
      </c>
      <c r="C115" s="241" t="s">
        <v>3172</v>
      </c>
      <c r="D115" s="241" t="s">
        <v>3233</v>
      </c>
      <c r="E115" s="241" t="s">
        <v>3276</v>
      </c>
      <c r="F115" s="278">
        <v>1974</v>
      </c>
      <c r="G115" s="278">
        <v>20017</v>
      </c>
      <c r="H115" s="278">
        <v>13018</v>
      </c>
      <c r="I115" s="278">
        <v>6998</v>
      </c>
      <c r="J115" s="278">
        <v>16743</v>
      </c>
      <c r="K115" s="278">
        <v>10633</v>
      </c>
      <c r="L115" s="278">
        <v>6109</v>
      </c>
      <c r="M115" s="278">
        <v>1974</v>
      </c>
      <c r="N115" s="278">
        <v>20017</v>
      </c>
      <c r="O115" s="278">
        <v>13018</v>
      </c>
      <c r="P115" s="278">
        <v>6998</v>
      </c>
      <c r="Q115" s="278">
        <v>16743</v>
      </c>
      <c r="R115" s="278">
        <v>10633</v>
      </c>
      <c r="S115" s="278">
        <v>6109</v>
      </c>
    </row>
    <row r="116" spans="1:19">
      <c r="A116" s="241" t="s">
        <v>3159</v>
      </c>
      <c r="B116" s="241" t="s">
        <v>5303</v>
      </c>
      <c r="C116" s="241" t="s">
        <v>3170</v>
      </c>
      <c r="D116" s="241" t="s">
        <v>3233</v>
      </c>
      <c r="E116" s="241" t="s">
        <v>3277</v>
      </c>
      <c r="F116" s="278">
        <v>9840</v>
      </c>
      <c r="G116" s="278">
        <v>212289</v>
      </c>
      <c r="H116" s="278">
        <v>148638</v>
      </c>
      <c r="I116" s="278">
        <v>63618</v>
      </c>
      <c r="J116" s="278">
        <v>195172</v>
      </c>
      <c r="K116" s="278">
        <v>136732</v>
      </c>
      <c r="L116" s="278">
        <v>58408</v>
      </c>
      <c r="M116" s="278">
        <v>9840</v>
      </c>
      <c r="N116" s="278">
        <v>212289</v>
      </c>
      <c r="O116" s="278">
        <v>148638</v>
      </c>
      <c r="P116" s="278">
        <v>63618</v>
      </c>
      <c r="Q116" s="278">
        <v>195172</v>
      </c>
      <c r="R116" s="278">
        <v>136732</v>
      </c>
      <c r="S116" s="278">
        <v>58408</v>
      </c>
    </row>
    <row r="117" spans="1:19">
      <c r="A117" s="241" t="s">
        <v>3159</v>
      </c>
      <c r="B117" s="241" t="s">
        <v>5303</v>
      </c>
      <c r="C117" s="241" t="s">
        <v>3172</v>
      </c>
      <c r="D117" s="241" t="s">
        <v>3233</v>
      </c>
      <c r="E117" s="241" t="s">
        <v>3278</v>
      </c>
      <c r="F117" s="278">
        <v>214</v>
      </c>
      <c r="G117" s="278">
        <v>3951</v>
      </c>
      <c r="H117" s="278">
        <v>2553</v>
      </c>
      <c r="I117" s="278">
        <v>1398</v>
      </c>
      <c r="J117" s="278">
        <v>3602</v>
      </c>
      <c r="K117" s="278">
        <v>2282</v>
      </c>
      <c r="L117" s="278">
        <v>1320</v>
      </c>
      <c r="M117" s="278">
        <v>214</v>
      </c>
      <c r="N117" s="278">
        <v>3951</v>
      </c>
      <c r="O117" s="278">
        <v>2553</v>
      </c>
      <c r="P117" s="278">
        <v>1398</v>
      </c>
      <c r="Q117" s="278">
        <v>3602</v>
      </c>
      <c r="R117" s="278">
        <v>2282</v>
      </c>
      <c r="S117" s="278">
        <v>1320</v>
      </c>
    </row>
    <row r="118" spans="1:19">
      <c r="A118" s="241" t="s">
        <v>3159</v>
      </c>
      <c r="B118" s="241" t="s">
        <v>5303</v>
      </c>
      <c r="C118" s="241" t="s">
        <v>3172</v>
      </c>
      <c r="D118" s="241" t="s">
        <v>3233</v>
      </c>
      <c r="E118" s="241" t="s">
        <v>3279</v>
      </c>
      <c r="F118" s="278">
        <v>57</v>
      </c>
      <c r="G118" s="278">
        <v>3187</v>
      </c>
      <c r="H118" s="278">
        <v>2879</v>
      </c>
      <c r="I118" s="278">
        <v>308</v>
      </c>
      <c r="J118" s="278">
        <v>3050</v>
      </c>
      <c r="K118" s="278">
        <v>2768</v>
      </c>
      <c r="L118" s="278">
        <v>282</v>
      </c>
      <c r="M118" s="278">
        <v>57</v>
      </c>
      <c r="N118" s="278">
        <v>3187</v>
      </c>
      <c r="O118" s="278">
        <v>2879</v>
      </c>
      <c r="P118" s="278">
        <v>308</v>
      </c>
      <c r="Q118" s="278">
        <v>3050</v>
      </c>
      <c r="R118" s="278">
        <v>2768</v>
      </c>
      <c r="S118" s="278">
        <v>282</v>
      </c>
    </row>
    <row r="119" spans="1:19">
      <c r="A119" s="241" t="s">
        <v>3159</v>
      </c>
      <c r="B119" s="241" t="s">
        <v>5303</v>
      </c>
      <c r="C119" s="241" t="s">
        <v>3172</v>
      </c>
      <c r="D119" s="241" t="s">
        <v>3233</v>
      </c>
      <c r="E119" s="241" t="s">
        <v>3280</v>
      </c>
      <c r="F119" s="278">
        <v>627</v>
      </c>
      <c r="G119" s="278">
        <v>31842</v>
      </c>
      <c r="H119" s="278">
        <v>27343</v>
      </c>
      <c r="I119" s="278">
        <v>4499</v>
      </c>
      <c r="J119" s="278">
        <v>30492</v>
      </c>
      <c r="K119" s="278">
        <v>26316</v>
      </c>
      <c r="L119" s="278">
        <v>4176</v>
      </c>
      <c r="M119" s="278">
        <v>627</v>
      </c>
      <c r="N119" s="278">
        <v>31842</v>
      </c>
      <c r="O119" s="278">
        <v>27343</v>
      </c>
      <c r="P119" s="278">
        <v>4499</v>
      </c>
      <c r="Q119" s="278">
        <v>30492</v>
      </c>
      <c r="R119" s="278">
        <v>26316</v>
      </c>
      <c r="S119" s="278">
        <v>4176</v>
      </c>
    </row>
    <row r="120" spans="1:19">
      <c r="A120" s="241" t="s">
        <v>3159</v>
      </c>
      <c r="B120" s="241" t="s">
        <v>5303</v>
      </c>
      <c r="C120" s="241" t="s">
        <v>3172</v>
      </c>
      <c r="D120" s="241" t="s">
        <v>3233</v>
      </c>
      <c r="E120" s="241" t="s">
        <v>3281</v>
      </c>
      <c r="F120" s="278">
        <v>570</v>
      </c>
      <c r="G120" s="278">
        <v>13055</v>
      </c>
      <c r="H120" s="278">
        <v>10222</v>
      </c>
      <c r="I120" s="278">
        <v>2833</v>
      </c>
      <c r="J120" s="278">
        <v>12183</v>
      </c>
      <c r="K120" s="278">
        <v>9586</v>
      </c>
      <c r="L120" s="278">
        <v>2597</v>
      </c>
      <c r="M120" s="278">
        <v>570</v>
      </c>
      <c r="N120" s="278">
        <v>13055</v>
      </c>
      <c r="O120" s="278">
        <v>10222</v>
      </c>
      <c r="P120" s="278">
        <v>2833</v>
      </c>
      <c r="Q120" s="278">
        <v>12183</v>
      </c>
      <c r="R120" s="278">
        <v>9586</v>
      </c>
      <c r="S120" s="278">
        <v>2597</v>
      </c>
    </row>
    <row r="121" spans="1:19">
      <c r="A121" s="241" t="s">
        <v>3159</v>
      </c>
      <c r="B121" s="241" t="s">
        <v>5303</v>
      </c>
      <c r="C121" s="241" t="s">
        <v>3172</v>
      </c>
      <c r="D121" s="241" t="s">
        <v>3233</v>
      </c>
      <c r="E121" s="241" t="s">
        <v>3282</v>
      </c>
      <c r="F121" s="278">
        <v>1484</v>
      </c>
      <c r="G121" s="278">
        <v>23085</v>
      </c>
      <c r="H121" s="278">
        <v>13123</v>
      </c>
      <c r="I121" s="278">
        <v>9962</v>
      </c>
      <c r="J121" s="278">
        <v>20605</v>
      </c>
      <c r="K121" s="278">
        <v>11504</v>
      </c>
      <c r="L121" s="278">
        <v>9101</v>
      </c>
      <c r="M121" s="278">
        <v>1484</v>
      </c>
      <c r="N121" s="278">
        <v>23085</v>
      </c>
      <c r="O121" s="278">
        <v>13123</v>
      </c>
      <c r="P121" s="278">
        <v>9962</v>
      </c>
      <c r="Q121" s="278">
        <v>20605</v>
      </c>
      <c r="R121" s="278">
        <v>11504</v>
      </c>
      <c r="S121" s="278">
        <v>9101</v>
      </c>
    </row>
    <row r="122" spans="1:19">
      <c r="A122" s="241" t="s">
        <v>3159</v>
      </c>
      <c r="B122" s="241" t="s">
        <v>5303</v>
      </c>
      <c r="C122" s="241" t="s">
        <v>3172</v>
      </c>
      <c r="D122" s="241" t="s">
        <v>3233</v>
      </c>
      <c r="E122" s="241" t="s">
        <v>3283</v>
      </c>
      <c r="F122" s="278">
        <v>5128</v>
      </c>
      <c r="G122" s="278">
        <v>97095</v>
      </c>
      <c r="H122" s="278">
        <v>65340</v>
      </c>
      <c r="I122" s="278">
        <v>31726</v>
      </c>
      <c r="J122" s="278">
        <v>88023</v>
      </c>
      <c r="K122" s="278">
        <v>59057</v>
      </c>
      <c r="L122" s="278">
        <v>28937</v>
      </c>
      <c r="M122" s="278">
        <v>5128</v>
      </c>
      <c r="N122" s="278">
        <v>97095</v>
      </c>
      <c r="O122" s="278">
        <v>65340</v>
      </c>
      <c r="P122" s="278">
        <v>31726</v>
      </c>
      <c r="Q122" s="278">
        <v>88023</v>
      </c>
      <c r="R122" s="278">
        <v>59057</v>
      </c>
      <c r="S122" s="278">
        <v>28937</v>
      </c>
    </row>
    <row r="123" spans="1:19">
      <c r="A123" s="241" t="s">
        <v>3159</v>
      </c>
      <c r="B123" s="241" t="s">
        <v>5303</v>
      </c>
      <c r="C123" s="241" t="s">
        <v>3172</v>
      </c>
      <c r="D123" s="241" t="s">
        <v>3233</v>
      </c>
      <c r="E123" s="241" t="s">
        <v>3284</v>
      </c>
      <c r="F123" s="278">
        <v>1760</v>
      </c>
      <c r="G123" s="278">
        <v>40074</v>
      </c>
      <c r="H123" s="278">
        <v>27178</v>
      </c>
      <c r="I123" s="278">
        <v>12892</v>
      </c>
      <c r="J123" s="278">
        <v>37217</v>
      </c>
      <c r="K123" s="278">
        <v>25219</v>
      </c>
      <c r="L123" s="278">
        <v>11995</v>
      </c>
      <c r="M123" s="278">
        <v>1760</v>
      </c>
      <c r="N123" s="278">
        <v>40074</v>
      </c>
      <c r="O123" s="278">
        <v>27178</v>
      </c>
      <c r="P123" s="278">
        <v>12892</v>
      </c>
      <c r="Q123" s="278">
        <v>37217</v>
      </c>
      <c r="R123" s="278">
        <v>25219</v>
      </c>
      <c r="S123" s="278">
        <v>11995</v>
      </c>
    </row>
    <row r="124" spans="1:19">
      <c r="A124" s="241" t="s">
        <v>3159</v>
      </c>
      <c r="B124" s="241" t="s">
        <v>5303</v>
      </c>
      <c r="C124" s="241" t="s">
        <v>3170</v>
      </c>
      <c r="D124" s="241" t="s">
        <v>3233</v>
      </c>
      <c r="E124" s="241" t="s">
        <v>3285</v>
      </c>
      <c r="F124" s="278">
        <v>26214</v>
      </c>
      <c r="G124" s="278">
        <v>326677</v>
      </c>
      <c r="H124" s="278">
        <v>220158</v>
      </c>
      <c r="I124" s="278">
        <v>106305</v>
      </c>
      <c r="J124" s="278">
        <v>282743</v>
      </c>
      <c r="K124" s="278">
        <v>189410</v>
      </c>
      <c r="L124" s="278">
        <v>93120</v>
      </c>
      <c r="M124" s="278">
        <v>26214</v>
      </c>
      <c r="N124" s="278">
        <v>326677</v>
      </c>
      <c r="O124" s="278">
        <v>220158</v>
      </c>
      <c r="P124" s="278">
        <v>106305</v>
      </c>
      <c r="Q124" s="278">
        <v>282743</v>
      </c>
      <c r="R124" s="278">
        <v>189410</v>
      </c>
      <c r="S124" s="278">
        <v>93120</v>
      </c>
    </row>
    <row r="125" spans="1:19">
      <c r="A125" s="241" t="s">
        <v>3159</v>
      </c>
      <c r="B125" s="241" t="s">
        <v>5303</v>
      </c>
      <c r="C125" s="241" t="s">
        <v>3172</v>
      </c>
      <c r="D125" s="241" t="s">
        <v>3233</v>
      </c>
      <c r="E125" s="241" t="s">
        <v>3286</v>
      </c>
      <c r="F125" s="278">
        <v>230</v>
      </c>
      <c r="G125" s="278">
        <v>4087</v>
      </c>
      <c r="H125" s="278">
        <v>3090</v>
      </c>
      <c r="I125" s="278">
        <v>997</v>
      </c>
      <c r="J125" s="278">
        <v>3753</v>
      </c>
      <c r="K125" s="278">
        <v>2824</v>
      </c>
      <c r="L125" s="278">
        <v>929</v>
      </c>
      <c r="M125" s="278">
        <v>230</v>
      </c>
      <c r="N125" s="278">
        <v>4087</v>
      </c>
      <c r="O125" s="278">
        <v>3090</v>
      </c>
      <c r="P125" s="278">
        <v>997</v>
      </c>
      <c r="Q125" s="278">
        <v>3753</v>
      </c>
      <c r="R125" s="278">
        <v>2824</v>
      </c>
      <c r="S125" s="278">
        <v>929</v>
      </c>
    </row>
    <row r="126" spans="1:19">
      <c r="A126" s="241" t="s">
        <v>3159</v>
      </c>
      <c r="B126" s="241" t="s">
        <v>5303</v>
      </c>
      <c r="C126" s="241" t="s">
        <v>3172</v>
      </c>
      <c r="D126" s="241" t="s">
        <v>3233</v>
      </c>
      <c r="E126" s="241" t="s">
        <v>3287</v>
      </c>
      <c r="F126" s="278">
        <v>21648</v>
      </c>
      <c r="G126" s="278">
        <v>273801</v>
      </c>
      <c r="H126" s="278">
        <v>184228</v>
      </c>
      <c r="I126" s="278">
        <v>89513</v>
      </c>
      <c r="J126" s="278">
        <v>237688</v>
      </c>
      <c r="K126" s="278">
        <v>158935</v>
      </c>
      <c r="L126" s="278">
        <v>78693</v>
      </c>
      <c r="M126" s="278">
        <v>21648</v>
      </c>
      <c r="N126" s="278">
        <v>273801</v>
      </c>
      <c r="O126" s="278">
        <v>184228</v>
      </c>
      <c r="P126" s="278">
        <v>89513</v>
      </c>
      <c r="Q126" s="278">
        <v>237688</v>
      </c>
      <c r="R126" s="278">
        <v>158935</v>
      </c>
      <c r="S126" s="278">
        <v>78693</v>
      </c>
    </row>
    <row r="127" spans="1:19">
      <c r="A127" s="241" t="s">
        <v>3159</v>
      </c>
      <c r="B127" s="241" t="s">
        <v>5303</v>
      </c>
      <c r="C127" s="241" t="s">
        <v>3172</v>
      </c>
      <c r="D127" s="241" t="s">
        <v>3233</v>
      </c>
      <c r="E127" s="241" t="s">
        <v>3288</v>
      </c>
      <c r="F127" s="278">
        <v>1300</v>
      </c>
      <c r="G127" s="278">
        <v>20284</v>
      </c>
      <c r="H127" s="278">
        <v>14732</v>
      </c>
      <c r="I127" s="278">
        <v>5530</v>
      </c>
      <c r="J127" s="278">
        <v>18264</v>
      </c>
      <c r="K127" s="278">
        <v>13253</v>
      </c>
      <c r="L127" s="278">
        <v>4990</v>
      </c>
      <c r="M127" s="278">
        <v>1300</v>
      </c>
      <c r="N127" s="278">
        <v>20284</v>
      </c>
      <c r="O127" s="278">
        <v>14732</v>
      </c>
      <c r="P127" s="278">
        <v>5530</v>
      </c>
      <c r="Q127" s="278">
        <v>18264</v>
      </c>
      <c r="R127" s="278">
        <v>13253</v>
      </c>
      <c r="S127" s="278">
        <v>4990</v>
      </c>
    </row>
    <row r="128" spans="1:19">
      <c r="A128" s="241" t="s">
        <v>3159</v>
      </c>
      <c r="B128" s="241" t="s">
        <v>5303</v>
      </c>
      <c r="C128" s="241" t="s">
        <v>3172</v>
      </c>
      <c r="D128" s="241" t="s">
        <v>3233</v>
      </c>
      <c r="E128" s="241" t="s">
        <v>3289</v>
      </c>
      <c r="F128" s="278">
        <v>2812</v>
      </c>
      <c r="G128" s="278">
        <v>26257</v>
      </c>
      <c r="H128" s="278">
        <v>16772</v>
      </c>
      <c r="I128" s="278">
        <v>9353</v>
      </c>
      <c r="J128" s="278">
        <v>21265</v>
      </c>
      <c r="K128" s="278">
        <v>13377</v>
      </c>
      <c r="L128" s="278">
        <v>7756</v>
      </c>
      <c r="M128" s="278">
        <v>2812</v>
      </c>
      <c r="N128" s="278">
        <v>26257</v>
      </c>
      <c r="O128" s="278">
        <v>16772</v>
      </c>
      <c r="P128" s="278">
        <v>9353</v>
      </c>
      <c r="Q128" s="278">
        <v>21265</v>
      </c>
      <c r="R128" s="278">
        <v>13377</v>
      </c>
      <c r="S128" s="278">
        <v>7756</v>
      </c>
    </row>
    <row r="129" spans="1:19">
      <c r="A129" s="241" t="s">
        <v>3159</v>
      </c>
      <c r="B129" s="241" t="s">
        <v>5303</v>
      </c>
      <c r="C129" s="241" t="s">
        <v>3172</v>
      </c>
      <c r="D129" s="241" t="s">
        <v>3233</v>
      </c>
      <c r="E129" s="241" t="s">
        <v>3290</v>
      </c>
      <c r="F129" s="278">
        <v>224</v>
      </c>
      <c r="G129" s="278">
        <v>2248</v>
      </c>
      <c r="H129" s="278">
        <v>1336</v>
      </c>
      <c r="I129" s="278">
        <v>912</v>
      </c>
      <c r="J129" s="278">
        <v>1773</v>
      </c>
      <c r="K129" s="278">
        <v>1021</v>
      </c>
      <c r="L129" s="278">
        <v>752</v>
      </c>
      <c r="M129" s="278">
        <v>224</v>
      </c>
      <c r="N129" s="278">
        <v>2248</v>
      </c>
      <c r="O129" s="278">
        <v>1336</v>
      </c>
      <c r="P129" s="278">
        <v>912</v>
      </c>
      <c r="Q129" s="278">
        <v>1773</v>
      </c>
      <c r="R129" s="278">
        <v>1021</v>
      </c>
      <c r="S129" s="278">
        <v>752</v>
      </c>
    </row>
    <row r="130" spans="1:19">
      <c r="A130" s="241" t="s">
        <v>3159</v>
      </c>
      <c r="B130" s="241" t="s">
        <v>5303</v>
      </c>
      <c r="C130" s="241" t="s">
        <v>3170</v>
      </c>
      <c r="D130" s="241" t="s">
        <v>3233</v>
      </c>
      <c r="E130" s="241" t="s">
        <v>3291</v>
      </c>
      <c r="F130" s="278">
        <v>9417</v>
      </c>
      <c r="G130" s="278">
        <v>453074</v>
      </c>
      <c r="H130" s="278">
        <v>322250</v>
      </c>
      <c r="I130" s="278">
        <v>130633</v>
      </c>
      <c r="J130" s="278">
        <v>437624</v>
      </c>
      <c r="K130" s="278">
        <v>311005</v>
      </c>
      <c r="L130" s="278">
        <v>126428</v>
      </c>
      <c r="M130" s="278">
        <v>9417</v>
      </c>
      <c r="N130" s="278">
        <v>453074</v>
      </c>
      <c r="O130" s="278">
        <v>322250</v>
      </c>
      <c r="P130" s="278">
        <v>130633</v>
      </c>
      <c r="Q130" s="278">
        <v>437624</v>
      </c>
      <c r="R130" s="278">
        <v>311005</v>
      </c>
      <c r="S130" s="278">
        <v>126428</v>
      </c>
    </row>
    <row r="131" spans="1:19">
      <c r="A131" s="241" t="s">
        <v>3159</v>
      </c>
      <c r="B131" s="241" t="s">
        <v>5303</v>
      </c>
      <c r="C131" s="241" t="s">
        <v>3172</v>
      </c>
      <c r="D131" s="241" t="s">
        <v>3233</v>
      </c>
      <c r="E131" s="241" t="s">
        <v>3292</v>
      </c>
      <c r="F131" s="278">
        <v>549</v>
      </c>
      <c r="G131" s="278">
        <v>30660</v>
      </c>
      <c r="H131" s="278">
        <v>19818</v>
      </c>
      <c r="I131" s="278">
        <v>10842</v>
      </c>
      <c r="J131" s="278">
        <v>29194</v>
      </c>
      <c r="K131" s="278">
        <v>18711</v>
      </c>
      <c r="L131" s="278">
        <v>10483</v>
      </c>
      <c r="M131" s="278">
        <v>549</v>
      </c>
      <c r="N131" s="278">
        <v>30660</v>
      </c>
      <c r="O131" s="278">
        <v>19818</v>
      </c>
      <c r="P131" s="278">
        <v>10842</v>
      </c>
      <c r="Q131" s="278">
        <v>29194</v>
      </c>
      <c r="R131" s="278">
        <v>18711</v>
      </c>
      <c r="S131" s="278">
        <v>10483</v>
      </c>
    </row>
    <row r="132" spans="1:19">
      <c r="A132" s="241" t="s">
        <v>3159</v>
      </c>
      <c r="B132" s="241" t="s">
        <v>5303</v>
      </c>
      <c r="C132" s="241" t="s">
        <v>3172</v>
      </c>
      <c r="D132" s="241" t="s">
        <v>3233</v>
      </c>
      <c r="E132" s="241" t="s">
        <v>3293</v>
      </c>
      <c r="F132" s="278">
        <v>288</v>
      </c>
      <c r="G132" s="278">
        <v>5286</v>
      </c>
      <c r="H132" s="278">
        <v>4428</v>
      </c>
      <c r="I132" s="278">
        <v>858</v>
      </c>
      <c r="J132" s="278">
        <v>4883</v>
      </c>
      <c r="K132" s="278">
        <v>4095</v>
      </c>
      <c r="L132" s="278">
        <v>788</v>
      </c>
      <c r="M132" s="278">
        <v>288</v>
      </c>
      <c r="N132" s="278">
        <v>5286</v>
      </c>
      <c r="O132" s="278">
        <v>4428</v>
      </c>
      <c r="P132" s="278">
        <v>858</v>
      </c>
      <c r="Q132" s="278">
        <v>4883</v>
      </c>
      <c r="R132" s="278">
        <v>4095</v>
      </c>
      <c r="S132" s="278">
        <v>788</v>
      </c>
    </row>
    <row r="133" spans="1:19">
      <c r="A133" s="241" t="s">
        <v>3159</v>
      </c>
      <c r="B133" s="241" t="s">
        <v>5303</v>
      </c>
      <c r="C133" s="241" t="s">
        <v>3172</v>
      </c>
      <c r="D133" s="241" t="s">
        <v>3233</v>
      </c>
      <c r="E133" s="241" t="s">
        <v>3294</v>
      </c>
      <c r="F133" s="278">
        <v>1450</v>
      </c>
      <c r="G133" s="278">
        <v>40302</v>
      </c>
      <c r="H133" s="278">
        <v>34201</v>
      </c>
      <c r="I133" s="278">
        <v>6101</v>
      </c>
      <c r="J133" s="278">
        <v>38532</v>
      </c>
      <c r="K133" s="278">
        <v>32761</v>
      </c>
      <c r="L133" s="278">
        <v>5771</v>
      </c>
      <c r="M133" s="278">
        <v>1450</v>
      </c>
      <c r="N133" s="278">
        <v>40302</v>
      </c>
      <c r="O133" s="278">
        <v>34201</v>
      </c>
      <c r="P133" s="278">
        <v>6101</v>
      </c>
      <c r="Q133" s="278">
        <v>38532</v>
      </c>
      <c r="R133" s="278">
        <v>32761</v>
      </c>
      <c r="S133" s="278">
        <v>5771</v>
      </c>
    </row>
    <row r="134" spans="1:19">
      <c r="A134" s="241" t="s">
        <v>3159</v>
      </c>
      <c r="B134" s="241" t="s">
        <v>5303</v>
      </c>
      <c r="C134" s="241" t="s">
        <v>3172</v>
      </c>
      <c r="D134" s="241" t="s">
        <v>3233</v>
      </c>
      <c r="E134" s="241" t="s">
        <v>3295</v>
      </c>
      <c r="F134" s="278">
        <v>1249</v>
      </c>
      <c r="G134" s="278">
        <v>100230</v>
      </c>
      <c r="H134" s="278">
        <v>88095</v>
      </c>
      <c r="I134" s="278">
        <v>12134</v>
      </c>
      <c r="J134" s="278">
        <v>98588</v>
      </c>
      <c r="K134" s="278">
        <v>86724</v>
      </c>
      <c r="L134" s="278">
        <v>11863</v>
      </c>
      <c r="M134" s="278">
        <v>1249</v>
      </c>
      <c r="N134" s="278">
        <v>100230</v>
      </c>
      <c r="O134" s="278">
        <v>88095</v>
      </c>
      <c r="P134" s="278">
        <v>12134</v>
      </c>
      <c r="Q134" s="278">
        <v>98588</v>
      </c>
      <c r="R134" s="278">
        <v>86724</v>
      </c>
      <c r="S134" s="278">
        <v>11863</v>
      </c>
    </row>
    <row r="135" spans="1:19">
      <c r="A135" s="241" t="s">
        <v>3159</v>
      </c>
      <c r="B135" s="241" t="s">
        <v>5303</v>
      </c>
      <c r="C135" s="241" t="s">
        <v>3172</v>
      </c>
      <c r="D135" s="241" t="s">
        <v>3233</v>
      </c>
      <c r="E135" s="241" t="s">
        <v>3296</v>
      </c>
      <c r="F135" s="278">
        <v>1551</v>
      </c>
      <c r="G135" s="278">
        <v>45831</v>
      </c>
      <c r="H135" s="278">
        <v>35169</v>
      </c>
      <c r="I135" s="278">
        <v>10659</v>
      </c>
      <c r="J135" s="278">
        <v>43370</v>
      </c>
      <c r="K135" s="278">
        <v>33387</v>
      </c>
      <c r="L135" s="278">
        <v>9980</v>
      </c>
      <c r="M135" s="278">
        <v>1551</v>
      </c>
      <c r="N135" s="278">
        <v>45831</v>
      </c>
      <c r="O135" s="278">
        <v>35169</v>
      </c>
      <c r="P135" s="278">
        <v>10659</v>
      </c>
      <c r="Q135" s="278">
        <v>43370</v>
      </c>
      <c r="R135" s="278">
        <v>33387</v>
      </c>
      <c r="S135" s="278">
        <v>9980</v>
      </c>
    </row>
    <row r="136" spans="1:19">
      <c r="A136" s="241" t="s">
        <v>3159</v>
      </c>
      <c r="B136" s="241" t="s">
        <v>5303</v>
      </c>
      <c r="C136" s="241" t="s">
        <v>3172</v>
      </c>
      <c r="D136" s="241" t="s">
        <v>3233</v>
      </c>
      <c r="E136" s="241" t="s">
        <v>3297</v>
      </c>
      <c r="F136" s="278">
        <v>1352</v>
      </c>
      <c r="G136" s="278">
        <v>118010</v>
      </c>
      <c r="H136" s="278">
        <v>74505</v>
      </c>
      <c r="I136" s="278">
        <v>43329</v>
      </c>
      <c r="J136" s="278">
        <v>115377</v>
      </c>
      <c r="K136" s="278">
        <v>72611</v>
      </c>
      <c r="L136" s="278">
        <v>42590</v>
      </c>
      <c r="M136" s="278">
        <v>1352</v>
      </c>
      <c r="N136" s="278">
        <v>118010</v>
      </c>
      <c r="O136" s="278">
        <v>74505</v>
      </c>
      <c r="P136" s="278">
        <v>43329</v>
      </c>
      <c r="Q136" s="278">
        <v>115377</v>
      </c>
      <c r="R136" s="278">
        <v>72611</v>
      </c>
      <c r="S136" s="278">
        <v>42590</v>
      </c>
    </row>
    <row r="137" spans="1:19">
      <c r="A137" s="241" t="s">
        <v>3159</v>
      </c>
      <c r="B137" s="241" t="s">
        <v>5303</v>
      </c>
      <c r="C137" s="241" t="s">
        <v>3172</v>
      </c>
      <c r="D137" s="241" t="s">
        <v>3233</v>
      </c>
      <c r="E137" s="241" t="s">
        <v>3298</v>
      </c>
      <c r="F137" s="278">
        <v>1360</v>
      </c>
      <c r="G137" s="278">
        <v>57924</v>
      </c>
      <c r="H137" s="278">
        <v>24521</v>
      </c>
      <c r="I137" s="278">
        <v>33395</v>
      </c>
      <c r="J137" s="278">
        <v>55346</v>
      </c>
      <c r="K137" s="278">
        <v>23060</v>
      </c>
      <c r="L137" s="278">
        <v>32278</v>
      </c>
      <c r="M137" s="278">
        <v>1360</v>
      </c>
      <c r="N137" s="278">
        <v>57924</v>
      </c>
      <c r="O137" s="278">
        <v>24521</v>
      </c>
      <c r="P137" s="278">
        <v>33395</v>
      </c>
      <c r="Q137" s="278">
        <v>55346</v>
      </c>
      <c r="R137" s="278">
        <v>23060</v>
      </c>
      <c r="S137" s="278">
        <v>32278</v>
      </c>
    </row>
    <row r="138" spans="1:19">
      <c r="A138" s="241" t="s">
        <v>3159</v>
      </c>
      <c r="B138" s="241" t="s">
        <v>5303</v>
      </c>
      <c r="C138" s="241" t="s">
        <v>3172</v>
      </c>
      <c r="D138" s="241" t="s">
        <v>3233</v>
      </c>
      <c r="E138" s="241" t="s">
        <v>3299</v>
      </c>
      <c r="F138" s="278">
        <v>1618</v>
      </c>
      <c r="G138" s="278">
        <v>54831</v>
      </c>
      <c r="H138" s="278">
        <v>41513</v>
      </c>
      <c r="I138" s="278">
        <v>13315</v>
      </c>
      <c r="J138" s="278">
        <v>52334</v>
      </c>
      <c r="K138" s="278">
        <v>39656</v>
      </c>
      <c r="L138" s="278">
        <v>12675</v>
      </c>
      <c r="M138" s="278">
        <v>1618</v>
      </c>
      <c r="N138" s="278">
        <v>54831</v>
      </c>
      <c r="O138" s="278">
        <v>41513</v>
      </c>
      <c r="P138" s="278">
        <v>13315</v>
      </c>
      <c r="Q138" s="278">
        <v>52334</v>
      </c>
      <c r="R138" s="278">
        <v>39656</v>
      </c>
      <c r="S138" s="278">
        <v>12675</v>
      </c>
    </row>
    <row r="139" spans="1:19">
      <c r="A139" s="241" t="s">
        <v>3159</v>
      </c>
      <c r="B139" s="241" t="s">
        <v>5303</v>
      </c>
      <c r="C139" s="241" t="s">
        <v>3170</v>
      </c>
      <c r="D139" s="241" t="s">
        <v>3233</v>
      </c>
      <c r="E139" s="241" t="s">
        <v>3300</v>
      </c>
      <c r="F139" s="278">
        <v>1709</v>
      </c>
      <c r="G139" s="278">
        <v>31971</v>
      </c>
      <c r="H139" s="278">
        <v>27630</v>
      </c>
      <c r="I139" s="278">
        <v>4338</v>
      </c>
      <c r="J139" s="278">
        <v>30584</v>
      </c>
      <c r="K139" s="278">
        <v>26462</v>
      </c>
      <c r="L139" s="278">
        <v>4119</v>
      </c>
      <c r="M139" s="278">
        <v>1709</v>
      </c>
      <c r="N139" s="278">
        <v>31971</v>
      </c>
      <c r="O139" s="278">
        <v>27630</v>
      </c>
      <c r="P139" s="278">
        <v>4338</v>
      </c>
      <c r="Q139" s="278">
        <v>30584</v>
      </c>
      <c r="R139" s="278">
        <v>26462</v>
      </c>
      <c r="S139" s="278">
        <v>4119</v>
      </c>
    </row>
    <row r="140" spans="1:19">
      <c r="A140" s="241" t="s">
        <v>3159</v>
      </c>
      <c r="B140" s="241" t="s">
        <v>5303</v>
      </c>
      <c r="C140" s="241" t="s">
        <v>3172</v>
      </c>
      <c r="D140" s="241" t="s">
        <v>3233</v>
      </c>
      <c r="E140" s="241" t="s">
        <v>3301</v>
      </c>
      <c r="F140" s="278">
        <v>60</v>
      </c>
      <c r="G140" s="278">
        <v>2693</v>
      </c>
      <c r="H140" s="278">
        <v>2140</v>
      </c>
      <c r="I140" s="278">
        <v>553</v>
      </c>
      <c r="J140" s="278">
        <v>2598</v>
      </c>
      <c r="K140" s="278">
        <v>2052</v>
      </c>
      <c r="L140" s="278">
        <v>546</v>
      </c>
      <c r="M140" s="278">
        <v>60</v>
      </c>
      <c r="N140" s="278">
        <v>2693</v>
      </c>
      <c r="O140" s="278">
        <v>2140</v>
      </c>
      <c r="P140" s="278">
        <v>553</v>
      </c>
      <c r="Q140" s="278">
        <v>2598</v>
      </c>
      <c r="R140" s="278">
        <v>2052</v>
      </c>
      <c r="S140" s="278">
        <v>546</v>
      </c>
    </row>
    <row r="141" spans="1:19">
      <c r="A141" s="241" t="s">
        <v>3159</v>
      </c>
      <c r="B141" s="241" t="s">
        <v>5303</v>
      </c>
      <c r="C141" s="241" t="s">
        <v>3172</v>
      </c>
      <c r="D141" s="241" t="s">
        <v>3233</v>
      </c>
      <c r="E141" s="241" t="s">
        <v>3302</v>
      </c>
      <c r="F141" s="278">
        <v>56</v>
      </c>
      <c r="G141" s="278">
        <v>11928</v>
      </c>
      <c r="H141" s="278">
        <v>11141</v>
      </c>
      <c r="I141" s="278">
        <v>787</v>
      </c>
      <c r="J141" s="278">
        <v>11874</v>
      </c>
      <c r="K141" s="278">
        <v>11090</v>
      </c>
      <c r="L141" s="278">
        <v>784</v>
      </c>
      <c r="M141" s="278">
        <v>56</v>
      </c>
      <c r="N141" s="278">
        <v>11928</v>
      </c>
      <c r="O141" s="278">
        <v>11141</v>
      </c>
      <c r="P141" s="278">
        <v>787</v>
      </c>
      <c r="Q141" s="278">
        <v>11874</v>
      </c>
      <c r="R141" s="278">
        <v>11090</v>
      </c>
      <c r="S141" s="278">
        <v>784</v>
      </c>
    </row>
    <row r="142" spans="1:19">
      <c r="A142" s="241" t="s">
        <v>3159</v>
      </c>
      <c r="B142" s="241" t="s">
        <v>5303</v>
      </c>
      <c r="C142" s="241" t="s">
        <v>3172</v>
      </c>
      <c r="D142" s="241" t="s">
        <v>3233</v>
      </c>
      <c r="E142" s="241" t="s">
        <v>3303</v>
      </c>
      <c r="F142" s="278">
        <v>167</v>
      </c>
      <c r="G142" s="278">
        <v>4363</v>
      </c>
      <c r="H142" s="278">
        <v>3473</v>
      </c>
      <c r="I142" s="278">
        <v>890</v>
      </c>
      <c r="J142" s="278">
        <v>4110</v>
      </c>
      <c r="K142" s="278">
        <v>3275</v>
      </c>
      <c r="L142" s="278">
        <v>835</v>
      </c>
      <c r="M142" s="278">
        <v>167</v>
      </c>
      <c r="N142" s="278">
        <v>4363</v>
      </c>
      <c r="O142" s="278">
        <v>3473</v>
      </c>
      <c r="P142" s="278">
        <v>890</v>
      </c>
      <c r="Q142" s="278">
        <v>4110</v>
      </c>
      <c r="R142" s="278">
        <v>3275</v>
      </c>
      <c r="S142" s="278">
        <v>835</v>
      </c>
    </row>
    <row r="143" spans="1:19">
      <c r="A143" s="241" t="s">
        <v>3159</v>
      </c>
      <c r="B143" s="241" t="s">
        <v>5303</v>
      </c>
      <c r="C143" s="241" t="s">
        <v>3172</v>
      </c>
      <c r="D143" s="241" t="s">
        <v>3233</v>
      </c>
      <c r="E143" s="241" t="s">
        <v>3304</v>
      </c>
      <c r="F143" s="278">
        <v>12</v>
      </c>
      <c r="G143" s="278">
        <v>1747</v>
      </c>
      <c r="H143" s="278">
        <v>1643</v>
      </c>
      <c r="I143" s="278">
        <v>104</v>
      </c>
      <c r="J143" s="278">
        <v>1718</v>
      </c>
      <c r="K143" s="278">
        <v>1619</v>
      </c>
      <c r="L143" s="278">
        <v>99</v>
      </c>
      <c r="M143" s="278">
        <v>12</v>
      </c>
      <c r="N143" s="278">
        <v>1747</v>
      </c>
      <c r="O143" s="278">
        <v>1643</v>
      </c>
      <c r="P143" s="278">
        <v>104</v>
      </c>
      <c r="Q143" s="278">
        <v>1718</v>
      </c>
      <c r="R143" s="278">
        <v>1619</v>
      </c>
      <c r="S143" s="278">
        <v>99</v>
      </c>
    </row>
    <row r="144" spans="1:19">
      <c r="A144" s="241" t="s">
        <v>3159</v>
      </c>
      <c r="B144" s="241" t="s">
        <v>5303</v>
      </c>
      <c r="C144" s="241" t="s">
        <v>3172</v>
      </c>
      <c r="D144" s="241" t="s">
        <v>3233</v>
      </c>
      <c r="E144" s="241" t="s">
        <v>3305</v>
      </c>
      <c r="F144" s="278">
        <v>1199</v>
      </c>
      <c r="G144" s="278">
        <v>7999</v>
      </c>
      <c r="H144" s="278">
        <v>6484</v>
      </c>
      <c r="I144" s="278">
        <v>1515</v>
      </c>
      <c r="J144" s="278">
        <v>7379</v>
      </c>
      <c r="K144" s="278">
        <v>5931</v>
      </c>
      <c r="L144" s="278">
        <v>1448</v>
      </c>
      <c r="M144" s="278">
        <v>1199</v>
      </c>
      <c r="N144" s="278">
        <v>7999</v>
      </c>
      <c r="O144" s="278">
        <v>6484</v>
      </c>
      <c r="P144" s="278">
        <v>1515</v>
      </c>
      <c r="Q144" s="278">
        <v>7379</v>
      </c>
      <c r="R144" s="278">
        <v>5931</v>
      </c>
      <c r="S144" s="278">
        <v>1448</v>
      </c>
    </row>
    <row r="145" spans="1:19">
      <c r="A145" s="241" t="s">
        <v>3159</v>
      </c>
      <c r="B145" s="241" t="s">
        <v>5303</v>
      </c>
      <c r="C145" s="241" t="s">
        <v>3172</v>
      </c>
      <c r="D145" s="241" t="s">
        <v>3233</v>
      </c>
      <c r="E145" s="241" t="s">
        <v>3306</v>
      </c>
      <c r="F145" s="278">
        <v>215</v>
      </c>
      <c r="G145" s="278">
        <v>3241</v>
      </c>
      <c r="H145" s="278">
        <v>2749</v>
      </c>
      <c r="I145" s="278">
        <v>489</v>
      </c>
      <c r="J145" s="278">
        <v>2905</v>
      </c>
      <c r="K145" s="278">
        <v>2495</v>
      </c>
      <c r="L145" s="278">
        <v>407</v>
      </c>
      <c r="M145" s="278">
        <v>215</v>
      </c>
      <c r="N145" s="278">
        <v>3241</v>
      </c>
      <c r="O145" s="278">
        <v>2749</v>
      </c>
      <c r="P145" s="278">
        <v>489</v>
      </c>
      <c r="Q145" s="278">
        <v>2905</v>
      </c>
      <c r="R145" s="278">
        <v>2495</v>
      </c>
      <c r="S145" s="278">
        <v>407</v>
      </c>
    </row>
    <row r="146" spans="1:19">
      <c r="A146" s="241" t="s">
        <v>3159</v>
      </c>
      <c r="B146" s="241" t="s">
        <v>5303</v>
      </c>
      <c r="C146" s="241" t="s">
        <v>3170</v>
      </c>
      <c r="D146" s="241" t="s">
        <v>3233</v>
      </c>
      <c r="E146" s="241" t="s">
        <v>3307</v>
      </c>
      <c r="F146" s="278">
        <v>22060</v>
      </c>
      <c r="G146" s="278">
        <v>494945</v>
      </c>
      <c r="H146" s="278">
        <v>325124</v>
      </c>
      <c r="I146" s="278">
        <v>169679</v>
      </c>
      <c r="J146" s="278">
        <v>456954</v>
      </c>
      <c r="K146" s="278">
        <v>298755</v>
      </c>
      <c r="L146" s="278">
        <v>158062</v>
      </c>
      <c r="M146" s="278">
        <v>22060</v>
      </c>
      <c r="N146" s="278">
        <v>494945</v>
      </c>
      <c r="O146" s="278">
        <v>325124</v>
      </c>
      <c r="P146" s="278">
        <v>169679</v>
      </c>
      <c r="Q146" s="278">
        <v>456954</v>
      </c>
      <c r="R146" s="278">
        <v>298755</v>
      </c>
      <c r="S146" s="278">
        <v>158062</v>
      </c>
    </row>
    <row r="147" spans="1:19">
      <c r="A147" s="241" t="s">
        <v>3159</v>
      </c>
      <c r="B147" s="241" t="s">
        <v>5303</v>
      </c>
      <c r="C147" s="241" t="s">
        <v>3172</v>
      </c>
      <c r="D147" s="241" t="s">
        <v>3233</v>
      </c>
      <c r="E147" s="241" t="s">
        <v>3308</v>
      </c>
      <c r="F147" s="278">
        <v>458</v>
      </c>
      <c r="G147" s="278">
        <v>8201</v>
      </c>
      <c r="H147" s="278">
        <v>5714</v>
      </c>
      <c r="I147" s="278">
        <v>2487</v>
      </c>
      <c r="J147" s="278">
        <v>7485</v>
      </c>
      <c r="K147" s="278">
        <v>5170</v>
      </c>
      <c r="L147" s="278">
        <v>2315</v>
      </c>
      <c r="M147" s="278">
        <v>458</v>
      </c>
      <c r="N147" s="278">
        <v>8201</v>
      </c>
      <c r="O147" s="278">
        <v>5714</v>
      </c>
      <c r="P147" s="278">
        <v>2487</v>
      </c>
      <c r="Q147" s="278">
        <v>7485</v>
      </c>
      <c r="R147" s="278">
        <v>5170</v>
      </c>
      <c r="S147" s="278">
        <v>2315</v>
      </c>
    </row>
    <row r="148" spans="1:19">
      <c r="A148" s="241" t="s">
        <v>3159</v>
      </c>
      <c r="B148" s="241" t="s">
        <v>5303</v>
      </c>
      <c r="C148" s="241" t="s">
        <v>3172</v>
      </c>
      <c r="D148" s="241" t="s">
        <v>3233</v>
      </c>
      <c r="E148" s="241" t="s">
        <v>3309</v>
      </c>
      <c r="F148" s="278">
        <v>1813</v>
      </c>
      <c r="G148" s="278">
        <v>33867</v>
      </c>
      <c r="H148" s="278">
        <v>24463</v>
      </c>
      <c r="I148" s="278">
        <v>9404</v>
      </c>
      <c r="J148" s="278">
        <v>30874</v>
      </c>
      <c r="K148" s="278">
        <v>22312</v>
      </c>
      <c r="L148" s="278">
        <v>8562</v>
      </c>
      <c r="M148" s="278">
        <v>1813</v>
      </c>
      <c r="N148" s="278">
        <v>33867</v>
      </c>
      <c r="O148" s="278">
        <v>24463</v>
      </c>
      <c r="P148" s="278">
        <v>9404</v>
      </c>
      <c r="Q148" s="278">
        <v>30874</v>
      </c>
      <c r="R148" s="278">
        <v>22312</v>
      </c>
      <c r="S148" s="278">
        <v>8562</v>
      </c>
    </row>
    <row r="149" spans="1:19">
      <c r="A149" s="241" t="s">
        <v>3159</v>
      </c>
      <c r="B149" s="241" t="s">
        <v>5303</v>
      </c>
      <c r="C149" s="241" t="s">
        <v>3172</v>
      </c>
      <c r="D149" s="241" t="s">
        <v>3233</v>
      </c>
      <c r="E149" s="241" t="s">
        <v>3310</v>
      </c>
      <c r="F149" s="278">
        <v>3315</v>
      </c>
      <c r="G149" s="278">
        <v>95985</v>
      </c>
      <c r="H149" s="278">
        <v>70714</v>
      </c>
      <c r="I149" s="278">
        <v>25258</v>
      </c>
      <c r="J149" s="278">
        <v>90475</v>
      </c>
      <c r="K149" s="278">
        <v>66797</v>
      </c>
      <c r="L149" s="278">
        <v>23665</v>
      </c>
      <c r="M149" s="278">
        <v>3315</v>
      </c>
      <c r="N149" s="278">
        <v>95985</v>
      </c>
      <c r="O149" s="278">
        <v>70714</v>
      </c>
      <c r="P149" s="278">
        <v>25258</v>
      </c>
      <c r="Q149" s="278">
        <v>90475</v>
      </c>
      <c r="R149" s="278">
        <v>66797</v>
      </c>
      <c r="S149" s="278">
        <v>23665</v>
      </c>
    </row>
    <row r="150" spans="1:19">
      <c r="A150" s="241" t="s">
        <v>3159</v>
      </c>
      <c r="B150" s="241" t="s">
        <v>5303</v>
      </c>
      <c r="C150" s="241" t="s">
        <v>3172</v>
      </c>
      <c r="D150" s="241" t="s">
        <v>3233</v>
      </c>
      <c r="E150" s="241" t="s">
        <v>3311</v>
      </c>
      <c r="F150" s="278">
        <v>7023</v>
      </c>
      <c r="G150" s="278">
        <v>168167</v>
      </c>
      <c r="H150" s="278">
        <v>102807</v>
      </c>
      <c r="I150" s="278">
        <v>65283</v>
      </c>
      <c r="J150" s="278">
        <v>155147</v>
      </c>
      <c r="K150" s="278">
        <v>93843</v>
      </c>
      <c r="L150" s="278">
        <v>61231</v>
      </c>
      <c r="M150" s="278">
        <v>7023</v>
      </c>
      <c r="N150" s="278">
        <v>168167</v>
      </c>
      <c r="O150" s="278">
        <v>102807</v>
      </c>
      <c r="P150" s="278">
        <v>65283</v>
      </c>
      <c r="Q150" s="278">
        <v>155147</v>
      </c>
      <c r="R150" s="278">
        <v>93843</v>
      </c>
      <c r="S150" s="278">
        <v>61231</v>
      </c>
    </row>
    <row r="151" spans="1:19">
      <c r="A151" s="241" t="s">
        <v>3159</v>
      </c>
      <c r="B151" s="241" t="s">
        <v>5303</v>
      </c>
      <c r="C151" s="241" t="s">
        <v>3172</v>
      </c>
      <c r="D151" s="241" t="s">
        <v>3233</v>
      </c>
      <c r="E151" s="241" t="s">
        <v>3312</v>
      </c>
      <c r="F151" s="278">
        <v>2135</v>
      </c>
      <c r="G151" s="278">
        <v>38678</v>
      </c>
      <c r="H151" s="278">
        <v>26647</v>
      </c>
      <c r="I151" s="278">
        <v>12016</v>
      </c>
      <c r="J151" s="278">
        <v>35308</v>
      </c>
      <c r="K151" s="278">
        <v>24231</v>
      </c>
      <c r="L151" s="278">
        <v>11062</v>
      </c>
      <c r="M151" s="278">
        <v>2135</v>
      </c>
      <c r="N151" s="278">
        <v>38678</v>
      </c>
      <c r="O151" s="278">
        <v>26647</v>
      </c>
      <c r="P151" s="278">
        <v>12016</v>
      </c>
      <c r="Q151" s="278">
        <v>35308</v>
      </c>
      <c r="R151" s="278">
        <v>24231</v>
      </c>
      <c r="S151" s="278">
        <v>11062</v>
      </c>
    </row>
    <row r="152" spans="1:19">
      <c r="A152" s="241" t="s">
        <v>3159</v>
      </c>
      <c r="B152" s="241" t="s">
        <v>5303</v>
      </c>
      <c r="C152" s="241" t="s">
        <v>3172</v>
      </c>
      <c r="D152" s="241" t="s">
        <v>3233</v>
      </c>
      <c r="E152" s="241" t="s">
        <v>3313</v>
      </c>
      <c r="F152" s="278">
        <v>1439</v>
      </c>
      <c r="G152" s="278">
        <v>20992</v>
      </c>
      <c r="H152" s="278">
        <v>16772</v>
      </c>
      <c r="I152" s="278">
        <v>4220</v>
      </c>
      <c r="J152" s="278">
        <v>18897</v>
      </c>
      <c r="K152" s="278">
        <v>15233</v>
      </c>
      <c r="L152" s="278">
        <v>3664</v>
      </c>
      <c r="M152" s="278">
        <v>1439</v>
      </c>
      <c r="N152" s="278">
        <v>20992</v>
      </c>
      <c r="O152" s="278">
        <v>16772</v>
      </c>
      <c r="P152" s="278">
        <v>4220</v>
      </c>
      <c r="Q152" s="278">
        <v>18897</v>
      </c>
      <c r="R152" s="278">
        <v>15233</v>
      </c>
      <c r="S152" s="278">
        <v>3664</v>
      </c>
    </row>
    <row r="153" spans="1:19">
      <c r="A153" s="241" t="s">
        <v>3159</v>
      </c>
      <c r="B153" s="241" t="s">
        <v>5303</v>
      </c>
      <c r="C153" s="241" t="s">
        <v>3172</v>
      </c>
      <c r="D153" s="241" t="s">
        <v>3233</v>
      </c>
      <c r="E153" s="241" t="s">
        <v>3314</v>
      </c>
      <c r="F153" s="278">
        <v>5877</v>
      </c>
      <c r="G153" s="278">
        <v>129055</v>
      </c>
      <c r="H153" s="278">
        <v>78007</v>
      </c>
      <c r="I153" s="278">
        <v>51011</v>
      </c>
      <c r="J153" s="278">
        <v>118768</v>
      </c>
      <c r="K153" s="278">
        <v>71169</v>
      </c>
      <c r="L153" s="278">
        <v>47563</v>
      </c>
      <c r="M153" s="278">
        <v>5877</v>
      </c>
      <c r="N153" s="278">
        <v>129055</v>
      </c>
      <c r="O153" s="278">
        <v>78007</v>
      </c>
      <c r="P153" s="278">
        <v>51011</v>
      </c>
      <c r="Q153" s="278">
        <v>118768</v>
      </c>
      <c r="R153" s="278">
        <v>71169</v>
      </c>
      <c r="S153" s="278">
        <v>47563</v>
      </c>
    </row>
    <row r="154" spans="1:19">
      <c r="A154" s="241" t="s">
        <v>3159</v>
      </c>
      <c r="B154" s="241" t="s">
        <v>5303</v>
      </c>
      <c r="C154" s="241" t="s">
        <v>3170</v>
      </c>
      <c r="D154" s="241" t="s">
        <v>3233</v>
      </c>
      <c r="E154" s="241" t="s">
        <v>3315</v>
      </c>
      <c r="F154" s="278">
        <v>4539</v>
      </c>
      <c r="G154" s="278">
        <v>131795</v>
      </c>
      <c r="H154" s="278">
        <v>95954</v>
      </c>
      <c r="I154" s="278">
        <v>35823</v>
      </c>
      <c r="J154" s="278">
        <v>123651</v>
      </c>
      <c r="K154" s="278">
        <v>90170</v>
      </c>
      <c r="L154" s="278">
        <v>33463</v>
      </c>
      <c r="M154" s="278">
        <v>4539</v>
      </c>
      <c r="N154" s="278">
        <v>131795</v>
      </c>
      <c r="O154" s="278">
        <v>95954</v>
      </c>
      <c r="P154" s="278">
        <v>35823</v>
      </c>
      <c r="Q154" s="278">
        <v>123651</v>
      </c>
      <c r="R154" s="278">
        <v>90170</v>
      </c>
      <c r="S154" s="278">
        <v>33463</v>
      </c>
    </row>
    <row r="155" spans="1:19">
      <c r="A155" s="241" t="s">
        <v>3159</v>
      </c>
      <c r="B155" s="241" t="s">
        <v>5303</v>
      </c>
      <c r="C155" s="241" t="s">
        <v>3172</v>
      </c>
      <c r="D155" s="241" t="s">
        <v>3233</v>
      </c>
      <c r="E155" s="241" t="s">
        <v>3316</v>
      </c>
      <c r="F155" s="278">
        <v>97</v>
      </c>
      <c r="G155" s="278">
        <v>4917</v>
      </c>
      <c r="H155" s="278">
        <v>3722</v>
      </c>
      <c r="I155" s="278">
        <v>1195</v>
      </c>
      <c r="J155" s="278">
        <v>4761</v>
      </c>
      <c r="K155" s="278">
        <v>3604</v>
      </c>
      <c r="L155" s="278">
        <v>1157</v>
      </c>
      <c r="M155" s="278">
        <v>97</v>
      </c>
      <c r="N155" s="278">
        <v>4917</v>
      </c>
      <c r="O155" s="278">
        <v>3722</v>
      </c>
      <c r="P155" s="278">
        <v>1195</v>
      </c>
      <c r="Q155" s="278">
        <v>4761</v>
      </c>
      <c r="R155" s="278">
        <v>3604</v>
      </c>
      <c r="S155" s="278">
        <v>1157</v>
      </c>
    </row>
    <row r="156" spans="1:19">
      <c r="A156" s="241" t="s">
        <v>3159</v>
      </c>
      <c r="B156" s="241" t="s">
        <v>5303</v>
      </c>
      <c r="C156" s="241" t="s">
        <v>3172</v>
      </c>
      <c r="D156" s="241" t="s">
        <v>3233</v>
      </c>
      <c r="E156" s="241" t="s">
        <v>3317</v>
      </c>
      <c r="F156" s="278">
        <v>83</v>
      </c>
      <c r="G156" s="278">
        <v>25984</v>
      </c>
      <c r="H156" s="278">
        <v>23864</v>
      </c>
      <c r="I156" s="278">
        <v>2120</v>
      </c>
      <c r="J156" s="278">
        <v>25757</v>
      </c>
      <c r="K156" s="278">
        <v>23662</v>
      </c>
      <c r="L156" s="278">
        <v>2095</v>
      </c>
      <c r="M156" s="278">
        <v>83</v>
      </c>
      <c r="N156" s="278">
        <v>25984</v>
      </c>
      <c r="O156" s="278">
        <v>23864</v>
      </c>
      <c r="P156" s="278">
        <v>2120</v>
      </c>
      <c r="Q156" s="278">
        <v>25757</v>
      </c>
      <c r="R156" s="278">
        <v>23662</v>
      </c>
      <c r="S156" s="278">
        <v>2095</v>
      </c>
    </row>
    <row r="157" spans="1:19">
      <c r="A157" s="241" t="s">
        <v>3159</v>
      </c>
      <c r="B157" s="241" t="s">
        <v>5303</v>
      </c>
      <c r="C157" s="241" t="s">
        <v>3172</v>
      </c>
      <c r="D157" s="241" t="s">
        <v>3233</v>
      </c>
      <c r="E157" s="241" t="s">
        <v>3318</v>
      </c>
      <c r="F157" s="278">
        <v>516</v>
      </c>
      <c r="G157" s="278">
        <v>5251</v>
      </c>
      <c r="H157" s="278">
        <v>2915</v>
      </c>
      <c r="I157" s="278">
        <v>2332</v>
      </c>
      <c r="J157" s="278">
        <v>4307</v>
      </c>
      <c r="K157" s="278">
        <v>2324</v>
      </c>
      <c r="L157" s="278">
        <v>1979</v>
      </c>
      <c r="M157" s="278">
        <v>516</v>
      </c>
      <c r="N157" s="278">
        <v>5251</v>
      </c>
      <c r="O157" s="278">
        <v>2915</v>
      </c>
      <c r="P157" s="278">
        <v>2332</v>
      </c>
      <c r="Q157" s="278">
        <v>4307</v>
      </c>
      <c r="R157" s="278">
        <v>2324</v>
      </c>
      <c r="S157" s="278">
        <v>1979</v>
      </c>
    </row>
    <row r="158" spans="1:19">
      <c r="A158" s="241" t="s">
        <v>3159</v>
      </c>
      <c r="B158" s="241" t="s">
        <v>5303</v>
      </c>
      <c r="C158" s="241" t="s">
        <v>3172</v>
      </c>
      <c r="D158" s="241" t="s">
        <v>3233</v>
      </c>
      <c r="E158" s="241" t="s">
        <v>3319</v>
      </c>
      <c r="F158" s="278">
        <v>3151</v>
      </c>
      <c r="G158" s="278">
        <v>82927</v>
      </c>
      <c r="H158" s="278">
        <v>57143</v>
      </c>
      <c r="I158" s="278">
        <v>25771</v>
      </c>
      <c r="J158" s="278">
        <v>77264</v>
      </c>
      <c r="K158" s="278">
        <v>53025</v>
      </c>
      <c r="L158" s="278">
        <v>24226</v>
      </c>
      <c r="M158" s="278">
        <v>3151</v>
      </c>
      <c r="N158" s="278">
        <v>82927</v>
      </c>
      <c r="O158" s="278">
        <v>57143</v>
      </c>
      <c r="P158" s="278">
        <v>25771</v>
      </c>
      <c r="Q158" s="278">
        <v>77264</v>
      </c>
      <c r="R158" s="278">
        <v>53025</v>
      </c>
      <c r="S158" s="278">
        <v>24226</v>
      </c>
    </row>
    <row r="159" spans="1:19">
      <c r="A159" s="241" t="s">
        <v>3159</v>
      </c>
      <c r="B159" s="241" t="s">
        <v>5303</v>
      </c>
      <c r="C159" s="241" t="s">
        <v>3172</v>
      </c>
      <c r="D159" s="241" t="s">
        <v>3233</v>
      </c>
      <c r="E159" s="241" t="s">
        <v>3320</v>
      </c>
      <c r="F159" s="278">
        <v>692</v>
      </c>
      <c r="G159" s="278">
        <v>12716</v>
      </c>
      <c r="H159" s="278">
        <v>8310</v>
      </c>
      <c r="I159" s="278">
        <v>4405</v>
      </c>
      <c r="J159" s="278">
        <v>11562</v>
      </c>
      <c r="K159" s="278">
        <v>7555</v>
      </c>
      <c r="L159" s="278">
        <v>4006</v>
      </c>
      <c r="M159" s="278">
        <v>692</v>
      </c>
      <c r="N159" s="278">
        <v>12716</v>
      </c>
      <c r="O159" s="278">
        <v>8310</v>
      </c>
      <c r="P159" s="278">
        <v>4405</v>
      </c>
      <c r="Q159" s="278">
        <v>11562</v>
      </c>
      <c r="R159" s="278">
        <v>7555</v>
      </c>
      <c r="S159" s="278">
        <v>4006</v>
      </c>
    </row>
    <row r="160" spans="1:19">
      <c r="A160" s="241" t="s">
        <v>3159</v>
      </c>
      <c r="B160" s="241" t="s">
        <v>5303</v>
      </c>
      <c r="C160" s="241" t="s">
        <v>3170</v>
      </c>
      <c r="D160" s="241" t="s">
        <v>3233</v>
      </c>
      <c r="E160" s="241" t="s">
        <v>3321</v>
      </c>
      <c r="F160" s="278">
        <v>4085</v>
      </c>
      <c r="G160" s="278">
        <v>29509</v>
      </c>
      <c r="H160" s="278">
        <v>14305</v>
      </c>
      <c r="I160" s="278">
        <v>15172</v>
      </c>
      <c r="J160" s="278">
        <v>22907</v>
      </c>
      <c r="K160" s="278">
        <v>9900</v>
      </c>
      <c r="L160" s="278">
        <v>12975</v>
      </c>
      <c r="M160" s="278">
        <v>4085</v>
      </c>
      <c r="N160" s="278">
        <v>29509</v>
      </c>
      <c r="O160" s="278">
        <v>14305</v>
      </c>
      <c r="P160" s="278">
        <v>15172</v>
      </c>
      <c r="Q160" s="278">
        <v>22907</v>
      </c>
      <c r="R160" s="278">
        <v>9900</v>
      </c>
      <c r="S160" s="278">
        <v>12975</v>
      </c>
    </row>
    <row r="161" spans="1:19">
      <c r="A161" s="241" t="s">
        <v>3159</v>
      </c>
      <c r="B161" s="241" t="s">
        <v>5303</v>
      </c>
      <c r="C161" s="241" t="s">
        <v>3172</v>
      </c>
      <c r="D161" s="241" t="s">
        <v>3233</v>
      </c>
      <c r="E161" s="241" t="s">
        <v>3322</v>
      </c>
      <c r="F161" s="278">
        <v>16</v>
      </c>
      <c r="G161" s="278">
        <v>62</v>
      </c>
      <c r="H161" s="278">
        <v>33</v>
      </c>
      <c r="I161" s="278">
        <v>29</v>
      </c>
      <c r="J161" s="278">
        <v>46</v>
      </c>
      <c r="K161" s="278">
        <v>26</v>
      </c>
      <c r="L161" s="278">
        <v>20</v>
      </c>
      <c r="M161" s="278">
        <v>16</v>
      </c>
      <c r="N161" s="278">
        <v>62</v>
      </c>
      <c r="O161" s="278">
        <v>33</v>
      </c>
      <c r="P161" s="278">
        <v>29</v>
      </c>
      <c r="Q161" s="278">
        <v>46</v>
      </c>
      <c r="R161" s="278">
        <v>26</v>
      </c>
      <c r="S161" s="278">
        <v>20</v>
      </c>
    </row>
    <row r="162" spans="1:19">
      <c r="A162" s="241" t="s">
        <v>3159</v>
      </c>
      <c r="B162" s="241" t="s">
        <v>5303</v>
      </c>
      <c r="C162" s="241" t="s">
        <v>3172</v>
      </c>
      <c r="D162" s="241" t="s">
        <v>3233</v>
      </c>
      <c r="E162" s="241" t="s">
        <v>3323</v>
      </c>
      <c r="F162" s="278">
        <v>350</v>
      </c>
      <c r="G162" s="278">
        <v>2387</v>
      </c>
      <c r="H162" s="278">
        <v>1682</v>
      </c>
      <c r="I162" s="278">
        <v>698</v>
      </c>
      <c r="J162" s="278">
        <v>1771</v>
      </c>
      <c r="K162" s="278">
        <v>1239</v>
      </c>
      <c r="L162" s="278">
        <v>525</v>
      </c>
      <c r="M162" s="278">
        <v>350</v>
      </c>
      <c r="N162" s="278">
        <v>2387</v>
      </c>
      <c r="O162" s="278">
        <v>1682</v>
      </c>
      <c r="P162" s="278">
        <v>698</v>
      </c>
      <c r="Q162" s="278">
        <v>1771</v>
      </c>
      <c r="R162" s="278">
        <v>1239</v>
      </c>
      <c r="S162" s="278">
        <v>525</v>
      </c>
    </row>
    <row r="163" spans="1:19">
      <c r="A163" s="241" t="s">
        <v>3159</v>
      </c>
      <c r="B163" s="241" t="s">
        <v>5303</v>
      </c>
      <c r="C163" s="241" t="s">
        <v>3172</v>
      </c>
      <c r="D163" s="241" t="s">
        <v>3233</v>
      </c>
      <c r="E163" s="241" t="s">
        <v>3324</v>
      </c>
      <c r="F163" s="278">
        <v>65</v>
      </c>
      <c r="G163" s="278">
        <v>1379</v>
      </c>
      <c r="H163" s="278">
        <v>588</v>
      </c>
      <c r="I163" s="278">
        <v>791</v>
      </c>
      <c r="J163" s="278">
        <v>1273</v>
      </c>
      <c r="K163" s="278">
        <v>506</v>
      </c>
      <c r="L163" s="278">
        <v>767</v>
      </c>
      <c r="M163" s="278">
        <v>65</v>
      </c>
      <c r="N163" s="278">
        <v>1379</v>
      </c>
      <c r="O163" s="278">
        <v>588</v>
      </c>
      <c r="P163" s="278">
        <v>791</v>
      </c>
      <c r="Q163" s="278">
        <v>1273</v>
      </c>
      <c r="R163" s="278">
        <v>506</v>
      </c>
      <c r="S163" s="278">
        <v>767</v>
      </c>
    </row>
    <row r="164" spans="1:19">
      <c r="A164" s="241" t="s">
        <v>3159</v>
      </c>
      <c r="B164" s="241" t="s">
        <v>5303</v>
      </c>
      <c r="C164" s="241" t="s">
        <v>3172</v>
      </c>
      <c r="D164" s="241" t="s">
        <v>3233</v>
      </c>
      <c r="E164" s="241" t="s">
        <v>3325</v>
      </c>
      <c r="F164" s="278">
        <v>360</v>
      </c>
      <c r="G164" s="278">
        <v>1787</v>
      </c>
      <c r="H164" s="278">
        <v>913</v>
      </c>
      <c r="I164" s="278">
        <v>874</v>
      </c>
      <c r="J164" s="278">
        <v>1248</v>
      </c>
      <c r="K164" s="278">
        <v>552</v>
      </c>
      <c r="L164" s="278">
        <v>696</v>
      </c>
      <c r="M164" s="278">
        <v>360</v>
      </c>
      <c r="N164" s="278">
        <v>1787</v>
      </c>
      <c r="O164" s="278">
        <v>913</v>
      </c>
      <c r="P164" s="278">
        <v>874</v>
      </c>
      <c r="Q164" s="278">
        <v>1248</v>
      </c>
      <c r="R164" s="278">
        <v>552</v>
      </c>
      <c r="S164" s="278">
        <v>696</v>
      </c>
    </row>
    <row r="165" spans="1:19">
      <c r="A165" s="241" t="s">
        <v>3159</v>
      </c>
      <c r="B165" s="241" t="s">
        <v>5303</v>
      </c>
      <c r="C165" s="241" t="s">
        <v>3172</v>
      </c>
      <c r="D165" s="241" t="s">
        <v>3233</v>
      </c>
      <c r="E165" s="241" t="s">
        <v>3326</v>
      </c>
      <c r="F165" s="278">
        <v>666</v>
      </c>
      <c r="G165" s="278">
        <v>6768</v>
      </c>
      <c r="H165" s="278">
        <v>3682</v>
      </c>
      <c r="I165" s="278">
        <v>3081</v>
      </c>
      <c r="J165" s="278">
        <v>5665</v>
      </c>
      <c r="K165" s="278">
        <v>2935</v>
      </c>
      <c r="L165" s="278">
        <v>2725</v>
      </c>
      <c r="M165" s="278">
        <v>666</v>
      </c>
      <c r="N165" s="278">
        <v>6768</v>
      </c>
      <c r="O165" s="278">
        <v>3682</v>
      </c>
      <c r="P165" s="278">
        <v>3081</v>
      </c>
      <c r="Q165" s="278">
        <v>5665</v>
      </c>
      <c r="R165" s="278">
        <v>2935</v>
      </c>
      <c r="S165" s="278">
        <v>2725</v>
      </c>
    </row>
    <row r="166" spans="1:19">
      <c r="A166" s="241" t="s">
        <v>3159</v>
      </c>
      <c r="B166" s="241" t="s">
        <v>5303</v>
      </c>
      <c r="C166" s="241" t="s">
        <v>3172</v>
      </c>
      <c r="D166" s="241" t="s">
        <v>3233</v>
      </c>
      <c r="E166" s="241" t="s">
        <v>3327</v>
      </c>
      <c r="F166" s="278">
        <v>55</v>
      </c>
      <c r="G166" s="278">
        <v>448</v>
      </c>
      <c r="H166" s="278">
        <v>180</v>
      </c>
      <c r="I166" s="278">
        <v>268</v>
      </c>
      <c r="J166" s="278">
        <v>342</v>
      </c>
      <c r="K166" s="278">
        <v>111</v>
      </c>
      <c r="L166" s="278">
        <v>231</v>
      </c>
      <c r="M166" s="278">
        <v>55</v>
      </c>
      <c r="N166" s="278">
        <v>448</v>
      </c>
      <c r="O166" s="278">
        <v>180</v>
      </c>
      <c r="P166" s="278">
        <v>268</v>
      </c>
      <c r="Q166" s="278">
        <v>342</v>
      </c>
      <c r="R166" s="278">
        <v>111</v>
      </c>
      <c r="S166" s="278">
        <v>231</v>
      </c>
    </row>
    <row r="167" spans="1:19">
      <c r="A167" s="241" t="s">
        <v>3159</v>
      </c>
      <c r="B167" s="241" t="s">
        <v>5303</v>
      </c>
      <c r="C167" s="241" t="s">
        <v>3172</v>
      </c>
      <c r="D167" s="241" t="s">
        <v>3233</v>
      </c>
      <c r="E167" s="241" t="s">
        <v>3328</v>
      </c>
      <c r="F167" s="278">
        <v>919</v>
      </c>
      <c r="G167" s="278">
        <v>7308</v>
      </c>
      <c r="H167" s="278">
        <v>3034</v>
      </c>
      <c r="I167" s="278">
        <v>4267</v>
      </c>
      <c r="J167" s="278">
        <v>5803</v>
      </c>
      <c r="K167" s="278">
        <v>2079</v>
      </c>
      <c r="L167" s="278">
        <v>3717</v>
      </c>
      <c r="M167" s="278">
        <v>919</v>
      </c>
      <c r="N167" s="278">
        <v>7308</v>
      </c>
      <c r="O167" s="278">
        <v>3034</v>
      </c>
      <c r="P167" s="278">
        <v>4267</v>
      </c>
      <c r="Q167" s="278">
        <v>5803</v>
      </c>
      <c r="R167" s="278">
        <v>2079</v>
      </c>
      <c r="S167" s="278">
        <v>3717</v>
      </c>
    </row>
    <row r="168" spans="1:19">
      <c r="A168" s="241" t="s">
        <v>3159</v>
      </c>
      <c r="B168" s="241" t="s">
        <v>5303</v>
      </c>
      <c r="C168" s="241" t="s">
        <v>3172</v>
      </c>
      <c r="D168" s="241" t="s">
        <v>3233</v>
      </c>
      <c r="E168" s="241" t="s">
        <v>3329</v>
      </c>
      <c r="F168" s="278">
        <v>1336</v>
      </c>
      <c r="G168" s="278">
        <v>7542</v>
      </c>
      <c r="H168" s="278">
        <v>3322</v>
      </c>
      <c r="I168" s="278">
        <v>4207</v>
      </c>
      <c r="J168" s="278">
        <v>5412</v>
      </c>
      <c r="K168" s="278">
        <v>1911</v>
      </c>
      <c r="L168" s="278">
        <v>3488</v>
      </c>
      <c r="M168" s="278">
        <v>1336</v>
      </c>
      <c r="N168" s="278">
        <v>7542</v>
      </c>
      <c r="O168" s="278">
        <v>3322</v>
      </c>
      <c r="P168" s="278">
        <v>4207</v>
      </c>
      <c r="Q168" s="278">
        <v>5412</v>
      </c>
      <c r="R168" s="278">
        <v>1911</v>
      </c>
      <c r="S168" s="278">
        <v>3488</v>
      </c>
    </row>
    <row r="169" spans="1:19">
      <c r="A169" s="241" t="s">
        <v>3159</v>
      </c>
      <c r="B169" s="241" t="s">
        <v>5303</v>
      </c>
      <c r="C169" s="241" t="s">
        <v>3172</v>
      </c>
      <c r="D169" s="241" t="s">
        <v>3233</v>
      </c>
      <c r="E169" s="241" t="s">
        <v>3330</v>
      </c>
      <c r="F169" s="278">
        <v>15</v>
      </c>
      <c r="G169" s="278">
        <v>51</v>
      </c>
      <c r="H169" s="278">
        <v>25</v>
      </c>
      <c r="I169" s="278">
        <v>26</v>
      </c>
      <c r="J169" s="278">
        <v>28</v>
      </c>
      <c r="K169" s="278">
        <v>11</v>
      </c>
      <c r="L169" s="278">
        <v>17</v>
      </c>
      <c r="M169" s="278">
        <v>15</v>
      </c>
      <c r="N169" s="278">
        <v>51</v>
      </c>
      <c r="O169" s="278">
        <v>25</v>
      </c>
      <c r="P169" s="278">
        <v>26</v>
      </c>
      <c r="Q169" s="278">
        <v>28</v>
      </c>
      <c r="R169" s="278">
        <v>11</v>
      </c>
      <c r="S169" s="278">
        <v>17</v>
      </c>
    </row>
    <row r="170" spans="1:19">
      <c r="A170" s="241" t="s">
        <v>3159</v>
      </c>
      <c r="B170" s="241" t="s">
        <v>5303</v>
      </c>
      <c r="C170" s="241" t="s">
        <v>3172</v>
      </c>
      <c r="D170" s="241" t="s">
        <v>3233</v>
      </c>
      <c r="E170" s="241" t="s">
        <v>3331</v>
      </c>
      <c r="F170" s="278">
        <v>303</v>
      </c>
      <c r="G170" s="278">
        <v>1777</v>
      </c>
      <c r="H170" s="278">
        <v>846</v>
      </c>
      <c r="I170" s="278">
        <v>931</v>
      </c>
      <c r="J170" s="278">
        <v>1319</v>
      </c>
      <c r="K170" s="278">
        <v>530</v>
      </c>
      <c r="L170" s="278">
        <v>789</v>
      </c>
      <c r="M170" s="278">
        <v>303</v>
      </c>
      <c r="N170" s="278">
        <v>1777</v>
      </c>
      <c r="O170" s="278">
        <v>846</v>
      </c>
      <c r="P170" s="278">
        <v>931</v>
      </c>
      <c r="Q170" s="278">
        <v>1319</v>
      </c>
      <c r="R170" s="278">
        <v>530</v>
      </c>
      <c r="S170" s="278">
        <v>789</v>
      </c>
    </row>
    <row r="171" spans="1:19">
      <c r="A171" s="241" t="s">
        <v>3159</v>
      </c>
      <c r="B171" s="241" t="s">
        <v>5303</v>
      </c>
      <c r="C171" s="241" t="s">
        <v>3170</v>
      </c>
      <c r="D171" s="241" t="s">
        <v>3233</v>
      </c>
      <c r="E171" s="241" t="s">
        <v>3332</v>
      </c>
      <c r="F171" s="278">
        <v>19095</v>
      </c>
      <c r="G171" s="278">
        <v>277021</v>
      </c>
      <c r="H171" s="278">
        <v>220290</v>
      </c>
      <c r="I171" s="278">
        <v>56687</v>
      </c>
      <c r="J171" s="278">
        <v>245627</v>
      </c>
      <c r="K171" s="278">
        <v>196606</v>
      </c>
      <c r="L171" s="278">
        <v>48979</v>
      </c>
      <c r="M171" s="278">
        <v>19095</v>
      </c>
      <c r="N171" s="278">
        <v>277021</v>
      </c>
      <c r="O171" s="278">
        <v>220290</v>
      </c>
      <c r="P171" s="278">
        <v>56687</v>
      </c>
      <c r="Q171" s="278">
        <v>245627</v>
      </c>
      <c r="R171" s="278">
        <v>196606</v>
      </c>
      <c r="S171" s="278">
        <v>48979</v>
      </c>
    </row>
    <row r="172" spans="1:19">
      <c r="A172" s="241" t="s">
        <v>3159</v>
      </c>
      <c r="B172" s="241" t="s">
        <v>5303</v>
      </c>
      <c r="C172" s="241" t="s">
        <v>3172</v>
      </c>
      <c r="D172" s="241" t="s">
        <v>3233</v>
      </c>
      <c r="E172" s="241" t="s">
        <v>3333</v>
      </c>
      <c r="F172" s="278">
        <v>503</v>
      </c>
      <c r="G172" s="278">
        <v>4240</v>
      </c>
      <c r="H172" s="278">
        <v>3134</v>
      </c>
      <c r="I172" s="278">
        <v>1102</v>
      </c>
      <c r="J172" s="278">
        <v>3498</v>
      </c>
      <c r="K172" s="278">
        <v>2535</v>
      </c>
      <c r="L172" s="278">
        <v>959</v>
      </c>
      <c r="M172" s="278">
        <v>503</v>
      </c>
      <c r="N172" s="278">
        <v>4240</v>
      </c>
      <c r="O172" s="278">
        <v>3134</v>
      </c>
      <c r="P172" s="278">
        <v>1102</v>
      </c>
      <c r="Q172" s="278">
        <v>3498</v>
      </c>
      <c r="R172" s="278">
        <v>2535</v>
      </c>
      <c r="S172" s="278">
        <v>959</v>
      </c>
    </row>
    <row r="173" spans="1:19">
      <c r="A173" s="241" t="s">
        <v>3159</v>
      </c>
      <c r="B173" s="241" t="s">
        <v>5303</v>
      </c>
      <c r="C173" s="241" t="s">
        <v>3172</v>
      </c>
      <c r="D173" s="241" t="s">
        <v>3233</v>
      </c>
      <c r="E173" s="241" t="s">
        <v>3334</v>
      </c>
      <c r="F173" s="278">
        <v>1770</v>
      </c>
      <c r="G173" s="278">
        <v>49171</v>
      </c>
      <c r="H173" s="278">
        <v>38570</v>
      </c>
      <c r="I173" s="278">
        <v>10598</v>
      </c>
      <c r="J173" s="278">
        <v>46479</v>
      </c>
      <c r="K173" s="278">
        <v>36621</v>
      </c>
      <c r="L173" s="278">
        <v>9855</v>
      </c>
      <c r="M173" s="278">
        <v>1770</v>
      </c>
      <c r="N173" s="278">
        <v>49171</v>
      </c>
      <c r="O173" s="278">
        <v>38570</v>
      </c>
      <c r="P173" s="278">
        <v>10598</v>
      </c>
      <c r="Q173" s="278">
        <v>46479</v>
      </c>
      <c r="R173" s="278">
        <v>36621</v>
      </c>
      <c r="S173" s="278">
        <v>9855</v>
      </c>
    </row>
    <row r="174" spans="1:19">
      <c r="A174" s="241" t="s">
        <v>3159</v>
      </c>
      <c r="B174" s="241" t="s">
        <v>5303</v>
      </c>
      <c r="C174" s="241" t="s">
        <v>3172</v>
      </c>
      <c r="D174" s="241" t="s">
        <v>3233</v>
      </c>
      <c r="E174" s="241" t="s">
        <v>3335</v>
      </c>
      <c r="F174" s="278">
        <v>5909</v>
      </c>
      <c r="G174" s="278">
        <v>96440</v>
      </c>
      <c r="H174" s="278">
        <v>83580</v>
      </c>
      <c r="I174" s="278">
        <v>12829</v>
      </c>
      <c r="J174" s="278">
        <v>86020</v>
      </c>
      <c r="K174" s="278">
        <v>75115</v>
      </c>
      <c r="L174" s="278">
        <v>10875</v>
      </c>
      <c r="M174" s="278">
        <v>5909</v>
      </c>
      <c r="N174" s="278">
        <v>96440</v>
      </c>
      <c r="O174" s="278">
        <v>83580</v>
      </c>
      <c r="P174" s="278">
        <v>12829</v>
      </c>
      <c r="Q174" s="278">
        <v>86020</v>
      </c>
      <c r="R174" s="278">
        <v>75115</v>
      </c>
      <c r="S174" s="278">
        <v>10875</v>
      </c>
    </row>
    <row r="175" spans="1:19">
      <c r="A175" s="241" t="s">
        <v>3159</v>
      </c>
      <c r="B175" s="241" t="s">
        <v>5303</v>
      </c>
      <c r="C175" s="241" t="s">
        <v>3172</v>
      </c>
      <c r="D175" s="241" t="s">
        <v>3233</v>
      </c>
      <c r="E175" s="241" t="s">
        <v>3336</v>
      </c>
      <c r="F175" s="278">
        <v>355</v>
      </c>
      <c r="G175" s="278">
        <v>3331</v>
      </c>
      <c r="H175" s="278">
        <v>2539</v>
      </c>
      <c r="I175" s="278">
        <v>792</v>
      </c>
      <c r="J175" s="278">
        <v>2672</v>
      </c>
      <c r="K175" s="278">
        <v>2047</v>
      </c>
      <c r="L175" s="278">
        <v>625</v>
      </c>
      <c r="M175" s="278">
        <v>355</v>
      </c>
      <c r="N175" s="278">
        <v>3331</v>
      </c>
      <c r="O175" s="278">
        <v>2539</v>
      </c>
      <c r="P175" s="278">
        <v>792</v>
      </c>
      <c r="Q175" s="278">
        <v>2672</v>
      </c>
      <c r="R175" s="278">
        <v>2047</v>
      </c>
      <c r="S175" s="278">
        <v>625</v>
      </c>
    </row>
    <row r="176" spans="1:19">
      <c r="A176" s="241" t="s">
        <v>3159</v>
      </c>
      <c r="B176" s="241" t="s">
        <v>5303</v>
      </c>
      <c r="C176" s="241" t="s">
        <v>3172</v>
      </c>
      <c r="D176" s="241" t="s">
        <v>3233</v>
      </c>
      <c r="E176" s="241" t="s">
        <v>3337</v>
      </c>
      <c r="F176" s="278">
        <v>4374</v>
      </c>
      <c r="G176" s="278">
        <v>42213</v>
      </c>
      <c r="H176" s="278">
        <v>27173</v>
      </c>
      <c r="I176" s="278">
        <v>15035</v>
      </c>
      <c r="J176" s="278">
        <v>35148</v>
      </c>
      <c r="K176" s="278">
        <v>22408</v>
      </c>
      <c r="L176" s="278">
        <v>12736</v>
      </c>
      <c r="M176" s="278">
        <v>4374</v>
      </c>
      <c r="N176" s="278">
        <v>42213</v>
      </c>
      <c r="O176" s="278">
        <v>27173</v>
      </c>
      <c r="P176" s="278">
        <v>15035</v>
      </c>
      <c r="Q176" s="278">
        <v>35148</v>
      </c>
      <c r="R176" s="278">
        <v>22408</v>
      </c>
      <c r="S176" s="278">
        <v>12736</v>
      </c>
    </row>
    <row r="177" spans="1:19">
      <c r="A177" s="241" t="s">
        <v>3159</v>
      </c>
      <c r="B177" s="241" t="s">
        <v>5303</v>
      </c>
      <c r="C177" s="241" t="s">
        <v>3172</v>
      </c>
      <c r="D177" s="241" t="s">
        <v>3233</v>
      </c>
      <c r="E177" s="241" t="s">
        <v>3338</v>
      </c>
      <c r="F177" s="278">
        <v>274</v>
      </c>
      <c r="G177" s="278">
        <v>9064</v>
      </c>
      <c r="H177" s="278">
        <v>7609</v>
      </c>
      <c r="I177" s="278">
        <v>1455</v>
      </c>
      <c r="J177" s="278">
        <v>8661</v>
      </c>
      <c r="K177" s="278">
        <v>7296</v>
      </c>
      <c r="L177" s="278">
        <v>1365</v>
      </c>
      <c r="M177" s="278">
        <v>274</v>
      </c>
      <c r="N177" s="278">
        <v>9064</v>
      </c>
      <c r="O177" s="278">
        <v>7609</v>
      </c>
      <c r="P177" s="278">
        <v>1455</v>
      </c>
      <c r="Q177" s="278">
        <v>8661</v>
      </c>
      <c r="R177" s="278">
        <v>7296</v>
      </c>
      <c r="S177" s="278">
        <v>1365</v>
      </c>
    </row>
    <row r="178" spans="1:19">
      <c r="A178" s="241" t="s">
        <v>3159</v>
      </c>
      <c r="B178" s="241" t="s">
        <v>5303</v>
      </c>
      <c r="C178" s="241" t="s">
        <v>3172</v>
      </c>
      <c r="D178" s="241" t="s">
        <v>3233</v>
      </c>
      <c r="E178" s="241" t="s">
        <v>3339</v>
      </c>
      <c r="F178" s="278">
        <v>213</v>
      </c>
      <c r="G178" s="278">
        <v>7787</v>
      </c>
      <c r="H178" s="278">
        <v>6369</v>
      </c>
      <c r="I178" s="278">
        <v>1418</v>
      </c>
      <c r="J178" s="278">
        <v>7447</v>
      </c>
      <c r="K178" s="278">
        <v>6124</v>
      </c>
      <c r="L178" s="278">
        <v>1323</v>
      </c>
      <c r="M178" s="278">
        <v>213</v>
      </c>
      <c r="N178" s="278">
        <v>7787</v>
      </c>
      <c r="O178" s="278">
        <v>6369</v>
      </c>
      <c r="P178" s="278">
        <v>1418</v>
      </c>
      <c r="Q178" s="278">
        <v>7447</v>
      </c>
      <c r="R178" s="278">
        <v>6124</v>
      </c>
      <c r="S178" s="278">
        <v>1323</v>
      </c>
    </row>
    <row r="179" spans="1:19">
      <c r="A179" s="241" t="s">
        <v>3159</v>
      </c>
      <c r="B179" s="241" t="s">
        <v>5303</v>
      </c>
      <c r="C179" s="241" t="s">
        <v>3172</v>
      </c>
      <c r="D179" s="241" t="s">
        <v>3233</v>
      </c>
      <c r="E179" s="241" t="s">
        <v>3340</v>
      </c>
      <c r="F179" s="278">
        <v>375</v>
      </c>
      <c r="G179" s="278">
        <v>9944</v>
      </c>
      <c r="H179" s="278">
        <v>7147</v>
      </c>
      <c r="I179" s="278">
        <v>2797</v>
      </c>
      <c r="J179" s="278">
        <v>9255</v>
      </c>
      <c r="K179" s="278">
        <v>6639</v>
      </c>
      <c r="L179" s="278">
        <v>2616</v>
      </c>
      <c r="M179" s="278">
        <v>375</v>
      </c>
      <c r="N179" s="278">
        <v>9944</v>
      </c>
      <c r="O179" s="278">
        <v>7147</v>
      </c>
      <c r="P179" s="278">
        <v>2797</v>
      </c>
      <c r="Q179" s="278">
        <v>9255</v>
      </c>
      <c r="R179" s="278">
        <v>6639</v>
      </c>
      <c r="S179" s="278">
        <v>2616</v>
      </c>
    </row>
    <row r="180" spans="1:19">
      <c r="A180" s="241" t="s">
        <v>3159</v>
      </c>
      <c r="B180" s="241" t="s">
        <v>5303</v>
      </c>
      <c r="C180" s="241" t="s">
        <v>3172</v>
      </c>
      <c r="D180" s="241" t="s">
        <v>3233</v>
      </c>
      <c r="E180" s="241" t="s">
        <v>3341</v>
      </c>
      <c r="F180" s="278">
        <v>3843</v>
      </c>
      <c r="G180" s="278">
        <v>31110</v>
      </c>
      <c r="H180" s="278">
        <v>25391</v>
      </c>
      <c r="I180" s="278">
        <v>5718</v>
      </c>
      <c r="J180" s="278">
        <v>25087</v>
      </c>
      <c r="K180" s="278">
        <v>20804</v>
      </c>
      <c r="L180" s="278">
        <v>4282</v>
      </c>
      <c r="M180" s="278">
        <v>3843</v>
      </c>
      <c r="N180" s="278">
        <v>31110</v>
      </c>
      <c r="O180" s="278">
        <v>25391</v>
      </c>
      <c r="P180" s="278">
        <v>5718</v>
      </c>
      <c r="Q180" s="278">
        <v>25087</v>
      </c>
      <c r="R180" s="278">
        <v>20804</v>
      </c>
      <c r="S180" s="278">
        <v>4282</v>
      </c>
    </row>
    <row r="181" spans="1:19">
      <c r="A181" s="241" t="s">
        <v>3159</v>
      </c>
      <c r="B181" s="241" t="s">
        <v>5303</v>
      </c>
      <c r="C181" s="241" t="s">
        <v>3172</v>
      </c>
      <c r="D181" s="241" t="s">
        <v>3233</v>
      </c>
      <c r="E181" s="241" t="s">
        <v>3342</v>
      </c>
      <c r="F181" s="278">
        <v>1479</v>
      </c>
      <c r="G181" s="278">
        <v>23721</v>
      </c>
      <c r="H181" s="278">
        <v>18778</v>
      </c>
      <c r="I181" s="278">
        <v>4943</v>
      </c>
      <c r="J181" s="278">
        <v>21360</v>
      </c>
      <c r="K181" s="278">
        <v>17017</v>
      </c>
      <c r="L181" s="278">
        <v>4343</v>
      </c>
      <c r="M181" s="278">
        <v>1479</v>
      </c>
      <c r="N181" s="278">
        <v>23721</v>
      </c>
      <c r="O181" s="278">
        <v>18778</v>
      </c>
      <c r="P181" s="278">
        <v>4943</v>
      </c>
      <c r="Q181" s="278">
        <v>21360</v>
      </c>
      <c r="R181" s="278">
        <v>17017</v>
      </c>
      <c r="S181" s="278">
        <v>4343</v>
      </c>
    </row>
    <row r="182" spans="1:19">
      <c r="A182" s="241" t="s">
        <v>3159</v>
      </c>
      <c r="B182" s="241" t="s">
        <v>5303</v>
      </c>
      <c r="C182" s="241" t="s">
        <v>3170</v>
      </c>
      <c r="D182" s="241" t="s">
        <v>3233</v>
      </c>
      <c r="E182" s="241" t="s">
        <v>3343</v>
      </c>
      <c r="F182" s="278">
        <v>7653</v>
      </c>
      <c r="G182" s="278">
        <v>246330</v>
      </c>
      <c r="H182" s="278">
        <v>216840</v>
      </c>
      <c r="I182" s="278">
        <v>29409</v>
      </c>
      <c r="J182" s="278">
        <v>232944</v>
      </c>
      <c r="K182" s="278">
        <v>206610</v>
      </c>
      <c r="L182" s="278">
        <v>26254</v>
      </c>
      <c r="M182" s="278">
        <v>7653</v>
      </c>
      <c r="N182" s="278">
        <v>246330</v>
      </c>
      <c r="O182" s="278">
        <v>216840</v>
      </c>
      <c r="P182" s="278">
        <v>29409</v>
      </c>
      <c r="Q182" s="278">
        <v>232944</v>
      </c>
      <c r="R182" s="278">
        <v>206610</v>
      </c>
      <c r="S182" s="278">
        <v>26254</v>
      </c>
    </row>
    <row r="183" spans="1:19">
      <c r="A183" s="241" t="s">
        <v>3159</v>
      </c>
      <c r="B183" s="241" t="s">
        <v>5303</v>
      </c>
      <c r="C183" s="241" t="s">
        <v>3172</v>
      </c>
      <c r="D183" s="241" t="s">
        <v>3233</v>
      </c>
      <c r="E183" s="241" t="s">
        <v>3344</v>
      </c>
      <c r="F183" s="278">
        <v>191</v>
      </c>
      <c r="G183" s="278">
        <v>7193</v>
      </c>
      <c r="H183" s="278">
        <v>5697</v>
      </c>
      <c r="I183" s="278">
        <v>1496</v>
      </c>
      <c r="J183" s="278">
        <v>6760</v>
      </c>
      <c r="K183" s="278">
        <v>5318</v>
      </c>
      <c r="L183" s="278">
        <v>1442</v>
      </c>
      <c r="M183" s="278">
        <v>191</v>
      </c>
      <c r="N183" s="278">
        <v>7193</v>
      </c>
      <c r="O183" s="278">
        <v>5697</v>
      </c>
      <c r="P183" s="278">
        <v>1496</v>
      </c>
      <c r="Q183" s="278">
        <v>6760</v>
      </c>
      <c r="R183" s="278">
        <v>5318</v>
      </c>
      <c r="S183" s="278">
        <v>1442</v>
      </c>
    </row>
    <row r="184" spans="1:19">
      <c r="A184" s="241" t="s">
        <v>3159</v>
      </c>
      <c r="B184" s="241" t="s">
        <v>5303</v>
      </c>
      <c r="C184" s="241" t="s">
        <v>3172</v>
      </c>
      <c r="D184" s="241" t="s">
        <v>3233</v>
      </c>
      <c r="E184" s="241" t="s">
        <v>3345</v>
      </c>
      <c r="F184" s="278">
        <v>55</v>
      </c>
      <c r="G184" s="278">
        <v>41042</v>
      </c>
      <c r="H184" s="278">
        <v>37990</v>
      </c>
      <c r="I184" s="278">
        <v>3052</v>
      </c>
      <c r="J184" s="278">
        <v>40940</v>
      </c>
      <c r="K184" s="278">
        <v>37895</v>
      </c>
      <c r="L184" s="278">
        <v>3045</v>
      </c>
      <c r="M184" s="278">
        <v>55</v>
      </c>
      <c r="N184" s="278">
        <v>41042</v>
      </c>
      <c r="O184" s="278">
        <v>37990</v>
      </c>
      <c r="P184" s="278">
        <v>3052</v>
      </c>
      <c r="Q184" s="278">
        <v>40940</v>
      </c>
      <c r="R184" s="278">
        <v>37895</v>
      </c>
      <c r="S184" s="278">
        <v>3045</v>
      </c>
    </row>
    <row r="185" spans="1:19">
      <c r="A185" s="241" t="s">
        <v>3159</v>
      </c>
      <c r="B185" s="241" t="s">
        <v>5303</v>
      </c>
      <c r="C185" s="241" t="s">
        <v>3172</v>
      </c>
      <c r="D185" s="241" t="s">
        <v>3233</v>
      </c>
      <c r="E185" s="241" t="s">
        <v>3346</v>
      </c>
      <c r="F185" s="278">
        <v>99</v>
      </c>
      <c r="G185" s="278">
        <v>26170</v>
      </c>
      <c r="H185" s="278">
        <v>24326</v>
      </c>
      <c r="I185" s="278">
        <v>1844</v>
      </c>
      <c r="J185" s="278">
        <v>25893</v>
      </c>
      <c r="K185" s="278">
        <v>24061</v>
      </c>
      <c r="L185" s="278">
        <v>1832</v>
      </c>
      <c r="M185" s="278">
        <v>99</v>
      </c>
      <c r="N185" s="278">
        <v>26170</v>
      </c>
      <c r="O185" s="278">
        <v>24326</v>
      </c>
      <c r="P185" s="278">
        <v>1844</v>
      </c>
      <c r="Q185" s="278">
        <v>25893</v>
      </c>
      <c r="R185" s="278">
        <v>24061</v>
      </c>
      <c r="S185" s="278">
        <v>1832</v>
      </c>
    </row>
    <row r="186" spans="1:19">
      <c r="A186" s="241" t="s">
        <v>3159</v>
      </c>
      <c r="B186" s="241" t="s">
        <v>5303</v>
      </c>
      <c r="C186" s="241" t="s">
        <v>3172</v>
      </c>
      <c r="D186" s="241" t="s">
        <v>3233</v>
      </c>
      <c r="E186" s="241" t="s">
        <v>3347</v>
      </c>
      <c r="F186" s="278">
        <v>616</v>
      </c>
      <c r="G186" s="278">
        <v>43163</v>
      </c>
      <c r="H186" s="278">
        <v>38934</v>
      </c>
      <c r="I186" s="278">
        <v>4173</v>
      </c>
      <c r="J186" s="278">
        <v>42197</v>
      </c>
      <c r="K186" s="278">
        <v>38098</v>
      </c>
      <c r="L186" s="278">
        <v>4043</v>
      </c>
      <c r="M186" s="278">
        <v>616</v>
      </c>
      <c r="N186" s="278">
        <v>43163</v>
      </c>
      <c r="O186" s="278">
        <v>38934</v>
      </c>
      <c r="P186" s="278">
        <v>4173</v>
      </c>
      <c r="Q186" s="278">
        <v>42197</v>
      </c>
      <c r="R186" s="278">
        <v>38098</v>
      </c>
      <c r="S186" s="278">
        <v>4043</v>
      </c>
    </row>
    <row r="187" spans="1:19">
      <c r="A187" s="241" t="s">
        <v>3159</v>
      </c>
      <c r="B187" s="241" t="s">
        <v>5303</v>
      </c>
      <c r="C187" s="241" t="s">
        <v>3172</v>
      </c>
      <c r="D187" s="241" t="s">
        <v>3233</v>
      </c>
      <c r="E187" s="241" t="s">
        <v>3348</v>
      </c>
      <c r="F187" s="278">
        <v>138</v>
      </c>
      <c r="G187" s="278">
        <v>4201</v>
      </c>
      <c r="H187" s="278">
        <v>3566</v>
      </c>
      <c r="I187" s="278">
        <v>635</v>
      </c>
      <c r="J187" s="278">
        <v>3996</v>
      </c>
      <c r="K187" s="278">
        <v>3415</v>
      </c>
      <c r="L187" s="278">
        <v>581</v>
      </c>
      <c r="M187" s="278">
        <v>138</v>
      </c>
      <c r="N187" s="278">
        <v>4201</v>
      </c>
      <c r="O187" s="278">
        <v>3566</v>
      </c>
      <c r="P187" s="278">
        <v>635</v>
      </c>
      <c r="Q187" s="278">
        <v>3996</v>
      </c>
      <c r="R187" s="278">
        <v>3415</v>
      </c>
      <c r="S187" s="278">
        <v>581</v>
      </c>
    </row>
    <row r="188" spans="1:19">
      <c r="A188" s="241" t="s">
        <v>3159</v>
      </c>
      <c r="B188" s="241" t="s">
        <v>5303</v>
      </c>
      <c r="C188" s="241" t="s">
        <v>3172</v>
      </c>
      <c r="D188" s="241" t="s">
        <v>3233</v>
      </c>
      <c r="E188" s="241" t="s">
        <v>3349</v>
      </c>
      <c r="F188" s="278">
        <v>1911</v>
      </c>
      <c r="G188" s="278">
        <v>50690</v>
      </c>
      <c r="H188" s="278">
        <v>44056</v>
      </c>
      <c r="I188" s="278">
        <v>6616</v>
      </c>
      <c r="J188" s="278">
        <v>46956</v>
      </c>
      <c r="K188" s="278">
        <v>41221</v>
      </c>
      <c r="L188" s="278">
        <v>5718</v>
      </c>
      <c r="M188" s="278">
        <v>1911</v>
      </c>
      <c r="N188" s="278">
        <v>50690</v>
      </c>
      <c r="O188" s="278">
        <v>44056</v>
      </c>
      <c r="P188" s="278">
        <v>6616</v>
      </c>
      <c r="Q188" s="278">
        <v>46956</v>
      </c>
      <c r="R188" s="278">
        <v>41221</v>
      </c>
      <c r="S188" s="278">
        <v>5718</v>
      </c>
    </row>
    <row r="189" spans="1:19">
      <c r="A189" s="241" t="s">
        <v>3159</v>
      </c>
      <c r="B189" s="241" t="s">
        <v>5303</v>
      </c>
      <c r="C189" s="241" t="s">
        <v>3172</v>
      </c>
      <c r="D189" s="241" t="s">
        <v>3233</v>
      </c>
      <c r="E189" s="241" t="s">
        <v>3350</v>
      </c>
      <c r="F189" s="278">
        <v>4643</v>
      </c>
      <c r="G189" s="278">
        <v>73871</v>
      </c>
      <c r="H189" s="278">
        <v>62271</v>
      </c>
      <c r="I189" s="278">
        <v>11593</v>
      </c>
      <c r="J189" s="278">
        <v>66202</v>
      </c>
      <c r="K189" s="278">
        <v>56602</v>
      </c>
      <c r="L189" s="278">
        <v>9593</v>
      </c>
      <c r="M189" s="278">
        <v>4643</v>
      </c>
      <c r="N189" s="278">
        <v>73871</v>
      </c>
      <c r="O189" s="278">
        <v>62271</v>
      </c>
      <c r="P189" s="278">
        <v>11593</v>
      </c>
      <c r="Q189" s="278">
        <v>66202</v>
      </c>
      <c r="R189" s="278">
        <v>56602</v>
      </c>
      <c r="S189" s="278">
        <v>9593</v>
      </c>
    </row>
    <row r="190" spans="1:19">
      <c r="A190" s="241" t="s">
        <v>3159</v>
      </c>
      <c r="B190" s="241" t="s">
        <v>5303</v>
      </c>
      <c r="C190" s="241" t="s">
        <v>3170</v>
      </c>
      <c r="D190" s="241" t="s">
        <v>3233</v>
      </c>
      <c r="E190" s="241" t="s">
        <v>3351</v>
      </c>
      <c r="F190" s="278">
        <v>4883</v>
      </c>
      <c r="G190" s="278">
        <v>154142</v>
      </c>
      <c r="H190" s="278">
        <v>124443</v>
      </c>
      <c r="I190" s="278">
        <v>29626</v>
      </c>
      <c r="J190" s="278">
        <v>145633</v>
      </c>
      <c r="K190" s="278">
        <v>118098</v>
      </c>
      <c r="L190" s="278">
        <v>27462</v>
      </c>
      <c r="M190" s="278">
        <v>4883</v>
      </c>
      <c r="N190" s="278">
        <v>154142</v>
      </c>
      <c r="O190" s="278">
        <v>124443</v>
      </c>
      <c r="P190" s="278">
        <v>29626</v>
      </c>
      <c r="Q190" s="278">
        <v>145633</v>
      </c>
      <c r="R190" s="278">
        <v>118098</v>
      </c>
      <c r="S190" s="278">
        <v>27462</v>
      </c>
    </row>
    <row r="191" spans="1:19">
      <c r="A191" s="241" t="s">
        <v>3159</v>
      </c>
      <c r="B191" s="241" t="s">
        <v>5303</v>
      </c>
      <c r="C191" s="241" t="s">
        <v>3172</v>
      </c>
      <c r="D191" s="241" t="s">
        <v>3233</v>
      </c>
      <c r="E191" s="241" t="s">
        <v>3352</v>
      </c>
      <c r="F191" s="278">
        <v>124</v>
      </c>
      <c r="G191" s="278">
        <v>3294</v>
      </c>
      <c r="H191" s="278">
        <v>2191</v>
      </c>
      <c r="I191" s="278">
        <v>1103</v>
      </c>
      <c r="J191" s="278">
        <v>3059</v>
      </c>
      <c r="K191" s="278">
        <v>1994</v>
      </c>
      <c r="L191" s="278">
        <v>1065</v>
      </c>
      <c r="M191" s="278">
        <v>124</v>
      </c>
      <c r="N191" s="278">
        <v>3294</v>
      </c>
      <c r="O191" s="278">
        <v>2191</v>
      </c>
      <c r="P191" s="278">
        <v>1103</v>
      </c>
      <c r="Q191" s="278">
        <v>3059</v>
      </c>
      <c r="R191" s="278">
        <v>1994</v>
      </c>
      <c r="S191" s="278">
        <v>1065</v>
      </c>
    </row>
    <row r="192" spans="1:19">
      <c r="A192" s="241" t="s">
        <v>3159</v>
      </c>
      <c r="B192" s="241" t="s">
        <v>5303</v>
      </c>
      <c r="C192" s="241" t="s">
        <v>3172</v>
      </c>
      <c r="D192" s="241" t="s">
        <v>3233</v>
      </c>
      <c r="E192" s="241" t="s">
        <v>3353</v>
      </c>
      <c r="F192" s="278">
        <v>95</v>
      </c>
      <c r="G192" s="278">
        <v>11428</v>
      </c>
      <c r="H192" s="278">
        <v>10178</v>
      </c>
      <c r="I192" s="278">
        <v>1250</v>
      </c>
      <c r="J192" s="278">
        <v>11276</v>
      </c>
      <c r="K192" s="278">
        <v>10034</v>
      </c>
      <c r="L192" s="278">
        <v>1242</v>
      </c>
      <c r="M192" s="278">
        <v>95</v>
      </c>
      <c r="N192" s="278">
        <v>11428</v>
      </c>
      <c r="O192" s="278">
        <v>10178</v>
      </c>
      <c r="P192" s="278">
        <v>1250</v>
      </c>
      <c r="Q192" s="278">
        <v>11276</v>
      </c>
      <c r="R192" s="278">
        <v>10034</v>
      </c>
      <c r="S192" s="278">
        <v>1242</v>
      </c>
    </row>
    <row r="193" spans="1:19">
      <c r="A193" s="241" t="s">
        <v>3159</v>
      </c>
      <c r="B193" s="241" t="s">
        <v>5303</v>
      </c>
      <c r="C193" s="241" t="s">
        <v>3172</v>
      </c>
      <c r="D193" s="241" t="s">
        <v>3233</v>
      </c>
      <c r="E193" s="241" t="s">
        <v>3354</v>
      </c>
      <c r="F193" s="278">
        <v>625</v>
      </c>
      <c r="G193" s="278">
        <v>14389</v>
      </c>
      <c r="H193" s="278">
        <v>12162</v>
      </c>
      <c r="I193" s="278">
        <v>2227</v>
      </c>
      <c r="J193" s="278">
        <v>13257</v>
      </c>
      <c r="K193" s="278">
        <v>11308</v>
      </c>
      <c r="L193" s="278">
        <v>1949</v>
      </c>
      <c r="M193" s="278">
        <v>625</v>
      </c>
      <c r="N193" s="278">
        <v>14389</v>
      </c>
      <c r="O193" s="278">
        <v>12162</v>
      </c>
      <c r="P193" s="278">
        <v>2227</v>
      </c>
      <c r="Q193" s="278">
        <v>13257</v>
      </c>
      <c r="R193" s="278">
        <v>11308</v>
      </c>
      <c r="S193" s="278">
        <v>1949</v>
      </c>
    </row>
    <row r="194" spans="1:19">
      <c r="A194" s="241" t="s">
        <v>3159</v>
      </c>
      <c r="B194" s="241" t="s">
        <v>5303</v>
      </c>
      <c r="C194" s="241" t="s">
        <v>3172</v>
      </c>
      <c r="D194" s="241" t="s">
        <v>3233</v>
      </c>
      <c r="E194" s="241" t="s">
        <v>3355</v>
      </c>
      <c r="F194" s="278">
        <v>765</v>
      </c>
      <c r="G194" s="278">
        <v>33486</v>
      </c>
      <c r="H194" s="278">
        <v>28526</v>
      </c>
      <c r="I194" s="278">
        <v>4947</v>
      </c>
      <c r="J194" s="278">
        <v>32168</v>
      </c>
      <c r="K194" s="278">
        <v>27520</v>
      </c>
      <c r="L194" s="278">
        <v>4635</v>
      </c>
      <c r="M194" s="278">
        <v>765</v>
      </c>
      <c r="N194" s="278">
        <v>33486</v>
      </c>
      <c r="O194" s="278">
        <v>28526</v>
      </c>
      <c r="P194" s="278">
        <v>4947</v>
      </c>
      <c r="Q194" s="278">
        <v>32168</v>
      </c>
      <c r="R194" s="278">
        <v>27520</v>
      </c>
      <c r="S194" s="278">
        <v>4635</v>
      </c>
    </row>
    <row r="195" spans="1:19">
      <c r="A195" s="241" t="s">
        <v>3159</v>
      </c>
      <c r="B195" s="241" t="s">
        <v>5303</v>
      </c>
      <c r="C195" s="241" t="s">
        <v>3172</v>
      </c>
      <c r="D195" s="241" t="s">
        <v>3233</v>
      </c>
      <c r="E195" s="241" t="s">
        <v>3356</v>
      </c>
      <c r="F195" s="278">
        <v>704</v>
      </c>
      <c r="G195" s="278">
        <v>28117</v>
      </c>
      <c r="H195" s="278">
        <v>21074</v>
      </c>
      <c r="I195" s="278">
        <v>7036</v>
      </c>
      <c r="J195" s="278">
        <v>27047</v>
      </c>
      <c r="K195" s="278">
        <v>20298</v>
      </c>
      <c r="L195" s="278">
        <v>6742</v>
      </c>
      <c r="M195" s="278">
        <v>704</v>
      </c>
      <c r="N195" s="278">
        <v>28117</v>
      </c>
      <c r="O195" s="278">
        <v>21074</v>
      </c>
      <c r="P195" s="278">
        <v>7036</v>
      </c>
      <c r="Q195" s="278">
        <v>27047</v>
      </c>
      <c r="R195" s="278">
        <v>20298</v>
      </c>
      <c r="S195" s="278">
        <v>6742</v>
      </c>
    </row>
    <row r="196" spans="1:19">
      <c r="A196" s="241" t="s">
        <v>3159</v>
      </c>
      <c r="B196" s="241" t="s">
        <v>5303</v>
      </c>
      <c r="C196" s="241" t="s">
        <v>3172</v>
      </c>
      <c r="D196" s="241" t="s">
        <v>3233</v>
      </c>
      <c r="E196" s="241" t="s">
        <v>3357</v>
      </c>
      <c r="F196" s="278">
        <v>1955</v>
      </c>
      <c r="G196" s="278">
        <v>45590</v>
      </c>
      <c r="H196" s="278">
        <v>35623</v>
      </c>
      <c r="I196" s="278">
        <v>9964</v>
      </c>
      <c r="J196" s="278">
        <v>41932</v>
      </c>
      <c r="K196" s="278">
        <v>32959</v>
      </c>
      <c r="L196" s="278">
        <v>8970</v>
      </c>
      <c r="M196" s="278">
        <v>1955</v>
      </c>
      <c r="N196" s="278">
        <v>45590</v>
      </c>
      <c r="O196" s="278">
        <v>35623</v>
      </c>
      <c r="P196" s="278">
        <v>9964</v>
      </c>
      <c r="Q196" s="278">
        <v>41932</v>
      </c>
      <c r="R196" s="278">
        <v>32959</v>
      </c>
      <c r="S196" s="278">
        <v>8970</v>
      </c>
    </row>
    <row r="197" spans="1:19">
      <c r="A197" s="241" t="s">
        <v>3159</v>
      </c>
      <c r="B197" s="241" t="s">
        <v>5303</v>
      </c>
      <c r="C197" s="241" t="s">
        <v>3172</v>
      </c>
      <c r="D197" s="241" t="s">
        <v>3233</v>
      </c>
      <c r="E197" s="241" t="s">
        <v>3358</v>
      </c>
      <c r="F197" s="278">
        <v>615</v>
      </c>
      <c r="G197" s="278">
        <v>17838</v>
      </c>
      <c r="H197" s="278">
        <v>14689</v>
      </c>
      <c r="I197" s="278">
        <v>3099</v>
      </c>
      <c r="J197" s="278">
        <v>16894</v>
      </c>
      <c r="K197" s="278">
        <v>13985</v>
      </c>
      <c r="L197" s="278">
        <v>2859</v>
      </c>
      <c r="M197" s="278">
        <v>615</v>
      </c>
      <c r="N197" s="278">
        <v>17838</v>
      </c>
      <c r="O197" s="278">
        <v>14689</v>
      </c>
      <c r="P197" s="278">
        <v>3099</v>
      </c>
      <c r="Q197" s="278">
        <v>16894</v>
      </c>
      <c r="R197" s="278">
        <v>13985</v>
      </c>
      <c r="S197" s="278">
        <v>2859</v>
      </c>
    </row>
    <row r="198" spans="1:19">
      <c r="A198" s="241" t="s">
        <v>3159</v>
      </c>
      <c r="B198" s="241" t="s">
        <v>5303</v>
      </c>
      <c r="C198" s="241" t="s">
        <v>3170</v>
      </c>
      <c r="D198" s="241" t="s">
        <v>3233</v>
      </c>
      <c r="E198" s="241" t="s">
        <v>3359</v>
      </c>
      <c r="F198" s="278">
        <v>55034</v>
      </c>
      <c r="G198" s="278">
        <v>714806</v>
      </c>
      <c r="H198" s="278">
        <v>542654</v>
      </c>
      <c r="I198" s="278">
        <v>171914</v>
      </c>
      <c r="J198" s="278">
        <v>618330</v>
      </c>
      <c r="K198" s="278">
        <v>471674</v>
      </c>
      <c r="L198" s="278">
        <v>146427</v>
      </c>
      <c r="M198" s="278">
        <v>55034</v>
      </c>
      <c r="N198" s="278">
        <v>714806</v>
      </c>
      <c r="O198" s="278">
        <v>542654</v>
      </c>
      <c r="P198" s="278">
        <v>171914</v>
      </c>
      <c r="Q198" s="278">
        <v>618330</v>
      </c>
      <c r="R198" s="278">
        <v>471674</v>
      </c>
      <c r="S198" s="278">
        <v>146427</v>
      </c>
    </row>
    <row r="199" spans="1:19">
      <c r="A199" s="241" t="s">
        <v>3159</v>
      </c>
      <c r="B199" s="241" t="s">
        <v>5303</v>
      </c>
      <c r="C199" s="241" t="s">
        <v>3172</v>
      </c>
      <c r="D199" s="241" t="s">
        <v>3233</v>
      </c>
      <c r="E199" s="241" t="s">
        <v>3360</v>
      </c>
      <c r="F199" s="278">
        <v>739</v>
      </c>
      <c r="G199" s="278">
        <v>7077</v>
      </c>
      <c r="H199" s="278">
        <v>5142</v>
      </c>
      <c r="I199" s="278">
        <v>1935</v>
      </c>
      <c r="J199" s="278">
        <v>6086</v>
      </c>
      <c r="K199" s="278">
        <v>4434</v>
      </c>
      <c r="L199" s="278">
        <v>1652</v>
      </c>
      <c r="M199" s="278">
        <v>739</v>
      </c>
      <c r="N199" s="278">
        <v>7077</v>
      </c>
      <c r="O199" s="278">
        <v>5142</v>
      </c>
      <c r="P199" s="278">
        <v>1935</v>
      </c>
      <c r="Q199" s="278">
        <v>6086</v>
      </c>
      <c r="R199" s="278">
        <v>4434</v>
      </c>
      <c r="S199" s="278">
        <v>1652</v>
      </c>
    </row>
    <row r="200" spans="1:19">
      <c r="A200" s="241" t="s">
        <v>3159</v>
      </c>
      <c r="B200" s="241" t="s">
        <v>5303</v>
      </c>
      <c r="C200" s="241" t="s">
        <v>3172</v>
      </c>
      <c r="D200" s="241" t="s">
        <v>3233</v>
      </c>
      <c r="E200" s="241" t="s">
        <v>3361</v>
      </c>
      <c r="F200" s="278">
        <v>360</v>
      </c>
      <c r="G200" s="278">
        <v>8381</v>
      </c>
      <c r="H200" s="278">
        <v>5910</v>
      </c>
      <c r="I200" s="278">
        <v>2471</v>
      </c>
      <c r="J200" s="278">
        <v>7751</v>
      </c>
      <c r="K200" s="278">
        <v>5469</v>
      </c>
      <c r="L200" s="278">
        <v>2282</v>
      </c>
      <c r="M200" s="278">
        <v>360</v>
      </c>
      <c r="N200" s="278">
        <v>8381</v>
      </c>
      <c r="O200" s="278">
        <v>5910</v>
      </c>
      <c r="P200" s="278">
        <v>2471</v>
      </c>
      <c r="Q200" s="278">
        <v>7751</v>
      </c>
      <c r="R200" s="278">
        <v>5469</v>
      </c>
      <c r="S200" s="278">
        <v>2282</v>
      </c>
    </row>
    <row r="201" spans="1:19">
      <c r="A201" s="241" t="s">
        <v>3159</v>
      </c>
      <c r="B201" s="241" t="s">
        <v>5303</v>
      </c>
      <c r="C201" s="241" t="s">
        <v>3172</v>
      </c>
      <c r="D201" s="241" t="s">
        <v>3233</v>
      </c>
      <c r="E201" s="241" t="s">
        <v>3362</v>
      </c>
      <c r="F201" s="278">
        <v>5347</v>
      </c>
      <c r="G201" s="278">
        <v>50043</v>
      </c>
      <c r="H201" s="278">
        <v>34045</v>
      </c>
      <c r="I201" s="278">
        <v>15966</v>
      </c>
      <c r="J201" s="278">
        <v>41133</v>
      </c>
      <c r="K201" s="278">
        <v>27489</v>
      </c>
      <c r="L201" s="278">
        <v>13612</v>
      </c>
      <c r="M201" s="278">
        <v>5347</v>
      </c>
      <c r="N201" s="278">
        <v>50043</v>
      </c>
      <c r="O201" s="278">
        <v>34045</v>
      </c>
      <c r="P201" s="278">
        <v>15966</v>
      </c>
      <c r="Q201" s="278">
        <v>41133</v>
      </c>
      <c r="R201" s="278">
        <v>27489</v>
      </c>
      <c r="S201" s="278">
        <v>13612</v>
      </c>
    </row>
    <row r="202" spans="1:19">
      <c r="A202" s="241" t="s">
        <v>3159</v>
      </c>
      <c r="B202" s="241" t="s">
        <v>5303</v>
      </c>
      <c r="C202" s="241" t="s">
        <v>3172</v>
      </c>
      <c r="D202" s="241" t="s">
        <v>3233</v>
      </c>
      <c r="E202" s="241" t="s">
        <v>3363</v>
      </c>
      <c r="F202" s="278">
        <v>1867</v>
      </c>
      <c r="G202" s="278">
        <v>38817</v>
      </c>
      <c r="H202" s="278">
        <v>26278</v>
      </c>
      <c r="I202" s="278">
        <v>12521</v>
      </c>
      <c r="J202" s="278">
        <v>35650</v>
      </c>
      <c r="K202" s="278">
        <v>24034</v>
      </c>
      <c r="L202" s="278">
        <v>11598</v>
      </c>
      <c r="M202" s="278">
        <v>1867</v>
      </c>
      <c r="N202" s="278">
        <v>38817</v>
      </c>
      <c r="O202" s="278">
        <v>26278</v>
      </c>
      <c r="P202" s="278">
        <v>12521</v>
      </c>
      <c r="Q202" s="278">
        <v>35650</v>
      </c>
      <c r="R202" s="278">
        <v>24034</v>
      </c>
      <c r="S202" s="278">
        <v>11598</v>
      </c>
    </row>
    <row r="203" spans="1:19">
      <c r="A203" s="241" t="s">
        <v>3159</v>
      </c>
      <c r="B203" s="241" t="s">
        <v>5303</v>
      </c>
      <c r="C203" s="241" t="s">
        <v>3172</v>
      </c>
      <c r="D203" s="241" t="s">
        <v>3233</v>
      </c>
      <c r="E203" s="241" t="s">
        <v>3364</v>
      </c>
      <c r="F203" s="278">
        <v>23167</v>
      </c>
      <c r="G203" s="278">
        <v>272030</v>
      </c>
      <c r="H203" s="278">
        <v>218612</v>
      </c>
      <c r="I203" s="278">
        <v>53296</v>
      </c>
      <c r="J203" s="278">
        <v>230802</v>
      </c>
      <c r="K203" s="278">
        <v>187704</v>
      </c>
      <c r="L203" s="278">
        <v>42984</v>
      </c>
      <c r="M203" s="278">
        <v>23167</v>
      </c>
      <c r="N203" s="278">
        <v>272030</v>
      </c>
      <c r="O203" s="278">
        <v>218612</v>
      </c>
      <c r="P203" s="278">
        <v>53296</v>
      </c>
      <c r="Q203" s="278">
        <v>230802</v>
      </c>
      <c r="R203" s="278">
        <v>187704</v>
      </c>
      <c r="S203" s="278">
        <v>42984</v>
      </c>
    </row>
    <row r="204" spans="1:19">
      <c r="A204" s="241" t="s">
        <v>3159</v>
      </c>
      <c r="B204" s="241" t="s">
        <v>5303</v>
      </c>
      <c r="C204" s="241" t="s">
        <v>3172</v>
      </c>
      <c r="D204" s="241" t="s">
        <v>3233</v>
      </c>
      <c r="E204" s="241" t="s">
        <v>3365</v>
      </c>
      <c r="F204" s="278">
        <v>6643</v>
      </c>
      <c r="G204" s="278">
        <v>104332</v>
      </c>
      <c r="H204" s="278">
        <v>76195</v>
      </c>
      <c r="I204" s="278">
        <v>28137</v>
      </c>
      <c r="J204" s="278">
        <v>92465</v>
      </c>
      <c r="K204" s="278">
        <v>67591</v>
      </c>
      <c r="L204" s="278">
        <v>24874</v>
      </c>
      <c r="M204" s="278">
        <v>6643</v>
      </c>
      <c r="N204" s="278">
        <v>104332</v>
      </c>
      <c r="O204" s="278">
        <v>76195</v>
      </c>
      <c r="P204" s="278">
        <v>28137</v>
      </c>
      <c r="Q204" s="278">
        <v>92465</v>
      </c>
      <c r="R204" s="278">
        <v>67591</v>
      </c>
      <c r="S204" s="278">
        <v>24874</v>
      </c>
    </row>
    <row r="205" spans="1:19">
      <c r="A205" s="241" t="s">
        <v>3159</v>
      </c>
      <c r="B205" s="241" t="s">
        <v>5303</v>
      </c>
      <c r="C205" s="241" t="s">
        <v>3172</v>
      </c>
      <c r="D205" s="241" t="s">
        <v>3233</v>
      </c>
      <c r="E205" s="241" t="s">
        <v>3366</v>
      </c>
      <c r="F205" s="278">
        <v>8796</v>
      </c>
      <c r="G205" s="278">
        <v>118016</v>
      </c>
      <c r="H205" s="278">
        <v>89590</v>
      </c>
      <c r="I205" s="278">
        <v>28384</v>
      </c>
      <c r="J205" s="278">
        <v>102445</v>
      </c>
      <c r="K205" s="278">
        <v>78336</v>
      </c>
      <c r="L205" s="278">
        <v>24067</v>
      </c>
      <c r="M205" s="278">
        <v>8796</v>
      </c>
      <c r="N205" s="278">
        <v>118016</v>
      </c>
      <c r="O205" s="278">
        <v>89590</v>
      </c>
      <c r="P205" s="278">
        <v>28384</v>
      </c>
      <c r="Q205" s="278">
        <v>102445</v>
      </c>
      <c r="R205" s="278">
        <v>78336</v>
      </c>
      <c r="S205" s="278">
        <v>24067</v>
      </c>
    </row>
    <row r="206" spans="1:19">
      <c r="A206" s="241" t="s">
        <v>3159</v>
      </c>
      <c r="B206" s="241" t="s">
        <v>5303</v>
      </c>
      <c r="C206" s="241" t="s">
        <v>3172</v>
      </c>
      <c r="D206" s="241" t="s">
        <v>3233</v>
      </c>
      <c r="E206" s="241" t="s">
        <v>3367</v>
      </c>
      <c r="F206" s="278">
        <v>1275</v>
      </c>
      <c r="G206" s="278">
        <v>14745</v>
      </c>
      <c r="H206" s="278">
        <v>10962</v>
      </c>
      <c r="I206" s="278">
        <v>3775</v>
      </c>
      <c r="J206" s="278">
        <v>12672</v>
      </c>
      <c r="K206" s="278">
        <v>9457</v>
      </c>
      <c r="L206" s="278">
        <v>3207</v>
      </c>
      <c r="M206" s="278">
        <v>1275</v>
      </c>
      <c r="N206" s="278">
        <v>14745</v>
      </c>
      <c r="O206" s="278">
        <v>10962</v>
      </c>
      <c r="P206" s="278">
        <v>3775</v>
      </c>
      <c r="Q206" s="278">
        <v>12672</v>
      </c>
      <c r="R206" s="278">
        <v>9457</v>
      </c>
      <c r="S206" s="278">
        <v>3207</v>
      </c>
    </row>
    <row r="207" spans="1:19">
      <c r="A207" s="241" t="s">
        <v>3159</v>
      </c>
      <c r="B207" s="241" t="s">
        <v>5303</v>
      </c>
      <c r="C207" s="241" t="s">
        <v>3172</v>
      </c>
      <c r="D207" s="241" t="s">
        <v>3233</v>
      </c>
      <c r="E207" s="241" t="s">
        <v>3368</v>
      </c>
      <c r="F207" s="278">
        <v>2995</v>
      </c>
      <c r="G207" s="278">
        <v>44543</v>
      </c>
      <c r="H207" s="278">
        <v>33674</v>
      </c>
      <c r="I207" s="278">
        <v>10858</v>
      </c>
      <c r="J207" s="278">
        <v>39141</v>
      </c>
      <c r="K207" s="278">
        <v>29741</v>
      </c>
      <c r="L207" s="278">
        <v>9390</v>
      </c>
      <c r="M207" s="278">
        <v>2995</v>
      </c>
      <c r="N207" s="278">
        <v>44543</v>
      </c>
      <c r="O207" s="278">
        <v>33674</v>
      </c>
      <c r="P207" s="278">
        <v>10858</v>
      </c>
      <c r="Q207" s="278">
        <v>39141</v>
      </c>
      <c r="R207" s="278">
        <v>29741</v>
      </c>
      <c r="S207" s="278">
        <v>9390</v>
      </c>
    </row>
    <row r="208" spans="1:19">
      <c r="A208" s="241" t="s">
        <v>3159</v>
      </c>
      <c r="B208" s="241" t="s">
        <v>5303</v>
      </c>
      <c r="C208" s="241" t="s">
        <v>3172</v>
      </c>
      <c r="D208" s="241" t="s">
        <v>3233</v>
      </c>
      <c r="E208" s="241" t="s">
        <v>3369</v>
      </c>
      <c r="F208" s="278">
        <v>3845</v>
      </c>
      <c r="G208" s="278">
        <v>56822</v>
      </c>
      <c r="H208" s="278">
        <v>42246</v>
      </c>
      <c r="I208" s="278">
        <v>14571</v>
      </c>
      <c r="J208" s="278">
        <v>50185</v>
      </c>
      <c r="K208" s="278">
        <v>37419</v>
      </c>
      <c r="L208" s="278">
        <v>12761</v>
      </c>
      <c r="M208" s="278">
        <v>3845</v>
      </c>
      <c r="N208" s="278">
        <v>56822</v>
      </c>
      <c r="O208" s="278">
        <v>42246</v>
      </c>
      <c r="P208" s="278">
        <v>14571</v>
      </c>
      <c r="Q208" s="278">
        <v>50185</v>
      </c>
      <c r="R208" s="278">
        <v>37419</v>
      </c>
      <c r="S208" s="278">
        <v>12761</v>
      </c>
    </row>
    <row r="209" spans="1:19">
      <c r="A209" s="241" t="s">
        <v>3159</v>
      </c>
      <c r="B209" s="241" t="s">
        <v>5303</v>
      </c>
      <c r="C209" s="241" t="s">
        <v>3170</v>
      </c>
      <c r="D209" s="241" t="s">
        <v>3233</v>
      </c>
      <c r="E209" s="241" t="s">
        <v>3370</v>
      </c>
      <c r="F209" s="278">
        <v>15770</v>
      </c>
      <c r="G209" s="278">
        <v>362583</v>
      </c>
      <c r="H209" s="278">
        <v>293546</v>
      </c>
      <c r="I209" s="278">
        <v>69015</v>
      </c>
      <c r="J209" s="278">
        <v>335011</v>
      </c>
      <c r="K209" s="278">
        <v>272587</v>
      </c>
      <c r="L209" s="278">
        <v>62404</v>
      </c>
      <c r="M209" s="278">
        <v>15770</v>
      </c>
      <c r="N209" s="278">
        <v>362583</v>
      </c>
      <c r="O209" s="278">
        <v>293546</v>
      </c>
      <c r="P209" s="278">
        <v>69015</v>
      </c>
      <c r="Q209" s="278">
        <v>335011</v>
      </c>
      <c r="R209" s="278">
        <v>272587</v>
      </c>
      <c r="S209" s="278">
        <v>62404</v>
      </c>
    </row>
    <row r="210" spans="1:19">
      <c r="A210" s="241" t="s">
        <v>3159</v>
      </c>
      <c r="B210" s="241" t="s">
        <v>5303</v>
      </c>
      <c r="C210" s="241" t="s">
        <v>3172</v>
      </c>
      <c r="D210" s="241" t="s">
        <v>3233</v>
      </c>
      <c r="E210" s="241" t="s">
        <v>3371</v>
      </c>
      <c r="F210" s="278">
        <v>268</v>
      </c>
      <c r="G210" s="278">
        <v>8928</v>
      </c>
      <c r="H210" s="278">
        <v>7310</v>
      </c>
      <c r="I210" s="278">
        <v>1618</v>
      </c>
      <c r="J210" s="278">
        <v>8477</v>
      </c>
      <c r="K210" s="278">
        <v>6966</v>
      </c>
      <c r="L210" s="278">
        <v>1511</v>
      </c>
      <c r="M210" s="278">
        <v>268</v>
      </c>
      <c r="N210" s="278">
        <v>8928</v>
      </c>
      <c r="O210" s="278">
        <v>7310</v>
      </c>
      <c r="P210" s="278">
        <v>1618</v>
      </c>
      <c r="Q210" s="278">
        <v>8477</v>
      </c>
      <c r="R210" s="278">
        <v>6966</v>
      </c>
      <c r="S210" s="278">
        <v>1511</v>
      </c>
    </row>
    <row r="211" spans="1:19">
      <c r="A211" s="241" t="s">
        <v>3159</v>
      </c>
      <c r="B211" s="241" t="s">
        <v>5303</v>
      </c>
      <c r="C211" s="241" t="s">
        <v>3172</v>
      </c>
      <c r="D211" s="241" t="s">
        <v>3233</v>
      </c>
      <c r="E211" s="241" t="s">
        <v>3372</v>
      </c>
      <c r="F211" s="278">
        <v>556</v>
      </c>
      <c r="G211" s="278">
        <v>41451</v>
      </c>
      <c r="H211" s="278">
        <v>36500</v>
      </c>
      <c r="I211" s="278">
        <v>4949</v>
      </c>
      <c r="J211" s="278">
        <v>40415</v>
      </c>
      <c r="K211" s="278">
        <v>35719</v>
      </c>
      <c r="L211" s="278">
        <v>4695</v>
      </c>
      <c r="M211" s="278">
        <v>556</v>
      </c>
      <c r="N211" s="278">
        <v>41451</v>
      </c>
      <c r="O211" s="278">
        <v>36500</v>
      </c>
      <c r="P211" s="278">
        <v>4949</v>
      </c>
      <c r="Q211" s="278">
        <v>40415</v>
      </c>
      <c r="R211" s="278">
        <v>35719</v>
      </c>
      <c r="S211" s="278">
        <v>4695</v>
      </c>
    </row>
    <row r="212" spans="1:19">
      <c r="A212" s="241" t="s">
        <v>3159</v>
      </c>
      <c r="B212" s="241" t="s">
        <v>5303</v>
      </c>
      <c r="C212" s="241" t="s">
        <v>3172</v>
      </c>
      <c r="D212" s="241" t="s">
        <v>3233</v>
      </c>
      <c r="E212" s="241" t="s">
        <v>3373</v>
      </c>
      <c r="F212" s="278">
        <v>2225</v>
      </c>
      <c r="G212" s="278">
        <v>65977</v>
      </c>
      <c r="H212" s="278">
        <v>51269</v>
      </c>
      <c r="I212" s="278">
        <v>14698</v>
      </c>
      <c r="J212" s="278">
        <v>61925</v>
      </c>
      <c r="K212" s="278">
        <v>48226</v>
      </c>
      <c r="L212" s="278">
        <v>13689</v>
      </c>
      <c r="M212" s="278">
        <v>2225</v>
      </c>
      <c r="N212" s="278">
        <v>65977</v>
      </c>
      <c r="O212" s="278">
        <v>51269</v>
      </c>
      <c r="P212" s="278">
        <v>14698</v>
      </c>
      <c r="Q212" s="278">
        <v>61925</v>
      </c>
      <c r="R212" s="278">
        <v>48226</v>
      </c>
      <c r="S212" s="278">
        <v>13689</v>
      </c>
    </row>
    <row r="213" spans="1:19">
      <c r="A213" s="241" t="s">
        <v>3159</v>
      </c>
      <c r="B213" s="241" t="s">
        <v>5303</v>
      </c>
      <c r="C213" s="241" t="s">
        <v>3172</v>
      </c>
      <c r="D213" s="241" t="s">
        <v>3233</v>
      </c>
      <c r="E213" s="241" t="s">
        <v>3374</v>
      </c>
      <c r="F213" s="278">
        <v>4689</v>
      </c>
      <c r="G213" s="278">
        <v>114404</v>
      </c>
      <c r="H213" s="278">
        <v>93427</v>
      </c>
      <c r="I213" s="278">
        <v>20969</v>
      </c>
      <c r="J213" s="278">
        <v>106054</v>
      </c>
      <c r="K213" s="278">
        <v>87053</v>
      </c>
      <c r="L213" s="278">
        <v>18993</v>
      </c>
      <c r="M213" s="278">
        <v>4689</v>
      </c>
      <c r="N213" s="278">
        <v>114404</v>
      </c>
      <c r="O213" s="278">
        <v>93427</v>
      </c>
      <c r="P213" s="278">
        <v>20969</v>
      </c>
      <c r="Q213" s="278">
        <v>106054</v>
      </c>
      <c r="R213" s="278">
        <v>87053</v>
      </c>
      <c r="S213" s="278">
        <v>18993</v>
      </c>
    </row>
    <row r="214" spans="1:19">
      <c r="A214" s="241" t="s">
        <v>3159</v>
      </c>
      <c r="B214" s="241" t="s">
        <v>5303</v>
      </c>
      <c r="C214" s="241" t="s">
        <v>3172</v>
      </c>
      <c r="D214" s="241" t="s">
        <v>3233</v>
      </c>
      <c r="E214" s="241" t="s">
        <v>3375</v>
      </c>
      <c r="F214" s="278">
        <v>8032</v>
      </c>
      <c r="G214" s="278">
        <v>131823</v>
      </c>
      <c r="H214" s="278">
        <v>105040</v>
      </c>
      <c r="I214" s="278">
        <v>26781</v>
      </c>
      <c r="J214" s="278">
        <v>118140</v>
      </c>
      <c r="K214" s="278">
        <v>94623</v>
      </c>
      <c r="L214" s="278">
        <v>23516</v>
      </c>
      <c r="M214" s="278">
        <v>8032</v>
      </c>
      <c r="N214" s="278">
        <v>131823</v>
      </c>
      <c r="O214" s="278">
        <v>105040</v>
      </c>
      <c r="P214" s="278">
        <v>26781</v>
      </c>
      <c r="Q214" s="278">
        <v>118140</v>
      </c>
      <c r="R214" s="278">
        <v>94623</v>
      </c>
      <c r="S214" s="278">
        <v>23516</v>
      </c>
    </row>
    <row r="215" spans="1:19">
      <c r="A215" s="241" t="s">
        <v>3159</v>
      </c>
      <c r="B215" s="241" t="s">
        <v>5303</v>
      </c>
      <c r="C215" s="241" t="s">
        <v>3170</v>
      </c>
      <c r="D215" s="241" t="s">
        <v>3233</v>
      </c>
      <c r="E215" s="241" t="s">
        <v>3376</v>
      </c>
      <c r="F215" s="278">
        <v>37199</v>
      </c>
      <c r="G215" s="278">
        <v>695895</v>
      </c>
      <c r="H215" s="278">
        <v>567708</v>
      </c>
      <c r="I215" s="278">
        <v>128034</v>
      </c>
      <c r="J215" s="278">
        <v>627465</v>
      </c>
      <c r="K215" s="278">
        <v>516306</v>
      </c>
      <c r="L215" s="278">
        <v>111011</v>
      </c>
      <c r="M215" s="278">
        <v>37199</v>
      </c>
      <c r="N215" s="278">
        <v>695895</v>
      </c>
      <c r="O215" s="278">
        <v>567708</v>
      </c>
      <c r="P215" s="278">
        <v>128034</v>
      </c>
      <c r="Q215" s="278">
        <v>627465</v>
      </c>
      <c r="R215" s="278">
        <v>516306</v>
      </c>
      <c r="S215" s="278">
        <v>111011</v>
      </c>
    </row>
    <row r="216" spans="1:19">
      <c r="A216" s="241" t="s">
        <v>3159</v>
      </c>
      <c r="B216" s="241" t="s">
        <v>5303</v>
      </c>
      <c r="C216" s="241" t="s">
        <v>3172</v>
      </c>
      <c r="D216" s="241" t="s">
        <v>3233</v>
      </c>
      <c r="E216" s="241" t="s">
        <v>3377</v>
      </c>
      <c r="F216" s="278">
        <v>493</v>
      </c>
      <c r="G216" s="278">
        <v>7569</v>
      </c>
      <c r="H216" s="278">
        <v>5788</v>
      </c>
      <c r="I216" s="278">
        <v>1776</v>
      </c>
      <c r="J216" s="278">
        <v>6820</v>
      </c>
      <c r="K216" s="278">
        <v>5238</v>
      </c>
      <c r="L216" s="278">
        <v>1577</v>
      </c>
      <c r="M216" s="278">
        <v>493</v>
      </c>
      <c r="N216" s="278">
        <v>7569</v>
      </c>
      <c r="O216" s="278">
        <v>5788</v>
      </c>
      <c r="P216" s="278">
        <v>1776</v>
      </c>
      <c r="Q216" s="278">
        <v>6820</v>
      </c>
      <c r="R216" s="278">
        <v>5238</v>
      </c>
      <c r="S216" s="278">
        <v>1577</v>
      </c>
    </row>
    <row r="217" spans="1:19">
      <c r="A217" s="241" t="s">
        <v>3159</v>
      </c>
      <c r="B217" s="241" t="s">
        <v>5303</v>
      </c>
      <c r="C217" s="241" t="s">
        <v>3172</v>
      </c>
      <c r="D217" s="241" t="s">
        <v>3233</v>
      </c>
      <c r="E217" s="241" t="s">
        <v>3378</v>
      </c>
      <c r="F217" s="278">
        <v>1368</v>
      </c>
      <c r="G217" s="278">
        <v>32967</v>
      </c>
      <c r="H217" s="278">
        <v>27024</v>
      </c>
      <c r="I217" s="278">
        <v>5943</v>
      </c>
      <c r="J217" s="278">
        <v>30233</v>
      </c>
      <c r="K217" s="278">
        <v>24930</v>
      </c>
      <c r="L217" s="278">
        <v>5303</v>
      </c>
      <c r="M217" s="278">
        <v>1368</v>
      </c>
      <c r="N217" s="278">
        <v>32967</v>
      </c>
      <c r="O217" s="278">
        <v>27024</v>
      </c>
      <c r="P217" s="278">
        <v>5943</v>
      </c>
      <c r="Q217" s="278">
        <v>30233</v>
      </c>
      <c r="R217" s="278">
        <v>24930</v>
      </c>
      <c r="S217" s="278">
        <v>5303</v>
      </c>
    </row>
    <row r="218" spans="1:19">
      <c r="A218" s="241" t="s">
        <v>3159</v>
      </c>
      <c r="B218" s="241" t="s">
        <v>5303</v>
      </c>
      <c r="C218" s="241" t="s">
        <v>3172</v>
      </c>
      <c r="D218" s="241" t="s">
        <v>3233</v>
      </c>
      <c r="E218" s="241" t="s">
        <v>3379</v>
      </c>
      <c r="F218" s="278">
        <v>2337</v>
      </c>
      <c r="G218" s="278">
        <v>69908</v>
      </c>
      <c r="H218" s="278">
        <v>60721</v>
      </c>
      <c r="I218" s="278">
        <v>9182</v>
      </c>
      <c r="J218" s="278">
        <v>65694</v>
      </c>
      <c r="K218" s="278">
        <v>57631</v>
      </c>
      <c r="L218" s="278">
        <v>8058</v>
      </c>
      <c r="M218" s="278">
        <v>2337</v>
      </c>
      <c r="N218" s="278">
        <v>69908</v>
      </c>
      <c r="O218" s="278">
        <v>60721</v>
      </c>
      <c r="P218" s="278">
        <v>9182</v>
      </c>
      <c r="Q218" s="278">
        <v>65694</v>
      </c>
      <c r="R218" s="278">
        <v>57631</v>
      </c>
      <c r="S218" s="278">
        <v>8058</v>
      </c>
    </row>
    <row r="219" spans="1:19">
      <c r="A219" s="241" t="s">
        <v>3159</v>
      </c>
      <c r="B219" s="241" t="s">
        <v>5303</v>
      </c>
      <c r="C219" s="241" t="s">
        <v>3172</v>
      </c>
      <c r="D219" s="241" t="s">
        <v>3233</v>
      </c>
      <c r="E219" s="241" t="s">
        <v>3380</v>
      </c>
      <c r="F219" s="278">
        <v>754</v>
      </c>
      <c r="G219" s="278">
        <v>13777</v>
      </c>
      <c r="H219" s="278">
        <v>10564</v>
      </c>
      <c r="I219" s="278">
        <v>3213</v>
      </c>
      <c r="J219" s="278">
        <v>12398</v>
      </c>
      <c r="K219" s="278">
        <v>9516</v>
      </c>
      <c r="L219" s="278">
        <v>2882</v>
      </c>
      <c r="M219" s="278">
        <v>754</v>
      </c>
      <c r="N219" s="278">
        <v>13777</v>
      </c>
      <c r="O219" s="278">
        <v>10564</v>
      </c>
      <c r="P219" s="278">
        <v>3213</v>
      </c>
      <c r="Q219" s="278">
        <v>12398</v>
      </c>
      <c r="R219" s="278">
        <v>9516</v>
      </c>
      <c r="S219" s="278">
        <v>2882</v>
      </c>
    </row>
    <row r="220" spans="1:19">
      <c r="A220" s="241" t="s">
        <v>3159</v>
      </c>
      <c r="B220" s="241" t="s">
        <v>5303</v>
      </c>
      <c r="C220" s="241" t="s">
        <v>3172</v>
      </c>
      <c r="D220" s="241" t="s">
        <v>3233</v>
      </c>
      <c r="E220" s="241" t="s">
        <v>3381</v>
      </c>
      <c r="F220" s="278">
        <v>3753</v>
      </c>
      <c r="G220" s="278">
        <v>55272</v>
      </c>
      <c r="H220" s="278">
        <v>45190</v>
      </c>
      <c r="I220" s="278">
        <v>10077</v>
      </c>
      <c r="J220" s="278">
        <v>48258</v>
      </c>
      <c r="K220" s="278">
        <v>39848</v>
      </c>
      <c r="L220" s="278">
        <v>8405</v>
      </c>
      <c r="M220" s="278">
        <v>3753</v>
      </c>
      <c r="N220" s="278">
        <v>55272</v>
      </c>
      <c r="O220" s="278">
        <v>45190</v>
      </c>
      <c r="P220" s="278">
        <v>10077</v>
      </c>
      <c r="Q220" s="278">
        <v>48258</v>
      </c>
      <c r="R220" s="278">
        <v>39848</v>
      </c>
      <c r="S220" s="278">
        <v>8405</v>
      </c>
    </row>
    <row r="221" spans="1:19">
      <c r="A221" s="241" t="s">
        <v>3159</v>
      </c>
      <c r="B221" s="241" t="s">
        <v>5303</v>
      </c>
      <c r="C221" s="241" t="s">
        <v>3172</v>
      </c>
      <c r="D221" s="241" t="s">
        <v>3233</v>
      </c>
      <c r="E221" s="241" t="s">
        <v>3382</v>
      </c>
      <c r="F221" s="278">
        <v>2615</v>
      </c>
      <c r="G221" s="278">
        <v>56968</v>
      </c>
      <c r="H221" s="278">
        <v>47747</v>
      </c>
      <c r="I221" s="278">
        <v>9177</v>
      </c>
      <c r="J221" s="278">
        <v>52150</v>
      </c>
      <c r="K221" s="278">
        <v>44010</v>
      </c>
      <c r="L221" s="278">
        <v>8098</v>
      </c>
      <c r="M221" s="278">
        <v>2615</v>
      </c>
      <c r="N221" s="278">
        <v>56968</v>
      </c>
      <c r="O221" s="278">
        <v>47747</v>
      </c>
      <c r="P221" s="278">
        <v>9177</v>
      </c>
      <c r="Q221" s="278">
        <v>52150</v>
      </c>
      <c r="R221" s="278">
        <v>44010</v>
      </c>
      <c r="S221" s="278">
        <v>8098</v>
      </c>
    </row>
    <row r="222" spans="1:19">
      <c r="A222" s="241" t="s">
        <v>3159</v>
      </c>
      <c r="B222" s="241" t="s">
        <v>5303</v>
      </c>
      <c r="C222" s="241" t="s">
        <v>3172</v>
      </c>
      <c r="D222" s="241" t="s">
        <v>3233</v>
      </c>
      <c r="E222" s="241" t="s">
        <v>3383</v>
      </c>
      <c r="F222" s="278">
        <v>11093</v>
      </c>
      <c r="G222" s="278">
        <v>179160</v>
      </c>
      <c r="H222" s="278">
        <v>145363</v>
      </c>
      <c r="I222" s="278">
        <v>33778</v>
      </c>
      <c r="J222" s="278">
        <v>158557</v>
      </c>
      <c r="K222" s="278">
        <v>130012</v>
      </c>
      <c r="L222" s="278">
        <v>28526</v>
      </c>
      <c r="M222" s="278">
        <v>11093</v>
      </c>
      <c r="N222" s="278">
        <v>179160</v>
      </c>
      <c r="O222" s="278">
        <v>145363</v>
      </c>
      <c r="P222" s="278">
        <v>33778</v>
      </c>
      <c r="Q222" s="278">
        <v>158557</v>
      </c>
      <c r="R222" s="278">
        <v>130012</v>
      </c>
      <c r="S222" s="278">
        <v>28526</v>
      </c>
    </row>
    <row r="223" spans="1:19">
      <c r="A223" s="241" t="s">
        <v>3159</v>
      </c>
      <c r="B223" s="241" t="s">
        <v>5303</v>
      </c>
      <c r="C223" s="241" t="s">
        <v>3172</v>
      </c>
      <c r="D223" s="241" t="s">
        <v>3233</v>
      </c>
      <c r="E223" s="241" t="s">
        <v>3384</v>
      </c>
      <c r="F223" s="278">
        <v>2507</v>
      </c>
      <c r="G223" s="278">
        <v>89371</v>
      </c>
      <c r="H223" s="278">
        <v>69949</v>
      </c>
      <c r="I223" s="278">
        <v>19398</v>
      </c>
      <c r="J223" s="278">
        <v>84678</v>
      </c>
      <c r="K223" s="278">
        <v>66363</v>
      </c>
      <c r="L223" s="278">
        <v>18291</v>
      </c>
      <c r="M223" s="278">
        <v>2507</v>
      </c>
      <c r="N223" s="278">
        <v>89371</v>
      </c>
      <c r="O223" s="278">
        <v>69949</v>
      </c>
      <c r="P223" s="278">
        <v>19398</v>
      </c>
      <c r="Q223" s="278">
        <v>84678</v>
      </c>
      <c r="R223" s="278">
        <v>66363</v>
      </c>
      <c r="S223" s="278">
        <v>18291</v>
      </c>
    </row>
    <row r="224" spans="1:19">
      <c r="A224" s="241" t="s">
        <v>3159</v>
      </c>
      <c r="B224" s="241" t="s">
        <v>5303</v>
      </c>
      <c r="C224" s="241" t="s">
        <v>3172</v>
      </c>
      <c r="D224" s="241" t="s">
        <v>3233</v>
      </c>
      <c r="E224" s="241" t="s">
        <v>3385</v>
      </c>
      <c r="F224" s="278">
        <v>12279</v>
      </c>
      <c r="G224" s="278">
        <v>190903</v>
      </c>
      <c r="H224" s="278">
        <v>155362</v>
      </c>
      <c r="I224" s="278">
        <v>35490</v>
      </c>
      <c r="J224" s="278">
        <v>168677</v>
      </c>
      <c r="K224" s="278">
        <v>138758</v>
      </c>
      <c r="L224" s="278">
        <v>29871</v>
      </c>
      <c r="M224" s="278">
        <v>12279</v>
      </c>
      <c r="N224" s="278">
        <v>190903</v>
      </c>
      <c r="O224" s="278">
        <v>155362</v>
      </c>
      <c r="P224" s="278">
        <v>35490</v>
      </c>
      <c r="Q224" s="278">
        <v>168677</v>
      </c>
      <c r="R224" s="278">
        <v>138758</v>
      </c>
      <c r="S224" s="278">
        <v>29871</v>
      </c>
    </row>
    <row r="225" spans="1:19">
      <c r="A225" s="241" t="s">
        <v>3159</v>
      </c>
      <c r="B225" s="241" t="s">
        <v>5303</v>
      </c>
      <c r="C225" s="241" t="s">
        <v>3170</v>
      </c>
      <c r="D225" s="241" t="s">
        <v>3233</v>
      </c>
      <c r="E225" s="241" t="s">
        <v>3386</v>
      </c>
      <c r="F225" s="278">
        <v>8508</v>
      </c>
      <c r="G225" s="278">
        <v>247955</v>
      </c>
      <c r="H225" s="278">
        <v>172457</v>
      </c>
      <c r="I225" s="278">
        <v>74853</v>
      </c>
      <c r="J225" s="278">
        <v>233143</v>
      </c>
      <c r="K225" s="278">
        <v>161442</v>
      </c>
      <c r="L225" s="278">
        <v>71089</v>
      </c>
      <c r="M225" s="278">
        <v>8508</v>
      </c>
      <c r="N225" s="278">
        <v>247955</v>
      </c>
      <c r="O225" s="278">
        <v>172457</v>
      </c>
      <c r="P225" s="278">
        <v>74853</v>
      </c>
      <c r="Q225" s="278">
        <v>233143</v>
      </c>
      <c r="R225" s="278">
        <v>161442</v>
      </c>
      <c r="S225" s="278">
        <v>71089</v>
      </c>
    </row>
    <row r="226" spans="1:19">
      <c r="A226" s="241" t="s">
        <v>3159</v>
      </c>
      <c r="B226" s="241" t="s">
        <v>5303</v>
      </c>
      <c r="C226" s="241" t="s">
        <v>3172</v>
      </c>
      <c r="D226" s="241" t="s">
        <v>3233</v>
      </c>
      <c r="E226" s="241" t="s">
        <v>3387</v>
      </c>
      <c r="F226" s="278">
        <v>226</v>
      </c>
      <c r="G226" s="278">
        <v>5570</v>
      </c>
      <c r="H226" s="278">
        <v>3646</v>
      </c>
      <c r="I226" s="278">
        <v>1290</v>
      </c>
      <c r="J226" s="278">
        <v>5289</v>
      </c>
      <c r="K226" s="278">
        <v>3465</v>
      </c>
      <c r="L226" s="278">
        <v>1223</v>
      </c>
      <c r="M226" s="278">
        <v>226</v>
      </c>
      <c r="N226" s="278">
        <v>5570</v>
      </c>
      <c r="O226" s="278">
        <v>3646</v>
      </c>
      <c r="P226" s="278">
        <v>1290</v>
      </c>
      <c r="Q226" s="278">
        <v>5289</v>
      </c>
      <c r="R226" s="278">
        <v>3465</v>
      </c>
      <c r="S226" s="278">
        <v>1223</v>
      </c>
    </row>
    <row r="227" spans="1:19">
      <c r="A227" s="241" t="s">
        <v>3159</v>
      </c>
      <c r="B227" s="241" t="s">
        <v>5303</v>
      </c>
      <c r="C227" s="241" t="s">
        <v>3172</v>
      </c>
      <c r="D227" s="241" t="s">
        <v>3233</v>
      </c>
      <c r="E227" s="241" t="s">
        <v>3388</v>
      </c>
      <c r="F227" s="278">
        <v>511</v>
      </c>
      <c r="G227" s="278">
        <v>37772</v>
      </c>
      <c r="H227" s="278">
        <v>28119</v>
      </c>
      <c r="I227" s="278">
        <v>9653</v>
      </c>
      <c r="J227" s="278">
        <v>36980</v>
      </c>
      <c r="K227" s="278">
        <v>27510</v>
      </c>
      <c r="L227" s="278">
        <v>9470</v>
      </c>
      <c r="M227" s="278">
        <v>511</v>
      </c>
      <c r="N227" s="278">
        <v>37772</v>
      </c>
      <c r="O227" s="278">
        <v>28119</v>
      </c>
      <c r="P227" s="278">
        <v>9653</v>
      </c>
      <c r="Q227" s="278">
        <v>36980</v>
      </c>
      <c r="R227" s="278">
        <v>27510</v>
      </c>
      <c r="S227" s="278">
        <v>9470</v>
      </c>
    </row>
    <row r="228" spans="1:19">
      <c r="A228" s="241" t="s">
        <v>3159</v>
      </c>
      <c r="B228" s="241" t="s">
        <v>5303</v>
      </c>
      <c r="C228" s="241" t="s">
        <v>3172</v>
      </c>
      <c r="D228" s="241" t="s">
        <v>3233</v>
      </c>
      <c r="E228" s="241" t="s">
        <v>3389</v>
      </c>
      <c r="F228" s="278">
        <v>1321</v>
      </c>
      <c r="G228" s="278">
        <v>33154</v>
      </c>
      <c r="H228" s="278">
        <v>23858</v>
      </c>
      <c r="I228" s="278">
        <v>9296</v>
      </c>
      <c r="J228" s="278">
        <v>30657</v>
      </c>
      <c r="K228" s="278">
        <v>22028</v>
      </c>
      <c r="L228" s="278">
        <v>8629</v>
      </c>
      <c r="M228" s="278">
        <v>1321</v>
      </c>
      <c r="N228" s="278">
        <v>33154</v>
      </c>
      <c r="O228" s="278">
        <v>23858</v>
      </c>
      <c r="P228" s="278">
        <v>9296</v>
      </c>
      <c r="Q228" s="278">
        <v>30657</v>
      </c>
      <c r="R228" s="278">
        <v>22028</v>
      </c>
      <c r="S228" s="278">
        <v>8629</v>
      </c>
    </row>
    <row r="229" spans="1:19">
      <c r="A229" s="241" t="s">
        <v>3159</v>
      </c>
      <c r="B229" s="241" t="s">
        <v>5303</v>
      </c>
      <c r="C229" s="241" t="s">
        <v>3172</v>
      </c>
      <c r="D229" s="241" t="s">
        <v>3233</v>
      </c>
      <c r="E229" s="241" t="s">
        <v>3390</v>
      </c>
      <c r="F229" s="278">
        <v>3043</v>
      </c>
      <c r="G229" s="278">
        <v>69711</v>
      </c>
      <c r="H229" s="278">
        <v>50782</v>
      </c>
      <c r="I229" s="278">
        <v>18924</v>
      </c>
      <c r="J229" s="278">
        <v>64338</v>
      </c>
      <c r="K229" s="278">
        <v>46624</v>
      </c>
      <c r="L229" s="278">
        <v>17709</v>
      </c>
      <c r="M229" s="278">
        <v>3043</v>
      </c>
      <c r="N229" s="278">
        <v>69711</v>
      </c>
      <c r="O229" s="278">
        <v>50782</v>
      </c>
      <c r="P229" s="278">
        <v>18924</v>
      </c>
      <c r="Q229" s="278">
        <v>64338</v>
      </c>
      <c r="R229" s="278">
        <v>46624</v>
      </c>
      <c r="S229" s="278">
        <v>17709</v>
      </c>
    </row>
    <row r="230" spans="1:19">
      <c r="A230" s="241" t="s">
        <v>3159</v>
      </c>
      <c r="B230" s="241" t="s">
        <v>5303</v>
      </c>
      <c r="C230" s="241" t="s">
        <v>3172</v>
      </c>
      <c r="D230" s="241" t="s">
        <v>3233</v>
      </c>
      <c r="E230" s="241" t="s">
        <v>3391</v>
      </c>
      <c r="F230" s="278">
        <v>2387</v>
      </c>
      <c r="G230" s="278">
        <v>68290</v>
      </c>
      <c r="H230" s="278">
        <v>42653</v>
      </c>
      <c r="I230" s="278">
        <v>25631</v>
      </c>
      <c r="J230" s="278">
        <v>64138</v>
      </c>
      <c r="K230" s="278">
        <v>39690</v>
      </c>
      <c r="L230" s="278">
        <v>24442</v>
      </c>
      <c r="M230" s="278">
        <v>2387</v>
      </c>
      <c r="N230" s="278">
        <v>68290</v>
      </c>
      <c r="O230" s="278">
        <v>42653</v>
      </c>
      <c r="P230" s="278">
        <v>25631</v>
      </c>
      <c r="Q230" s="278">
        <v>64138</v>
      </c>
      <c r="R230" s="278">
        <v>39690</v>
      </c>
      <c r="S230" s="278">
        <v>24442</v>
      </c>
    </row>
    <row r="231" spans="1:19">
      <c r="A231" s="241" t="s">
        <v>3159</v>
      </c>
      <c r="B231" s="241" t="s">
        <v>5303</v>
      </c>
      <c r="C231" s="241" t="s">
        <v>3172</v>
      </c>
      <c r="D231" s="241" t="s">
        <v>3233</v>
      </c>
      <c r="E231" s="241" t="s">
        <v>3392</v>
      </c>
      <c r="F231" s="278">
        <v>969</v>
      </c>
      <c r="G231" s="278">
        <v>25004</v>
      </c>
      <c r="H231" s="278">
        <v>16069</v>
      </c>
      <c r="I231" s="278">
        <v>8935</v>
      </c>
      <c r="J231" s="278">
        <v>23378</v>
      </c>
      <c r="K231" s="278">
        <v>14868</v>
      </c>
      <c r="L231" s="278">
        <v>8510</v>
      </c>
      <c r="M231" s="278">
        <v>969</v>
      </c>
      <c r="N231" s="278">
        <v>25004</v>
      </c>
      <c r="O231" s="278">
        <v>16069</v>
      </c>
      <c r="P231" s="278">
        <v>8935</v>
      </c>
      <c r="Q231" s="278">
        <v>23378</v>
      </c>
      <c r="R231" s="278">
        <v>14868</v>
      </c>
      <c r="S231" s="278">
        <v>8510</v>
      </c>
    </row>
    <row r="232" spans="1:19">
      <c r="A232" s="241" t="s">
        <v>3159</v>
      </c>
      <c r="B232" s="241" t="s">
        <v>5303</v>
      </c>
      <c r="C232" s="241" t="s">
        <v>3172</v>
      </c>
      <c r="D232" s="241" t="s">
        <v>3233</v>
      </c>
      <c r="E232" s="241" t="s">
        <v>3393</v>
      </c>
      <c r="F232" s="278">
        <v>51</v>
      </c>
      <c r="G232" s="278">
        <v>8454</v>
      </c>
      <c r="H232" s="278">
        <v>7330</v>
      </c>
      <c r="I232" s="278">
        <v>1124</v>
      </c>
      <c r="J232" s="278">
        <v>8363</v>
      </c>
      <c r="K232" s="278">
        <v>7257</v>
      </c>
      <c r="L232" s="278">
        <v>1106</v>
      </c>
      <c r="M232" s="278">
        <v>51</v>
      </c>
      <c r="N232" s="278">
        <v>8454</v>
      </c>
      <c r="O232" s="278">
        <v>7330</v>
      </c>
      <c r="P232" s="278">
        <v>1124</v>
      </c>
      <c r="Q232" s="278">
        <v>8363</v>
      </c>
      <c r="R232" s="278">
        <v>7257</v>
      </c>
      <c r="S232" s="278">
        <v>1106</v>
      </c>
    </row>
    <row r="233" spans="1:19">
      <c r="A233" s="241" t="s">
        <v>3159</v>
      </c>
      <c r="B233" s="241" t="s">
        <v>5303</v>
      </c>
      <c r="C233" s="241" t="s">
        <v>3170</v>
      </c>
      <c r="D233" s="241" t="s">
        <v>3233</v>
      </c>
      <c r="E233" s="241" t="s">
        <v>3394</v>
      </c>
      <c r="F233" s="278">
        <v>7498</v>
      </c>
      <c r="G233" s="278">
        <v>428269</v>
      </c>
      <c r="H233" s="278">
        <v>307135</v>
      </c>
      <c r="I233" s="278">
        <v>121094</v>
      </c>
      <c r="J233" s="278">
        <v>415917</v>
      </c>
      <c r="K233" s="278">
        <v>298237</v>
      </c>
      <c r="L233" s="278">
        <v>117640</v>
      </c>
      <c r="M233" s="278">
        <v>7498</v>
      </c>
      <c r="N233" s="278">
        <v>428269</v>
      </c>
      <c r="O233" s="278">
        <v>307135</v>
      </c>
      <c r="P233" s="278">
        <v>121094</v>
      </c>
      <c r="Q233" s="278">
        <v>415917</v>
      </c>
      <c r="R233" s="278">
        <v>298237</v>
      </c>
      <c r="S233" s="278">
        <v>117640</v>
      </c>
    </row>
    <row r="234" spans="1:19">
      <c r="A234" s="241" t="s">
        <v>3159</v>
      </c>
      <c r="B234" s="241" t="s">
        <v>5303</v>
      </c>
      <c r="C234" s="241" t="s">
        <v>3172</v>
      </c>
      <c r="D234" s="241" t="s">
        <v>3233</v>
      </c>
      <c r="E234" s="241" t="s">
        <v>3395</v>
      </c>
      <c r="F234" s="278">
        <v>183</v>
      </c>
      <c r="G234" s="278">
        <v>9542</v>
      </c>
      <c r="H234" s="278">
        <v>7176</v>
      </c>
      <c r="I234" s="278">
        <v>2363</v>
      </c>
      <c r="J234" s="278">
        <v>9073</v>
      </c>
      <c r="K234" s="278">
        <v>6873</v>
      </c>
      <c r="L234" s="278">
        <v>2197</v>
      </c>
      <c r="M234" s="278">
        <v>183</v>
      </c>
      <c r="N234" s="278">
        <v>9542</v>
      </c>
      <c r="O234" s="278">
        <v>7176</v>
      </c>
      <c r="P234" s="278">
        <v>2363</v>
      </c>
      <c r="Q234" s="278">
        <v>9073</v>
      </c>
      <c r="R234" s="278">
        <v>6873</v>
      </c>
      <c r="S234" s="278">
        <v>2197</v>
      </c>
    </row>
    <row r="235" spans="1:19">
      <c r="A235" s="241" t="s">
        <v>3159</v>
      </c>
      <c r="B235" s="241" t="s">
        <v>5303</v>
      </c>
      <c r="C235" s="241" t="s">
        <v>3172</v>
      </c>
      <c r="D235" s="241" t="s">
        <v>3233</v>
      </c>
      <c r="E235" s="241" t="s">
        <v>3396</v>
      </c>
      <c r="F235" s="278">
        <v>653</v>
      </c>
      <c r="G235" s="278">
        <v>109608</v>
      </c>
      <c r="H235" s="278">
        <v>89640</v>
      </c>
      <c r="I235" s="278">
        <v>19957</v>
      </c>
      <c r="J235" s="278">
        <v>108694</v>
      </c>
      <c r="K235" s="278">
        <v>88869</v>
      </c>
      <c r="L235" s="278">
        <v>19814</v>
      </c>
      <c r="M235" s="278">
        <v>653</v>
      </c>
      <c r="N235" s="278">
        <v>109608</v>
      </c>
      <c r="O235" s="278">
        <v>89640</v>
      </c>
      <c r="P235" s="278">
        <v>19957</v>
      </c>
      <c r="Q235" s="278">
        <v>108694</v>
      </c>
      <c r="R235" s="278">
        <v>88869</v>
      </c>
      <c r="S235" s="278">
        <v>19814</v>
      </c>
    </row>
    <row r="236" spans="1:19">
      <c r="A236" s="241" t="s">
        <v>3159</v>
      </c>
      <c r="B236" s="241" t="s">
        <v>5303</v>
      </c>
      <c r="C236" s="241" t="s">
        <v>3172</v>
      </c>
      <c r="D236" s="241" t="s">
        <v>3233</v>
      </c>
      <c r="E236" s="241" t="s">
        <v>3397</v>
      </c>
      <c r="F236" s="278">
        <v>1607</v>
      </c>
      <c r="G236" s="278">
        <v>87777</v>
      </c>
      <c r="H236" s="278">
        <v>58599</v>
      </c>
      <c r="I236" s="278">
        <v>29158</v>
      </c>
      <c r="J236" s="278">
        <v>85270</v>
      </c>
      <c r="K236" s="278">
        <v>56818</v>
      </c>
      <c r="L236" s="278">
        <v>28432</v>
      </c>
      <c r="M236" s="278">
        <v>1607</v>
      </c>
      <c r="N236" s="278">
        <v>87777</v>
      </c>
      <c r="O236" s="278">
        <v>58599</v>
      </c>
      <c r="P236" s="278">
        <v>29158</v>
      </c>
      <c r="Q236" s="278">
        <v>85270</v>
      </c>
      <c r="R236" s="278">
        <v>56818</v>
      </c>
      <c r="S236" s="278">
        <v>28432</v>
      </c>
    </row>
    <row r="237" spans="1:19">
      <c r="A237" s="241" t="s">
        <v>3159</v>
      </c>
      <c r="B237" s="241" t="s">
        <v>5303</v>
      </c>
      <c r="C237" s="241" t="s">
        <v>3172</v>
      </c>
      <c r="D237" s="241" t="s">
        <v>3233</v>
      </c>
      <c r="E237" s="241" t="s">
        <v>3398</v>
      </c>
      <c r="F237" s="278">
        <v>49</v>
      </c>
      <c r="G237" s="278">
        <v>4197</v>
      </c>
      <c r="H237" s="278">
        <v>3230</v>
      </c>
      <c r="I237" s="278">
        <v>967</v>
      </c>
      <c r="J237" s="278">
        <v>4150</v>
      </c>
      <c r="K237" s="278">
        <v>3193</v>
      </c>
      <c r="L237" s="278">
        <v>957</v>
      </c>
      <c r="M237" s="278">
        <v>49</v>
      </c>
      <c r="N237" s="278">
        <v>4197</v>
      </c>
      <c r="O237" s="278">
        <v>3230</v>
      </c>
      <c r="P237" s="278">
        <v>967</v>
      </c>
      <c r="Q237" s="278">
        <v>4150</v>
      </c>
      <c r="R237" s="278">
        <v>3193</v>
      </c>
      <c r="S237" s="278">
        <v>957</v>
      </c>
    </row>
    <row r="238" spans="1:19">
      <c r="A238" s="241" t="s">
        <v>3159</v>
      </c>
      <c r="B238" s="241" t="s">
        <v>5303</v>
      </c>
      <c r="C238" s="241" t="s">
        <v>3172</v>
      </c>
      <c r="D238" s="241" t="s">
        <v>3233</v>
      </c>
      <c r="E238" s="241" t="s">
        <v>3399</v>
      </c>
      <c r="F238" s="278">
        <v>1914</v>
      </c>
      <c r="G238" s="278">
        <v>82209</v>
      </c>
      <c r="H238" s="278">
        <v>53248</v>
      </c>
      <c r="I238" s="278">
        <v>28956</v>
      </c>
      <c r="J238" s="278">
        <v>78882</v>
      </c>
      <c r="K238" s="278">
        <v>50895</v>
      </c>
      <c r="L238" s="278">
        <v>27982</v>
      </c>
      <c r="M238" s="278">
        <v>1914</v>
      </c>
      <c r="N238" s="278">
        <v>82209</v>
      </c>
      <c r="O238" s="278">
        <v>53248</v>
      </c>
      <c r="P238" s="278">
        <v>28956</v>
      </c>
      <c r="Q238" s="278">
        <v>78882</v>
      </c>
      <c r="R238" s="278">
        <v>50895</v>
      </c>
      <c r="S238" s="278">
        <v>27982</v>
      </c>
    </row>
    <row r="239" spans="1:19">
      <c r="A239" s="241" t="s">
        <v>3159</v>
      </c>
      <c r="B239" s="241" t="s">
        <v>5303</v>
      </c>
      <c r="C239" s="241" t="s">
        <v>3172</v>
      </c>
      <c r="D239" s="241" t="s">
        <v>3233</v>
      </c>
      <c r="E239" s="241" t="s">
        <v>3400</v>
      </c>
      <c r="F239" s="278">
        <v>429</v>
      </c>
      <c r="G239" s="278">
        <v>25763</v>
      </c>
      <c r="H239" s="278">
        <v>17305</v>
      </c>
      <c r="I239" s="278">
        <v>8458</v>
      </c>
      <c r="J239" s="278">
        <v>25086</v>
      </c>
      <c r="K239" s="278">
        <v>16777</v>
      </c>
      <c r="L239" s="278">
        <v>8309</v>
      </c>
      <c r="M239" s="278">
        <v>429</v>
      </c>
      <c r="N239" s="278">
        <v>25763</v>
      </c>
      <c r="O239" s="278">
        <v>17305</v>
      </c>
      <c r="P239" s="278">
        <v>8458</v>
      </c>
      <c r="Q239" s="278">
        <v>25086</v>
      </c>
      <c r="R239" s="278">
        <v>16777</v>
      </c>
      <c r="S239" s="278">
        <v>8309</v>
      </c>
    </row>
    <row r="240" spans="1:19">
      <c r="A240" s="241" t="s">
        <v>3159</v>
      </c>
      <c r="B240" s="241" t="s">
        <v>5303</v>
      </c>
      <c r="C240" s="241" t="s">
        <v>3172</v>
      </c>
      <c r="D240" s="241" t="s">
        <v>3233</v>
      </c>
      <c r="E240" s="241" t="s">
        <v>3401</v>
      </c>
      <c r="F240" s="278">
        <v>2663</v>
      </c>
      <c r="G240" s="278">
        <v>109173</v>
      </c>
      <c r="H240" s="278">
        <v>77937</v>
      </c>
      <c r="I240" s="278">
        <v>31235</v>
      </c>
      <c r="J240" s="278">
        <v>104762</v>
      </c>
      <c r="K240" s="278">
        <v>74812</v>
      </c>
      <c r="L240" s="278">
        <v>29949</v>
      </c>
      <c r="M240" s="278">
        <v>2663</v>
      </c>
      <c r="N240" s="278">
        <v>109173</v>
      </c>
      <c r="O240" s="278">
        <v>77937</v>
      </c>
      <c r="P240" s="278">
        <v>31235</v>
      </c>
      <c r="Q240" s="278">
        <v>104762</v>
      </c>
      <c r="R240" s="278">
        <v>74812</v>
      </c>
      <c r="S240" s="278">
        <v>29949</v>
      </c>
    </row>
    <row r="241" spans="1:19">
      <c r="A241" s="241" t="s">
        <v>3159</v>
      </c>
      <c r="B241" s="241" t="s">
        <v>5303</v>
      </c>
      <c r="C241" s="241" t="s">
        <v>3170</v>
      </c>
      <c r="D241" s="241" t="s">
        <v>3233</v>
      </c>
      <c r="E241" s="241" t="s">
        <v>3402</v>
      </c>
      <c r="F241" s="278">
        <v>16307</v>
      </c>
      <c r="G241" s="278">
        <v>533529</v>
      </c>
      <c r="H241" s="278">
        <v>375007</v>
      </c>
      <c r="I241" s="278">
        <v>158436</v>
      </c>
      <c r="J241" s="278">
        <v>504033</v>
      </c>
      <c r="K241" s="278">
        <v>353064</v>
      </c>
      <c r="L241" s="278">
        <v>150885</v>
      </c>
      <c r="M241" s="278">
        <v>16307</v>
      </c>
      <c r="N241" s="278">
        <v>533529</v>
      </c>
      <c r="O241" s="278">
        <v>375007</v>
      </c>
      <c r="P241" s="278">
        <v>158436</v>
      </c>
      <c r="Q241" s="278">
        <v>504033</v>
      </c>
      <c r="R241" s="278">
        <v>353064</v>
      </c>
      <c r="S241" s="278">
        <v>150885</v>
      </c>
    </row>
    <row r="242" spans="1:19">
      <c r="A242" s="241" t="s">
        <v>3159</v>
      </c>
      <c r="B242" s="241" t="s">
        <v>5303</v>
      </c>
      <c r="C242" s="241" t="s">
        <v>3172</v>
      </c>
      <c r="D242" s="241" t="s">
        <v>3233</v>
      </c>
      <c r="E242" s="241" t="s">
        <v>3403</v>
      </c>
      <c r="F242" s="278">
        <v>339</v>
      </c>
      <c r="G242" s="278">
        <v>9424</v>
      </c>
      <c r="H242" s="278">
        <v>7056</v>
      </c>
      <c r="I242" s="278">
        <v>2327</v>
      </c>
      <c r="J242" s="278">
        <v>8992</v>
      </c>
      <c r="K242" s="278">
        <v>6725</v>
      </c>
      <c r="L242" s="278">
        <v>2226</v>
      </c>
      <c r="M242" s="278">
        <v>339</v>
      </c>
      <c r="N242" s="278">
        <v>9424</v>
      </c>
      <c r="O242" s="278">
        <v>7056</v>
      </c>
      <c r="P242" s="278">
        <v>2327</v>
      </c>
      <c r="Q242" s="278">
        <v>8992</v>
      </c>
      <c r="R242" s="278">
        <v>6725</v>
      </c>
      <c r="S242" s="278">
        <v>2226</v>
      </c>
    </row>
    <row r="243" spans="1:19">
      <c r="A243" s="241" t="s">
        <v>3159</v>
      </c>
      <c r="B243" s="241" t="s">
        <v>5303</v>
      </c>
      <c r="C243" s="241" t="s">
        <v>3172</v>
      </c>
      <c r="D243" s="241" t="s">
        <v>3233</v>
      </c>
      <c r="E243" s="241" t="s">
        <v>3404</v>
      </c>
      <c r="F243" s="278">
        <v>7321</v>
      </c>
      <c r="G243" s="278">
        <v>191816</v>
      </c>
      <c r="H243" s="278">
        <v>140360</v>
      </c>
      <c r="I243" s="278">
        <v>51452</v>
      </c>
      <c r="J243" s="278">
        <v>178120</v>
      </c>
      <c r="K243" s="278">
        <v>130179</v>
      </c>
      <c r="L243" s="278">
        <v>47938</v>
      </c>
      <c r="M243" s="278">
        <v>7321</v>
      </c>
      <c r="N243" s="278">
        <v>191816</v>
      </c>
      <c r="O243" s="278">
        <v>140360</v>
      </c>
      <c r="P243" s="278">
        <v>51452</v>
      </c>
      <c r="Q243" s="278">
        <v>178120</v>
      </c>
      <c r="R243" s="278">
        <v>130179</v>
      </c>
      <c r="S243" s="278">
        <v>47938</v>
      </c>
    </row>
    <row r="244" spans="1:19">
      <c r="A244" s="241" t="s">
        <v>3159</v>
      </c>
      <c r="B244" s="241" t="s">
        <v>5303</v>
      </c>
      <c r="C244" s="241" t="s">
        <v>3172</v>
      </c>
      <c r="D244" s="241" t="s">
        <v>3233</v>
      </c>
      <c r="E244" s="241" t="s">
        <v>3405</v>
      </c>
      <c r="F244" s="278">
        <v>2573</v>
      </c>
      <c r="G244" s="278">
        <v>115045</v>
      </c>
      <c r="H244" s="278">
        <v>73665</v>
      </c>
      <c r="I244" s="278">
        <v>41375</v>
      </c>
      <c r="J244" s="278">
        <v>110567</v>
      </c>
      <c r="K244" s="278">
        <v>70465</v>
      </c>
      <c r="L244" s="278">
        <v>40097</v>
      </c>
      <c r="M244" s="278">
        <v>2573</v>
      </c>
      <c r="N244" s="278">
        <v>115045</v>
      </c>
      <c r="O244" s="278">
        <v>73665</v>
      </c>
      <c r="P244" s="278">
        <v>41375</v>
      </c>
      <c r="Q244" s="278">
        <v>110567</v>
      </c>
      <c r="R244" s="278">
        <v>70465</v>
      </c>
      <c r="S244" s="278">
        <v>40097</v>
      </c>
    </row>
    <row r="245" spans="1:19">
      <c r="A245" s="241" t="s">
        <v>3159</v>
      </c>
      <c r="B245" s="241" t="s">
        <v>5303</v>
      </c>
      <c r="C245" s="241" t="s">
        <v>3172</v>
      </c>
      <c r="D245" s="241" t="s">
        <v>3233</v>
      </c>
      <c r="E245" s="241" t="s">
        <v>3406</v>
      </c>
      <c r="F245" s="278">
        <v>1619</v>
      </c>
      <c r="G245" s="278">
        <v>60885</v>
      </c>
      <c r="H245" s="278">
        <v>40912</v>
      </c>
      <c r="I245" s="278">
        <v>19962</v>
      </c>
      <c r="J245" s="278">
        <v>57832</v>
      </c>
      <c r="K245" s="278">
        <v>38746</v>
      </c>
      <c r="L245" s="278">
        <v>19075</v>
      </c>
      <c r="M245" s="278">
        <v>1619</v>
      </c>
      <c r="N245" s="278">
        <v>60885</v>
      </c>
      <c r="O245" s="278">
        <v>40912</v>
      </c>
      <c r="P245" s="278">
        <v>19962</v>
      </c>
      <c r="Q245" s="278">
        <v>57832</v>
      </c>
      <c r="R245" s="278">
        <v>38746</v>
      </c>
      <c r="S245" s="278">
        <v>19075</v>
      </c>
    </row>
    <row r="246" spans="1:19">
      <c r="A246" s="241" t="s">
        <v>3159</v>
      </c>
      <c r="B246" s="241" t="s">
        <v>5303</v>
      </c>
      <c r="C246" s="241" t="s">
        <v>3172</v>
      </c>
      <c r="D246" s="241" t="s">
        <v>3233</v>
      </c>
      <c r="E246" s="241" t="s">
        <v>3407</v>
      </c>
      <c r="F246" s="278">
        <v>1162</v>
      </c>
      <c r="G246" s="278">
        <v>36894</v>
      </c>
      <c r="H246" s="278">
        <v>24493</v>
      </c>
      <c r="I246" s="278">
        <v>12388</v>
      </c>
      <c r="J246" s="278">
        <v>34808</v>
      </c>
      <c r="K246" s="278">
        <v>22944</v>
      </c>
      <c r="L246" s="278">
        <v>11851</v>
      </c>
      <c r="M246" s="278">
        <v>1162</v>
      </c>
      <c r="N246" s="278">
        <v>36894</v>
      </c>
      <c r="O246" s="278">
        <v>24493</v>
      </c>
      <c r="P246" s="278">
        <v>12388</v>
      </c>
      <c r="Q246" s="278">
        <v>34808</v>
      </c>
      <c r="R246" s="278">
        <v>22944</v>
      </c>
      <c r="S246" s="278">
        <v>11851</v>
      </c>
    </row>
    <row r="247" spans="1:19">
      <c r="A247" s="241" t="s">
        <v>3159</v>
      </c>
      <c r="B247" s="241" t="s">
        <v>5303</v>
      </c>
      <c r="C247" s="241" t="s">
        <v>3172</v>
      </c>
      <c r="D247" s="241" t="s">
        <v>3233</v>
      </c>
      <c r="E247" s="241" t="s">
        <v>3408</v>
      </c>
      <c r="F247" s="278">
        <v>261</v>
      </c>
      <c r="G247" s="278">
        <v>25752</v>
      </c>
      <c r="H247" s="278">
        <v>21379</v>
      </c>
      <c r="I247" s="278">
        <v>4366</v>
      </c>
      <c r="J247" s="278">
        <v>25320</v>
      </c>
      <c r="K247" s="278">
        <v>21029</v>
      </c>
      <c r="L247" s="278">
        <v>4285</v>
      </c>
      <c r="M247" s="278">
        <v>261</v>
      </c>
      <c r="N247" s="278">
        <v>25752</v>
      </c>
      <c r="O247" s="278">
        <v>21379</v>
      </c>
      <c r="P247" s="278">
        <v>4366</v>
      </c>
      <c r="Q247" s="278">
        <v>25320</v>
      </c>
      <c r="R247" s="278">
        <v>21029</v>
      </c>
      <c r="S247" s="278">
        <v>4285</v>
      </c>
    </row>
    <row r="248" spans="1:19">
      <c r="A248" s="241" t="s">
        <v>3159</v>
      </c>
      <c r="B248" s="241" t="s">
        <v>5303</v>
      </c>
      <c r="C248" s="241" t="s">
        <v>3172</v>
      </c>
      <c r="D248" s="241" t="s">
        <v>3233</v>
      </c>
      <c r="E248" s="241" t="s">
        <v>3409</v>
      </c>
      <c r="F248" s="278">
        <v>1031</v>
      </c>
      <c r="G248" s="278">
        <v>31763</v>
      </c>
      <c r="H248" s="278">
        <v>24149</v>
      </c>
      <c r="I248" s="278">
        <v>7609</v>
      </c>
      <c r="J248" s="278">
        <v>29946</v>
      </c>
      <c r="K248" s="278">
        <v>22675</v>
      </c>
      <c r="L248" s="278">
        <v>7266</v>
      </c>
      <c r="M248" s="278">
        <v>1031</v>
      </c>
      <c r="N248" s="278">
        <v>31763</v>
      </c>
      <c r="O248" s="278">
        <v>24149</v>
      </c>
      <c r="P248" s="278">
        <v>7609</v>
      </c>
      <c r="Q248" s="278">
        <v>29946</v>
      </c>
      <c r="R248" s="278">
        <v>22675</v>
      </c>
      <c r="S248" s="278">
        <v>7266</v>
      </c>
    </row>
    <row r="249" spans="1:19">
      <c r="A249" s="241" t="s">
        <v>3159</v>
      </c>
      <c r="B249" s="241" t="s">
        <v>5303</v>
      </c>
      <c r="C249" s="241" t="s">
        <v>3172</v>
      </c>
      <c r="D249" s="241" t="s">
        <v>3233</v>
      </c>
      <c r="E249" s="241" t="s">
        <v>3410</v>
      </c>
      <c r="F249" s="278">
        <v>1404</v>
      </c>
      <c r="G249" s="278">
        <v>46090</v>
      </c>
      <c r="H249" s="278">
        <v>32383</v>
      </c>
      <c r="I249" s="278">
        <v>13707</v>
      </c>
      <c r="J249" s="278">
        <v>43549</v>
      </c>
      <c r="K249" s="278">
        <v>30399</v>
      </c>
      <c r="L249" s="278">
        <v>13150</v>
      </c>
      <c r="M249" s="278">
        <v>1404</v>
      </c>
      <c r="N249" s="278">
        <v>46090</v>
      </c>
      <c r="O249" s="278">
        <v>32383</v>
      </c>
      <c r="P249" s="278">
        <v>13707</v>
      </c>
      <c r="Q249" s="278">
        <v>43549</v>
      </c>
      <c r="R249" s="278">
        <v>30399</v>
      </c>
      <c r="S249" s="278">
        <v>13150</v>
      </c>
    </row>
    <row r="250" spans="1:19">
      <c r="A250" s="241" t="s">
        <v>3159</v>
      </c>
      <c r="B250" s="241" t="s">
        <v>5303</v>
      </c>
      <c r="C250" s="241" t="s">
        <v>3172</v>
      </c>
      <c r="D250" s="241" t="s">
        <v>3233</v>
      </c>
      <c r="E250" s="241" t="s">
        <v>3411</v>
      </c>
      <c r="F250" s="278">
        <v>597</v>
      </c>
      <c r="G250" s="278">
        <v>15860</v>
      </c>
      <c r="H250" s="278">
        <v>10610</v>
      </c>
      <c r="I250" s="278">
        <v>5250</v>
      </c>
      <c r="J250" s="278">
        <v>14899</v>
      </c>
      <c r="K250" s="278">
        <v>9902</v>
      </c>
      <c r="L250" s="278">
        <v>4997</v>
      </c>
      <c r="M250" s="278">
        <v>597</v>
      </c>
      <c r="N250" s="278">
        <v>15860</v>
      </c>
      <c r="O250" s="278">
        <v>10610</v>
      </c>
      <c r="P250" s="278">
        <v>5250</v>
      </c>
      <c r="Q250" s="278">
        <v>14899</v>
      </c>
      <c r="R250" s="278">
        <v>9902</v>
      </c>
      <c r="S250" s="278">
        <v>4997</v>
      </c>
    </row>
    <row r="251" spans="1:19">
      <c r="A251" s="241" t="s">
        <v>3159</v>
      </c>
      <c r="B251" s="241" t="s">
        <v>5303</v>
      </c>
      <c r="C251" s="241" t="s">
        <v>3170</v>
      </c>
      <c r="D251" s="241" t="s">
        <v>3233</v>
      </c>
      <c r="E251" s="241" t="s">
        <v>3412</v>
      </c>
      <c r="F251" s="278">
        <v>2452</v>
      </c>
      <c r="G251" s="278">
        <v>151814</v>
      </c>
      <c r="H251" s="278">
        <v>112521</v>
      </c>
      <c r="I251" s="278">
        <v>39242</v>
      </c>
      <c r="J251" s="278">
        <v>146393</v>
      </c>
      <c r="K251" s="278">
        <v>108304</v>
      </c>
      <c r="L251" s="278">
        <v>38039</v>
      </c>
      <c r="M251" s="278">
        <v>2452</v>
      </c>
      <c r="N251" s="278">
        <v>151814</v>
      </c>
      <c r="O251" s="278">
        <v>112521</v>
      </c>
      <c r="P251" s="278">
        <v>39242</v>
      </c>
      <c r="Q251" s="278">
        <v>146393</v>
      </c>
      <c r="R251" s="278">
        <v>108304</v>
      </c>
      <c r="S251" s="278">
        <v>38039</v>
      </c>
    </row>
    <row r="252" spans="1:19">
      <c r="A252" s="241" t="s">
        <v>3159</v>
      </c>
      <c r="B252" s="241" t="s">
        <v>5303</v>
      </c>
      <c r="C252" s="241" t="s">
        <v>3172</v>
      </c>
      <c r="D252" s="241" t="s">
        <v>3233</v>
      </c>
      <c r="E252" s="241" t="s">
        <v>3413</v>
      </c>
      <c r="F252" s="278">
        <v>89</v>
      </c>
      <c r="G252" s="278">
        <v>9270</v>
      </c>
      <c r="H252" s="278">
        <v>7517</v>
      </c>
      <c r="I252" s="278">
        <v>1753</v>
      </c>
      <c r="J252" s="278">
        <v>9106</v>
      </c>
      <c r="K252" s="278">
        <v>7367</v>
      </c>
      <c r="L252" s="278">
        <v>1739</v>
      </c>
      <c r="M252" s="278">
        <v>89</v>
      </c>
      <c r="N252" s="278">
        <v>9270</v>
      </c>
      <c r="O252" s="278">
        <v>7517</v>
      </c>
      <c r="P252" s="278">
        <v>1753</v>
      </c>
      <c r="Q252" s="278">
        <v>9106</v>
      </c>
      <c r="R252" s="278">
        <v>7367</v>
      </c>
      <c r="S252" s="278">
        <v>1739</v>
      </c>
    </row>
    <row r="253" spans="1:19">
      <c r="A253" s="241" t="s">
        <v>3159</v>
      </c>
      <c r="B253" s="241" t="s">
        <v>5303</v>
      </c>
      <c r="C253" s="241" t="s">
        <v>3172</v>
      </c>
      <c r="D253" s="241" t="s">
        <v>3233</v>
      </c>
      <c r="E253" s="241" t="s">
        <v>3414</v>
      </c>
      <c r="F253" s="278">
        <v>916</v>
      </c>
      <c r="G253" s="278">
        <v>65003</v>
      </c>
      <c r="H253" s="278">
        <v>48726</v>
      </c>
      <c r="I253" s="278">
        <v>16242</v>
      </c>
      <c r="J253" s="278">
        <v>62257</v>
      </c>
      <c r="K253" s="278">
        <v>46562</v>
      </c>
      <c r="L253" s="278">
        <v>15660</v>
      </c>
      <c r="M253" s="278">
        <v>916</v>
      </c>
      <c r="N253" s="278">
        <v>65003</v>
      </c>
      <c r="O253" s="278">
        <v>48726</v>
      </c>
      <c r="P253" s="278">
        <v>16242</v>
      </c>
      <c r="Q253" s="278">
        <v>62257</v>
      </c>
      <c r="R253" s="278">
        <v>46562</v>
      </c>
      <c r="S253" s="278">
        <v>15660</v>
      </c>
    </row>
    <row r="254" spans="1:19">
      <c r="A254" s="241" t="s">
        <v>3159</v>
      </c>
      <c r="B254" s="241" t="s">
        <v>5303</v>
      </c>
      <c r="C254" s="241" t="s">
        <v>3172</v>
      </c>
      <c r="D254" s="241" t="s">
        <v>3233</v>
      </c>
      <c r="E254" s="241" t="s">
        <v>3415</v>
      </c>
      <c r="F254" s="278">
        <v>664</v>
      </c>
      <c r="G254" s="278">
        <v>25531</v>
      </c>
      <c r="H254" s="278">
        <v>17969</v>
      </c>
      <c r="I254" s="278">
        <v>7562</v>
      </c>
      <c r="J254" s="278">
        <v>24319</v>
      </c>
      <c r="K254" s="278">
        <v>17059</v>
      </c>
      <c r="L254" s="278">
        <v>7260</v>
      </c>
      <c r="M254" s="278">
        <v>664</v>
      </c>
      <c r="N254" s="278">
        <v>25531</v>
      </c>
      <c r="O254" s="278">
        <v>17969</v>
      </c>
      <c r="P254" s="278">
        <v>7562</v>
      </c>
      <c r="Q254" s="278">
        <v>24319</v>
      </c>
      <c r="R254" s="278">
        <v>17059</v>
      </c>
      <c r="S254" s="278">
        <v>7260</v>
      </c>
    </row>
    <row r="255" spans="1:19">
      <c r="A255" s="241" t="s">
        <v>3159</v>
      </c>
      <c r="B255" s="241" t="s">
        <v>5303</v>
      </c>
      <c r="C255" s="241" t="s">
        <v>3172</v>
      </c>
      <c r="D255" s="241" t="s">
        <v>3233</v>
      </c>
      <c r="E255" s="241" t="s">
        <v>3416</v>
      </c>
      <c r="F255" s="278">
        <v>783</v>
      </c>
      <c r="G255" s="278">
        <v>52010</v>
      </c>
      <c r="H255" s="278">
        <v>38309</v>
      </c>
      <c r="I255" s="278">
        <v>13685</v>
      </c>
      <c r="J255" s="278">
        <v>50711</v>
      </c>
      <c r="K255" s="278">
        <v>37316</v>
      </c>
      <c r="L255" s="278">
        <v>13380</v>
      </c>
      <c r="M255" s="278">
        <v>783</v>
      </c>
      <c r="N255" s="278">
        <v>52010</v>
      </c>
      <c r="O255" s="278">
        <v>38309</v>
      </c>
      <c r="P255" s="278">
        <v>13685</v>
      </c>
      <c r="Q255" s="278">
        <v>50711</v>
      </c>
      <c r="R255" s="278">
        <v>37316</v>
      </c>
      <c r="S255" s="278">
        <v>13380</v>
      </c>
    </row>
    <row r="256" spans="1:19">
      <c r="A256" s="241" t="s">
        <v>3159</v>
      </c>
      <c r="B256" s="241" t="s">
        <v>5303</v>
      </c>
      <c r="C256" s="241" t="s">
        <v>3170</v>
      </c>
      <c r="D256" s="241" t="s">
        <v>3233</v>
      </c>
      <c r="E256" s="241" t="s">
        <v>3417</v>
      </c>
      <c r="F256" s="278">
        <v>18726</v>
      </c>
      <c r="G256" s="278">
        <v>1102819</v>
      </c>
      <c r="H256" s="278">
        <v>925541</v>
      </c>
      <c r="I256" s="278">
        <v>177017</v>
      </c>
      <c r="J256" s="278">
        <v>1067114</v>
      </c>
      <c r="K256" s="278">
        <v>898667</v>
      </c>
      <c r="L256" s="278">
        <v>168192</v>
      </c>
      <c r="M256" s="278">
        <v>18726</v>
      </c>
      <c r="N256" s="278">
        <v>1102819</v>
      </c>
      <c r="O256" s="278">
        <v>925541</v>
      </c>
      <c r="P256" s="278">
        <v>177017</v>
      </c>
      <c r="Q256" s="278">
        <v>1067114</v>
      </c>
      <c r="R256" s="278">
        <v>898667</v>
      </c>
      <c r="S256" s="278">
        <v>168192</v>
      </c>
    </row>
    <row r="257" spans="1:19">
      <c r="A257" s="241" t="s">
        <v>3159</v>
      </c>
      <c r="B257" s="241" t="s">
        <v>5303</v>
      </c>
      <c r="C257" s="241" t="s">
        <v>3172</v>
      </c>
      <c r="D257" s="241" t="s">
        <v>3233</v>
      </c>
      <c r="E257" s="241" t="s">
        <v>3418</v>
      </c>
      <c r="F257" s="278">
        <v>398</v>
      </c>
      <c r="G257" s="278">
        <v>35087</v>
      </c>
      <c r="H257" s="278">
        <v>28472</v>
      </c>
      <c r="I257" s="278">
        <v>6615</v>
      </c>
      <c r="J257" s="278">
        <v>34447</v>
      </c>
      <c r="K257" s="278">
        <v>27965</v>
      </c>
      <c r="L257" s="278">
        <v>6482</v>
      </c>
      <c r="M257" s="278">
        <v>398</v>
      </c>
      <c r="N257" s="278">
        <v>35087</v>
      </c>
      <c r="O257" s="278">
        <v>28472</v>
      </c>
      <c r="P257" s="278">
        <v>6615</v>
      </c>
      <c r="Q257" s="278">
        <v>34447</v>
      </c>
      <c r="R257" s="278">
        <v>27965</v>
      </c>
      <c r="S257" s="278">
        <v>6482</v>
      </c>
    </row>
    <row r="258" spans="1:19">
      <c r="A258" s="241" t="s">
        <v>3159</v>
      </c>
      <c r="B258" s="241" t="s">
        <v>5303</v>
      </c>
      <c r="C258" s="241" t="s">
        <v>3172</v>
      </c>
      <c r="D258" s="241" t="s">
        <v>3233</v>
      </c>
      <c r="E258" s="241" t="s">
        <v>3419</v>
      </c>
      <c r="F258" s="278">
        <v>11756</v>
      </c>
      <c r="G258" s="278">
        <v>878983</v>
      </c>
      <c r="H258" s="278">
        <v>734957</v>
      </c>
      <c r="I258" s="278">
        <v>143996</v>
      </c>
      <c r="J258" s="278">
        <v>855840</v>
      </c>
      <c r="K258" s="278">
        <v>717607</v>
      </c>
      <c r="L258" s="278">
        <v>138205</v>
      </c>
      <c r="M258" s="278">
        <v>11756</v>
      </c>
      <c r="N258" s="278">
        <v>878983</v>
      </c>
      <c r="O258" s="278">
        <v>734957</v>
      </c>
      <c r="P258" s="278">
        <v>143996</v>
      </c>
      <c r="Q258" s="278">
        <v>855840</v>
      </c>
      <c r="R258" s="278">
        <v>717607</v>
      </c>
      <c r="S258" s="278">
        <v>138205</v>
      </c>
    </row>
    <row r="259" spans="1:19">
      <c r="A259" s="241" t="s">
        <v>3159</v>
      </c>
      <c r="B259" s="241" t="s">
        <v>5303</v>
      </c>
      <c r="C259" s="241" t="s">
        <v>3172</v>
      </c>
      <c r="D259" s="241" t="s">
        <v>3233</v>
      </c>
      <c r="E259" s="241" t="s">
        <v>3420</v>
      </c>
      <c r="F259" s="278">
        <v>899</v>
      </c>
      <c r="G259" s="278">
        <v>32277</v>
      </c>
      <c r="H259" s="278">
        <v>28302</v>
      </c>
      <c r="I259" s="278">
        <v>3973</v>
      </c>
      <c r="J259" s="278">
        <v>30546</v>
      </c>
      <c r="K259" s="278">
        <v>26992</v>
      </c>
      <c r="L259" s="278">
        <v>3552</v>
      </c>
      <c r="M259" s="278">
        <v>899</v>
      </c>
      <c r="N259" s="278">
        <v>32277</v>
      </c>
      <c r="O259" s="278">
        <v>28302</v>
      </c>
      <c r="P259" s="278">
        <v>3973</v>
      </c>
      <c r="Q259" s="278">
        <v>30546</v>
      </c>
      <c r="R259" s="278">
        <v>26992</v>
      </c>
      <c r="S259" s="278">
        <v>3552</v>
      </c>
    </row>
    <row r="260" spans="1:19">
      <c r="A260" s="241" t="s">
        <v>3159</v>
      </c>
      <c r="B260" s="241" t="s">
        <v>5303</v>
      </c>
      <c r="C260" s="241" t="s">
        <v>3172</v>
      </c>
      <c r="D260" s="241" t="s">
        <v>3233</v>
      </c>
      <c r="E260" s="241" t="s">
        <v>3421</v>
      </c>
      <c r="F260" s="278">
        <v>3752</v>
      </c>
      <c r="G260" s="278">
        <v>80993</v>
      </c>
      <c r="H260" s="278">
        <v>71759</v>
      </c>
      <c r="I260" s="278">
        <v>9186</v>
      </c>
      <c r="J260" s="278">
        <v>74147</v>
      </c>
      <c r="K260" s="278">
        <v>66498</v>
      </c>
      <c r="L260" s="278">
        <v>7605</v>
      </c>
      <c r="M260" s="278">
        <v>3752</v>
      </c>
      <c r="N260" s="278">
        <v>80993</v>
      </c>
      <c r="O260" s="278">
        <v>71759</v>
      </c>
      <c r="P260" s="278">
        <v>9186</v>
      </c>
      <c r="Q260" s="278">
        <v>74147</v>
      </c>
      <c r="R260" s="278">
        <v>66498</v>
      </c>
      <c r="S260" s="278">
        <v>7605</v>
      </c>
    </row>
    <row r="261" spans="1:19">
      <c r="A261" s="241" t="s">
        <v>3159</v>
      </c>
      <c r="B261" s="241" t="s">
        <v>5303</v>
      </c>
      <c r="C261" s="241" t="s">
        <v>3172</v>
      </c>
      <c r="D261" s="241" t="s">
        <v>3233</v>
      </c>
      <c r="E261" s="241" t="s">
        <v>3422</v>
      </c>
      <c r="F261" s="278">
        <v>536</v>
      </c>
      <c r="G261" s="278">
        <v>42086</v>
      </c>
      <c r="H261" s="278">
        <v>36250</v>
      </c>
      <c r="I261" s="278">
        <v>5836</v>
      </c>
      <c r="J261" s="278">
        <v>41273</v>
      </c>
      <c r="K261" s="278">
        <v>35616</v>
      </c>
      <c r="L261" s="278">
        <v>5657</v>
      </c>
      <c r="M261" s="278">
        <v>536</v>
      </c>
      <c r="N261" s="278">
        <v>42086</v>
      </c>
      <c r="O261" s="278">
        <v>36250</v>
      </c>
      <c r="P261" s="278">
        <v>5836</v>
      </c>
      <c r="Q261" s="278">
        <v>41273</v>
      </c>
      <c r="R261" s="278">
        <v>35616</v>
      </c>
      <c r="S261" s="278">
        <v>5657</v>
      </c>
    </row>
    <row r="262" spans="1:19">
      <c r="A262" s="241" t="s">
        <v>3159</v>
      </c>
      <c r="B262" s="241" t="s">
        <v>5303</v>
      </c>
      <c r="C262" s="241" t="s">
        <v>3172</v>
      </c>
      <c r="D262" s="241" t="s">
        <v>3233</v>
      </c>
      <c r="E262" s="241" t="s">
        <v>3423</v>
      </c>
      <c r="F262" s="278">
        <v>506</v>
      </c>
      <c r="G262" s="278">
        <v>15915</v>
      </c>
      <c r="H262" s="278">
        <v>13182</v>
      </c>
      <c r="I262" s="278">
        <v>2578</v>
      </c>
      <c r="J262" s="278">
        <v>15008</v>
      </c>
      <c r="K262" s="278">
        <v>12522</v>
      </c>
      <c r="L262" s="278">
        <v>2331</v>
      </c>
      <c r="M262" s="278">
        <v>506</v>
      </c>
      <c r="N262" s="278">
        <v>15915</v>
      </c>
      <c r="O262" s="278">
        <v>13182</v>
      </c>
      <c r="P262" s="278">
        <v>2578</v>
      </c>
      <c r="Q262" s="278">
        <v>15008</v>
      </c>
      <c r="R262" s="278">
        <v>12522</v>
      </c>
      <c r="S262" s="278">
        <v>2331</v>
      </c>
    </row>
    <row r="263" spans="1:19">
      <c r="A263" s="241" t="s">
        <v>3159</v>
      </c>
      <c r="B263" s="241" t="s">
        <v>5303</v>
      </c>
      <c r="C263" s="241" t="s">
        <v>3172</v>
      </c>
      <c r="D263" s="241" t="s">
        <v>3233</v>
      </c>
      <c r="E263" s="241" t="s">
        <v>3424</v>
      </c>
      <c r="F263" s="278">
        <v>879</v>
      </c>
      <c r="G263" s="278">
        <v>17478</v>
      </c>
      <c r="H263" s="278">
        <v>12619</v>
      </c>
      <c r="I263" s="278">
        <v>4833</v>
      </c>
      <c r="J263" s="278">
        <v>15853</v>
      </c>
      <c r="K263" s="278">
        <v>11467</v>
      </c>
      <c r="L263" s="278">
        <v>4360</v>
      </c>
      <c r="M263" s="278">
        <v>879</v>
      </c>
      <c r="N263" s="278">
        <v>17478</v>
      </c>
      <c r="O263" s="278">
        <v>12619</v>
      </c>
      <c r="P263" s="278">
        <v>4833</v>
      </c>
      <c r="Q263" s="278">
        <v>15853</v>
      </c>
      <c r="R263" s="278">
        <v>11467</v>
      </c>
      <c r="S263" s="278">
        <v>4360</v>
      </c>
    </row>
    <row r="264" spans="1:19">
      <c r="A264" s="241" t="s">
        <v>3159</v>
      </c>
      <c r="B264" s="241" t="s">
        <v>5303</v>
      </c>
      <c r="C264" s="241" t="s">
        <v>3170</v>
      </c>
      <c r="D264" s="241" t="s">
        <v>3233</v>
      </c>
      <c r="E264" s="241" t="s">
        <v>3425</v>
      </c>
      <c r="F264" s="278">
        <v>27616</v>
      </c>
      <c r="G264" s="278">
        <v>234684</v>
      </c>
      <c r="H264" s="278">
        <v>144656</v>
      </c>
      <c r="I264" s="278">
        <v>89843</v>
      </c>
      <c r="J264" s="278">
        <v>190140</v>
      </c>
      <c r="K264" s="278">
        <v>112896</v>
      </c>
      <c r="L264" s="278">
        <v>77075</v>
      </c>
      <c r="M264" s="278">
        <v>27615</v>
      </c>
      <c r="N264" s="278">
        <v>234682</v>
      </c>
      <c r="O264" s="278">
        <v>144654</v>
      </c>
      <c r="P264" s="278">
        <v>89843</v>
      </c>
      <c r="Q264" s="278">
        <v>190138</v>
      </c>
      <c r="R264" s="278">
        <v>112894</v>
      </c>
      <c r="S264" s="278">
        <v>77075</v>
      </c>
    </row>
    <row r="265" spans="1:19">
      <c r="A265" s="241" t="s">
        <v>3159</v>
      </c>
      <c r="B265" s="241" t="s">
        <v>5303</v>
      </c>
      <c r="C265" s="241" t="s">
        <v>3172</v>
      </c>
      <c r="D265" s="241" t="s">
        <v>3233</v>
      </c>
      <c r="E265" s="241" t="s">
        <v>3426</v>
      </c>
      <c r="F265" s="278">
        <v>210</v>
      </c>
      <c r="G265" s="278">
        <v>2299</v>
      </c>
      <c r="H265" s="278">
        <v>1513</v>
      </c>
      <c r="I265" s="278">
        <v>786</v>
      </c>
      <c r="J265" s="278">
        <v>1977</v>
      </c>
      <c r="K265" s="278">
        <v>1306</v>
      </c>
      <c r="L265" s="278">
        <v>671</v>
      </c>
      <c r="M265" s="278">
        <v>210</v>
      </c>
      <c r="N265" s="278">
        <v>2299</v>
      </c>
      <c r="O265" s="278">
        <v>1513</v>
      </c>
      <c r="P265" s="278">
        <v>786</v>
      </c>
      <c r="Q265" s="278">
        <v>1977</v>
      </c>
      <c r="R265" s="278">
        <v>1306</v>
      </c>
      <c r="S265" s="278">
        <v>671</v>
      </c>
    </row>
    <row r="266" spans="1:19">
      <c r="A266" s="241" t="s">
        <v>3159</v>
      </c>
      <c r="B266" s="241" t="s">
        <v>5303</v>
      </c>
      <c r="C266" s="241" t="s">
        <v>3172</v>
      </c>
      <c r="D266" s="241" t="s">
        <v>3233</v>
      </c>
      <c r="E266" s="241" t="s">
        <v>3427</v>
      </c>
      <c r="F266" s="278">
        <v>1719</v>
      </c>
      <c r="G266" s="278">
        <v>10710</v>
      </c>
      <c r="H266" s="278">
        <v>5666</v>
      </c>
      <c r="I266" s="278">
        <v>5035</v>
      </c>
      <c r="J266" s="278">
        <v>8113</v>
      </c>
      <c r="K266" s="278">
        <v>3842</v>
      </c>
      <c r="L266" s="278">
        <v>4263</v>
      </c>
      <c r="M266" s="278">
        <v>1719</v>
      </c>
      <c r="N266" s="278">
        <v>10710</v>
      </c>
      <c r="O266" s="278">
        <v>5666</v>
      </c>
      <c r="P266" s="278">
        <v>5035</v>
      </c>
      <c r="Q266" s="278">
        <v>8113</v>
      </c>
      <c r="R266" s="278">
        <v>3842</v>
      </c>
      <c r="S266" s="278">
        <v>4263</v>
      </c>
    </row>
    <row r="267" spans="1:19">
      <c r="A267" s="241" t="s">
        <v>3159</v>
      </c>
      <c r="B267" s="241" t="s">
        <v>5303</v>
      </c>
      <c r="C267" s="241" t="s">
        <v>3172</v>
      </c>
      <c r="D267" s="241" t="s">
        <v>3233</v>
      </c>
      <c r="E267" s="241" t="s">
        <v>3428</v>
      </c>
      <c r="F267" s="278">
        <v>1404</v>
      </c>
      <c r="G267" s="278">
        <v>14614</v>
      </c>
      <c r="H267" s="278">
        <v>7919</v>
      </c>
      <c r="I267" s="278">
        <v>6691</v>
      </c>
      <c r="J267" s="278">
        <v>12383</v>
      </c>
      <c r="K267" s="278">
        <v>6441</v>
      </c>
      <c r="L267" s="278">
        <v>5940</v>
      </c>
      <c r="M267" s="278">
        <v>1404</v>
      </c>
      <c r="N267" s="278">
        <v>14614</v>
      </c>
      <c r="O267" s="278">
        <v>7919</v>
      </c>
      <c r="P267" s="278">
        <v>6691</v>
      </c>
      <c r="Q267" s="278">
        <v>12383</v>
      </c>
      <c r="R267" s="278">
        <v>6441</v>
      </c>
      <c r="S267" s="278">
        <v>5940</v>
      </c>
    </row>
    <row r="268" spans="1:19">
      <c r="A268" s="241" t="s">
        <v>3159</v>
      </c>
      <c r="B268" s="241" t="s">
        <v>5303</v>
      </c>
      <c r="C268" s="241" t="s">
        <v>3172</v>
      </c>
      <c r="D268" s="241" t="s">
        <v>3233</v>
      </c>
      <c r="E268" s="241" t="s">
        <v>3429</v>
      </c>
      <c r="F268" s="278">
        <v>184</v>
      </c>
      <c r="G268" s="278">
        <v>6454</v>
      </c>
      <c r="H268" s="278">
        <v>4130</v>
      </c>
      <c r="I268" s="278">
        <v>2324</v>
      </c>
      <c r="J268" s="278">
        <v>6219</v>
      </c>
      <c r="K268" s="278">
        <v>3945</v>
      </c>
      <c r="L268" s="278">
        <v>2274</v>
      </c>
      <c r="M268" s="278">
        <v>184</v>
      </c>
      <c r="N268" s="278">
        <v>6454</v>
      </c>
      <c r="O268" s="278">
        <v>4130</v>
      </c>
      <c r="P268" s="278">
        <v>2324</v>
      </c>
      <c r="Q268" s="278">
        <v>6219</v>
      </c>
      <c r="R268" s="278">
        <v>3945</v>
      </c>
      <c r="S268" s="278">
        <v>2274</v>
      </c>
    </row>
    <row r="269" spans="1:19">
      <c r="A269" s="241" t="s">
        <v>3159</v>
      </c>
      <c r="B269" s="241" t="s">
        <v>5303</v>
      </c>
      <c r="C269" s="241" t="s">
        <v>3172</v>
      </c>
      <c r="D269" s="241" t="s">
        <v>3233</v>
      </c>
      <c r="E269" s="241" t="s">
        <v>3430</v>
      </c>
      <c r="F269" s="278">
        <v>559</v>
      </c>
      <c r="G269" s="278">
        <v>6793</v>
      </c>
      <c r="H269" s="278">
        <v>4695</v>
      </c>
      <c r="I269" s="278">
        <v>2096</v>
      </c>
      <c r="J269" s="278">
        <v>5913</v>
      </c>
      <c r="K269" s="278">
        <v>4042</v>
      </c>
      <c r="L269" s="278">
        <v>1870</v>
      </c>
      <c r="M269" s="278">
        <v>559</v>
      </c>
      <c r="N269" s="278">
        <v>6793</v>
      </c>
      <c r="O269" s="278">
        <v>4695</v>
      </c>
      <c r="P269" s="278">
        <v>2096</v>
      </c>
      <c r="Q269" s="278">
        <v>5913</v>
      </c>
      <c r="R269" s="278">
        <v>4042</v>
      </c>
      <c r="S269" s="278">
        <v>1870</v>
      </c>
    </row>
    <row r="270" spans="1:19">
      <c r="A270" s="241" t="s">
        <v>3159</v>
      </c>
      <c r="B270" s="241" t="s">
        <v>5303</v>
      </c>
      <c r="C270" s="241" t="s">
        <v>3172</v>
      </c>
      <c r="D270" s="241" t="s">
        <v>3233</v>
      </c>
      <c r="E270" s="241" t="s">
        <v>3431</v>
      </c>
      <c r="F270" s="278">
        <v>2883</v>
      </c>
      <c r="G270" s="278">
        <v>32268</v>
      </c>
      <c r="H270" s="278">
        <v>18084</v>
      </c>
      <c r="I270" s="278">
        <v>14182</v>
      </c>
      <c r="J270" s="278">
        <v>27315</v>
      </c>
      <c r="K270" s="278">
        <v>14785</v>
      </c>
      <c r="L270" s="278">
        <v>12528</v>
      </c>
      <c r="M270" s="278">
        <v>2883</v>
      </c>
      <c r="N270" s="278">
        <v>32268</v>
      </c>
      <c r="O270" s="278">
        <v>18084</v>
      </c>
      <c r="P270" s="278">
        <v>14182</v>
      </c>
      <c r="Q270" s="278">
        <v>27315</v>
      </c>
      <c r="R270" s="278">
        <v>14785</v>
      </c>
      <c r="S270" s="278">
        <v>12528</v>
      </c>
    </row>
    <row r="271" spans="1:19">
      <c r="A271" s="241" t="s">
        <v>3159</v>
      </c>
      <c r="B271" s="241" t="s">
        <v>5303</v>
      </c>
      <c r="C271" s="241" t="s">
        <v>3432</v>
      </c>
      <c r="D271" s="241" t="s">
        <v>3233</v>
      </c>
      <c r="E271" s="241" t="s">
        <v>3433</v>
      </c>
      <c r="F271" s="278">
        <v>1615</v>
      </c>
      <c r="G271" s="278">
        <v>14881</v>
      </c>
      <c r="H271" s="278">
        <v>7473</v>
      </c>
      <c r="I271" s="278">
        <v>7408</v>
      </c>
      <c r="J271" s="278">
        <v>12070</v>
      </c>
      <c r="K271" s="278">
        <v>5689</v>
      </c>
      <c r="L271" s="278">
        <v>6381</v>
      </c>
      <c r="M271" s="278">
        <v>1615</v>
      </c>
      <c r="N271" s="278">
        <v>14881</v>
      </c>
      <c r="O271" s="278">
        <v>7473</v>
      </c>
      <c r="P271" s="278">
        <v>7408</v>
      </c>
      <c r="Q271" s="278">
        <v>12070</v>
      </c>
      <c r="R271" s="278">
        <v>5689</v>
      </c>
      <c r="S271" s="278">
        <v>6381</v>
      </c>
    </row>
    <row r="272" spans="1:19">
      <c r="A272" s="241" t="s">
        <v>3159</v>
      </c>
      <c r="B272" s="241" t="s">
        <v>5303</v>
      </c>
      <c r="C272" s="241" t="s">
        <v>3432</v>
      </c>
      <c r="D272" s="241" t="s">
        <v>3233</v>
      </c>
      <c r="E272" s="241" t="s">
        <v>3434</v>
      </c>
      <c r="F272" s="278">
        <v>1268</v>
      </c>
      <c r="G272" s="278">
        <v>17387</v>
      </c>
      <c r="H272" s="278">
        <v>10611</v>
      </c>
      <c r="I272" s="278">
        <v>6774</v>
      </c>
      <c r="J272" s="278">
        <v>15245</v>
      </c>
      <c r="K272" s="278">
        <v>9096</v>
      </c>
      <c r="L272" s="278">
        <v>6147</v>
      </c>
      <c r="M272" s="278">
        <v>1268</v>
      </c>
      <c r="N272" s="278">
        <v>17387</v>
      </c>
      <c r="O272" s="278">
        <v>10611</v>
      </c>
      <c r="P272" s="278">
        <v>6774</v>
      </c>
      <c r="Q272" s="278">
        <v>15245</v>
      </c>
      <c r="R272" s="278">
        <v>9096</v>
      </c>
      <c r="S272" s="278">
        <v>6147</v>
      </c>
    </row>
    <row r="273" spans="1:19">
      <c r="A273" s="241" t="s">
        <v>3159</v>
      </c>
      <c r="B273" s="241" t="s">
        <v>5303</v>
      </c>
      <c r="C273" s="241" t="s">
        <v>3172</v>
      </c>
      <c r="D273" s="241" t="s">
        <v>3233</v>
      </c>
      <c r="E273" s="241" t="s">
        <v>3435</v>
      </c>
      <c r="F273" s="278">
        <v>1137</v>
      </c>
      <c r="G273" s="278">
        <v>17022</v>
      </c>
      <c r="H273" s="278">
        <v>8406</v>
      </c>
      <c r="I273" s="278">
        <v>8595</v>
      </c>
      <c r="J273" s="278">
        <v>15061</v>
      </c>
      <c r="K273" s="278">
        <v>7113</v>
      </c>
      <c r="L273" s="278">
        <v>7928</v>
      </c>
      <c r="M273" s="278">
        <v>1137</v>
      </c>
      <c r="N273" s="278">
        <v>17022</v>
      </c>
      <c r="O273" s="278">
        <v>8406</v>
      </c>
      <c r="P273" s="278">
        <v>8595</v>
      </c>
      <c r="Q273" s="278">
        <v>15061</v>
      </c>
      <c r="R273" s="278">
        <v>7113</v>
      </c>
      <c r="S273" s="278">
        <v>7928</v>
      </c>
    </row>
    <row r="274" spans="1:19">
      <c r="A274" s="241" t="s">
        <v>3159</v>
      </c>
      <c r="B274" s="241" t="s">
        <v>5303</v>
      </c>
      <c r="C274" s="241" t="s">
        <v>3172</v>
      </c>
      <c r="D274" s="241" t="s">
        <v>3233</v>
      </c>
      <c r="E274" s="241" t="s">
        <v>3436</v>
      </c>
      <c r="F274" s="278">
        <v>1263</v>
      </c>
      <c r="G274" s="278">
        <v>4652</v>
      </c>
      <c r="H274" s="278">
        <v>2734</v>
      </c>
      <c r="I274" s="278">
        <v>1918</v>
      </c>
      <c r="J274" s="278">
        <v>2734</v>
      </c>
      <c r="K274" s="278">
        <v>1372</v>
      </c>
      <c r="L274" s="278">
        <v>1362</v>
      </c>
      <c r="M274" s="278">
        <v>1263</v>
      </c>
      <c r="N274" s="278">
        <v>4652</v>
      </c>
      <c r="O274" s="278">
        <v>2734</v>
      </c>
      <c r="P274" s="278">
        <v>1918</v>
      </c>
      <c r="Q274" s="278">
        <v>2734</v>
      </c>
      <c r="R274" s="278">
        <v>1372</v>
      </c>
      <c r="S274" s="278">
        <v>1362</v>
      </c>
    </row>
    <row r="275" spans="1:19">
      <c r="A275" s="241" t="s">
        <v>3159</v>
      </c>
      <c r="B275" s="241" t="s">
        <v>5303</v>
      </c>
      <c r="C275" s="241" t="s">
        <v>3172</v>
      </c>
      <c r="D275" s="241" t="s">
        <v>3233</v>
      </c>
      <c r="E275" s="241" t="s">
        <v>3437</v>
      </c>
      <c r="F275" s="278">
        <v>4499</v>
      </c>
      <c r="G275" s="278">
        <v>22110</v>
      </c>
      <c r="H275" s="278">
        <v>12420</v>
      </c>
      <c r="I275" s="278">
        <v>9687</v>
      </c>
      <c r="J275" s="278">
        <v>15095</v>
      </c>
      <c r="K275" s="278">
        <v>7249</v>
      </c>
      <c r="L275" s="278">
        <v>7845</v>
      </c>
      <c r="M275" s="278">
        <v>4499</v>
      </c>
      <c r="N275" s="278">
        <v>22110</v>
      </c>
      <c r="O275" s="278">
        <v>12420</v>
      </c>
      <c r="P275" s="278">
        <v>9687</v>
      </c>
      <c r="Q275" s="278">
        <v>15095</v>
      </c>
      <c r="R275" s="278">
        <v>7249</v>
      </c>
      <c r="S275" s="278">
        <v>7845</v>
      </c>
    </row>
    <row r="276" spans="1:19">
      <c r="A276" s="241" t="s">
        <v>3159</v>
      </c>
      <c r="B276" s="241" t="s">
        <v>5303</v>
      </c>
      <c r="C276" s="241" t="s">
        <v>3172</v>
      </c>
      <c r="D276" s="241" t="s">
        <v>3233</v>
      </c>
      <c r="E276" s="241" t="s">
        <v>3438</v>
      </c>
      <c r="F276" s="278">
        <v>13758</v>
      </c>
      <c r="G276" s="278">
        <v>117762</v>
      </c>
      <c r="H276" s="278">
        <v>79089</v>
      </c>
      <c r="I276" s="278">
        <v>38529</v>
      </c>
      <c r="J276" s="278">
        <v>95330</v>
      </c>
      <c r="K276" s="278">
        <v>62801</v>
      </c>
      <c r="L276" s="278">
        <v>32394</v>
      </c>
      <c r="M276" s="278">
        <v>13757</v>
      </c>
      <c r="N276" s="278">
        <v>117760</v>
      </c>
      <c r="O276" s="278">
        <v>79087</v>
      </c>
      <c r="P276" s="278">
        <v>38529</v>
      </c>
      <c r="Q276" s="278">
        <v>95328</v>
      </c>
      <c r="R276" s="278">
        <v>62799</v>
      </c>
      <c r="S276" s="278">
        <v>32394</v>
      </c>
    </row>
    <row r="277" spans="1:19">
      <c r="A277" s="241" t="s">
        <v>3159</v>
      </c>
      <c r="B277" s="241" t="s">
        <v>5303</v>
      </c>
      <c r="C277" s="241" t="s">
        <v>3432</v>
      </c>
      <c r="D277" s="241" t="s">
        <v>3233</v>
      </c>
      <c r="E277" s="241" t="s">
        <v>3439</v>
      </c>
      <c r="F277" s="278">
        <v>216</v>
      </c>
      <c r="G277" s="278">
        <v>5344</v>
      </c>
      <c r="H277" s="278">
        <v>2704</v>
      </c>
      <c r="I277" s="278">
        <v>2640</v>
      </c>
      <c r="J277" s="278">
        <v>5050</v>
      </c>
      <c r="K277" s="278">
        <v>2500</v>
      </c>
      <c r="L277" s="278">
        <v>2550</v>
      </c>
      <c r="M277" s="278">
        <v>216</v>
      </c>
      <c r="N277" s="278">
        <v>5344</v>
      </c>
      <c r="O277" s="278">
        <v>2704</v>
      </c>
      <c r="P277" s="278">
        <v>2640</v>
      </c>
      <c r="Q277" s="278">
        <v>5050</v>
      </c>
      <c r="R277" s="278">
        <v>2500</v>
      </c>
      <c r="S277" s="278">
        <v>2550</v>
      </c>
    </row>
    <row r="278" spans="1:19">
      <c r="A278" s="241" t="s">
        <v>3159</v>
      </c>
      <c r="B278" s="241" t="s">
        <v>5303</v>
      </c>
      <c r="C278" s="241" t="s">
        <v>3432</v>
      </c>
      <c r="D278" s="241" t="s">
        <v>3233</v>
      </c>
      <c r="E278" s="241" t="s">
        <v>3440</v>
      </c>
      <c r="F278" s="278">
        <v>13542</v>
      </c>
      <c r="G278" s="278">
        <v>112418</v>
      </c>
      <c r="H278" s="278">
        <v>76385</v>
      </c>
      <c r="I278" s="278">
        <v>35889</v>
      </c>
      <c r="J278" s="278">
        <v>90280</v>
      </c>
      <c r="K278" s="278">
        <v>60301</v>
      </c>
      <c r="L278" s="278">
        <v>29844</v>
      </c>
      <c r="M278" s="278">
        <v>13541</v>
      </c>
      <c r="N278" s="278">
        <v>112416</v>
      </c>
      <c r="O278" s="278">
        <v>76383</v>
      </c>
      <c r="P278" s="278">
        <v>35889</v>
      </c>
      <c r="Q278" s="278">
        <v>90278</v>
      </c>
      <c r="R278" s="278">
        <v>60299</v>
      </c>
      <c r="S278" s="278">
        <v>29844</v>
      </c>
    </row>
    <row r="279" spans="1:19">
      <c r="A279" s="241" t="s">
        <v>3159</v>
      </c>
      <c r="B279" s="241" t="s">
        <v>5303</v>
      </c>
      <c r="C279" s="241" t="s">
        <v>3168</v>
      </c>
      <c r="D279" s="241" t="s">
        <v>3441</v>
      </c>
      <c r="E279" s="241" t="s">
        <v>3442</v>
      </c>
      <c r="F279" s="278">
        <v>12605</v>
      </c>
      <c r="G279" s="278">
        <v>280696</v>
      </c>
      <c r="H279" s="278">
        <v>239933</v>
      </c>
      <c r="I279" s="278">
        <v>40597</v>
      </c>
      <c r="J279" s="278">
        <v>271212</v>
      </c>
      <c r="K279" s="278">
        <v>232788</v>
      </c>
      <c r="L279" s="278">
        <v>38267</v>
      </c>
      <c r="M279" s="278">
        <v>9139</v>
      </c>
      <c r="N279" s="278">
        <v>202149</v>
      </c>
      <c r="O279" s="278">
        <v>173600</v>
      </c>
      <c r="P279" s="278">
        <v>28383</v>
      </c>
      <c r="Q279" s="278">
        <v>192807</v>
      </c>
      <c r="R279" s="278">
        <v>166535</v>
      </c>
      <c r="S279" s="278">
        <v>26115</v>
      </c>
    </row>
    <row r="280" spans="1:19">
      <c r="A280" s="241" t="s">
        <v>3159</v>
      </c>
      <c r="B280" s="241" t="s">
        <v>5303</v>
      </c>
      <c r="C280" s="241" t="s">
        <v>3170</v>
      </c>
      <c r="D280" s="241" t="s">
        <v>3441</v>
      </c>
      <c r="E280" s="241" t="s">
        <v>3443</v>
      </c>
      <c r="F280" s="278">
        <v>6514</v>
      </c>
      <c r="G280" s="278">
        <v>139547</v>
      </c>
      <c r="H280" s="278">
        <v>120189</v>
      </c>
      <c r="I280" s="278">
        <v>19201</v>
      </c>
      <c r="J280" s="278">
        <v>132572</v>
      </c>
      <c r="K280" s="278">
        <v>115216</v>
      </c>
      <c r="L280" s="278">
        <v>17208</v>
      </c>
      <c r="M280" s="278">
        <v>6430</v>
      </c>
      <c r="N280" s="278">
        <v>137462</v>
      </c>
      <c r="O280" s="278">
        <v>118364</v>
      </c>
      <c r="P280" s="278">
        <v>18941</v>
      </c>
      <c r="Q280" s="278">
        <v>130487</v>
      </c>
      <c r="R280" s="278">
        <v>113391</v>
      </c>
      <c r="S280" s="278">
        <v>16948</v>
      </c>
    </row>
    <row r="281" spans="1:19">
      <c r="A281" s="241" t="s">
        <v>3159</v>
      </c>
      <c r="B281" s="241" t="s">
        <v>5303</v>
      </c>
      <c r="C281" s="241" t="s">
        <v>3172</v>
      </c>
      <c r="D281" s="241" t="s">
        <v>3441</v>
      </c>
      <c r="E281" s="241" t="s">
        <v>3444</v>
      </c>
      <c r="F281" s="278">
        <v>778</v>
      </c>
      <c r="G281" s="278">
        <v>68236</v>
      </c>
      <c r="H281" s="278">
        <v>58563</v>
      </c>
      <c r="I281" s="278">
        <v>9673</v>
      </c>
      <c r="J281" s="278">
        <v>67844</v>
      </c>
      <c r="K281" s="278">
        <v>58220</v>
      </c>
      <c r="L281" s="278">
        <v>9624</v>
      </c>
      <c r="M281" s="278">
        <v>756</v>
      </c>
      <c r="N281" s="278">
        <v>67279</v>
      </c>
      <c r="O281" s="278">
        <v>57757</v>
      </c>
      <c r="P281" s="278">
        <v>9522</v>
      </c>
      <c r="Q281" s="278">
        <v>66887</v>
      </c>
      <c r="R281" s="278">
        <v>57414</v>
      </c>
      <c r="S281" s="278">
        <v>9473</v>
      </c>
    </row>
    <row r="282" spans="1:19">
      <c r="A282" s="241" t="s">
        <v>3159</v>
      </c>
      <c r="B282" s="241" t="s">
        <v>5303</v>
      </c>
      <c r="C282" s="241" t="s">
        <v>3172</v>
      </c>
      <c r="D282" s="241" t="s">
        <v>3441</v>
      </c>
      <c r="E282" s="241" t="s">
        <v>3445</v>
      </c>
      <c r="F282" s="278">
        <v>5736</v>
      </c>
      <c r="G282" s="278">
        <v>71311</v>
      </c>
      <c r="H282" s="278">
        <v>61626</v>
      </c>
      <c r="I282" s="278">
        <v>9528</v>
      </c>
      <c r="J282" s="278">
        <v>64728</v>
      </c>
      <c r="K282" s="278">
        <v>56996</v>
      </c>
      <c r="L282" s="278">
        <v>7584</v>
      </c>
      <c r="M282" s="278">
        <v>5674</v>
      </c>
      <c r="N282" s="278">
        <v>70183</v>
      </c>
      <c r="O282" s="278">
        <v>60607</v>
      </c>
      <c r="P282" s="278">
        <v>9419</v>
      </c>
      <c r="Q282" s="278">
        <v>63600</v>
      </c>
      <c r="R282" s="278">
        <v>55977</v>
      </c>
      <c r="S282" s="278">
        <v>7475</v>
      </c>
    </row>
    <row r="283" spans="1:19">
      <c r="A283" s="241" t="s">
        <v>3159</v>
      </c>
      <c r="B283" s="241" t="s">
        <v>5303</v>
      </c>
      <c r="C283" s="241" t="s">
        <v>3170</v>
      </c>
      <c r="D283" s="241" t="s">
        <v>3441</v>
      </c>
      <c r="E283" s="241" t="s">
        <v>3446</v>
      </c>
      <c r="F283" s="278">
        <v>552</v>
      </c>
      <c r="G283" s="278">
        <v>33382</v>
      </c>
      <c r="H283" s="278">
        <v>26862</v>
      </c>
      <c r="I283" s="278">
        <v>6519</v>
      </c>
      <c r="J283" s="278">
        <v>32459</v>
      </c>
      <c r="K283" s="278">
        <v>25989</v>
      </c>
      <c r="L283" s="278">
        <v>6469</v>
      </c>
      <c r="M283" s="278">
        <v>530</v>
      </c>
      <c r="N283" s="278">
        <v>32399</v>
      </c>
      <c r="O283" s="278">
        <v>26059</v>
      </c>
      <c r="P283" s="278">
        <v>6339</v>
      </c>
      <c r="Q283" s="278">
        <v>31476</v>
      </c>
      <c r="R283" s="278">
        <v>25186</v>
      </c>
      <c r="S283" s="278">
        <v>6289</v>
      </c>
    </row>
    <row r="284" spans="1:19">
      <c r="A284" s="241" t="s">
        <v>3159</v>
      </c>
      <c r="B284" s="241" t="s">
        <v>5303</v>
      </c>
      <c r="C284" s="241" t="s">
        <v>3172</v>
      </c>
      <c r="D284" s="241" t="s">
        <v>3441</v>
      </c>
      <c r="E284" s="241" t="s">
        <v>3447</v>
      </c>
      <c r="F284" s="278">
        <v>158</v>
      </c>
      <c r="G284" s="278">
        <v>18905</v>
      </c>
      <c r="H284" s="278">
        <v>15066</v>
      </c>
      <c r="I284" s="278">
        <v>3839</v>
      </c>
      <c r="J284" s="278">
        <v>18680</v>
      </c>
      <c r="K284" s="278">
        <v>14853</v>
      </c>
      <c r="L284" s="278">
        <v>3827</v>
      </c>
      <c r="M284" s="278">
        <v>156</v>
      </c>
      <c r="N284" s="278">
        <v>18898</v>
      </c>
      <c r="O284" s="278">
        <v>15060</v>
      </c>
      <c r="P284" s="278">
        <v>3838</v>
      </c>
      <c r="Q284" s="278">
        <v>18673</v>
      </c>
      <c r="R284" s="278">
        <v>14847</v>
      </c>
      <c r="S284" s="278">
        <v>3826</v>
      </c>
    </row>
    <row r="285" spans="1:19">
      <c r="A285" s="241" t="s">
        <v>3159</v>
      </c>
      <c r="B285" s="241" t="s">
        <v>5303</v>
      </c>
      <c r="C285" s="241" t="s">
        <v>3172</v>
      </c>
      <c r="D285" s="241" t="s">
        <v>3441</v>
      </c>
      <c r="E285" s="241" t="s">
        <v>3448</v>
      </c>
      <c r="F285" s="278">
        <v>394</v>
      </c>
      <c r="G285" s="278">
        <v>14477</v>
      </c>
      <c r="H285" s="278">
        <v>11796</v>
      </c>
      <c r="I285" s="278">
        <v>2680</v>
      </c>
      <c r="J285" s="278">
        <v>13779</v>
      </c>
      <c r="K285" s="278">
        <v>11136</v>
      </c>
      <c r="L285" s="278">
        <v>2642</v>
      </c>
      <c r="M285" s="278">
        <v>374</v>
      </c>
      <c r="N285" s="278">
        <v>13501</v>
      </c>
      <c r="O285" s="278">
        <v>10999</v>
      </c>
      <c r="P285" s="278">
        <v>2501</v>
      </c>
      <c r="Q285" s="278">
        <v>12803</v>
      </c>
      <c r="R285" s="278">
        <v>10339</v>
      </c>
      <c r="S285" s="278">
        <v>2463</v>
      </c>
    </row>
    <row r="286" spans="1:19">
      <c r="A286" s="241" t="s">
        <v>3159</v>
      </c>
      <c r="B286" s="241" t="s">
        <v>5303</v>
      </c>
      <c r="C286" s="241" t="s">
        <v>3170</v>
      </c>
      <c r="D286" s="241" t="s">
        <v>3441</v>
      </c>
      <c r="E286" s="241" t="s">
        <v>3449</v>
      </c>
      <c r="F286" s="278">
        <v>206</v>
      </c>
      <c r="G286" s="278">
        <v>2207</v>
      </c>
      <c r="H286" s="278">
        <v>1990</v>
      </c>
      <c r="I286" s="278">
        <v>217</v>
      </c>
      <c r="J286" s="278">
        <v>2079</v>
      </c>
      <c r="K286" s="278">
        <v>1865</v>
      </c>
      <c r="L286" s="278">
        <v>214</v>
      </c>
      <c r="M286" s="278">
        <v>206</v>
      </c>
      <c r="N286" s="278">
        <v>2207</v>
      </c>
      <c r="O286" s="278">
        <v>1990</v>
      </c>
      <c r="P286" s="278">
        <v>217</v>
      </c>
      <c r="Q286" s="278">
        <v>2079</v>
      </c>
      <c r="R286" s="278">
        <v>1865</v>
      </c>
      <c r="S286" s="278">
        <v>214</v>
      </c>
    </row>
    <row r="287" spans="1:19">
      <c r="A287" s="241" t="s">
        <v>3159</v>
      </c>
      <c r="B287" s="241" t="s">
        <v>5303</v>
      </c>
      <c r="C287" s="241" t="s">
        <v>3172</v>
      </c>
      <c r="D287" s="241" t="s">
        <v>3441</v>
      </c>
      <c r="E287" s="241" t="s">
        <v>3450</v>
      </c>
      <c r="F287" s="278">
        <v>6</v>
      </c>
      <c r="G287" s="278">
        <v>560</v>
      </c>
      <c r="H287" s="278">
        <v>481</v>
      </c>
      <c r="I287" s="278">
        <v>79</v>
      </c>
      <c r="J287" s="278">
        <v>550</v>
      </c>
      <c r="K287" s="278">
        <v>471</v>
      </c>
      <c r="L287" s="278">
        <v>79</v>
      </c>
      <c r="M287" s="278">
        <v>6</v>
      </c>
      <c r="N287" s="278">
        <v>560</v>
      </c>
      <c r="O287" s="278">
        <v>481</v>
      </c>
      <c r="P287" s="278">
        <v>79</v>
      </c>
      <c r="Q287" s="278">
        <v>550</v>
      </c>
      <c r="R287" s="278">
        <v>471</v>
      </c>
      <c r="S287" s="278">
        <v>79</v>
      </c>
    </row>
    <row r="288" spans="1:19">
      <c r="A288" s="241" t="s">
        <v>3159</v>
      </c>
      <c r="B288" s="241" t="s">
        <v>5303</v>
      </c>
      <c r="C288" s="241" t="s">
        <v>3172</v>
      </c>
      <c r="D288" s="241" t="s">
        <v>3441</v>
      </c>
      <c r="E288" s="241" t="s">
        <v>3451</v>
      </c>
      <c r="F288" s="278">
        <v>200</v>
      </c>
      <c r="G288" s="278">
        <v>1647</v>
      </c>
      <c r="H288" s="278">
        <v>1509</v>
      </c>
      <c r="I288" s="278">
        <v>138</v>
      </c>
      <c r="J288" s="278">
        <v>1529</v>
      </c>
      <c r="K288" s="278">
        <v>1394</v>
      </c>
      <c r="L288" s="278">
        <v>135</v>
      </c>
      <c r="M288" s="278">
        <v>200</v>
      </c>
      <c r="N288" s="278">
        <v>1647</v>
      </c>
      <c r="O288" s="278">
        <v>1509</v>
      </c>
      <c r="P288" s="278">
        <v>138</v>
      </c>
      <c r="Q288" s="278">
        <v>1529</v>
      </c>
      <c r="R288" s="278">
        <v>1394</v>
      </c>
      <c r="S288" s="278">
        <v>135</v>
      </c>
    </row>
    <row r="289" spans="1:19">
      <c r="A289" s="241" t="s">
        <v>3159</v>
      </c>
      <c r="B289" s="241" t="s">
        <v>5303</v>
      </c>
      <c r="C289" s="241" t="s">
        <v>3170</v>
      </c>
      <c r="D289" s="241" t="s">
        <v>3441</v>
      </c>
      <c r="E289" s="241" t="s">
        <v>3452</v>
      </c>
      <c r="F289" s="278">
        <v>5329</v>
      </c>
      <c r="G289" s="278">
        <v>105484</v>
      </c>
      <c r="H289" s="278">
        <v>90825</v>
      </c>
      <c r="I289" s="278">
        <v>14651</v>
      </c>
      <c r="J289" s="278">
        <v>104041</v>
      </c>
      <c r="K289" s="278">
        <v>89664</v>
      </c>
      <c r="L289" s="278">
        <v>14369</v>
      </c>
      <c r="M289" s="278">
        <v>1969</v>
      </c>
      <c r="N289" s="278">
        <v>30005</v>
      </c>
      <c r="O289" s="278">
        <v>27120</v>
      </c>
      <c r="P289" s="278">
        <v>2877</v>
      </c>
      <c r="Q289" s="278">
        <v>28704</v>
      </c>
      <c r="R289" s="278">
        <v>26039</v>
      </c>
      <c r="S289" s="278">
        <v>2657</v>
      </c>
    </row>
    <row r="290" spans="1:19">
      <c r="A290" s="241" t="s">
        <v>3159</v>
      </c>
      <c r="B290" s="241" t="s">
        <v>5303</v>
      </c>
      <c r="C290" s="241" t="s">
        <v>3172</v>
      </c>
      <c r="D290" s="241" t="s">
        <v>3441</v>
      </c>
      <c r="E290" s="241" t="s">
        <v>3453</v>
      </c>
      <c r="F290" s="278">
        <v>1016</v>
      </c>
      <c r="G290" s="278">
        <v>31837</v>
      </c>
      <c r="H290" s="278">
        <v>25874</v>
      </c>
      <c r="I290" s="278">
        <v>5963</v>
      </c>
      <c r="J290" s="278">
        <v>31713</v>
      </c>
      <c r="K290" s="278">
        <v>25784</v>
      </c>
      <c r="L290" s="278">
        <v>5929</v>
      </c>
      <c r="M290" s="278">
        <v>37</v>
      </c>
      <c r="N290" s="278">
        <v>1595</v>
      </c>
      <c r="O290" s="278">
        <v>1198</v>
      </c>
      <c r="P290" s="278">
        <v>397</v>
      </c>
      <c r="Q290" s="278">
        <v>1531</v>
      </c>
      <c r="R290" s="278">
        <v>1141</v>
      </c>
      <c r="S290" s="278">
        <v>390</v>
      </c>
    </row>
    <row r="291" spans="1:19">
      <c r="A291" s="241" t="s">
        <v>3159</v>
      </c>
      <c r="B291" s="241" t="s">
        <v>5303</v>
      </c>
      <c r="C291" s="241" t="s">
        <v>3172</v>
      </c>
      <c r="D291" s="241" t="s">
        <v>3441</v>
      </c>
      <c r="E291" s="241" t="s">
        <v>3454</v>
      </c>
      <c r="F291" s="278">
        <v>2096</v>
      </c>
      <c r="G291" s="278">
        <v>38247</v>
      </c>
      <c r="H291" s="278">
        <v>33107</v>
      </c>
      <c r="I291" s="278">
        <v>5139</v>
      </c>
      <c r="J291" s="278">
        <v>37969</v>
      </c>
      <c r="K291" s="278">
        <v>32867</v>
      </c>
      <c r="L291" s="278">
        <v>5101</v>
      </c>
      <c r="M291" s="278">
        <v>515</v>
      </c>
      <c r="N291" s="278">
        <v>6446</v>
      </c>
      <c r="O291" s="278">
        <v>5855</v>
      </c>
      <c r="P291" s="278">
        <v>590</v>
      </c>
      <c r="Q291" s="278">
        <v>6228</v>
      </c>
      <c r="R291" s="278">
        <v>5651</v>
      </c>
      <c r="S291" s="278">
        <v>576</v>
      </c>
    </row>
    <row r="292" spans="1:19">
      <c r="A292" s="241" t="s">
        <v>3159</v>
      </c>
      <c r="B292" s="241" t="s">
        <v>5303</v>
      </c>
      <c r="C292" s="241" t="s">
        <v>3172</v>
      </c>
      <c r="D292" s="241" t="s">
        <v>3441</v>
      </c>
      <c r="E292" s="241" t="s">
        <v>3455</v>
      </c>
      <c r="F292" s="278">
        <v>81</v>
      </c>
      <c r="G292" s="278">
        <v>1063</v>
      </c>
      <c r="H292" s="278">
        <v>930</v>
      </c>
      <c r="I292" s="278">
        <v>133</v>
      </c>
      <c r="J292" s="278">
        <v>1058</v>
      </c>
      <c r="K292" s="278">
        <v>926</v>
      </c>
      <c r="L292" s="278">
        <v>132</v>
      </c>
      <c r="M292" s="278">
        <v>18</v>
      </c>
      <c r="N292" s="278">
        <v>124</v>
      </c>
      <c r="O292" s="278">
        <v>114</v>
      </c>
      <c r="P292" s="278">
        <v>10</v>
      </c>
      <c r="Q292" s="278">
        <v>119</v>
      </c>
      <c r="R292" s="278">
        <v>110</v>
      </c>
      <c r="S292" s="278">
        <v>9</v>
      </c>
    </row>
    <row r="293" spans="1:19">
      <c r="A293" s="241" t="s">
        <v>3159</v>
      </c>
      <c r="B293" s="241" t="s">
        <v>5303</v>
      </c>
      <c r="C293" s="241" t="s">
        <v>3172</v>
      </c>
      <c r="D293" s="241" t="s">
        <v>3441</v>
      </c>
      <c r="E293" s="241" t="s">
        <v>3456</v>
      </c>
      <c r="F293" s="278">
        <v>2136</v>
      </c>
      <c r="G293" s="278">
        <v>34337</v>
      </c>
      <c r="H293" s="278">
        <v>30914</v>
      </c>
      <c r="I293" s="278">
        <v>3416</v>
      </c>
      <c r="J293" s="278">
        <v>33301</v>
      </c>
      <c r="K293" s="278">
        <v>30087</v>
      </c>
      <c r="L293" s="278">
        <v>3207</v>
      </c>
      <c r="M293" s="278">
        <v>1399</v>
      </c>
      <c r="N293" s="278">
        <v>21840</v>
      </c>
      <c r="O293" s="278">
        <v>19953</v>
      </c>
      <c r="P293" s="278">
        <v>1880</v>
      </c>
      <c r="Q293" s="278">
        <v>20826</v>
      </c>
      <c r="R293" s="278">
        <v>19137</v>
      </c>
      <c r="S293" s="278">
        <v>1682</v>
      </c>
    </row>
    <row r="294" spans="1:19">
      <c r="A294" s="241" t="s">
        <v>3159</v>
      </c>
      <c r="B294" s="241" t="s">
        <v>5303</v>
      </c>
      <c r="C294" s="241" t="s">
        <v>3168</v>
      </c>
      <c r="D294" s="241" t="s">
        <v>3457</v>
      </c>
      <c r="E294" s="241" t="s">
        <v>3458</v>
      </c>
      <c r="F294" s="278">
        <v>76604</v>
      </c>
      <c r="G294" s="278">
        <v>1987138</v>
      </c>
      <c r="H294" s="278">
        <v>1412977</v>
      </c>
      <c r="I294" s="278">
        <v>551923</v>
      </c>
      <c r="J294" s="278">
        <v>1870698</v>
      </c>
      <c r="K294" s="278">
        <v>1322843</v>
      </c>
      <c r="L294" s="278">
        <v>526141</v>
      </c>
      <c r="M294" s="278">
        <v>76559</v>
      </c>
      <c r="N294" s="278">
        <v>1986839</v>
      </c>
      <c r="O294" s="278">
        <v>1412764</v>
      </c>
      <c r="P294" s="278">
        <v>551837</v>
      </c>
      <c r="Q294" s="278">
        <v>1870400</v>
      </c>
      <c r="R294" s="278">
        <v>1322631</v>
      </c>
      <c r="S294" s="278">
        <v>526055</v>
      </c>
    </row>
    <row r="295" spans="1:19">
      <c r="A295" s="241" t="s">
        <v>3159</v>
      </c>
      <c r="B295" s="241" t="s">
        <v>5303</v>
      </c>
      <c r="C295" s="241" t="s">
        <v>3459</v>
      </c>
      <c r="D295" s="241" t="s">
        <v>3460</v>
      </c>
      <c r="E295" s="241" t="s">
        <v>3461</v>
      </c>
      <c r="F295" s="278">
        <v>24328</v>
      </c>
      <c r="G295" s="278">
        <v>464719</v>
      </c>
      <c r="H295" s="278">
        <v>310676</v>
      </c>
      <c r="I295" s="278">
        <v>150856</v>
      </c>
      <c r="J295" s="278">
        <v>428464</v>
      </c>
      <c r="K295" s="278">
        <v>283632</v>
      </c>
      <c r="L295" s="278">
        <v>141692</v>
      </c>
      <c r="M295" s="278">
        <v>24287</v>
      </c>
      <c r="N295" s="278">
        <v>464501</v>
      </c>
      <c r="O295" s="278">
        <v>310525</v>
      </c>
      <c r="P295" s="278">
        <v>150789</v>
      </c>
      <c r="Q295" s="278">
        <v>428247</v>
      </c>
      <c r="R295" s="278">
        <v>283482</v>
      </c>
      <c r="S295" s="278">
        <v>141625</v>
      </c>
    </row>
    <row r="296" spans="1:19">
      <c r="A296" s="241" t="s">
        <v>3159</v>
      </c>
      <c r="B296" s="241" t="s">
        <v>5303</v>
      </c>
      <c r="C296" s="241" t="s">
        <v>3170</v>
      </c>
      <c r="D296" s="241" t="s">
        <v>3460</v>
      </c>
      <c r="E296" s="241" t="s">
        <v>3462</v>
      </c>
      <c r="F296" s="278">
        <v>2540</v>
      </c>
      <c r="G296" s="278">
        <v>155077</v>
      </c>
      <c r="H296" s="278">
        <v>110011</v>
      </c>
      <c r="I296" s="278">
        <v>44103</v>
      </c>
      <c r="J296" s="278">
        <v>152469</v>
      </c>
      <c r="K296" s="278">
        <v>107810</v>
      </c>
      <c r="L296" s="278">
        <v>43697</v>
      </c>
      <c r="M296" s="278">
        <v>2535</v>
      </c>
      <c r="N296" s="278">
        <v>155042</v>
      </c>
      <c r="O296" s="278">
        <v>109983</v>
      </c>
      <c r="P296" s="278">
        <v>44096</v>
      </c>
      <c r="Q296" s="278">
        <v>152434</v>
      </c>
      <c r="R296" s="278">
        <v>107782</v>
      </c>
      <c r="S296" s="278">
        <v>43690</v>
      </c>
    </row>
    <row r="297" spans="1:19">
      <c r="A297" s="241" t="s">
        <v>3159</v>
      </c>
      <c r="B297" s="241" t="s">
        <v>5303</v>
      </c>
      <c r="C297" s="241" t="s">
        <v>3172</v>
      </c>
      <c r="D297" s="241" t="s">
        <v>3460</v>
      </c>
      <c r="E297" s="241" t="s">
        <v>3463</v>
      </c>
      <c r="F297" s="278">
        <v>10</v>
      </c>
      <c r="G297" s="278">
        <v>2271</v>
      </c>
      <c r="H297" s="278">
        <v>1449</v>
      </c>
      <c r="I297" s="278">
        <v>822</v>
      </c>
      <c r="J297" s="278">
        <v>2242</v>
      </c>
      <c r="K297" s="278">
        <v>1423</v>
      </c>
      <c r="L297" s="278">
        <v>819</v>
      </c>
      <c r="M297" s="278">
        <v>10</v>
      </c>
      <c r="N297" s="278">
        <v>2271</v>
      </c>
      <c r="O297" s="278">
        <v>1449</v>
      </c>
      <c r="P297" s="278">
        <v>822</v>
      </c>
      <c r="Q297" s="278">
        <v>2242</v>
      </c>
      <c r="R297" s="278">
        <v>1423</v>
      </c>
      <c r="S297" s="278">
        <v>819</v>
      </c>
    </row>
    <row r="298" spans="1:19">
      <c r="A298" s="241" t="s">
        <v>3159</v>
      </c>
      <c r="B298" s="241" t="s">
        <v>5303</v>
      </c>
      <c r="C298" s="241" t="s">
        <v>3172</v>
      </c>
      <c r="D298" s="241" t="s">
        <v>3460</v>
      </c>
      <c r="E298" s="241" t="s">
        <v>3464</v>
      </c>
      <c r="F298" s="278">
        <v>1117</v>
      </c>
      <c r="G298" s="278">
        <v>58335</v>
      </c>
      <c r="H298" s="278">
        <v>44603</v>
      </c>
      <c r="I298" s="278">
        <v>13699</v>
      </c>
      <c r="J298" s="278">
        <v>56866</v>
      </c>
      <c r="K298" s="278">
        <v>43332</v>
      </c>
      <c r="L298" s="278">
        <v>13502</v>
      </c>
      <c r="M298" s="278">
        <v>1114</v>
      </c>
      <c r="N298" s="278">
        <v>58326</v>
      </c>
      <c r="O298" s="278">
        <v>44601</v>
      </c>
      <c r="P298" s="278">
        <v>13692</v>
      </c>
      <c r="Q298" s="278">
        <v>56857</v>
      </c>
      <c r="R298" s="278">
        <v>43330</v>
      </c>
      <c r="S298" s="278">
        <v>13495</v>
      </c>
    </row>
    <row r="299" spans="1:19">
      <c r="A299" s="241" t="s">
        <v>3159</v>
      </c>
      <c r="B299" s="241" t="s">
        <v>5303</v>
      </c>
      <c r="C299" s="241" t="s">
        <v>3172</v>
      </c>
      <c r="D299" s="241" t="s">
        <v>3460</v>
      </c>
      <c r="E299" s="241" t="s">
        <v>3465</v>
      </c>
      <c r="F299" s="278">
        <v>268</v>
      </c>
      <c r="G299" s="278">
        <v>48312</v>
      </c>
      <c r="H299" s="278">
        <v>35880</v>
      </c>
      <c r="I299" s="278">
        <v>12418</v>
      </c>
      <c r="J299" s="278">
        <v>48076</v>
      </c>
      <c r="K299" s="278">
        <v>35681</v>
      </c>
      <c r="L299" s="278">
        <v>12381</v>
      </c>
      <c r="M299" s="278">
        <v>268</v>
      </c>
      <c r="N299" s="278">
        <v>48312</v>
      </c>
      <c r="O299" s="278">
        <v>35880</v>
      </c>
      <c r="P299" s="278">
        <v>12418</v>
      </c>
      <c r="Q299" s="278">
        <v>48076</v>
      </c>
      <c r="R299" s="278">
        <v>35681</v>
      </c>
      <c r="S299" s="278">
        <v>12381</v>
      </c>
    </row>
    <row r="300" spans="1:19">
      <c r="A300" s="241" t="s">
        <v>3159</v>
      </c>
      <c r="B300" s="241" t="s">
        <v>5303</v>
      </c>
      <c r="C300" s="241" t="s">
        <v>3172</v>
      </c>
      <c r="D300" s="241" t="s">
        <v>3460</v>
      </c>
      <c r="E300" s="241" t="s">
        <v>3466</v>
      </c>
      <c r="F300" s="278">
        <v>1145</v>
      </c>
      <c r="G300" s="278">
        <v>46159</v>
      </c>
      <c r="H300" s="278">
        <v>28079</v>
      </c>
      <c r="I300" s="278">
        <v>17164</v>
      </c>
      <c r="J300" s="278">
        <v>45285</v>
      </c>
      <c r="K300" s="278">
        <v>27374</v>
      </c>
      <c r="L300" s="278">
        <v>16995</v>
      </c>
      <c r="M300" s="278">
        <v>1143</v>
      </c>
      <c r="N300" s="278">
        <v>46133</v>
      </c>
      <c r="O300" s="278">
        <v>28053</v>
      </c>
      <c r="P300" s="278">
        <v>17164</v>
      </c>
      <c r="Q300" s="278">
        <v>45259</v>
      </c>
      <c r="R300" s="278">
        <v>27348</v>
      </c>
      <c r="S300" s="278">
        <v>16995</v>
      </c>
    </row>
    <row r="301" spans="1:19">
      <c r="A301" s="241" t="s">
        <v>3159</v>
      </c>
      <c r="B301" s="241" t="s">
        <v>5303</v>
      </c>
      <c r="C301" s="241" t="s">
        <v>3170</v>
      </c>
      <c r="D301" s="241" t="s">
        <v>3460</v>
      </c>
      <c r="E301" s="241" t="s">
        <v>3467</v>
      </c>
      <c r="F301" s="278">
        <v>1771</v>
      </c>
      <c r="G301" s="278">
        <v>62815</v>
      </c>
      <c r="H301" s="278">
        <v>43140</v>
      </c>
      <c r="I301" s="278">
        <v>18343</v>
      </c>
      <c r="J301" s="278">
        <v>59590</v>
      </c>
      <c r="K301" s="278">
        <v>40346</v>
      </c>
      <c r="L301" s="278">
        <v>17934</v>
      </c>
      <c r="M301" s="278">
        <v>1735</v>
      </c>
      <c r="N301" s="278">
        <v>62632</v>
      </c>
      <c r="O301" s="278">
        <v>43017</v>
      </c>
      <c r="P301" s="278">
        <v>18283</v>
      </c>
      <c r="Q301" s="278">
        <v>59408</v>
      </c>
      <c r="R301" s="278">
        <v>40224</v>
      </c>
      <c r="S301" s="278">
        <v>17874</v>
      </c>
    </row>
    <row r="302" spans="1:19">
      <c r="A302" s="241" t="s">
        <v>3159</v>
      </c>
      <c r="B302" s="241" t="s">
        <v>5303</v>
      </c>
      <c r="C302" s="241" t="s">
        <v>3172</v>
      </c>
      <c r="D302" s="241" t="s">
        <v>3460</v>
      </c>
      <c r="E302" s="241" t="s">
        <v>3468</v>
      </c>
      <c r="F302" s="278">
        <v>7</v>
      </c>
      <c r="G302" s="278">
        <v>169</v>
      </c>
      <c r="H302" s="278">
        <v>112</v>
      </c>
      <c r="I302" s="278">
        <v>57</v>
      </c>
      <c r="J302" s="278">
        <v>168</v>
      </c>
      <c r="K302" s="278">
        <v>111</v>
      </c>
      <c r="L302" s="278">
        <v>57</v>
      </c>
      <c r="M302" s="278">
        <v>7</v>
      </c>
      <c r="N302" s="278">
        <v>169</v>
      </c>
      <c r="O302" s="278">
        <v>112</v>
      </c>
      <c r="P302" s="278">
        <v>57</v>
      </c>
      <c r="Q302" s="278">
        <v>168</v>
      </c>
      <c r="R302" s="278">
        <v>111</v>
      </c>
      <c r="S302" s="278">
        <v>57</v>
      </c>
    </row>
    <row r="303" spans="1:19">
      <c r="A303" s="241" t="s">
        <v>3159</v>
      </c>
      <c r="B303" s="241" t="s">
        <v>5303</v>
      </c>
      <c r="C303" s="241" t="s">
        <v>3172</v>
      </c>
      <c r="D303" s="241" t="s">
        <v>3460</v>
      </c>
      <c r="E303" s="241" t="s">
        <v>3469</v>
      </c>
      <c r="F303" s="278">
        <v>56</v>
      </c>
      <c r="G303" s="278">
        <v>12055</v>
      </c>
      <c r="H303" s="278">
        <v>8360</v>
      </c>
      <c r="I303" s="278">
        <v>3695</v>
      </c>
      <c r="J303" s="278">
        <v>12055</v>
      </c>
      <c r="K303" s="278">
        <v>8360</v>
      </c>
      <c r="L303" s="278">
        <v>3695</v>
      </c>
      <c r="M303" s="278">
        <v>56</v>
      </c>
      <c r="N303" s="278">
        <v>12055</v>
      </c>
      <c r="O303" s="278">
        <v>8360</v>
      </c>
      <c r="P303" s="278">
        <v>3695</v>
      </c>
      <c r="Q303" s="278">
        <v>12055</v>
      </c>
      <c r="R303" s="278">
        <v>8360</v>
      </c>
      <c r="S303" s="278">
        <v>3695</v>
      </c>
    </row>
    <row r="304" spans="1:19">
      <c r="A304" s="241" t="s">
        <v>3159</v>
      </c>
      <c r="B304" s="241" t="s">
        <v>5303</v>
      </c>
      <c r="C304" s="241" t="s">
        <v>3172</v>
      </c>
      <c r="D304" s="241" t="s">
        <v>3460</v>
      </c>
      <c r="E304" s="241" t="s">
        <v>3470</v>
      </c>
      <c r="F304" s="278">
        <v>949</v>
      </c>
      <c r="G304" s="278">
        <v>30226</v>
      </c>
      <c r="H304" s="278">
        <v>20710</v>
      </c>
      <c r="I304" s="278">
        <v>8184</v>
      </c>
      <c r="J304" s="278">
        <v>28204</v>
      </c>
      <c r="K304" s="278">
        <v>18955</v>
      </c>
      <c r="L304" s="278">
        <v>7939</v>
      </c>
      <c r="M304" s="278">
        <v>949</v>
      </c>
      <c r="N304" s="278">
        <v>30226</v>
      </c>
      <c r="O304" s="278">
        <v>20710</v>
      </c>
      <c r="P304" s="278">
        <v>8184</v>
      </c>
      <c r="Q304" s="278">
        <v>28204</v>
      </c>
      <c r="R304" s="278">
        <v>18955</v>
      </c>
      <c r="S304" s="278">
        <v>7939</v>
      </c>
    </row>
    <row r="305" spans="1:19">
      <c r="A305" s="241" t="s">
        <v>3159</v>
      </c>
      <c r="B305" s="241" t="s">
        <v>5303</v>
      </c>
      <c r="C305" s="241" t="s">
        <v>3172</v>
      </c>
      <c r="D305" s="241" t="s">
        <v>3460</v>
      </c>
      <c r="E305" s="241" t="s">
        <v>3471</v>
      </c>
      <c r="F305" s="278">
        <v>759</v>
      </c>
      <c r="G305" s="278">
        <v>20365</v>
      </c>
      <c r="H305" s="278">
        <v>13958</v>
      </c>
      <c r="I305" s="278">
        <v>6407</v>
      </c>
      <c r="J305" s="278">
        <v>19163</v>
      </c>
      <c r="K305" s="278">
        <v>12920</v>
      </c>
      <c r="L305" s="278">
        <v>6243</v>
      </c>
      <c r="M305" s="278">
        <v>723</v>
      </c>
      <c r="N305" s="278">
        <v>20182</v>
      </c>
      <c r="O305" s="278">
        <v>13835</v>
      </c>
      <c r="P305" s="278">
        <v>6347</v>
      </c>
      <c r="Q305" s="278">
        <v>18981</v>
      </c>
      <c r="R305" s="278">
        <v>12798</v>
      </c>
      <c r="S305" s="278">
        <v>6183</v>
      </c>
    </row>
    <row r="306" spans="1:19">
      <c r="A306" s="241" t="s">
        <v>3159</v>
      </c>
      <c r="B306" s="241" t="s">
        <v>5303</v>
      </c>
      <c r="C306" s="241" t="s">
        <v>3170</v>
      </c>
      <c r="D306" s="241" t="s">
        <v>3460</v>
      </c>
      <c r="E306" s="241" t="s">
        <v>3472</v>
      </c>
      <c r="F306" s="278">
        <v>20008</v>
      </c>
      <c r="G306" s="278">
        <v>246785</v>
      </c>
      <c r="H306" s="278">
        <v>157500</v>
      </c>
      <c r="I306" s="278">
        <v>88393</v>
      </c>
      <c r="J306" s="278">
        <v>216372</v>
      </c>
      <c r="K306" s="278">
        <v>135458</v>
      </c>
      <c r="L306" s="278">
        <v>80046</v>
      </c>
      <c r="M306" s="278">
        <v>20008</v>
      </c>
      <c r="N306" s="278">
        <v>246785</v>
      </c>
      <c r="O306" s="278">
        <v>157500</v>
      </c>
      <c r="P306" s="278">
        <v>88393</v>
      </c>
      <c r="Q306" s="278">
        <v>216372</v>
      </c>
      <c r="R306" s="278">
        <v>135458</v>
      </c>
      <c r="S306" s="278">
        <v>80046</v>
      </c>
    </row>
    <row r="307" spans="1:19">
      <c r="A307" s="241" t="s">
        <v>3159</v>
      </c>
      <c r="B307" s="241" t="s">
        <v>5303</v>
      </c>
      <c r="C307" s="241" t="s">
        <v>3172</v>
      </c>
      <c r="D307" s="241" t="s">
        <v>3460</v>
      </c>
      <c r="E307" s="241" t="s">
        <v>3473</v>
      </c>
      <c r="F307" s="278">
        <v>86</v>
      </c>
      <c r="G307" s="278">
        <v>974</v>
      </c>
      <c r="H307" s="278">
        <v>537</v>
      </c>
      <c r="I307" s="278">
        <v>436</v>
      </c>
      <c r="J307" s="278">
        <v>844</v>
      </c>
      <c r="K307" s="278">
        <v>467</v>
      </c>
      <c r="L307" s="278">
        <v>377</v>
      </c>
      <c r="M307" s="278">
        <v>86</v>
      </c>
      <c r="N307" s="278">
        <v>974</v>
      </c>
      <c r="O307" s="278">
        <v>537</v>
      </c>
      <c r="P307" s="278">
        <v>436</v>
      </c>
      <c r="Q307" s="278">
        <v>844</v>
      </c>
      <c r="R307" s="278">
        <v>467</v>
      </c>
      <c r="S307" s="278">
        <v>377</v>
      </c>
    </row>
    <row r="308" spans="1:19">
      <c r="A308" s="241" t="s">
        <v>3159</v>
      </c>
      <c r="B308" s="241" t="s">
        <v>5303</v>
      </c>
      <c r="C308" s="241" t="s">
        <v>3172</v>
      </c>
      <c r="D308" s="241" t="s">
        <v>3460</v>
      </c>
      <c r="E308" s="241" t="s">
        <v>3474</v>
      </c>
      <c r="F308" s="278">
        <v>6085</v>
      </c>
      <c r="G308" s="278">
        <v>80936</v>
      </c>
      <c r="H308" s="278">
        <v>53429</v>
      </c>
      <c r="I308" s="278">
        <v>27241</v>
      </c>
      <c r="J308" s="278">
        <v>70547</v>
      </c>
      <c r="K308" s="278">
        <v>45414</v>
      </c>
      <c r="L308" s="278">
        <v>24874</v>
      </c>
      <c r="M308" s="278">
        <v>6085</v>
      </c>
      <c r="N308" s="278">
        <v>80936</v>
      </c>
      <c r="O308" s="278">
        <v>53429</v>
      </c>
      <c r="P308" s="278">
        <v>27241</v>
      </c>
      <c r="Q308" s="278">
        <v>70547</v>
      </c>
      <c r="R308" s="278">
        <v>45414</v>
      </c>
      <c r="S308" s="278">
        <v>24874</v>
      </c>
    </row>
    <row r="309" spans="1:19">
      <c r="A309" s="241" t="s">
        <v>3159</v>
      </c>
      <c r="B309" s="241" t="s">
        <v>5303</v>
      </c>
      <c r="C309" s="241" t="s">
        <v>3172</v>
      </c>
      <c r="D309" s="241" t="s">
        <v>3460</v>
      </c>
      <c r="E309" s="241" t="s">
        <v>3475</v>
      </c>
      <c r="F309" s="278">
        <v>792</v>
      </c>
      <c r="G309" s="278">
        <v>6210</v>
      </c>
      <c r="H309" s="278">
        <v>3748</v>
      </c>
      <c r="I309" s="278">
        <v>2455</v>
      </c>
      <c r="J309" s="278">
        <v>4990</v>
      </c>
      <c r="K309" s="278">
        <v>2863</v>
      </c>
      <c r="L309" s="278">
        <v>2120</v>
      </c>
      <c r="M309" s="278">
        <v>792</v>
      </c>
      <c r="N309" s="278">
        <v>6210</v>
      </c>
      <c r="O309" s="278">
        <v>3748</v>
      </c>
      <c r="P309" s="278">
        <v>2455</v>
      </c>
      <c r="Q309" s="278">
        <v>4990</v>
      </c>
      <c r="R309" s="278">
        <v>2863</v>
      </c>
      <c r="S309" s="278">
        <v>2120</v>
      </c>
    </row>
    <row r="310" spans="1:19">
      <c r="A310" s="241" t="s">
        <v>3159</v>
      </c>
      <c r="B310" s="241" t="s">
        <v>5303</v>
      </c>
      <c r="C310" s="241" t="s">
        <v>3172</v>
      </c>
      <c r="D310" s="241" t="s">
        <v>3460</v>
      </c>
      <c r="E310" s="241" t="s">
        <v>3476</v>
      </c>
      <c r="F310" s="278">
        <v>1521</v>
      </c>
      <c r="G310" s="278">
        <v>45686</v>
      </c>
      <c r="H310" s="278">
        <v>33515</v>
      </c>
      <c r="I310" s="278">
        <v>12115</v>
      </c>
      <c r="J310" s="278">
        <v>43109</v>
      </c>
      <c r="K310" s="278">
        <v>31502</v>
      </c>
      <c r="L310" s="278">
        <v>11551</v>
      </c>
      <c r="M310" s="278">
        <v>1521</v>
      </c>
      <c r="N310" s="278">
        <v>45686</v>
      </c>
      <c r="O310" s="278">
        <v>33515</v>
      </c>
      <c r="P310" s="278">
        <v>12115</v>
      </c>
      <c r="Q310" s="278">
        <v>43109</v>
      </c>
      <c r="R310" s="278">
        <v>31502</v>
      </c>
      <c r="S310" s="278">
        <v>11551</v>
      </c>
    </row>
    <row r="311" spans="1:19">
      <c r="A311" s="241" t="s">
        <v>3159</v>
      </c>
      <c r="B311" s="241" t="s">
        <v>5303</v>
      </c>
      <c r="C311" s="241" t="s">
        <v>3172</v>
      </c>
      <c r="D311" s="241" t="s">
        <v>3460</v>
      </c>
      <c r="E311" s="241" t="s">
        <v>3477</v>
      </c>
      <c r="F311" s="278">
        <v>4649</v>
      </c>
      <c r="G311" s="278">
        <v>60309</v>
      </c>
      <c r="H311" s="278">
        <v>33786</v>
      </c>
      <c r="I311" s="278">
        <v>26052</v>
      </c>
      <c r="J311" s="278">
        <v>51894</v>
      </c>
      <c r="K311" s="278">
        <v>27987</v>
      </c>
      <c r="L311" s="278">
        <v>23449</v>
      </c>
      <c r="M311" s="278">
        <v>4649</v>
      </c>
      <c r="N311" s="278">
        <v>60309</v>
      </c>
      <c r="O311" s="278">
        <v>33786</v>
      </c>
      <c r="P311" s="278">
        <v>26052</v>
      </c>
      <c r="Q311" s="278">
        <v>51894</v>
      </c>
      <c r="R311" s="278">
        <v>27987</v>
      </c>
      <c r="S311" s="278">
        <v>23449</v>
      </c>
    </row>
    <row r="312" spans="1:19">
      <c r="A312" s="241" t="s">
        <v>3159</v>
      </c>
      <c r="B312" s="241" t="s">
        <v>5303</v>
      </c>
      <c r="C312" s="241" t="s">
        <v>3172</v>
      </c>
      <c r="D312" s="241" t="s">
        <v>3460</v>
      </c>
      <c r="E312" s="241" t="s">
        <v>3478</v>
      </c>
      <c r="F312" s="278">
        <v>2437</v>
      </c>
      <c r="G312" s="278">
        <v>20924</v>
      </c>
      <c r="H312" s="278">
        <v>12130</v>
      </c>
      <c r="I312" s="278">
        <v>8733</v>
      </c>
      <c r="J312" s="278">
        <v>17545</v>
      </c>
      <c r="K312" s="278">
        <v>9703</v>
      </c>
      <c r="L312" s="278">
        <v>7782</v>
      </c>
      <c r="M312" s="278">
        <v>2437</v>
      </c>
      <c r="N312" s="278">
        <v>20924</v>
      </c>
      <c r="O312" s="278">
        <v>12130</v>
      </c>
      <c r="P312" s="278">
        <v>8733</v>
      </c>
      <c r="Q312" s="278">
        <v>17545</v>
      </c>
      <c r="R312" s="278">
        <v>9703</v>
      </c>
      <c r="S312" s="278">
        <v>7782</v>
      </c>
    </row>
    <row r="313" spans="1:19">
      <c r="A313" s="241" t="s">
        <v>3159</v>
      </c>
      <c r="B313" s="241" t="s">
        <v>5303</v>
      </c>
      <c r="C313" s="241" t="s">
        <v>3172</v>
      </c>
      <c r="D313" s="241" t="s">
        <v>3460</v>
      </c>
      <c r="E313" s="241" t="s">
        <v>3479</v>
      </c>
      <c r="F313" s="278">
        <v>4438</v>
      </c>
      <c r="G313" s="278">
        <v>31746</v>
      </c>
      <c r="H313" s="278">
        <v>20355</v>
      </c>
      <c r="I313" s="278">
        <v>11361</v>
      </c>
      <c r="J313" s="278">
        <v>27443</v>
      </c>
      <c r="K313" s="278">
        <v>17522</v>
      </c>
      <c r="L313" s="278">
        <v>9893</v>
      </c>
      <c r="M313" s="278">
        <v>4438</v>
      </c>
      <c r="N313" s="278">
        <v>31746</v>
      </c>
      <c r="O313" s="278">
        <v>20355</v>
      </c>
      <c r="P313" s="278">
        <v>11361</v>
      </c>
      <c r="Q313" s="278">
        <v>27443</v>
      </c>
      <c r="R313" s="278">
        <v>17522</v>
      </c>
      <c r="S313" s="278">
        <v>9893</v>
      </c>
    </row>
    <row r="314" spans="1:19">
      <c r="A314" s="241" t="s">
        <v>3159</v>
      </c>
      <c r="B314" s="241" t="s">
        <v>5303</v>
      </c>
      <c r="C314" s="241" t="s">
        <v>3459</v>
      </c>
      <c r="D314" s="241" t="s">
        <v>3480</v>
      </c>
      <c r="E314" s="241" t="s">
        <v>3481</v>
      </c>
      <c r="F314" s="278">
        <v>52276</v>
      </c>
      <c r="G314" s="278">
        <v>1522419</v>
      </c>
      <c r="H314" s="278">
        <v>1102301</v>
      </c>
      <c r="I314" s="278">
        <v>401067</v>
      </c>
      <c r="J314" s="278">
        <v>1442234</v>
      </c>
      <c r="K314" s="278">
        <v>1039211</v>
      </c>
      <c r="L314" s="278">
        <v>384449</v>
      </c>
      <c r="M314" s="278">
        <v>52272</v>
      </c>
      <c r="N314" s="278">
        <v>1522338</v>
      </c>
      <c r="O314" s="278">
        <v>1102239</v>
      </c>
      <c r="P314" s="278">
        <v>401048</v>
      </c>
      <c r="Q314" s="278">
        <v>1442153</v>
      </c>
      <c r="R314" s="278">
        <v>1039149</v>
      </c>
      <c r="S314" s="278">
        <v>384430</v>
      </c>
    </row>
    <row r="315" spans="1:19">
      <c r="A315" s="241" t="s">
        <v>3159</v>
      </c>
      <c r="B315" s="241" t="s">
        <v>5303</v>
      </c>
      <c r="C315" s="241" t="s">
        <v>3170</v>
      </c>
      <c r="D315" s="241" t="s">
        <v>3480</v>
      </c>
      <c r="E315" s="241" t="s">
        <v>3482</v>
      </c>
      <c r="F315" s="278">
        <v>43475</v>
      </c>
      <c r="G315" s="278">
        <v>1319839</v>
      </c>
      <c r="H315" s="278">
        <v>979926</v>
      </c>
      <c r="I315" s="278">
        <v>325350</v>
      </c>
      <c r="J315" s="278">
        <v>1254133</v>
      </c>
      <c r="K315" s="278">
        <v>927642</v>
      </c>
      <c r="L315" s="278">
        <v>312028</v>
      </c>
      <c r="M315" s="278">
        <v>43471</v>
      </c>
      <c r="N315" s="278">
        <v>1319758</v>
      </c>
      <c r="O315" s="278">
        <v>979864</v>
      </c>
      <c r="P315" s="278">
        <v>325331</v>
      </c>
      <c r="Q315" s="278">
        <v>1254052</v>
      </c>
      <c r="R315" s="278">
        <v>927580</v>
      </c>
      <c r="S315" s="278">
        <v>312009</v>
      </c>
    </row>
    <row r="316" spans="1:19">
      <c r="A316" s="241" t="s">
        <v>3159</v>
      </c>
      <c r="B316" s="241" t="s">
        <v>5303</v>
      </c>
      <c r="C316" s="241" t="s">
        <v>3172</v>
      </c>
      <c r="D316" s="241" t="s">
        <v>3480</v>
      </c>
      <c r="E316" s="241" t="s">
        <v>3483</v>
      </c>
      <c r="F316" s="278">
        <v>265</v>
      </c>
      <c r="G316" s="278">
        <v>6595</v>
      </c>
      <c r="H316" s="278">
        <v>4912</v>
      </c>
      <c r="I316" s="278">
        <v>1666</v>
      </c>
      <c r="J316" s="278">
        <v>6258</v>
      </c>
      <c r="K316" s="278">
        <v>4629</v>
      </c>
      <c r="L316" s="278">
        <v>1615</v>
      </c>
      <c r="M316" s="278">
        <v>265</v>
      </c>
      <c r="N316" s="278">
        <v>6595</v>
      </c>
      <c r="O316" s="278">
        <v>4912</v>
      </c>
      <c r="P316" s="278">
        <v>1666</v>
      </c>
      <c r="Q316" s="278">
        <v>6258</v>
      </c>
      <c r="R316" s="278">
        <v>4629</v>
      </c>
      <c r="S316" s="278">
        <v>1615</v>
      </c>
    </row>
    <row r="317" spans="1:19">
      <c r="A317" s="241" t="s">
        <v>3159</v>
      </c>
      <c r="B317" s="241" t="s">
        <v>5303</v>
      </c>
      <c r="C317" s="241" t="s">
        <v>3172</v>
      </c>
      <c r="D317" s="241" t="s">
        <v>3480</v>
      </c>
      <c r="E317" s="241" t="s">
        <v>3484</v>
      </c>
      <c r="F317" s="278">
        <v>36433</v>
      </c>
      <c r="G317" s="278">
        <v>1137499</v>
      </c>
      <c r="H317" s="278">
        <v>875162</v>
      </c>
      <c r="I317" s="278">
        <v>254500</v>
      </c>
      <c r="J317" s="278">
        <v>1083884</v>
      </c>
      <c r="K317" s="278">
        <v>831215</v>
      </c>
      <c r="L317" s="278">
        <v>244899</v>
      </c>
      <c r="M317" s="278">
        <v>36433</v>
      </c>
      <c r="N317" s="278">
        <v>1137499</v>
      </c>
      <c r="O317" s="278">
        <v>875162</v>
      </c>
      <c r="P317" s="278">
        <v>254500</v>
      </c>
      <c r="Q317" s="278">
        <v>1083884</v>
      </c>
      <c r="R317" s="278">
        <v>831215</v>
      </c>
      <c r="S317" s="278">
        <v>244899</v>
      </c>
    </row>
    <row r="318" spans="1:19">
      <c r="A318" s="241" t="s">
        <v>3159</v>
      </c>
      <c r="B318" s="241" t="s">
        <v>5303</v>
      </c>
      <c r="C318" s="241" t="s">
        <v>3172</v>
      </c>
      <c r="D318" s="241" t="s">
        <v>3480</v>
      </c>
      <c r="E318" s="241" t="s">
        <v>3485</v>
      </c>
      <c r="F318" s="278">
        <v>6777</v>
      </c>
      <c r="G318" s="278">
        <v>175745</v>
      </c>
      <c r="H318" s="278">
        <v>99852</v>
      </c>
      <c r="I318" s="278">
        <v>69184</v>
      </c>
      <c r="J318" s="278">
        <v>163991</v>
      </c>
      <c r="K318" s="278">
        <v>91798</v>
      </c>
      <c r="L318" s="278">
        <v>65514</v>
      </c>
      <c r="M318" s="278">
        <v>6773</v>
      </c>
      <c r="N318" s="278">
        <v>175664</v>
      </c>
      <c r="O318" s="278">
        <v>99790</v>
      </c>
      <c r="P318" s="278">
        <v>69165</v>
      </c>
      <c r="Q318" s="278">
        <v>163910</v>
      </c>
      <c r="R318" s="278">
        <v>91736</v>
      </c>
      <c r="S318" s="278">
        <v>65495</v>
      </c>
    </row>
    <row r="319" spans="1:19">
      <c r="A319" s="241" t="s">
        <v>3159</v>
      </c>
      <c r="B319" s="241" t="s">
        <v>5303</v>
      </c>
      <c r="C319" s="241" t="s">
        <v>3432</v>
      </c>
      <c r="D319" s="241" t="s">
        <v>3480</v>
      </c>
      <c r="E319" s="241" t="s">
        <v>3486</v>
      </c>
      <c r="F319" s="278">
        <v>3481</v>
      </c>
      <c r="G319" s="278">
        <v>103137</v>
      </c>
      <c r="H319" s="278">
        <v>58314</v>
      </c>
      <c r="I319" s="278">
        <v>43537</v>
      </c>
      <c r="J319" s="278">
        <v>96567</v>
      </c>
      <c r="K319" s="278">
        <v>53916</v>
      </c>
      <c r="L319" s="278">
        <v>41379</v>
      </c>
      <c r="M319" s="278">
        <v>3479</v>
      </c>
      <c r="N319" s="278">
        <v>103117</v>
      </c>
      <c r="O319" s="278">
        <v>58297</v>
      </c>
      <c r="P319" s="278">
        <v>43534</v>
      </c>
      <c r="Q319" s="278">
        <v>96547</v>
      </c>
      <c r="R319" s="278">
        <v>53899</v>
      </c>
      <c r="S319" s="278">
        <v>41376</v>
      </c>
    </row>
    <row r="320" spans="1:19">
      <c r="A320" s="241" t="s">
        <v>3159</v>
      </c>
      <c r="B320" s="241" t="s">
        <v>5303</v>
      </c>
      <c r="C320" s="241" t="s">
        <v>3432</v>
      </c>
      <c r="D320" s="241" t="s">
        <v>3480</v>
      </c>
      <c r="E320" s="241" t="s">
        <v>3487</v>
      </c>
      <c r="F320" s="278">
        <v>1659</v>
      </c>
      <c r="G320" s="278">
        <v>26098</v>
      </c>
      <c r="H320" s="278">
        <v>15752</v>
      </c>
      <c r="I320" s="278">
        <v>10331</v>
      </c>
      <c r="J320" s="278">
        <v>24037</v>
      </c>
      <c r="K320" s="278">
        <v>14133</v>
      </c>
      <c r="L320" s="278">
        <v>9889</v>
      </c>
      <c r="M320" s="278">
        <v>1657</v>
      </c>
      <c r="N320" s="278">
        <v>26037</v>
      </c>
      <c r="O320" s="278">
        <v>15707</v>
      </c>
      <c r="P320" s="278">
        <v>10315</v>
      </c>
      <c r="Q320" s="278">
        <v>23976</v>
      </c>
      <c r="R320" s="278">
        <v>14088</v>
      </c>
      <c r="S320" s="278">
        <v>9873</v>
      </c>
    </row>
    <row r="321" spans="1:19">
      <c r="A321" s="241" t="s">
        <v>3159</v>
      </c>
      <c r="B321" s="241" t="s">
        <v>5303</v>
      </c>
      <c r="C321" s="241" t="s">
        <v>3432</v>
      </c>
      <c r="D321" s="241" t="s">
        <v>3480</v>
      </c>
      <c r="E321" s="241" t="s">
        <v>3488</v>
      </c>
      <c r="F321" s="278">
        <v>1637</v>
      </c>
      <c r="G321" s="278">
        <v>46510</v>
      </c>
      <c r="H321" s="278">
        <v>25786</v>
      </c>
      <c r="I321" s="278">
        <v>15316</v>
      </c>
      <c r="J321" s="278">
        <v>43387</v>
      </c>
      <c r="K321" s="278">
        <v>23749</v>
      </c>
      <c r="L321" s="278">
        <v>14246</v>
      </c>
      <c r="M321" s="278">
        <v>1637</v>
      </c>
      <c r="N321" s="278">
        <v>46510</v>
      </c>
      <c r="O321" s="278">
        <v>25786</v>
      </c>
      <c r="P321" s="278">
        <v>15316</v>
      </c>
      <c r="Q321" s="278">
        <v>43387</v>
      </c>
      <c r="R321" s="278">
        <v>23749</v>
      </c>
      <c r="S321" s="278">
        <v>14246</v>
      </c>
    </row>
    <row r="322" spans="1:19">
      <c r="A322" s="241" t="s">
        <v>3159</v>
      </c>
      <c r="B322" s="241" t="s">
        <v>5303</v>
      </c>
      <c r="C322" s="241" t="s">
        <v>3170</v>
      </c>
      <c r="D322" s="241" t="s">
        <v>3480</v>
      </c>
      <c r="E322" s="241" t="s">
        <v>3489</v>
      </c>
      <c r="F322" s="278">
        <v>8791</v>
      </c>
      <c r="G322" s="278">
        <v>202284</v>
      </c>
      <c r="H322" s="278">
        <v>122174</v>
      </c>
      <c r="I322" s="278">
        <v>75622</v>
      </c>
      <c r="J322" s="278">
        <v>187819</v>
      </c>
      <c r="K322" s="278">
        <v>111377</v>
      </c>
      <c r="L322" s="278">
        <v>72331</v>
      </c>
      <c r="M322" s="278">
        <v>8791</v>
      </c>
      <c r="N322" s="278">
        <v>202284</v>
      </c>
      <c r="O322" s="278">
        <v>122174</v>
      </c>
      <c r="P322" s="278">
        <v>75622</v>
      </c>
      <c r="Q322" s="278">
        <v>187819</v>
      </c>
      <c r="R322" s="278">
        <v>111377</v>
      </c>
      <c r="S322" s="278">
        <v>72331</v>
      </c>
    </row>
    <row r="323" spans="1:19">
      <c r="A323" s="241" t="s">
        <v>3159</v>
      </c>
      <c r="B323" s="241" t="s">
        <v>5303</v>
      </c>
      <c r="C323" s="241" t="s">
        <v>3172</v>
      </c>
      <c r="D323" s="241" t="s">
        <v>3480</v>
      </c>
      <c r="E323" s="241" t="s">
        <v>3490</v>
      </c>
      <c r="F323" s="278">
        <v>72</v>
      </c>
      <c r="G323" s="278">
        <v>10914</v>
      </c>
      <c r="H323" s="278">
        <v>5793</v>
      </c>
      <c r="I323" s="278">
        <v>5121</v>
      </c>
      <c r="J323" s="278">
        <v>10866</v>
      </c>
      <c r="K323" s="278">
        <v>5751</v>
      </c>
      <c r="L323" s="278">
        <v>5115</v>
      </c>
      <c r="M323" s="278">
        <v>72</v>
      </c>
      <c r="N323" s="278">
        <v>10914</v>
      </c>
      <c r="O323" s="278">
        <v>5793</v>
      </c>
      <c r="P323" s="278">
        <v>5121</v>
      </c>
      <c r="Q323" s="278">
        <v>10866</v>
      </c>
      <c r="R323" s="278">
        <v>5751</v>
      </c>
      <c r="S323" s="278">
        <v>5115</v>
      </c>
    </row>
    <row r="324" spans="1:19">
      <c r="A324" s="241" t="s">
        <v>3159</v>
      </c>
      <c r="B324" s="241" t="s">
        <v>5303</v>
      </c>
      <c r="C324" s="241" t="s">
        <v>3172</v>
      </c>
      <c r="D324" s="241" t="s">
        <v>3480</v>
      </c>
      <c r="E324" s="241" t="s">
        <v>3491</v>
      </c>
      <c r="F324" s="278">
        <v>8719</v>
      </c>
      <c r="G324" s="278">
        <v>191370</v>
      </c>
      <c r="H324" s="278">
        <v>116381</v>
      </c>
      <c r="I324" s="278">
        <v>70501</v>
      </c>
      <c r="J324" s="278">
        <v>176953</v>
      </c>
      <c r="K324" s="278">
        <v>105626</v>
      </c>
      <c r="L324" s="278">
        <v>67216</v>
      </c>
      <c r="M324" s="278">
        <v>8719</v>
      </c>
      <c r="N324" s="278">
        <v>191370</v>
      </c>
      <c r="O324" s="278">
        <v>116381</v>
      </c>
      <c r="P324" s="278">
        <v>70501</v>
      </c>
      <c r="Q324" s="278">
        <v>176953</v>
      </c>
      <c r="R324" s="278">
        <v>105626</v>
      </c>
      <c r="S324" s="278">
        <v>67216</v>
      </c>
    </row>
    <row r="325" spans="1:19">
      <c r="A325" s="241" t="s">
        <v>3159</v>
      </c>
      <c r="B325" s="241" t="s">
        <v>5303</v>
      </c>
      <c r="C325" s="241" t="s">
        <v>3168</v>
      </c>
      <c r="D325" s="241" t="s">
        <v>3492</v>
      </c>
      <c r="E325" s="241" t="s">
        <v>3493</v>
      </c>
      <c r="F325" s="278">
        <v>128861</v>
      </c>
      <c r="G325" s="278">
        <v>3293955</v>
      </c>
      <c r="H325" s="278">
        <v>2633842</v>
      </c>
      <c r="I325" s="278">
        <v>653685</v>
      </c>
      <c r="J325" s="278">
        <v>3114706</v>
      </c>
      <c r="K325" s="278">
        <v>2499611</v>
      </c>
      <c r="L325" s="278">
        <v>608958</v>
      </c>
      <c r="M325" s="278">
        <v>128224</v>
      </c>
      <c r="N325" s="278">
        <v>3264734</v>
      </c>
      <c r="O325" s="278">
        <v>2607157</v>
      </c>
      <c r="P325" s="278">
        <v>651149</v>
      </c>
      <c r="Q325" s="278">
        <v>3085678</v>
      </c>
      <c r="R325" s="278">
        <v>2473076</v>
      </c>
      <c r="S325" s="278">
        <v>606465</v>
      </c>
    </row>
    <row r="326" spans="1:19">
      <c r="A326" s="241" t="s">
        <v>3159</v>
      </c>
      <c r="B326" s="241" t="s">
        <v>5303</v>
      </c>
      <c r="C326" s="241" t="s">
        <v>3170</v>
      </c>
      <c r="D326" s="241" t="s">
        <v>3492</v>
      </c>
      <c r="E326" s="241" t="s">
        <v>3494</v>
      </c>
      <c r="F326" s="278">
        <v>3822</v>
      </c>
      <c r="G326" s="278">
        <v>230692</v>
      </c>
      <c r="H326" s="278">
        <v>206392</v>
      </c>
      <c r="I326" s="278">
        <v>24298</v>
      </c>
      <c r="J326" s="278">
        <v>228522</v>
      </c>
      <c r="K326" s="278">
        <v>204473</v>
      </c>
      <c r="L326" s="278">
        <v>24047</v>
      </c>
      <c r="M326" s="278">
        <v>3683</v>
      </c>
      <c r="N326" s="278">
        <v>219607</v>
      </c>
      <c r="O326" s="278">
        <v>195945</v>
      </c>
      <c r="P326" s="278">
        <v>23660</v>
      </c>
      <c r="Q326" s="278">
        <v>217437</v>
      </c>
      <c r="R326" s="278">
        <v>194026</v>
      </c>
      <c r="S326" s="278">
        <v>23409</v>
      </c>
    </row>
    <row r="327" spans="1:19">
      <c r="A327" s="241" t="s">
        <v>3159</v>
      </c>
      <c r="B327" s="241" t="s">
        <v>5303</v>
      </c>
      <c r="C327" s="241" t="s">
        <v>3172</v>
      </c>
      <c r="D327" s="241" t="s">
        <v>3492</v>
      </c>
      <c r="E327" s="241" t="s">
        <v>3495</v>
      </c>
      <c r="F327" s="278">
        <v>118</v>
      </c>
      <c r="G327" s="278">
        <v>21891</v>
      </c>
      <c r="H327" s="278">
        <v>19839</v>
      </c>
      <c r="I327" s="278">
        <v>2052</v>
      </c>
      <c r="J327" s="278">
        <v>21757</v>
      </c>
      <c r="K327" s="278">
        <v>19718</v>
      </c>
      <c r="L327" s="278">
        <v>2039</v>
      </c>
      <c r="M327" s="278">
        <v>106</v>
      </c>
      <c r="N327" s="278">
        <v>20035</v>
      </c>
      <c r="O327" s="278">
        <v>18267</v>
      </c>
      <c r="P327" s="278">
        <v>1768</v>
      </c>
      <c r="Q327" s="278">
        <v>19901</v>
      </c>
      <c r="R327" s="278">
        <v>18146</v>
      </c>
      <c r="S327" s="278">
        <v>1755</v>
      </c>
    </row>
    <row r="328" spans="1:19">
      <c r="A328" s="241" t="s">
        <v>3159</v>
      </c>
      <c r="B328" s="241" t="s">
        <v>5303</v>
      </c>
      <c r="C328" s="241" t="s">
        <v>3172</v>
      </c>
      <c r="D328" s="241" t="s">
        <v>3492</v>
      </c>
      <c r="E328" s="241" t="s">
        <v>3496</v>
      </c>
      <c r="F328" s="278">
        <v>3704</v>
      </c>
      <c r="G328" s="278">
        <v>208801</v>
      </c>
      <c r="H328" s="278">
        <v>186553</v>
      </c>
      <c r="I328" s="278">
        <v>22246</v>
      </c>
      <c r="J328" s="278">
        <v>206765</v>
      </c>
      <c r="K328" s="278">
        <v>184755</v>
      </c>
      <c r="L328" s="278">
        <v>22008</v>
      </c>
      <c r="M328" s="278">
        <v>3577</v>
      </c>
      <c r="N328" s="278">
        <v>199572</v>
      </c>
      <c r="O328" s="278">
        <v>177678</v>
      </c>
      <c r="P328" s="278">
        <v>21892</v>
      </c>
      <c r="Q328" s="278">
        <v>197536</v>
      </c>
      <c r="R328" s="278">
        <v>175880</v>
      </c>
      <c r="S328" s="278">
        <v>21654</v>
      </c>
    </row>
    <row r="329" spans="1:19">
      <c r="A329" s="241" t="s">
        <v>3159</v>
      </c>
      <c r="B329" s="241" t="s">
        <v>5303</v>
      </c>
      <c r="C329" s="241" t="s">
        <v>3170</v>
      </c>
      <c r="D329" s="241" t="s">
        <v>3492</v>
      </c>
      <c r="E329" s="241" t="s">
        <v>3497</v>
      </c>
      <c r="F329" s="278">
        <v>18029</v>
      </c>
      <c r="G329" s="278">
        <v>476027</v>
      </c>
      <c r="H329" s="278">
        <v>426855</v>
      </c>
      <c r="I329" s="278">
        <v>48840</v>
      </c>
      <c r="J329" s="278">
        <v>449168</v>
      </c>
      <c r="K329" s="278">
        <v>405995</v>
      </c>
      <c r="L329" s="278">
        <v>42850</v>
      </c>
      <c r="M329" s="278">
        <v>17906</v>
      </c>
      <c r="N329" s="278">
        <v>464588</v>
      </c>
      <c r="O329" s="278">
        <v>415979</v>
      </c>
      <c r="P329" s="278">
        <v>48277</v>
      </c>
      <c r="Q329" s="278">
        <v>437730</v>
      </c>
      <c r="R329" s="278">
        <v>395120</v>
      </c>
      <c r="S329" s="278">
        <v>42287</v>
      </c>
    </row>
    <row r="330" spans="1:19">
      <c r="A330" s="241" t="s">
        <v>3159</v>
      </c>
      <c r="B330" s="241" t="s">
        <v>5303</v>
      </c>
      <c r="C330" s="241" t="s">
        <v>3172</v>
      </c>
      <c r="D330" s="241" t="s">
        <v>3492</v>
      </c>
      <c r="E330" s="241" t="s">
        <v>3498</v>
      </c>
      <c r="F330" s="278">
        <v>191</v>
      </c>
      <c r="G330" s="278">
        <v>6212</v>
      </c>
      <c r="H330" s="278">
        <v>4947</v>
      </c>
      <c r="I330" s="278">
        <v>1263</v>
      </c>
      <c r="J330" s="278">
        <v>5950</v>
      </c>
      <c r="K330" s="278">
        <v>4747</v>
      </c>
      <c r="L330" s="278">
        <v>1201</v>
      </c>
      <c r="M330" s="278">
        <v>176</v>
      </c>
      <c r="N330" s="278">
        <v>5672</v>
      </c>
      <c r="O330" s="278">
        <v>4501</v>
      </c>
      <c r="P330" s="278">
        <v>1169</v>
      </c>
      <c r="Q330" s="278">
        <v>5410</v>
      </c>
      <c r="R330" s="278">
        <v>4301</v>
      </c>
      <c r="S330" s="278">
        <v>1107</v>
      </c>
    </row>
    <row r="331" spans="1:19">
      <c r="A331" s="241" t="s">
        <v>3159</v>
      </c>
      <c r="B331" s="241" t="s">
        <v>5303</v>
      </c>
      <c r="C331" s="241" t="s">
        <v>3172</v>
      </c>
      <c r="D331" s="241" t="s">
        <v>3492</v>
      </c>
      <c r="E331" s="241" t="s">
        <v>3499</v>
      </c>
      <c r="F331" s="278">
        <v>2059</v>
      </c>
      <c r="G331" s="278">
        <v>118875</v>
      </c>
      <c r="H331" s="278">
        <v>108365</v>
      </c>
      <c r="I331" s="278">
        <v>10460</v>
      </c>
      <c r="J331" s="278">
        <v>116679</v>
      </c>
      <c r="K331" s="278">
        <v>106625</v>
      </c>
      <c r="L331" s="278">
        <v>10004</v>
      </c>
      <c r="M331" s="278">
        <v>1954</v>
      </c>
      <c r="N331" s="278">
        <v>108007</v>
      </c>
      <c r="O331" s="278">
        <v>97966</v>
      </c>
      <c r="P331" s="278">
        <v>9991</v>
      </c>
      <c r="Q331" s="278">
        <v>105812</v>
      </c>
      <c r="R331" s="278">
        <v>96227</v>
      </c>
      <c r="S331" s="278">
        <v>9535</v>
      </c>
    </row>
    <row r="332" spans="1:19">
      <c r="A332" s="241" t="s">
        <v>3159</v>
      </c>
      <c r="B332" s="241" t="s">
        <v>5303</v>
      </c>
      <c r="C332" s="241" t="s">
        <v>3172</v>
      </c>
      <c r="D332" s="241" t="s">
        <v>3492</v>
      </c>
      <c r="E332" s="241" t="s">
        <v>3500</v>
      </c>
      <c r="F332" s="278">
        <v>12897</v>
      </c>
      <c r="G332" s="278">
        <v>292515</v>
      </c>
      <c r="H332" s="278">
        <v>266774</v>
      </c>
      <c r="I332" s="278">
        <v>25601</v>
      </c>
      <c r="J332" s="278">
        <v>273993</v>
      </c>
      <c r="K332" s="278">
        <v>252043</v>
      </c>
      <c r="L332" s="278">
        <v>21816</v>
      </c>
      <c r="M332" s="278">
        <v>12897</v>
      </c>
      <c r="N332" s="278">
        <v>292515</v>
      </c>
      <c r="O332" s="278">
        <v>266774</v>
      </c>
      <c r="P332" s="278">
        <v>25601</v>
      </c>
      <c r="Q332" s="278">
        <v>273993</v>
      </c>
      <c r="R332" s="278">
        <v>252043</v>
      </c>
      <c r="S332" s="278">
        <v>21816</v>
      </c>
    </row>
    <row r="333" spans="1:19">
      <c r="A333" s="241" t="s">
        <v>3159</v>
      </c>
      <c r="B333" s="241" t="s">
        <v>5303</v>
      </c>
      <c r="C333" s="241" t="s">
        <v>3172</v>
      </c>
      <c r="D333" s="241" t="s">
        <v>3492</v>
      </c>
      <c r="E333" s="241" t="s">
        <v>3501</v>
      </c>
      <c r="F333" s="278">
        <v>2616</v>
      </c>
      <c r="G333" s="278">
        <v>51044</v>
      </c>
      <c r="H333" s="278">
        <v>41286</v>
      </c>
      <c r="I333" s="278">
        <v>9618</v>
      </c>
      <c r="J333" s="278">
        <v>45782</v>
      </c>
      <c r="K333" s="278">
        <v>37476</v>
      </c>
      <c r="L333" s="278">
        <v>8169</v>
      </c>
      <c r="M333" s="278">
        <v>2616</v>
      </c>
      <c r="N333" s="278">
        <v>51044</v>
      </c>
      <c r="O333" s="278">
        <v>41286</v>
      </c>
      <c r="P333" s="278">
        <v>9618</v>
      </c>
      <c r="Q333" s="278">
        <v>45782</v>
      </c>
      <c r="R333" s="278">
        <v>37476</v>
      </c>
      <c r="S333" s="278">
        <v>8169</v>
      </c>
    </row>
    <row r="334" spans="1:19">
      <c r="A334" s="241" t="s">
        <v>3159</v>
      </c>
      <c r="B334" s="241" t="s">
        <v>5303</v>
      </c>
      <c r="C334" s="241" t="s">
        <v>3172</v>
      </c>
      <c r="D334" s="241" t="s">
        <v>3492</v>
      </c>
      <c r="E334" s="241" t="s">
        <v>3502</v>
      </c>
      <c r="F334" s="278">
        <v>266</v>
      </c>
      <c r="G334" s="278">
        <v>7381</v>
      </c>
      <c r="H334" s="278">
        <v>5483</v>
      </c>
      <c r="I334" s="278">
        <v>1898</v>
      </c>
      <c r="J334" s="278">
        <v>6764</v>
      </c>
      <c r="K334" s="278">
        <v>5104</v>
      </c>
      <c r="L334" s="278">
        <v>1660</v>
      </c>
      <c r="M334" s="278">
        <v>263</v>
      </c>
      <c r="N334" s="278">
        <v>7350</v>
      </c>
      <c r="O334" s="278">
        <v>5452</v>
      </c>
      <c r="P334" s="278">
        <v>1898</v>
      </c>
      <c r="Q334" s="278">
        <v>6733</v>
      </c>
      <c r="R334" s="278">
        <v>5073</v>
      </c>
      <c r="S334" s="278">
        <v>1660</v>
      </c>
    </row>
    <row r="335" spans="1:19">
      <c r="A335" s="241" t="s">
        <v>3159</v>
      </c>
      <c r="B335" s="241" t="s">
        <v>5303</v>
      </c>
      <c r="C335" s="241" t="s">
        <v>3170</v>
      </c>
      <c r="D335" s="241" t="s">
        <v>3492</v>
      </c>
      <c r="E335" s="241" t="s">
        <v>3503</v>
      </c>
      <c r="F335" s="278">
        <v>73190</v>
      </c>
      <c r="G335" s="278">
        <v>1776512</v>
      </c>
      <c r="H335" s="278">
        <v>1442507</v>
      </c>
      <c r="I335" s="278">
        <v>329937</v>
      </c>
      <c r="J335" s="278">
        <v>1665266</v>
      </c>
      <c r="K335" s="278">
        <v>1359764</v>
      </c>
      <c r="L335" s="278">
        <v>301689</v>
      </c>
      <c r="M335" s="278">
        <v>73190</v>
      </c>
      <c r="N335" s="278">
        <v>1776512</v>
      </c>
      <c r="O335" s="278">
        <v>1442507</v>
      </c>
      <c r="P335" s="278">
        <v>329937</v>
      </c>
      <c r="Q335" s="278">
        <v>1665266</v>
      </c>
      <c r="R335" s="278">
        <v>1359764</v>
      </c>
      <c r="S335" s="278">
        <v>301689</v>
      </c>
    </row>
    <row r="336" spans="1:19">
      <c r="A336" s="241" t="s">
        <v>3159</v>
      </c>
      <c r="B336" s="241" t="s">
        <v>5303</v>
      </c>
      <c r="C336" s="241" t="s">
        <v>3172</v>
      </c>
      <c r="D336" s="241" t="s">
        <v>3492</v>
      </c>
      <c r="E336" s="241" t="s">
        <v>3504</v>
      </c>
      <c r="F336" s="278">
        <v>1369</v>
      </c>
      <c r="G336" s="278">
        <v>20875</v>
      </c>
      <c r="H336" s="278">
        <v>15448</v>
      </c>
      <c r="I336" s="278">
        <v>5422</v>
      </c>
      <c r="J336" s="278">
        <v>17897</v>
      </c>
      <c r="K336" s="278">
        <v>13030</v>
      </c>
      <c r="L336" s="278">
        <v>4862</v>
      </c>
      <c r="M336" s="278">
        <v>1369</v>
      </c>
      <c r="N336" s="278">
        <v>20875</v>
      </c>
      <c r="O336" s="278">
        <v>15448</v>
      </c>
      <c r="P336" s="278">
        <v>5422</v>
      </c>
      <c r="Q336" s="278">
        <v>17897</v>
      </c>
      <c r="R336" s="278">
        <v>13030</v>
      </c>
      <c r="S336" s="278">
        <v>4862</v>
      </c>
    </row>
    <row r="337" spans="1:19">
      <c r="A337" s="241" t="s">
        <v>3159</v>
      </c>
      <c r="B337" s="241" t="s">
        <v>5303</v>
      </c>
      <c r="C337" s="241" t="s">
        <v>3172</v>
      </c>
      <c r="D337" s="241" t="s">
        <v>3492</v>
      </c>
      <c r="E337" s="241" t="s">
        <v>3505</v>
      </c>
      <c r="F337" s="278">
        <v>65552</v>
      </c>
      <c r="G337" s="278">
        <v>1678415</v>
      </c>
      <c r="H337" s="278">
        <v>1364775</v>
      </c>
      <c r="I337" s="278">
        <v>309746</v>
      </c>
      <c r="J337" s="278">
        <v>1578487</v>
      </c>
      <c r="K337" s="278">
        <v>1290825</v>
      </c>
      <c r="L337" s="278">
        <v>284018</v>
      </c>
      <c r="M337" s="278">
        <v>65552</v>
      </c>
      <c r="N337" s="278">
        <v>1678415</v>
      </c>
      <c r="O337" s="278">
        <v>1364775</v>
      </c>
      <c r="P337" s="278">
        <v>309746</v>
      </c>
      <c r="Q337" s="278">
        <v>1578487</v>
      </c>
      <c r="R337" s="278">
        <v>1290825</v>
      </c>
      <c r="S337" s="278">
        <v>284018</v>
      </c>
    </row>
    <row r="338" spans="1:19">
      <c r="A338" s="241" t="s">
        <v>3159</v>
      </c>
      <c r="B338" s="241" t="s">
        <v>5303</v>
      </c>
      <c r="C338" s="241" t="s">
        <v>3172</v>
      </c>
      <c r="D338" s="241" t="s">
        <v>3492</v>
      </c>
      <c r="E338" s="241" t="s">
        <v>3506</v>
      </c>
      <c r="F338" s="278">
        <v>1184</v>
      </c>
      <c r="G338" s="278">
        <v>20111</v>
      </c>
      <c r="H338" s="278">
        <v>17278</v>
      </c>
      <c r="I338" s="278">
        <v>2738</v>
      </c>
      <c r="J338" s="278">
        <v>17911</v>
      </c>
      <c r="K338" s="278">
        <v>15712</v>
      </c>
      <c r="L338" s="278">
        <v>2107</v>
      </c>
      <c r="M338" s="278">
        <v>1184</v>
      </c>
      <c r="N338" s="278">
        <v>20111</v>
      </c>
      <c r="O338" s="278">
        <v>17278</v>
      </c>
      <c r="P338" s="278">
        <v>2738</v>
      </c>
      <c r="Q338" s="278">
        <v>17911</v>
      </c>
      <c r="R338" s="278">
        <v>15712</v>
      </c>
      <c r="S338" s="278">
        <v>2107</v>
      </c>
    </row>
    <row r="339" spans="1:19">
      <c r="A339" s="241" t="s">
        <v>3159</v>
      </c>
      <c r="B339" s="241" t="s">
        <v>5303</v>
      </c>
      <c r="C339" s="241" t="s">
        <v>3172</v>
      </c>
      <c r="D339" s="241" t="s">
        <v>3492</v>
      </c>
      <c r="E339" s="241" t="s">
        <v>3507</v>
      </c>
      <c r="F339" s="278">
        <v>3595</v>
      </c>
      <c r="G339" s="278">
        <v>18899</v>
      </c>
      <c r="H339" s="278">
        <v>14029</v>
      </c>
      <c r="I339" s="278">
        <v>4820</v>
      </c>
      <c r="J339" s="278">
        <v>13739</v>
      </c>
      <c r="K339" s="278">
        <v>10014</v>
      </c>
      <c r="L339" s="278">
        <v>3677</v>
      </c>
      <c r="M339" s="278">
        <v>3595</v>
      </c>
      <c r="N339" s="278">
        <v>18899</v>
      </c>
      <c r="O339" s="278">
        <v>14029</v>
      </c>
      <c r="P339" s="278">
        <v>4820</v>
      </c>
      <c r="Q339" s="278">
        <v>13739</v>
      </c>
      <c r="R339" s="278">
        <v>10014</v>
      </c>
      <c r="S339" s="278">
        <v>3677</v>
      </c>
    </row>
    <row r="340" spans="1:19">
      <c r="A340" s="241" t="s">
        <v>3159</v>
      </c>
      <c r="B340" s="241" t="s">
        <v>5303</v>
      </c>
      <c r="C340" s="241" t="s">
        <v>3172</v>
      </c>
      <c r="D340" s="241" t="s">
        <v>3492</v>
      </c>
      <c r="E340" s="241" t="s">
        <v>3508</v>
      </c>
      <c r="F340" s="278">
        <v>1361</v>
      </c>
      <c r="G340" s="278">
        <v>36776</v>
      </c>
      <c r="H340" s="278">
        <v>29776</v>
      </c>
      <c r="I340" s="278">
        <v>6976</v>
      </c>
      <c r="J340" s="278">
        <v>35903</v>
      </c>
      <c r="K340" s="278">
        <v>29070</v>
      </c>
      <c r="L340" s="278">
        <v>6809</v>
      </c>
      <c r="M340" s="278">
        <v>1361</v>
      </c>
      <c r="N340" s="278">
        <v>36776</v>
      </c>
      <c r="O340" s="278">
        <v>29776</v>
      </c>
      <c r="P340" s="278">
        <v>6976</v>
      </c>
      <c r="Q340" s="278">
        <v>35903</v>
      </c>
      <c r="R340" s="278">
        <v>29070</v>
      </c>
      <c r="S340" s="278">
        <v>6809</v>
      </c>
    </row>
    <row r="341" spans="1:19">
      <c r="A341" s="241" t="s">
        <v>3159</v>
      </c>
      <c r="B341" s="241" t="s">
        <v>5303</v>
      </c>
      <c r="C341" s="241" t="s">
        <v>3172</v>
      </c>
      <c r="D341" s="241" t="s">
        <v>3492</v>
      </c>
      <c r="E341" s="241" t="s">
        <v>3509</v>
      </c>
      <c r="F341" s="278">
        <v>129</v>
      </c>
      <c r="G341" s="278">
        <v>1436</v>
      </c>
      <c r="H341" s="278">
        <v>1201</v>
      </c>
      <c r="I341" s="278">
        <v>235</v>
      </c>
      <c r="J341" s="278">
        <v>1329</v>
      </c>
      <c r="K341" s="278">
        <v>1113</v>
      </c>
      <c r="L341" s="278">
        <v>216</v>
      </c>
      <c r="M341" s="278">
        <v>129</v>
      </c>
      <c r="N341" s="278">
        <v>1436</v>
      </c>
      <c r="O341" s="278">
        <v>1201</v>
      </c>
      <c r="P341" s="278">
        <v>235</v>
      </c>
      <c r="Q341" s="278">
        <v>1329</v>
      </c>
      <c r="R341" s="278">
        <v>1113</v>
      </c>
      <c r="S341" s="278">
        <v>216</v>
      </c>
    </row>
    <row r="342" spans="1:19">
      <c r="A342" s="241" t="s">
        <v>3159</v>
      </c>
      <c r="B342" s="241" t="s">
        <v>5303</v>
      </c>
      <c r="C342" s="241" t="s">
        <v>3170</v>
      </c>
      <c r="D342" s="241" t="s">
        <v>3492</v>
      </c>
      <c r="E342" s="241" t="s">
        <v>3510</v>
      </c>
      <c r="F342" s="278">
        <v>3019</v>
      </c>
      <c r="G342" s="278">
        <v>47989</v>
      </c>
      <c r="H342" s="278">
        <v>39206</v>
      </c>
      <c r="I342" s="278">
        <v>8760</v>
      </c>
      <c r="J342" s="278">
        <v>41523</v>
      </c>
      <c r="K342" s="278">
        <v>34162</v>
      </c>
      <c r="L342" s="278">
        <v>7342</v>
      </c>
      <c r="M342" s="278">
        <v>2963</v>
      </c>
      <c r="N342" s="278">
        <v>46993</v>
      </c>
      <c r="O342" s="278">
        <v>38309</v>
      </c>
      <c r="P342" s="278">
        <v>8661</v>
      </c>
      <c r="Q342" s="278">
        <v>40672</v>
      </c>
      <c r="R342" s="278">
        <v>33386</v>
      </c>
      <c r="S342" s="278">
        <v>7267</v>
      </c>
    </row>
    <row r="343" spans="1:19">
      <c r="A343" s="241" t="s">
        <v>3159</v>
      </c>
      <c r="B343" s="241" t="s">
        <v>5303</v>
      </c>
      <c r="C343" s="241" t="s">
        <v>3172</v>
      </c>
      <c r="D343" s="241" t="s">
        <v>3492</v>
      </c>
      <c r="E343" s="241" t="s">
        <v>3511</v>
      </c>
      <c r="F343" s="278">
        <v>46</v>
      </c>
      <c r="G343" s="278">
        <v>465</v>
      </c>
      <c r="H343" s="278">
        <v>358</v>
      </c>
      <c r="I343" s="278">
        <v>107</v>
      </c>
      <c r="J343" s="278">
        <v>383</v>
      </c>
      <c r="K343" s="278">
        <v>285</v>
      </c>
      <c r="L343" s="278">
        <v>98</v>
      </c>
      <c r="M343" s="278">
        <v>45</v>
      </c>
      <c r="N343" s="278">
        <v>460</v>
      </c>
      <c r="O343" s="278">
        <v>353</v>
      </c>
      <c r="P343" s="278">
        <v>107</v>
      </c>
      <c r="Q343" s="278">
        <v>378</v>
      </c>
      <c r="R343" s="278">
        <v>280</v>
      </c>
      <c r="S343" s="278">
        <v>98</v>
      </c>
    </row>
    <row r="344" spans="1:19">
      <c r="A344" s="241" t="s">
        <v>3159</v>
      </c>
      <c r="B344" s="241" t="s">
        <v>5303</v>
      </c>
      <c r="C344" s="241" t="s">
        <v>3172</v>
      </c>
      <c r="D344" s="241" t="s">
        <v>3492</v>
      </c>
      <c r="E344" s="241" t="s">
        <v>3512</v>
      </c>
      <c r="F344" s="278">
        <v>250</v>
      </c>
      <c r="G344" s="278">
        <v>9857</v>
      </c>
      <c r="H344" s="278">
        <v>7412</v>
      </c>
      <c r="I344" s="278">
        <v>2444</v>
      </c>
      <c r="J344" s="278">
        <v>9306</v>
      </c>
      <c r="K344" s="278">
        <v>6929</v>
      </c>
      <c r="L344" s="278">
        <v>2377</v>
      </c>
      <c r="M344" s="278">
        <v>250</v>
      </c>
      <c r="N344" s="278">
        <v>9857</v>
      </c>
      <c r="O344" s="278">
        <v>7412</v>
      </c>
      <c r="P344" s="278">
        <v>2444</v>
      </c>
      <c r="Q344" s="278">
        <v>9306</v>
      </c>
      <c r="R344" s="278">
        <v>6929</v>
      </c>
      <c r="S344" s="278">
        <v>2377</v>
      </c>
    </row>
    <row r="345" spans="1:19">
      <c r="A345" s="241" t="s">
        <v>3159</v>
      </c>
      <c r="B345" s="241" t="s">
        <v>5303</v>
      </c>
      <c r="C345" s="241" t="s">
        <v>3172</v>
      </c>
      <c r="D345" s="241" t="s">
        <v>3492</v>
      </c>
      <c r="E345" s="241" t="s">
        <v>3513</v>
      </c>
      <c r="F345" s="278">
        <v>1605</v>
      </c>
      <c r="G345" s="278">
        <v>22777</v>
      </c>
      <c r="H345" s="278">
        <v>18794</v>
      </c>
      <c r="I345" s="278">
        <v>3970</v>
      </c>
      <c r="J345" s="278">
        <v>19727</v>
      </c>
      <c r="K345" s="278">
        <v>16390</v>
      </c>
      <c r="L345" s="278">
        <v>3325</v>
      </c>
      <c r="M345" s="278">
        <v>1574</v>
      </c>
      <c r="N345" s="278">
        <v>22376</v>
      </c>
      <c r="O345" s="278">
        <v>18423</v>
      </c>
      <c r="P345" s="278">
        <v>3940</v>
      </c>
      <c r="Q345" s="278">
        <v>19326</v>
      </c>
      <c r="R345" s="278">
        <v>16019</v>
      </c>
      <c r="S345" s="278">
        <v>3295</v>
      </c>
    </row>
    <row r="346" spans="1:19">
      <c r="A346" s="241" t="s">
        <v>3159</v>
      </c>
      <c r="B346" s="241" t="s">
        <v>5303</v>
      </c>
      <c r="C346" s="241" t="s">
        <v>3172</v>
      </c>
      <c r="D346" s="241" t="s">
        <v>3492</v>
      </c>
      <c r="E346" s="241" t="s">
        <v>3514</v>
      </c>
      <c r="F346" s="278">
        <v>391</v>
      </c>
      <c r="G346" s="278">
        <v>4355</v>
      </c>
      <c r="H346" s="278">
        <v>3321</v>
      </c>
      <c r="I346" s="278">
        <v>1029</v>
      </c>
      <c r="J346" s="278">
        <v>3362</v>
      </c>
      <c r="K346" s="278">
        <v>2567</v>
      </c>
      <c r="L346" s="278">
        <v>790</v>
      </c>
      <c r="M346" s="278">
        <v>367</v>
      </c>
      <c r="N346" s="278">
        <v>3765</v>
      </c>
      <c r="O346" s="278">
        <v>2800</v>
      </c>
      <c r="P346" s="278">
        <v>960</v>
      </c>
      <c r="Q346" s="278">
        <v>2917</v>
      </c>
      <c r="R346" s="278">
        <v>2167</v>
      </c>
      <c r="S346" s="278">
        <v>745</v>
      </c>
    </row>
    <row r="347" spans="1:19">
      <c r="A347" s="241" t="s">
        <v>3159</v>
      </c>
      <c r="B347" s="241" t="s">
        <v>5303</v>
      </c>
      <c r="C347" s="241" t="s">
        <v>3172</v>
      </c>
      <c r="D347" s="241" t="s">
        <v>3492</v>
      </c>
      <c r="E347" s="241" t="s">
        <v>3515</v>
      </c>
      <c r="F347" s="278">
        <v>727</v>
      </c>
      <c r="G347" s="278">
        <v>10535</v>
      </c>
      <c r="H347" s="278">
        <v>9321</v>
      </c>
      <c r="I347" s="278">
        <v>1210</v>
      </c>
      <c r="J347" s="278">
        <v>8745</v>
      </c>
      <c r="K347" s="278">
        <v>7991</v>
      </c>
      <c r="L347" s="278">
        <v>752</v>
      </c>
      <c r="M347" s="278">
        <v>727</v>
      </c>
      <c r="N347" s="278">
        <v>10535</v>
      </c>
      <c r="O347" s="278">
        <v>9321</v>
      </c>
      <c r="P347" s="278">
        <v>1210</v>
      </c>
      <c r="Q347" s="278">
        <v>8745</v>
      </c>
      <c r="R347" s="278">
        <v>7991</v>
      </c>
      <c r="S347" s="278">
        <v>752</v>
      </c>
    </row>
    <row r="348" spans="1:19">
      <c r="A348" s="241" t="s">
        <v>3159</v>
      </c>
      <c r="B348" s="241" t="s">
        <v>5303</v>
      </c>
      <c r="C348" s="241" t="s">
        <v>3170</v>
      </c>
      <c r="D348" s="241" t="s">
        <v>3492</v>
      </c>
      <c r="E348" s="241" t="s">
        <v>3516</v>
      </c>
      <c r="F348" s="278">
        <v>816</v>
      </c>
      <c r="G348" s="278">
        <v>49446</v>
      </c>
      <c r="H348" s="278">
        <v>29892</v>
      </c>
      <c r="I348" s="278">
        <v>19548</v>
      </c>
      <c r="J348" s="278">
        <v>49093</v>
      </c>
      <c r="K348" s="278">
        <v>29589</v>
      </c>
      <c r="L348" s="278">
        <v>19498</v>
      </c>
      <c r="M348" s="278">
        <v>816</v>
      </c>
      <c r="N348" s="278">
        <v>49446</v>
      </c>
      <c r="O348" s="278">
        <v>29892</v>
      </c>
      <c r="P348" s="278">
        <v>19548</v>
      </c>
      <c r="Q348" s="278">
        <v>49093</v>
      </c>
      <c r="R348" s="278">
        <v>29589</v>
      </c>
      <c r="S348" s="278">
        <v>19498</v>
      </c>
    </row>
    <row r="349" spans="1:19">
      <c r="A349" s="241" t="s">
        <v>3159</v>
      </c>
      <c r="B349" s="241" t="s">
        <v>5303</v>
      </c>
      <c r="C349" s="241" t="s">
        <v>3172</v>
      </c>
      <c r="D349" s="241" t="s">
        <v>3492</v>
      </c>
      <c r="E349" s="241" t="s">
        <v>3517</v>
      </c>
      <c r="F349" s="278">
        <v>13</v>
      </c>
      <c r="G349" s="278">
        <v>214</v>
      </c>
      <c r="H349" s="278">
        <v>146</v>
      </c>
      <c r="I349" s="278">
        <v>68</v>
      </c>
      <c r="J349" s="278">
        <v>204</v>
      </c>
      <c r="K349" s="278">
        <v>138</v>
      </c>
      <c r="L349" s="278">
        <v>66</v>
      </c>
      <c r="M349" s="278">
        <v>13</v>
      </c>
      <c r="N349" s="278">
        <v>214</v>
      </c>
      <c r="O349" s="278">
        <v>146</v>
      </c>
      <c r="P349" s="278">
        <v>68</v>
      </c>
      <c r="Q349" s="278">
        <v>204</v>
      </c>
      <c r="R349" s="278">
        <v>138</v>
      </c>
      <c r="S349" s="278">
        <v>66</v>
      </c>
    </row>
    <row r="350" spans="1:19">
      <c r="A350" s="241" t="s">
        <v>3159</v>
      </c>
      <c r="B350" s="241" t="s">
        <v>5303</v>
      </c>
      <c r="C350" s="241" t="s">
        <v>3172</v>
      </c>
      <c r="D350" s="241" t="s">
        <v>3492</v>
      </c>
      <c r="E350" s="241" t="s">
        <v>3518</v>
      </c>
      <c r="F350" s="278">
        <v>729</v>
      </c>
      <c r="G350" s="278">
        <v>47736</v>
      </c>
      <c r="H350" s="278">
        <v>28485</v>
      </c>
      <c r="I350" s="278">
        <v>19251</v>
      </c>
      <c r="J350" s="278">
        <v>47448</v>
      </c>
      <c r="K350" s="278">
        <v>28238</v>
      </c>
      <c r="L350" s="278">
        <v>19210</v>
      </c>
      <c r="M350" s="278">
        <v>729</v>
      </c>
      <c r="N350" s="278">
        <v>47736</v>
      </c>
      <c r="O350" s="278">
        <v>28485</v>
      </c>
      <c r="P350" s="278">
        <v>19251</v>
      </c>
      <c r="Q350" s="278">
        <v>47448</v>
      </c>
      <c r="R350" s="278">
        <v>28238</v>
      </c>
      <c r="S350" s="278">
        <v>19210</v>
      </c>
    </row>
    <row r="351" spans="1:19">
      <c r="A351" s="241" t="s">
        <v>3159</v>
      </c>
      <c r="B351" s="241" t="s">
        <v>5303</v>
      </c>
      <c r="C351" s="241" t="s">
        <v>3172</v>
      </c>
      <c r="D351" s="241" t="s">
        <v>3492</v>
      </c>
      <c r="E351" s="241" t="s">
        <v>3519</v>
      </c>
      <c r="F351" s="278">
        <v>74</v>
      </c>
      <c r="G351" s="278">
        <v>1496</v>
      </c>
      <c r="H351" s="278">
        <v>1261</v>
      </c>
      <c r="I351" s="278">
        <v>229</v>
      </c>
      <c r="J351" s="278">
        <v>1441</v>
      </c>
      <c r="K351" s="278">
        <v>1213</v>
      </c>
      <c r="L351" s="278">
        <v>222</v>
      </c>
      <c r="M351" s="278">
        <v>74</v>
      </c>
      <c r="N351" s="278">
        <v>1496</v>
      </c>
      <c r="O351" s="278">
        <v>1261</v>
      </c>
      <c r="P351" s="278">
        <v>229</v>
      </c>
      <c r="Q351" s="278">
        <v>1441</v>
      </c>
      <c r="R351" s="278">
        <v>1213</v>
      </c>
      <c r="S351" s="278">
        <v>222</v>
      </c>
    </row>
    <row r="352" spans="1:19">
      <c r="A352" s="241" t="s">
        <v>3159</v>
      </c>
      <c r="B352" s="241" t="s">
        <v>5303</v>
      </c>
      <c r="C352" s="241" t="s">
        <v>3170</v>
      </c>
      <c r="D352" s="241" t="s">
        <v>3492</v>
      </c>
      <c r="E352" s="241" t="s">
        <v>3520</v>
      </c>
      <c r="F352" s="278">
        <v>11081</v>
      </c>
      <c r="G352" s="278">
        <v>222588</v>
      </c>
      <c r="H352" s="278">
        <v>136729</v>
      </c>
      <c r="I352" s="278">
        <v>84827</v>
      </c>
      <c r="J352" s="278">
        <v>211605</v>
      </c>
      <c r="K352" s="278">
        <v>129402</v>
      </c>
      <c r="L352" s="278">
        <v>81184</v>
      </c>
      <c r="M352" s="278">
        <v>11081</v>
      </c>
      <c r="N352" s="278">
        <v>222588</v>
      </c>
      <c r="O352" s="278">
        <v>136729</v>
      </c>
      <c r="P352" s="278">
        <v>84827</v>
      </c>
      <c r="Q352" s="278">
        <v>211605</v>
      </c>
      <c r="R352" s="278">
        <v>129402</v>
      </c>
      <c r="S352" s="278">
        <v>81184</v>
      </c>
    </row>
    <row r="353" spans="1:19">
      <c r="A353" s="241" t="s">
        <v>3159</v>
      </c>
      <c r="B353" s="241" t="s">
        <v>5303</v>
      </c>
      <c r="C353" s="241" t="s">
        <v>3172</v>
      </c>
      <c r="D353" s="241" t="s">
        <v>3492</v>
      </c>
      <c r="E353" s="241" t="s">
        <v>3521</v>
      </c>
      <c r="F353" s="278">
        <v>208</v>
      </c>
      <c r="G353" s="278">
        <v>4665</v>
      </c>
      <c r="H353" s="278">
        <v>2939</v>
      </c>
      <c r="I353" s="278">
        <v>1726</v>
      </c>
      <c r="J353" s="278">
        <v>3918</v>
      </c>
      <c r="K353" s="278">
        <v>2405</v>
      </c>
      <c r="L353" s="278">
        <v>1513</v>
      </c>
      <c r="M353" s="278">
        <v>208</v>
      </c>
      <c r="N353" s="278">
        <v>4665</v>
      </c>
      <c r="O353" s="278">
        <v>2939</v>
      </c>
      <c r="P353" s="278">
        <v>1726</v>
      </c>
      <c r="Q353" s="278">
        <v>3918</v>
      </c>
      <c r="R353" s="278">
        <v>2405</v>
      </c>
      <c r="S353" s="278">
        <v>1513</v>
      </c>
    </row>
    <row r="354" spans="1:19">
      <c r="A354" s="241" t="s">
        <v>3159</v>
      </c>
      <c r="B354" s="241" t="s">
        <v>5303</v>
      </c>
      <c r="C354" s="241" t="s">
        <v>3172</v>
      </c>
      <c r="D354" s="241" t="s">
        <v>3492</v>
      </c>
      <c r="E354" s="241" t="s">
        <v>3522</v>
      </c>
      <c r="F354" s="278">
        <v>9373</v>
      </c>
      <c r="G354" s="278">
        <v>189355</v>
      </c>
      <c r="H354" s="278">
        <v>113891</v>
      </c>
      <c r="I354" s="278">
        <v>74471</v>
      </c>
      <c r="J354" s="278">
        <v>180905</v>
      </c>
      <c r="K354" s="278">
        <v>108463</v>
      </c>
      <c r="L354" s="278">
        <v>71462</v>
      </c>
      <c r="M354" s="278">
        <v>9373</v>
      </c>
      <c r="N354" s="278">
        <v>189355</v>
      </c>
      <c r="O354" s="278">
        <v>113891</v>
      </c>
      <c r="P354" s="278">
        <v>74471</v>
      </c>
      <c r="Q354" s="278">
        <v>180905</v>
      </c>
      <c r="R354" s="278">
        <v>108463</v>
      </c>
      <c r="S354" s="278">
        <v>71462</v>
      </c>
    </row>
    <row r="355" spans="1:19">
      <c r="A355" s="241" t="s">
        <v>3159</v>
      </c>
      <c r="B355" s="241" t="s">
        <v>5303</v>
      </c>
      <c r="C355" s="241" t="s">
        <v>3172</v>
      </c>
      <c r="D355" s="241" t="s">
        <v>3492</v>
      </c>
      <c r="E355" s="241" t="s">
        <v>3523</v>
      </c>
      <c r="F355" s="278">
        <v>1500</v>
      </c>
      <c r="G355" s="278">
        <v>28568</v>
      </c>
      <c r="H355" s="278">
        <v>19899</v>
      </c>
      <c r="I355" s="278">
        <v>8630</v>
      </c>
      <c r="J355" s="278">
        <v>26782</v>
      </c>
      <c r="K355" s="278">
        <v>18534</v>
      </c>
      <c r="L355" s="278">
        <v>8209</v>
      </c>
      <c r="M355" s="278">
        <v>1500</v>
      </c>
      <c r="N355" s="278">
        <v>28568</v>
      </c>
      <c r="O355" s="278">
        <v>19899</v>
      </c>
      <c r="P355" s="278">
        <v>8630</v>
      </c>
      <c r="Q355" s="278">
        <v>26782</v>
      </c>
      <c r="R355" s="278">
        <v>18534</v>
      </c>
      <c r="S355" s="278">
        <v>8209</v>
      </c>
    </row>
    <row r="356" spans="1:19">
      <c r="A356" s="241" t="s">
        <v>3159</v>
      </c>
      <c r="B356" s="241" t="s">
        <v>5303</v>
      </c>
      <c r="C356" s="241" t="s">
        <v>3170</v>
      </c>
      <c r="D356" s="241" t="s">
        <v>3492</v>
      </c>
      <c r="E356" s="241" t="s">
        <v>3524</v>
      </c>
      <c r="F356" s="278">
        <v>18508</v>
      </c>
      <c r="G356" s="278">
        <v>386930</v>
      </c>
      <c r="H356" s="278">
        <v>276569</v>
      </c>
      <c r="I356" s="278">
        <v>109396</v>
      </c>
      <c r="J356" s="278">
        <v>367396</v>
      </c>
      <c r="K356" s="278">
        <v>261468</v>
      </c>
      <c r="L356" s="278">
        <v>104973</v>
      </c>
      <c r="M356" s="278">
        <v>18189</v>
      </c>
      <c r="N356" s="278">
        <v>381229</v>
      </c>
      <c r="O356" s="278">
        <v>272104</v>
      </c>
      <c r="P356" s="278">
        <v>108160</v>
      </c>
      <c r="Q356" s="278">
        <v>361742</v>
      </c>
      <c r="R356" s="278">
        <v>257031</v>
      </c>
      <c r="S356" s="278">
        <v>103756</v>
      </c>
    </row>
    <row r="357" spans="1:19">
      <c r="A357" s="241" t="s">
        <v>3159</v>
      </c>
      <c r="B357" s="241" t="s">
        <v>5303</v>
      </c>
      <c r="C357" s="241" t="s">
        <v>3172</v>
      </c>
      <c r="D357" s="241" t="s">
        <v>3492</v>
      </c>
      <c r="E357" s="241" t="s">
        <v>3525</v>
      </c>
      <c r="F357" s="278">
        <v>363</v>
      </c>
      <c r="G357" s="278">
        <v>5928</v>
      </c>
      <c r="H357" s="278">
        <v>4264</v>
      </c>
      <c r="I357" s="278">
        <v>1664</v>
      </c>
      <c r="J357" s="278">
        <v>5186</v>
      </c>
      <c r="K357" s="278">
        <v>3612</v>
      </c>
      <c r="L357" s="278">
        <v>1574</v>
      </c>
      <c r="M357" s="278">
        <v>360</v>
      </c>
      <c r="N357" s="278">
        <v>5906</v>
      </c>
      <c r="O357" s="278">
        <v>4247</v>
      </c>
      <c r="P357" s="278">
        <v>1659</v>
      </c>
      <c r="Q357" s="278">
        <v>5164</v>
      </c>
      <c r="R357" s="278">
        <v>3595</v>
      </c>
      <c r="S357" s="278">
        <v>1569</v>
      </c>
    </row>
    <row r="358" spans="1:19">
      <c r="A358" s="241" t="s">
        <v>3159</v>
      </c>
      <c r="B358" s="241" t="s">
        <v>5303</v>
      </c>
      <c r="C358" s="241" t="s">
        <v>3172</v>
      </c>
      <c r="D358" s="241" t="s">
        <v>3492</v>
      </c>
      <c r="E358" s="241" t="s">
        <v>3526</v>
      </c>
      <c r="F358" s="278">
        <v>2198</v>
      </c>
      <c r="G358" s="278">
        <v>60498</v>
      </c>
      <c r="H358" s="278">
        <v>52542</v>
      </c>
      <c r="I358" s="278">
        <v>7840</v>
      </c>
      <c r="J358" s="278">
        <v>57247</v>
      </c>
      <c r="K358" s="278">
        <v>49607</v>
      </c>
      <c r="L358" s="278">
        <v>7524</v>
      </c>
      <c r="M358" s="278">
        <v>2198</v>
      </c>
      <c r="N358" s="278">
        <v>60498</v>
      </c>
      <c r="O358" s="278">
        <v>52542</v>
      </c>
      <c r="P358" s="278">
        <v>7840</v>
      </c>
      <c r="Q358" s="278">
        <v>57247</v>
      </c>
      <c r="R358" s="278">
        <v>49607</v>
      </c>
      <c r="S358" s="278">
        <v>7524</v>
      </c>
    </row>
    <row r="359" spans="1:19">
      <c r="A359" s="241" t="s">
        <v>3159</v>
      </c>
      <c r="B359" s="241" t="s">
        <v>5303</v>
      </c>
      <c r="C359" s="241" t="s">
        <v>3172</v>
      </c>
      <c r="D359" s="241" t="s">
        <v>3492</v>
      </c>
      <c r="E359" s="241" t="s">
        <v>3527</v>
      </c>
      <c r="F359" s="278">
        <v>4588</v>
      </c>
      <c r="G359" s="278">
        <v>79697</v>
      </c>
      <c r="H359" s="278">
        <v>55948</v>
      </c>
      <c r="I359" s="278">
        <v>23626</v>
      </c>
      <c r="J359" s="278">
        <v>75418</v>
      </c>
      <c r="K359" s="278">
        <v>52782</v>
      </c>
      <c r="L359" s="278">
        <v>22513</v>
      </c>
      <c r="M359" s="278">
        <v>4588</v>
      </c>
      <c r="N359" s="278">
        <v>79697</v>
      </c>
      <c r="O359" s="278">
        <v>55948</v>
      </c>
      <c r="P359" s="278">
        <v>23626</v>
      </c>
      <c r="Q359" s="278">
        <v>75418</v>
      </c>
      <c r="R359" s="278">
        <v>52782</v>
      </c>
      <c r="S359" s="278">
        <v>22513</v>
      </c>
    </row>
    <row r="360" spans="1:19">
      <c r="A360" s="241" t="s">
        <v>3159</v>
      </c>
      <c r="B360" s="241" t="s">
        <v>5303</v>
      </c>
      <c r="C360" s="241" t="s">
        <v>3172</v>
      </c>
      <c r="D360" s="241" t="s">
        <v>3492</v>
      </c>
      <c r="E360" s="241" t="s">
        <v>3528</v>
      </c>
      <c r="F360" s="278">
        <v>763</v>
      </c>
      <c r="G360" s="278">
        <v>10956</v>
      </c>
      <c r="H360" s="278">
        <v>6804</v>
      </c>
      <c r="I360" s="278">
        <v>4151</v>
      </c>
      <c r="J360" s="278">
        <v>10143</v>
      </c>
      <c r="K360" s="278">
        <v>6187</v>
      </c>
      <c r="L360" s="278">
        <v>3955</v>
      </c>
      <c r="M360" s="278">
        <v>763</v>
      </c>
      <c r="N360" s="278">
        <v>10956</v>
      </c>
      <c r="O360" s="278">
        <v>6804</v>
      </c>
      <c r="P360" s="278">
        <v>4151</v>
      </c>
      <c r="Q360" s="278">
        <v>10143</v>
      </c>
      <c r="R360" s="278">
        <v>6187</v>
      </c>
      <c r="S360" s="278">
        <v>3955</v>
      </c>
    </row>
    <row r="361" spans="1:19">
      <c r="A361" s="241" t="s">
        <v>3159</v>
      </c>
      <c r="B361" s="241" t="s">
        <v>5303</v>
      </c>
      <c r="C361" s="241" t="s">
        <v>3172</v>
      </c>
      <c r="D361" s="241" t="s">
        <v>3492</v>
      </c>
      <c r="E361" s="241" t="s">
        <v>3529</v>
      </c>
      <c r="F361" s="278">
        <v>2547</v>
      </c>
      <c r="G361" s="278">
        <v>65347</v>
      </c>
      <c r="H361" s="278">
        <v>37318</v>
      </c>
      <c r="I361" s="278">
        <v>27907</v>
      </c>
      <c r="J361" s="278">
        <v>61269</v>
      </c>
      <c r="K361" s="278">
        <v>34679</v>
      </c>
      <c r="L361" s="278">
        <v>26468</v>
      </c>
      <c r="M361" s="278">
        <v>2547</v>
      </c>
      <c r="N361" s="278">
        <v>65347</v>
      </c>
      <c r="O361" s="278">
        <v>37318</v>
      </c>
      <c r="P361" s="278">
        <v>27907</v>
      </c>
      <c r="Q361" s="278">
        <v>61269</v>
      </c>
      <c r="R361" s="278">
        <v>34679</v>
      </c>
      <c r="S361" s="278">
        <v>26468</v>
      </c>
    </row>
    <row r="362" spans="1:19">
      <c r="A362" s="241" t="s">
        <v>3159</v>
      </c>
      <c r="B362" s="241" t="s">
        <v>5303</v>
      </c>
      <c r="C362" s="241" t="s">
        <v>3172</v>
      </c>
      <c r="D362" s="241" t="s">
        <v>3492</v>
      </c>
      <c r="E362" s="241" t="s">
        <v>3530</v>
      </c>
      <c r="F362" s="278">
        <v>880</v>
      </c>
      <c r="G362" s="278">
        <v>26332</v>
      </c>
      <c r="H362" s="278">
        <v>21536</v>
      </c>
      <c r="I362" s="278">
        <v>4796</v>
      </c>
      <c r="J362" s="278">
        <v>25592</v>
      </c>
      <c r="K362" s="278">
        <v>20854</v>
      </c>
      <c r="L362" s="278">
        <v>4738</v>
      </c>
      <c r="M362" s="278">
        <v>678</v>
      </c>
      <c r="N362" s="278">
        <v>22856</v>
      </c>
      <c r="O362" s="278">
        <v>18661</v>
      </c>
      <c r="P362" s="278">
        <v>4195</v>
      </c>
      <c r="Q362" s="278">
        <v>22148</v>
      </c>
      <c r="R362" s="278">
        <v>17999</v>
      </c>
      <c r="S362" s="278">
        <v>4149</v>
      </c>
    </row>
    <row r="363" spans="1:19">
      <c r="A363" s="241" t="s">
        <v>3159</v>
      </c>
      <c r="B363" s="241" t="s">
        <v>5303</v>
      </c>
      <c r="C363" s="241" t="s">
        <v>3172</v>
      </c>
      <c r="D363" s="241" t="s">
        <v>3492</v>
      </c>
      <c r="E363" s="241" t="s">
        <v>3531</v>
      </c>
      <c r="F363" s="278">
        <v>7168</v>
      </c>
      <c r="G363" s="278">
        <v>138167</v>
      </c>
      <c r="H363" s="278">
        <v>98157</v>
      </c>
      <c r="I363" s="278">
        <v>39407</v>
      </c>
      <c r="J363" s="278">
        <v>132537</v>
      </c>
      <c r="K363" s="278">
        <v>93747</v>
      </c>
      <c r="L363" s="278">
        <v>38197</v>
      </c>
      <c r="M363" s="278">
        <v>7054</v>
      </c>
      <c r="N363" s="278">
        <v>135964</v>
      </c>
      <c r="O363" s="278">
        <v>96584</v>
      </c>
      <c r="P363" s="278">
        <v>38777</v>
      </c>
      <c r="Q363" s="278">
        <v>130349</v>
      </c>
      <c r="R363" s="278">
        <v>92182</v>
      </c>
      <c r="S363" s="278">
        <v>37574</v>
      </c>
    </row>
    <row r="364" spans="1:19">
      <c r="A364" s="241" t="s">
        <v>3159</v>
      </c>
      <c r="B364" s="241" t="s">
        <v>5303</v>
      </c>
      <c r="C364" s="241" t="s">
        <v>3170</v>
      </c>
      <c r="D364" s="241" t="s">
        <v>3492</v>
      </c>
      <c r="E364" s="241" t="s">
        <v>3532</v>
      </c>
      <c r="F364" s="278">
        <v>381</v>
      </c>
      <c r="G364" s="278">
        <v>103552</v>
      </c>
      <c r="H364" s="278">
        <v>75578</v>
      </c>
      <c r="I364" s="278">
        <v>27974</v>
      </c>
      <c r="J364" s="278">
        <v>101927</v>
      </c>
      <c r="K364" s="278">
        <v>74652</v>
      </c>
      <c r="L364" s="278">
        <v>27275</v>
      </c>
      <c r="M364" s="278">
        <v>381</v>
      </c>
      <c r="N364" s="278">
        <v>103552</v>
      </c>
      <c r="O364" s="278">
        <v>75578</v>
      </c>
      <c r="P364" s="278">
        <v>27974</v>
      </c>
      <c r="Q364" s="278">
        <v>101927</v>
      </c>
      <c r="R364" s="278">
        <v>74652</v>
      </c>
      <c r="S364" s="278">
        <v>27275</v>
      </c>
    </row>
    <row r="365" spans="1:19">
      <c r="A365" s="241" t="s">
        <v>3159</v>
      </c>
      <c r="B365" s="241" t="s">
        <v>5303</v>
      </c>
      <c r="C365" s="241" t="s">
        <v>3172</v>
      </c>
      <c r="D365" s="241" t="s">
        <v>3492</v>
      </c>
      <c r="E365" s="241" t="s">
        <v>3533</v>
      </c>
      <c r="F365" s="278">
        <v>46</v>
      </c>
      <c r="G365" s="278">
        <v>1232</v>
      </c>
      <c r="H365" s="278">
        <v>509</v>
      </c>
      <c r="I365" s="278">
        <v>723</v>
      </c>
      <c r="J365" s="278">
        <v>1232</v>
      </c>
      <c r="K365" s="278">
        <v>509</v>
      </c>
      <c r="L365" s="278">
        <v>723</v>
      </c>
      <c r="M365" s="278">
        <v>46</v>
      </c>
      <c r="N365" s="278">
        <v>1232</v>
      </c>
      <c r="O365" s="278">
        <v>509</v>
      </c>
      <c r="P365" s="278">
        <v>723</v>
      </c>
      <c r="Q365" s="278">
        <v>1232</v>
      </c>
      <c r="R365" s="278">
        <v>509</v>
      </c>
      <c r="S365" s="278">
        <v>723</v>
      </c>
    </row>
    <row r="366" spans="1:19">
      <c r="A366" s="241" t="s">
        <v>3159</v>
      </c>
      <c r="B366" s="241" t="s">
        <v>5303</v>
      </c>
      <c r="C366" s="241" t="s">
        <v>3172</v>
      </c>
      <c r="D366" s="241" t="s">
        <v>3492</v>
      </c>
      <c r="E366" s="241" t="s">
        <v>3534</v>
      </c>
      <c r="F366" s="278">
        <v>335</v>
      </c>
      <c r="G366" s="278">
        <v>102320</v>
      </c>
      <c r="H366" s="278">
        <v>75069</v>
      </c>
      <c r="I366" s="278">
        <v>27251</v>
      </c>
      <c r="J366" s="278">
        <v>100695</v>
      </c>
      <c r="K366" s="278">
        <v>74143</v>
      </c>
      <c r="L366" s="278">
        <v>26552</v>
      </c>
      <c r="M366" s="278">
        <v>335</v>
      </c>
      <c r="N366" s="278">
        <v>102320</v>
      </c>
      <c r="O366" s="278">
        <v>75069</v>
      </c>
      <c r="P366" s="278">
        <v>27251</v>
      </c>
      <c r="Q366" s="278">
        <v>100695</v>
      </c>
      <c r="R366" s="278">
        <v>74143</v>
      </c>
      <c r="S366" s="278">
        <v>26552</v>
      </c>
    </row>
    <row r="367" spans="1:19">
      <c r="A367" s="241" t="s">
        <v>3159</v>
      </c>
      <c r="B367" s="241" t="s">
        <v>5303</v>
      </c>
      <c r="C367" s="241" t="s">
        <v>3168</v>
      </c>
      <c r="D367" s="241" t="s">
        <v>3535</v>
      </c>
      <c r="E367" s="241" t="s">
        <v>3536</v>
      </c>
      <c r="F367" s="278">
        <v>1228968</v>
      </c>
      <c r="G367" s="278">
        <v>11612174</v>
      </c>
      <c r="H367" s="278">
        <v>5836345</v>
      </c>
      <c r="I367" s="278">
        <v>5635269</v>
      </c>
      <c r="J367" s="278">
        <v>10175110</v>
      </c>
      <c r="K367" s="278">
        <v>4934086</v>
      </c>
      <c r="L367" s="278">
        <v>5101039</v>
      </c>
      <c r="M367" s="278">
        <v>1228920</v>
      </c>
      <c r="N367" s="278">
        <v>11611924</v>
      </c>
      <c r="O367" s="278">
        <v>5836252</v>
      </c>
      <c r="P367" s="278">
        <v>5635112</v>
      </c>
      <c r="Q367" s="278">
        <v>10174880</v>
      </c>
      <c r="R367" s="278">
        <v>4933999</v>
      </c>
      <c r="S367" s="278">
        <v>5100896</v>
      </c>
    </row>
    <row r="368" spans="1:19">
      <c r="A368" s="241" t="s">
        <v>3159</v>
      </c>
      <c r="B368" s="241" t="s">
        <v>5303</v>
      </c>
      <c r="C368" s="241" t="s">
        <v>3459</v>
      </c>
      <c r="D368" s="241" t="s">
        <v>3537</v>
      </c>
      <c r="E368" s="241" t="s">
        <v>3538</v>
      </c>
      <c r="F368" s="278">
        <v>348890</v>
      </c>
      <c r="G368" s="278">
        <v>3900990</v>
      </c>
      <c r="H368" s="278">
        <v>2600015</v>
      </c>
      <c r="I368" s="278">
        <v>1280639</v>
      </c>
      <c r="J368" s="278">
        <v>3453386</v>
      </c>
      <c r="K368" s="278">
        <v>2278123</v>
      </c>
      <c r="L368" s="278">
        <v>1155245</v>
      </c>
      <c r="M368" s="278">
        <v>348889</v>
      </c>
      <c r="N368" s="278">
        <v>3900979</v>
      </c>
      <c r="O368" s="278">
        <v>2600008</v>
      </c>
      <c r="P368" s="278">
        <v>1280635</v>
      </c>
      <c r="Q368" s="278">
        <v>3453375</v>
      </c>
      <c r="R368" s="278">
        <v>2278116</v>
      </c>
      <c r="S368" s="278">
        <v>1155241</v>
      </c>
    </row>
    <row r="369" spans="1:19">
      <c r="A369" s="241" t="s">
        <v>3159</v>
      </c>
      <c r="B369" s="241" t="s">
        <v>5303</v>
      </c>
      <c r="C369" s="241" t="s">
        <v>3170</v>
      </c>
      <c r="D369" s="241" t="s">
        <v>3537</v>
      </c>
      <c r="E369" s="241" t="s">
        <v>3539</v>
      </c>
      <c r="F369" s="278">
        <v>1694</v>
      </c>
      <c r="G369" s="278">
        <v>40728</v>
      </c>
      <c r="H369" s="278">
        <v>28420</v>
      </c>
      <c r="I369" s="278">
        <v>12290</v>
      </c>
      <c r="J369" s="278">
        <v>38432</v>
      </c>
      <c r="K369" s="278">
        <v>26709</v>
      </c>
      <c r="L369" s="278">
        <v>11705</v>
      </c>
      <c r="M369" s="278">
        <v>1694</v>
      </c>
      <c r="N369" s="278">
        <v>40728</v>
      </c>
      <c r="O369" s="278">
        <v>28420</v>
      </c>
      <c r="P369" s="278">
        <v>12290</v>
      </c>
      <c r="Q369" s="278">
        <v>38432</v>
      </c>
      <c r="R369" s="278">
        <v>26709</v>
      </c>
      <c r="S369" s="278">
        <v>11705</v>
      </c>
    </row>
    <row r="370" spans="1:19">
      <c r="A370" s="241" t="s">
        <v>3159</v>
      </c>
      <c r="B370" s="241" t="s">
        <v>5303</v>
      </c>
      <c r="C370" s="241" t="s">
        <v>3172</v>
      </c>
      <c r="D370" s="241" t="s">
        <v>3537</v>
      </c>
      <c r="E370" s="241" t="s">
        <v>3540</v>
      </c>
      <c r="F370" s="278">
        <v>21</v>
      </c>
      <c r="G370" s="278">
        <v>340</v>
      </c>
      <c r="H370" s="278">
        <v>164</v>
      </c>
      <c r="I370" s="278">
        <v>176</v>
      </c>
      <c r="J370" s="278">
        <v>314</v>
      </c>
      <c r="K370" s="278">
        <v>142</v>
      </c>
      <c r="L370" s="278">
        <v>172</v>
      </c>
      <c r="M370" s="278">
        <v>21</v>
      </c>
      <c r="N370" s="278">
        <v>340</v>
      </c>
      <c r="O370" s="278">
        <v>164</v>
      </c>
      <c r="P370" s="278">
        <v>176</v>
      </c>
      <c r="Q370" s="278">
        <v>314</v>
      </c>
      <c r="R370" s="278">
        <v>142</v>
      </c>
      <c r="S370" s="278">
        <v>172</v>
      </c>
    </row>
    <row r="371" spans="1:19">
      <c r="A371" s="241" t="s">
        <v>3159</v>
      </c>
      <c r="B371" s="241" t="s">
        <v>5303</v>
      </c>
      <c r="C371" s="241" t="s">
        <v>3172</v>
      </c>
      <c r="D371" s="241" t="s">
        <v>3537</v>
      </c>
      <c r="E371" s="241" t="s">
        <v>3541</v>
      </c>
      <c r="F371" s="278">
        <v>1673</v>
      </c>
      <c r="G371" s="278">
        <v>40388</v>
      </c>
      <c r="H371" s="278">
        <v>28256</v>
      </c>
      <c r="I371" s="278">
        <v>12114</v>
      </c>
      <c r="J371" s="278">
        <v>38118</v>
      </c>
      <c r="K371" s="278">
        <v>26567</v>
      </c>
      <c r="L371" s="278">
        <v>11533</v>
      </c>
      <c r="M371" s="278">
        <v>1673</v>
      </c>
      <c r="N371" s="278">
        <v>40388</v>
      </c>
      <c r="O371" s="278">
        <v>28256</v>
      </c>
      <c r="P371" s="278">
        <v>12114</v>
      </c>
      <c r="Q371" s="278">
        <v>38118</v>
      </c>
      <c r="R371" s="278">
        <v>26567</v>
      </c>
      <c r="S371" s="278">
        <v>11533</v>
      </c>
    </row>
    <row r="372" spans="1:19">
      <c r="A372" s="241" t="s">
        <v>3159</v>
      </c>
      <c r="B372" s="241" t="s">
        <v>5303</v>
      </c>
      <c r="C372" s="241" t="s">
        <v>3432</v>
      </c>
      <c r="D372" s="241" t="s">
        <v>3537</v>
      </c>
      <c r="E372" s="241" t="s">
        <v>3542</v>
      </c>
      <c r="F372" s="278">
        <v>24</v>
      </c>
      <c r="G372" s="278">
        <v>22768</v>
      </c>
      <c r="H372" s="278">
        <v>16173</v>
      </c>
      <c r="I372" s="278">
        <v>6595</v>
      </c>
      <c r="J372" s="278">
        <v>22508</v>
      </c>
      <c r="K372" s="278">
        <v>15927</v>
      </c>
      <c r="L372" s="278">
        <v>6581</v>
      </c>
      <c r="M372" s="278">
        <v>24</v>
      </c>
      <c r="N372" s="278">
        <v>22768</v>
      </c>
      <c r="O372" s="278">
        <v>16173</v>
      </c>
      <c r="P372" s="278">
        <v>6595</v>
      </c>
      <c r="Q372" s="278">
        <v>22508</v>
      </c>
      <c r="R372" s="278">
        <v>15927</v>
      </c>
      <c r="S372" s="278">
        <v>6581</v>
      </c>
    </row>
    <row r="373" spans="1:19">
      <c r="A373" s="241" t="s">
        <v>3159</v>
      </c>
      <c r="B373" s="241" t="s">
        <v>5303</v>
      </c>
      <c r="C373" s="241" t="s">
        <v>3432</v>
      </c>
      <c r="D373" s="241" t="s">
        <v>3537</v>
      </c>
      <c r="E373" s="241" t="s">
        <v>3543</v>
      </c>
      <c r="F373" s="278">
        <v>1649</v>
      </c>
      <c r="G373" s="278">
        <v>17620</v>
      </c>
      <c r="H373" s="278">
        <v>12083</v>
      </c>
      <c r="I373" s="278">
        <v>5519</v>
      </c>
      <c r="J373" s="278">
        <v>15610</v>
      </c>
      <c r="K373" s="278">
        <v>10640</v>
      </c>
      <c r="L373" s="278">
        <v>4952</v>
      </c>
      <c r="M373" s="278">
        <v>1649</v>
      </c>
      <c r="N373" s="278">
        <v>17620</v>
      </c>
      <c r="O373" s="278">
        <v>12083</v>
      </c>
      <c r="P373" s="278">
        <v>5519</v>
      </c>
      <c r="Q373" s="278">
        <v>15610</v>
      </c>
      <c r="R373" s="278">
        <v>10640</v>
      </c>
      <c r="S373" s="278">
        <v>4952</v>
      </c>
    </row>
    <row r="374" spans="1:19">
      <c r="A374" s="241" t="s">
        <v>3159</v>
      </c>
      <c r="B374" s="241" t="s">
        <v>5303</v>
      </c>
      <c r="C374" s="241" t="s">
        <v>3170</v>
      </c>
      <c r="D374" s="241" t="s">
        <v>3537</v>
      </c>
      <c r="E374" s="241" t="s">
        <v>3544</v>
      </c>
      <c r="F374" s="278">
        <v>20122</v>
      </c>
      <c r="G374" s="278">
        <v>206971</v>
      </c>
      <c r="H374" s="278">
        <v>99786</v>
      </c>
      <c r="I374" s="278">
        <v>106742</v>
      </c>
      <c r="J374" s="278">
        <v>177690</v>
      </c>
      <c r="K374" s="278">
        <v>80007</v>
      </c>
      <c r="L374" s="278">
        <v>97254</v>
      </c>
      <c r="M374" s="278">
        <v>20122</v>
      </c>
      <c r="N374" s="278">
        <v>206971</v>
      </c>
      <c r="O374" s="278">
        <v>99786</v>
      </c>
      <c r="P374" s="278">
        <v>106742</v>
      </c>
      <c r="Q374" s="278">
        <v>177690</v>
      </c>
      <c r="R374" s="278">
        <v>80007</v>
      </c>
      <c r="S374" s="278">
        <v>97254</v>
      </c>
    </row>
    <row r="375" spans="1:19">
      <c r="A375" s="241" t="s">
        <v>3159</v>
      </c>
      <c r="B375" s="241" t="s">
        <v>5303</v>
      </c>
      <c r="C375" s="241" t="s">
        <v>3172</v>
      </c>
      <c r="D375" s="241" t="s">
        <v>3537</v>
      </c>
      <c r="E375" s="241" t="s">
        <v>3545</v>
      </c>
      <c r="F375" s="278">
        <v>413</v>
      </c>
      <c r="G375" s="278">
        <v>5324</v>
      </c>
      <c r="H375" s="278">
        <v>2030</v>
      </c>
      <c r="I375" s="278">
        <v>3236</v>
      </c>
      <c r="J375" s="278">
        <v>5136</v>
      </c>
      <c r="K375" s="278">
        <v>1911</v>
      </c>
      <c r="L375" s="278">
        <v>3167</v>
      </c>
      <c r="M375" s="278">
        <v>413</v>
      </c>
      <c r="N375" s="278">
        <v>5324</v>
      </c>
      <c r="O375" s="278">
        <v>2030</v>
      </c>
      <c r="P375" s="278">
        <v>3236</v>
      </c>
      <c r="Q375" s="278">
        <v>5136</v>
      </c>
      <c r="R375" s="278">
        <v>1911</v>
      </c>
      <c r="S375" s="278">
        <v>3167</v>
      </c>
    </row>
    <row r="376" spans="1:19">
      <c r="A376" s="241" t="s">
        <v>3159</v>
      </c>
      <c r="B376" s="241" t="s">
        <v>5303</v>
      </c>
      <c r="C376" s="241" t="s">
        <v>3172</v>
      </c>
      <c r="D376" s="241" t="s">
        <v>3537</v>
      </c>
      <c r="E376" s="241" t="s">
        <v>3546</v>
      </c>
      <c r="F376" s="278">
        <v>3717</v>
      </c>
      <c r="G376" s="278">
        <v>30447</v>
      </c>
      <c r="H376" s="278">
        <v>18234</v>
      </c>
      <c r="I376" s="278">
        <v>12210</v>
      </c>
      <c r="J376" s="278">
        <v>24899</v>
      </c>
      <c r="K376" s="278">
        <v>14219</v>
      </c>
      <c r="L376" s="278">
        <v>10677</v>
      </c>
      <c r="M376" s="278">
        <v>3717</v>
      </c>
      <c r="N376" s="278">
        <v>30447</v>
      </c>
      <c r="O376" s="278">
        <v>18234</v>
      </c>
      <c r="P376" s="278">
        <v>12210</v>
      </c>
      <c r="Q376" s="278">
        <v>24899</v>
      </c>
      <c r="R376" s="278">
        <v>14219</v>
      </c>
      <c r="S376" s="278">
        <v>10677</v>
      </c>
    </row>
    <row r="377" spans="1:19">
      <c r="A377" s="241" t="s">
        <v>3159</v>
      </c>
      <c r="B377" s="241" t="s">
        <v>5303</v>
      </c>
      <c r="C377" s="241" t="s">
        <v>3172</v>
      </c>
      <c r="D377" s="241" t="s">
        <v>3537</v>
      </c>
      <c r="E377" s="241" t="s">
        <v>3547</v>
      </c>
      <c r="F377" s="278">
        <v>8371</v>
      </c>
      <c r="G377" s="278">
        <v>96008</v>
      </c>
      <c r="H377" s="278">
        <v>43154</v>
      </c>
      <c r="I377" s="278">
        <v>52659</v>
      </c>
      <c r="J377" s="278">
        <v>83676</v>
      </c>
      <c r="K377" s="278">
        <v>35088</v>
      </c>
      <c r="L377" s="278">
        <v>48394</v>
      </c>
      <c r="M377" s="278">
        <v>8371</v>
      </c>
      <c r="N377" s="278">
        <v>96008</v>
      </c>
      <c r="O377" s="278">
        <v>43154</v>
      </c>
      <c r="P377" s="278">
        <v>52659</v>
      </c>
      <c r="Q377" s="278">
        <v>83676</v>
      </c>
      <c r="R377" s="278">
        <v>35088</v>
      </c>
      <c r="S377" s="278">
        <v>48394</v>
      </c>
    </row>
    <row r="378" spans="1:19">
      <c r="A378" s="241" t="s">
        <v>3159</v>
      </c>
      <c r="B378" s="241" t="s">
        <v>5303</v>
      </c>
      <c r="C378" s="241" t="s">
        <v>3172</v>
      </c>
      <c r="D378" s="241" t="s">
        <v>3537</v>
      </c>
      <c r="E378" s="241" t="s">
        <v>3548</v>
      </c>
      <c r="F378" s="278">
        <v>7621</v>
      </c>
      <c r="G378" s="278">
        <v>75192</v>
      </c>
      <c r="H378" s="278">
        <v>36368</v>
      </c>
      <c r="I378" s="278">
        <v>38637</v>
      </c>
      <c r="J378" s="278">
        <v>63979</v>
      </c>
      <c r="K378" s="278">
        <v>28789</v>
      </c>
      <c r="L378" s="278">
        <v>35016</v>
      </c>
      <c r="M378" s="278">
        <v>7621</v>
      </c>
      <c r="N378" s="278">
        <v>75192</v>
      </c>
      <c r="O378" s="278">
        <v>36368</v>
      </c>
      <c r="P378" s="278">
        <v>38637</v>
      </c>
      <c r="Q378" s="278">
        <v>63979</v>
      </c>
      <c r="R378" s="278">
        <v>28789</v>
      </c>
      <c r="S378" s="278">
        <v>35016</v>
      </c>
    </row>
    <row r="379" spans="1:19">
      <c r="A379" s="241" t="s">
        <v>3159</v>
      </c>
      <c r="B379" s="241" t="s">
        <v>5303</v>
      </c>
      <c r="C379" s="241" t="s">
        <v>3170</v>
      </c>
      <c r="D379" s="241" t="s">
        <v>3537</v>
      </c>
      <c r="E379" s="241" t="s">
        <v>3549</v>
      </c>
      <c r="F379" s="278">
        <v>64123</v>
      </c>
      <c r="G379" s="278">
        <v>746111</v>
      </c>
      <c r="H379" s="278">
        <v>463161</v>
      </c>
      <c r="I379" s="278">
        <v>281272</v>
      </c>
      <c r="J379" s="278">
        <v>642663</v>
      </c>
      <c r="K379" s="278">
        <v>391349</v>
      </c>
      <c r="L379" s="278">
        <v>249664</v>
      </c>
      <c r="M379" s="278">
        <v>64123</v>
      </c>
      <c r="N379" s="278">
        <v>746111</v>
      </c>
      <c r="O379" s="278">
        <v>463161</v>
      </c>
      <c r="P379" s="278">
        <v>281272</v>
      </c>
      <c r="Q379" s="278">
        <v>642663</v>
      </c>
      <c r="R379" s="278">
        <v>391349</v>
      </c>
      <c r="S379" s="278">
        <v>249664</v>
      </c>
    </row>
    <row r="380" spans="1:19">
      <c r="A380" s="241" t="s">
        <v>3159</v>
      </c>
      <c r="B380" s="241" t="s">
        <v>5303</v>
      </c>
      <c r="C380" s="241" t="s">
        <v>3172</v>
      </c>
      <c r="D380" s="241" t="s">
        <v>3537</v>
      </c>
      <c r="E380" s="241" t="s">
        <v>3550</v>
      </c>
      <c r="F380" s="278">
        <v>1465</v>
      </c>
      <c r="G380" s="278">
        <v>14870</v>
      </c>
      <c r="H380" s="278">
        <v>8934</v>
      </c>
      <c r="I380" s="278">
        <v>5936</v>
      </c>
      <c r="J380" s="278">
        <v>13854</v>
      </c>
      <c r="K380" s="278">
        <v>8331</v>
      </c>
      <c r="L380" s="278">
        <v>5523</v>
      </c>
      <c r="M380" s="278">
        <v>1465</v>
      </c>
      <c r="N380" s="278">
        <v>14870</v>
      </c>
      <c r="O380" s="278">
        <v>8934</v>
      </c>
      <c r="P380" s="278">
        <v>5936</v>
      </c>
      <c r="Q380" s="278">
        <v>13854</v>
      </c>
      <c r="R380" s="278">
        <v>8331</v>
      </c>
      <c r="S380" s="278">
        <v>5523</v>
      </c>
    </row>
    <row r="381" spans="1:19">
      <c r="A381" s="241" t="s">
        <v>3159</v>
      </c>
      <c r="B381" s="241" t="s">
        <v>5303</v>
      </c>
      <c r="C381" s="241" t="s">
        <v>3172</v>
      </c>
      <c r="D381" s="241" t="s">
        <v>3537</v>
      </c>
      <c r="E381" s="241" t="s">
        <v>3551</v>
      </c>
      <c r="F381" s="278">
        <v>30635</v>
      </c>
      <c r="G381" s="278">
        <v>342045</v>
      </c>
      <c r="H381" s="278">
        <v>218180</v>
      </c>
      <c r="I381" s="278">
        <v>123420</v>
      </c>
      <c r="J381" s="278">
        <v>282088</v>
      </c>
      <c r="K381" s="278">
        <v>175467</v>
      </c>
      <c r="L381" s="278">
        <v>106201</v>
      </c>
      <c r="M381" s="278">
        <v>30635</v>
      </c>
      <c r="N381" s="278">
        <v>342045</v>
      </c>
      <c r="O381" s="278">
        <v>218180</v>
      </c>
      <c r="P381" s="278">
        <v>123420</v>
      </c>
      <c r="Q381" s="278">
        <v>282088</v>
      </c>
      <c r="R381" s="278">
        <v>175467</v>
      </c>
      <c r="S381" s="278">
        <v>106201</v>
      </c>
    </row>
    <row r="382" spans="1:19">
      <c r="A382" s="241" t="s">
        <v>3159</v>
      </c>
      <c r="B382" s="241" t="s">
        <v>5303</v>
      </c>
      <c r="C382" s="241" t="s">
        <v>3432</v>
      </c>
      <c r="D382" s="241" t="s">
        <v>3537</v>
      </c>
      <c r="E382" s="241" t="s">
        <v>3552</v>
      </c>
      <c r="F382" s="278">
        <v>3420</v>
      </c>
      <c r="G382" s="278">
        <v>28709</v>
      </c>
      <c r="H382" s="278">
        <v>19107</v>
      </c>
      <c r="I382" s="278">
        <v>9598</v>
      </c>
      <c r="J382" s="278">
        <v>21745</v>
      </c>
      <c r="K382" s="278">
        <v>13981</v>
      </c>
      <c r="L382" s="278">
        <v>7760</v>
      </c>
      <c r="M382" s="278">
        <v>3420</v>
      </c>
      <c r="N382" s="278">
        <v>28709</v>
      </c>
      <c r="O382" s="278">
        <v>19107</v>
      </c>
      <c r="P382" s="278">
        <v>9598</v>
      </c>
      <c r="Q382" s="278">
        <v>21745</v>
      </c>
      <c r="R382" s="278">
        <v>13981</v>
      </c>
      <c r="S382" s="278">
        <v>7760</v>
      </c>
    </row>
    <row r="383" spans="1:19">
      <c r="A383" s="241" t="s">
        <v>3159</v>
      </c>
      <c r="B383" s="241" t="s">
        <v>5303</v>
      </c>
      <c r="C383" s="241" t="s">
        <v>3432</v>
      </c>
      <c r="D383" s="241" t="s">
        <v>3537</v>
      </c>
      <c r="E383" s="241" t="s">
        <v>3553</v>
      </c>
      <c r="F383" s="278">
        <v>9671</v>
      </c>
      <c r="G383" s="278">
        <v>133968</v>
      </c>
      <c r="H383" s="278">
        <v>80665</v>
      </c>
      <c r="I383" s="278">
        <v>52928</v>
      </c>
      <c r="J383" s="278">
        <v>112639</v>
      </c>
      <c r="K383" s="278">
        <v>65751</v>
      </c>
      <c r="L383" s="278">
        <v>46530</v>
      </c>
      <c r="M383" s="278">
        <v>9671</v>
      </c>
      <c r="N383" s="278">
        <v>133968</v>
      </c>
      <c r="O383" s="278">
        <v>80665</v>
      </c>
      <c r="P383" s="278">
        <v>52928</v>
      </c>
      <c r="Q383" s="278">
        <v>112639</v>
      </c>
      <c r="R383" s="278">
        <v>65751</v>
      </c>
      <c r="S383" s="278">
        <v>46530</v>
      </c>
    </row>
    <row r="384" spans="1:19">
      <c r="A384" s="241" t="s">
        <v>3159</v>
      </c>
      <c r="B384" s="241" t="s">
        <v>5303</v>
      </c>
      <c r="C384" s="241" t="s">
        <v>3432</v>
      </c>
      <c r="D384" s="241" t="s">
        <v>3537</v>
      </c>
      <c r="E384" s="241" t="s">
        <v>3554</v>
      </c>
      <c r="F384" s="278">
        <v>5922</v>
      </c>
      <c r="G384" s="278">
        <v>66072</v>
      </c>
      <c r="H384" s="278">
        <v>42837</v>
      </c>
      <c r="I384" s="278">
        <v>23190</v>
      </c>
      <c r="J384" s="278">
        <v>56274</v>
      </c>
      <c r="K384" s="278">
        <v>36024</v>
      </c>
      <c r="L384" s="278">
        <v>20211</v>
      </c>
      <c r="M384" s="278">
        <v>5922</v>
      </c>
      <c r="N384" s="278">
        <v>66072</v>
      </c>
      <c r="O384" s="278">
        <v>42837</v>
      </c>
      <c r="P384" s="278">
        <v>23190</v>
      </c>
      <c r="Q384" s="278">
        <v>56274</v>
      </c>
      <c r="R384" s="278">
        <v>36024</v>
      </c>
      <c r="S384" s="278">
        <v>20211</v>
      </c>
    </row>
    <row r="385" spans="1:19">
      <c r="A385" s="241" t="s">
        <v>3159</v>
      </c>
      <c r="B385" s="241" t="s">
        <v>5303</v>
      </c>
      <c r="C385" s="241" t="s">
        <v>3432</v>
      </c>
      <c r="D385" s="241" t="s">
        <v>3537</v>
      </c>
      <c r="E385" s="241" t="s">
        <v>3555</v>
      </c>
      <c r="F385" s="278">
        <v>9071</v>
      </c>
      <c r="G385" s="278">
        <v>85074</v>
      </c>
      <c r="H385" s="278">
        <v>59176</v>
      </c>
      <c r="I385" s="278">
        <v>25883</v>
      </c>
      <c r="J385" s="278">
        <v>67830</v>
      </c>
      <c r="K385" s="278">
        <v>46618</v>
      </c>
      <c r="L385" s="278">
        <v>21198</v>
      </c>
      <c r="M385" s="278">
        <v>9071</v>
      </c>
      <c r="N385" s="278">
        <v>85074</v>
      </c>
      <c r="O385" s="278">
        <v>59176</v>
      </c>
      <c r="P385" s="278">
        <v>25883</v>
      </c>
      <c r="Q385" s="278">
        <v>67830</v>
      </c>
      <c r="R385" s="278">
        <v>46618</v>
      </c>
      <c r="S385" s="278">
        <v>21198</v>
      </c>
    </row>
    <row r="386" spans="1:19">
      <c r="A386" s="241" t="s">
        <v>3159</v>
      </c>
      <c r="B386" s="241" t="s">
        <v>5303</v>
      </c>
      <c r="C386" s="241" t="s">
        <v>3432</v>
      </c>
      <c r="D386" s="241" t="s">
        <v>3537</v>
      </c>
      <c r="E386" s="241" t="s">
        <v>3556</v>
      </c>
      <c r="F386" s="278">
        <v>2551</v>
      </c>
      <c r="G386" s="278">
        <v>28222</v>
      </c>
      <c r="H386" s="278">
        <v>16395</v>
      </c>
      <c r="I386" s="278">
        <v>11821</v>
      </c>
      <c r="J386" s="278">
        <v>23600</v>
      </c>
      <c r="K386" s="278">
        <v>13093</v>
      </c>
      <c r="L386" s="278">
        <v>10502</v>
      </c>
      <c r="M386" s="278">
        <v>2551</v>
      </c>
      <c r="N386" s="278">
        <v>28222</v>
      </c>
      <c r="O386" s="278">
        <v>16395</v>
      </c>
      <c r="P386" s="278">
        <v>11821</v>
      </c>
      <c r="Q386" s="278">
        <v>23600</v>
      </c>
      <c r="R386" s="278">
        <v>13093</v>
      </c>
      <c r="S386" s="278">
        <v>10502</v>
      </c>
    </row>
    <row r="387" spans="1:19">
      <c r="A387" s="241" t="s">
        <v>3159</v>
      </c>
      <c r="B387" s="241" t="s">
        <v>5303</v>
      </c>
      <c r="C387" s="241" t="s">
        <v>3172</v>
      </c>
      <c r="D387" s="241" t="s">
        <v>3537</v>
      </c>
      <c r="E387" s="241" t="s">
        <v>3557</v>
      </c>
      <c r="F387" s="278">
        <v>32023</v>
      </c>
      <c r="G387" s="278">
        <v>389196</v>
      </c>
      <c r="H387" s="278">
        <v>236047</v>
      </c>
      <c r="I387" s="278">
        <v>151916</v>
      </c>
      <c r="J387" s="278">
        <v>346721</v>
      </c>
      <c r="K387" s="278">
        <v>207551</v>
      </c>
      <c r="L387" s="278">
        <v>137940</v>
      </c>
      <c r="M387" s="278">
        <v>32023</v>
      </c>
      <c r="N387" s="278">
        <v>389196</v>
      </c>
      <c r="O387" s="278">
        <v>236047</v>
      </c>
      <c r="P387" s="278">
        <v>151916</v>
      </c>
      <c r="Q387" s="278">
        <v>346721</v>
      </c>
      <c r="R387" s="278">
        <v>207551</v>
      </c>
      <c r="S387" s="278">
        <v>137940</v>
      </c>
    </row>
    <row r="388" spans="1:19">
      <c r="A388" s="241" t="s">
        <v>3159</v>
      </c>
      <c r="B388" s="241" t="s">
        <v>5303</v>
      </c>
      <c r="C388" s="241" t="s">
        <v>3170</v>
      </c>
      <c r="D388" s="241" t="s">
        <v>3537</v>
      </c>
      <c r="E388" s="241" t="s">
        <v>3558</v>
      </c>
      <c r="F388" s="278">
        <v>82709</v>
      </c>
      <c r="G388" s="278">
        <v>762946</v>
      </c>
      <c r="H388" s="278">
        <v>551317</v>
      </c>
      <c r="I388" s="278">
        <v>209899</v>
      </c>
      <c r="J388" s="278">
        <v>654186</v>
      </c>
      <c r="K388" s="278">
        <v>469666</v>
      </c>
      <c r="L388" s="278">
        <v>182838</v>
      </c>
      <c r="M388" s="278">
        <v>82708</v>
      </c>
      <c r="N388" s="278">
        <v>762935</v>
      </c>
      <c r="O388" s="278">
        <v>551310</v>
      </c>
      <c r="P388" s="278">
        <v>209895</v>
      </c>
      <c r="Q388" s="278">
        <v>654175</v>
      </c>
      <c r="R388" s="278">
        <v>469659</v>
      </c>
      <c r="S388" s="278">
        <v>182834</v>
      </c>
    </row>
    <row r="389" spans="1:19">
      <c r="A389" s="241" t="s">
        <v>3159</v>
      </c>
      <c r="B389" s="241" t="s">
        <v>5303</v>
      </c>
      <c r="C389" s="241" t="s">
        <v>3172</v>
      </c>
      <c r="D389" s="241" t="s">
        <v>3537</v>
      </c>
      <c r="E389" s="241" t="s">
        <v>3559</v>
      </c>
      <c r="F389" s="278">
        <v>1422</v>
      </c>
      <c r="G389" s="278">
        <v>10416</v>
      </c>
      <c r="H389" s="278">
        <v>7788</v>
      </c>
      <c r="I389" s="278">
        <v>2614</v>
      </c>
      <c r="J389" s="278">
        <v>9386</v>
      </c>
      <c r="K389" s="278">
        <v>6974</v>
      </c>
      <c r="L389" s="278">
        <v>2399</v>
      </c>
      <c r="M389" s="278">
        <v>1422</v>
      </c>
      <c r="N389" s="278">
        <v>10416</v>
      </c>
      <c r="O389" s="278">
        <v>7788</v>
      </c>
      <c r="P389" s="278">
        <v>2614</v>
      </c>
      <c r="Q389" s="278">
        <v>9386</v>
      </c>
      <c r="R389" s="278">
        <v>6974</v>
      </c>
      <c r="S389" s="278">
        <v>2399</v>
      </c>
    </row>
    <row r="390" spans="1:19">
      <c r="A390" s="241" t="s">
        <v>3159</v>
      </c>
      <c r="B390" s="241" t="s">
        <v>5303</v>
      </c>
      <c r="C390" s="241" t="s">
        <v>3172</v>
      </c>
      <c r="D390" s="241" t="s">
        <v>3537</v>
      </c>
      <c r="E390" s="241" t="s">
        <v>3560</v>
      </c>
      <c r="F390" s="278">
        <v>34027</v>
      </c>
      <c r="G390" s="278">
        <v>266654</v>
      </c>
      <c r="H390" s="278">
        <v>192241</v>
      </c>
      <c r="I390" s="278">
        <v>73867</v>
      </c>
      <c r="J390" s="278">
        <v>222240</v>
      </c>
      <c r="K390" s="278">
        <v>158847</v>
      </c>
      <c r="L390" s="278">
        <v>62867</v>
      </c>
      <c r="M390" s="278">
        <v>34027</v>
      </c>
      <c r="N390" s="278">
        <v>266654</v>
      </c>
      <c r="O390" s="278">
        <v>192241</v>
      </c>
      <c r="P390" s="278">
        <v>73867</v>
      </c>
      <c r="Q390" s="278">
        <v>222240</v>
      </c>
      <c r="R390" s="278">
        <v>158847</v>
      </c>
      <c r="S390" s="278">
        <v>62867</v>
      </c>
    </row>
    <row r="391" spans="1:19">
      <c r="A391" s="241" t="s">
        <v>3159</v>
      </c>
      <c r="B391" s="241" t="s">
        <v>5303</v>
      </c>
      <c r="C391" s="241" t="s">
        <v>3172</v>
      </c>
      <c r="D391" s="241" t="s">
        <v>3537</v>
      </c>
      <c r="E391" s="241" t="s">
        <v>3561</v>
      </c>
      <c r="F391" s="278">
        <v>17852</v>
      </c>
      <c r="G391" s="278">
        <v>192164</v>
      </c>
      <c r="H391" s="278">
        <v>135641</v>
      </c>
      <c r="I391" s="278">
        <v>55836</v>
      </c>
      <c r="J391" s="278">
        <v>169859</v>
      </c>
      <c r="K391" s="278">
        <v>118724</v>
      </c>
      <c r="L391" s="278">
        <v>50453</v>
      </c>
      <c r="M391" s="278">
        <v>17852</v>
      </c>
      <c r="N391" s="278">
        <v>192164</v>
      </c>
      <c r="O391" s="278">
        <v>135641</v>
      </c>
      <c r="P391" s="278">
        <v>55836</v>
      </c>
      <c r="Q391" s="278">
        <v>169859</v>
      </c>
      <c r="R391" s="278">
        <v>118724</v>
      </c>
      <c r="S391" s="278">
        <v>50453</v>
      </c>
    </row>
    <row r="392" spans="1:19">
      <c r="A392" s="241" t="s">
        <v>3159</v>
      </c>
      <c r="B392" s="241" t="s">
        <v>5303</v>
      </c>
      <c r="C392" s="241" t="s">
        <v>3172</v>
      </c>
      <c r="D392" s="241" t="s">
        <v>3537</v>
      </c>
      <c r="E392" s="241" t="s">
        <v>3562</v>
      </c>
      <c r="F392" s="278">
        <v>5804</v>
      </c>
      <c r="G392" s="278">
        <v>68765</v>
      </c>
      <c r="H392" s="278">
        <v>52044</v>
      </c>
      <c r="I392" s="278">
        <v>16710</v>
      </c>
      <c r="J392" s="278">
        <v>61269</v>
      </c>
      <c r="K392" s="278">
        <v>46115</v>
      </c>
      <c r="L392" s="278">
        <v>15143</v>
      </c>
      <c r="M392" s="278">
        <v>5804</v>
      </c>
      <c r="N392" s="278">
        <v>68765</v>
      </c>
      <c r="O392" s="278">
        <v>52044</v>
      </c>
      <c r="P392" s="278">
        <v>16710</v>
      </c>
      <c r="Q392" s="278">
        <v>61269</v>
      </c>
      <c r="R392" s="278">
        <v>46115</v>
      </c>
      <c r="S392" s="278">
        <v>15143</v>
      </c>
    </row>
    <row r="393" spans="1:19">
      <c r="A393" s="241" t="s">
        <v>3159</v>
      </c>
      <c r="B393" s="241" t="s">
        <v>5303</v>
      </c>
      <c r="C393" s="241" t="s">
        <v>3172</v>
      </c>
      <c r="D393" s="241" t="s">
        <v>3537</v>
      </c>
      <c r="E393" s="241" t="s">
        <v>3563</v>
      </c>
      <c r="F393" s="278">
        <v>8566</v>
      </c>
      <c r="G393" s="278">
        <v>100372</v>
      </c>
      <c r="H393" s="278">
        <v>71695</v>
      </c>
      <c r="I393" s="278">
        <v>28385</v>
      </c>
      <c r="J393" s="278">
        <v>89121</v>
      </c>
      <c r="K393" s="278">
        <v>63226</v>
      </c>
      <c r="L393" s="278">
        <v>25621</v>
      </c>
      <c r="M393" s="278">
        <v>8566</v>
      </c>
      <c r="N393" s="278">
        <v>100372</v>
      </c>
      <c r="O393" s="278">
        <v>71695</v>
      </c>
      <c r="P393" s="278">
        <v>28385</v>
      </c>
      <c r="Q393" s="278">
        <v>89121</v>
      </c>
      <c r="R393" s="278">
        <v>63226</v>
      </c>
      <c r="S393" s="278">
        <v>25621</v>
      </c>
    </row>
    <row r="394" spans="1:19">
      <c r="A394" s="241" t="s">
        <v>3159</v>
      </c>
      <c r="B394" s="241" t="s">
        <v>5303</v>
      </c>
      <c r="C394" s="241" t="s">
        <v>3172</v>
      </c>
      <c r="D394" s="241" t="s">
        <v>3537</v>
      </c>
      <c r="E394" s="241" t="s">
        <v>3564</v>
      </c>
      <c r="F394" s="278">
        <v>4421</v>
      </c>
      <c r="G394" s="278">
        <v>37917</v>
      </c>
      <c r="H394" s="278">
        <v>24774</v>
      </c>
      <c r="I394" s="278">
        <v>13109</v>
      </c>
      <c r="J394" s="278">
        <v>32820</v>
      </c>
      <c r="K394" s="278">
        <v>21161</v>
      </c>
      <c r="L394" s="278">
        <v>11625</v>
      </c>
      <c r="M394" s="278">
        <v>4421</v>
      </c>
      <c r="N394" s="278">
        <v>37917</v>
      </c>
      <c r="O394" s="278">
        <v>24774</v>
      </c>
      <c r="P394" s="278">
        <v>13109</v>
      </c>
      <c r="Q394" s="278">
        <v>32820</v>
      </c>
      <c r="R394" s="278">
        <v>21161</v>
      </c>
      <c r="S394" s="278">
        <v>11625</v>
      </c>
    </row>
    <row r="395" spans="1:19">
      <c r="A395" s="241" t="s">
        <v>3159</v>
      </c>
      <c r="B395" s="241" t="s">
        <v>5303</v>
      </c>
      <c r="C395" s="241" t="s">
        <v>3172</v>
      </c>
      <c r="D395" s="241" t="s">
        <v>3537</v>
      </c>
      <c r="E395" s="241" t="s">
        <v>3565</v>
      </c>
      <c r="F395" s="278">
        <v>10617</v>
      </c>
      <c r="G395" s="278">
        <v>86658</v>
      </c>
      <c r="H395" s="278">
        <v>67134</v>
      </c>
      <c r="I395" s="278">
        <v>19378</v>
      </c>
      <c r="J395" s="278">
        <v>69491</v>
      </c>
      <c r="K395" s="278">
        <v>54619</v>
      </c>
      <c r="L395" s="278">
        <v>14730</v>
      </c>
      <c r="M395" s="278">
        <v>10616</v>
      </c>
      <c r="N395" s="278">
        <v>86647</v>
      </c>
      <c r="O395" s="278">
        <v>67127</v>
      </c>
      <c r="P395" s="278">
        <v>19374</v>
      </c>
      <c r="Q395" s="278">
        <v>69480</v>
      </c>
      <c r="R395" s="278">
        <v>54612</v>
      </c>
      <c r="S395" s="278">
        <v>14726</v>
      </c>
    </row>
    <row r="396" spans="1:19">
      <c r="A396" s="241" t="s">
        <v>3159</v>
      </c>
      <c r="B396" s="241" t="s">
        <v>5303</v>
      </c>
      <c r="C396" s="241" t="s">
        <v>3170</v>
      </c>
      <c r="D396" s="241" t="s">
        <v>3537</v>
      </c>
      <c r="E396" s="241" t="s">
        <v>3566</v>
      </c>
      <c r="F396" s="278">
        <v>98363</v>
      </c>
      <c r="G396" s="278">
        <v>1252891</v>
      </c>
      <c r="H396" s="278">
        <v>939306</v>
      </c>
      <c r="I396" s="278">
        <v>305135</v>
      </c>
      <c r="J396" s="278">
        <v>1154432</v>
      </c>
      <c r="K396" s="278">
        <v>863724</v>
      </c>
      <c r="L396" s="278">
        <v>282301</v>
      </c>
      <c r="M396" s="278">
        <v>98363</v>
      </c>
      <c r="N396" s="278">
        <v>1252891</v>
      </c>
      <c r="O396" s="278">
        <v>939306</v>
      </c>
      <c r="P396" s="278">
        <v>305135</v>
      </c>
      <c r="Q396" s="278">
        <v>1154432</v>
      </c>
      <c r="R396" s="278">
        <v>863724</v>
      </c>
      <c r="S396" s="278">
        <v>282301</v>
      </c>
    </row>
    <row r="397" spans="1:19">
      <c r="A397" s="241" t="s">
        <v>3159</v>
      </c>
      <c r="B397" s="241" t="s">
        <v>5303</v>
      </c>
      <c r="C397" s="241" t="s">
        <v>3172</v>
      </c>
      <c r="D397" s="241" t="s">
        <v>3537</v>
      </c>
      <c r="E397" s="241" t="s">
        <v>3567</v>
      </c>
      <c r="F397" s="278">
        <v>1830</v>
      </c>
      <c r="G397" s="278">
        <v>41678</v>
      </c>
      <c r="H397" s="278">
        <v>28258</v>
      </c>
      <c r="I397" s="278">
        <v>13400</v>
      </c>
      <c r="J397" s="278">
        <v>40349</v>
      </c>
      <c r="K397" s="278">
        <v>27194</v>
      </c>
      <c r="L397" s="278">
        <v>13137</v>
      </c>
      <c r="M397" s="278">
        <v>1830</v>
      </c>
      <c r="N397" s="278">
        <v>41678</v>
      </c>
      <c r="O397" s="278">
        <v>28258</v>
      </c>
      <c r="P397" s="278">
        <v>13400</v>
      </c>
      <c r="Q397" s="278">
        <v>40349</v>
      </c>
      <c r="R397" s="278">
        <v>27194</v>
      </c>
      <c r="S397" s="278">
        <v>13137</v>
      </c>
    </row>
    <row r="398" spans="1:19">
      <c r="A398" s="241" t="s">
        <v>3159</v>
      </c>
      <c r="B398" s="241" t="s">
        <v>5303</v>
      </c>
      <c r="C398" s="241" t="s">
        <v>3172</v>
      </c>
      <c r="D398" s="241" t="s">
        <v>3537</v>
      </c>
      <c r="E398" s="241" t="s">
        <v>3568</v>
      </c>
      <c r="F398" s="278">
        <v>38783</v>
      </c>
      <c r="G398" s="278">
        <v>404926</v>
      </c>
      <c r="H398" s="278">
        <v>307678</v>
      </c>
      <c r="I398" s="278">
        <v>96262</v>
      </c>
      <c r="J398" s="278">
        <v>365513</v>
      </c>
      <c r="K398" s="278">
        <v>277703</v>
      </c>
      <c r="L398" s="278">
        <v>86829</v>
      </c>
      <c r="M398" s="278">
        <v>38783</v>
      </c>
      <c r="N398" s="278">
        <v>404926</v>
      </c>
      <c r="O398" s="278">
        <v>307678</v>
      </c>
      <c r="P398" s="278">
        <v>96262</v>
      </c>
      <c r="Q398" s="278">
        <v>365513</v>
      </c>
      <c r="R398" s="278">
        <v>277703</v>
      </c>
      <c r="S398" s="278">
        <v>86829</v>
      </c>
    </row>
    <row r="399" spans="1:19">
      <c r="A399" s="241" t="s">
        <v>3159</v>
      </c>
      <c r="B399" s="241" t="s">
        <v>5303</v>
      </c>
      <c r="C399" s="241" t="s">
        <v>3172</v>
      </c>
      <c r="D399" s="241" t="s">
        <v>3537</v>
      </c>
      <c r="E399" s="241" t="s">
        <v>3569</v>
      </c>
      <c r="F399" s="278">
        <v>18142</v>
      </c>
      <c r="G399" s="278">
        <v>220759</v>
      </c>
      <c r="H399" s="278">
        <v>172822</v>
      </c>
      <c r="I399" s="278">
        <v>45826</v>
      </c>
      <c r="J399" s="278">
        <v>201068</v>
      </c>
      <c r="K399" s="278">
        <v>157801</v>
      </c>
      <c r="L399" s="278">
        <v>41169</v>
      </c>
      <c r="M399" s="278">
        <v>18142</v>
      </c>
      <c r="N399" s="278">
        <v>220759</v>
      </c>
      <c r="O399" s="278">
        <v>172822</v>
      </c>
      <c r="P399" s="278">
        <v>45826</v>
      </c>
      <c r="Q399" s="278">
        <v>201068</v>
      </c>
      <c r="R399" s="278">
        <v>157801</v>
      </c>
      <c r="S399" s="278">
        <v>41169</v>
      </c>
    </row>
    <row r="400" spans="1:19">
      <c r="A400" s="241" t="s">
        <v>3159</v>
      </c>
      <c r="B400" s="241" t="s">
        <v>5303</v>
      </c>
      <c r="C400" s="241" t="s">
        <v>3172</v>
      </c>
      <c r="D400" s="241" t="s">
        <v>3537</v>
      </c>
      <c r="E400" s="241" t="s">
        <v>3570</v>
      </c>
      <c r="F400" s="278">
        <v>25090</v>
      </c>
      <c r="G400" s="278">
        <v>399213</v>
      </c>
      <c r="H400" s="278">
        <v>296827</v>
      </c>
      <c r="I400" s="278">
        <v>99508</v>
      </c>
      <c r="J400" s="278">
        <v>374824</v>
      </c>
      <c r="K400" s="278">
        <v>277545</v>
      </c>
      <c r="L400" s="278">
        <v>94407</v>
      </c>
      <c r="M400" s="278">
        <v>25090</v>
      </c>
      <c r="N400" s="278">
        <v>399213</v>
      </c>
      <c r="O400" s="278">
        <v>296827</v>
      </c>
      <c r="P400" s="278">
        <v>99508</v>
      </c>
      <c r="Q400" s="278">
        <v>374824</v>
      </c>
      <c r="R400" s="278">
        <v>277545</v>
      </c>
      <c r="S400" s="278">
        <v>94407</v>
      </c>
    </row>
    <row r="401" spans="1:19">
      <c r="A401" s="241" t="s">
        <v>3159</v>
      </c>
      <c r="B401" s="241" t="s">
        <v>5303</v>
      </c>
      <c r="C401" s="241" t="s">
        <v>3172</v>
      </c>
      <c r="D401" s="241" t="s">
        <v>3537</v>
      </c>
      <c r="E401" s="241" t="s">
        <v>3571</v>
      </c>
      <c r="F401" s="278">
        <v>14518</v>
      </c>
      <c r="G401" s="278">
        <v>186315</v>
      </c>
      <c r="H401" s="278">
        <v>133721</v>
      </c>
      <c r="I401" s="278">
        <v>50139</v>
      </c>
      <c r="J401" s="278">
        <v>172678</v>
      </c>
      <c r="K401" s="278">
        <v>123481</v>
      </c>
      <c r="L401" s="278">
        <v>46759</v>
      </c>
      <c r="M401" s="278">
        <v>14518</v>
      </c>
      <c r="N401" s="278">
        <v>186315</v>
      </c>
      <c r="O401" s="278">
        <v>133721</v>
      </c>
      <c r="P401" s="278">
        <v>50139</v>
      </c>
      <c r="Q401" s="278">
        <v>172678</v>
      </c>
      <c r="R401" s="278">
        <v>123481</v>
      </c>
      <c r="S401" s="278">
        <v>46759</v>
      </c>
    </row>
    <row r="402" spans="1:19">
      <c r="A402" s="241" t="s">
        <v>3159</v>
      </c>
      <c r="B402" s="241" t="s">
        <v>5303</v>
      </c>
      <c r="C402" s="241" t="s">
        <v>3170</v>
      </c>
      <c r="D402" s="241" t="s">
        <v>3537</v>
      </c>
      <c r="E402" s="241" t="s">
        <v>3572</v>
      </c>
      <c r="F402" s="278">
        <v>81695</v>
      </c>
      <c r="G402" s="278">
        <v>886852</v>
      </c>
      <c r="H402" s="278">
        <v>514753</v>
      </c>
      <c r="I402" s="278">
        <v>364082</v>
      </c>
      <c r="J402" s="278">
        <v>781742</v>
      </c>
      <c r="K402" s="278">
        <v>443587</v>
      </c>
      <c r="L402" s="278">
        <v>330323</v>
      </c>
      <c r="M402" s="278">
        <v>81695</v>
      </c>
      <c r="N402" s="278">
        <v>886852</v>
      </c>
      <c r="O402" s="278">
        <v>514753</v>
      </c>
      <c r="P402" s="278">
        <v>364082</v>
      </c>
      <c r="Q402" s="278">
        <v>781742</v>
      </c>
      <c r="R402" s="278">
        <v>443587</v>
      </c>
      <c r="S402" s="278">
        <v>330323</v>
      </c>
    </row>
    <row r="403" spans="1:19">
      <c r="A403" s="241" t="s">
        <v>3159</v>
      </c>
      <c r="B403" s="241" t="s">
        <v>5303</v>
      </c>
      <c r="C403" s="241" t="s">
        <v>3172</v>
      </c>
      <c r="D403" s="241" t="s">
        <v>3537</v>
      </c>
      <c r="E403" s="241" t="s">
        <v>3573</v>
      </c>
      <c r="F403" s="278">
        <v>1534</v>
      </c>
      <c r="G403" s="278">
        <v>34440</v>
      </c>
      <c r="H403" s="278">
        <v>16544</v>
      </c>
      <c r="I403" s="278">
        <v>17870</v>
      </c>
      <c r="J403" s="278">
        <v>33105</v>
      </c>
      <c r="K403" s="278">
        <v>15730</v>
      </c>
      <c r="L403" s="278">
        <v>17349</v>
      </c>
      <c r="M403" s="278">
        <v>1534</v>
      </c>
      <c r="N403" s="278">
        <v>34440</v>
      </c>
      <c r="O403" s="278">
        <v>16544</v>
      </c>
      <c r="P403" s="278">
        <v>17870</v>
      </c>
      <c r="Q403" s="278">
        <v>33105</v>
      </c>
      <c r="R403" s="278">
        <v>15730</v>
      </c>
      <c r="S403" s="278">
        <v>17349</v>
      </c>
    </row>
    <row r="404" spans="1:19">
      <c r="A404" s="241" t="s">
        <v>3159</v>
      </c>
      <c r="B404" s="241" t="s">
        <v>5303</v>
      </c>
      <c r="C404" s="241" t="s">
        <v>3172</v>
      </c>
      <c r="D404" s="241" t="s">
        <v>3537</v>
      </c>
      <c r="E404" s="241" t="s">
        <v>3574</v>
      </c>
      <c r="F404" s="278">
        <v>11527</v>
      </c>
      <c r="G404" s="278">
        <v>108338</v>
      </c>
      <c r="H404" s="278">
        <v>66847</v>
      </c>
      <c r="I404" s="278">
        <v>41433</v>
      </c>
      <c r="J404" s="278">
        <v>94289</v>
      </c>
      <c r="K404" s="278">
        <v>56923</v>
      </c>
      <c r="L404" s="278">
        <v>37312</v>
      </c>
      <c r="M404" s="278">
        <v>11527</v>
      </c>
      <c r="N404" s="278">
        <v>108338</v>
      </c>
      <c r="O404" s="278">
        <v>66847</v>
      </c>
      <c r="P404" s="278">
        <v>41433</v>
      </c>
      <c r="Q404" s="278">
        <v>94289</v>
      </c>
      <c r="R404" s="278">
        <v>56923</v>
      </c>
      <c r="S404" s="278">
        <v>37312</v>
      </c>
    </row>
    <row r="405" spans="1:19">
      <c r="A405" s="241" t="s">
        <v>3159</v>
      </c>
      <c r="B405" s="241" t="s">
        <v>5303</v>
      </c>
      <c r="C405" s="241" t="s">
        <v>3172</v>
      </c>
      <c r="D405" s="241" t="s">
        <v>3537</v>
      </c>
      <c r="E405" s="241" t="s">
        <v>3575</v>
      </c>
      <c r="F405" s="278">
        <v>16980</v>
      </c>
      <c r="G405" s="278">
        <v>290762</v>
      </c>
      <c r="H405" s="278">
        <v>156800</v>
      </c>
      <c r="I405" s="278">
        <v>127947</v>
      </c>
      <c r="J405" s="278">
        <v>270832</v>
      </c>
      <c r="K405" s="278">
        <v>145304</v>
      </c>
      <c r="L405" s="278">
        <v>119663</v>
      </c>
      <c r="M405" s="278">
        <v>16980</v>
      </c>
      <c r="N405" s="278">
        <v>290762</v>
      </c>
      <c r="O405" s="278">
        <v>156800</v>
      </c>
      <c r="P405" s="278">
        <v>127947</v>
      </c>
      <c r="Q405" s="278">
        <v>270832</v>
      </c>
      <c r="R405" s="278">
        <v>145304</v>
      </c>
      <c r="S405" s="278">
        <v>119663</v>
      </c>
    </row>
    <row r="406" spans="1:19">
      <c r="A406" s="241" t="s">
        <v>3159</v>
      </c>
      <c r="B406" s="241" t="s">
        <v>5303</v>
      </c>
      <c r="C406" s="241" t="s">
        <v>3172</v>
      </c>
      <c r="D406" s="241" t="s">
        <v>3537</v>
      </c>
      <c r="E406" s="241" t="s">
        <v>3576</v>
      </c>
      <c r="F406" s="278">
        <v>6065</v>
      </c>
      <c r="G406" s="278">
        <v>60086</v>
      </c>
      <c r="H406" s="278">
        <v>38782</v>
      </c>
      <c r="I406" s="278">
        <v>21220</v>
      </c>
      <c r="J406" s="278">
        <v>51794</v>
      </c>
      <c r="K406" s="278">
        <v>32860</v>
      </c>
      <c r="L406" s="278">
        <v>18868</v>
      </c>
      <c r="M406" s="278">
        <v>6065</v>
      </c>
      <c r="N406" s="278">
        <v>60086</v>
      </c>
      <c r="O406" s="278">
        <v>38782</v>
      </c>
      <c r="P406" s="278">
        <v>21220</v>
      </c>
      <c r="Q406" s="278">
        <v>51794</v>
      </c>
      <c r="R406" s="278">
        <v>32860</v>
      </c>
      <c r="S406" s="278">
        <v>18868</v>
      </c>
    </row>
    <row r="407" spans="1:19">
      <c r="A407" s="241" t="s">
        <v>3159</v>
      </c>
      <c r="B407" s="241" t="s">
        <v>5303</v>
      </c>
      <c r="C407" s="241" t="s">
        <v>3172</v>
      </c>
      <c r="D407" s="241" t="s">
        <v>3537</v>
      </c>
      <c r="E407" s="241" t="s">
        <v>3577</v>
      </c>
      <c r="F407" s="278">
        <v>45589</v>
      </c>
      <c r="G407" s="278">
        <v>393226</v>
      </c>
      <c r="H407" s="278">
        <v>235780</v>
      </c>
      <c r="I407" s="278">
        <v>155612</v>
      </c>
      <c r="J407" s="278">
        <v>331722</v>
      </c>
      <c r="K407" s="278">
        <v>192770</v>
      </c>
      <c r="L407" s="278">
        <v>137131</v>
      </c>
      <c r="M407" s="278">
        <v>45589</v>
      </c>
      <c r="N407" s="278">
        <v>393226</v>
      </c>
      <c r="O407" s="278">
        <v>235780</v>
      </c>
      <c r="P407" s="278">
        <v>155612</v>
      </c>
      <c r="Q407" s="278">
        <v>331722</v>
      </c>
      <c r="R407" s="278">
        <v>192770</v>
      </c>
      <c r="S407" s="278">
        <v>137131</v>
      </c>
    </row>
    <row r="408" spans="1:19">
      <c r="A408" s="241" t="s">
        <v>3159</v>
      </c>
      <c r="B408" s="241" t="s">
        <v>5303</v>
      </c>
      <c r="C408" s="241" t="s">
        <v>3432</v>
      </c>
      <c r="D408" s="241" t="s">
        <v>3537</v>
      </c>
      <c r="E408" s="241" t="s">
        <v>3578</v>
      </c>
      <c r="F408" s="278">
        <v>3321</v>
      </c>
      <c r="G408" s="278">
        <v>20572</v>
      </c>
      <c r="H408" s="278">
        <v>12591</v>
      </c>
      <c r="I408" s="278">
        <v>7943</v>
      </c>
      <c r="J408" s="278">
        <v>15684</v>
      </c>
      <c r="K408" s="278">
        <v>8966</v>
      </c>
      <c r="L408" s="278">
        <v>6680</v>
      </c>
      <c r="M408" s="278">
        <v>3321</v>
      </c>
      <c r="N408" s="278">
        <v>20572</v>
      </c>
      <c r="O408" s="278">
        <v>12591</v>
      </c>
      <c r="P408" s="278">
        <v>7943</v>
      </c>
      <c r="Q408" s="278">
        <v>15684</v>
      </c>
      <c r="R408" s="278">
        <v>8966</v>
      </c>
      <c r="S408" s="278">
        <v>6680</v>
      </c>
    </row>
    <row r="409" spans="1:19">
      <c r="A409" s="241" t="s">
        <v>3159</v>
      </c>
      <c r="B409" s="241" t="s">
        <v>5303</v>
      </c>
      <c r="C409" s="241" t="s">
        <v>3432</v>
      </c>
      <c r="D409" s="241" t="s">
        <v>3537</v>
      </c>
      <c r="E409" s="241" t="s">
        <v>3579</v>
      </c>
      <c r="F409" s="278">
        <v>42268</v>
      </c>
      <c r="G409" s="278">
        <v>372654</v>
      </c>
      <c r="H409" s="278">
        <v>223189</v>
      </c>
      <c r="I409" s="278">
        <v>147669</v>
      </c>
      <c r="J409" s="278">
        <v>316038</v>
      </c>
      <c r="K409" s="278">
        <v>183804</v>
      </c>
      <c r="L409" s="278">
        <v>130451</v>
      </c>
      <c r="M409" s="278">
        <v>42268</v>
      </c>
      <c r="N409" s="278">
        <v>372654</v>
      </c>
      <c r="O409" s="278">
        <v>223189</v>
      </c>
      <c r="P409" s="278">
        <v>147669</v>
      </c>
      <c r="Q409" s="278">
        <v>316038</v>
      </c>
      <c r="R409" s="278">
        <v>183804</v>
      </c>
      <c r="S409" s="278">
        <v>130451</v>
      </c>
    </row>
    <row r="410" spans="1:19">
      <c r="A410" s="241" t="s">
        <v>3159</v>
      </c>
      <c r="B410" s="241" t="s">
        <v>5303</v>
      </c>
      <c r="C410" s="241" t="s">
        <v>3459</v>
      </c>
      <c r="D410" s="241" t="s">
        <v>3580</v>
      </c>
      <c r="E410" s="241" t="s">
        <v>3581</v>
      </c>
      <c r="F410" s="278">
        <v>880078</v>
      </c>
      <c r="G410" s="278">
        <v>7711184</v>
      </c>
      <c r="H410" s="278">
        <v>3236330</v>
      </c>
      <c r="I410" s="278">
        <v>4354630</v>
      </c>
      <c r="J410" s="278">
        <v>6721724</v>
      </c>
      <c r="K410" s="278">
        <v>2655963</v>
      </c>
      <c r="L410" s="278">
        <v>3945794</v>
      </c>
      <c r="M410" s="278">
        <v>880031</v>
      </c>
      <c r="N410" s="278">
        <v>7710945</v>
      </c>
      <c r="O410" s="278">
        <v>3236244</v>
      </c>
      <c r="P410" s="278">
        <v>4354477</v>
      </c>
      <c r="Q410" s="278">
        <v>6721505</v>
      </c>
      <c r="R410" s="278">
        <v>2655883</v>
      </c>
      <c r="S410" s="278">
        <v>3945655</v>
      </c>
    </row>
    <row r="411" spans="1:19">
      <c r="A411" s="241" t="s">
        <v>3159</v>
      </c>
      <c r="B411" s="241" t="s">
        <v>5303</v>
      </c>
      <c r="C411" s="241" t="s">
        <v>3170</v>
      </c>
      <c r="D411" s="241" t="s">
        <v>3580</v>
      </c>
      <c r="E411" s="241" t="s">
        <v>3582</v>
      </c>
      <c r="F411" s="278">
        <v>2870</v>
      </c>
      <c r="G411" s="278">
        <v>292708</v>
      </c>
      <c r="H411" s="278">
        <v>81881</v>
      </c>
      <c r="I411" s="278">
        <v>210827</v>
      </c>
      <c r="J411" s="278">
        <v>286465</v>
      </c>
      <c r="K411" s="278">
        <v>79681</v>
      </c>
      <c r="L411" s="278">
        <v>206784</v>
      </c>
      <c r="M411" s="278">
        <v>2870</v>
      </c>
      <c r="N411" s="278">
        <v>292708</v>
      </c>
      <c r="O411" s="278">
        <v>81881</v>
      </c>
      <c r="P411" s="278">
        <v>210827</v>
      </c>
      <c r="Q411" s="278">
        <v>286465</v>
      </c>
      <c r="R411" s="278">
        <v>79681</v>
      </c>
      <c r="S411" s="278">
        <v>206784</v>
      </c>
    </row>
    <row r="412" spans="1:19">
      <c r="A412" s="241" t="s">
        <v>3159</v>
      </c>
      <c r="B412" s="241" t="s">
        <v>5303</v>
      </c>
      <c r="C412" s="241" t="s">
        <v>3172</v>
      </c>
      <c r="D412" s="241" t="s">
        <v>3580</v>
      </c>
      <c r="E412" s="241" t="s">
        <v>3583</v>
      </c>
      <c r="F412" s="278">
        <v>121</v>
      </c>
      <c r="G412" s="278">
        <v>20371</v>
      </c>
      <c r="H412" s="278">
        <v>10371</v>
      </c>
      <c r="I412" s="278">
        <v>10000</v>
      </c>
      <c r="J412" s="278">
        <v>19750</v>
      </c>
      <c r="K412" s="278">
        <v>10041</v>
      </c>
      <c r="L412" s="278">
        <v>9709</v>
      </c>
      <c r="M412" s="278">
        <v>121</v>
      </c>
      <c r="N412" s="278">
        <v>20371</v>
      </c>
      <c r="O412" s="278">
        <v>10371</v>
      </c>
      <c r="P412" s="278">
        <v>10000</v>
      </c>
      <c r="Q412" s="278">
        <v>19750</v>
      </c>
      <c r="R412" s="278">
        <v>10041</v>
      </c>
      <c r="S412" s="278">
        <v>9709</v>
      </c>
    </row>
    <row r="413" spans="1:19">
      <c r="A413" s="241" t="s">
        <v>3159</v>
      </c>
      <c r="B413" s="241" t="s">
        <v>5303</v>
      </c>
      <c r="C413" s="241" t="s">
        <v>3172</v>
      </c>
      <c r="D413" s="241" t="s">
        <v>3580</v>
      </c>
      <c r="E413" s="241" t="s">
        <v>3584</v>
      </c>
      <c r="F413" s="278">
        <v>1097</v>
      </c>
      <c r="G413" s="278">
        <v>250147</v>
      </c>
      <c r="H413" s="278">
        <v>66579</v>
      </c>
      <c r="I413" s="278">
        <v>183568</v>
      </c>
      <c r="J413" s="278">
        <v>245714</v>
      </c>
      <c r="K413" s="278">
        <v>65187</v>
      </c>
      <c r="L413" s="278">
        <v>180527</v>
      </c>
      <c r="M413" s="278">
        <v>1097</v>
      </c>
      <c r="N413" s="278">
        <v>250147</v>
      </c>
      <c r="O413" s="278">
        <v>66579</v>
      </c>
      <c r="P413" s="278">
        <v>183568</v>
      </c>
      <c r="Q413" s="278">
        <v>245714</v>
      </c>
      <c r="R413" s="278">
        <v>65187</v>
      </c>
      <c r="S413" s="278">
        <v>180527</v>
      </c>
    </row>
    <row r="414" spans="1:19">
      <c r="A414" s="241" t="s">
        <v>3159</v>
      </c>
      <c r="B414" s="241" t="s">
        <v>5303</v>
      </c>
      <c r="C414" s="241" t="s">
        <v>3172</v>
      </c>
      <c r="D414" s="241" t="s">
        <v>3580</v>
      </c>
      <c r="E414" s="241" t="s">
        <v>3585</v>
      </c>
      <c r="F414" s="278">
        <v>1652</v>
      </c>
      <c r="G414" s="278">
        <v>22190</v>
      </c>
      <c r="H414" s="278">
        <v>4931</v>
      </c>
      <c r="I414" s="278">
        <v>17259</v>
      </c>
      <c r="J414" s="278">
        <v>21001</v>
      </c>
      <c r="K414" s="278">
        <v>4453</v>
      </c>
      <c r="L414" s="278">
        <v>16548</v>
      </c>
      <c r="M414" s="278">
        <v>1652</v>
      </c>
      <c r="N414" s="278">
        <v>22190</v>
      </c>
      <c r="O414" s="278">
        <v>4931</v>
      </c>
      <c r="P414" s="278">
        <v>17259</v>
      </c>
      <c r="Q414" s="278">
        <v>21001</v>
      </c>
      <c r="R414" s="278">
        <v>4453</v>
      </c>
      <c r="S414" s="278">
        <v>16548</v>
      </c>
    </row>
    <row r="415" spans="1:19">
      <c r="A415" s="241" t="s">
        <v>3159</v>
      </c>
      <c r="B415" s="241" t="s">
        <v>5303</v>
      </c>
      <c r="C415" s="241" t="s">
        <v>3170</v>
      </c>
      <c r="D415" s="241" t="s">
        <v>3580</v>
      </c>
      <c r="E415" s="241" t="s">
        <v>3586</v>
      </c>
      <c r="F415" s="278">
        <v>113470</v>
      </c>
      <c r="G415" s="278">
        <v>597940</v>
      </c>
      <c r="H415" s="278">
        <v>150229</v>
      </c>
      <c r="I415" s="278">
        <v>406857</v>
      </c>
      <c r="J415" s="278">
        <v>513030</v>
      </c>
      <c r="K415" s="278">
        <v>110834</v>
      </c>
      <c r="L415" s="278">
        <v>361363</v>
      </c>
      <c r="M415" s="278">
        <v>113470</v>
      </c>
      <c r="N415" s="278">
        <v>597940</v>
      </c>
      <c r="O415" s="278">
        <v>150229</v>
      </c>
      <c r="P415" s="278">
        <v>406857</v>
      </c>
      <c r="Q415" s="278">
        <v>513030</v>
      </c>
      <c r="R415" s="278">
        <v>110834</v>
      </c>
      <c r="S415" s="278">
        <v>361363</v>
      </c>
    </row>
    <row r="416" spans="1:19">
      <c r="A416" s="241" t="s">
        <v>3159</v>
      </c>
      <c r="B416" s="241" t="s">
        <v>5303</v>
      </c>
      <c r="C416" s="241" t="s">
        <v>3172</v>
      </c>
      <c r="D416" s="241" t="s">
        <v>3580</v>
      </c>
      <c r="E416" s="241" t="s">
        <v>3587</v>
      </c>
      <c r="F416" s="278">
        <v>910</v>
      </c>
      <c r="G416" s="278">
        <v>16405</v>
      </c>
      <c r="H416" s="278">
        <v>6681</v>
      </c>
      <c r="I416" s="278">
        <v>9470</v>
      </c>
      <c r="J416" s="278">
        <v>15373</v>
      </c>
      <c r="K416" s="278">
        <v>5998</v>
      </c>
      <c r="L416" s="278">
        <v>9121</v>
      </c>
      <c r="M416" s="278">
        <v>910</v>
      </c>
      <c r="N416" s="278">
        <v>16405</v>
      </c>
      <c r="O416" s="278">
        <v>6681</v>
      </c>
      <c r="P416" s="278">
        <v>9470</v>
      </c>
      <c r="Q416" s="278">
        <v>15373</v>
      </c>
      <c r="R416" s="278">
        <v>5998</v>
      </c>
      <c r="S416" s="278">
        <v>9121</v>
      </c>
    </row>
    <row r="417" spans="1:19">
      <c r="A417" s="241" t="s">
        <v>3159</v>
      </c>
      <c r="B417" s="241" t="s">
        <v>5303</v>
      </c>
      <c r="C417" s="241" t="s">
        <v>3172</v>
      </c>
      <c r="D417" s="241" t="s">
        <v>3580</v>
      </c>
      <c r="E417" s="241" t="s">
        <v>3588</v>
      </c>
      <c r="F417" s="278">
        <v>11454</v>
      </c>
      <c r="G417" s="278">
        <v>41585</v>
      </c>
      <c r="H417" s="278">
        <v>14146</v>
      </c>
      <c r="I417" s="278">
        <v>27415</v>
      </c>
      <c r="J417" s="278">
        <v>27153</v>
      </c>
      <c r="K417" s="278">
        <v>6360</v>
      </c>
      <c r="L417" s="278">
        <v>20777</v>
      </c>
      <c r="M417" s="278">
        <v>11454</v>
      </c>
      <c r="N417" s="278">
        <v>41585</v>
      </c>
      <c r="O417" s="278">
        <v>14146</v>
      </c>
      <c r="P417" s="278">
        <v>27415</v>
      </c>
      <c r="Q417" s="278">
        <v>27153</v>
      </c>
      <c r="R417" s="278">
        <v>6360</v>
      </c>
      <c r="S417" s="278">
        <v>20777</v>
      </c>
    </row>
    <row r="418" spans="1:19">
      <c r="A418" s="241" t="s">
        <v>3159</v>
      </c>
      <c r="B418" s="241" t="s">
        <v>5303</v>
      </c>
      <c r="C418" s="241" t="s">
        <v>3172</v>
      </c>
      <c r="D418" s="241" t="s">
        <v>3580</v>
      </c>
      <c r="E418" s="241" t="s">
        <v>3589</v>
      </c>
      <c r="F418" s="278">
        <v>14982</v>
      </c>
      <c r="G418" s="278">
        <v>73358</v>
      </c>
      <c r="H418" s="278">
        <v>33645</v>
      </c>
      <c r="I418" s="278">
        <v>39695</v>
      </c>
      <c r="J418" s="278">
        <v>62128</v>
      </c>
      <c r="K418" s="278">
        <v>26667</v>
      </c>
      <c r="L418" s="278">
        <v>35444</v>
      </c>
      <c r="M418" s="278">
        <v>14982</v>
      </c>
      <c r="N418" s="278">
        <v>73358</v>
      </c>
      <c r="O418" s="278">
        <v>33645</v>
      </c>
      <c r="P418" s="278">
        <v>39695</v>
      </c>
      <c r="Q418" s="278">
        <v>62128</v>
      </c>
      <c r="R418" s="278">
        <v>26667</v>
      </c>
      <c r="S418" s="278">
        <v>35444</v>
      </c>
    </row>
    <row r="419" spans="1:19">
      <c r="A419" s="241" t="s">
        <v>3159</v>
      </c>
      <c r="B419" s="241" t="s">
        <v>5303</v>
      </c>
      <c r="C419" s="241" t="s">
        <v>3172</v>
      </c>
      <c r="D419" s="241" t="s">
        <v>3580</v>
      </c>
      <c r="E419" s="241" t="s">
        <v>3590</v>
      </c>
      <c r="F419" s="278">
        <v>49948</v>
      </c>
      <c r="G419" s="278">
        <v>266683</v>
      </c>
      <c r="H419" s="278">
        <v>47696</v>
      </c>
      <c r="I419" s="278">
        <v>179843</v>
      </c>
      <c r="J419" s="278">
        <v>230243</v>
      </c>
      <c r="K419" s="278">
        <v>33848</v>
      </c>
      <c r="L419" s="278">
        <v>157257</v>
      </c>
      <c r="M419" s="278">
        <v>49948</v>
      </c>
      <c r="N419" s="278">
        <v>266683</v>
      </c>
      <c r="O419" s="278">
        <v>47696</v>
      </c>
      <c r="P419" s="278">
        <v>179843</v>
      </c>
      <c r="Q419" s="278">
        <v>230243</v>
      </c>
      <c r="R419" s="278">
        <v>33848</v>
      </c>
      <c r="S419" s="278">
        <v>157257</v>
      </c>
    </row>
    <row r="420" spans="1:19">
      <c r="A420" s="241" t="s">
        <v>3159</v>
      </c>
      <c r="B420" s="241" t="s">
        <v>5303</v>
      </c>
      <c r="C420" s="241" t="s">
        <v>3172</v>
      </c>
      <c r="D420" s="241" t="s">
        <v>3580</v>
      </c>
      <c r="E420" s="241" t="s">
        <v>3591</v>
      </c>
      <c r="F420" s="278">
        <v>8465</v>
      </c>
      <c r="G420" s="278">
        <v>36641</v>
      </c>
      <c r="H420" s="278">
        <v>13627</v>
      </c>
      <c r="I420" s="278">
        <v>23011</v>
      </c>
      <c r="J420" s="278">
        <v>31797</v>
      </c>
      <c r="K420" s="278">
        <v>10900</v>
      </c>
      <c r="L420" s="278">
        <v>20894</v>
      </c>
      <c r="M420" s="278">
        <v>8465</v>
      </c>
      <c r="N420" s="278">
        <v>36641</v>
      </c>
      <c r="O420" s="278">
        <v>13627</v>
      </c>
      <c r="P420" s="278">
        <v>23011</v>
      </c>
      <c r="Q420" s="278">
        <v>31797</v>
      </c>
      <c r="R420" s="278">
        <v>10900</v>
      </c>
      <c r="S420" s="278">
        <v>20894</v>
      </c>
    </row>
    <row r="421" spans="1:19">
      <c r="A421" s="241" t="s">
        <v>3159</v>
      </c>
      <c r="B421" s="241" t="s">
        <v>5303</v>
      </c>
      <c r="C421" s="241" t="s">
        <v>3172</v>
      </c>
      <c r="D421" s="241" t="s">
        <v>3580</v>
      </c>
      <c r="E421" s="241" t="s">
        <v>3592</v>
      </c>
      <c r="F421" s="278">
        <v>27711</v>
      </c>
      <c r="G421" s="278">
        <v>163268</v>
      </c>
      <c r="H421" s="278">
        <v>34434</v>
      </c>
      <c r="I421" s="278">
        <v>127423</v>
      </c>
      <c r="J421" s="278">
        <v>146336</v>
      </c>
      <c r="K421" s="278">
        <v>27061</v>
      </c>
      <c r="L421" s="278">
        <v>117870</v>
      </c>
      <c r="M421" s="278">
        <v>27711</v>
      </c>
      <c r="N421" s="278">
        <v>163268</v>
      </c>
      <c r="O421" s="278">
        <v>34434</v>
      </c>
      <c r="P421" s="278">
        <v>127423</v>
      </c>
      <c r="Q421" s="278">
        <v>146336</v>
      </c>
      <c r="R421" s="278">
        <v>27061</v>
      </c>
      <c r="S421" s="278">
        <v>117870</v>
      </c>
    </row>
    <row r="422" spans="1:19">
      <c r="A422" s="241" t="s">
        <v>3159</v>
      </c>
      <c r="B422" s="241" t="s">
        <v>5303</v>
      </c>
      <c r="C422" s="241" t="s">
        <v>3170</v>
      </c>
      <c r="D422" s="241" t="s">
        <v>3580</v>
      </c>
      <c r="E422" s="241" t="s">
        <v>3593</v>
      </c>
      <c r="F422" s="278">
        <v>258935</v>
      </c>
      <c r="G422" s="278">
        <v>3219229</v>
      </c>
      <c r="H422" s="278">
        <v>1129083</v>
      </c>
      <c r="I422" s="278">
        <v>2062746</v>
      </c>
      <c r="J422" s="278">
        <v>2868655</v>
      </c>
      <c r="K422" s="278">
        <v>940926</v>
      </c>
      <c r="L422" s="278">
        <v>1900439</v>
      </c>
      <c r="M422" s="278">
        <v>258910</v>
      </c>
      <c r="N422" s="278">
        <v>3219093</v>
      </c>
      <c r="O422" s="278">
        <v>1129036</v>
      </c>
      <c r="P422" s="278">
        <v>2062657</v>
      </c>
      <c r="Q422" s="278">
        <v>2868539</v>
      </c>
      <c r="R422" s="278">
        <v>940885</v>
      </c>
      <c r="S422" s="278">
        <v>1900364</v>
      </c>
    </row>
    <row r="423" spans="1:19">
      <c r="A423" s="241" t="s">
        <v>3159</v>
      </c>
      <c r="B423" s="241" t="s">
        <v>5303</v>
      </c>
      <c r="C423" s="241" t="s">
        <v>3172</v>
      </c>
      <c r="D423" s="241" t="s">
        <v>3580</v>
      </c>
      <c r="E423" s="241" t="s">
        <v>3594</v>
      </c>
      <c r="F423" s="278">
        <v>2020</v>
      </c>
      <c r="G423" s="278">
        <v>54153</v>
      </c>
      <c r="H423" s="278">
        <v>29561</v>
      </c>
      <c r="I423" s="278">
        <v>23698</v>
      </c>
      <c r="J423" s="278">
        <v>51006</v>
      </c>
      <c r="K423" s="278">
        <v>27393</v>
      </c>
      <c r="L423" s="278">
        <v>22720</v>
      </c>
      <c r="M423" s="278">
        <v>2020</v>
      </c>
      <c r="N423" s="278">
        <v>54153</v>
      </c>
      <c r="O423" s="278">
        <v>29561</v>
      </c>
      <c r="P423" s="278">
        <v>23698</v>
      </c>
      <c r="Q423" s="278">
        <v>51006</v>
      </c>
      <c r="R423" s="278">
        <v>27393</v>
      </c>
      <c r="S423" s="278">
        <v>22720</v>
      </c>
    </row>
    <row r="424" spans="1:19">
      <c r="A424" s="241" t="s">
        <v>3159</v>
      </c>
      <c r="B424" s="241" t="s">
        <v>5303</v>
      </c>
      <c r="C424" s="241" t="s">
        <v>3172</v>
      </c>
      <c r="D424" s="241" t="s">
        <v>3580</v>
      </c>
      <c r="E424" s="241" t="s">
        <v>3595</v>
      </c>
      <c r="F424" s="278">
        <v>23863</v>
      </c>
      <c r="G424" s="278">
        <v>1126176</v>
      </c>
      <c r="H424" s="278">
        <v>344173</v>
      </c>
      <c r="I424" s="278">
        <v>757007</v>
      </c>
      <c r="J424" s="278">
        <v>1089339</v>
      </c>
      <c r="K424" s="278">
        <v>329206</v>
      </c>
      <c r="L424" s="278">
        <v>735139</v>
      </c>
      <c r="M424" s="278">
        <v>23860</v>
      </c>
      <c r="N424" s="278">
        <v>1126166</v>
      </c>
      <c r="O424" s="278">
        <v>344170</v>
      </c>
      <c r="P424" s="278">
        <v>757000</v>
      </c>
      <c r="Q424" s="278">
        <v>1089329</v>
      </c>
      <c r="R424" s="278">
        <v>329203</v>
      </c>
      <c r="S424" s="278">
        <v>735132</v>
      </c>
    </row>
    <row r="425" spans="1:19">
      <c r="A425" s="241" t="s">
        <v>3159</v>
      </c>
      <c r="B425" s="241" t="s">
        <v>5303</v>
      </c>
      <c r="C425" s="241" t="s">
        <v>3172</v>
      </c>
      <c r="D425" s="241" t="s">
        <v>3580</v>
      </c>
      <c r="E425" s="241" t="s">
        <v>3596</v>
      </c>
      <c r="F425" s="278">
        <v>14392</v>
      </c>
      <c r="G425" s="278">
        <v>80164</v>
      </c>
      <c r="H425" s="278">
        <v>31442</v>
      </c>
      <c r="I425" s="278">
        <v>48618</v>
      </c>
      <c r="J425" s="278">
        <v>56890</v>
      </c>
      <c r="K425" s="278">
        <v>18371</v>
      </c>
      <c r="L425" s="278">
        <v>38419</v>
      </c>
      <c r="M425" s="278">
        <v>14379</v>
      </c>
      <c r="N425" s="278">
        <v>80112</v>
      </c>
      <c r="O425" s="278">
        <v>31428</v>
      </c>
      <c r="P425" s="278">
        <v>48580</v>
      </c>
      <c r="Q425" s="278">
        <v>56848</v>
      </c>
      <c r="R425" s="278">
        <v>18359</v>
      </c>
      <c r="S425" s="278">
        <v>38389</v>
      </c>
    </row>
    <row r="426" spans="1:19">
      <c r="A426" s="241" t="s">
        <v>3159</v>
      </c>
      <c r="B426" s="241" t="s">
        <v>5303</v>
      </c>
      <c r="C426" s="241" t="s">
        <v>3172</v>
      </c>
      <c r="D426" s="241" t="s">
        <v>3580</v>
      </c>
      <c r="E426" s="241" t="s">
        <v>3597</v>
      </c>
      <c r="F426" s="278">
        <v>9322</v>
      </c>
      <c r="G426" s="278">
        <v>56498</v>
      </c>
      <c r="H426" s="278">
        <v>25296</v>
      </c>
      <c r="I426" s="278">
        <v>31131</v>
      </c>
      <c r="J426" s="278">
        <v>43802</v>
      </c>
      <c r="K426" s="278">
        <v>17643</v>
      </c>
      <c r="L426" s="278">
        <v>26089</v>
      </c>
      <c r="M426" s="278">
        <v>9322</v>
      </c>
      <c r="N426" s="278">
        <v>56498</v>
      </c>
      <c r="O426" s="278">
        <v>25296</v>
      </c>
      <c r="P426" s="278">
        <v>31131</v>
      </c>
      <c r="Q426" s="278">
        <v>43802</v>
      </c>
      <c r="R426" s="278">
        <v>17643</v>
      </c>
      <c r="S426" s="278">
        <v>26089</v>
      </c>
    </row>
    <row r="427" spans="1:19">
      <c r="A427" s="241" t="s">
        <v>3159</v>
      </c>
      <c r="B427" s="241" t="s">
        <v>5303</v>
      </c>
      <c r="C427" s="241" t="s">
        <v>3172</v>
      </c>
      <c r="D427" s="241" t="s">
        <v>3580</v>
      </c>
      <c r="E427" s="241" t="s">
        <v>3598</v>
      </c>
      <c r="F427" s="278">
        <v>10246</v>
      </c>
      <c r="G427" s="278">
        <v>48801</v>
      </c>
      <c r="H427" s="278">
        <v>25484</v>
      </c>
      <c r="I427" s="278">
        <v>23293</v>
      </c>
      <c r="J427" s="278">
        <v>33594</v>
      </c>
      <c r="K427" s="278">
        <v>16247</v>
      </c>
      <c r="L427" s="278">
        <v>17334</v>
      </c>
      <c r="M427" s="278">
        <v>10244</v>
      </c>
      <c r="N427" s="278">
        <v>48779</v>
      </c>
      <c r="O427" s="278">
        <v>25480</v>
      </c>
      <c r="P427" s="278">
        <v>23275</v>
      </c>
      <c r="Q427" s="278">
        <v>33572</v>
      </c>
      <c r="R427" s="278">
        <v>16243</v>
      </c>
      <c r="S427" s="278">
        <v>17316</v>
      </c>
    </row>
    <row r="428" spans="1:19">
      <c r="A428" s="241" t="s">
        <v>3159</v>
      </c>
      <c r="B428" s="241" t="s">
        <v>5303</v>
      </c>
      <c r="C428" s="241" t="s">
        <v>3172</v>
      </c>
      <c r="D428" s="241" t="s">
        <v>3580</v>
      </c>
      <c r="E428" s="241" t="s">
        <v>3599</v>
      </c>
      <c r="F428" s="278">
        <v>24210</v>
      </c>
      <c r="G428" s="278">
        <v>74571</v>
      </c>
      <c r="H428" s="278">
        <v>38943</v>
      </c>
      <c r="I428" s="278">
        <v>35604</v>
      </c>
      <c r="J428" s="278">
        <v>39187</v>
      </c>
      <c r="K428" s="278">
        <v>19024</v>
      </c>
      <c r="L428" s="278">
        <v>20142</v>
      </c>
      <c r="M428" s="278">
        <v>24210</v>
      </c>
      <c r="N428" s="278">
        <v>74571</v>
      </c>
      <c r="O428" s="278">
        <v>38943</v>
      </c>
      <c r="P428" s="278">
        <v>35604</v>
      </c>
      <c r="Q428" s="278">
        <v>39187</v>
      </c>
      <c r="R428" s="278">
        <v>19024</v>
      </c>
      <c r="S428" s="278">
        <v>20142</v>
      </c>
    </row>
    <row r="429" spans="1:19">
      <c r="A429" s="241" t="s">
        <v>3159</v>
      </c>
      <c r="B429" s="241" t="s">
        <v>5303</v>
      </c>
      <c r="C429" s="241" t="s">
        <v>3172</v>
      </c>
      <c r="D429" s="241" t="s">
        <v>3580</v>
      </c>
      <c r="E429" s="241" t="s">
        <v>3600</v>
      </c>
      <c r="F429" s="278">
        <v>55447</v>
      </c>
      <c r="G429" s="278">
        <v>366856</v>
      </c>
      <c r="H429" s="278">
        <v>90937</v>
      </c>
      <c r="I429" s="278">
        <v>275519</v>
      </c>
      <c r="J429" s="278">
        <v>301146</v>
      </c>
      <c r="K429" s="278">
        <v>57622</v>
      </c>
      <c r="L429" s="278">
        <v>243143</v>
      </c>
      <c r="M429" s="278">
        <v>55447</v>
      </c>
      <c r="N429" s="278">
        <v>366856</v>
      </c>
      <c r="O429" s="278">
        <v>90937</v>
      </c>
      <c r="P429" s="278">
        <v>275519</v>
      </c>
      <c r="Q429" s="278">
        <v>301146</v>
      </c>
      <c r="R429" s="278">
        <v>57622</v>
      </c>
      <c r="S429" s="278">
        <v>243143</v>
      </c>
    </row>
    <row r="430" spans="1:19">
      <c r="A430" s="241" t="s">
        <v>3159</v>
      </c>
      <c r="B430" s="241" t="s">
        <v>5303</v>
      </c>
      <c r="C430" s="241" t="s">
        <v>3172</v>
      </c>
      <c r="D430" s="241" t="s">
        <v>3580</v>
      </c>
      <c r="E430" s="241" t="s">
        <v>3601</v>
      </c>
      <c r="F430" s="278">
        <v>119435</v>
      </c>
      <c r="G430" s="278">
        <v>1412010</v>
      </c>
      <c r="H430" s="278">
        <v>543247</v>
      </c>
      <c r="I430" s="278">
        <v>867876</v>
      </c>
      <c r="J430" s="278">
        <v>1253691</v>
      </c>
      <c r="K430" s="278">
        <v>455420</v>
      </c>
      <c r="L430" s="278">
        <v>797453</v>
      </c>
      <c r="M430" s="278">
        <v>119428</v>
      </c>
      <c r="N430" s="278">
        <v>1411958</v>
      </c>
      <c r="O430" s="278">
        <v>543221</v>
      </c>
      <c r="P430" s="278">
        <v>867850</v>
      </c>
      <c r="Q430" s="278">
        <v>1253649</v>
      </c>
      <c r="R430" s="278">
        <v>455398</v>
      </c>
      <c r="S430" s="278">
        <v>797433</v>
      </c>
    </row>
    <row r="431" spans="1:19">
      <c r="A431" s="241" t="s">
        <v>3159</v>
      </c>
      <c r="B431" s="241" t="s">
        <v>5303</v>
      </c>
      <c r="C431" s="241" t="s">
        <v>3432</v>
      </c>
      <c r="D431" s="241" t="s">
        <v>3580</v>
      </c>
      <c r="E431" s="241" t="s">
        <v>3602</v>
      </c>
      <c r="F431" s="278">
        <v>18075</v>
      </c>
      <c r="G431" s="278">
        <v>187073</v>
      </c>
      <c r="H431" s="278">
        <v>51693</v>
      </c>
      <c r="I431" s="278">
        <v>135164</v>
      </c>
      <c r="J431" s="278">
        <v>166034</v>
      </c>
      <c r="K431" s="278">
        <v>41648</v>
      </c>
      <c r="L431" s="278">
        <v>124174</v>
      </c>
      <c r="M431" s="278">
        <v>18072</v>
      </c>
      <c r="N431" s="278">
        <v>187068</v>
      </c>
      <c r="O431" s="278">
        <v>51690</v>
      </c>
      <c r="P431" s="278">
        <v>135162</v>
      </c>
      <c r="Q431" s="278">
        <v>166029</v>
      </c>
      <c r="R431" s="278">
        <v>41645</v>
      </c>
      <c r="S431" s="278">
        <v>124172</v>
      </c>
    </row>
    <row r="432" spans="1:19">
      <c r="A432" s="241" t="s">
        <v>3159</v>
      </c>
      <c r="B432" s="241" t="s">
        <v>5303</v>
      </c>
      <c r="C432" s="241" t="s">
        <v>3432</v>
      </c>
      <c r="D432" s="241" t="s">
        <v>3580</v>
      </c>
      <c r="E432" s="241" t="s">
        <v>3603</v>
      </c>
      <c r="F432" s="278">
        <v>101360</v>
      </c>
      <c r="G432" s="278">
        <v>1224937</v>
      </c>
      <c r="H432" s="278">
        <v>491554</v>
      </c>
      <c r="I432" s="278">
        <v>732712</v>
      </c>
      <c r="J432" s="278">
        <v>1087657</v>
      </c>
      <c r="K432" s="278">
        <v>413772</v>
      </c>
      <c r="L432" s="278">
        <v>673279</v>
      </c>
      <c r="M432" s="278">
        <v>101356</v>
      </c>
      <c r="N432" s="278">
        <v>1224890</v>
      </c>
      <c r="O432" s="278">
        <v>491531</v>
      </c>
      <c r="P432" s="278">
        <v>732688</v>
      </c>
      <c r="Q432" s="278">
        <v>1087620</v>
      </c>
      <c r="R432" s="278">
        <v>413753</v>
      </c>
      <c r="S432" s="278">
        <v>673261</v>
      </c>
    </row>
    <row r="433" spans="1:19">
      <c r="A433" s="241" t="s">
        <v>3159</v>
      </c>
      <c r="B433" s="241" t="s">
        <v>5303</v>
      </c>
      <c r="C433" s="241" t="s">
        <v>3170</v>
      </c>
      <c r="D433" s="241" t="s">
        <v>3580</v>
      </c>
      <c r="E433" s="241" t="s">
        <v>3604</v>
      </c>
      <c r="F433" s="278">
        <v>133055</v>
      </c>
      <c r="G433" s="278">
        <v>895400</v>
      </c>
      <c r="H433" s="278">
        <v>639382</v>
      </c>
      <c r="I433" s="278">
        <v>245812</v>
      </c>
      <c r="J433" s="278">
        <v>739349</v>
      </c>
      <c r="K433" s="278">
        <v>523050</v>
      </c>
      <c r="L433" s="278">
        <v>206130</v>
      </c>
      <c r="M433" s="278">
        <v>133055</v>
      </c>
      <c r="N433" s="278">
        <v>895400</v>
      </c>
      <c r="O433" s="278">
        <v>639382</v>
      </c>
      <c r="P433" s="278">
        <v>245812</v>
      </c>
      <c r="Q433" s="278">
        <v>739349</v>
      </c>
      <c r="R433" s="278">
        <v>523050</v>
      </c>
      <c r="S433" s="278">
        <v>206130</v>
      </c>
    </row>
    <row r="434" spans="1:19">
      <c r="A434" s="241" t="s">
        <v>3159</v>
      </c>
      <c r="B434" s="241" t="s">
        <v>5303</v>
      </c>
      <c r="C434" s="241" t="s">
        <v>3172</v>
      </c>
      <c r="D434" s="241" t="s">
        <v>3580</v>
      </c>
      <c r="E434" s="241" t="s">
        <v>3605</v>
      </c>
      <c r="F434" s="278">
        <v>899</v>
      </c>
      <c r="G434" s="278">
        <v>20920</v>
      </c>
      <c r="H434" s="278">
        <v>15534</v>
      </c>
      <c r="I434" s="278">
        <v>5057</v>
      </c>
      <c r="J434" s="278">
        <v>19450</v>
      </c>
      <c r="K434" s="278">
        <v>14269</v>
      </c>
      <c r="L434" s="278">
        <v>4852</v>
      </c>
      <c r="M434" s="278">
        <v>899</v>
      </c>
      <c r="N434" s="278">
        <v>20920</v>
      </c>
      <c r="O434" s="278">
        <v>15534</v>
      </c>
      <c r="P434" s="278">
        <v>5057</v>
      </c>
      <c r="Q434" s="278">
        <v>19450</v>
      </c>
      <c r="R434" s="278">
        <v>14269</v>
      </c>
      <c r="S434" s="278">
        <v>4852</v>
      </c>
    </row>
    <row r="435" spans="1:19">
      <c r="A435" s="241" t="s">
        <v>3159</v>
      </c>
      <c r="B435" s="241" t="s">
        <v>5303</v>
      </c>
      <c r="C435" s="241" t="s">
        <v>3172</v>
      </c>
      <c r="D435" s="241" t="s">
        <v>3580</v>
      </c>
      <c r="E435" s="241" t="s">
        <v>3606</v>
      </c>
      <c r="F435" s="278">
        <v>82205</v>
      </c>
      <c r="G435" s="278">
        <v>568386</v>
      </c>
      <c r="H435" s="278">
        <v>446311</v>
      </c>
      <c r="I435" s="278">
        <v>121671</v>
      </c>
      <c r="J435" s="278">
        <v>470217</v>
      </c>
      <c r="K435" s="278">
        <v>371791</v>
      </c>
      <c r="L435" s="278">
        <v>98051</v>
      </c>
      <c r="M435" s="278">
        <v>82205</v>
      </c>
      <c r="N435" s="278">
        <v>568386</v>
      </c>
      <c r="O435" s="278">
        <v>446311</v>
      </c>
      <c r="P435" s="278">
        <v>121671</v>
      </c>
      <c r="Q435" s="278">
        <v>470217</v>
      </c>
      <c r="R435" s="278">
        <v>371791</v>
      </c>
      <c r="S435" s="278">
        <v>98051</v>
      </c>
    </row>
    <row r="436" spans="1:19">
      <c r="A436" s="241" t="s">
        <v>3159</v>
      </c>
      <c r="B436" s="241" t="s">
        <v>5303</v>
      </c>
      <c r="C436" s="241" t="s">
        <v>3172</v>
      </c>
      <c r="D436" s="241" t="s">
        <v>3580</v>
      </c>
      <c r="E436" s="241" t="s">
        <v>3607</v>
      </c>
      <c r="F436" s="278">
        <v>9552</v>
      </c>
      <c r="G436" s="278">
        <v>25850</v>
      </c>
      <c r="H436" s="278">
        <v>19434</v>
      </c>
      <c r="I436" s="278">
        <v>6399</v>
      </c>
      <c r="J436" s="278">
        <v>15211</v>
      </c>
      <c r="K436" s="278">
        <v>11327</v>
      </c>
      <c r="L436" s="278">
        <v>3869</v>
      </c>
      <c r="M436" s="278">
        <v>9552</v>
      </c>
      <c r="N436" s="278">
        <v>25850</v>
      </c>
      <c r="O436" s="278">
        <v>19434</v>
      </c>
      <c r="P436" s="278">
        <v>6399</v>
      </c>
      <c r="Q436" s="278">
        <v>15211</v>
      </c>
      <c r="R436" s="278">
        <v>11327</v>
      </c>
      <c r="S436" s="278">
        <v>3869</v>
      </c>
    </row>
    <row r="437" spans="1:19">
      <c r="A437" s="241" t="s">
        <v>3159</v>
      </c>
      <c r="B437" s="241" t="s">
        <v>5303</v>
      </c>
      <c r="C437" s="241" t="s">
        <v>3172</v>
      </c>
      <c r="D437" s="241" t="s">
        <v>3580</v>
      </c>
      <c r="E437" s="241" t="s">
        <v>3608</v>
      </c>
      <c r="F437" s="278">
        <v>40399</v>
      </c>
      <c r="G437" s="278">
        <v>280244</v>
      </c>
      <c r="H437" s="278">
        <v>158103</v>
      </c>
      <c r="I437" s="278">
        <v>112685</v>
      </c>
      <c r="J437" s="278">
        <v>234471</v>
      </c>
      <c r="K437" s="278">
        <v>125663</v>
      </c>
      <c r="L437" s="278">
        <v>99358</v>
      </c>
      <c r="M437" s="278">
        <v>40399</v>
      </c>
      <c r="N437" s="278">
        <v>280244</v>
      </c>
      <c r="O437" s="278">
        <v>158103</v>
      </c>
      <c r="P437" s="278">
        <v>112685</v>
      </c>
      <c r="Q437" s="278">
        <v>234471</v>
      </c>
      <c r="R437" s="278">
        <v>125663</v>
      </c>
      <c r="S437" s="278">
        <v>99358</v>
      </c>
    </row>
    <row r="438" spans="1:19">
      <c r="A438" s="241" t="s">
        <v>3159</v>
      </c>
      <c r="B438" s="241" t="s">
        <v>5303</v>
      </c>
      <c r="C438" s="241" t="s">
        <v>3170</v>
      </c>
      <c r="D438" s="241" t="s">
        <v>3580</v>
      </c>
      <c r="E438" s="241" t="s">
        <v>3609</v>
      </c>
      <c r="F438" s="278">
        <v>328813</v>
      </c>
      <c r="G438" s="278">
        <v>2308769</v>
      </c>
      <c r="H438" s="278">
        <v>1027763</v>
      </c>
      <c r="I438" s="278">
        <v>1246209</v>
      </c>
      <c r="J438" s="278">
        <v>1967752</v>
      </c>
      <c r="K438" s="278">
        <v>826542</v>
      </c>
      <c r="L438" s="278">
        <v>1106481</v>
      </c>
      <c r="M438" s="278">
        <v>328791</v>
      </c>
      <c r="N438" s="278">
        <v>2308666</v>
      </c>
      <c r="O438" s="278">
        <v>1027724</v>
      </c>
      <c r="P438" s="278">
        <v>1246145</v>
      </c>
      <c r="Q438" s="278">
        <v>1967649</v>
      </c>
      <c r="R438" s="278">
        <v>826503</v>
      </c>
      <c r="S438" s="278">
        <v>1106417</v>
      </c>
    </row>
    <row r="439" spans="1:19">
      <c r="A439" s="241" t="s">
        <v>3159</v>
      </c>
      <c r="B439" s="241" t="s">
        <v>5303</v>
      </c>
      <c r="C439" s="241" t="s">
        <v>3172</v>
      </c>
      <c r="D439" s="241" t="s">
        <v>3580</v>
      </c>
      <c r="E439" s="241" t="s">
        <v>3610</v>
      </c>
      <c r="F439" s="278">
        <v>2863</v>
      </c>
      <c r="G439" s="278">
        <v>41585</v>
      </c>
      <c r="H439" s="278">
        <v>21903</v>
      </c>
      <c r="I439" s="278">
        <v>18580</v>
      </c>
      <c r="J439" s="278">
        <v>37126</v>
      </c>
      <c r="K439" s="278">
        <v>18844</v>
      </c>
      <c r="L439" s="278">
        <v>17180</v>
      </c>
      <c r="M439" s="278">
        <v>2863</v>
      </c>
      <c r="N439" s="278">
        <v>41585</v>
      </c>
      <c r="O439" s="278">
        <v>21903</v>
      </c>
      <c r="P439" s="278">
        <v>18580</v>
      </c>
      <c r="Q439" s="278">
        <v>37126</v>
      </c>
      <c r="R439" s="278">
        <v>18844</v>
      </c>
      <c r="S439" s="278">
        <v>17180</v>
      </c>
    </row>
    <row r="440" spans="1:19">
      <c r="A440" s="241" t="s">
        <v>3159</v>
      </c>
      <c r="B440" s="241" t="s">
        <v>5303</v>
      </c>
      <c r="C440" s="241" t="s">
        <v>3172</v>
      </c>
      <c r="D440" s="241" t="s">
        <v>3580</v>
      </c>
      <c r="E440" s="241" t="s">
        <v>3611</v>
      </c>
      <c r="F440" s="278">
        <v>16555</v>
      </c>
      <c r="G440" s="278">
        <v>83829</v>
      </c>
      <c r="H440" s="278">
        <v>42189</v>
      </c>
      <c r="I440" s="278">
        <v>41220</v>
      </c>
      <c r="J440" s="278">
        <v>62765</v>
      </c>
      <c r="K440" s="278">
        <v>27037</v>
      </c>
      <c r="L440" s="278">
        <v>35314</v>
      </c>
      <c r="M440" s="278">
        <v>16555</v>
      </c>
      <c r="N440" s="278">
        <v>83829</v>
      </c>
      <c r="O440" s="278">
        <v>42189</v>
      </c>
      <c r="P440" s="278">
        <v>41220</v>
      </c>
      <c r="Q440" s="278">
        <v>62765</v>
      </c>
      <c r="R440" s="278">
        <v>27037</v>
      </c>
      <c r="S440" s="278">
        <v>35314</v>
      </c>
    </row>
    <row r="441" spans="1:19">
      <c r="A441" s="241" t="s">
        <v>3159</v>
      </c>
      <c r="B441" s="241" t="s">
        <v>5303</v>
      </c>
      <c r="C441" s="241" t="s">
        <v>3172</v>
      </c>
      <c r="D441" s="241" t="s">
        <v>3580</v>
      </c>
      <c r="E441" s="241" t="s">
        <v>3612</v>
      </c>
      <c r="F441" s="278">
        <v>14732</v>
      </c>
      <c r="G441" s="278">
        <v>55718</v>
      </c>
      <c r="H441" s="278">
        <v>18709</v>
      </c>
      <c r="I441" s="278">
        <v>36958</v>
      </c>
      <c r="J441" s="278">
        <v>39151</v>
      </c>
      <c r="K441" s="278">
        <v>9405</v>
      </c>
      <c r="L441" s="278">
        <v>29696</v>
      </c>
      <c r="M441" s="278">
        <v>14730</v>
      </c>
      <c r="N441" s="278">
        <v>55715</v>
      </c>
      <c r="O441" s="278">
        <v>18708</v>
      </c>
      <c r="P441" s="278">
        <v>36956</v>
      </c>
      <c r="Q441" s="278">
        <v>39148</v>
      </c>
      <c r="R441" s="278">
        <v>9404</v>
      </c>
      <c r="S441" s="278">
        <v>29694</v>
      </c>
    </row>
    <row r="442" spans="1:19">
      <c r="A442" s="241" t="s">
        <v>3159</v>
      </c>
      <c r="B442" s="241" t="s">
        <v>5303</v>
      </c>
      <c r="C442" s="241" t="s">
        <v>3172</v>
      </c>
      <c r="D442" s="241" t="s">
        <v>3580</v>
      </c>
      <c r="E442" s="241" t="s">
        <v>3613</v>
      </c>
      <c r="F442" s="278">
        <v>90344</v>
      </c>
      <c r="G442" s="278">
        <v>664522</v>
      </c>
      <c r="H442" s="278">
        <v>157903</v>
      </c>
      <c r="I442" s="278">
        <v>494951</v>
      </c>
      <c r="J442" s="278">
        <v>598982</v>
      </c>
      <c r="K442" s="278">
        <v>128214</v>
      </c>
      <c r="L442" s="278">
        <v>459114</v>
      </c>
      <c r="M442" s="278">
        <v>90343</v>
      </c>
      <c r="N442" s="278">
        <v>664512</v>
      </c>
      <c r="O442" s="278">
        <v>157897</v>
      </c>
      <c r="P442" s="278">
        <v>494947</v>
      </c>
      <c r="Q442" s="278">
        <v>598972</v>
      </c>
      <c r="R442" s="278">
        <v>128208</v>
      </c>
      <c r="S442" s="278">
        <v>459110</v>
      </c>
    </row>
    <row r="443" spans="1:19">
      <c r="A443" s="241" t="s">
        <v>3159</v>
      </c>
      <c r="B443" s="241" t="s">
        <v>5303</v>
      </c>
      <c r="C443" s="241" t="s">
        <v>3172</v>
      </c>
      <c r="D443" s="241" t="s">
        <v>3580</v>
      </c>
      <c r="E443" s="241" t="s">
        <v>3614</v>
      </c>
      <c r="F443" s="278">
        <v>10778</v>
      </c>
      <c r="G443" s="278">
        <v>61821</v>
      </c>
      <c r="H443" s="278">
        <v>41747</v>
      </c>
      <c r="I443" s="278">
        <v>20056</v>
      </c>
      <c r="J443" s="278">
        <v>48785</v>
      </c>
      <c r="K443" s="278">
        <v>33253</v>
      </c>
      <c r="L443" s="278">
        <v>15518</v>
      </c>
      <c r="M443" s="278">
        <v>10778</v>
      </c>
      <c r="N443" s="278">
        <v>61821</v>
      </c>
      <c r="O443" s="278">
        <v>41747</v>
      </c>
      <c r="P443" s="278">
        <v>20056</v>
      </c>
      <c r="Q443" s="278">
        <v>48785</v>
      </c>
      <c r="R443" s="278">
        <v>33253</v>
      </c>
      <c r="S443" s="278">
        <v>15518</v>
      </c>
    </row>
    <row r="444" spans="1:19">
      <c r="A444" s="241" t="s">
        <v>3159</v>
      </c>
      <c r="B444" s="241" t="s">
        <v>5303</v>
      </c>
      <c r="C444" s="241" t="s">
        <v>3172</v>
      </c>
      <c r="D444" s="241" t="s">
        <v>3580</v>
      </c>
      <c r="E444" s="241" t="s">
        <v>3615</v>
      </c>
      <c r="F444" s="278">
        <v>43677</v>
      </c>
      <c r="G444" s="278">
        <v>294390</v>
      </c>
      <c r="H444" s="278">
        <v>218081</v>
      </c>
      <c r="I444" s="278">
        <v>76010</v>
      </c>
      <c r="J444" s="278">
        <v>247216</v>
      </c>
      <c r="K444" s="278">
        <v>185561</v>
      </c>
      <c r="L444" s="278">
        <v>61358</v>
      </c>
      <c r="M444" s="278">
        <v>43677</v>
      </c>
      <c r="N444" s="278">
        <v>294390</v>
      </c>
      <c r="O444" s="278">
        <v>218081</v>
      </c>
      <c r="P444" s="278">
        <v>76010</v>
      </c>
      <c r="Q444" s="278">
        <v>247216</v>
      </c>
      <c r="R444" s="278">
        <v>185561</v>
      </c>
      <c r="S444" s="278">
        <v>61358</v>
      </c>
    </row>
    <row r="445" spans="1:19">
      <c r="A445" s="241" t="s">
        <v>3159</v>
      </c>
      <c r="B445" s="241" t="s">
        <v>5303</v>
      </c>
      <c r="C445" s="241" t="s">
        <v>3172</v>
      </c>
      <c r="D445" s="241" t="s">
        <v>3580</v>
      </c>
      <c r="E445" s="241" t="s">
        <v>3616</v>
      </c>
      <c r="F445" s="278">
        <v>27628</v>
      </c>
      <c r="G445" s="278">
        <v>358052</v>
      </c>
      <c r="H445" s="278">
        <v>190725</v>
      </c>
      <c r="I445" s="278">
        <v>157959</v>
      </c>
      <c r="J445" s="278">
        <v>315078</v>
      </c>
      <c r="K445" s="278">
        <v>164804</v>
      </c>
      <c r="L445" s="278">
        <v>140918</v>
      </c>
      <c r="M445" s="278">
        <v>27627</v>
      </c>
      <c r="N445" s="278">
        <v>358045</v>
      </c>
      <c r="O445" s="278">
        <v>190722</v>
      </c>
      <c r="P445" s="278">
        <v>157955</v>
      </c>
      <c r="Q445" s="278">
        <v>315071</v>
      </c>
      <c r="R445" s="278">
        <v>164801</v>
      </c>
      <c r="S445" s="278">
        <v>140914</v>
      </c>
    </row>
    <row r="446" spans="1:19">
      <c r="A446" s="241" t="s">
        <v>3159</v>
      </c>
      <c r="B446" s="241" t="s">
        <v>5303</v>
      </c>
      <c r="C446" s="241" t="s">
        <v>3172</v>
      </c>
      <c r="D446" s="241" t="s">
        <v>3580</v>
      </c>
      <c r="E446" s="241" t="s">
        <v>3617</v>
      </c>
      <c r="F446" s="278">
        <v>20601</v>
      </c>
      <c r="G446" s="278">
        <v>129983</v>
      </c>
      <c r="H446" s="278">
        <v>71396</v>
      </c>
      <c r="I446" s="278">
        <v>58555</v>
      </c>
      <c r="J446" s="278">
        <v>108685</v>
      </c>
      <c r="K446" s="278">
        <v>57407</v>
      </c>
      <c r="L446" s="278">
        <v>51247</v>
      </c>
      <c r="M446" s="278">
        <v>20601</v>
      </c>
      <c r="N446" s="278">
        <v>129983</v>
      </c>
      <c r="O446" s="278">
        <v>71396</v>
      </c>
      <c r="P446" s="278">
        <v>58555</v>
      </c>
      <c r="Q446" s="278">
        <v>108685</v>
      </c>
      <c r="R446" s="278">
        <v>57407</v>
      </c>
      <c r="S446" s="278">
        <v>51247</v>
      </c>
    </row>
    <row r="447" spans="1:19">
      <c r="A447" s="241" t="s">
        <v>3159</v>
      </c>
      <c r="B447" s="241" t="s">
        <v>5303</v>
      </c>
      <c r="C447" s="241" t="s">
        <v>3432</v>
      </c>
      <c r="D447" s="241" t="s">
        <v>3580</v>
      </c>
      <c r="E447" s="241" t="s">
        <v>3618</v>
      </c>
      <c r="F447" s="278">
        <v>12857</v>
      </c>
      <c r="G447" s="278">
        <v>84968</v>
      </c>
      <c r="H447" s="278">
        <v>49060</v>
      </c>
      <c r="I447" s="278">
        <v>35886</v>
      </c>
      <c r="J447" s="278">
        <v>71744</v>
      </c>
      <c r="K447" s="278">
        <v>40209</v>
      </c>
      <c r="L447" s="278">
        <v>31514</v>
      </c>
      <c r="M447" s="278">
        <v>12857</v>
      </c>
      <c r="N447" s="278">
        <v>84968</v>
      </c>
      <c r="O447" s="278">
        <v>49060</v>
      </c>
      <c r="P447" s="278">
        <v>35886</v>
      </c>
      <c r="Q447" s="278">
        <v>71744</v>
      </c>
      <c r="R447" s="278">
        <v>40209</v>
      </c>
      <c r="S447" s="278">
        <v>31514</v>
      </c>
    </row>
    <row r="448" spans="1:19">
      <c r="A448" s="241" t="s">
        <v>3159</v>
      </c>
      <c r="B448" s="241" t="s">
        <v>5303</v>
      </c>
      <c r="C448" s="241" t="s">
        <v>3432</v>
      </c>
      <c r="D448" s="241" t="s">
        <v>3580</v>
      </c>
      <c r="E448" s="241" t="s">
        <v>3619</v>
      </c>
      <c r="F448" s="278">
        <v>4946</v>
      </c>
      <c r="G448" s="278">
        <v>29382</v>
      </c>
      <c r="H448" s="278">
        <v>13909</v>
      </c>
      <c r="I448" s="278">
        <v>15465</v>
      </c>
      <c r="J448" s="278">
        <v>24367</v>
      </c>
      <c r="K448" s="278">
        <v>10841</v>
      </c>
      <c r="L448" s="278">
        <v>13518</v>
      </c>
      <c r="M448" s="278">
        <v>4946</v>
      </c>
      <c r="N448" s="278">
        <v>29382</v>
      </c>
      <c r="O448" s="278">
        <v>13909</v>
      </c>
      <c r="P448" s="278">
        <v>15465</v>
      </c>
      <c r="Q448" s="278">
        <v>24367</v>
      </c>
      <c r="R448" s="278">
        <v>10841</v>
      </c>
      <c r="S448" s="278">
        <v>13518</v>
      </c>
    </row>
    <row r="449" spans="1:19">
      <c r="A449" s="241" t="s">
        <v>3159</v>
      </c>
      <c r="B449" s="241" t="s">
        <v>5303</v>
      </c>
      <c r="C449" s="241" t="s">
        <v>3432</v>
      </c>
      <c r="D449" s="241" t="s">
        <v>3580</v>
      </c>
      <c r="E449" s="241" t="s">
        <v>3620</v>
      </c>
      <c r="F449" s="278">
        <v>2798</v>
      </c>
      <c r="G449" s="278">
        <v>15633</v>
      </c>
      <c r="H449" s="278">
        <v>8427</v>
      </c>
      <c r="I449" s="278">
        <v>7204</v>
      </c>
      <c r="J449" s="278">
        <v>12574</v>
      </c>
      <c r="K449" s="278">
        <v>6357</v>
      </c>
      <c r="L449" s="278">
        <v>6215</v>
      </c>
      <c r="M449" s="278">
        <v>2798</v>
      </c>
      <c r="N449" s="278">
        <v>15633</v>
      </c>
      <c r="O449" s="278">
        <v>8427</v>
      </c>
      <c r="P449" s="278">
        <v>7204</v>
      </c>
      <c r="Q449" s="278">
        <v>12574</v>
      </c>
      <c r="R449" s="278">
        <v>6357</v>
      </c>
      <c r="S449" s="278">
        <v>6215</v>
      </c>
    </row>
    <row r="450" spans="1:19">
      <c r="A450" s="241" t="s">
        <v>3159</v>
      </c>
      <c r="B450" s="241" t="s">
        <v>5303</v>
      </c>
      <c r="C450" s="241" t="s">
        <v>3172</v>
      </c>
      <c r="D450" s="241" t="s">
        <v>3580</v>
      </c>
      <c r="E450" s="241" t="s">
        <v>3621</v>
      </c>
      <c r="F450" s="278">
        <v>18142</v>
      </c>
      <c r="G450" s="278">
        <v>71487</v>
      </c>
      <c r="H450" s="278">
        <v>36083</v>
      </c>
      <c r="I450" s="278">
        <v>35352</v>
      </c>
      <c r="J450" s="278">
        <v>57268</v>
      </c>
      <c r="K450" s="278">
        <v>27067</v>
      </c>
      <c r="L450" s="278">
        <v>30150</v>
      </c>
      <c r="M450" s="278">
        <v>18142</v>
      </c>
      <c r="N450" s="278">
        <v>71487</v>
      </c>
      <c r="O450" s="278">
        <v>36083</v>
      </c>
      <c r="P450" s="278">
        <v>35352</v>
      </c>
      <c r="Q450" s="278">
        <v>57268</v>
      </c>
      <c r="R450" s="278">
        <v>27067</v>
      </c>
      <c r="S450" s="278">
        <v>30150</v>
      </c>
    </row>
    <row r="451" spans="1:19">
      <c r="A451" s="241" t="s">
        <v>3159</v>
      </c>
      <c r="B451" s="241" t="s">
        <v>5303</v>
      </c>
      <c r="C451" s="241" t="s">
        <v>3172</v>
      </c>
      <c r="D451" s="241" t="s">
        <v>3580</v>
      </c>
      <c r="E451" s="241" t="s">
        <v>3622</v>
      </c>
      <c r="F451" s="278">
        <v>83493</v>
      </c>
      <c r="G451" s="278">
        <v>547382</v>
      </c>
      <c r="H451" s="278">
        <v>229027</v>
      </c>
      <c r="I451" s="278">
        <v>306568</v>
      </c>
      <c r="J451" s="278">
        <v>452696</v>
      </c>
      <c r="K451" s="278">
        <v>174950</v>
      </c>
      <c r="L451" s="278">
        <v>265986</v>
      </c>
      <c r="M451" s="278">
        <v>83475</v>
      </c>
      <c r="N451" s="278">
        <v>547299</v>
      </c>
      <c r="O451" s="278">
        <v>228998</v>
      </c>
      <c r="P451" s="278">
        <v>306514</v>
      </c>
      <c r="Q451" s="278">
        <v>452613</v>
      </c>
      <c r="R451" s="278">
        <v>174921</v>
      </c>
      <c r="S451" s="278">
        <v>265932</v>
      </c>
    </row>
    <row r="452" spans="1:19">
      <c r="A452" s="241" t="s">
        <v>3159</v>
      </c>
      <c r="B452" s="241" t="s">
        <v>5303</v>
      </c>
      <c r="C452" s="241" t="s">
        <v>3432</v>
      </c>
      <c r="D452" s="241" t="s">
        <v>3580</v>
      </c>
      <c r="E452" s="241" t="s">
        <v>3623</v>
      </c>
      <c r="F452" s="278">
        <v>16799</v>
      </c>
      <c r="G452" s="278">
        <v>63564</v>
      </c>
      <c r="H452" s="278">
        <v>22295</v>
      </c>
      <c r="I452" s="278">
        <v>41210</v>
      </c>
      <c r="J452" s="278">
        <v>40082</v>
      </c>
      <c r="K452" s="278">
        <v>10388</v>
      </c>
      <c r="L452" s="278">
        <v>29642</v>
      </c>
      <c r="M452" s="278">
        <v>16799</v>
      </c>
      <c r="N452" s="278">
        <v>63564</v>
      </c>
      <c r="O452" s="278">
        <v>22295</v>
      </c>
      <c r="P452" s="278">
        <v>41210</v>
      </c>
      <c r="Q452" s="278">
        <v>40082</v>
      </c>
      <c r="R452" s="278">
        <v>10388</v>
      </c>
      <c r="S452" s="278">
        <v>29642</v>
      </c>
    </row>
    <row r="453" spans="1:19">
      <c r="A453" s="241" t="s">
        <v>3159</v>
      </c>
      <c r="B453" s="241" t="s">
        <v>5303</v>
      </c>
      <c r="C453" s="241" t="s">
        <v>3432</v>
      </c>
      <c r="D453" s="241" t="s">
        <v>3580</v>
      </c>
      <c r="E453" s="241" t="s">
        <v>3624</v>
      </c>
      <c r="F453" s="278">
        <v>4765</v>
      </c>
      <c r="G453" s="278">
        <v>28680</v>
      </c>
      <c r="H453" s="278">
        <v>7866</v>
      </c>
      <c r="I453" s="278">
        <v>20691</v>
      </c>
      <c r="J453" s="278">
        <v>23142</v>
      </c>
      <c r="K453" s="278">
        <v>5244</v>
      </c>
      <c r="L453" s="278">
        <v>17779</v>
      </c>
      <c r="M453" s="278">
        <v>4765</v>
      </c>
      <c r="N453" s="278">
        <v>28680</v>
      </c>
      <c r="O453" s="278">
        <v>7866</v>
      </c>
      <c r="P453" s="278">
        <v>20691</v>
      </c>
      <c r="Q453" s="278">
        <v>23142</v>
      </c>
      <c r="R453" s="278">
        <v>5244</v>
      </c>
      <c r="S453" s="278">
        <v>17779</v>
      </c>
    </row>
    <row r="454" spans="1:19">
      <c r="A454" s="241" t="s">
        <v>3159</v>
      </c>
      <c r="B454" s="241" t="s">
        <v>5303</v>
      </c>
      <c r="C454" s="241" t="s">
        <v>3432</v>
      </c>
      <c r="D454" s="241" t="s">
        <v>3580</v>
      </c>
      <c r="E454" s="241" t="s">
        <v>3625</v>
      </c>
      <c r="F454" s="278">
        <v>9234</v>
      </c>
      <c r="G454" s="278">
        <v>59183</v>
      </c>
      <c r="H454" s="278">
        <v>37407</v>
      </c>
      <c r="I454" s="278">
        <v>21415</v>
      </c>
      <c r="J454" s="278">
        <v>50614</v>
      </c>
      <c r="K454" s="278">
        <v>31979</v>
      </c>
      <c r="L454" s="278">
        <v>18276</v>
      </c>
      <c r="M454" s="278">
        <v>9231</v>
      </c>
      <c r="N454" s="278">
        <v>59174</v>
      </c>
      <c r="O454" s="278">
        <v>37403</v>
      </c>
      <c r="P454" s="278">
        <v>21410</v>
      </c>
      <c r="Q454" s="278">
        <v>50605</v>
      </c>
      <c r="R454" s="278">
        <v>31975</v>
      </c>
      <c r="S454" s="278">
        <v>18271</v>
      </c>
    </row>
    <row r="455" spans="1:19">
      <c r="A455" s="241" t="s">
        <v>3159</v>
      </c>
      <c r="B455" s="241" t="s">
        <v>5303</v>
      </c>
      <c r="C455" s="241" t="s">
        <v>3432</v>
      </c>
      <c r="D455" s="241" t="s">
        <v>3580</v>
      </c>
      <c r="E455" s="241" t="s">
        <v>3626</v>
      </c>
      <c r="F455" s="278">
        <v>52695</v>
      </c>
      <c r="G455" s="278">
        <v>395955</v>
      </c>
      <c r="H455" s="278">
        <v>161459</v>
      </c>
      <c r="I455" s="278">
        <v>223252</v>
      </c>
      <c r="J455" s="278">
        <v>338858</v>
      </c>
      <c r="K455" s="278">
        <v>127339</v>
      </c>
      <c r="L455" s="278">
        <v>200289</v>
      </c>
      <c r="M455" s="278">
        <v>52680</v>
      </c>
      <c r="N455" s="278">
        <v>395881</v>
      </c>
      <c r="O455" s="278">
        <v>161434</v>
      </c>
      <c r="P455" s="278">
        <v>223203</v>
      </c>
      <c r="Q455" s="278">
        <v>338784</v>
      </c>
      <c r="R455" s="278">
        <v>127314</v>
      </c>
      <c r="S455" s="278">
        <v>200240</v>
      </c>
    </row>
    <row r="456" spans="1:19">
      <c r="A456" s="241" t="s">
        <v>3159</v>
      </c>
      <c r="B456" s="241" t="s">
        <v>5303</v>
      </c>
      <c r="C456" s="241" t="s">
        <v>3170</v>
      </c>
      <c r="D456" s="241" t="s">
        <v>3580</v>
      </c>
      <c r="E456" s="241" t="s">
        <v>3627</v>
      </c>
      <c r="F456" s="278">
        <v>42696</v>
      </c>
      <c r="G456" s="278">
        <v>395393</v>
      </c>
      <c r="H456" s="278">
        <v>207135</v>
      </c>
      <c r="I456" s="278">
        <v>181323</v>
      </c>
      <c r="J456" s="278">
        <v>345065</v>
      </c>
      <c r="K456" s="278">
        <v>174255</v>
      </c>
      <c r="L456" s="278">
        <v>163895</v>
      </c>
      <c r="M456" s="278">
        <v>42696</v>
      </c>
      <c r="N456" s="278">
        <v>395393</v>
      </c>
      <c r="O456" s="278">
        <v>207135</v>
      </c>
      <c r="P456" s="278">
        <v>181323</v>
      </c>
      <c r="Q456" s="278">
        <v>345065</v>
      </c>
      <c r="R456" s="278">
        <v>174255</v>
      </c>
      <c r="S456" s="278">
        <v>163895</v>
      </c>
    </row>
    <row r="457" spans="1:19">
      <c r="A457" s="241" t="s">
        <v>3159</v>
      </c>
      <c r="B457" s="241" t="s">
        <v>5303</v>
      </c>
      <c r="C457" s="241" t="s">
        <v>3172</v>
      </c>
      <c r="D457" s="241" t="s">
        <v>3580</v>
      </c>
      <c r="E457" s="241" t="s">
        <v>3628</v>
      </c>
      <c r="F457" s="278">
        <v>327</v>
      </c>
      <c r="G457" s="278">
        <v>6921</v>
      </c>
      <c r="H457" s="278">
        <v>3795</v>
      </c>
      <c r="I457" s="278">
        <v>3126</v>
      </c>
      <c r="J457" s="278">
        <v>6518</v>
      </c>
      <c r="K457" s="278">
        <v>3563</v>
      </c>
      <c r="L457" s="278">
        <v>2955</v>
      </c>
      <c r="M457" s="278">
        <v>327</v>
      </c>
      <c r="N457" s="278">
        <v>6921</v>
      </c>
      <c r="O457" s="278">
        <v>3795</v>
      </c>
      <c r="P457" s="278">
        <v>3126</v>
      </c>
      <c r="Q457" s="278">
        <v>6518</v>
      </c>
      <c r="R457" s="278">
        <v>3563</v>
      </c>
      <c r="S457" s="278">
        <v>2955</v>
      </c>
    </row>
    <row r="458" spans="1:19">
      <c r="A458" s="241" t="s">
        <v>3159</v>
      </c>
      <c r="B458" s="241" t="s">
        <v>5303</v>
      </c>
      <c r="C458" s="241" t="s">
        <v>3172</v>
      </c>
      <c r="D458" s="241" t="s">
        <v>3580</v>
      </c>
      <c r="E458" s="241" t="s">
        <v>3629</v>
      </c>
      <c r="F458" s="278">
        <v>31353</v>
      </c>
      <c r="G458" s="278">
        <v>283175</v>
      </c>
      <c r="H458" s="278">
        <v>136339</v>
      </c>
      <c r="I458" s="278">
        <v>140678</v>
      </c>
      <c r="J458" s="278">
        <v>246431</v>
      </c>
      <c r="K458" s="278">
        <v>112605</v>
      </c>
      <c r="L458" s="278">
        <v>127686</v>
      </c>
      <c r="M458" s="278">
        <v>31353</v>
      </c>
      <c r="N458" s="278">
        <v>283175</v>
      </c>
      <c r="O458" s="278">
        <v>136339</v>
      </c>
      <c r="P458" s="278">
        <v>140678</v>
      </c>
      <c r="Q458" s="278">
        <v>246431</v>
      </c>
      <c r="R458" s="278">
        <v>112605</v>
      </c>
      <c r="S458" s="278">
        <v>127686</v>
      </c>
    </row>
    <row r="459" spans="1:19">
      <c r="A459" s="241" t="s">
        <v>3159</v>
      </c>
      <c r="B459" s="241" t="s">
        <v>5303</v>
      </c>
      <c r="C459" s="241" t="s">
        <v>3172</v>
      </c>
      <c r="D459" s="241" t="s">
        <v>3580</v>
      </c>
      <c r="E459" s="241" t="s">
        <v>3630</v>
      </c>
      <c r="F459" s="278">
        <v>2852</v>
      </c>
      <c r="G459" s="278">
        <v>34451</v>
      </c>
      <c r="H459" s="278">
        <v>29085</v>
      </c>
      <c r="I459" s="278">
        <v>5349</v>
      </c>
      <c r="J459" s="278">
        <v>32254</v>
      </c>
      <c r="K459" s="278">
        <v>27610</v>
      </c>
      <c r="L459" s="278">
        <v>4627</v>
      </c>
      <c r="M459" s="278">
        <v>2852</v>
      </c>
      <c r="N459" s="278">
        <v>34451</v>
      </c>
      <c r="O459" s="278">
        <v>29085</v>
      </c>
      <c r="P459" s="278">
        <v>5349</v>
      </c>
      <c r="Q459" s="278">
        <v>32254</v>
      </c>
      <c r="R459" s="278">
        <v>27610</v>
      </c>
      <c r="S459" s="278">
        <v>4627</v>
      </c>
    </row>
    <row r="460" spans="1:19">
      <c r="A460" s="241" t="s">
        <v>3159</v>
      </c>
      <c r="B460" s="241" t="s">
        <v>5303</v>
      </c>
      <c r="C460" s="241" t="s">
        <v>3172</v>
      </c>
      <c r="D460" s="241" t="s">
        <v>3580</v>
      </c>
      <c r="E460" s="241" t="s">
        <v>3631</v>
      </c>
      <c r="F460" s="278">
        <v>8164</v>
      </c>
      <c r="G460" s="278">
        <v>70846</v>
      </c>
      <c r="H460" s="278">
        <v>37916</v>
      </c>
      <c r="I460" s="278">
        <v>32170</v>
      </c>
      <c r="J460" s="278">
        <v>59862</v>
      </c>
      <c r="K460" s="278">
        <v>30477</v>
      </c>
      <c r="L460" s="278">
        <v>28627</v>
      </c>
      <c r="M460" s="278">
        <v>8164</v>
      </c>
      <c r="N460" s="278">
        <v>70846</v>
      </c>
      <c r="O460" s="278">
        <v>37916</v>
      </c>
      <c r="P460" s="278">
        <v>32170</v>
      </c>
      <c r="Q460" s="278">
        <v>59862</v>
      </c>
      <c r="R460" s="278">
        <v>30477</v>
      </c>
      <c r="S460" s="278">
        <v>28627</v>
      </c>
    </row>
    <row r="461" spans="1:19">
      <c r="A461" s="241" t="s">
        <v>3159</v>
      </c>
      <c r="B461" s="241" t="s">
        <v>5303</v>
      </c>
      <c r="C461" s="241" t="s">
        <v>3168</v>
      </c>
      <c r="D461" s="241" t="s">
        <v>3632</v>
      </c>
      <c r="E461" s="241" t="s">
        <v>3633</v>
      </c>
      <c r="F461" s="278">
        <v>83871</v>
      </c>
      <c r="G461" s="278">
        <v>1494577</v>
      </c>
      <c r="H461" s="278">
        <v>658473</v>
      </c>
      <c r="I461" s="278">
        <v>818608</v>
      </c>
      <c r="J461" s="278">
        <v>1429571</v>
      </c>
      <c r="K461" s="278">
        <v>609467</v>
      </c>
      <c r="L461" s="278">
        <v>802662</v>
      </c>
      <c r="M461" s="278">
        <v>83852</v>
      </c>
      <c r="N461" s="278">
        <v>1494436</v>
      </c>
      <c r="O461" s="278">
        <v>658376</v>
      </c>
      <c r="P461" s="278">
        <v>818564</v>
      </c>
      <c r="Q461" s="278">
        <v>1429430</v>
      </c>
      <c r="R461" s="278">
        <v>609370</v>
      </c>
      <c r="S461" s="278">
        <v>802618</v>
      </c>
    </row>
    <row r="462" spans="1:19">
      <c r="A462" s="241" t="s">
        <v>3159</v>
      </c>
      <c r="B462" s="241" t="s">
        <v>5303</v>
      </c>
      <c r="C462" s="241" t="s">
        <v>3170</v>
      </c>
      <c r="D462" s="241" t="s">
        <v>3632</v>
      </c>
      <c r="E462" s="241" t="s">
        <v>3634</v>
      </c>
      <c r="F462" s="278">
        <v>14108</v>
      </c>
      <c r="G462" s="278">
        <v>396352</v>
      </c>
      <c r="H462" s="278">
        <v>171392</v>
      </c>
      <c r="I462" s="278">
        <v>224912</v>
      </c>
      <c r="J462" s="278">
        <v>392814</v>
      </c>
      <c r="K462" s="278">
        <v>169306</v>
      </c>
      <c r="L462" s="278">
        <v>223460</v>
      </c>
      <c r="M462" s="278">
        <v>14108</v>
      </c>
      <c r="N462" s="278">
        <v>396352</v>
      </c>
      <c r="O462" s="278">
        <v>171392</v>
      </c>
      <c r="P462" s="278">
        <v>224912</v>
      </c>
      <c r="Q462" s="278">
        <v>392814</v>
      </c>
      <c r="R462" s="278">
        <v>169306</v>
      </c>
      <c r="S462" s="278">
        <v>223460</v>
      </c>
    </row>
    <row r="463" spans="1:19">
      <c r="A463" s="241" t="s">
        <v>3159</v>
      </c>
      <c r="B463" s="241" t="s">
        <v>5303</v>
      </c>
      <c r="C463" s="241" t="s">
        <v>3172</v>
      </c>
      <c r="D463" s="241" t="s">
        <v>3632</v>
      </c>
      <c r="E463" s="241" t="s">
        <v>3635</v>
      </c>
      <c r="F463" s="278">
        <v>101</v>
      </c>
      <c r="G463" s="278">
        <v>8513</v>
      </c>
      <c r="H463" s="278">
        <v>5029</v>
      </c>
      <c r="I463" s="278">
        <v>3484</v>
      </c>
      <c r="J463" s="278">
        <v>8281</v>
      </c>
      <c r="K463" s="278">
        <v>4810</v>
      </c>
      <c r="L463" s="278">
        <v>3471</v>
      </c>
      <c r="M463" s="278">
        <v>101</v>
      </c>
      <c r="N463" s="278">
        <v>8513</v>
      </c>
      <c r="O463" s="278">
        <v>5029</v>
      </c>
      <c r="P463" s="278">
        <v>3484</v>
      </c>
      <c r="Q463" s="278">
        <v>8281</v>
      </c>
      <c r="R463" s="278">
        <v>4810</v>
      </c>
      <c r="S463" s="278">
        <v>3471</v>
      </c>
    </row>
    <row r="464" spans="1:19">
      <c r="A464" s="241" t="s">
        <v>3159</v>
      </c>
      <c r="B464" s="241" t="s">
        <v>5303</v>
      </c>
      <c r="C464" s="241" t="s">
        <v>3172</v>
      </c>
      <c r="D464" s="241" t="s">
        <v>3632</v>
      </c>
      <c r="E464" s="241" t="s">
        <v>3636</v>
      </c>
      <c r="F464" s="278">
        <v>46</v>
      </c>
      <c r="G464" s="278">
        <v>4740</v>
      </c>
      <c r="H464" s="278">
        <v>2501</v>
      </c>
      <c r="I464" s="278">
        <v>2239</v>
      </c>
      <c r="J464" s="278">
        <v>4722</v>
      </c>
      <c r="K464" s="278">
        <v>2485</v>
      </c>
      <c r="L464" s="278">
        <v>2237</v>
      </c>
      <c r="M464" s="278">
        <v>46</v>
      </c>
      <c r="N464" s="278">
        <v>4740</v>
      </c>
      <c r="O464" s="278">
        <v>2501</v>
      </c>
      <c r="P464" s="278">
        <v>2239</v>
      </c>
      <c r="Q464" s="278">
        <v>4722</v>
      </c>
      <c r="R464" s="278">
        <v>2485</v>
      </c>
      <c r="S464" s="278">
        <v>2237</v>
      </c>
    </row>
    <row r="465" spans="1:19">
      <c r="A465" s="241" t="s">
        <v>3159</v>
      </c>
      <c r="B465" s="241" t="s">
        <v>5303</v>
      </c>
      <c r="C465" s="241" t="s">
        <v>3172</v>
      </c>
      <c r="D465" s="241" t="s">
        <v>3632</v>
      </c>
      <c r="E465" s="241" t="s">
        <v>3637</v>
      </c>
      <c r="F465" s="278">
        <v>13961</v>
      </c>
      <c r="G465" s="278">
        <v>383099</v>
      </c>
      <c r="H465" s="278">
        <v>163862</v>
      </c>
      <c r="I465" s="278">
        <v>219189</v>
      </c>
      <c r="J465" s="278">
        <v>379811</v>
      </c>
      <c r="K465" s="278">
        <v>162011</v>
      </c>
      <c r="L465" s="278">
        <v>217752</v>
      </c>
      <c r="M465" s="278">
        <v>13961</v>
      </c>
      <c r="N465" s="278">
        <v>383099</v>
      </c>
      <c r="O465" s="278">
        <v>163862</v>
      </c>
      <c r="P465" s="278">
        <v>219189</v>
      </c>
      <c r="Q465" s="278">
        <v>379811</v>
      </c>
      <c r="R465" s="278">
        <v>162011</v>
      </c>
      <c r="S465" s="278">
        <v>217752</v>
      </c>
    </row>
    <row r="466" spans="1:19">
      <c r="A466" s="241" t="s">
        <v>3159</v>
      </c>
      <c r="B466" s="241" t="s">
        <v>5303</v>
      </c>
      <c r="C466" s="241" t="s">
        <v>3170</v>
      </c>
      <c r="D466" s="241" t="s">
        <v>3632</v>
      </c>
      <c r="E466" s="241" t="s">
        <v>3638</v>
      </c>
      <c r="F466" s="278">
        <v>11093</v>
      </c>
      <c r="G466" s="278">
        <v>173325</v>
      </c>
      <c r="H466" s="278">
        <v>98423</v>
      </c>
      <c r="I466" s="278">
        <v>74670</v>
      </c>
      <c r="J466" s="278">
        <v>168851</v>
      </c>
      <c r="K466" s="278">
        <v>94303</v>
      </c>
      <c r="L466" s="278">
        <v>74320</v>
      </c>
      <c r="M466" s="278">
        <v>11093</v>
      </c>
      <c r="N466" s="278">
        <v>173325</v>
      </c>
      <c r="O466" s="278">
        <v>98423</v>
      </c>
      <c r="P466" s="278">
        <v>74670</v>
      </c>
      <c r="Q466" s="278">
        <v>168851</v>
      </c>
      <c r="R466" s="278">
        <v>94303</v>
      </c>
      <c r="S466" s="278">
        <v>74320</v>
      </c>
    </row>
    <row r="467" spans="1:19">
      <c r="A467" s="241" t="s">
        <v>3159</v>
      </c>
      <c r="B467" s="241" t="s">
        <v>5303</v>
      </c>
      <c r="C467" s="241" t="s">
        <v>3172</v>
      </c>
      <c r="D467" s="241" t="s">
        <v>3632</v>
      </c>
      <c r="E467" s="241" t="s">
        <v>3639</v>
      </c>
      <c r="F467" s="278">
        <v>54</v>
      </c>
      <c r="G467" s="278">
        <v>2306</v>
      </c>
      <c r="H467" s="278">
        <v>1395</v>
      </c>
      <c r="I467" s="278">
        <v>911</v>
      </c>
      <c r="J467" s="278">
        <v>2142</v>
      </c>
      <c r="K467" s="278">
        <v>1233</v>
      </c>
      <c r="L467" s="278">
        <v>909</v>
      </c>
      <c r="M467" s="278">
        <v>54</v>
      </c>
      <c r="N467" s="278">
        <v>2306</v>
      </c>
      <c r="O467" s="278">
        <v>1395</v>
      </c>
      <c r="P467" s="278">
        <v>911</v>
      </c>
      <c r="Q467" s="278">
        <v>2142</v>
      </c>
      <c r="R467" s="278">
        <v>1233</v>
      </c>
      <c r="S467" s="278">
        <v>909</v>
      </c>
    </row>
    <row r="468" spans="1:19">
      <c r="A468" s="241" t="s">
        <v>3159</v>
      </c>
      <c r="B468" s="241" t="s">
        <v>5303</v>
      </c>
      <c r="C468" s="241" t="s">
        <v>3172</v>
      </c>
      <c r="D468" s="241" t="s">
        <v>3632</v>
      </c>
      <c r="E468" s="241" t="s">
        <v>3640</v>
      </c>
      <c r="F468" s="278">
        <v>10111</v>
      </c>
      <c r="G468" s="278">
        <v>156211</v>
      </c>
      <c r="H468" s="278">
        <v>88038</v>
      </c>
      <c r="I468" s="278">
        <v>68100</v>
      </c>
      <c r="J468" s="278">
        <v>152618</v>
      </c>
      <c r="K468" s="278">
        <v>84749</v>
      </c>
      <c r="L468" s="278">
        <v>67800</v>
      </c>
      <c r="M468" s="278">
        <v>10111</v>
      </c>
      <c r="N468" s="278">
        <v>156211</v>
      </c>
      <c r="O468" s="278">
        <v>88038</v>
      </c>
      <c r="P468" s="278">
        <v>68100</v>
      </c>
      <c r="Q468" s="278">
        <v>152618</v>
      </c>
      <c r="R468" s="278">
        <v>84749</v>
      </c>
      <c r="S468" s="278">
        <v>67800</v>
      </c>
    </row>
    <row r="469" spans="1:19">
      <c r="A469" s="241" t="s">
        <v>3159</v>
      </c>
      <c r="B469" s="241" t="s">
        <v>5303</v>
      </c>
      <c r="C469" s="241" t="s">
        <v>3172</v>
      </c>
      <c r="D469" s="241" t="s">
        <v>3632</v>
      </c>
      <c r="E469" s="241" t="s">
        <v>3641</v>
      </c>
      <c r="F469" s="278">
        <v>928</v>
      </c>
      <c r="G469" s="278">
        <v>14808</v>
      </c>
      <c r="H469" s="278">
        <v>8990</v>
      </c>
      <c r="I469" s="278">
        <v>5659</v>
      </c>
      <c r="J469" s="278">
        <v>14091</v>
      </c>
      <c r="K469" s="278">
        <v>8321</v>
      </c>
      <c r="L469" s="278">
        <v>5611</v>
      </c>
      <c r="M469" s="278">
        <v>928</v>
      </c>
      <c r="N469" s="278">
        <v>14808</v>
      </c>
      <c r="O469" s="278">
        <v>8990</v>
      </c>
      <c r="P469" s="278">
        <v>5659</v>
      </c>
      <c r="Q469" s="278">
        <v>14091</v>
      </c>
      <c r="R469" s="278">
        <v>8321</v>
      </c>
      <c r="S469" s="278">
        <v>5611</v>
      </c>
    </row>
    <row r="470" spans="1:19">
      <c r="A470" s="241" t="s">
        <v>3159</v>
      </c>
      <c r="B470" s="241" t="s">
        <v>5303</v>
      </c>
      <c r="C470" s="241" t="s">
        <v>3170</v>
      </c>
      <c r="D470" s="241" t="s">
        <v>3632</v>
      </c>
      <c r="E470" s="241" t="s">
        <v>3642</v>
      </c>
      <c r="F470" s="278">
        <v>5352</v>
      </c>
      <c r="G470" s="278">
        <v>103232</v>
      </c>
      <c r="H470" s="278">
        <v>49026</v>
      </c>
      <c r="I470" s="278">
        <v>54176</v>
      </c>
      <c r="J470" s="278">
        <v>97664</v>
      </c>
      <c r="K470" s="278">
        <v>44659</v>
      </c>
      <c r="L470" s="278">
        <v>52976</v>
      </c>
      <c r="M470" s="278">
        <v>5352</v>
      </c>
      <c r="N470" s="278">
        <v>103232</v>
      </c>
      <c r="O470" s="278">
        <v>49026</v>
      </c>
      <c r="P470" s="278">
        <v>54176</v>
      </c>
      <c r="Q470" s="278">
        <v>97664</v>
      </c>
      <c r="R470" s="278">
        <v>44659</v>
      </c>
      <c r="S470" s="278">
        <v>52976</v>
      </c>
    </row>
    <row r="471" spans="1:19">
      <c r="A471" s="241" t="s">
        <v>3159</v>
      </c>
      <c r="B471" s="241" t="s">
        <v>5303</v>
      </c>
      <c r="C471" s="241" t="s">
        <v>3172</v>
      </c>
      <c r="D471" s="241" t="s">
        <v>3632</v>
      </c>
      <c r="E471" s="241" t="s">
        <v>3643</v>
      </c>
      <c r="F471" s="278">
        <v>22</v>
      </c>
      <c r="G471" s="278">
        <v>809</v>
      </c>
      <c r="H471" s="278">
        <v>395</v>
      </c>
      <c r="I471" s="278">
        <v>414</v>
      </c>
      <c r="J471" s="278">
        <v>778</v>
      </c>
      <c r="K471" s="278">
        <v>365</v>
      </c>
      <c r="L471" s="278">
        <v>413</v>
      </c>
      <c r="M471" s="278">
        <v>22</v>
      </c>
      <c r="N471" s="278">
        <v>809</v>
      </c>
      <c r="O471" s="278">
        <v>395</v>
      </c>
      <c r="P471" s="278">
        <v>414</v>
      </c>
      <c r="Q471" s="278">
        <v>778</v>
      </c>
      <c r="R471" s="278">
        <v>365</v>
      </c>
      <c r="S471" s="278">
        <v>413</v>
      </c>
    </row>
    <row r="472" spans="1:19">
      <c r="A472" s="241" t="s">
        <v>3159</v>
      </c>
      <c r="B472" s="241" t="s">
        <v>5303</v>
      </c>
      <c r="C472" s="241" t="s">
        <v>3172</v>
      </c>
      <c r="D472" s="241" t="s">
        <v>3632</v>
      </c>
      <c r="E472" s="241" t="s">
        <v>3644</v>
      </c>
      <c r="F472" s="278">
        <v>1087</v>
      </c>
      <c r="G472" s="278">
        <v>15414</v>
      </c>
      <c r="H472" s="278">
        <v>9157</v>
      </c>
      <c r="I472" s="278">
        <v>6253</v>
      </c>
      <c r="J472" s="278">
        <v>14206</v>
      </c>
      <c r="K472" s="278">
        <v>8224</v>
      </c>
      <c r="L472" s="278">
        <v>5979</v>
      </c>
      <c r="M472" s="278">
        <v>1087</v>
      </c>
      <c r="N472" s="278">
        <v>15414</v>
      </c>
      <c r="O472" s="278">
        <v>9157</v>
      </c>
      <c r="P472" s="278">
        <v>6253</v>
      </c>
      <c r="Q472" s="278">
        <v>14206</v>
      </c>
      <c r="R472" s="278">
        <v>8224</v>
      </c>
      <c r="S472" s="278">
        <v>5979</v>
      </c>
    </row>
    <row r="473" spans="1:19">
      <c r="A473" s="241" t="s">
        <v>3159</v>
      </c>
      <c r="B473" s="241" t="s">
        <v>5303</v>
      </c>
      <c r="C473" s="241" t="s">
        <v>3172</v>
      </c>
      <c r="D473" s="241" t="s">
        <v>3632</v>
      </c>
      <c r="E473" s="241" t="s">
        <v>3645</v>
      </c>
      <c r="F473" s="278">
        <v>1324</v>
      </c>
      <c r="G473" s="278">
        <v>3694</v>
      </c>
      <c r="H473" s="278">
        <v>2080</v>
      </c>
      <c r="I473" s="278">
        <v>1607</v>
      </c>
      <c r="J473" s="278">
        <v>1699</v>
      </c>
      <c r="K473" s="278">
        <v>833</v>
      </c>
      <c r="L473" s="278">
        <v>859</v>
      </c>
      <c r="M473" s="278">
        <v>1324</v>
      </c>
      <c r="N473" s="278">
        <v>3694</v>
      </c>
      <c r="O473" s="278">
        <v>2080</v>
      </c>
      <c r="P473" s="278">
        <v>1607</v>
      </c>
      <c r="Q473" s="278">
        <v>1699</v>
      </c>
      <c r="R473" s="278">
        <v>833</v>
      </c>
      <c r="S473" s="278">
        <v>859</v>
      </c>
    </row>
    <row r="474" spans="1:19">
      <c r="A474" s="241" t="s">
        <v>3159</v>
      </c>
      <c r="B474" s="241" t="s">
        <v>5303</v>
      </c>
      <c r="C474" s="241" t="s">
        <v>3172</v>
      </c>
      <c r="D474" s="241" t="s">
        <v>3632</v>
      </c>
      <c r="E474" s="241" t="s">
        <v>3646</v>
      </c>
      <c r="F474" s="278">
        <v>1395</v>
      </c>
      <c r="G474" s="278">
        <v>63323</v>
      </c>
      <c r="H474" s="278">
        <v>24747</v>
      </c>
      <c r="I474" s="278">
        <v>38575</v>
      </c>
      <c r="J474" s="278">
        <v>62105</v>
      </c>
      <c r="K474" s="278">
        <v>23623</v>
      </c>
      <c r="L474" s="278">
        <v>38481</v>
      </c>
      <c r="M474" s="278">
        <v>1395</v>
      </c>
      <c r="N474" s="278">
        <v>63323</v>
      </c>
      <c r="O474" s="278">
        <v>24747</v>
      </c>
      <c r="P474" s="278">
        <v>38575</v>
      </c>
      <c r="Q474" s="278">
        <v>62105</v>
      </c>
      <c r="R474" s="278">
        <v>23623</v>
      </c>
      <c r="S474" s="278">
        <v>38481</v>
      </c>
    </row>
    <row r="475" spans="1:19">
      <c r="A475" s="241" t="s">
        <v>3159</v>
      </c>
      <c r="B475" s="241" t="s">
        <v>5303</v>
      </c>
      <c r="C475" s="241" t="s">
        <v>3172</v>
      </c>
      <c r="D475" s="241" t="s">
        <v>3632</v>
      </c>
      <c r="E475" s="241" t="s">
        <v>3647</v>
      </c>
      <c r="F475" s="278">
        <v>1524</v>
      </c>
      <c r="G475" s="278">
        <v>19992</v>
      </c>
      <c r="H475" s="278">
        <v>12647</v>
      </c>
      <c r="I475" s="278">
        <v>7327</v>
      </c>
      <c r="J475" s="278">
        <v>18876</v>
      </c>
      <c r="K475" s="278">
        <v>11614</v>
      </c>
      <c r="L475" s="278">
        <v>7244</v>
      </c>
      <c r="M475" s="278">
        <v>1524</v>
      </c>
      <c r="N475" s="278">
        <v>19992</v>
      </c>
      <c r="O475" s="278">
        <v>12647</v>
      </c>
      <c r="P475" s="278">
        <v>7327</v>
      </c>
      <c r="Q475" s="278">
        <v>18876</v>
      </c>
      <c r="R475" s="278">
        <v>11614</v>
      </c>
      <c r="S475" s="278">
        <v>7244</v>
      </c>
    </row>
    <row r="476" spans="1:19">
      <c r="A476" s="241" t="s">
        <v>3159</v>
      </c>
      <c r="B476" s="241" t="s">
        <v>5303</v>
      </c>
      <c r="C476" s="241" t="s">
        <v>3170</v>
      </c>
      <c r="D476" s="241" t="s">
        <v>3632</v>
      </c>
      <c r="E476" s="241" t="s">
        <v>3648</v>
      </c>
      <c r="F476" s="278">
        <v>5348</v>
      </c>
      <c r="G476" s="278">
        <v>103894</v>
      </c>
      <c r="H476" s="278">
        <v>70055</v>
      </c>
      <c r="I476" s="278">
        <v>33481</v>
      </c>
      <c r="J476" s="278">
        <v>96868</v>
      </c>
      <c r="K476" s="278">
        <v>64960</v>
      </c>
      <c r="L476" s="278">
        <v>31551</v>
      </c>
      <c r="M476" s="278">
        <v>5348</v>
      </c>
      <c r="N476" s="278">
        <v>103894</v>
      </c>
      <c r="O476" s="278">
        <v>70055</v>
      </c>
      <c r="P476" s="278">
        <v>33481</v>
      </c>
      <c r="Q476" s="278">
        <v>96868</v>
      </c>
      <c r="R476" s="278">
        <v>64960</v>
      </c>
      <c r="S476" s="278">
        <v>31551</v>
      </c>
    </row>
    <row r="477" spans="1:19">
      <c r="A477" s="241" t="s">
        <v>3159</v>
      </c>
      <c r="B477" s="241" t="s">
        <v>5303</v>
      </c>
      <c r="C477" s="241" t="s">
        <v>3172</v>
      </c>
      <c r="D477" s="241" t="s">
        <v>3632</v>
      </c>
      <c r="E477" s="241" t="s">
        <v>3649</v>
      </c>
      <c r="F477" s="278">
        <v>7</v>
      </c>
      <c r="G477" s="278">
        <v>1349</v>
      </c>
      <c r="H477" s="278">
        <v>881</v>
      </c>
      <c r="I477" s="278">
        <v>468</v>
      </c>
      <c r="J477" s="278">
        <v>1332</v>
      </c>
      <c r="K477" s="278">
        <v>864</v>
      </c>
      <c r="L477" s="278">
        <v>468</v>
      </c>
      <c r="M477" s="278">
        <v>7</v>
      </c>
      <c r="N477" s="278">
        <v>1349</v>
      </c>
      <c r="O477" s="278">
        <v>881</v>
      </c>
      <c r="P477" s="278">
        <v>468</v>
      </c>
      <c r="Q477" s="278">
        <v>1332</v>
      </c>
      <c r="R477" s="278">
        <v>864</v>
      </c>
      <c r="S477" s="278">
        <v>468</v>
      </c>
    </row>
    <row r="478" spans="1:19">
      <c r="A478" s="241" t="s">
        <v>3159</v>
      </c>
      <c r="B478" s="241" t="s">
        <v>5303</v>
      </c>
      <c r="C478" s="241" t="s">
        <v>3172</v>
      </c>
      <c r="D478" s="241" t="s">
        <v>3632</v>
      </c>
      <c r="E478" s="241" t="s">
        <v>3650</v>
      </c>
      <c r="F478" s="278">
        <v>5242</v>
      </c>
      <c r="G478" s="278">
        <v>101202</v>
      </c>
      <c r="H478" s="278">
        <v>68116</v>
      </c>
      <c r="I478" s="278">
        <v>32728</v>
      </c>
      <c r="J478" s="278">
        <v>94382</v>
      </c>
      <c r="K478" s="278">
        <v>63190</v>
      </c>
      <c r="L478" s="278">
        <v>30835</v>
      </c>
      <c r="M478" s="278">
        <v>5242</v>
      </c>
      <c r="N478" s="278">
        <v>101202</v>
      </c>
      <c r="O478" s="278">
        <v>68116</v>
      </c>
      <c r="P478" s="278">
        <v>32728</v>
      </c>
      <c r="Q478" s="278">
        <v>94382</v>
      </c>
      <c r="R478" s="278">
        <v>63190</v>
      </c>
      <c r="S478" s="278">
        <v>30835</v>
      </c>
    </row>
    <row r="479" spans="1:19">
      <c r="A479" s="241" t="s">
        <v>3159</v>
      </c>
      <c r="B479" s="241" t="s">
        <v>5303</v>
      </c>
      <c r="C479" s="241" t="s">
        <v>3172</v>
      </c>
      <c r="D479" s="241" t="s">
        <v>3632</v>
      </c>
      <c r="E479" s="241" t="s">
        <v>3651</v>
      </c>
      <c r="F479" s="278">
        <v>99</v>
      </c>
      <c r="G479" s="278">
        <v>1343</v>
      </c>
      <c r="H479" s="278">
        <v>1058</v>
      </c>
      <c r="I479" s="278">
        <v>285</v>
      </c>
      <c r="J479" s="278">
        <v>1154</v>
      </c>
      <c r="K479" s="278">
        <v>906</v>
      </c>
      <c r="L479" s="278">
        <v>248</v>
      </c>
      <c r="M479" s="278">
        <v>99</v>
      </c>
      <c r="N479" s="278">
        <v>1343</v>
      </c>
      <c r="O479" s="278">
        <v>1058</v>
      </c>
      <c r="P479" s="278">
        <v>285</v>
      </c>
      <c r="Q479" s="278">
        <v>1154</v>
      </c>
      <c r="R479" s="278">
        <v>906</v>
      </c>
      <c r="S479" s="278">
        <v>248</v>
      </c>
    </row>
    <row r="480" spans="1:19">
      <c r="A480" s="241" t="s">
        <v>3159</v>
      </c>
      <c r="B480" s="241" t="s">
        <v>5303</v>
      </c>
      <c r="C480" s="241" t="s">
        <v>3170</v>
      </c>
      <c r="D480" s="241" t="s">
        <v>3632</v>
      </c>
      <c r="E480" s="241" t="s">
        <v>3652</v>
      </c>
      <c r="F480" s="278">
        <v>2093</v>
      </c>
      <c r="G480" s="278">
        <v>35440</v>
      </c>
      <c r="H480" s="278">
        <v>22513</v>
      </c>
      <c r="I480" s="278">
        <v>12737</v>
      </c>
      <c r="J480" s="278">
        <v>32637</v>
      </c>
      <c r="K480" s="278">
        <v>19965</v>
      </c>
      <c r="L480" s="278">
        <v>12482</v>
      </c>
      <c r="M480" s="278">
        <v>2093</v>
      </c>
      <c r="N480" s="278">
        <v>35440</v>
      </c>
      <c r="O480" s="278">
        <v>22513</v>
      </c>
      <c r="P480" s="278">
        <v>12737</v>
      </c>
      <c r="Q480" s="278">
        <v>32637</v>
      </c>
      <c r="R480" s="278">
        <v>19965</v>
      </c>
      <c r="S480" s="278">
        <v>12482</v>
      </c>
    </row>
    <row r="481" spans="1:19">
      <c r="A481" s="241" t="s">
        <v>3159</v>
      </c>
      <c r="B481" s="241" t="s">
        <v>5303</v>
      </c>
      <c r="C481" s="241" t="s">
        <v>3172</v>
      </c>
      <c r="D481" s="241" t="s">
        <v>3632</v>
      </c>
      <c r="E481" s="241" t="s">
        <v>3653</v>
      </c>
      <c r="F481" s="278">
        <v>10</v>
      </c>
      <c r="G481" s="278">
        <v>374</v>
      </c>
      <c r="H481" s="278">
        <v>266</v>
      </c>
      <c r="I481" s="278">
        <v>108</v>
      </c>
      <c r="J481" s="278">
        <v>337</v>
      </c>
      <c r="K481" s="278">
        <v>230</v>
      </c>
      <c r="L481" s="278">
        <v>107</v>
      </c>
      <c r="M481" s="278">
        <v>10</v>
      </c>
      <c r="N481" s="278">
        <v>374</v>
      </c>
      <c r="O481" s="278">
        <v>266</v>
      </c>
      <c r="P481" s="278">
        <v>108</v>
      </c>
      <c r="Q481" s="278">
        <v>337</v>
      </c>
      <c r="R481" s="278">
        <v>230</v>
      </c>
      <c r="S481" s="278">
        <v>107</v>
      </c>
    </row>
    <row r="482" spans="1:19">
      <c r="A482" s="241" t="s">
        <v>3159</v>
      </c>
      <c r="B482" s="241" t="s">
        <v>5303</v>
      </c>
      <c r="C482" s="241" t="s">
        <v>3172</v>
      </c>
      <c r="D482" s="241" t="s">
        <v>3632</v>
      </c>
      <c r="E482" s="241" t="s">
        <v>3654</v>
      </c>
      <c r="F482" s="278">
        <v>1466</v>
      </c>
      <c r="G482" s="278">
        <v>29491</v>
      </c>
      <c r="H482" s="278">
        <v>19027</v>
      </c>
      <c r="I482" s="278">
        <v>10308</v>
      </c>
      <c r="J482" s="278">
        <v>27156</v>
      </c>
      <c r="K482" s="278">
        <v>16867</v>
      </c>
      <c r="L482" s="278">
        <v>10133</v>
      </c>
      <c r="M482" s="278">
        <v>1466</v>
      </c>
      <c r="N482" s="278">
        <v>29491</v>
      </c>
      <c r="O482" s="278">
        <v>19027</v>
      </c>
      <c r="P482" s="278">
        <v>10308</v>
      </c>
      <c r="Q482" s="278">
        <v>27156</v>
      </c>
      <c r="R482" s="278">
        <v>16867</v>
      </c>
      <c r="S482" s="278">
        <v>10133</v>
      </c>
    </row>
    <row r="483" spans="1:19">
      <c r="A483" s="241" t="s">
        <v>3159</v>
      </c>
      <c r="B483" s="241" t="s">
        <v>5303</v>
      </c>
      <c r="C483" s="241" t="s">
        <v>3172</v>
      </c>
      <c r="D483" s="241" t="s">
        <v>3632</v>
      </c>
      <c r="E483" s="241" t="s">
        <v>3655</v>
      </c>
      <c r="F483" s="278">
        <v>69</v>
      </c>
      <c r="G483" s="278">
        <v>266</v>
      </c>
      <c r="H483" s="278">
        <v>161</v>
      </c>
      <c r="I483" s="278">
        <v>104</v>
      </c>
      <c r="J483" s="278">
        <v>224</v>
      </c>
      <c r="K483" s="278">
        <v>123</v>
      </c>
      <c r="L483" s="278">
        <v>100</v>
      </c>
      <c r="M483" s="278">
        <v>69</v>
      </c>
      <c r="N483" s="278">
        <v>266</v>
      </c>
      <c r="O483" s="278">
        <v>161</v>
      </c>
      <c r="P483" s="278">
        <v>104</v>
      </c>
      <c r="Q483" s="278">
        <v>224</v>
      </c>
      <c r="R483" s="278">
        <v>123</v>
      </c>
      <c r="S483" s="278">
        <v>100</v>
      </c>
    </row>
    <row r="484" spans="1:19">
      <c r="A484" s="241" t="s">
        <v>3159</v>
      </c>
      <c r="B484" s="241" t="s">
        <v>5303</v>
      </c>
      <c r="C484" s="241" t="s">
        <v>3172</v>
      </c>
      <c r="D484" s="241" t="s">
        <v>3632</v>
      </c>
      <c r="E484" s="241" t="s">
        <v>3656</v>
      </c>
      <c r="F484" s="278">
        <v>548</v>
      </c>
      <c r="G484" s="278">
        <v>5309</v>
      </c>
      <c r="H484" s="278">
        <v>3059</v>
      </c>
      <c r="I484" s="278">
        <v>2217</v>
      </c>
      <c r="J484" s="278">
        <v>4920</v>
      </c>
      <c r="K484" s="278">
        <v>2745</v>
      </c>
      <c r="L484" s="278">
        <v>2142</v>
      </c>
      <c r="M484" s="278">
        <v>548</v>
      </c>
      <c r="N484" s="278">
        <v>5309</v>
      </c>
      <c r="O484" s="278">
        <v>3059</v>
      </c>
      <c r="P484" s="278">
        <v>2217</v>
      </c>
      <c r="Q484" s="278">
        <v>4920</v>
      </c>
      <c r="R484" s="278">
        <v>2745</v>
      </c>
      <c r="S484" s="278">
        <v>2142</v>
      </c>
    </row>
    <row r="485" spans="1:19">
      <c r="A485" s="241" t="s">
        <v>3159</v>
      </c>
      <c r="B485" s="241" t="s">
        <v>5303</v>
      </c>
      <c r="C485" s="241" t="s">
        <v>3170</v>
      </c>
      <c r="D485" s="241" t="s">
        <v>3632</v>
      </c>
      <c r="E485" s="241" t="s">
        <v>3657</v>
      </c>
      <c r="F485" s="278">
        <v>45873</v>
      </c>
      <c r="G485" s="278">
        <v>682319</v>
      </c>
      <c r="H485" s="278">
        <v>247055</v>
      </c>
      <c r="I485" s="278">
        <v>418626</v>
      </c>
      <c r="J485" s="278">
        <v>640726</v>
      </c>
      <c r="K485" s="278">
        <v>216269</v>
      </c>
      <c r="L485" s="278">
        <v>407867</v>
      </c>
      <c r="M485" s="278">
        <v>45854</v>
      </c>
      <c r="N485" s="278">
        <v>682178</v>
      </c>
      <c r="O485" s="278">
        <v>246958</v>
      </c>
      <c r="P485" s="278">
        <v>418582</v>
      </c>
      <c r="Q485" s="278">
        <v>640585</v>
      </c>
      <c r="R485" s="278">
        <v>216172</v>
      </c>
      <c r="S485" s="278">
        <v>407823</v>
      </c>
    </row>
    <row r="486" spans="1:19">
      <c r="A486" s="241" t="s">
        <v>3159</v>
      </c>
      <c r="B486" s="241" t="s">
        <v>5303</v>
      </c>
      <c r="C486" s="241" t="s">
        <v>3172</v>
      </c>
      <c r="D486" s="241" t="s">
        <v>3632</v>
      </c>
      <c r="E486" s="241" t="s">
        <v>3658</v>
      </c>
      <c r="F486" s="278">
        <v>100</v>
      </c>
      <c r="G486" s="278">
        <v>1948</v>
      </c>
      <c r="H486" s="278">
        <v>679</v>
      </c>
      <c r="I486" s="278">
        <v>1263</v>
      </c>
      <c r="J486" s="278">
        <v>1889</v>
      </c>
      <c r="K486" s="278">
        <v>625</v>
      </c>
      <c r="L486" s="278">
        <v>1258</v>
      </c>
      <c r="M486" s="278">
        <v>100</v>
      </c>
      <c r="N486" s="278">
        <v>1948</v>
      </c>
      <c r="O486" s="278">
        <v>679</v>
      </c>
      <c r="P486" s="278">
        <v>1263</v>
      </c>
      <c r="Q486" s="278">
        <v>1889</v>
      </c>
      <c r="R486" s="278">
        <v>625</v>
      </c>
      <c r="S486" s="278">
        <v>1258</v>
      </c>
    </row>
    <row r="487" spans="1:19">
      <c r="A487" s="241" t="s">
        <v>3159</v>
      </c>
      <c r="B487" s="241" t="s">
        <v>5303</v>
      </c>
      <c r="C487" s="241" t="s">
        <v>3172</v>
      </c>
      <c r="D487" s="241" t="s">
        <v>3632</v>
      </c>
      <c r="E487" s="241" t="s">
        <v>3659</v>
      </c>
      <c r="F487" s="278">
        <v>11783</v>
      </c>
      <c r="G487" s="278">
        <v>368442</v>
      </c>
      <c r="H487" s="278">
        <v>78311</v>
      </c>
      <c r="I487" s="278">
        <v>274314</v>
      </c>
      <c r="J487" s="278">
        <v>367692</v>
      </c>
      <c r="K487" s="278">
        <v>77771</v>
      </c>
      <c r="L487" s="278">
        <v>274104</v>
      </c>
      <c r="M487" s="278">
        <v>11783</v>
      </c>
      <c r="N487" s="278">
        <v>368442</v>
      </c>
      <c r="O487" s="278">
        <v>78311</v>
      </c>
      <c r="P487" s="278">
        <v>274314</v>
      </c>
      <c r="Q487" s="278">
        <v>367692</v>
      </c>
      <c r="R487" s="278">
        <v>77771</v>
      </c>
      <c r="S487" s="278">
        <v>274104</v>
      </c>
    </row>
    <row r="488" spans="1:19">
      <c r="A488" s="241" t="s">
        <v>3159</v>
      </c>
      <c r="B488" s="241" t="s">
        <v>5303</v>
      </c>
      <c r="C488" s="241" t="s">
        <v>3172</v>
      </c>
      <c r="D488" s="241" t="s">
        <v>3632</v>
      </c>
      <c r="E488" s="241" t="s">
        <v>3660</v>
      </c>
      <c r="F488" s="278">
        <v>2718</v>
      </c>
      <c r="G488" s="278">
        <v>107391</v>
      </c>
      <c r="H488" s="278">
        <v>45087</v>
      </c>
      <c r="I488" s="278">
        <v>62304</v>
      </c>
      <c r="J488" s="278">
        <v>106961</v>
      </c>
      <c r="K488" s="278">
        <v>44689</v>
      </c>
      <c r="L488" s="278">
        <v>62272</v>
      </c>
      <c r="M488" s="278">
        <v>2718</v>
      </c>
      <c r="N488" s="278">
        <v>107391</v>
      </c>
      <c r="O488" s="278">
        <v>45087</v>
      </c>
      <c r="P488" s="278">
        <v>62304</v>
      </c>
      <c r="Q488" s="278">
        <v>106961</v>
      </c>
      <c r="R488" s="278">
        <v>44689</v>
      </c>
      <c r="S488" s="278">
        <v>62272</v>
      </c>
    </row>
    <row r="489" spans="1:19">
      <c r="A489" s="241" t="s">
        <v>3159</v>
      </c>
      <c r="B489" s="241" t="s">
        <v>5303</v>
      </c>
      <c r="C489" s="241" t="s">
        <v>3172</v>
      </c>
      <c r="D489" s="241" t="s">
        <v>3632</v>
      </c>
      <c r="E489" s="241" t="s">
        <v>3661</v>
      </c>
      <c r="F489" s="278">
        <v>2309</v>
      </c>
      <c r="G489" s="278">
        <v>40088</v>
      </c>
      <c r="H489" s="278">
        <v>27740</v>
      </c>
      <c r="I489" s="278">
        <v>12344</v>
      </c>
      <c r="J489" s="278">
        <v>36758</v>
      </c>
      <c r="K489" s="278">
        <v>24633</v>
      </c>
      <c r="L489" s="278">
        <v>12124</v>
      </c>
      <c r="M489" s="278">
        <v>2290</v>
      </c>
      <c r="N489" s="278">
        <v>39947</v>
      </c>
      <c r="O489" s="278">
        <v>27643</v>
      </c>
      <c r="P489" s="278">
        <v>12300</v>
      </c>
      <c r="Q489" s="278">
        <v>36617</v>
      </c>
      <c r="R489" s="278">
        <v>24536</v>
      </c>
      <c r="S489" s="278">
        <v>12080</v>
      </c>
    </row>
    <row r="490" spans="1:19">
      <c r="A490" s="241" t="s">
        <v>3159</v>
      </c>
      <c r="B490" s="241" t="s">
        <v>5303</v>
      </c>
      <c r="C490" s="241" t="s">
        <v>3172</v>
      </c>
      <c r="D490" s="241" t="s">
        <v>3632</v>
      </c>
      <c r="E490" s="241" t="s">
        <v>3662</v>
      </c>
      <c r="F490" s="278">
        <v>28041</v>
      </c>
      <c r="G490" s="278">
        <v>153159</v>
      </c>
      <c r="H490" s="278">
        <v>87097</v>
      </c>
      <c r="I490" s="278">
        <v>65255</v>
      </c>
      <c r="J490" s="278">
        <v>116821</v>
      </c>
      <c r="K490" s="278">
        <v>60947</v>
      </c>
      <c r="L490" s="278">
        <v>55112</v>
      </c>
      <c r="M490" s="278">
        <v>28041</v>
      </c>
      <c r="N490" s="278">
        <v>153159</v>
      </c>
      <c r="O490" s="278">
        <v>87097</v>
      </c>
      <c r="P490" s="278">
        <v>65255</v>
      </c>
      <c r="Q490" s="278">
        <v>116821</v>
      </c>
      <c r="R490" s="278">
        <v>60947</v>
      </c>
      <c r="S490" s="278">
        <v>55112</v>
      </c>
    </row>
    <row r="491" spans="1:19">
      <c r="A491" s="241" t="s">
        <v>3159</v>
      </c>
      <c r="B491" s="241" t="s">
        <v>5303</v>
      </c>
      <c r="C491" s="241" t="s">
        <v>3172</v>
      </c>
      <c r="D491" s="241" t="s">
        <v>3632</v>
      </c>
      <c r="E491" s="241" t="s">
        <v>3663</v>
      </c>
      <c r="F491" s="278">
        <v>922</v>
      </c>
      <c r="G491" s="278">
        <v>11291</v>
      </c>
      <c r="H491" s="278">
        <v>8141</v>
      </c>
      <c r="I491" s="278">
        <v>3146</v>
      </c>
      <c r="J491" s="278">
        <v>10605</v>
      </c>
      <c r="K491" s="278">
        <v>7604</v>
      </c>
      <c r="L491" s="278">
        <v>2997</v>
      </c>
      <c r="M491" s="278">
        <v>922</v>
      </c>
      <c r="N491" s="278">
        <v>11291</v>
      </c>
      <c r="O491" s="278">
        <v>8141</v>
      </c>
      <c r="P491" s="278">
        <v>3146</v>
      </c>
      <c r="Q491" s="278">
        <v>10605</v>
      </c>
      <c r="R491" s="278">
        <v>7604</v>
      </c>
      <c r="S491" s="278">
        <v>2997</v>
      </c>
    </row>
    <row r="492" spans="1:19">
      <c r="A492" s="241" t="s">
        <v>3159</v>
      </c>
      <c r="B492" s="241" t="s">
        <v>5303</v>
      </c>
      <c r="C492" s="241" t="s">
        <v>3168</v>
      </c>
      <c r="D492" s="241" t="s">
        <v>3664</v>
      </c>
      <c r="E492" s="241" t="s">
        <v>3665</v>
      </c>
      <c r="F492" s="278">
        <v>375097</v>
      </c>
      <c r="G492" s="278">
        <v>1622094</v>
      </c>
      <c r="H492" s="278">
        <v>945434</v>
      </c>
      <c r="I492" s="278">
        <v>671573</v>
      </c>
      <c r="J492" s="278">
        <v>1062452</v>
      </c>
      <c r="K492" s="278">
        <v>615479</v>
      </c>
      <c r="L492" s="278">
        <v>442115</v>
      </c>
      <c r="M492" s="278">
        <v>374456</v>
      </c>
      <c r="N492" s="278">
        <v>1618138</v>
      </c>
      <c r="O492" s="278">
        <v>942449</v>
      </c>
      <c r="P492" s="278">
        <v>670602</v>
      </c>
      <c r="Q492" s="278">
        <v>1058504</v>
      </c>
      <c r="R492" s="278">
        <v>612497</v>
      </c>
      <c r="S492" s="278">
        <v>441149</v>
      </c>
    </row>
    <row r="493" spans="1:19">
      <c r="A493" s="241" t="s">
        <v>3159</v>
      </c>
      <c r="B493" s="241" t="s">
        <v>5303</v>
      </c>
      <c r="C493" s="241" t="s">
        <v>3459</v>
      </c>
      <c r="D493" s="241" t="s">
        <v>3666</v>
      </c>
      <c r="E493" s="241" t="s">
        <v>3667</v>
      </c>
      <c r="F493" s="278">
        <v>345237</v>
      </c>
      <c r="G493" s="278">
        <v>1341170</v>
      </c>
      <c r="H493" s="278">
        <v>759587</v>
      </c>
      <c r="I493" s="278">
        <v>577239</v>
      </c>
      <c r="J493" s="278">
        <v>810788</v>
      </c>
      <c r="K493" s="278">
        <v>449915</v>
      </c>
      <c r="L493" s="278">
        <v>356752</v>
      </c>
      <c r="M493" s="278">
        <v>344597</v>
      </c>
      <c r="N493" s="278">
        <v>1337217</v>
      </c>
      <c r="O493" s="278">
        <v>756604</v>
      </c>
      <c r="P493" s="278">
        <v>576269</v>
      </c>
      <c r="Q493" s="278">
        <v>806843</v>
      </c>
      <c r="R493" s="278">
        <v>446935</v>
      </c>
      <c r="S493" s="278">
        <v>355787</v>
      </c>
    </row>
    <row r="494" spans="1:19">
      <c r="A494" s="241" t="s">
        <v>3159</v>
      </c>
      <c r="B494" s="241" t="s">
        <v>5303</v>
      </c>
      <c r="C494" s="241" t="s">
        <v>3170</v>
      </c>
      <c r="D494" s="241" t="s">
        <v>3666</v>
      </c>
      <c r="E494" s="241" t="s">
        <v>3668</v>
      </c>
      <c r="F494" s="278">
        <v>66942</v>
      </c>
      <c r="G494" s="278">
        <v>352108</v>
      </c>
      <c r="H494" s="278">
        <v>218782</v>
      </c>
      <c r="I494" s="278">
        <v>132371</v>
      </c>
      <c r="J494" s="278">
        <v>264918</v>
      </c>
      <c r="K494" s="278">
        <v>158420</v>
      </c>
      <c r="L494" s="278">
        <v>105589</v>
      </c>
      <c r="M494" s="278">
        <v>66939</v>
      </c>
      <c r="N494" s="278">
        <v>352082</v>
      </c>
      <c r="O494" s="278">
        <v>218761</v>
      </c>
      <c r="P494" s="278">
        <v>132366</v>
      </c>
      <c r="Q494" s="278">
        <v>264892</v>
      </c>
      <c r="R494" s="278">
        <v>158399</v>
      </c>
      <c r="S494" s="278">
        <v>105584</v>
      </c>
    </row>
    <row r="495" spans="1:19">
      <c r="A495" s="241" t="s">
        <v>3159</v>
      </c>
      <c r="B495" s="241" t="s">
        <v>5303</v>
      </c>
      <c r="C495" s="241" t="s">
        <v>3172</v>
      </c>
      <c r="D495" s="241" t="s">
        <v>3666</v>
      </c>
      <c r="E495" s="241" t="s">
        <v>3669</v>
      </c>
      <c r="F495" s="278">
        <v>87</v>
      </c>
      <c r="G495" s="278">
        <v>2215</v>
      </c>
      <c r="H495" s="278">
        <v>1290</v>
      </c>
      <c r="I495" s="278">
        <v>925</v>
      </c>
      <c r="J495" s="278">
        <v>2033</v>
      </c>
      <c r="K495" s="278">
        <v>1202</v>
      </c>
      <c r="L495" s="278">
        <v>831</v>
      </c>
      <c r="M495" s="278">
        <v>87</v>
      </c>
      <c r="N495" s="278">
        <v>2215</v>
      </c>
      <c r="O495" s="278">
        <v>1290</v>
      </c>
      <c r="P495" s="278">
        <v>925</v>
      </c>
      <c r="Q495" s="278">
        <v>2033</v>
      </c>
      <c r="R495" s="278">
        <v>1202</v>
      </c>
      <c r="S495" s="278">
        <v>831</v>
      </c>
    </row>
    <row r="496" spans="1:19">
      <c r="A496" s="241" t="s">
        <v>3159</v>
      </c>
      <c r="B496" s="241" t="s">
        <v>5303</v>
      </c>
      <c r="C496" s="241" t="s">
        <v>3172</v>
      </c>
      <c r="D496" s="241" t="s">
        <v>3666</v>
      </c>
      <c r="E496" s="241" t="s">
        <v>3670</v>
      </c>
      <c r="F496" s="278">
        <v>19613</v>
      </c>
      <c r="G496" s="278">
        <v>133492</v>
      </c>
      <c r="H496" s="278">
        <v>86233</v>
      </c>
      <c r="I496" s="278">
        <v>46771</v>
      </c>
      <c r="J496" s="278">
        <v>103938</v>
      </c>
      <c r="K496" s="278">
        <v>65235</v>
      </c>
      <c r="L496" s="278">
        <v>38234</v>
      </c>
      <c r="M496" s="278">
        <v>19610</v>
      </c>
      <c r="N496" s="278">
        <v>133466</v>
      </c>
      <c r="O496" s="278">
        <v>86212</v>
      </c>
      <c r="P496" s="278">
        <v>46766</v>
      </c>
      <c r="Q496" s="278">
        <v>103912</v>
      </c>
      <c r="R496" s="278">
        <v>65214</v>
      </c>
      <c r="S496" s="278">
        <v>38229</v>
      </c>
    </row>
    <row r="497" spans="1:19">
      <c r="A497" s="241" t="s">
        <v>3159</v>
      </c>
      <c r="B497" s="241" t="s">
        <v>5303</v>
      </c>
      <c r="C497" s="241" t="s">
        <v>3172</v>
      </c>
      <c r="D497" s="241" t="s">
        <v>3666</v>
      </c>
      <c r="E497" s="241" t="s">
        <v>3671</v>
      </c>
      <c r="F497" s="278">
        <v>47242</v>
      </c>
      <c r="G497" s="278">
        <v>216401</v>
      </c>
      <c r="H497" s="278">
        <v>131259</v>
      </c>
      <c r="I497" s="278">
        <v>84675</v>
      </c>
      <c r="J497" s="278">
        <v>158947</v>
      </c>
      <c r="K497" s="278">
        <v>91983</v>
      </c>
      <c r="L497" s="278">
        <v>66524</v>
      </c>
      <c r="M497" s="278">
        <v>47242</v>
      </c>
      <c r="N497" s="278">
        <v>216401</v>
      </c>
      <c r="O497" s="278">
        <v>131259</v>
      </c>
      <c r="P497" s="278">
        <v>84675</v>
      </c>
      <c r="Q497" s="278">
        <v>158947</v>
      </c>
      <c r="R497" s="278">
        <v>91983</v>
      </c>
      <c r="S497" s="278">
        <v>66524</v>
      </c>
    </row>
    <row r="498" spans="1:19">
      <c r="A498" s="241" t="s">
        <v>3159</v>
      </c>
      <c r="B498" s="241" t="s">
        <v>5303</v>
      </c>
      <c r="C498" s="241" t="s">
        <v>3170</v>
      </c>
      <c r="D498" s="241" t="s">
        <v>3666</v>
      </c>
      <c r="E498" s="241" t="s">
        <v>3672</v>
      </c>
      <c r="F498" s="278">
        <v>278156</v>
      </c>
      <c r="G498" s="278">
        <v>988167</v>
      </c>
      <c r="H498" s="278">
        <v>540215</v>
      </c>
      <c r="I498" s="278">
        <v>444563</v>
      </c>
      <c r="J498" s="278">
        <v>545255</v>
      </c>
      <c r="K498" s="278">
        <v>291113</v>
      </c>
      <c r="L498" s="278">
        <v>250930</v>
      </c>
      <c r="M498" s="278">
        <v>277519</v>
      </c>
      <c r="N498" s="278">
        <v>984240</v>
      </c>
      <c r="O498" s="278">
        <v>537253</v>
      </c>
      <c r="P498" s="278">
        <v>443598</v>
      </c>
      <c r="Q498" s="278">
        <v>541336</v>
      </c>
      <c r="R498" s="278">
        <v>288154</v>
      </c>
      <c r="S498" s="278">
        <v>249970</v>
      </c>
    </row>
    <row r="499" spans="1:19">
      <c r="A499" s="241" t="s">
        <v>3159</v>
      </c>
      <c r="B499" s="241" t="s">
        <v>5303</v>
      </c>
      <c r="C499" s="241" t="s">
        <v>3172</v>
      </c>
      <c r="D499" s="241" t="s">
        <v>3666</v>
      </c>
      <c r="E499" s="241" t="s">
        <v>3673</v>
      </c>
      <c r="F499" s="278">
        <v>158</v>
      </c>
      <c r="G499" s="278">
        <v>1919</v>
      </c>
      <c r="H499" s="278">
        <v>1156</v>
      </c>
      <c r="I499" s="278">
        <v>762</v>
      </c>
      <c r="J499" s="278">
        <v>1743</v>
      </c>
      <c r="K499" s="278">
        <v>1011</v>
      </c>
      <c r="L499" s="278">
        <v>732</v>
      </c>
      <c r="M499" s="278">
        <v>152</v>
      </c>
      <c r="N499" s="278">
        <v>1828</v>
      </c>
      <c r="O499" s="278">
        <v>1094</v>
      </c>
      <c r="P499" s="278">
        <v>733</v>
      </c>
      <c r="Q499" s="278">
        <v>1652</v>
      </c>
      <c r="R499" s="278">
        <v>949</v>
      </c>
      <c r="S499" s="278">
        <v>703</v>
      </c>
    </row>
    <row r="500" spans="1:19">
      <c r="A500" s="241" t="s">
        <v>3159</v>
      </c>
      <c r="B500" s="241" t="s">
        <v>5303</v>
      </c>
      <c r="C500" s="241" t="s">
        <v>3172</v>
      </c>
      <c r="D500" s="241" t="s">
        <v>3666</v>
      </c>
      <c r="E500" s="241" t="s">
        <v>3674</v>
      </c>
      <c r="F500" s="278">
        <v>58616</v>
      </c>
      <c r="G500" s="278">
        <v>251356</v>
      </c>
      <c r="H500" s="278">
        <v>141845</v>
      </c>
      <c r="I500" s="278">
        <v>107576</v>
      </c>
      <c r="J500" s="278">
        <v>139322</v>
      </c>
      <c r="K500" s="278">
        <v>76752</v>
      </c>
      <c r="L500" s="278">
        <v>60716</v>
      </c>
      <c r="M500" s="278">
        <v>58581</v>
      </c>
      <c r="N500" s="278">
        <v>251202</v>
      </c>
      <c r="O500" s="278">
        <v>141750</v>
      </c>
      <c r="P500" s="278">
        <v>107517</v>
      </c>
      <c r="Q500" s="278">
        <v>139169</v>
      </c>
      <c r="R500" s="278">
        <v>76657</v>
      </c>
      <c r="S500" s="278">
        <v>60658</v>
      </c>
    </row>
    <row r="501" spans="1:19">
      <c r="A501" s="241" t="s">
        <v>3159</v>
      </c>
      <c r="B501" s="241" t="s">
        <v>5303</v>
      </c>
      <c r="C501" s="241" t="s">
        <v>3172</v>
      </c>
      <c r="D501" s="241" t="s">
        <v>3666</v>
      </c>
      <c r="E501" s="241" t="s">
        <v>3675</v>
      </c>
      <c r="F501" s="278">
        <v>155381</v>
      </c>
      <c r="G501" s="278">
        <v>412903</v>
      </c>
      <c r="H501" s="278">
        <v>197815</v>
      </c>
      <c r="I501" s="278">
        <v>213956</v>
      </c>
      <c r="J501" s="278">
        <v>178517</v>
      </c>
      <c r="K501" s="278">
        <v>68648</v>
      </c>
      <c r="L501" s="278">
        <v>108805</v>
      </c>
      <c r="M501" s="278">
        <v>154903</v>
      </c>
      <c r="N501" s="278">
        <v>409470</v>
      </c>
      <c r="O501" s="278">
        <v>195180</v>
      </c>
      <c r="P501" s="278">
        <v>213158</v>
      </c>
      <c r="Q501" s="278">
        <v>175091</v>
      </c>
      <c r="R501" s="278">
        <v>66016</v>
      </c>
      <c r="S501" s="278">
        <v>108011</v>
      </c>
    </row>
    <row r="502" spans="1:19">
      <c r="A502" s="241" t="s">
        <v>3159</v>
      </c>
      <c r="B502" s="241" t="s">
        <v>5303</v>
      </c>
      <c r="C502" s="241" t="s">
        <v>3172</v>
      </c>
      <c r="D502" s="241" t="s">
        <v>3666</v>
      </c>
      <c r="E502" s="241" t="s">
        <v>3676</v>
      </c>
      <c r="F502" s="278">
        <v>24619</v>
      </c>
      <c r="G502" s="278">
        <v>63821</v>
      </c>
      <c r="H502" s="278">
        <v>40252</v>
      </c>
      <c r="I502" s="278">
        <v>23502</v>
      </c>
      <c r="J502" s="278">
        <v>29824</v>
      </c>
      <c r="K502" s="278">
        <v>21076</v>
      </c>
      <c r="L502" s="278">
        <v>8683</v>
      </c>
      <c r="M502" s="278">
        <v>24606</v>
      </c>
      <c r="N502" s="278">
        <v>63778</v>
      </c>
      <c r="O502" s="278">
        <v>40221</v>
      </c>
      <c r="P502" s="278">
        <v>23490</v>
      </c>
      <c r="Q502" s="278">
        <v>29781</v>
      </c>
      <c r="R502" s="278">
        <v>21045</v>
      </c>
      <c r="S502" s="278">
        <v>8671</v>
      </c>
    </row>
    <row r="503" spans="1:19">
      <c r="A503" s="241" t="s">
        <v>3159</v>
      </c>
      <c r="B503" s="241" t="s">
        <v>5303</v>
      </c>
      <c r="C503" s="241" t="s">
        <v>3172</v>
      </c>
      <c r="D503" s="241" t="s">
        <v>3666</v>
      </c>
      <c r="E503" s="241" t="s">
        <v>3677</v>
      </c>
      <c r="F503" s="278">
        <v>39379</v>
      </c>
      <c r="G503" s="278">
        <v>258119</v>
      </c>
      <c r="H503" s="278">
        <v>159119</v>
      </c>
      <c r="I503" s="278">
        <v>98746</v>
      </c>
      <c r="J503" s="278">
        <v>195807</v>
      </c>
      <c r="K503" s="278">
        <v>123603</v>
      </c>
      <c r="L503" s="278">
        <v>71975</v>
      </c>
      <c r="M503" s="278">
        <v>39274</v>
      </c>
      <c r="N503" s="278">
        <v>257913</v>
      </c>
      <c r="O503" s="278">
        <v>158980</v>
      </c>
      <c r="P503" s="278">
        <v>98679</v>
      </c>
      <c r="Q503" s="278">
        <v>195601</v>
      </c>
      <c r="R503" s="278">
        <v>123464</v>
      </c>
      <c r="S503" s="278">
        <v>71908</v>
      </c>
    </row>
    <row r="504" spans="1:19">
      <c r="A504" s="241" t="s">
        <v>3159</v>
      </c>
      <c r="B504" s="241" t="s">
        <v>5303</v>
      </c>
      <c r="C504" s="241" t="s">
        <v>3459</v>
      </c>
      <c r="D504" s="241" t="s">
        <v>3678</v>
      </c>
      <c r="E504" s="241" t="s">
        <v>3679</v>
      </c>
      <c r="F504" s="278">
        <v>29860</v>
      </c>
      <c r="G504" s="278">
        <v>280924</v>
      </c>
      <c r="H504" s="278">
        <v>185847</v>
      </c>
      <c r="I504" s="278">
        <v>94334</v>
      </c>
      <c r="J504" s="278">
        <v>251664</v>
      </c>
      <c r="K504" s="278">
        <v>165564</v>
      </c>
      <c r="L504" s="278">
        <v>85363</v>
      </c>
      <c r="M504" s="278">
        <v>29859</v>
      </c>
      <c r="N504" s="278">
        <v>280921</v>
      </c>
      <c r="O504" s="278">
        <v>185845</v>
      </c>
      <c r="P504" s="278">
        <v>94333</v>
      </c>
      <c r="Q504" s="278">
        <v>251661</v>
      </c>
      <c r="R504" s="278">
        <v>165562</v>
      </c>
      <c r="S504" s="278">
        <v>85362</v>
      </c>
    </row>
    <row r="505" spans="1:19">
      <c r="A505" s="241" t="s">
        <v>3159</v>
      </c>
      <c r="B505" s="241" t="s">
        <v>5303</v>
      </c>
      <c r="C505" s="241" t="s">
        <v>3170</v>
      </c>
      <c r="D505" s="241" t="s">
        <v>3678</v>
      </c>
      <c r="E505" s="241" t="s">
        <v>3680</v>
      </c>
      <c r="F505" s="278">
        <v>29860</v>
      </c>
      <c r="G505" s="278">
        <v>280924</v>
      </c>
      <c r="H505" s="278">
        <v>185847</v>
      </c>
      <c r="I505" s="278">
        <v>94334</v>
      </c>
      <c r="J505" s="278">
        <v>251664</v>
      </c>
      <c r="K505" s="278">
        <v>165564</v>
      </c>
      <c r="L505" s="278">
        <v>85363</v>
      </c>
      <c r="M505" s="278">
        <v>29859</v>
      </c>
      <c r="N505" s="278">
        <v>280921</v>
      </c>
      <c r="O505" s="278">
        <v>185845</v>
      </c>
      <c r="P505" s="278">
        <v>94333</v>
      </c>
      <c r="Q505" s="278">
        <v>251661</v>
      </c>
      <c r="R505" s="278">
        <v>165562</v>
      </c>
      <c r="S505" s="278">
        <v>85362</v>
      </c>
    </row>
    <row r="506" spans="1:19">
      <c r="A506" s="241" t="s">
        <v>3159</v>
      </c>
      <c r="B506" s="241" t="s">
        <v>5303</v>
      </c>
      <c r="C506" s="241" t="s">
        <v>3172</v>
      </c>
      <c r="D506" s="241" t="s">
        <v>3678</v>
      </c>
      <c r="E506" s="241" t="s">
        <v>3681</v>
      </c>
      <c r="F506" s="278">
        <v>615</v>
      </c>
      <c r="G506" s="278">
        <v>8513</v>
      </c>
      <c r="H506" s="278">
        <v>5670</v>
      </c>
      <c r="I506" s="278">
        <v>2843</v>
      </c>
      <c r="J506" s="278">
        <v>8123</v>
      </c>
      <c r="K506" s="278">
        <v>5352</v>
      </c>
      <c r="L506" s="278">
        <v>2771</v>
      </c>
      <c r="M506" s="278">
        <v>615</v>
      </c>
      <c r="N506" s="278">
        <v>8513</v>
      </c>
      <c r="O506" s="278">
        <v>5670</v>
      </c>
      <c r="P506" s="278">
        <v>2843</v>
      </c>
      <c r="Q506" s="278">
        <v>8123</v>
      </c>
      <c r="R506" s="278">
        <v>5352</v>
      </c>
      <c r="S506" s="278">
        <v>2771</v>
      </c>
    </row>
    <row r="507" spans="1:19">
      <c r="A507" s="241" t="s">
        <v>3159</v>
      </c>
      <c r="B507" s="241" t="s">
        <v>5303</v>
      </c>
      <c r="C507" s="241" t="s">
        <v>3172</v>
      </c>
      <c r="D507" s="241" t="s">
        <v>3678</v>
      </c>
      <c r="E507" s="241" t="s">
        <v>3682</v>
      </c>
      <c r="F507" s="278">
        <v>1244</v>
      </c>
      <c r="G507" s="278">
        <v>22862</v>
      </c>
      <c r="H507" s="278">
        <v>14563</v>
      </c>
      <c r="I507" s="278">
        <v>8295</v>
      </c>
      <c r="J507" s="278">
        <v>21668</v>
      </c>
      <c r="K507" s="278">
        <v>13512</v>
      </c>
      <c r="L507" s="278">
        <v>8152</v>
      </c>
      <c r="M507" s="278">
        <v>1244</v>
      </c>
      <c r="N507" s="278">
        <v>22862</v>
      </c>
      <c r="O507" s="278">
        <v>14563</v>
      </c>
      <c r="P507" s="278">
        <v>8295</v>
      </c>
      <c r="Q507" s="278">
        <v>21668</v>
      </c>
      <c r="R507" s="278">
        <v>13512</v>
      </c>
      <c r="S507" s="278">
        <v>8152</v>
      </c>
    </row>
    <row r="508" spans="1:19">
      <c r="A508" s="241" t="s">
        <v>3159</v>
      </c>
      <c r="B508" s="241" t="s">
        <v>5303</v>
      </c>
      <c r="C508" s="241" t="s">
        <v>3432</v>
      </c>
      <c r="D508" s="241" t="s">
        <v>3678</v>
      </c>
      <c r="E508" s="241" t="s">
        <v>3683</v>
      </c>
      <c r="F508" s="278">
        <v>783</v>
      </c>
      <c r="G508" s="278">
        <v>18659</v>
      </c>
      <c r="H508" s="278">
        <v>11636</v>
      </c>
      <c r="I508" s="278">
        <v>7019</v>
      </c>
      <c r="J508" s="278">
        <v>17762</v>
      </c>
      <c r="K508" s="278">
        <v>10795</v>
      </c>
      <c r="L508" s="278">
        <v>6963</v>
      </c>
      <c r="M508" s="278">
        <v>783</v>
      </c>
      <c r="N508" s="278">
        <v>18659</v>
      </c>
      <c r="O508" s="278">
        <v>11636</v>
      </c>
      <c r="P508" s="278">
        <v>7019</v>
      </c>
      <c r="Q508" s="278">
        <v>17762</v>
      </c>
      <c r="R508" s="278">
        <v>10795</v>
      </c>
      <c r="S508" s="278">
        <v>6963</v>
      </c>
    </row>
    <row r="509" spans="1:19">
      <c r="A509" s="241" t="s">
        <v>3159</v>
      </c>
      <c r="B509" s="241" t="s">
        <v>5303</v>
      </c>
      <c r="C509" s="241" t="s">
        <v>3432</v>
      </c>
      <c r="D509" s="241" t="s">
        <v>3678</v>
      </c>
      <c r="E509" s="241" t="s">
        <v>3684</v>
      </c>
      <c r="F509" s="278">
        <v>461</v>
      </c>
      <c r="G509" s="278">
        <v>4203</v>
      </c>
      <c r="H509" s="278">
        <v>2927</v>
      </c>
      <c r="I509" s="278">
        <v>1276</v>
      </c>
      <c r="J509" s="278">
        <v>3906</v>
      </c>
      <c r="K509" s="278">
        <v>2717</v>
      </c>
      <c r="L509" s="278">
        <v>1189</v>
      </c>
      <c r="M509" s="278">
        <v>461</v>
      </c>
      <c r="N509" s="278">
        <v>4203</v>
      </c>
      <c r="O509" s="278">
        <v>2927</v>
      </c>
      <c r="P509" s="278">
        <v>1276</v>
      </c>
      <c r="Q509" s="278">
        <v>3906</v>
      </c>
      <c r="R509" s="278">
        <v>2717</v>
      </c>
      <c r="S509" s="278">
        <v>1189</v>
      </c>
    </row>
    <row r="510" spans="1:19">
      <c r="A510" s="241" t="s">
        <v>3159</v>
      </c>
      <c r="B510" s="241" t="s">
        <v>5303</v>
      </c>
      <c r="C510" s="241" t="s">
        <v>3172</v>
      </c>
      <c r="D510" s="241" t="s">
        <v>3678</v>
      </c>
      <c r="E510" s="241" t="s">
        <v>3685</v>
      </c>
      <c r="F510" s="278">
        <v>10892</v>
      </c>
      <c r="G510" s="278">
        <v>99265</v>
      </c>
      <c r="H510" s="278">
        <v>76785</v>
      </c>
      <c r="I510" s="278">
        <v>22365</v>
      </c>
      <c r="J510" s="278">
        <v>88554</v>
      </c>
      <c r="K510" s="278">
        <v>69139</v>
      </c>
      <c r="L510" s="278">
        <v>19303</v>
      </c>
      <c r="M510" s="278">
        <v>10892</v>
      </c>
      <c r="N510" s="278">
        <v>99265</v>
      </c>
      <c r="O510" s="278">
        <v>76785</v>
      </c>
      <c r="P510" s="278">
        <v>22365</v>
      </c>
      <c r="Q510" s="278">
        <v>88554</v>
      </c>
      <c r="R510" s="278">
        <v>69139</v>
      </c>
      <c r="S510" s="278">
        <v>19303</v>
      </c>
    </row>
    <row r="511" spans="1:19">
      <c r="A511" s="241" t="s">
        <v>3159</v>
      </c>
      <c r="B511" s="241" t="s">
        <v>5303</v>
      </c>
      <c r="C511" s="241" t="s">
        <v>3172</v>
      </c>
      <c r="D511" s="241" t="s">
        <v>3678</v>
      </c>
      <c r="E511" s="241" t="s">
        <v>3686</v>
      </c>
      <c r="F511" s="278">
        <v>609</v>
      </c>
      <c r="G511" s="278">
        <v>8342</v>
      </c>
      <c r="H511" s="278">
        <v>5781</v>
      </c>
      <c r="I511" s="278">
        <v>2561</v>
      </c>
      <c r="J511" s="278">
        <v>7619</v>
      </c>
      <c r="K511" s="278">
        <v>5252</v>
      </c>
      <c r="L511" s="278">
        <v>2367</v>
      </c>
      <c r="M511" s="278">
        <v>609</v>
      </c>
      <c r="N511" s="278">
        <v>8342</v>
      </c>
      <c r="O511" s="278">
        <v>5781</v>
      </c>
      <c r="P511" s="278">
        <v>2561</v>
      </c>
      <c r="Q511" s="278">
        <v>7619</v>
      </c>
      <c r="R511" s="278">
        <v>5252</v>
      </c>
      <c r="S511" s="278">
        <v>2367</v>
      </c>
    </row>
    <row r="512" spans="1:19">
      <c r="A512" s="241" t="s">
        <v>3159</v>
      </c>
      <c r="B512" s="241" t="s">
        <v>5303</v>
      </c>
      <c r="C512" s="241" t="s">
        <v>3172</v>
      </c>
      <c r="D512" s="241" t="s">
        <v>3678</v>
      </c>
      <c r="E512" s="241" t="s">
        <v>3687</v>
      </c>
      <c r="F512" s="278">
        <v>6148</v>
      </c>
      <c r="G512" s="278">
        <v>50261</v>
      </c>
      <c r="H512" s="278">
        <v>34367</v>
      </c>
      <c r="I512" s="278">
        <v>15550</v>
      </c>
      <c r="J512" s="278">
        <v>45809</v>
      </c>
      <c r="K512" s="278">
        <v>31181</v>
      </c>
      <c r="L512" s="278">
        <v>14286</v>
      </c>
      <c r="M512" s="278">
        <v>6148</v>
      </c>
      <c r="N512" s="278">
        <v>50261</v>
      </c>
      <c r="O512" s="278">
        <v>34367</v>
      </c>
      <c r="P512" s="278">
        <v>15550</v>
      </c>
      <c r="Q512" s="278">
        <v>45809</v>
      </c>
      <c r="R512" s="278">
        <v>31181</v>
      </c>
      <c r="S512" s="278">
        <v>14286</v>
      </c>
    </row>
    <row r="513" spans="1:19">
      <c r="A513" s="241" t="s">
        <v>3159</v>
      </c>
      <c r="B513" s="241" t="s">
        <v>5303</v>
      </c>
      <c r="C513" s="241" t="s">
        <v>3172</v>
      </c>
      <c r="D513" s="241" t="s">
        <v>3678</v>
      </c>
      <c r="E513" s="241" t="s">
        <v>3688</v>
      </c>
      <c r="F513" s="278">
        <v>642</v>
      </c>
      <c r="G513" s="278">
        <v>3519</v>
      </c>
      <c r="H513" s="278">
        <v>2363</v>
      </c>
      <c r="I513" s="278">
        <v>1156</v>
      </c>
      <c r="J513" s="278">
        <v>2341</v>
      </c>
      <c r="K513" s="278">
        <v>1523</v>
      </c>
      <c r="L513" s="278">
        <v>818</v>
      </c>
      <c r="M513" s="278">
        <v>641</v>
      </c>
      <c r="N513" s="278">
        <v>3516</v>
      </c>
      <c r="O513" s="278">
        <v>2361</v>
      </c>
      <c r="P513" s="278">
        <v>1155</v>
      </c>
      <c r="Q513" s="278">
        <v>2338</v>
      </c>
      <c r="R513" s="278">
        <v>1521</v>
      </c>
      <c r="S513" s="278">
        <v>817</v>
      </c>
    </row>
    <row r="514" spans="1:19">
      <c r="A514" s="241" t="s">
        <v>3159</v>
      </c>
      <c r="B514" s="241" t="s">
        <v>5303</v>
      </c>
      <c r="C514" s="241" t="s">
        <v>3172</v>
      </c>
      <c r="D514" s="241" t="s">
        <v>3678</v>
      </c>
      <c r="E514" s="241" t="s">
        <v>3689</v>
      </c>
      <c r="F514" s="278">
        <v>9694</v>
      </c>
      <c r="G514" s="278">
        <v>87970</v>
      </c>
      <c r="H514" s="278">
        <v>46203</v>
      </c>
      <c r="I514" s="278">
        <v>41487</v>
      </c>
      <c r="J514" s="278">
        <v>77371</v>
      </c>
      <c r="K514" s="278">
        <v>39500</v>
      </c>
      <c r="L514" s="278">
        <v>37592</v>
      </c>
      <c r="M514" s="278">
        <v>9694</v>
      </c>
      <c r="N514" s="278">
        <v>87970</v>
      </c>
      <c r="O514" s="278">
        <v>46203</v>
      </c>
      <c r="P514" s="278">
        <v>41487</v>
      </c>
      <c r="Q514" s="278">
        <v>77371</v>
      </c>
      <c r="R514" s="278">
        <v>39500</v>
      </c>
      <c r="S514" s="278">
        <v>37592</v>
      </c>
    </row>
    <row r="515" spans="1:19">
      <c r="A515" s="241" t="s">
        <v>3159</v>
      </c>
      <c r="B515" s="241" t="s">
        <v>5303</v>
      </c>
      <c r="C515" s="241" t="s">
        <v>3432</v>
      </c>
      <c r="D515" s="241" t="s">
        <v>3678</v>
      </c>
      <c r="E515" s="241" t="s">
        <v>3690</v>
      </c>
      <c r="F515" s="278">
        <v>637</v>
      </c>
      <c r="G515" s="278">
        <v>10363</v>
      </c>
      <c r="H515" s="278">
        <v>5427</v>
      </c>
      <c r="I515" s="278">
        <v>4890</v>
      </c>
      <c r="J515" s="278">
        <v>9719</v>
      </c>
      <c r="K515" s="278">
        <v>5029</v>
      </c>
      <c r="L515" s="278">
        <v>4644</v>
      </c>
      <c r="M515" s="278">
        <v>637</v>
      </c>
      <c r="N515" s="278">
        <v>10363</v>
      </c>
      <c r="O515" s="278">
        <v>5427</v>
      </c>
      <c r="P515" s="278">
        <v>4890</v>
      </c>
      <c r="Q515" s="278">
        <v>9719</v>
      </c>
      <c r="R515" s="278">
        <v>5029</v>
      </c>
      <c r="S515" s="278">
        <v>4644</v>
      </c>
    </row>
    <row r="516" spans="1:19">
      <c r="A516" s="241" t="s">
        <v>3159</v>
      </c>
      <c r="B516" s="241" t="s">
        <v>5303</v>
      </c>
      <c r="C516" s="241" t="s">
        <v>3432</v>
      </c>
      <c r="D516" s="241" t="s">
        <v>3678</v>
      </c>
      <c r="E516" s="241" t="s">
        <v>3691</v>
      </c>
      <c r="F516" s="278">
        <v>9057</v>
      </c>
      <c r="G516" s="278">
        <v>77607</v>
      </c>
      <c r="H516" s="278">
        <v>40776</v>
      </c>
      <c r="I516" s="278">
        <v>36597</v>
      </c>
      <c r="J516" s="278">
        <v>67652</v>
      </c>
      <c r="K516" s="278">
        <v>34471</v>
      </c>
      <c r="L516" s="278">
        <v>32948</v>
      </c>
      <c r="M516" s="278">
        <v>9057</v>
      </c>
      <c r="N516" s="278">
        <v>77607</v>
      </c>
      <c r="O516" s="278">
        <v>40776</v>
      </c>
      <c r="P516" s="278">
        <v>36597</v>
      </c>
      <c r="Q516" s="278">
        <v>67652</v>
      </c>
      <c r="R516" s="278">
        <v>34471</v>
      </c>
      <c r="S516" s="278">
        <v>32948</v>
      </c>
    </row>
    <row r="517" spans="1:19">
      <c r="A517" s="241" t="s">
        <v>3159</v>
      </c>
      <c r="B517" s="241" t="s">
        <v>5303</v>
      </c>
      <c r="C517" s="241" t="s">
        <v>3168</v>
      </c>
      <c r="D517" s="241" t="s">
        <v>3692</v>
      </c>
      <c r="E517" s="241" t="s">
        <v>3693</v>
      </c>
      <c r="F517" s="278">
        <v>256079</v>
      </c>
      <c r="G517" s="278">
        <v>2218223</v>
      </c>
      <c r="H517" s="278">
        <v>1456676</v>
      </c>
      <c r="I517" s="278">
        <v>743868</v>
      </c>
      <c r="J517" s="278">
        <v>1869900</v>
      </c>
      <c r="K517" s="278">
        <v>1194063</v>
      </c>
      <c r="L517" s="278">
        <v>658558</v>
      </c>
      <c r="M517" s="278">
        <v>252340</v>
      </c>
      <c r="N517" s="278">
        <v>2118920</v>
      </c>
      <c r="O517" s="278">
        <v>1382716</v>
      </c>
      <c r="P517" s="278">
        <v>718525</v>
      </c>
      <c r="Q517" s="278">
        <v>1771087</v>
      </c>
      <c r="R517" s="278">
        <v>1120293</v>
      </c>
      <c r="S517" s="278">
        <v>633515</v>
      </c>
    </row>
    <row r="518" spans="1:19">
      <c r="A518" s="241" t="s">
        <v>3159</v>
      </c>
      <c r="B518" s="241" t="s">
        <v>5303</v>
      </c>
      <c r="C518" s="241" t="s">
        <v>3170</v>
      </c>
      <c r="D518" s="241" t="s">
        <v>3692</v>
      </c>
      <c r="E518" s="241" t="s">
        <v>3694</v>
      </c>
      <c r="F518" s="278">
        <v>7219</v>
      </c>
      <c r="G518" s="278">
        <v>310334</v>
      </c>
      <c r="H518" s="278">
        <v>221382</v>
      </c>
      <c r="I518" s="278">
        <v>85469</v>
      </c>
      <c r="J518" s="278">
        <v>303679</v>
      </c>
      <c r="K518" s="278">
        <v>216399</v>
      </c>
      <c r="L518" s="278">
        <v>83799</v>
      </c>
      <c r="M518" s="278">
        <v>6115</v>
      </c>
      <c r="N518" s="278">
        <v>279205</v>
      </c>
      <c r="O518" s="278">
        <v>201425</v>
      </c>
      <c r="P518" s="278">
        <v>74297</v>
      </c>
      <c r="Q518" s="278">
        <v>272959</v>
      </c>
      <c r="R518" s="278">
        <v>196604</v>
      </c>
      <c r="S518" s="278">
        <v>72874</v>
      </c>
    </row>
    <row r="519" spans="1:19">
      <c r="A519" s="241" t="s">
        <v>3159</v>
      </c>
      <c r="B519" s="241" t="s">
        <v>5303</v>
      </c>
      <c r="C519" s="241" t="s">
        <v>3172</v>
      </c>
      <c r="D519" s="241" t="s">
        <v>3692</v>
      </c>
      <c r="E519" s="241" t="s">
        <v>3695</v>
      </c>
      <c r="F519" s="278">
        <v>50</v>
      </c>
      <c r="G519" s="278">
        <v>300</v>
      </c>
      <c r="H519" s="278">
        <v>183</v>
      </c>
      <c r="I519" s="278">
        <v>117</v>
      </c>
      <c r="J519" s="278">
        <v>261</v>
      </c>
      <c r="K519" s="278">
        <v>148</v>
      </c>
      <c r="L519" s="278">
        <v>113</v>
      </c>
      <c r="M519" s="278">
        <v>49</v>
      </c>
      <c r="N519" s="278">
        <v>282</v>
      </c>
      <c r="O519" s="278">
        <v>174</v>
      </c>
      <c r="P519" s="278">
        <v>108</v>
      </c>
      <c r="Q519" s="278">
        <v>243</v>
      </c>
      <c r="R519" s="278">
        <v>139</v>
      </c>
      <c r="S519" s="278">
        <v>104</v>
      </c>
    </row>
    <row r="520" spans="1:19">
      <c r="A520" s="241" t="s">
        <v>3159</v>
      </c>
      <c r="B520" s="241" t="s">
        <v>5303</v>
      </c>
      <c r="C520" s="241" t="s">
        <v>3172</v>
      </c>
      <c r="D520" s="241" t="s">
        <v>3692</v>
      </c>
      <c r="E520" s="241" t="s">
        <v>3696</v>
      </c>
      <c r="F520" s="278">
        <v>6168</v>
      </c>
      <c r="G520" s="278">
        <v>295329</v>
      </c>
      <c r="H520" s="278">
        <v>213274</v>
      </c>
      <c r="I520" s="278">
        <v>78572</v>
      </c>
      <c r="J520" s="278">
        <v>289906</v>
      </c>
      <c r="K520" s="278">
        <v>209167</v>
      </c>
      <c r="L520" s="278">
        <v>77258</v>
      </c>
      <c r="M520" s="278">
        <v>5375</v>
      </c>
      <c r="N520" s="278">
        <v>269951</v>
      </c>
      <c r="O520" s="278">
        <v>196159</v>
      </c>
      <c r="P520" s="278">
        <v>70309</v>
      </c>
      <c r="Q520" s="278">
        <v>264715</v>
      </c>
      <c r="R520" s="278">
        <v>192099</v>
      </c>
      <c r="S520" s="278">
        <v>69135</v>
      </c>
    </row>
    <row r="521" spans="1:19">
      <c r="A521" s="241" t="s">
        <v>3159</v>
      </c>
      <c r="B521" s="241" t="s">
        <v>5303</v>
      </c>
      <c r="C521" s="241" t="s">
        <v>3172</v>
      </c>
      <c r="D521" s="241" t="s">
        <v>3692</v>
      </c>
      <c r="E521" s="241" t="s">
        <v>3697</v>
      </c>
      <c r="F521" s="278">
        <v>1001</v>
      </c>
      <c r="G521" s="278">
        <v>14705</v>
      </c>
      <c r="H521" s="278">
        <v>7925</v>
      </c>
      <c r="I521" s="278">
        <v>6780</v>
      </c>
      <c r="J521" s="278">
        <v>13512</v>
      </c>
      <c r="K521" s="278">
        <v>7084</v>
      </c>
      <c r="L521" s="278">
        <v>6428</v>
      </c>
      <c r="M521" s="278">
        <v>691</v>
      </c>
      <c r="N521" s="278">
        <v>8972</v>
      </c>
      <c r="O521" s="278">
        <v>5092</v>
      </c>
      <c r="P521" s="278">
        <v>3880</v>
      </c>
      <c r="Q521" s="278">
        <v>8001</v>
      </c>
      <c r="R521" s="278">
        <v>4366</v>
      </c>
      <c r="S521" s="278">
        <v>3635</v>
      </c>
    </row>
    <row r="522" spans="1:19">
      <c r="A522" s="241" t="s">
        <v>3159</v>
      </c>
      <c r="B522" s="241" t="s">
        <v>5303</v>
      </c>
      <c r="C522" s="241" t="s">
        <v>3170</v>
      </c>
      <c r="D522" s="241" t="s">
        <v>3692</v>
      </c>
      <c r="E522" s="241" t="s">
        <v>3698</v>
      </c>
      <c r="F522" s="278">
        <v>138184</v>
      </c>
      <c r="G522" s="278">
        <v>819416</v>
      </c>
      <c r="H522" s="278">
        <v>461817</v>
      </c>
      <c r="I522" s="278">
        <v>353304</v>
      </c>
      <c r="J522" s="278">
        <v>629205</v>
      </c>
      <c r="K522" s="278">
        <v>317119</v>
      </c>
      <c r="L522" s="278">
        <v>308049</v>
      </c>
      <c r="M522" s="278">
        <v>138184</v>
      </c>
      <c r="N522" s="278">
        <v>819416</v>
      </c>
      <c r="O522" s="278">
        <v>461817</v>
      </c>
      <c r="P522" s="278">
        <v>353304</v>
      </c>
      <c r="Q522" s="278">
        <v>629205</v>
      </c>
      <c r="R522" s="278">
        <v>317119</v>
      </c>
      <c r="S522" s="278">
        <v>308049</v>
      </c>
    </row>
    <row r="523" spans="1:19">
      <c r="A523" s="241" t="s">
        <v>3159</v>
      </c>
      <c r="B523" s="241" t="s">
        <v>5303</v>
      </c>
      <c r="C523" s="241" t="s">
        <v>3172</v>
      </c>
      <c r="D523" s="241" t="s">
        <v>3692</v>
      </c>
      <c r="E523" s="241" t="s">
        <v>3699</v>
      </c>
      <c r="F523" s="278">
        <v>245</v>
      </c>
      <c r="G523" s="278">
        <v>2856</v>
      </c>
      <c r="H523" s="278">
        <v>1575</v>
      </c>
      <c r="I523" s="278">
        <v>1281</v>
      </c>
      <c r="J523" s="278">
        <v>2768</v>
      </c>
      <c r="K523" s="278">
        <v>1509</v>
      </c>
      <c r="L523" s="278">
        <v>1259</v>
      </c>
      <c r="M523" s="278">
        <v>245</v>
      </c>
      <c r="N523" s="278">
        <v>2856</v>
      </c>
      <c r="O523" s="278">
        <v>1575</v>
      </c>
      <c r="P523" s="278">
        <v>1281</v>
      </c>
      <c r="Q523" s="278">
        <v>2768</v>
      </c>
      <c r="R523" s="278">
        <v>1509</v>
      </c>
      <c r="S523" s="278">
        <v>1259</v>
      </c>
    </row>
    <row r="524" spans="1:19">
      <c r="A524" s="241" t="s">
        <v>3159</v>
      </c>
      <c r="B524" s="241" t="s">
        <v>5303</v>
      </c>
      <c r="C524" s="241" t="s">
        <v>3172</v>
      </c>
      <c r="D524" s="241" t="s">
        <v>3692</v>
      </c>
      <c r="E524" s="241" t="s">
        <v>3700</v>
      </c>
      <c r="F524" s="278">
        <v>13585</v>
      </c>
      <c r="G524" s="278">
        <v>68555</v>
      </c>
      <c r="H524" s="278">
        <v>32907</v>
      </c>
      <c r="I524" s="278">
        <v>35481</v>
      </c>
      <c r="J524" s="278">
        <v>52587</v>
      </c>
      <c r="K524" s="278">
        <v>19376</v>
      </c>
      <c r="L524" s="278">
        <v>33075</v>
      </c>
      <c r="M524" s="278">
        <v>13585</v>
      </c>
      <c r="N524" s="278">
        <v>68555</v>
      </c>
      <c r="O524" s="278">
        <v>32907</v>
      </c>
      <c r="P524" s="278">
        <v>35481</v>
      </c>
      <c r="Q524" s="278">
        <v>52587</v>
      </c>
      <c r="R524" s="278">
        <v>19376</v>
      </c>
      <c r="S524" s="278">
        <v>33075</v>
      </c>
    </row>
    <row r="525" spans="1:19">
      <c r="A525" s="241" t="s">
        <v>3159</v>
      </c>
      <c r="B525" s="241" t="s">
        <v>5303</v>
      </c>
      <c r="C525" s="241" t="s">
        <v>3432</v>
      </c>
      <c r="D525" s="241" t="s">
        <v>3692</v>
      </c>
      <c r="E525" s="241" t="s">
        <v>3701</v>
      </c>
      <c r="F525" s="278">
        <v>12247</v>
      </c>
      <c r="G525" s="278">
        <v>57078</v>
      </c>
      <c r="H525" s="278">
        <v>26476</v>
      </c>
      <c r="I525" s="278">
        <v>30445</v>
      </c>
      <c r="J525" s="278">
        <v>42896</v>
      </c>
      <c r="K525" s="278">
        <v>14519</v>
      </c>
      <c r="L525" s="278">
        <v>28249</v>
      </c>
      <c r="M525" s="278">
        <v>12247</v>
      </c>
      <c r="N525" s="278">
        <v>57078</v>
      </c>
      <c r="O525" s="278">
        <v>26476</v>
      </c>
      <c r="P525" s="278">
        <v>30445</v>
      </c>
      <c r="Q525" s="278">
        <v>42896</v>
      </c>
      <c r="R525" s="278">
        <v>14519</v>
      </c>
      <c r="S525" s="278">
        <v>28249</v>
      </c>
    </row>
    <row r="526" spans="1:19">
      <c r="A526" s="241" t="s">
        <v>3159</v>
      </c>
      <c r="B526" s="241" t="s">
        <v>5303</v>
      </c>
      <c r="C526" s="241" t="s">
        <v>3432</v>
      </c>
      <c r="D526" s="241" t="s">
        <v>3692</v>
      </c>
      <c r="E526" s="241" t="s">
        <v>3702</v>
      </c>
      <c r="F526" s="278">
        <v>1338</v>
      </c>
      <c r="G526" s="278">
        <v>11477</v>
      </c>
      <c r="H526" s="278">
        <v>6431</v>
      </c>
      <c r="I526" s="278">
        <v>5036</v>
      </c>
      <c r="J526" s="278">
        <v>9691</v>
      </c>
      <c r="K526" s="278">
        <v>4857</v>
      </c>
      <c r="L526" s="278">
        <v>4826</v>
      </c>
      <c r="M526" s="278">
        <v>1338</v>
      </c>
      <c r="N526" s="278">
        <v>11477</v>
      </c>
      <c r="O526" s="278">
        <v>6431</v>
      </c>
      <c r="P526" s="278">
        <v>5036</v>
      </c>
      <c r="Q526" s="278">
        <v>9691</v>
      </c>
      <c r="R526" s="278">
        <v>4857</v>
      </c>
      <c r="S526" s="278">
        <v>4826</v>
      </c>
    </row>
    <row r="527" spans="1:19">
      <c r="A527" s="241" t="s">
        <v>3159</v>
      </c>
      <c r="B527" s="241" t="s">
        <v>5303</v>
      </c>
      <c r="C527" s="241" t="s">
        <v>3172</v>
      </c>
      <c r="D527" s="241" t="s">
        <v>3692</v>
      </c>
      <c r="E527" s="241" t="s">
        <v>3703</v>
      </c>
      <c r="F527" s="278">
        <v>17249</v>
      </c>
      <c r="G527" s="278">
        <v>48206</v>
      </c>
      <c r="H527" s="278">
        <v>29072</v>
      </c>
      <c r="I527" s="278">
        <v>19096</v>
      </c>
      <c r="J527" s="278">
        <v>27163</v>
      </c>
      <c r="K527" s="278">
        <v>11668</v>
      </c>
      <c r="L527" s="278">
        <v>15470</v>
      </c>
      <c r="M527" s="278">
        <v>17249</v>
      </c>
      <c r="N527" s="278">
        <v>48206</v>
      </c>
      <c r="O527" s="278">
        <v>29072</v>
      </c>
      <c r="P527" s="278">
        <v>19096</v>
      </c>
      <c r="Q527" s="278">
        <v>27163</v>
      </c>
      <c r="R527" s="278">
        <v>11668</v>
      </c>
      <c r="S527" s="278">
        <v>15470</v>
      </c>
    </row>
    <row r="528" spans="1:19">
      <c r="A528" s="241" t="s">
        <v>3159</v>
      </c>
      <c r="B528" s="241" t="s">
        <v>5303</v>
      </c>
      <c r="C528" s="241" t="s">
        <v>3432</v>
      </c>
      <c r="D528" s="241" t="s">
        <v>3692</v>
      </c>
      <c r="E528" s="241" t="s">
        <v>3704</v>
      </c>
      <c r="F528" s="278">
        <v>11127</v>
      </c>
      <c r="G528" s="278">
        <v>32446</v>
      </c>
      <c r="H528" s="278">
        <v>18057</v>
      </c>
      <c r="I528" s="278">
        <v>14364</v>
      </c>
      <c r="J528" s="278">
        <v>19506</v>
      </c>
      <c r="K528" s="278">
        <v>7547</v>
      </c>
      <c r="L528" s="278">
        <v>11942</v>
      </c>
      <c r="M528" s="278">
        <v>11127</v>
      </c>
      <c r="N528" s="278">
        <v>32446</v>
      </c>
      <c r="O528" s="278">
        <v>18057</v>
      </c>
      <c r="P528" s="278">
        <v>14364</v>
      </c>
      <c r="Q528" s="278">
        <v>19506</v>
      </c>
      <c r="R528" s="278">
        <v>7547</v>
      </c>
      <c r="S528" s="278">
        <v>11942</v>
      </c>
    </row>
    <row r="529" spans="1:19">
      <c r="A529" s="241" t="s">
        <v>3159</v>
      </c>
      <c r="B529" s="241" t="s">
        <v>5303</v>
      </c>
      <c r="C529" s="241" t="s">
        <v>3432</v>
      </c>
      <c r="D529" s="241" t="s">
        <v>3692</v>
      </c>
      <c r="E529" s="241" t="s">
        <v>3705</v>
      </c>
      <c r="F529" s="278">
        <v>6122</v>
      </c>
      <c r="G529" s="278">
        <v>15760</v>
      </c>
      <c r="H529" s="278">
        <v>11015</v>
      </c>
      <c r="I529" s="278">
        <v>4732</v>
      </c>
      <c r="J529" s="278">
        <v>7657</v>
      </c>
      <c r="K529" s="278">
        <v>4121</v>
      </c>
      <c r="L529" s="278">
        <v>3528</v>
      </c>
      <c r="M529" s="278">
        <v>6122</v>
      </c>
      <c r="N529" s="278">
        <v>15760</v>
      </c>
      <c r="O529" s="278">
        <v>11015</v>
      </c>
      <c r="P529" s="278">
        <v>4732</v>
      </c>
      <c r="Q529" s="278">
        <v>7657</v>
      </c>
      <c r="R529" s="278">
        <v>4121</v>
      </c>
      <c r="S529" s="278">
        <v>3528</v>
      </c>
    </row>
    <row r="530" spans="1:19">
      <c r="A530" s="241" t="s">
        <v>3159</v>
      </c>
      <c r="B530" s="241" t="s">
        <v>5303</v>
      </c>
      <c r="C530" s="241" t="s">
        <v>3172</v>
      </c>
      <c r="D530" s="241" t="s">
        <v>3692</v>
      </c>
      <c r="E530" s="241" t="s">
        <v>3706</v>
      </c>
      <c r="F530" s="278">
        <v>7350</v>
      </c>
      <c r="G530" s="278">
        <v>14564</v>
      </c>
      <c r="H530" s="278">
        <v>8444</v>
      </c>
      <c r="I530" s="278">
        <v>6106</v>
      </c>
      <c r="J530" s="278">
        <v>5976</v>
      </c>
      <c r="K530" s="278">
        <v>1959</v>
      </c>
      <c r="L530" s="278">
        <v>4008</v>
      </c>
      <c r="M530" s="278">
        <v>7350</v>
      </c>
      <c r="N530" s="278">
        <v>14564</v>
      </c>
      <c r="O530" s="278">
        <v>8444</v>
      </c>
      <c r="P530" s="278">
        <v>6106</v>
      </c>
      <c r="Q530" s="278">
        <v>5976</v>
      </c>
      <c r="R530" s="278">
        <v>1959</v>
      </c>
      <c r="S530" s="278">
        <v>4008</v>
      </c>
    </row>
    <row r="531" spans="1:19">
      <c r="A531" s="241" t="s">
        <v>3159</v>
      </c>
      <c r="B531" s="241" t="s">
        <v>5303</v>
      </c>
      <c r="C531" s="241" t="s">
        <v>3172</v>
      </c>
      <c r="D531" s="241" t="s">
        <v>3692</v>
      </c>
      <c r="E531" s="241" t="s">
        <v>3707</v>
      </c>
      <c r="F531" s="278">
        <v>32246</v>
      </c>
      <c r="G531" s="278">
        <v>200251</v>
      </c>
      <c r="H531" s="278">
        <v>109051</v>
      </c>
      <c r="I531" s="278">
        <v>90970</v>
      </c>
      <c r="J531" s="278">
        <v>157007</v>
      </c>
      <c r="K531" s="278">
        <v>72527</v>
      </c>
      <c r="L531" s="278">
        <v>84287</v>
      </c>
      <c r="M531" s="278">
        <v>32246</v>
      </c>
      <c r="N531" s="278">
        <v>200251</v>
      </c>
      <c r="O531" s="278">
        <v>109051</v>
      </c>
      <c r="P531" s="278">
        <v>90970</v>
      </c>
      <c r="Q531" s="278">
        <v>157007</v>
      </c>
      <c r="R531" s="278">
        <v>72527</v>
      </c>
      <c r="S531" s="278">
        <v>84287</v>
      </c>
    </row>
    <row r="532" spans="1:19">
      <c r="A532" s="241" t="s">
        <v>3159</v>
      </c>
      <c r="B532" s="241" t="s">
        <v>5303</v>
      </c>
      <c r="C532" s="241" t="s">
        <v>3432</v>
      </c>
      <c r="D532" s="241" t="s">
        <v>3692</v>
      </c>
      <c r="E532" s="241" t="s">
        <v>3708</v>
      </c>
      <c r="F532" s="278">
        <v>2808</v>
      </c>
      <c r="G532" s="278">
        <v>43732</v>
      </c>
      <c r="H532" s="278">
        <v>28338</v>
      </c>
      <c r="I532" s="278">
        <v>15290</v>
      </c>
      <c r="J532" s="278">
        <v>36941</v>
      </c>
      <c r="K532" s="278">
        <v>22211</v>
      </c>
      <c r="L532" s="278">
        <v>14638</v>
      </c>
      <c r="M532" s="278">
        <v>2808</v>
      </c>
      <c r="N532" s="278">
        <v>43732</v>
      </c>
      <c r="O532" s="278">
        <v>28338</v>
      </c>
      <c r="P532" s="278">
        <v>15290</v>
      </c>
      <c r="Q532" s="278">
        <v>36941</v>
      </c>
      <c r="R532" s="278">
        <v>22211</v>
      </c>
      <c r="S532" s="278">
        <v>14638</v>
      </c>
    </row>
    <row r="533" spans="1:19">
      <c r="A533" s="241" t="s">
        <v>3159</v>
      </c>
      <c r="B533" s="241" t="s">
        <v>5303</v>
      </c>
      <c r="C533" s="241" t="s">
        <v>3432</v>
      </c>
      <c r="D533" s="241" t="s">
        <v>3692</v>
      </c>
      <c r="E533" s="241" t="s">
        <v>3709</v>
      </c>
      <c r="F533" s="278">
        <v>29438</v>
      </c>
      <c r="G533" s="278">
        <v>156519</v>
      </c>
      <c r="H533" s="278">
        <v>80713</v>
      </c>
      <c r="I533" s="278">
        <v>75680</v>
      </c>
      <c r="J533" s="278">
        <v>120066</v>
      </c>
      <c r="K533" s="278">
        <v>50316</v>
      </c>
      <c r="L533" s="278">
        <v>69649</v>
      </c>
      <c r="M533" s="278">
        <v>29438</v>
      </c>
      <c r="N533" s="278">
        <v>156519</v>
      </c>
      <c r="O533" s="278">
        <v>80713</v>
      </c>
      <c r="P533" s="278">
        <v>75680</v>
      </c>
      <c r="Q533" s="278">
        <v>120066</v>
      </c>
      <c r="R533" s="278">
        <v>50316</v>
      </c>
      <c r="S533" s="278">
        <v>69649</v>
      </c>
    </row>
    <row r="534" spans="1:19">
      <c r="A534" s="241" t="s">
        <v>3159</v>
      </c>
      <c r="B534" s="241" t="s">
        <v>5303</v>
      </c>
      <c r="C534" s="241" t="s">
        <v>3172</v>
      </c>
      <c r="D534" s="241" t="s">
        <v>3692</v>
      </c>
      <c r="E534" s="241" t="s">
        <v>3710</v>
      </c>
      <c r="F534" s="278">
        <v>6821</v>
      </c>
      <c r="G534" s="278">
        <v>25441</v>
      </c>
      <c r="H534" s="278">
        <v>10400</v>
      </c>
      <c r="I534" s="278">
        <v>14964</v>
      </c>
      <c r="J534" s="278">
        <v>17295</v>
      </c>
      <c r="K534" s="278">
        <v>4696</v>
      </c>
      <c r="L534" s="278">
        <v>12535</v>
      </c>
      <c r="M534" s="278">
        <v>6821</v>
      </c>
      <c r="N534" s="278">
        <v>25441</v>
      </c>
      <c r="O534" s="278">
        <v>10400</v>
      </c>
      <c r="P534" s="278">
        <v>14964</v>
      </c>
      <c r="Q534" s="278">
        <v>17295</v>
      </c>
      <c r="R534" s="278">
        <v>4696</v>
      </c>
      <c r="S534" s="278">
        <v>12535</v>
      </c>
    </row>
    <row r="535" spans="1:19">
      <c r="A535" s="241" t="s">
        <v>3159</v>
      </c>
      <c r="B535" s="241" t="s">
        <v>5303</v>
      </c>
      <c r="C535" s="241" t="s">
        <v>3172</v>
      </c>
      <c r="D535" s="241" t="s">
        <v>3692</v>
      </c>
      <c r="E535" s="241" t="s">
        <v>3711</v>
      </c>
      <c r="F535" s="278">
        <v>9821</v>
      </c>
      <c r="G535" s="278">
        <v>42376</v>
      </c>
      <c r="H535" s="278">
        <v>23152</v>
      </c>
      <c r="I535" s="278">
        <v>19124</v>
      </c>
      <c r="J535" s="278">
        <v>29264</v>
      </c>
      <c r="K535" s="278">
        <v>14228</v>
      </c>
      <c r="L535" s="278">
        <v>14948</v>
      </c>
      <c r="M535" s="278">
        <v>9821</v>
      </c>
      <c r="N535" s="278">
        <v>42376</v>
      </c>
      <c r="O535" s="278">
        <v>23152</v>
      </c>
      <c r="P535" s="278">
        <v>19124</v>
      </c>
      <c r="Q535" s="278">
        <v>29264</v>
      </c>
      <c r="R535" s="278">
        <v>14228</v>
      </c>
      <c r="S535" s="278">
        <v>14948</v>
      </c>
    </row>
    <row r="536" spans="1:19">
      <c r="A536" s="241" t="s">
        <v>3159</v>
      </c>
      <c r="B536" s="241" t="s">
        <v>5303</v>
      </c>
      <c r="C536" s="241" t="s">
        <v>3172</v>
      </c>
      <c r="D536" s="241" t="s">
        <v>3692</v>
      </c>
      <c r="E536" s="241" t="s">
        <v>3712</v>
      </c>
      <c r="F536" s="278">
        <v>983</v>
      </c>
      <c r="G536" s="278">
        <v>1543</v>
      </c>
      <c r="H536" s="278">
        <v>968</v>
      </c>
      <c r="I536" s="278">
        <v>575</v>
      </c>
      <c r="J536" s="278">
        <v>272</v>
      </c>
      <c r="K536" s="278">
        <v>102</v>
      </c>
      <c r="L536" s="278">
        <v>170</v>
      </c>
      <c r="M536" s="278">
        <v>983</v>
      </c>
      <c r="N536" s="278">
        <v>1543</v>
      </c>
      <c r="O536" s="278">
        <v>968</v>
      </c>
      <c r="P536" s="278">
        <v>575</v>
      </c>
      <c r="Q536" s="278">
        <v>272</v>
      </c>
      <c r="R536" s="278">
        <v>102</v>
      </c>
      <c r="S536" s="278">
        <v>170</v>
      </c>
    </row>
    <row r="537" spans="1:19">
      <c r="A537" s="241" t="s">
        <v>3159</v>
      </c>
      <c r="B537" s="241" t="s">
        <v>5303</v>
      </c>
      <c r="C537" s="241" t="s">
        <v>3172</v>
      </c>
      <c r="D537" s="241" t="s">
        <v>3692</v>
      </c>
      <c r="E537" s="241" t="s">
        <v>3713</v>
      </c>
      <c r="F537" s="278">
        <v>21347</v>
      </c>
      <c r="G537" s="278">
        <v>240233</v>
      </c>
      <c r="H537" s="278">
        <v>151513</v>
      </c>
      <c r="I537" s="278">
        <v>86494</v>
      </c>
      <c r="J537" s="278">
        <v>203813</v>
      </c>
      <c r="K537" s="278">
        <v>124662</v>
      </c>
      <c r="L537" s="278">
        <v>77027</v>
      </c>
      <c r="M537" s="278">
        <v>21347</v>
      </c>
      <c r="N537" s="278">
        <v>240233</v>
      </c>
      <c r="O537" s="278">
        <v>151513</v>
      </c>
      <c r="P537" s="278">
        <v>86494</v>
      </c>
      <c r="Q537" s="278">
        <v>203813</v>
      </c>
      <c r="R537" s="278">
        <v>124662</v>
      </c>
      <c r="S537" s="278">
        <v>77027</v>
      </c>
    </row>
    <row r="538" spans="1:19">
      <c r="A538" s="241" t="s">
        <v>3159</v>
      </c>
      <c r="B538" s="241" t="s">
        <v>5303</v>
      </c>
      <c r="C538" s="241" t="s">
        <v>3432</v>
      </c>
      <c r="D538" s="241" t="s">
        <v>3692</v>
      </c>
      <c r="E538" s="241" t="s">
        <v>3714</v>
      </c>
      <c r="F538" s="278">
        <v>19152</v>
      </c>
      <c r="G538" s="278">
        <v>174405</v>
      </c>
      <c r="H538" s="278">
        <v>107458</v>
      </c>
      <c r="I538" s="278">
        <v>65270</v>
      </c>
      <c r="J538" s="278">
        <v>144846</v>
      </c>
      <c r="K538" s="278">
        <v>86588</v>
      </c>
      <c r="L538" s="278">
        <v>56628</v>
      </c>
      <c r="M538" s="278">
        <v>19152</v>
      </c>
      <c r="N538" s="278">
        <v>174405</v>
      </c>
      <c r="O538" s="278">
        <v>107458</v>
      </c>
      <c r="P538" s="278">
        <v>65270</v>
      </c>
      <c r="Q538" s="278">
        <v>144846</v>
      </c>
      <c r="R538" s="278">
        <v>86588</v>
      </c>
      <c r="S538" s="278">
        <v>56628</v>
      </c>
    </row>
    <row r="539" spans="1:19">
      <c r="A539" s="241" t="s">
        <v>3159</v>
      </c>
      <c r="B539" s="241" t="s">
        <v>5303</v>
      </c>
      <c r="C539" s="241" t="s">
        <v>3432</v>
      </c>
      <c r="D539" s="241" t="s">
        <v>3692</v>
      </c>
      <c r="E539" s="241" t="s">
        <v>3715</v>
      </c>
      <c r="F539" s="278">
        <v>2194</v>
      </c>
      <c r="G539" s="278">
        <v>65823</v>
      </c>
      <c r="H539" s="278">
        <v>44055</v>
      </c>
      <c r="I539" s="278">
        <v>21219</v>
      </c>
      <c r="J539" s="278">
        <v>58965</v>
      </c>
      <c r="K539" s="278">
        <v>38074</v>
      </c>
      <c r="L539" s="278">
        <v>20397</v>
      </c>
      <c r="M539" s="278">
        <v>2194</v>
      </c>
      <c r="N539" s="278">
        <v>65823</v>
      </c>
      <c r="O539" s="278">
        <v>44055</v>
      </c>
      <c r="P539" s="278">
        <v>21219</v>
      </c>
      <c r="Q539" s="278">
        <v>58965</v>
      </c>
      <c r="R539" s="278">
        <v>38074</v>
      </c>
      <c r="S539" s="278">
        <v>20397</v>
      </c>
    </row>
    <row r="540" spans="1:19">
      <c r="A540" s="241" t="s">
        <v>3159</v>
      </c>
      <c r="B540" s="241" t="s">
        <v>5303</v>
      </c>
      <c r="C540" s="241" t="s">
        <v>3172</v>
      </c>
      <c r="D540" s="241" t="s">
        <v>3692</v>
      </c>
      <c r="E540" s="241" t="s">
        <v>3716</v>
      </c>
      <c r="F540" s="278">
        <v>28537</v>
      </c>
      <c r="G540" s="278">
        <v>175391</v>
      </c>
      <c r="H540" s="278">
        <v>94735</v>
      </c>
      <c r="I540" s="278">
        <v>79213</v>
      </c>
      <c r="J540" s="278">
        <v>133060</v>
      </c>
      <c r="K540" s="278">
        <v>66392</v>
      </c>
      <c r="L540" s="278">
        <v>65270</v>
      </c>
      <c r="M540" s="278">
        <v>28537</v>
      </c>
      <c r="N540" s="278">
        <v>175391</v>
      </c>
      <c r="O540" s="278">
        <v>94735</v>
      </c>
      <c r="P540" s="278">
        <v>79213</v>
      </c>
      <c r="Q540" s="278">
        <v>133060</v>
      </c>
      <c r="R540" s="278">
        <v>66392</v>
      </c>
      <c r="S540" s="278">
        <v>65270</v>
      </c>
    </row>
    <row r="541" spans="1:19">
      <c r="A541" s="241" t="s">
        <v>3159</v>
      </c>
      <c r="B541" s="241" t="s">
        <v>5303</v>
      </c>
      <c r="C541" s="241" t="s">
        <v>3432</v>
      </c>
      <c r="D541" s="241" t="s">
        <v>3692</v>
      </c>
      <c r="E541" s="241" t="s">
        <v>3717</v>
      </c>
      <c r="F541" s="278">
        <v>550</v>
      </c>
      <c r="G541" s="278">
        <v>5386</v>
      </c>
      <c r="H541" s="278">
        <v>3406</v>
      </c>
      <c r="I541" s="278">
        <v>1960</v>
      </c>
      <c r="J541" s="278">
        <v>4903</v>
      </c>
      <c r="K541" s="278">
        <v>3023</v>
      </c>
      <c r="L541" s="278">
        <v>1860</v>
      </c>
      <c r="M541" s="278">
        <v>550</v>
      </c>
      <c r="N541" s="278">
        <v>5386</v>
      </c>
      <c r="O541" s="278">
        <v>3406</v>
      </c>
      <c r="P541" s="278">
        <v>1960</v>
      </c>
      <c r="Q541" s="278">
        <v>4903</v>
      </c>
      <c r="R541" s="278">
        <v>3023</v>
      </c>
      <c r="S541" s="278">
        <v>1860</v>
      </c>
    </row>
    <row r="542" spans="1:19">
      <c r="A542" s="241" t="s">
        <v>3159</v>
      </c>
      <c r="B542" s="241" t="s">
        <v>5303</v>
      </c>
      <c r="C542" s="241" t="s">
        <v>3432</v>
      </c>
      <c r="D542" s="241" t="s">
        <v>3692</v>
      </c>
      <c r="E542" s="241" t="s">
        <v>3718</v>
      </c>
      <c r="F542" s="278">
        <v>27987</v>
      </c>
      <c r="G542" s="278">
        <v>170005</v>
      </c>
      <c r="H542" s="278">
        <v>91329</v>
      </c>
      <c r="I542" s="278">
        <v>77253</v>
      </c>
      <c r="J542" s="278">
        <v>128157</v>
      </c>
      <c r="K542" s="278">
        <v>63369</v>
      </c>
      <c r="L542" s="278">
        <v>63410</v>
      </c>
      <c r="M542" s="278">
        <v>27987</v>
      </c>
      <c r="N542" s="278">
        <v>170005</v>
      </c>
      <c r="O542" s="278">
        <v>91329</v>
      </c>
      <c r="P542" s="278">
        <v>77253</v>
      </c>
      <c r="Q542" s="278">
        <v>128157</v>
      </c>
      <c r="R542" s="278">
        <v>63369</v>
      </c>
      <c r="S542" s="278">
        <v>63410</v>
      </c>
    </row>
    <row r="543" spans="1:19">
      <c r="A543" s="241" t="s">
        <v>3159</v>
      </c>
      <c r="B543" s="241" t="s">
        <v>5303</v>
      </c>
      <c r="C543" s="241" t="s">
        <v>3170</v>
      </c>
      <c r="D543" s="241" t="s">
        <v>3692</v>
      </c>
      <c r="E543" s="241" t="s">
        <v>3719</v>
      </c>
      <c r="F543" s="278">
        <v>10697</v>
      </c>
      <c r="G543" s="278">
        <v>143458</v>
      </c>
      <c r="H543" s="278">
        <v>86775</v>
      </c>
      <c r="I543" s="278">
        <v>54624</v>
      </c>
      <c r="J543" s="278">
        <v>127426</v>
      </c>
      <c r="K543" s="278">
        <v>75003</v>
      </c>
      <c r="L543" s="278">
        <v>50370</v>
      </c>
      <c r="M543" s="278">
        <v>10697</v>
      </c>
      <c r="N543" s="278">
        <v>143458</v>
      </c>
      <c r="O543" s="278">
        <v>86775</v>
      </c>
      <c r="P543" s="278">
        <v>54624</v>
      </c>
      <c r="Q543" s="278">
        <v>127426</v>
      </c>
      <c r="R543" s="278">
        <v>75003</v>
      </c>
      <c r="S543" s="278">
        <v>50370</v>
      </c>
    </row>
    <row r="544" spans="1:19">
      <c r="A544" s="241" t="s">
        <v>3159</v>
      </c>
      <c r="B544" s="241" t="s">
        <v>5303</v>
      </c>
      <c r="C544" s="241" t="s">
        <v>3172</v>
      </c>
      <c r="D544" s="241" t="s">
        <v>3692</v>
      </c>
      <c r="E544" s="241" t="s">
        <v>3720</v>
      </c>
      <c r="F544" s="278">
        <v>30</v>
      </c>
      <c r="G544" s="278">
        <v>362</v>
      </c>
      <c r="H544" s="278">
        <v>243</v>
      </c>
      <c r="I544" s="278">
        <v>116</v>
      </c>
      <c r="J544" s="278">
        <v>331</v>
      </c>
      <c r="K544" s="278">
        <v>218</v>
      </c>
      <c r="L544" s="278">
        <v>111</v>
      </c>
      <c r="M544" s="278">
        <v>30</v>
      </c>
      <c r="N544" s="278">
        <v>362</v>
      </c>
      <c r="O544" s="278">
        <v>243</v>
      </c>
      <c r="P544" s="278">
        <v>116</v>
      </c>
      <c r="Q544" s="278">
        <v>331</v>
      </c>
      <c r="R544" s="278">
        <v>218</v>
      </c>
      <c r="S544" s="278">
        <v>111</v>
      </c>
    </row>
    <row r="545" spans="1:19">
      <c r="A545" s="241" t="s">
        <v>3159</v>
      </c>
      <c r="B545" s="241" t="s">
        <v>5303</v>
      </c>
      <c r="C545" s="241" t="s">
        <v>3172</v>
      </c>
      <c r="D545" s="241" t="s">
        <v>3692</v>
      </c>
      <c r="E545" s="241" t="s">
        <v>3721</v>
      </c>
      <c r="F545" s="278">
        <v>10667</v>
      </c>
      <c r="G545" s="278">
        <v>143096</v>
      </c>
      <c r="H545" s="278">
        <v>86532</v>
      </c>
      <c r="I545" s="278">
        <v>54508</v>
      </c>
      <c r="J545" s="278">
        <v>127095</v>
      </c>
      <c r="K545" s="278">
        <v>74785</v>
      </c>
      <c r="L545" s="278">
        <v>50259</v>
      </c>
      <c r="M545" s="278">
        <v>10667</v>
      </c>
      <c r="N545" s="278">
        <v>143096</v>
      </c>
      <c r="O545" s="278">
        <v>86532</v>
      </c>
      <c r="P545" s="278">
        <v>54508</v>
      </c>
      <c r="Q545" s="278">
        <v>127095</v>
      </c>
      <c r="R545" s="278">
        <v>74785</v>
      </c>
      <c r="S545" s="278">
        <v>50259</v>
      </c>
    </row>
    <row r="546" spans="1:19">
      <c r="A546" s="241" t="s">
        <v>3159</v>
      </c>
      <c r="B546" s="241" t="s">
        <v>5303</v>
      </c>
      <c r="C546" s="241" t="s">
        <v>3170</v>
      </c>
      <c r="D546" s="241" t="s">
        <v>3692</v>
      </c>
      <c r="E546" s="241" t="s">
        <v>3722</v>
      </c>
      <c r="F546" s="278">
        <v>99930</v>
      </c>
      <c r="G546" s="278">
        <v>944584</v>
      </c>
      <c r="H546" s="278">
        <v>686408</v>
      </c>
      <c r="I546" s="278">
        <v>250334</v>
      </c>
      <c r="J546" s="278">
        <v>809217</v>
      </c>
      <c r="K546" s="278">
        <v>585292</v>
      </c>
      <c r="L546" s="278">
        <v>216217</v>
      </c>
      <c r="M546" s="278">
        <v>97295</v>
      </c>
      <c r="N546" s="278">
        <v>876410</v>
      </c>
      <c r="O546" s="278">
        <v>632405</v>
      </c>
      <c r="P546" s="278">
        <v>236163</v>
      </c>
      <c r="Q546" s="278">
        <v>741124</v>
      </c>
      <c r="R546" s="278">
        <v>531317</v>
      </c>
      <c r="S546" s="278">
        <v>202099</v>
      </c>
    </row>
    <row r="547" spans="1:19">
      <c r="A547" s="241" t="s">
        <v>3159</v>
      </c>
      <c r="B547" s="241" t="s">
        <v>5303</v>
      </c>
      <c r="C547" s="241" t="s">
        <v>3172</v>
      </c>
      <c r="D547" s="241" t="s">
        <v>3692</v>
      </c>
      <c r="E547" s="241" t="s">
        <v>3723</v>
      </c>
      <c r="F547" s="278">
        <v>415</v>
      </c>
      <c r="G547" s="278">
        <v>5282</v>
      </c>
      <c r="H547" s="278">
        <v>3755</v>
      </c>
      <c r="I547" s="278">
        <v>1448</v>
      </c>
      <c r="J547" s="278">
        <v>4760</v>
      </c>
      <c r="K547" s="278">
        <v>3325</v>
      </c>
      <c r="L547" s="278">
        <v>1369</v>
      </c>
      <c r="M547" s="278">
        <v>415</v>
      </c>
      <c r="N547" s="278">
        <v>5282</v>
      </c>
      <c r="O547" s="278">
        <v>3755</v>
      </c>
      <c r="P547" s="278">
        <v>1448</v>
      </c>
      <c r="Q547" s="278">
        <v>4760</v>
      </c>
      <c r="R547" s="278">
        <v>3325</v>
      </c>
      <c r="S547" s="278">
        <v>1369</v>
      </c>
    </row>
    <row r="548" spans="1:19">
      <c r="A548" s="241" t="s">
        <v>3159</v>
      </c>
      <c r="B548" s="241" t="s">
        <v>5303</v>
      </c>
      <c r="C548" s="241" t="s">
        <v>3172</v>
      </c>
      <c r="D548" s="241" t="s">
        <v>3692</v>
      </c>
      <c r="E548" s="241" t="s">
        <v>3724</v>
      </c>
      <c r="F548" s="278">
        <v>9749</v>
      </c>
      <c r="G548" s="278">
        <v>57250</v>
      </c>
      <c r="H548" s="278">
        <v>17036</v>
      </c>
      <c r="I548" s="278">
        <v>40143</v>
      </c>
      <c r="J548" s="278">
        <v>42301</v>
      </c>
      <c r="K548" s="278">
        <v>7982</v>
      </c>
      <c r="L548" s="278">
        <v>34256</v>
      </c>
      <c r="M548" s="278">
        <v>9736</v>
      </c>
      <c r="N548" s="278">
        <v>57204</v>
      </c>
      <c r="O548" s="278">
        <v>17000</v>
      </c>
      <c r="P548" s="278">
        <v>40133</v>
      </c>
      <c r="Q548" s="278">
        <v>42255</v>
      </c>
      <c r="R548" s="278">
        <v>7946</v>
      </c>
      <c r="S548" s="278">
        <v>34246</v>
      </c>
    </row>
    <row r="549" spans="1:19">
      <c r="A549" s="241" t="s">
        <v>3159</v>
      </c>
      <c r="B549" s="241" t="s">
        <v>5303</v>
      </c>
      <c r="C549" s="241" t="s">
        <v>3172</v>
      </c>
      <c r="D549" s="241" t="s">
        <v>3692</v>
      </c>
      <c r="E549" s="241" t="s">
        <v>3725</v>
      </c>
      <c r="F549" s="278">
        <v>57620</v>
      </c>
      <c r="G549" s="278">
        <v>442635</v>
      </c>
      <c r="H549" s="278">
        <v>333664</v>
      </c>
      <c r="I549" s="278">
        <v>108340</v>
      </c>
      <c r="J549" s="278">
        <v>366116</v>
      </c>
      <c r="K549" s="278">
        <v>274222</v>
      </c>
      <c r="L549" s="278">
        <v>91306</v>
      </c>
      <c r="M549" s="278">
        <v>55370</v>
      </c>
      <c r="N549" s="278">
        <v>378974</v>
      </c>
      <c r="O549" s="278">
        <v>282852</v>
      </c>
      <c r="P549" s="278">
        <v>95491</v>
      </c>
      <c r="Q549" s="278">
        <v>302530</v>
      </c>
      <c r="R549" s="278">
        <v>223434</v>
      </c>
      <c r="S549" s="278">
        <v>78508</v>
      </c>
    </row>
    <row r="550" spans="1:19">
      <c r="A550" s="241" t="s">
        <v>3159</v>
      </c>
      <c r="B550" s="241" t="s">
        <v>5303</v>
      </c>
      <c r="C550" s="241" t="s">
        <v>3432</v>
      </c>
      <c r="D550" s="241" t="s">
        <v>3692</v>
      </c>
      <c r="E550" s="241" t="s">
        <v>3726</v>
      </c>
      <c r="F550" s="278">
        <v>44848</v>
      </c>
      <c r="G550" s="278">
        <v>345305</v>
      </c>
      <c r="H550" s="278">
        <v>257511</v>
      </c>
      <c r="I550" s="278">
        <v>87293</v>
      </c>
      <c r="J550" s="278">
        <v>288776</v>
      </c>
      <c r="K550" s="278">
        <v>213874</v>
      </c>
      <c r="L550" s="278">
        <v>74432</v>
      </c>
      <c r="M550" s="278">
        <v>42612</v>
      </c>
      <c r="N550" s="278">
        <v>282436</v>
      </c>
      <c r="O550" s="278">
        <v>207272</v>
      </c>
      <c r="P550" s="278">
        <v>74663</v>
      </c>
      <c r="Q550" s="278">
        <v>225979</v>
      </c>
      <c r="R550" s="278">
        <v>163656</v>
      </c>
      <c r="S550" s="278">
        <v>61853</v>
      </c>
    </row>
    <row r="551" spans="1:19">
      <c r="A551" s="241" t="s">
        <v>3159</v>
      </c>
      <c r="B551" s="241" t="s">
        <v>5303</v>
      </c>
      <c r="C551" s="241" t="s">
        <v>3432</v>
      </c>
      <c r="D551" s="241" t="s">
        <v>3692</v>
      </c>
      <c r="E551" s="241" t="s">
        <v>3727</v>
      </c>
      <c r="F551" s="278">
        <v>9304</v>
      </c>
      <c r="G551" s="278">
        <v>66323</v>
      </c>
      <c r="H551" s="278">
        <v>51850</v>
      </c>
      <c r="I551" s="278">
        <v>14360</v>
      </c>
      <c r="J551" s="278">
        <v>51392</v>
      </c>
      <c r="K551" s="278">
        <v>40049</v>
      </c>
      <c r="L551" s="278">
        <v>11241</v>
      </c>
      <c r="M551" s="278">
        <v>9290</v>
      </c>
      <c r="N551" s="278">
        <v>65531</v>
      </c>
      <c r="O551" s="278">
        <v>51277</v>
      </c>
      <c r="P551" s="278">
        <v>14141</v>
      </c>
      <c r="Q551" s="278">
        <v>50603</v>
      </c>
      <c r="R551" s="278">
        <v>39479</v>
      </c>
      <c r="S551" s="278">
        <v>11022</v>
      </c>
    </row>
    <row r="552" spans="1:19">
      <c r="A552" s="241" t="s">
        <v>3159</v>
      </c>
      <c r="B552" s="241" t="s">
        <v>5303</v>
      </c>
      <c r="C552" s="241" t="s">
        <v>3432</v>
      </c>
      <c r="D552" s="241" t="s">
        <v>3692</v>
      </c>
      <c r="E552" s="241" t="s">
        <v>3728</v>
      </c>
      <c r="F552" s="278">
        <v>3468</v>
      </c>
      <c r="G552" s="278">
        <v>31007</v>
      </c>
      <c r="H552" s="278">
        <v>24303</v>
      </c>
      <c r="I552" s="278">
        <v>6687</v>
      </c>
      <c r="J552" s="278">
        <v>25948</v>
      </c>
      <c r="K552" s="278">
        <v>20299</v>
      </c>
      <c r="L552" s="278">
        <v>5633</v>
      </c>
      <c r="M552" s="278">
        <v>3468</v>
      </c>
      <c r="N552" s="278">
        <v>31007</v>
      </c>
      <c r="O552" s="278">
        <v>24303</v>
      </c>
      <c r="P552" s="278">
        <v>6687</v>
      </c>
      <c r="Q552" s="278">
        <v>25948</v>
      </c>
      <c r="R552" s="278">
        <v>20299</v>
      </c>
      <c r="S552" s="278">
        <v>5633</v>
      </c>
    </row>
    <row r="553" spans="1:19">
      <c r="A553" s="241" t="s">
        <v>3159</v>
      </c>
      <c r="B553" s="241" t="s">
        <v>5303</v>
      </c>
      <c r="C553" s="241" t="s">
        <v>3172</v>
      </c>
      <c r="D553" s="241" t="s">
        <v>3692</v>
      </c>
      <c r="E553" s="241" t="s">
        <v>3729</v>
      </c>
      <c r="F553" s="278">
        <v>7162</v>
      </c>
      <c r="G553" s="278">
        <v>133667</v>
      </c>
      <c r="H553" s="278">
        <v>108085</v>
      </c>
      <c r="I553" s="278">
        <v>21446</v>
      </c>
      <c r="J553" s="278">
        <v>124074</v>
      </c>
      <c r="K553" s="278">
        <v>100577</v>
      </c>
      <c r="L553" s="278">
        <v>19385</v>
      </c>
      <c r="M553" s="278">
        <v>7162</v>
      </c>
      <c r="N553" s="278">
        <v>133667</v>
      </c>
      <c r="O553" s="278">
        <v>108085</v>
      </c>
      <c r="P553" s="278">
        <v>21446</v>
      </c>
      <c r="Q553" s="278">
        <v>124074</v>
      </c>
      <c r="R553" s="278">
        <v>100577</v>
      </c>
      <c r="S553" s="278">
        <v>19385</v>
      </c>
    </row>
    <row r="554" spans="1:19">
      <c r="A554" s="241" t="s">
        <v>3159</v>
      </c>
      <c r="B554" s="241" t="s">
        <v>5303</v>
      </c>
      <c r="C554" s="241" t="s">
        <v>3172</v>
      </c>
      <c r="D554" s="241" t="s">
        <v>3692</v>
      </c>
      <c r="E554" s="241" t="s">
        <v>3730</v>
      </c>
      <c r="F554" s="278">
        <v>3488</v>
      </c>
      <c r="G554" s="278">
        <v>63209</v>
      </c>
      <c r="H554" s="278">
        <v>45063</v>
      </c>
      <c r="I554" s="278">
        <v>18076</v>
      </c>
      <c r="J554" s="278">
        <v>56636</v>
      </c>
      <c r="K554" s="278">
        <v>40200</v>
      </c>
      <c r="L554" s="278">
        <v>16372</v>
      </c>
      <c r="M554" s="278">
        <v>3431</v>
      </c>
      <c r="N554" s="278">
        <v>62643</v>
      </c>
      <c r="O554" s="278">
        <v>44567</v>
      </c>
      <c r="P554" s="278">
        <v>18006</v>
      </c>
      <c r="Q554" s="278">
        <v>56070</v>
      </c>
      <c r="R554" s="278">
        <v>39704</v>
      </c>
      <c r="S554" s="278">
        <v>16302</v>
      </c>
    </row>
    <row r="555" spans="1:19">
      <c r="A555" s="241" t="s">
        <v>3159</v>
      </c>
      <c r="B555" s="241" t="s">
        <v>5303</v>
      </c>
      <c r="C555" s="241" t="s">
        <v>3172</v>
      </c>
      <c r="D555" s="241" t="s">
        <v>3692</v>
      </c>
      <c r="E555" s="241" t="s">
        <v>3731</v>
      </c>
      <c r="F555" s="278">
        <v>1658</v>
      </c>
      <c r="G555" s="278">
        <v>32128</v>
      </c>
      <c r="H555" s="278">
        <v>21757</v>
      </c>
      <c r="I555" s="278">
        <v>9864</v>
      </c>
      <c r="J555" s="278">
        <v>29901</v>
      </c>
      <c r="K555" s="278">
        <v>19994</v>
      </c>
      <c r="L555" s="278">
        <v>9423</v>
      </c>
      <c r="M555" s="278">
        <v>1647</v>
      </c>
      <c r="N555" s="278">
        <v>32058</v>
      </c>
      <c r="O555" s="278">
        <v>21713</v>
      </c>
      <c r="P555" s="278">
        <v>9838</v>
      </c>
      <c r="Q555" s="278">
        <v>29831</v>
      </c>
      <c r="R555" s="278">
        <v>19950</v>
      </c>
      <c r="S555" s="278">
        <v>9397</v>
      </c>
    </row>
    <row r="556" spans="1:19">
      <c r="A556" s="241" t="s">
        <v>3159</v>
      </c>
      <c r="B556" s="241" t="s">
        <v>5303</v>
      </c>
      <c r="C556" s="241" t="s">
        <v>3172</v>
      </c>
      <c r="D556" s="241" t="s">
        <v>3692</v>
      </c>
      <c r="E556" s="241" t="s">
        <v>3732</v>
      </c>
      <c r="F556" s="278">
        <v>10302</v>
      </c>
      <c r="G556" s="278">
        <v>45299</v>
      </c>
      <c r="H556" s="278">
        <v>17837</v>
      </c>
      <c r="I556" s="278">
        <v>27388</v>
      </c>
      <c r="J556" s="278">
        <v>31561</v>
      </c>
      <c r="K556" s="278">
        <v>8745</v>
      </c>
      <c r="L556" s="278">
        <v>22753</v>
      </c>
      <c r="M556" s="278">
        <v>10302</v>
      </c>
      <c r="N556" s="278">
        <v>45299</v>
      </c>
      <c r="O556" s="278">
        <v>17837</v>
      </c>
      <c r="P556" s="278">
        <v>27388</v>
      </c>
      <c r="Q556" s="278">
        <v>31561</v>
      </c>
      <c r="R556" s="278">
        <v>8745</v>
      </c>
      <c r="S556" s="278">
        <v>22753</v>
      </c>
    </row>
    <row r="557" spans="1:19">
      <c r="A557" s="241" t="s">
        <v>3159</v>
      </c>
      <c r="B557" s="241" t="s">
        <v>5303</v>
      </c>
      <c r="C557" s="241" t="s">
        <v>3432</v>
      </c>
      <c r="D557" s="241" t="s">
        <v>3692</v>
      </c>
      <c r="E557" s="241" t="s">
        <v>3733</v>
      </c>
      <c r="F557" s="278">
        <v>8082</v>
      </c>
      <c r="G557" s="278">
        <v>36670</v>
      </c>
      <c r="H557" s="278">
        <v>12676</v>
      </c>
      <c r="I557" s="278">
        <v>23944</v>
      </c>
      <c r="J557" s="278">
        <v>26302</v>
      </c>
      <c r="K557" s="278">
        <v>5970</v>
      </c>
      <c r="L557" s="278">
        <v>20287</v>
      </c>
      <c r="M557" s="278">
        <v>8082</v>
      </c>
      <c r="N557" s="278">
        <v>36670</v>
      </c>
      <c r="O557" s="278">
        <v>12676</v>
      </c>
      <c r="P557" s="278">
        <v>23944</v>
      </c>
      <c r="Q557" s="278">
        <v>26302</v>
      </c>
      <c r="R557" s="278">
        <v>5970</v>
      </c>
      <c r="S557" s="278">
        <v>20287</v>
      </c>
    </row>
    <row r="558" spans="1:19">
      <c r="A558" s="241" t="s">
        <v>3159</v>
      </c>
      <c r="B558" s="241" t="s">
        <v>5303</v>
      </c>
      <c r="C558" s="241" t="s">
        <v>3432</v>
      </c>
      <c r="D558" s="241" t="s">
        <v>3692</v>
      </c>
      <c r="E558" s="241" t="s">
        <v>3734</v>
      </c>
      <c r="F558" s="278">
        <v>2210</v>
      </c>
      <c r="G558" s="278">
        <v>8591</v>
      </c>
      <c r="H558" s="278">
        <v>5142</v>
      </c>
      <c r="I558" s="278">
        <v>3425</v>
      </c>
      <c r="J558" s="278">
        <v>5235</v>
      </c>
      <c r="K558" s="278">
        <v>2768</v>
      </c>
      <c r="L558" s="278">
        <v>2449</v>
      </c>
      <c r="M558" s="278">
        <v>2210</v>
      </c>
      <c r="N558" s="278">
        <v>8591</v>
      </c>
      <c r="O558" s="278">
        <v>5142</v>
      </c>
      <c r="P558" s="278">
        <v>3425</v>
      </c>
      <c r="Q558" s="278">
        <v>5235</v>
      </c>
      <c r="R558" s="278">
        <v>2768</v>
      </c>
      <c r="S558" s="278">
        <v>2449</v>
      </c>
    </row>
    <row r="559" spans="1:19">
      <c r="A559" s="241" t="s">
        <v>3159</v>
      </c>
      <c r="B559" s="241" t="s">
        <v>5303</v>
      </c>
      <c r="C559" s="241" t="s">
        <v>3172</v>
      </c>
      <c r="D559" s="241" t="s">
        <v>3692</v>
      </c>
      <c r="E559" s="241" t="s">
        <v>3735</v>
      </c>
      <c r="F559" s="278">
        <v>9536</v>
      </c>
      <c r="G559" s="278">
        <v>165114</v>
      </c>
      <c r="H559" s="278">
        <v>139211</v>
      </c>
      <c r="I559" s="278">
        <v>23629</v>
      </c>
      <c r="J559" s="278">
        <v>153868</v>
      </c>
      <c r="K559" s="278">
        <v>130247</v>
      </c>
      <c r="L559" s="278">
        <v>21353</v>
      </c>
      <c r="M559" s="278">
        <v>9232</v>
      </c>
      <c r="N559" s="278">
        <v>161283</v>
      </c>
      <c r="O559" s="278">
        <v>136596</v>
      </c>
      <c r="P559" s="278">
        <v>22413</v>
      </c>
      <c r="Q559" s="278">
        <v>150043</v>
      </c>
      <c r="R559" s="278">
        <v>127636</v>
      </c>
      <c r="S559" s="278">
        <v>20139</v>
      </c>
    </row>
    <row r="560" spans="1:19">
      <c r="A560" s="241" t="s">
        <v>3159</v>
      </c>
      <c r="B560" s="241" t="s">
        <v>5303</v>
      </c>
      <c r="C560" s="241" t="s">
        <v>3168</v>
      </c>
      <c r="D560" s="241" t="s">
        <v>3736</v>
      </c>
      <c r="E560" s="241" t="s">
        <v>3737</v>
      </c>
      <c r="F560" s="278">
        <v>601300</v>
      </c>
      <c r="G560" s="278">
        <v>4701797</v>
      </c>
      <c r="H560" s="278">
        <v>1918021</v>
      </c>
      <c r="I560" s="278">
        <v>2684249</v>
      </c>
      <c r="J560" s="278">
        <v>3900277</v>
      </c>
      <c r="K560" s="278">
        <v>1520906</v>
      </c>
      <c r="L560" s="278">
        <v>2280494</v>
      </c>
      <c r="M560" s="278">
        <v>599058</v>
      </c>
      <c r="N560" s="278">
        <v>4678739</v>
      </c>
      <c r="O560" s="278">
        <v>1912297</v>
      </c>
      <c r="P560" s="278">
        <v>2666915</v>
      </c>
      <c r="Q560" s="278">
        <v>3877946</v>
      </c>
      <c r="R560" s="278">
        <v>1515310</v>
      </c>
      <c r="S560" s="278">
        <v>2263759</v>
      </c>
    </row>
    <row r="561" spans="1:19">
      <c r="A561" s="241" t="s">
        <v>3159</v>
      </c>
      <c r="B561" s="241" t="s">
        <v>5303</v>
      </c>
      <c r="C561" s="241" t="s">
        <v>3459</v>
      </c>
      <c r="D561" s="241" t="s">
        <v>3738</v>
      </c>
      <c r="E561" s="241" t="s">
        <v>3739</v>
      </c>
      <c r="F561" s="278">
        <v>45327</v>
      </c>
      <c r="G561" s="278">
        <v>627505</v>
      </c>
      <c r="H561" s="278">
        <v>279399</v>
      </c>
      <c r="I561" s="278">
        <v>344426</v>
      </c>
      <c r="J561" s="278">
        <v>543672</v>
      </c>
      <c r="K561" s="278">
        <v>238430</v>
      </c>
      <c r="L561" s="278">
        <v>301593</v>
      </c>
      <c r="M561" s="278">
        <v>45072</v>
      </c>
      <c r="N561" s="278">
        <v>625912</v>
      </c>
      <c r="O561" s="278">
        <v>278572</v>
      </c>
      <c r="P561" s="278">
        <v>343660</v>
      </c>
      <c r="Q561" s="278">
        <v>542224</v>
      </c>
      <c r="R561" s="278">
        <v>237676</v>
      </c>
      <c r="S561" s="278">
        <v>300899</v>
      </c>
    </row>
    <row r="562" spans="1:19">
      <c r="A562" s="241" t="s">
        <v>3159</v>
      </c>
      <c r="B562" s="241" t="s">
        <v>5303</v>
      </c>
      <c r="C562" s="241" t="s">
        <v>3170</v>
      </c>
      <c r="D562" s="241" t="s">
        <v>3738</v>
      </c>
      <c r="E562" s="241" t="s">
        <v>3740</v>
      </c>
      <c r="F562" s="278">
        <v>45327</v>
      </c>
      <c r="G562" s="278">
        <v>627505</v>
      </c>
      <c r="H562" s="278">
        <v>279399</v>
      </c>
      <c r="I562" s="278">
        <v>344426</v>
      </c>
      <c r="J562" s="278">
        <v>543672</v>
      </c>
      <c r="K562" s="278">
        <v>238430</v>
      </c>
      <c r="L562" s="278">
        <v>301593</v>
      </c>
      <c r="M562" s="278">
        <v>45072</v>
      </c>
      <c r="N562" s="278">
        <v>625912</v>
      </c>
      <c r="O562" s="278">
        <v>278572</v>
      </c>
      <c r="P562" s="278">
        <v>343660</v>
      </c>
      <c r="Q562" s="278">
        <v>542224</v>
      </c>
      <c r="R562" s="278">
        <v>237676</v>
      </c>
      <c r="S562" s="278">
        <v>300899</v>
      </c>
    </row>
    <row r="563" spans="1:19">
      <c r="A563" s="241" t="s">
        <v>3159</v>
      </c>
      <c r="B563" s="241" t="s">
        <v>5303</v>
      </c>
      <c r="C563" s="241" t="s">
        <v>3172</v>
      </c>
      <c r="D563" s="241" t="s">
        <v>3738</v>
      </c>
      <c r="E563" s="241" t="s">
        <v>3741</v>
      </c>
      <c r="F563" s="278">
        <v>322</v>
      </c>
      <c r="G563" s="278">
        <v>7161</v>
      </c>
      <c r="H563" s="278">
        <v>3926</v>
      </c>
      <c r="I563" s="278">
        <v>3234</v>
      </c>
      <c r="J563" s="278">
        <v>6621</v>
      </c>
      <c r="K563" s="278">
        <v>3524</v>
      </c>
      <c r="L563" s="278">
        <v>3097</v>
      </c>
      <c r="M563" s="278">
        <v>322</v>
      </c>
      <c r="N563" s="278">
        <v>7161</v>
      </c>
      <c r="O563" s="278">
        <v>3926</v>
      </c>
      <c r="P563" s="278">
        <v>3234</v>
      </c>
      <c r="Q563" s="278">
        <v>6621</v>
      </c>
      <c r="R563" s="278">
        <v>3524</v>
      </c>
      <c r="S563" s="278">
        <v>3097</v>
      </c>
    </row>
    <row r="564" spans="1:19">
      <c r="A564" s="241" t="s">
        <v>3159</v>
      </c>
      <c r="B564" s="241" t="s">
        <v>5303</v>
      </c>
      <c r="C564" s="241" t="s">
        <v>3172</v>
      </c>
      <c r="D564" s="241" t="s">
        <v>3738</v>
      </c>
      <c r="E564" s="241" t="s">
        <v>3742</v>
      </c>
      <c r="F564" s="278">
        <v>34797</v>
      </c>
      <c r="G564" s="278">
        <v>559629</v>
      </c>
      <c r="H564" s="278">
        <v>247515</v>
      </c>
      <c r="I564" s="278">
        <v>308564</v>
      </c>
      <c r="J564" s="278">
        <v>487720</v>
      </c>
      <c r="K564" s="278">
        <v>212831</v>
      </c>
      <c r="L564" s="278">
        <v>271363</v>
      </c>
      <c r="M564" s="278">
        <v>34753</v>
      </c>
      <c r="N564" s="278">
        <v>559100</v>
      </c>
      <c r="O564" s="278">
        <v>247269</v>
      </c>
      <c r="P564" s="278">
        <v>308281</v>
      </c>
      <c r="Q564" s="278">
        <v>487247</v>
      </c>
      <c r="R564" s="278">
        <v>212602</v>
      </c>
      <c r="S564" s="278">
        <v>271119</v>
      </c>
    </row>
    <row r="565" spans="1:19">
      <c r="A565" s="241" t="s">
        <v>3159</v>
      </c>
      <c r="B565" s="241" t="s">
        <v>5303</v>
      </c>
      <c r="C565" s="241" t="s">
        <v>3172</v>
      </c>
      <c r="D565" s="241" t="s">
        <v>3738</v>
      </c>
      <c r="E565" s="241" t="s">
        <v>3743</v>
      </c>
      <c r="F565" s="278">
        <v>3269</v>
      </c>
      <c r="G565" s="278">
        <v>13221</v>
      </c>
      <c r="H565" s="278">
        <v>6409</v>
      </c>
      <c r="I565" s="278">
        <v>6803</v>
      </c>
      <c r="J565" s="278">
        <v>7898</v>
      </c>
      <c r="K565" s="278">
        <v>3569</v>
      </c>
      <c r="L565" s="278">
        <v>4324</v>
      </c>
      <c r="M565" s="278">
        <v>3244</v>
      </c>
      <c r="N565" s="278">
        <v>13127</v>
      </c>
      <c r="O565" s="278">
        <v>6349</v>
      </c>
      <c r="P565" s="278">
        <v>6769</v>
      </c>
      <c r="Q565" s="278">
        <v>7808</v>
      </c>
      <c r="R565" s="278">
        <v>3512</v>
      </c>
      <c r="S565" s="278">
        <v>4291</v>
      </c>
    </row>
    <row r="566" spans="1:19">
      <c r="A566" s="241" t="s">
        <v>3159</v>
      </c>
      <c r="B566" s="241" t="s">
        <v>5303</v>
      </c>
      <c r="C566" s="241" t="s">
        <v>3172</v>
      </c>
      <c r="D566" s="241" t="s">
        <v>3738</v>
      </c>
      <c r="E566" s="241" t="s">
        <v>3744</v>
      </c>
      <c r="F566" s="278">
        <v>774</v>
      </c>
      <c r="G566" s="278">
        <v>2349</v>
      </c>
      <c r="H566" s="278">
        <v>735</v>
      </c>
      <c r="I566" s="278">
        <v>1614</v>
      </c>
      <c r="J566" s="278">
        <v>1235</v>
      </c>
      <c r="K566" s="278">
        <v>291</v>
      </c>
      <c r="L566" s="278">
        <v>944</v>
      </c>
      <c r="M566" s="278">
        <v>774</v>
      </c>
      <c r="N566" s="278">
        <v>2349</v>
      </c>
      <c r="O566" s="278">
        <v>735</v>
      </c>
      <c r="P566" s="278">
        <v>1614</v>
      </c>
      <c r="Q566" s="278">
        <v>1235</v>
      </c>
      <c r="R566" s="278">
        <v>291</v>
      </c>
      <c r="S566" s="278">
        <v>944</v>
      </c>
    </row>
    <row r="567" spans="1:19">
      <c r="A567" s="241" t="s">
        <v>3159</v>
      </c>
      <c r="B567" s="241" t="s">
        <v>5303</v>
      </c>
      <c r="C567" s="241" t="s">
        <v>3172</v>
      </c>
      <c r="D567" s="241" t="s">
        <v>3738</v>
      </c>
      <c r="E567" s="241" t="s">
        <v>3745</v>
      </c>
      <c r="F567" s="278">
        <v>6157</v>
      </c>
      <c r="G567" s="278">
        <v>45085</v>
      </c>
      <c r="H567" s="278">
        <v>20793</v>
      </c>
      <c r="I567" s="278">
        <v>24172</v>
      </c>
      <c r="J567" s="278">
        <v>40152</v>
      </c>
      <c r="K567" s="278">
        <v>18198</v>
      </c>
      <c r="L567" s="278">
        <v>21836</v>
      </c>
      <c r="M567" s="278">
        <v>5971</v>
      </c>
      <c r="N567" s="278">
        <v>44115</v>
      </c>
      <c r="O567" s="278">
        <v>20272</v>
      </c>
      <c r="P567" s="278">
        <v>23723</v>
      </c>
      <c r="Q567" s="278">
        <v>39267</v>
      </c>
      <c r="R567" s="278">
        <v>17730</v>
      </c>
      <c r="S567" s="278">
        <v>21419</v>
      </c>
    </row>
    <row r="568" spans="1:19">
      <c r="A568" s="241" t="s">
        <v>3159</v>
      </c>
      <c r="B568" s="241" t="s">
        <v>5303</v>
      </c>
      <c r="C568" s="241" t="s">
        <v>3432</v>
      </c>
      <c r="D568" s="241" t="s">
        <v>3738</v>
      </c>
      <c r="E568" s="241" t="s">
        <v>3746</v>
      </c>
      <c r="F568" s="278">
        <v>1150</v>
      </c>
      <c r="G568" s="278">
        <v>10288</v>
      </c>
      <c r="H568" s="278">
        <v>5046</v>
      </c>
      <c r="I568" s="278">
        <v>5230</v>
      </c>
      <c r="J568" s="278">
        <v>9503</v>
      </c>
      <c r="K568" s="278">
        <v>4669</v>
      </c>
      <c r="L568" s="278">
        <v>4822</v>
      </c>
      <c r="M568" s="278">
        <v>1146</v>
      </c>
      <c r="N568" s="278">
        <v>10266</v>
      </c>
      <c r="O568" s="278">
        <v>5035</v>
      </c>
      <c r="P568" s="278">
        <v>5219</v>
      </c>
      <c r="Q568" s="278">
        <v>9481</v>
      </c>
      <c r="R568" s="278">
        <v>4658</v>
      </c>
      <c r="S568" s="278">
        <v>4811</v>
      </c>
    </row>
    <row r="569" spans="1:19">
      <c r="A569" s="241" t="s">
        <v>3159</v>
      </c>
      <c r="B569" s="241" t="s">
        <v>5303</v>
      </c>
      <c r="C569" s="241" t="s">
        <v>3432</v>
      </c>
      <c r="D569" s="241" t="s">
        <v>3738</v>
      </c>
      <c r="E569" s="241" t="s">
        <v>3747</v>
      </c>
      <c r="F569" s="278">
        <v>5007</v>
      </c>
      <c r="G569" s="278">
        <v>34797</v>
      </c>
      <c r="H569" s="278">
        <v>15747</v>
      </c>
      <c r="I569" s="278">
        <v>18942</v>
      </c>
      <c r="J569" s="278">
        <v>30649</v>
      </c>
      <c r="K569" s="278">
        <v>13529</v>
      </c>
      <c r="L569" s="278">
        <v>17014</v>
      </c>
      <c r="M569" s="278">
        <v>4825</v>
      </c>
      <c r="N569" s="278">
        <v>33849</v>
      </c>
      <c r="O569" s="278">
        <v>15237</v>
      </c>
      <c r="P569" s="278">
        <v>18504</v>
      </c>
      <c r="Q569" s="278">
        <v>29786</v>
      </c>
      <c r="R569" s="278">
        <v>13072</v>
      </c>
      <c r="S569" s="278">
        <v>16608</v>
      </c>
    </row>
    <row r="570" spans="1:19">
      <c r="A570" s="241" t="s">
        <v>3159</v>
      </c>
      <c r="B570" s="241" t="s">
        <v>5303</v>
      </c>
      <c r="C570" s="241" t="s">
        <v>3459</v>
      </c>
      <c r="D570" s="241" t="s">
        <v>3748</v>
      </c>
      <c r="E570" s="241" t="s">
        <v>3749</v>
      </c>
      <c r="F570" s="278">
        <v>555973</v>
      </c>
      <c r="G570" s="278">
        <v>4074292</v>
      </c>
      <c r="H570" s="278">
        <v>1638622</v>
      </c>
      <c r="I570" s="278">
        <v>2339823</v>
      </c>
      <c r="J570" s="278">
        <v>3356605</v>
      </c>
      <c r="K570" s="278">
        <v>1282476</v>
      </c>
      <c r="L570" s="278">
        <v>1978901</v>
      </c>
      <c r="M570" s="278">
        <v>553986</v>
      </c>
      <c r="N570" s="278">
        <v>4052827</v>
      </c>
      <c r="O570" s="278">
        <v>1633725</v>
      </c>
      <c r="P570" s="278">
        <v>2323255</v>
      </c>
      <c r="Q570" s="278">
        <v>3335722</v>
      </c>
      <c r="R570" s="278">
        <v>1277634</v>
      </c>
      <c r="S570" s="278">
        <v>1962860</v>
      </c>
    </row>
    <row r="571" spans="1:19">
      <c r="A571" s="241" t="s">
        <v>3159</v>
      </c>
      <c r="B571" s="241" t="s">
        <v>5303</v>
      </c>
      <c r="C571" s="241" t="s">
        <v>3170</v>
      </c>
      <c r="D571" s="241" t="s">
        <v>3748</v>
      </c>
      <c r="E571" s="241" t="s">
        <v>3750</v>
      </c>
      <c r="F571" s="278">
        <v>499193</v>
      </c>
      <c r="G571" s="278">
        <v>3489163</v>
      </c>
      <c r="H571" s="278">
        <v>1448527</v>
      </c>
      <c r="I571" s="278">
        <v>1946480</v>
      </c>
      <c r="J571" s="278">
        <v>2805353</v>
      </c>
      <c r="K571" s="278">
        <v>1110318</v>
      </c>
      <c r="L571" s="278">
        <v>1601480</v>
      </c>
      <c r="M571" s="278">
        <v>499176</v>
      </c>
      <c r="N571" s="278">
        <v>3489039</v>
      </c>
      <c r="O571" s="278">
        <v>1448492</v>
      </c>
      <c r="P571" s="278">
        <v>1946391</v>
      </c>
      <c r="Q571" s="278">
        <v>2805251</v>
      </c>
      <c r="R571" s="278">
        <v>1110286</v>
      </c>
      <c r="S571" s="278">
        <v>1601410</v>
      </c>
    </row>
    <row r="572" spans="1:19">
      <c r="A572" s="241" t="s">
        <v>3159</v>
      </c>
      <c r="B572" s="241" t="s">
        <v>5303</v>
      </c>
      <c r="C572" s="241" t="s">
        <v>3172</v>
      </c>
      <c r="D572" s="241" t="s">
        <v>3748</v>
      </c>
      <c r="E572" s="241" t="s">
        <v>3751</v>
      </c>
      <c r="F572" s="278">
        <v>2976</v>
      </c>
      <c r="G572" s="278">
        <v>33380</v>
      </c>
      <c r="H572" s="278">
        <v>19815</v>
      </c>
      <c r="I572" s="278">
        <v>13397</v>
      </c>
      <c r="J572" s="278">
        <v>28745</v>
      </c>
      <c r="K572" s="278">
        <v>16673</v>
      </c>
      <c r="L572" s="278">
        <v>11934</v>
      </c>
      <c r="M572" s="278">
        <v>2976</v>
      </c>
      <c r="N572" s="278">
        <v>33380</v>
      </c>
      <c r="O572" s="278">
        <v>19815</v>
      </c>
      <c r="P572" s="278">
        <v>13397</v>
      </c>
      <c r="Q572" s="278">
        <v>28745</v>
      </c>
      <c r="R572" s="278">
        <v>16673</v>
      </c>
      <c r="S572" s="278">
        <v>11934</v>
      </c>
    </row>
    <row r="573" spans="1:19">
      <c r="A573" s="241" t="s">
        <v>3159</v>
      </c>
      <c r="B573" s="241" t="s">
        <v>5303</v>
      </c>
      <c r="C573" s="241" t="s">
        <v>3172</v>
      </c>
      <c r="D573" s="241" t="s">
        <v>3748</v>
      </c>
      <c r="E573" s="241" t="s">
        <v>3752</v>
      </c>
      <c r="F573" s="278">
        <v>42489</v>
      </c>
      <c r="G573" s="278">
        <v>345159</v>
      </c>
      <c r="H573" s="278">
        <v>99426</v>
      </c>
      <c r="I573" s="278">
        <v>193157</v>
      </c>
      <c r="J573" s="278">
        <v>297407</v>
      </c>
      <c r="K573" s="278">
        <v>76530</v>
      </c>
      <c r="L573" s="278">
        <v>168357</v>
      </c>
      <c r="M573" s="278">
        <v>42481</v>
      </c>
      <c r="N573" s="278">
        <v>345078</v>
      </c>
      <c r="O573" s="278">
        <v>99401</v>
      </c>
      <c r="P573" s="278">
        <v>193101</v>
      </c>
      <c r="Q573" s="278">
        <v>297348</v>
      </c>
      <c r="R573" s="278">
        <v>76508</v>
      </c>
      <c r="S573" s="278">
        <v>168320</v>
      </c>
    </row>
    <row r="574" spans="1:19">
      <c r="A574" s="241" t="s">
        <v>3159</v>
      </c>
      <c r="B574" s="241" t="s">
        <v>5303</v>
      </c>
      <c r="C574" s="241" t="s">
        <v>3172</v>
      </c>
      <c r="D574" s="241" t="s">
        <v>3748</v>
      </c>
      <c r="E574" s="241" t="s">
        <v>3753</v>
      </c>
      <c r="F574" s="278">
        <v>155998</v>
      </c>
      <c r="G574" s="278">
        <v>1309971</v>
      </c>
      <c r="H574" s="278">
        <v>605963</v>
      </c>
      <c r="I574" s="278">
        <v>671595</v>
      </c>
      <c r="J574" s="278">
        <v>1092944</v>
      </c>
      <c r="K574" s="278">
        <v>479603</v>
      </c>
      <c r="L574" s="278">
        <v>581088</v>
      </c>
      <c r="M574" s="278">
        <v>155996</v>
      </c>
      <c r="N574" s="278">
        <v>1309959</v>
      </c>
      <c r="O574" s="278">
        <v>605959</v>
      </c>
      <c r="P574" s="278">
        <v>671587</v>
      </c>
      <c r="Q574" s="278">
        <v>1092932</v>
      </c>
      <c r="R574" s="278">
        <v>479599</v>
      </c>
      <c r="S574" s="278">
        <v>581080</v>
      </c>
    </row>
    <row r="575" spans="1:19">
      <c r="A575" s="241" t="s">
        <v>3159</v>
      </c>
      <c r="B575" s="241" t="s">
        <v>5303</v>
      </c>
      <c r="C575" s="241" t="s">
        <v>3432</v>
      </c>
      <c r="D575" s="241" t="s">
        <v>3748</v>
      </c>
      <c r="E575" s="241" t="s">
        <v>3754</v>
      </c>
      <c r="F575" s="278">
        <v>44372</v>
      </c>
      <c r="G575" s="278">
        <v>408665</v>
      </c>
      <c r="H575" s="278">
        <v>173726</v>
      </c>
      <c r="I575" s="278">
        <v>220079</v>
      </c>
      <c r="J575" s="278">
        <v>344648</v>
      </c>
      <c r="K575" s="278">
        <v>139086</v>
      </c>
      <c r="L575" s="278">
        <v>190742</v>
      </c>
      <c r="M575" s="278">
        <v>44372</v>
      </c>
      <c r="N575" s="278">
        <v>408665</v>
      </c>
      <c r="O575" s="278">
        <v>173726</v>
      </c>
      <c r="P575" s="278">
        <v>220079</v>
      </c>
      <c r="Q575" s="278">
        <v>344648</v>
      </c>
      <c r="R575" s="278">
        <v>139086</v>
      </c>
      <c r="S575" s="278">
        <v>190742</v>
      </c>
    </row>
    <row r="576" spans="1:19">
      <c r="A576" s="241" t="s">
        <v>3159</v>
      </c>
      <c r="B576" s="241" t="s">
        <v>5303</v>
      </c>
      <c r="C576" s="241" t="s">
        <v>3432</v>
      </c>
      <c r="D576" s="241" t="s">
        <v>3748</v>
      </c>
      <c r="E576" s="241" t="s">
        <v>3755</v>
      </c>
      <c r="F576" s="278">
        <v>47432</v>
      </c>
      <c r="G576" s="278">
        <v>344559</v>
      </c>
      <c r="H576" s="278">
        <v>170084</v>
      </c>
      <c r="I576" s="278">
        <v>163743</v>
      </c>
      <c r="J576" s="278">
        <v>280429</v>
      </c>
      <c r="K576" s="278">
        <v>130095</v>
      </c>
      <c r="L576" s="278">
        <v>139648</v>
      </c>
      <c r="M576" s="278">
        <v>47432</v>
      </c>
      <c r="N576" s="278">
        <v>344559</v>
      </c>
      <c r="O576" s="278">
        <v>170084</v>
      </c>
      <c r="P576" s="278">
        <v>163743</v>
      </c>
      <c r="Q576" s="278">
        <v>280429</v>
      </c>
      <c r="R576" s="278">
        <v>130095</v>
      </c>
      <c r="S576" s="278">
        <v>139648</v>
      </c>
    </row>
    <row r="577" spans="1:19">
      <c r="A577" s="241" t="s">
        <v>3159</v>
      </c>
      <c r="B577" s="241" t="s">
        <v>5303</v>
      </c>
      <c r="C577" s="241" t="s">
        <v>3432</v>
      </c>
      <c r="D577" s="241" t="s">
        <v>3748</v>
      </c>
      <c r="E577" s="241" t="s">
        <v>3756</v>
      </c>
      <c r="F577" s="278">
        <v>17536</v>
      </c>
      <c r="G577" s="278">
        <v>191715</v>
      </c>
      <c r="H577" s="278">
        <v>96703</v>
      </c>
      <c r="I577" s="278">
        <v>93728</v>
      </c>
      <c r="J577" s="278">
        <v>162494</v>
      </c>
      <c r="K577" s="278">
        <v>80325</v>
      </c>
      <c r="L577" s="278">
        <v>80897</v>
      </c>
      <c r="M577" s="278">
        <v>17536</v>
      </c>
      <c r="N577" s="278">
        <v>191715</v>
      </c>
      <c r="O577" s="278">
        <v>96703</v>
      </c>
      <c r="P577" s="278">
        <v>93728</v>
      </c>
      <c r="Q577" s="278">
        <v>162494</v>
      </c>
      <c r="R577" s="278">
        <v>80325</v>
      </c>
      <c r="S577" s="278">
        <v>80897</v>
      </c>
    </row>
    <row r="578" spans="1:19">
      <c r="A578" s="241" t="s">
        <v>3159</v>
      </c>
      <c r="B578" s="241" t="s">
        <v>5303</v>
      </c>
      <c r="C578" s="241" t="s">
        <v>3432</v>
      </c>
      <c r="D578" s="241" t="s">
        <v>3748</v>
      </c>
      <c r="E578" s="241" t="s">
        <v>3757</v>
      </c>
      <c r="F578" s="278">
        <v>46658</v>
      </c>
      <c r="G578" s="278">
        <v>365032</v>
      </c>
      <c r="H578" s="278">
        <v>165450</v>
      </c>
      <c r="I578" s="278">
        <v>194045</v>
      </c>
      <c r="J578" s="278">
        <v>305373</v>
      </c>
      <c r="K578" s="278">
        <v>130097</v>
      </c>
      <c r="L578" s="278">
        <v>169801</v>
      </c>
      <c r="M578" s="278">
        <v>46656</v>
      </c>
      <c r="N578" s="278">
        <v>365020</v>
      </c>
      <c r="O578" s="278">
        <v>165446</v>
      </c>
      <c r="P578" s="278">
        <v>194037</v>
      </c>
      <c r="Q578" s="278">
        <v>305361</v>
      </c>
      <c r="R578" s="278">
        <v>130093</v>
      </c>
      <c r="S578" s="278">
        <v>169793</v>
      </c>
    </row>
    <row r="579" spans="1:19">
      <c r="A579" s="241" t="s">
        <v>3159</v>
      </c>
      <c r="B579" s="241" t="s">
        <v>5303</v>
      </c>
      <c r="C579" s="241" t="s">
        <v>3172</v>
      </c>
      <c r="D579" s="241" t="s">
        <v>3748</v>
      </c>
      <c r="E579" s="241" t="s">
        <v>3758</v>
      </c>
      <c r="F579" s="278">
        <v>24982</v>
      </c>
      <c r="G579" s="278">
        <v>176144</v>
      </c>
      <c r="H579" s="278">
        <v>67544</v>
      </c>
      <c r="I579" s="278">
        <v>108082</v>
      </c>
      <c r="J579" s="278">
        <v>140889</v>
      </c>
      <c r="K579" s="278">
        <v>47624</v>
      </c>
      <c r="L579" s="278">
        <v>92756</v>
      </c>
      <c r="M579" s="278">
        <v>24980</v>
      </c>
      <c r="N579" s="278">
        <v>176136</v>
      </c>
      <c r="O579" s="278">
        <v>67542</v>
      </c>
      <c r="P579" s="278">
        <v>108076</v>
      </c>
      <c r="Q579" s="278">
        <v>140881</v>
      </c>
      <c r="R579" s="278">
        <v>47622</v>
      </c>
      <c r="S579" s="278">
        <v>92750</v>
      </c>
    </row>
    <row r="580" spans="1:19">
      <c r="A580" s="241" t="s">
        <v>3159</v>
      </c>
      <c r="B580" s="241" t="s">
        <v>5303</v>
      </c>
      <c r="C580" s="241" t="s">
        <v>3172</v>
      </c>
      <c r="D580" s="241" t="s">
        <v>3748</v>
      </c>
      <c r="E580" s="241" t="s">
        <v>3759</v>
      </c>
      <c r="F580" s="278">
        <v>19122</v>
      </c>
      <c r="G580" s="278">
        <v>254523</v>
      </c>
      <c r="H580" s="278">
        <v>113765</v>
      </c>
      <c r="I580" s="278">
        <v>140029</v>
      </c>
      <c r="J580" s="278">
        <v>227522</v>
      </c>
      <c r="K580" s="278">
        <v>97130</v>
      </c>
      <c r="L580" s="278">
        <v>129672</v>
      </c>
      <c r="M580" s="278">
        <v>19122</v>
      </c>
      <c r="N580" s="278">
        <v>254523</v>
      </c>
      <c r="O580" s="278">
        <v>113765</v>
      </c>
      <c r="P580" s="278">
        <v>140029</v>
      </c>
      <c r="Q580" s="278">
        <v>227522</v>
      </c>
      <c r="R580" s="278">
        <v>97130</v>
      </c>
      <c r="S580" s="278">
        <v>129672</v>
      </c>
    </row>
    <row r="581" spans="1:19">
      <c r="A581" s="241" t="s">
        <v>3159</v>
      </c>
      <c r="B581" s="241" t="s">
        <v>5303</v>
      </c>
      <c r="C581" s="241" t="s">
        <v>3172</v>
      </c>
      <c r="D581" s="241" t="s">
        <v>3748</v>
      </c>
      <c r="E581" s="241" t="s">
        <v>3760</v>
      </c>
      <c r="F581" s="278">
        <v>99096</v>
      </c>
      <c r="G581" s="278">
        <v>491816</v>
      </c>
      <c r="H581" s="278">
        <v>253740</v>
      </c>
      <c r="I581" s="278">
        <v>235386</v>
      </c>
      <c r="J581" s="278">
        <v>348678</v>
      </c>
      <c r="K581" s="278">
        <v>177159</v>
      </c>
      <c r="L581" s="278">
        <v>168959</v>
      </c>
      <c r="M581" s="278">
        <v>99096</v>
      </c>
      <c r="N581" s="278">
        <v>491816</v>
      </c>
      <c r="O581" s="278">
        <v>253740</v>
      </c>
      <c r="P581" s="278">
        <v>235386</v>
      </c>
      <c r="Q581" s="278">
        <v>348678</v>
      </c>
      <c r="R581" s="278">
        <v>177159</v>
      </c>
      <c r="S581" s="278">
        <v>168959</v>
      </c>
    </row>
    <row r="582" spans="1:19">
      <c r="A582" s="241" t="s">
        <v>3159</v>
      </c>
      <c r="B582" s="241" t="s">
        <v>5303</v>
      </c>
      <c r="C582" s="241" t="s">
        <v>3172</v>
      </c>
      <c r="D582" s="241" t="s">
        <v>3748</v>
      </c>
      <c r="E582" s="241" t="s">
        <v>3761</v>
      </c>
      <c r="F582" s="278">
        <v>72341</v>
      </c>
      <c r="G582" s="278">
        <v>232061</v>
      </c>
      <c r="H582" s="278">
        <v>61752</v>
      </c>
      <c r="I582" s="278">
        <v>168693</v>
      </c>
      <c r="J582" s="278">
        <v>129399</v>
      </c>
      <c r="K582" s="278">
        <v>32872</v>
      </c>
      <c r="L582" s="278">
        <v>94976</v>
      </c>
      <c r="M582" s="278">
        <v>72341</v>
      </c>
      <c r="N582" s="278">
        <v>232061</v>
      </c>
      <c r="O582" s="278">
        <v>61752</v>
      </c>
      <c r="P582" s="278">
        <v>168693</v>
      </c>
      <c r="Q582" s="278">
        <v>129399</v>
      </c>
      <c r="R582" s="278">
        <v>32872</v>
      </c>
      <c r="S582" s="278">
        <v>94976</v>
      </c>
    </row>
    <row r="583" spans="1:19">
      <c r="A583" s="241" t="s">
        <v>3159</v>
      </c>
      <c r="B583" s="241" t="s">
        <v>5303</v>
      </c>
      <c r="C583" s="241" t="s">
        <v>3172</v>
      </c>
      <c r="D583" s="241" t="s">
        <v>3748</v>
      </c>
      <c r="E583" s="241" t="s">
        <v>3762</v>
      </c>
      <c r="F583" s="278">
        <v>58669</v>
      </c>
      <c r="G583" s="278">
        <v>307693</v>
      </c>
      <c r="H583" s="278">
        <v>85734</v>
      </c>
      <c r="I583" s="278">
        <v>219705</v>
      </c>
      <c r="J583" s="278">
        <v>232603</v>
      </c>
      <c r="K583" s="278">
        <v>56146</v>
      </c>
      <c r="L583" s="278">
        <v>174336</v>
      </c>
      <c r="M583" s="278">
        <v>58664</v>
      </c>
      <c r="N583" s="278">
        <v>307670</v>
      </c>
      <c r="O583" s="278">
        <v>85730</v>
      </c>
      <c r="P583" s="278">
        <v>219686</v>
      </c>
      <c r="Q583" s="278">
        <v>232580</v>
      </c>
      <c r="R583" s="278">
        <v>56142</v>
      </c>
      <c r="S583" s="278">
        <v>174317</v>
      </c>
    </row>
    <row r="584" spans="1:19">
      <c r="A584" s="241" t="s">
        <v>3159</v>
      </c>
      <c r="B584" s="241" t="s">
        <v>5303</v>
      </c>
      <c r="C584" s="241" t="s">
        <v>3172</v>
      </c>
      <c r="D584" s="241" t="s">
        <v>3748</v>
      </c>
      <c r="E584" s="241" t="s">
        <v>3763</v>
      </c>
      <c r="F584" s="278">
        <v>23518</v>
      </c>
      <c r="G584" s="278">
        <v>338412</v>
      </c>
      <c r="H584" s="278">
        <v>140785</v>
      </c>
      <c r="I584" s="278">
        <v>196435</v>
      </c>
      <c r="J584" s="278">
        <v>307164</v>
      </c>
      <c r="K584" s="278">
        <v>126580</v>
      </c>
      <c r="L584" s="278">
        <v>179401</v>
      </c>
      <c r="M584" s="278">
        <v>23518</v>
      </c>
      <c r="N584" s="278">
        <v>338412</v>
      </c>
      <c r="O584" s="278">
        <v>140785</v>
      </c>
      <c r="P584" s="278">
        <v>196435</v>
      </c>
      <c r="Q584" s="278">
        <v>307164</v>
      </c>
      <c r="R584" s="278">
        <v>126580</v>
      </c>
      <c r="S584" s="278">
        <v>179401</v>
      </c>
    </row>
    <row r="585" spans="1:19">
      <c r="A585" s="241" t="s">
        <v>3159</v>
      </c>
      <c r="B585" s="241" t="s">
        <v>5303</v>
      </c>
      <c r="C585" s="241" t="s">
        <v>3432</v>
      </c>
      <c r="D585" s="241" t="s">
        <v>3748</v>
      </c>
      <c r="E585" s="241" t="s">
        <v>3764</v>
      </c>
      <c r="F585" s="278">
        <v>5470</v>
      </c>
      <c r="G585" s="278">
        <v>202425</v>
      </c>
      <c r="H585" s="278">
        <v>93328</v>
      </c>
      <c r="I585" s="278">
        <v>108385</v>
      </c>
      <c r="J585" s="278">
        <v>192399</v>
      </c>
      <c r="K585" s="278">
        <v>88620</v>
      </c>
      <c r="L585" s="278">
        <v>103070</v>
      </c>
      <c r="M585" s="278">
        <v>5470</v>
      </c>
      <c r="N585" s="278">
        <v>202425</v>
      </c>
      <c r="O585" s="278">
        <v>93328</v>
      </c>
      <c r="P585" s="278">
        <v>108385</v>
      </c>
      <c r="Q585" s="278">
        <v>192399</v>
      </c>
      <c r="R585" s="278">
        <v>88620</v>
      </c>
      <c r="S585" s="278">
        <v>103070</v>
      </c>
    </row>
    <row r="586" spans="1:19">
      <c r="A586" s="241" t="s">
        <v>3159</v>
      </c>
      <c r="B586" s="241" t="s">
        <v>5303</v>
      </c>
      <c r="C586" s="241" t="s">
        <v>3432</v>
      </c>
      <c r="D586" s="241" t="s">
        <v>3748</v>
      </c>
      <c r="E586" s="241" t="s">
        <v>3765</v>
      </c>
      <c r="F586" s="278">
        <v>12283</v>
      </c>
      <c r="G586" s="278">
        <v>53069</v>
      </c>
      <c r="H586" s="278">
        <v>23022</v>
      </c>
      <c r="I586" s="278">
        <v>29954</v>
      </c>
      <c r="J586" s="278">
        <v>36237</v>
      </c>
      <c r="K586" s="278">
        <v>15336</v>
      </c>
      <c r="L586" s="278">
        <v>20811</v>
      </c>
      <c r="M586" s="278">
        <v>12283</v>
      </c>
      <c r="N586" s="278">
        <v>53069</v>
      </c>
      <c r="O586" s="278">
        <v>23022</v>
      </c>
      <c r="P586" s="278">
        <v>29954</v>
      </c>
      <c r="Q586" s="278">
        <v>36237</v>
      </c>
      <c r="R586" s="278">
        <v>15336</v>
      </c>
      <c r="S586" s="278">
        <v>20811</v>
      </c>
    </row>
    <row r="587" spans="1:19">
      <c r="A587" s="241" t="s">
        <v>3159</v>
      </c>
      <c r="B587" s="241" t="s">
        <v>5303</v>
      </c>
      <c r="C587" s="241" t="s">
        <v>3432</v>
      </c>
      <c r="D587" s="241" t="s">
        <v>3748</v>
      </c>
      <c r="E587" s="241" t="s">
        <v>3766</v>
      </c>
      <c r="F587" s="278">
        <v>5765</v>
      </c>
      <c r="G587" s="278">
        <v>82918</v>
      </c>
      <c r="H587" s="278">
        <v>24435</v>
      </c>
      <c r="I587" s="278">
        <v>58096</v>
      </c>
      <c r="J587" s="278">
        <v>78528</v>
      </c>
      <c r="K587" s="278">
        <v>22624</v>
      </c>
      <c r="L587" s="278">
        <v>55520</v>
      </c>
      <c r="M587" s="278">
        <v>5765</v>
      </c>
      <c r="N587" s="278">
        <v>82918</v>
      </c>
      <c r="O587" s="278">
        <v>24435</v>
      </c>
      <c r="P587" s="278">
        <v>58096</v>
      </c>
      <c r="Q587" s="278">
        <v>78528</v>
      </c>
      <c r="R587" s="278">
        <v>22624</v>
      </c>
      <c r="S587" s="278">
        <v>55520</v>
      </c>
    </row>
    <row r="588" spans="1:19">
      <c r="A588" s="241" t="s">
        <v>3159</v>
      </c>
      <c r="B588" s="241" t="s">
        <v>5303</v>
      </c>
      <c r="C588" s="241" t="s">
        <v>3170</v>
      </c>
      <c r="D588" s="241" t="s">
        <v>3748</v>
      </c>
      <c r="E588" s="241" t="s">
        <v>3767</v>
      </c>
      <c r="F588" s="278">
        <v>56686</v>
      </c>
      <c r="G588" s="278">
        <v>584522</v>
      </c>
      <c r="H588" s="278">
        <v>189811</v>
      </c>
      <c r="I588" s="278">
        <v>393020</v>
      </c>
      <c r="J588" s="278">
        <v>550772</v>
      </c>
      <c r="K588" s="278">
        <v>171938</v>
      </c>
      <c r="L588" s="278">
        <v>377161</v>
      </c>
      <c r="M588" s="278">
        <v>54716</v>
      </c>
      <c r="N588" s="278">
        <v>563181</v>
      </c>
      <c r="O588" s="278">
        <v>184949</v>
      </c>
      <c r="P588" s="278">
        <v>376541</v>
      </c>
      <c r="Q588" s="278">
        <v>529991</v>
      </c>
      <c r="R588" s="278">
        <v>167128</v>
      </c>
      <c r="S588" s="278">
        <v>361190</v>
      </c>
    </row>
    <row r="589" spans="1:19">
      <c r="A589" s="241" t="s">
        <v>3159</v>
      </c>
      <c r="B589" s="241" t="s">
        <v>5303</v>
      </c>
      <c r="C589" s="241" t="s">
        <v>3172</v>
      </c>
      <c r="D589" s="241" t="s">
        <v>3748</v>
      </c>
      <c r="E589" s="241" t="s">
        <v>3768</v>
      </c>
      <c r="F589" s="278">
        <v>474</v>
      </c>
      <c r="G589" s="278">
        <v>8765</v>
      </c>
      <c r="H589" s="278">
        <v>4583</v>
      </c>
      <c r="I589" s="278">
        <v>4178</v>
      </c>
      <c r="J589" s="278">
        <v>8201</v>
      </c>
      <c r="K589" s="278">
        <v>4163</v>
      </c>
      <c r="L589" s="278">
        <v>4034</v>
      </c>
      <c r="M589" s="278">
        <v>473</v>
      </c>
      <c r="N589" s="278">
        <v>8762</v>
      </c>
      <c r="O589" s="278">
        <v>4582</v>
      </c>
      <c r="P589" s="278">
        <v>4176</v>
      </c>
      <c r="Q589" s="278">
        <v>8198</v>
      </c>
      <c r="R589" s="278">
        <v>4162</v>
      </c>
      <c r="S589" s="278">
        <v>4032</v>
      </c>
    </row>
    <row r="590" spans="1:19">
      <c r="A590" s="241" t="s">
        <v>3159</v>
      </c>
      <c r="B590" s="241" t="s">
        <v>5303</v>
      </c>
      <c r="C590" s="241" t="s">
        <v>3172</v>
      </c>
      <c r="D590" s="241" t="s">
        <v>3748</v>
      </c>
      <c r="E590" s="241" t="s">
        <v>3769</v>
      </c>
      <c r="F590" s="278">
        <v>10947</v>
      </c>
      <c r="G590" s="278">
        <v>70903</v>
      </c>
      <c r="H590" s="278">
        <v>23666</v>
      </c>
      <c r="I590" s="278">
        <v>46877</v>
      </c>
      <c r="J590" s="278">
        <v>57644</v>
      </c>
      <c r="K590" s="278">
        <v>16901</v>
      </c>
      <c r="L590" s="278">
        <v>40393</v>
      </c>
      <c r="M590" s="278">
        <v>10946</v>
      </c>
      <c r="N590" s="278">
        <v>70899</v>
      </c>
      <c r="O590" s="278">
        <v>23665</v>
      </c>
      <c r="P590" s="278">
        <v>46874</v>
      </c>
      <c r="Q590" s="278">
        <v>57640</v>
      </c>
      <c r="R590" s="278">
        <v>16900</v>
      </c>
      <c r="S590" s="278">
        <v>40390</v>
      </c>
    </row>
    <row r="591" spans="1:19">
      <c r="A591" s="241" t="s">
        <v>3159</v>
      </c>
      <c r="B591" s="241" t="s">
        <v>5303</v>
      </c>
      <c r="C591" s="241" t="s">
        <v>3172</v>
      </c>
      <c r="D591" s="241" t="s">
        <v>3748</v>
      </c>
      <c r="E591" s="241" t="s">
        <v>3770</v>
      </c>
      <c r="F591" s="278">
        <v>45265</v>
      </c>
      <c r="G591" s="278">
        <v>504854</v>
      </c>
      <c r="H591" s="278">
        <v>161562</v>
      </c>
      <c r="I591" s="278">
        <v>341965</v>
      </c>
      <c r="J591" s="278">
        <v>484927</v>
      </c>
      <c r="K591" s="278">
        <v>150874</v>
      </c>
      <c r="L591" s="278">
        <v>332734</v>
      </c>
      <c r="M591" s="278">
        <v>43297</v>
      </c>
      <c r="N591" s="278">
        <v>483520</v>
      </c>
      <c r="O591" s="278">
        <v>156702</v>
      </c>
      <c r="P591" s="278">
        <v>325491</v>
      </c>
      <c r="Q591" s="278">
        <v>464153</v>
      </c>
      <c r="R591" s="278">
        <v>146066</v>
      </c>
      <c r="S591" s="278">
        <v>316768</v>
      </c>
    </row>
    <row r="592" spans="1:19">
      <c r="A592" s="241" t="s">
        <v>3159</v>
      </c>
      <c r="B592" s="241" t="s">
        <v>5303</v>
      </c>
      <c r="C592" s="241" t="s">
        <v>3168</v>
      </c>
      <c r="D592" s="241" t="s">
        <v>3771</v>
      </c>
      <c r="E592" s="241" t="s">
        <v>3772</v>
      </c>
      <c r="F592" s="278">
        <v>436687</v>
      </c>
      <c r="G592" s="278">
        <v>2195981</v>
      </c>
      <c r="H592" s="278">
        <v>937984</v>
      </c>
      <c r="I592" s="278">
        <v>1250089</v>
      </c>
      <c r="J592" s="278">
        <v>1688038</v>
      </c>
      <c r="K592" s="278">
        <v>693121</v>
      </c>
      <c r="L592" s="278">
        <v>987414</v>
      </c>
      <c r="M592" s="278">
        <v>434209</v>
      </c>
      <c r="N592" s="278">
        <v>2176139</v>
      </c>
      <c r="O592" s="278">
        <v>925423</v>
      </c>
      <c r="P592" s="278">
        <v>1242808</v>
      </c>
      <c r="Q592" s="278">
        <v>1669457</v>
      </c>
      <c r="R592" s="278">
        <v>681024</v>
      </c>
      <c r="S592" s="278">
        <v>980930</v>
      </c>
    </row>
    <row r="593" spans="1:19">
      <c r="A593" s="241" t="s">
        <v>3159</v>
      </c>
      <c r="B593" s="241" t="s">
        <v>5303</v>
      </c>
      <c r="C593" s="241" t="s">
        <v>3170</v>
      </c>
      <c r="D593" s="241" t="s">
        <v>3771</v>
      </c>
      <c r="E593" s="241" t="s">
        <v>3773</v>
      </c>
      <c r="F593" s="278">
        <v>325730</v>
      </c>
      <c r="G593" s="278">
        <v>1009874</v>
      </c>
      <c r="H593" s="278">
        <v>350099</v>
      </c>
      <c r="I593" s="278">
        <v>655982</v>
      </c>
      <c r="J593" s="278">
        <v>649585</v>
      </c>
      <c r="K593" s="278">
        <v>189885</v>
      </c>
      <c r="L593" s="278">
        <v>456148</v>
      </c>
      <c r="M593" s="278">
        <v>325591</v>
      </c>
      <c r="N593" s="278">
        <v>1008733</v>
      </c>
      <c r="O593" s="278">
        <v>349614</v>
      </c>
      <c r="P593" s="278">
        <v>655326</v>
      </c>
      <c r="Q593" s="278">
        <v>648534</v>
      </c>
      <c r="R593" s="278">
        <v>189441</v>
      </c>
      <c r="S593" s="278">
        <v>455541</v>
      </c>
    </row>
    <row r="594" spans="1:19">
      <c r="A594" s="241" t="s">
        <v>3159</v>
      </c>
      <c r="B594" s="241" t="s">
        <v>5303</v>
      </c>
      <c r="C594" s="241" t="s">
        <v>3172</v>
      </c>
      <c r="D594" s="241" t="s">
        <v>3771</v>
      </c>
      <c r="E594" s="241" t="s">
        <v>3774</v>
      </c>
      <c r="F594" s="278">
        <v>790</v>
      </c>
      <c r="G594" s="278">
        <v>6924</v>
      </c>
      <c r="H594" s="278">
        <v>2630</v>
      </c>
      <c r="I594" s="278">
        <v>4271</v>
      </c>
      <c r="J594" s="278">
        <v>5760</v>
      </c>
      <c r="K594" s="278">
        <v>1905</v>
      </c>
      <c r="L594" s="278">
        <v>3834</v>
      </c>
      <c r="M594" s="278">
        <v>790</v>
      </c>
      <c r="N594" s="278">
        <v>6924</v>
      </c>
      <c r="O594" s="278">
        <v>2630</v>
      </c>
      <c r="P594" s="278">
        <v>4271</v>
      </c>
      <c r="Q594" s="278">
        <v>5760</v>
      </c>
      <c r="R594" s="278">
        <v>1905</v>
      </c>
      <c r="S594" s="278">
        <v>3834</v>
      </c>
    </row>
    <row r="595" spans="1:19">
      <c r="A595" s="241" t="s">
        <v>3159</v>
      </c>
      <c r="B595" s="241" t="s">
        <v>5303</v>
      </c>
      <c r="C595" s="241" t="s">
        <v>3172</v>
      </c>
      <c r="D595" s="241" t="s">
        <v>3771</v>
      </c>
      <c r="E595" s="241" t="s">
        <v>3775</v>
      </c>
      <c r="F595" s="278">
        <v>43136</v>
      </c>
      <c r="G595" s="278">
        <v>264503</v>
      </c>
      <c r="H595" s="278">
        <v>92494</v>
      </c>
      <c r="I595" s="278">
        <v>170501</v>
      </c>
      <c r="J595" s="278">
        <v>217756</v>
      </c>
      <c r="K595" s="278">
        <v>69012</v>
      </c>
      <c r="L595" s="278">
        <v>147278</v>
      </c>
      <c r="M595" s="278">
        <v>43136</v>
      </c>
      <c r="N595" s="278">
        <v>264503</v>
      </c>
      <c r="O595" s="278">
        <v>92494</v>
      </c>
      <c r="P595" s="278">
        <v>170501</v>
      </c>
      <c r="Q595" s="278">
        <v>217756</v>
      </c>
      <c r="R595" s="278">
        <v>69012</v>
      </c>
      <c r="S595" s="278">
        <v>147278</v>
      </c>
    </row>
    <row r="596" spans="1:19">
      <c r="A596" s="241" t="s">
        <v>3159</v>
      </c>
      <c r="B596" s="241" t="s">
        <v>5303</v>
      </c>
      <c r="C596" s="241" t="s">
        <v>3432</v>
      </c>
      <c r="D596" s="241" t="s">
        <v>3771</v>
      </c>
      <c r="E596" s="241" t="s">
        <v>3776</v>
      </c>
      <c r="F596" s="278">
        <v>38852</v>
      </c>
      <c r="G596" s="278">
        <v>163196</v>
      </c>
      <c r="H596" s="278">
        <v>48081</v>
      </c>
      <c r="I596" s="278">
        <v>114047</v>
      </c>
      <c r="J596" s="278">
        <v>123826</v>
      </c>
      <c r="K596" s="278">
        <v>28613</v>
      </c>
      <c r="L596" s="278">
        <v>94179</v>
      </c>
      <c r="M596" s="278">
        <v>38852</v>
      </c>
      <c r="N596" s="278">
        <v>163196</v>
      </c>
      <c r="O596" s="278">
        <v>48081</v>
      </c>
      <c r="P596" s="278">
        <v>114047</v>
      </c>
      <c r="Q596" s="278">
        <v>123826</v>
      </c>
      <c r="R596" s="278">
        <v>28613</v>
      </c>
      <c r="S596" s="278">
        <v>94179</v>
      </c>
    </row>
    <row r="597" spans="1:19">
      <c r="A597" s="241" t="s">
        <v>3159</v>
      </c>
      <c r="B597" s="241" t="s">
        <v>5303</v>
      </c>
      <c r="C597" s="241" t="s">
        <v>3432</v>
      </c>
      <c r="D597" s="241" t="s">
        <v>3771</v>
      </c>
      <c r="E597" s="241" t="s">
        <v>3777</v>
      </c>
      <c r="F597" s="278">
        <v>4284</v>
      </c>
      <c r="G597" s="278">
        <v>101307</v>
      </c>
      <c r="H597" s="278">
        <v>44413</v>
      </c>
      <c r="I597" s="278">
        <v>56454</v>
      </c>
      <c r="J597" s="278">
        <v>93930</v>
      </c>
      <c r="K597" s="278">
        <v>40399</v>
      </c>
      <c r="L597" s="278">
        <v>53099</v>
      </c>
      <c r="M597" s="278">
        <v>4284</v>
      </c>
      <c r="N597" s="278">
        <v>101307</v>
      </c>
      <c r="O597" s="278">
        <v>44413</v>
      </c>
      <c r="P597" s="278">
        <v>56454</v>
      </c>
      <c r="Q597" s="278">
        <v>93930</v>
      </c>
      <c r="R597" s="278">
        <v>40399</v>
      </c>
      <c r="S597" s="278">
        <v>53099</v>
      </c>
    </row>
    <row r="598" spans="1:19">
      <c r="A598" s="241" t="s">
        <v>3159</v>
      </c>
      <c r="B598" s="241" t="s">
        <v>5303</v>
      </c>
      <c r="C598" s="241" t="s">
        <v>3172</v>
      </c>
      <c r="D598" s="241" t="s">
        <v>3771</v>
      </c>
      <c r="E598" s="241" t="s">
        <v>3778</v>
      </c>
      <c r="F598" s="278">
        <v>87048</v>
      </c>
      <c r="G598" s="278">
        <v>168442</v>
      </c>
      <c r="H598" s="278">
        <v>94403</v>
      </c>
      <c r="I598" s="278">
        <v>73919</v>
      </c>
      <c r="J598" s="278">
        <v>61327</v>
      </c>
      <c r="K598" s="278">
        <v>26792</v>
      </c>
      <c r="L598" s="278">
        <v>34426</v>
      </c>
      <c r="M598" s="278">
        <v>87048</v>
      </c>
      <c r="N598" s="278">
        <v>168442</v>
      </c>
      <c r="O598" s="278">
        <v>94403</v>
      </c>
      <c r="P598" s="278">
        <v>73919</v>
      </c>
      <c r="Q598" s="278">
        <v>61327</v>
      </c>
      <c r="R598" s="278">
        <v>26792</v>
      </c>
      <c r="S598" s="278">
        <v>34426</v>
      </c>
    </row>
    <row r="599" spans="1:19">
      <c r="A599" s="241" t="s">
        <v>3159</v>
      </c>
      <c r="B599" s="241" t="s">
        <v>5303</v>
      </c>
      <c r="C599" s="241" t="s">
        <v>3172</v>
      </c>
      <c r="D599" s="241" t="s">
        <v>3771</v>
      </c>
      <c r="E599" s="241" t="s">
        <v>3779</v>
      </c>
      <c r="F599" s="278">
        <v>162431</v>
      </c>
      <c r="G599" s="278">
        <v>408707</v>
      </c>
      <c r="H599" s="278">
        <v>117108</v>
      </c>
      <c r="I599" s="278">
        <v>290508</v>
      </c>
      <c r="J599" s="278">
        <v>236328</v>
      </c>
      <c r="K599" s="278">
        <v>60095</v>
      </c>
      <c r="L599" s="278">
        <v>175282</v>
      </c>
      <c r="M599" s="278">
        <v>162431</v>
      </c>
      <c r="N599" s="278">
        <v>408707</v>
      </c>
      <c r="O599" s="278">
        <v>117108</v>
      </c>
      <c r="P599" s="278">
        <v>290508</v>
      </c>
      <c r="Q599" s="278">
        <v>236328</v>
      </c>
      <c r="R599" s="278">
        <v>60095</v>
      </c>
      <c r="S599" s="278">
        <v>175282</v>
      </c>
    </row>
    <row r="600" spans="1:19">
      <c r="A600" s="241" t="s">
        <v>3159</v>
      </c>
      <c r="B600" s="241" t="s">
        <v>5303</v>
      </c>
      <c r="C600" s="241" t="s">
        <v>3172</v>
      </c>
      <c r="D600" s="241" t="s">
        <v>3771</v>
      </c>
      <c r="E600" s="241" t="s">
        <v>3780</v>
      </c>
      <c r="F600" s="278">
        <v>2291</v>
      </c>
      <c r="G600" s="278">
        <v>12815</v>
      </c>
      <c r="H600" s="278">
        <v>5417</v>
      </c>
      <c r="I600" s="278">
        <v>7250</v>
      </c>
      <c r="J600" s="278">
        <v>8964</v>
      </c>
      <c r="K600" s="278">
        <v>3203</v>
      </c>
      <c r="L600" s="278">
        <v>5617</v>
      </c>
      <c r="M600" s="278">
        <v>2250</v>
      </c>
      <c r="N600" s="278">
        <v>12538</v>
      </c>
      <c r="O600" s="278">
        <v>5296</v>
      </c>
      <c r="P600" s="278">
        <v>7094</v>
      </c>
      <c r="Q600" s="278">
        <v>8708</v>
      </c>
      <c r="R600" s="278">
        <v>3096</v>
      </c>
      <c r="S600" s="278">
        <v>5468</v>
      </c>
    </row>
    <row r="601" spans="1:19">
      <c r="A601" s="241" t="s">
        <v>3159</v>
      </c>
      <c r="B601" s="241" t="s">
        <v>5303</v>
      </c>
      <c r="C601" s="241" t="s">
        <v>3172</v>
      </c>
      <c r="D601" s="241" t="s">
        <v>3771</v>
      </c>
      <c r="E601" s="241" t="s">
        <v>3781</v>
      </c>
      <c r="F601" s="278">
        <v>2694</v>
      </c>
      <c r="G601" s="278">
        <v>49748</v>
      </c>
      <c r="H601" s="278">
        <v>19725</v>
      </c>
      <c r="I601" s="278">
        <v>29721</v>
      </c>
      <c r="J601" s="278">
        <v>45852</v>
      </c>
      <c r="K601" s="278">
        <v>17743</v>
      </c>
      <c r="L601" s="278">
        <v>27814</v>
      </c>
      <c r="M601" s="278">
        <v>2596</v>
      </c>
      <c r="N601" s="278">
        <v>48884</v>
      </c>
      <c r="O601" s="278">
        <v>19361</v>
      </c>
      <c r="P601" s="278">
        <v>29221</v>
      </c>
      <c r="Q601" s="278">
        <v>45057</v>
      </c>
      <c r="R601" s="278">
        <v>17406</v>
      </c>
      <c r="S601" s="278">
        <v>27356</v>
      </c>
    </row>
    <row r="602" spans="1:19">
      <c r="A602" s="241" t="s">
        <v>3159</v>
      </c>
      <c r="B602" s="241" t="s">
        <v>5303</v>
      </c>
      <c r="C602" s="241" t="s">
        <v>3172</v>
      </c>
      <c r="D602" s="241" t="s">
        <v>3771</v>
      </c>
      <c r="E602" s="241" t="s">
        <v>3782</v>
      </c>
      <c r="F602" s="278">
        <v>27339</v>
      </c>
      <c r="G602" s="278">
        <v>98733</v>
      </c>
      <c r="H602" s="278">
        <v>18321</v>
      </c>
      <c r="I602" s="278">
        <v>79811</v>
      </c>
      <c r="J602" s="278">
        <v>73598</v>
      </c>
      <c r="K602" s="278">
        <v>11135</v>
      </c>
      <c r="L602" s="278">
        <v>61897</v>
      </c>
      <c r="M602" s="278">
        <v>27339</v>
      </c>
      <c r="N602" s="278">
        <v>98733</v>
      </c>
      <c r="O602" s="278">
        <v>18321</v>
      </c>
      <c r="P602" s="278">
        <v>79811</v>
      </c>
      <c r="Q602" s="278">
        <v>73598</v>
      </c>
      <c r="R602" s="278">
        <v>11135</v>
      </c>
      <c r="S602" s="278">
        <v>61897</v>
      </c>
    </row>
    <row r="603" spans="1:19">
      <c r="A603" s="241" t="s">
        <v>3159</v>
      </c>
      <c r="B603" s="241" t="s">
        <v>5303</v>
      </c>
      <c r="C603" s="241" t="s">
        <v>3432</v>
      </c>
      <c r="D603" s="241" t="s">
        <v>3771</v>
      </c>
      <c r="E603" s="241" t="s">
        <v>3783</v>
      </c>
      <c r="F603" s="278">
        <v>610</v>
      </c>
      <c r="G603" s="278">
        <v>1477</v>
      </c>
      <c r="H603" s="278">
        <v>770</v>
      </c>
      <c r="I603" s="278">
        <v>707</v>
      </c>
      <c r="J603" s="278">
        <v>600</v>
      </c>
      <c r="K603" s="278">
        <v>203</v>
      </c>
      <c r="L603" s="278">
        <v>397</v>
      </c>
      <c r="M603" s="278">
        <v>610</v>
      </c>
      <c r="N603" s="278">
        <v>1477</v>
      </c>
      <c r="O603" s="278">
        <v>770</v>
      </c>
      <c r="P603" s="278">
        <v>707</v>
      </c>
      <c r="Q603" s="278">
        <v>600</v>
      </c>
      <c r="R603" s="278">
        <v>203</v>
      </c>
      <c r="S603" s="278">
        <v>397</v>
      </c>
    </row>
    <row r="604" spans="1:19">
      <c r="A604" s="241" t="s">
        <v>3159</v>
      </c>
      <c r="B604" s="241" t="s">
        <v>5303</v>
      </c>
      <c r="C604" s="241" t="s">
        <v>3432</v>
      </c>
      <c r="D604" s="241" t="s">
        <v>3771</v>
      </c>
      <c r="E604" s="241" t="s">
        <v>3784</v>
      </c>
      <c r="F604" s="278">
        <v>26729</v>
      </c>
      <c r="G604" s="278">
        <v>97256</v>
      </c>
      <c r="H604" s="278">
        <v>17551</v>
      </c>
      <c r="I604" s="278">
        <v>79104</v>
      </c>
      <c r="J604" s="278">
        <v>72998</v>
      </c>
      <c r="K604" s="278">
        <v>10932</v>
      </c>
      <c r="L604" s="278">
        <v>61500</v>
      </c>
      <c r="M604" s="278">
        <v>26729</v>
      </c>
      <c r="N604" s="278">
        <v>97256</v>
      </c>
      <c r="O604" s="278">
        <v>17551</v>
      </c>
      <c r="P604" s="278">
        <v>79104</v>
      </c>
      <c r="Q604" s="278">
        <v>72998</v>
      </c>
      <c r="R604" s="278">
        <v>10932</v>
      </c>
      <c r="S604" s="278">
        <v>61500</v>
      </c>
    </row>
    <row r="605" spans="1:19">
      <c r="A605" s="241" t="s">
        <v>3159</v>
      </c>
      <c r="B605" s="241" t="s">
        <v>5303</v>
      </c>
      <c r="C605" s="241" t="s">
        <v>3170</v>
      </c>
      <c r="D605" s="241" t="s">
        <v>3771</v>
      </c>
      <c r="E605" s="241" t="s">
        <v>3785</v>
      </c>
      <c r="F605" s="278">
        <v>55696</v>
      </c>
      <c r="G605" s="278">
        <v>393417</v>
      </c>
      <c r="H605" s="278">
        <v>170604</v>
      </c>
      <c r="I605" s="278">
        <v>221908</v>
      </c>
      <c r="J605" s="278">
        <v>322104</v>
      </c>
      <c r="K605" s="278">
        <v>133357</v>
      </c>
      <c r="L605" s="278">
        <v>187892</v>
      </c>
      <c r="M605" s="278">
        <v>55141</v>
      </c>
      <c r="N605" s="278">
        <v>390913</v>
      </c>
      <c r="O605" s="278">
        <v>168840</v>
      </c>
      <c r="P605" s="278">
        <v>221168</v>
      </c>
      <c r="Q605" s="278">
        <v>319633</v>
      </c>
      <c r="R605" s="278">
        <v>131620</v>
      </c>
      <c r="S605" s="278">
        <v>187158</v>
      </c>
    </row>
    <row r="606" spans="1:19">
      <c r="A606" s="241" t="s">
        <v>3159</v>
      </c>
      <c r="B606" s="241" t="s">
        <v>5303</v>
      </c>
      <c r="C606" s="241" t="s">
        <v>3172</v>
      </c>
      <c r="D606" s="241" t="s">
        <v>3771</v>
      </c>
      <c r="E606" s="241" t="s">
        <v>3786</v>
      </c>
      <c r="F606" s="278">
        <v>250</v>
      </c>
      <c r="G606" s="278">
        <v>5334</v>
      </c>
      <c r="H606" s="278">
        <v>3078</v>
      </c>
      <c r="I606" s="278">
        <v>2256</v>
      </c>
      <c r="J606" s="278">
        <v>3747</v>
      </c>
      <c r="K606" s="278">
        <v>1701</v>
      </c>
      <c r="L606" s="278">
        <v>2046</v>
      </c>
      <c r="M606" s="278">
        <v>248</v>
      </c>
      <c r="N606" s="278">
        <v>5326</v>
      </c>
      <c r="O606" s="278">
        <v>3071</v>
      </c>
      <c r="P606" s="278">
        <v>2255</v>
      </c>
      <c r="Q606" s="278">
        <v>3743</v>
      </c>
      <c r="R606" s="278">
        <v>1698</v>
      </c>
      <c r="S606" s="278">
        <v>2045</v>
      </c>
    </row>
    <row r="607" spans="1:19">
      <c r="A607" s="241" t="s">
        <v>3159</v>
      </c>
      <c r="B607" s="241" t="s">
        <v>5303</v>
      </c>
      <c r="C607" s="241" t="s">
        <v>3172</v>
      </c>
      <c r="D607" s="241" t="s">
        <v>3771</v>
      </c>
      <c r="E607" s="241" t="s">
        <v>3787</v>
      </c>
      <c r="F607" s="278">
        <v>7261</v>
      </c>
      <c r="G607" s="278">
        <v>80294</v>
      </c>
      <c r="H607" s="278">
        <v>35345</v>
      </c>
      <c r="I607" s="278">
        <v>44762</v>
      </c>
      <c r="J607" s="278">
        <v>73848</v>
      </c>
      <c r="K607" s="278">
        <v>30871</v>
      </c>
      <c r="L607" s="278">
        <v>42792</v>
      </c>
      <c r="M607" s="278">
        <v>7261</v>
      </c>
      <c r="N607" s="278">
        <v>80294</v>
      </c>
      <c r="O607" s="278">
        <v>35345</v>
      </c>
      <c r="P607" s="278">
        <v>44762</v>
      </c>
      <c r="Q607" s="278">
        <v>73848</v>
      </c>
      <c r="R607" s="278">
        <v>30871</v>
      </c>
      <c r="S607" s="278">
        <v>42792</v>
      </c>
    </row>
    <row r="608" spans="1:19">
      <c r="A608" s="241" t="s">
        <v>3159</v>
      </c>
      <c r="B608" s="241" t="s">
        <v>5303</v>
      </c>
      <c r="C608" s="241" t="s">
        <v>3172</v>
      </c>
      <c r="D608" s="241" t="s">
        <v>3771</v>
      </c>
      <c r="E608" s="241" t="s">
        <v>3788</v>
      </c>
      <c r="F608" s="278">
        <v>5030</v>
      </c>
      <c r="G608" s="278">
        <v>16806</v>
      </c>
      <c r="H608" s="278">
        <v>3440</v>
      </c>
      <c r="I608" s="278">
        <v>13266</v>
      </c>
      <c r="J608" s="278">
        <v>11588</v>
      </c>
      <c r="K608" s="278">
        <v>1699</v>
      </c>
      <c r="L608" s="278">
        <v>9793</v>
      </c>
      <c r="M608" s="278">
        <v>5030</v>
      </c>
      <c r="N608" s="278">
        <v>16806</v>
      </c>
      <c r="O608" s="278">
        <v>3440</v>
      </c>
      <c r="P608" s="278">
        <v>13266</v>
      </c>
      <c r="Q608" s="278">
        <v>11588</v>
      </c>
      <c r="R608" s="278">
        <v>1699</v>
      </c>
      <c r="S608" s="278">
        <v>9793</v>
      </c>
    </row>
    <row r="609" spans="1:19">
      <c r="A609" s="241" t="s">
        <v>3159</v>
      </c>
      <c r="B609" s="241" t="s">
        <v>5303</v>
      </c>
      <c r="C609" s="241" t="s">
        <v>3172</v>
      </c>
      <c r="D609" s="241" t="s">
        <v>3771</v>
      </c>
      <c r="E609" s="241" t="s">
        <v>3789</v>
      </c>
      <c r="F609" s="278">
        <v>2880</v>
      </c>
      <c r="G609" s="278">
        <v>16018</v>
      </c>
      <c r="H609" s="278">
        <v>13714</v>
      </c>
      <c r="I609" s="278">
        <v>2283</v>
      </c>
      <c r="J609" s="278">
        <v>12510</v>
      </c>
      <c r="K609" s="278">
        <v>11282</v>
      </c>
      <c r="L609" s="278">
        <v>1208</v>
      </c>
      <c r="M609" s="278">
        <v>2855</v>
      </c>
      <c r="N609" s="278">
        <v>15918</v>
      </c>
      <c r="O609" s="278">
        <v>13618</v>
      </c>
      <c r="P609" s="278">
        <v>2279</v>
      </c>
      <c r="Q609" s="278">
        <v>12410</v>
      </c>
      <c r="R609" s="278">
        <v>11186</v>
      </c>
      <c r="S609" s="278">
        <v>1204</v>
      </c>
    </row>
    <row r="610" spans="1:19">
      <c r="A610" s="241" t="s">
        <v>3159</v>
      </c>
      <c r="B610" s="241" t="s">
        <v>5303</v>
      </c>
      <c r="C610" s="241" t="s">
        <v>3172</v>
      </c>
      <c r="D610" s="241" t="s">
        <v>3771</v>
      </c>
      <c r="E610" s="241" t="s">
        <v>3790</v>
      </c>
      <c r="F610" s="278">
        <v>1580</v>
      </c>
      <c r="G610" s="278">
        <v>9217</v>
      </c>
      <c r="H610" s="278">
        <v>6008</v>
      </c>
      <c r="I610" s="278">
        <v>3189</v>
      </c>
      <c r="J610" s="278">
        <v>7889</v>
      </c>
      <c r="K610" s="278">
        <v>5040</v>
      </c>
      <c r="L610" s="278">
        <v>2829</v>
      </c>
      <c r="M610" s="278">
        <v>1204</v>
      </c>
      <c r="N610" s="278">
        <v>7525</v>
      </c>
      <c r="O610" s="278">
        <v>4648</v>
      </c>
      <c r="P610" s="278">
        <v>2857</v>
      </c>
      <c r="Q610" s="278">
        <v>6208</v>
      </c>
      <c r="R610" s="278">
        <v>3687</v>
      </c>
      <c r="S610" s="278">
        <v>2501</v>
      </c>
    </row>
    <row r="611" spans="1:19">
      <c r="A611" s="241" t="s">
        <v>3159</v>
      </c>
      <c r="B611" s="241" t="s">
        <v>5303</v>
      </c>
      <c r="C611" s="241" t="s">
        <v>3172</v>
      </c>
      <c r="D611" s="241" t="s">
        <v>3771</v>
      </c>
      <c r="E611" s="241" t="s">
        <v>3791</v>
      </c>
      <c r="F611" s="278">
        <v>12587</v>
      </c>
      <c r="G611" s="278">
        <v>142531</v>
      </c>
      <c r="H611" s="278">
        <v>62621</v>
      </c>
      <c r="I611" s="278">
        <v>79658</v>
      </c>
      <c r="J611" s="278">
        <v>118833</v>
      </c>
      <c r="K611" s="278">
        <v>51033</v>
      </c>
      <c r="L611" s="278">
        <v>67563</v>
      </c>
      <c r="M611" s="278">
        <v>12546</v>
      </c>
      <c r="N611" s="278">
        <v>142274</v>
      </c>
      <c r="O611" s="278">
        <v>62403</v>
      </c>
      <c r="P611" s="278">
        <v>79619</v>
      </c>
      <c r="Q611" s="278">
        <v>118579</v>
      </c>
      <c r="R611" s="278">
        <v>50818</v>
      </c>
      <c r="S611" s="278">
        <v>67524</v>
      </c>
    </row>
    <row r="612" spans="1:19">
      <c r="A612" s="241" t="s">
        <v>3159</v>
      </c>
      <c r="B612" s="241" t="s">
        <v>5303</v>
      </c>
      <c r="C612" s="241" t="s">
        <v>3432</v>
      </c>
      <c r="D612" s="241" t="s">
        <v>3771</v>
      </c>
      <c r="E612" s="241" t="s">
        <v>3792</v>
      </c>
      <c r="F612" s="278">
        <v>10442</v>
      </c>
      <c r="G612" s="278">
        <v>85014</v>
      </c>
      <c r="H612" s="278">
        <v>43456</v>
      </c>
      <c r="I612" s="278">
        <v>41373</v>
      </c>
      <c r="J612" s="278">
        <v>70796</v>
      </c>
      <c r="K612" s="278">
        <v>35141</v>
      </c>
      <c r="L612" s="278">
        <v>35485</v>
      </c>
      <c r="M612" s="278">
        <v>10401</v>
      </c>
      <c r="N612" s="278">
        <v>84757</v>
      </c>
      <c r="O612" s="278">
        <v>43238</v>
      </c>
      <c r="P612" s="278">
        <v>41334</v>
      </c>
      <c r="Q612" s="278">
        <v>70542</v>
      </c>
      <c r="R612" s="278">
        <v>34926</v>
      </c>
      <c r="S612" s="278">
        <v>35446</v>
      </c>
    </row>
    <row r="613" spans="1:19">
      <c r="A613" s="241" t="s">
        <v>3159</v>
      </c>
      <c r="B613" s="241" t="s">
        <v>5303</v>
      </c>
      <c r="C613" s="241" t="s">
        <v>3432</v>
      </c>
      <c r="D613" s="241" t="s">
        <v>3771</v>
      </c>
      <c r="E613" s="241" t="s">
        <v>3793</v>
      </c>
      <c r="F613" s="278">
        <v>1322</v>
      </c>
      <c r="G613" s="278">
        <v>47774</v>
      </c>
      <c r="H613" s="278">
        <v>15545</v>
      </c>
      <c r="I613" s="278">
        <v>32179</v>
      </c>
      <c r="J613" s="278">
        <v>38837</v>
      </c>
      <c r="K613" s="278">
        <v>12605</v>
      </c>
      <c r="L613" s="278">
        <v>26182</v>
      </c>
      <c r="M613" s="278">
        <v>1322</v>
      </c>
      <c r="N613" s="278">
        <v>47774</v>
      </c>
      <c r="O613" s="278">
        <v>15545</v>
      </c>
      <c r="P613" s="278">
        <v>32179</v>
      </c>
      <c r="Q613" s="278">
        <v>38837</v>
      </c>
      <c r="R613" s="278">
        <v>12605</v>
      </c>
      <c r="S613" s="278">
        <v>26182</v>
      </c>
    </row>
    <row r="614" spans="1:19">
      <c r="A614" s="241" t="s">
        <v>3159</v>
      </c>
      <c r="B614" s="241" t="s">
        <v>5303</v>
      </c>
      <c r="C614" s="241" t="s">
        <v>3432</v>
      </c>
      <c r="D614" s="241" t="s">
        <v>3771</v>
      </c>
      <c r="E614" s="241" t="s">
        <v>3794</v>
      </c>
      <c r="F614" s="278">
        <v>823</v>
      </c>
      <c r="G614" s="278">
        <v>9743</v>
      </c>
      <c r="H614" s="278">
        <v>3620</v>
      </c>
      <c r="I614" s="278">
        <v>6106</v>
      </c>
      <c r="J614" s="278">
        <v>9200</v>
      </c>
      <c r="K614" s="278">
        <v>3287</v>
      </c>
      <c r="L614" s="278">
        <v>5896</v>
      </c>
      <c r="M614" s="278">
        <v>823</v>
      </c>
      <c r="N614" s="278">
        <v>9743</v>
      </c>
      <c r="O614" s="278">
        <v>3620</v>
      </c>
      <c r="P614" s="278">
        <v>6106</v>
      </c>
      <c r="Q614" s="278">
        <v>9200</v>
      </c>
      <c r="R614" s="278">
        <v>3287</v>
      </c>
      <c r="S614" s="278">
        <v>5896</v>
      </c>
    </row>
    <row r="615" spans="1:19">
      <c r="A615" s="241" t="s">
        <v>3159</v>
      </c>
      <c r="B615" s="241" t="s">
        <v>5303</v>
      </c>
      <c r="C615" s="241" t="s">
        <v>3172</v>
      </c>
      <c r="D615" s="241" t="s">
        <v>3771</v>
      </c>
      <c r="E615" s="241" t="s">
        <v>3795</v>
      </c>
      <c r="F615" s="278">
        <v>26108</v>
      </c>
      <c r="G615" s="278">
        <v>123217</v>
      </c>
      <c r="H615" s="278">
        <v>46398</v>
      </c>
      <c r="I615" s="278">
        <v>76494</v>
      </c>
      <c r="J615" s="278">
        <v>93689</v>
      </c>
      <c r="K615" s="278">
        <v>31731</v>
      </c>
      <c r="L615" s="278">
        <v>61661</v>
      </c>
      <c r="M615" s="278">
        <v>25997</v>
      </c>
      <c r="N615" s="278">
        <v>122770</v>
      </c>
      <c r="O615" s="278">
        <v>46315</v>
      </c>
      <c r="P615" s="278">
        <v>76130</v>
      </c>
      <c r="Q615" s="278">
        <v>93257</v>
      </c>
      <c r="R615" s="278">
        <v>31661</v>
      </c>
      <c r="S615" s="278">
        <v>61299</v>
      </c>
    </row>
    <row r="616" spans="1:19">
      <c r="A616" s="241" t="s">
        <v>3159</v>
      </c>
      <c r="B616" s="241" t="s">
        <v>5303</v>
      </c>
      <c r="C616" s="241" t="s">
        <v>3432</v>
      </c>
      <c r="D616" s="241" t="s">
        <v>3771</v>
      </c>
      <c r="E616" s="241" t="s">
        <v>3796</v>
      </c>
      <c r="F616" s="278">
        <v>2130</v>
      </c>
      <c r="G616" s="278">
        <v>8312</v>
      </c>
      <c r="H616" s="278">
        <v>4003</v>
      </c>
      <c r="I616" s="278">
        <v>4252</v>
      </c>
      <c r="J616" s="278">
        <v>5902</v>
      </c>
      <c r="K616" s="278">
        <v>2413</v>
      </c>
      <c r="L616" s="278">
        <v>3435</v>
      </c>
      <c r="M616" s="278">
        <v>2130</v>
      </c>
      <c r="N616" s="278">
        <v>8312</v>
      </c>
      <c r="O616" s="278">
        <v>4003</v>
      </c>
      <c r="P616" s="278">
        <v>4252</v>
      </c>
      <c r="Q616" s="278">
        <v>5902</v>
      </c>
      <c r="R616" s="278">
        <v>2413</v>
      </c>
      <c r="S616" s="278">
        <v>3435</v>
      </c>
    </row>
    <row r="617" spans="1:19">
      <c r="A617" s="241" t="s">
        <v>3159</v>
      </c>
      <c r="B617" s="241" t="s">
        <v>5303</v>
      </c>
      <c r="C617" s="241" t="s">
        <v>3432</v>
      </c>
      <c r="D617" s="241" t="s">
        <v>3771</v>
      </c>
      <c r="E617" s="241" t="s">
        <v>3797</v>
      </c>
      <c r="F617" s="278">
        <v>23978</v>
      </c>
      <c r="G617" s="278">
        <v>114905</v>
      </c>
      <c r="H617" s="278">
        <v>42395</v>
      </c>
      <c r="I617" s="278">
        <v>72242</v>
      </c>
      <c r="J617" s="278">
        <v>87787</v>
      </c>
      <c r="K617" s="278">
        <v>29318</v>
      </c>
      <c r="L617" s="278">
        <v>58226</v>
      </c>
      <c r="M617" s="278">
        <v>23867</v>
      </c>
      <c r="N617" s="278">
        <v>114458</v>
      </c>
      <c r="O617" s="278">
        <v>42312</v>
      </c>
      <c r="P617" s="278">
        <v>71878</v>
      </c>
      <c r="Q617" s="278">
        <v>87355</v>
      </c>
      <c r="R617" s="278">
        <v>29248</v>
      </c>
      <c r="S617" s="278">
        <v>57864</v>
      </c>
    </row>
    <row r="618" spans="1:19">
      <c r="A618" s="241" t="s">
        <v>3159</v>
      </c>
      <c r="B618" s="241" t="s">
        <v>5303</v>
      </c>
      <c r="C618" s="241" t="s">
        <v>3170</v>
      </c>
      <c r="D618" s="241" t="s">
        <v>3771</v>
      </c>
      <c r="E618" s="241" t="s">
        <v>3798</v>
      </c>
      <c r="F618" s="278">
        <v>55209</v>
      </c>
      <c r="G618" s="278">
        <v>792359</v>
      </c>
      <c r="H618" s="278">
        <v>417122</v>
      </c>
      <c r="I618" s="278">
        <v>372028</v>
      </c>
      <c r="J618" s="278">
        <v>716064</v>
      </c>
      <c r="K618" s="278">
        <v>369748</v>
      </c>
      <c r="L618" s="278">
        <v>343221</v>
      </c>
      <c r="M618" s="278">
        <v>53425</v>
      </c>
      <c r="N618" s="278">
        <v>776162</v>
      </c>
      <c r="O618" s="278">
        <v>406810</v>
      </c>
      <c r="P618" s="278">
        <v>366143</v>
      </c>
      <c r="Q618" s="278">
        <v>701005</v>
      </c>
      <c r="R618" s="278">
        <v>359832</v>
      </c>
      <c r="S618" s="278">
        <v>338078</v>
      </c>
    </row>
    <row r="619" spans="1:19">
      <c r="A619" s="241" t="s">
        <v>3159</v>
      </c>
      <c r="B619" s="241" t="s">
        <v>5303</v>
      </c>
      <c r="C619" s="241" t="s">
        <v>3172</v>
      </c>
      <c r="D619" s="241" t="s">
        <v>3771</v>
      </c>
      <c r="E619" s="241" t="s">
        <v>3799</v>
      </c>
      <c r="F619" s="278">
        <v>743</v>
      </c>
      <c r="G619" s="278">
        <v>12247</v>
      </c>
      <c r="H619" s="278">
        <v>6844</v>
      </c>
      <c r="I619" s="278">
        <v>3625</v>
      </c>
      <c r="J619" s="278">
        <v>10916</v>
      </c>
      <c r="K619" s="278">
        <v>5896</v>
      </c>
      <c r="L619" s="278">
        <v>3245</v>
      </c>
      <c r="M619" s="278">
        <v>743</v>
      </c>
      <c r="N619" s="278">
        <v>12247</v>
      </c>
      <c r="O619" s="278">
        <v>6844</v>
      </c>
      <c r="P619" s="278">
        <v>3625</v>
      </c>
      <c r="Q619" s="278">
        <v>10916</v>
      </c>
      <c r="R619" s="278">
        <v>5896</v>
      </c>
      <c r="S619" s="278">
        <v>3245</v>
      </c>
    </row>
    <row r="620" spans="1:19">
      <c r="A620" s="241" t="s">
        <v>3159</v>
      </c>
      <c r="B620" s="241" t="s">
        <v>5303</v>
      </c>
      <c r="C620" s="241" t="s">
        <v>3172</v>
      </c>
      <c r="D620" s="241" t="s">
        <v>3771</v>
      </c>
      <c r="E620" s="241" t="s">
        <v>3800</v>
      </c>
      <c r="F620" s="278">
        <v>575</v>
      </c>
      <c r="G620" s="278">
        <v>20053</v>
      </c>
      <c r="H620" s="278">
        <v>9479</v>
      </c>
      <c r="I620" s="278">
        <v>10559</v>
      </c>
      <c r="J620" s="278">
        <v>18163</v>
      </c>
      <c r="K620" s="278">
        <v>7877</v>
      </c>
      <c r="L620" s="278">
        <v>10271</v>
      </c>
      <c r="M620" s="278">
        <v>575</v>
      </c>
      <c r="N620" s="278">
        <v>20053</v>
      </c>
      <c r="O620" s="278">
        <v>9479</v>
      </c>
      <c r="P620" s="278">
        <v>10559</v>
      </c>
      <c r="Q620" s="278">
        <v>18163</v>
      </c>
      <c r="R620" s="278">
        <v>7877</v>
      </c>
      <c r="S620" s="278">
        <v>10271</v>
      </c>
    </row>
    <row r="621" spans="1:19">
      <c r="A621" s="241" t="s">
        <v>3159</v>
      </c>
      <c r="B621" s="241" t="s">
        <v>5303</v>
      </c>
      <c r="C621" s="241" t="s">
        <v>3172</v>
      </c>
      <c r="D621" s="241" t="s">
        <v>3771</v>
      </c>
      <c r="E621" s="241" t="s">
        <v>3801</v>
      </c>
      <c r="F621" s="278">
        <v>4241</v>
      </c>
      <c r="G621" s="278">
        <v>39996</v>
      </c>
      <c r="H621" s="278">
        <v>20955</v>
      </c>
      <c r="I621" s="278">
        <v>19004</v>
      </c>
      <c r="J621" s="278">
        <v>31977</v>
      </c>
      <c r="K621" s="278">
        <v>15935</v>
      </c>
      <c r="L621" s="278">
        <v>16005</v>
      </c>
      <c r="M621" s="278">
        <v>4229</v>
      </c>
      <c r="N621" s="278">
        <v>39910</v>
      </c>
      <c r="O621" s="278">
        <v>20911</v>
      </c>
      <c r="P621" s="278">
        <v>18962</v>
      </c>
      <c r="Q621" s="278">
        <v>31891</v>
      </c>
      <c r="R621" s="278">
        <v>15891</v>
      </c>
      <c r="S621" s="278">
        <v>15963</v>
      </c>
    </row>
    <row r="622" spans="1:19">
      <c r="A622" s="241" t="s">
        <v>3159</v>
      </c>
      <c r="B622" s="241" t="s">
        <v>5303</v>
      </c>
      <c r="C622" s="241" t="s">
        <v>3172</v>
      </c>
      <c r="D622" s="241" t="s">
        <v>3771</v>
      </c>
      <c r="E622" s="241" t="s">
        <v>3802</v>
      </c>
      <c r="F622" s="278">
        <v>845</v>
      </c>
      <c r="G622" s="278">
        <v>18180</v>
      </c>
      <c r="H622" s="278">
        <v>11921</v>
      </c>
      <c r="I622" s="278">
        <v>6258</v>
      </c>
      <c r="J622" s="278">
        <v>15976</v>
      </c>
      <c r="K622" s="278">
        <v>10479</v>
      </c>
      <c r="L622" s="278">
        <v>5496</v>
      </c>
      <c r="M622" s="278">
        <v>749</v>
      </c>
      <c r="N622" s="278">
        <v>12679</v>
      </c>
      <c r="O622" s="278">
        <v>9264</v>
      </c>
      <c r="P622" s="278">
        <v>3414</v>
      </c>
      <c r="Q622" s="278">
        <v>11214</v>
      </c>
      <c r="R622" s="278">
        <v>8016</v>
      </c>
      <c r="S622" s="278">
        <v>3197</v>
      </c>
    </row>
    <row r="623" spans="1:19">
      <c r="A623" s="241" t="s">
        <v>3159</v>
      </c>
      <c r="B623" s="241" t="s">
        <v>5303</v>
      </c>
      <c r="C623" s="241" t="s">
        <v>3172</v>
      </c>
      <c r="D623" s="241" t="s">
        <v>3771</v>
      </c>
      <c r="E623" s="241" t="s">
        <v>3803</v>
      </c>
      <c r="F623" s="278">
        <v>19344</v>
      </c>
      <c r="G623" s="278">
        <v>306208</v>
      </c>
      <c r="H623" s="278">
        <v>149637</v>
      </c>
      <c r="I623" s="278">
        <v>155737</v>
      </c>
      <c r="J623" s="278">
        <v>280892</v>
      </c>
      <c r="K623" s="278">
        <v>134289</v>
      </c>
      <c r="L623" s="278">
        <v>145863</v>
      </c>
      <c r="M623" s="278">
        <v>18281</v>
      </c>
      <c r="N623" s="278">
        <v>300545</v>
      </c>
      <c r="O623" s="278">
        <v>145590</v>
      </c>
      <c r="P623" s="278">
        <v>154121</v>
      </c>
      <c r="Q623" s="278">
        <v>275501</v>
      </c>
      <c r="R623" s="278">
        <v>130400</v>
      </c>
      <c r="S623" s="278">
        <v>144361</v>
      </c>
    </row>
    <row r="624" spans="1:19">
      <c r="A624" s="241" t="s">
        <v>3159</v>
      </c>
      <c r="B624" s="241" t="s">
        <v>5303</v>
      </c>
      <c r="C624" s="241" t="s">
        <v>3432</v>
      </c>
      <c r="D624" s="241" t="s">
        <v>3771</v>
      </c>
      <c r="E624" s="241" t="s">
        <v>3804</v>
      </c>
      <c r="F624" s="278">
        <v>4168</v>
      </c>
      <c r="G624" s="278">
        <v>46442</v>
      </c>
      <c r="H624" s="278">
        <v>24977</v>
      </c>
      <c r="I624" s="278">
        <v>21152</v>
      </c>
      <c r="J624" s="278">
        <v>41924</v>
      </c>
      <c r="K624" s="278">
        <v>21979</v>
      </c>
      <c r="L624" s="278">
        <v>19718</v>
      </c>
      <c r="M624" s="278">
        <v>3711</v>
      </c>
      <c r="N624" s="278">
        <v>43995</v>
      </c>
      <c r="O624" s="278">
        <v>23232</v>
      </c>
      <c r="P624" s="278">
        <v>20450</v>
      </c>
      <c r="Q624" s="278">
        <v>39588</v>
      </c>
      <c r="R624" s="278">
        <v>20293</v>
      </c>
      <c r="S624" s="278">
        <v>19068</v>
      </c>
    </row>
    <row r="625" spans="1:19">
      <c r="A625" s="241" t="s">
        <v>3159</v>
      </c>
      <c r="B625" s="241" t="s">
        <v>5303</v>
      </c>
      <c r="C625" s="241" t="s">
        <v>3432</v>
      </c>
      <c r="D625" s="241" t="s">
        <v>3771</v>
      </c>
      <c r="E625" s="241" t="s">
        <v>3805</v>
      </c>
      <c r="F625" s="278">
        <v>1496</v>
      </c>
      <c r="G625" s="278">
        <v>14413</v>
      </c>
      <c r="H625" s="278">
        <v>8372</v>
      </c>
      <c r="I625" s="278">
        <v>6024</v>
      </c>
      <c r="J625" s="278">
        <v>13822</v>
      </c>
      <c r="K625" s="278">
        <v>7940</v>
      </c>
      <c r="L625" s="278">
        <v>5865</v>
      </c>
      <c r="M625" s="278">
        <v>931</v>
      </c>
      <c r="N625" s="278">
        <v>11350</v>
      </c>
      <c r="O625" s="278">
        <v>6179</v>
      </c>
      <c r="P625" s="278">
        <v>5154</v>
      </c>
      <c r="Q625" s="278">
        <v>10909</v>
      </c>
      <c r="R625" s="278">
        <v>5839</v>
      </c>
      <c r="S625" s="278">
        <v>5053</v>
      </c>
    </row>
    <row r="626" spans="1:19">
      <c r="A626" s="241" t="s">
        <v>3159</v>
      </c>
      <c r="B626" s="241" t="s">
        <v>5303</v>
      </c>
      <c r="C626" s="241" t="s">
        <v>3432</v>
      </c>
      <c r="D626" s="241" t="s">
        <v>3771</v>
      </c>
      <c r="E626" s="241" t="s">
        <v>3806</v>
      </c>
      <c r="F626" s="278">
        <v>2363</v>
      </c>
      <c r="G626" s="278">
        <v>108995</v>
      </c>
      <c r="H626" s="278">
        <v>53881</v>
      </c>
      <c r="I626" s="278">
        <v>55004</v>
      </c>
      <c r="J626" s="278">
        <v>100964</v>
      </c>
      <c r="K626" s="278">
        <v>49383</v>
      </c>
      <c r="L626" s="278">
        <v>51472</v>
      </c>
      <c r="M626" s="278">
        <v>2343</v>
      </c>
      <c r="N626" s="278">
        <v>108917</v>
      </c>
      <c r="O626" s="278">
        <v>53838</v>
      </c>
      <c r="P626" s="278">
        <v>54969</v>
      </c>
      <c r="Q626" s="278">
        <v>100895</v>
      </c>
      <c r="R626" s="278">
        <v>49345</v>
      </c>
      <c r="S626" s="278">
        <v>51441</v>
      </c>
    </row>
    <row r="627" spans="1:19">
      <c r="A627" s="241" t="s">
        <v>3159</v>
      </c>
      <c r="B627" s="241" t="s">
        <v>5303</v>
      </c>
      <c r="C627" s="241" t="s">
        <v>3432</v>
      </c>
      <c r="D627" s="241" t="s">
        <v>3771</v>
      </c>
      <c r="E627" s="241" t="s">
        <v>3807</v>
      </c>
      <c r="F627" s="278">
        <v>2310</v>
      </c>
      <c r="G627" s="278">
        <v>26838</v>
      </c>
      <c r="H627" s="278">
        <v>15060</v>
      </c>
      <c r="I627" s="278">
        <v>11752</v>
      </c>
      <c r="J627" s="278">
        <v>21980</v>
      </c>
      <c r="K627" s="278">
        <v>11906</v>
      </c>
      <c r="L627" s="278">
        <v>10051</v>
      </c>
      <c r="M627" s="278">
        <v>2310</v>
      </c>
      <c r="N627" s="278">
        <v>26838</v>
      </c>
      <c r="O627" s="278">
        <v>15060</v>
      </c>
      <c r="P627" s="278">
        <v>11752</v>
      </c>
      <c r="Q627" s="278">
        <v>21980</v>
      </c>
      <c r="R627" s="278">
        <v>11906</v>
      </c>
      <c r="S627" s="278">
        <v>10051</v>
      </c>
    </row>
    <row r="628" spans="1:19">
      <c r="A628" s="241" t="s">
        <v>3159</v>
      </c>
      <c r="B628" s="241" t="s">
        <v>5303</v>
      </c>
      <c r="C628" s="241" t="s">
        <v>3432</v>
      </c>
      <c r="D628" s="241" t="s">
        <v>3771</v>
      </c>
      <c r="E628" s="241" t="s">
        <v>3808</v>
      </c>
      <c r="F628" s="278">
        <v>540</v>
      </c>
      <c r="G628" s="278">
        <v>17013</v>
      </c>
      <c r="H628" s="278">
        <v>9909</v>
      </c>
      <c r="I628" s="278">
        <v>7011</v>
      </c>
      <c r="J628" s="278">
        <v>16488</v>
      </c>
      <c r="K628" s="278">
        <v>9576</v>
      </c>
      <c r="L628" s="278">
        <v>6819</v>
      </c>
      <c r="M628" s="278">
        <v>540</v>
      </c>
      <c r="N628" s="278">
        <v>17013</v>
      </c>
      <c r="O628" s="278">
        <v>9909</v>
      </c>
      <c r="P628" s="278">
        <v>7011</v>
      </c>
      <c r="Q628" s="278">
        <v>16488</v>
      </c>
      <c r="R628" s="278">
        <v>9576</v>
      </c>
      <c r="S628" s="278">
        <v>6819</v>
      </c>
    </row>
    <row r="629" spans="1:19">
      <c r="A629" s="241" t="s">
        <v>3159</v>
      </c>
      <c r="B629" s="241" t="s">
        <v>5303</v>
      </c>
      <c r="C629" s="241" t="s">
        <v>3432</v>
      </c>
      <c r="D629" s="241" t="s">
        <v>3771</v>
      </c>
      <c r="E629" s="241" t="s">
        <v>3809</v>
      </c>
      <c r="F629" s="278">
        <v>447</v>
      </c>
      <c r="G629" s="278">
        <v>2524</v>
      </c>
      <c r="H629" s="278">
        <v>1416</v>
      </c>
      <c r="I629" s="278">
        <v>1108</v>
      </c>
      <c r="J629" s="278">
        <v>1956</v>
      </c>
      <c r="K629" s="278">
        <v>1053</v>
      </c>
      <c r="L629" s="278">
        <v>903</v>
      </c>
      <c r="M629" s="278">
        <v>430</v>
      </c>
      <c r="N629" s="278">
        <v>2465</v>
      </c>
      <c r="O629" s="278">
        <v>1362</v>
      </c>
      <c r="P629" s="278">
        <v>1103</v>
      </c>
      <c r="Q629" s="278">
        <v>1899</v>
      </c>
      <c r="R629" s="278">
        <v>1001</v>
      </c>
      <c r="S629" s="278">
        <v>898</v>
      </c>
    </row>
    <row r="630" spans="1:19">
      <c r="A630" s="241" t="s">
        <v>3159</v>
      </c>
      <c r="B630" s="241" t="s">
        <v>5303</v>
      </c>
      <c r="C630" s="241" t="s">
        <v>3432</v>
      </c>
      <c r="D630" s="241" t="s">
        <v>3771</v>
      </c>
      <c r="E630" s="241" t="s">
        <v>3810</v>
      </c>
      <c r="F630" s="278">
        <v>455</v>
      </c>
      <c r="G630" s="278">
        <v>2389</v>
      </c>
      <c r="H630" s="278">
        <v>1582</v>
      </c>
      <c r="I630" s="278">
        <v>807</v>
      </c>
      <c r="J630" s="278">
        <v>1797</v>
      </c>
      <c r="K630" s="278">
        <v>1168</v>
      </c>
      <c r="L630" s="278">
        <v>629</v>
      </c>
      <c r="M630" s="278">
        <v>454</v>
      </c>
      <c r="N630" s="278">
        <v>2388</v>
      </c>
      <c r="O630" s="278">
        <v>1581</v>
      </c>
      <c r="P630" s="278">
        <v>807</v>
      </c>
      <c r="Q630" s="278">
        <v>1796</v>
      </c>
      <c r="R630" s="278">
        <v>1167</v>
      </c>
      <c r="S630" s="278">
        <v>629</v>
      </c>
    </row>
    <row r="631" spans="1:19">
      <c r="A631" s="241" t="s">
        <v>3159</v>
      </c>
      <c r="B631" s="241" t="s">
        <v>5303</v>
      </c>
      <c r="C631" s="241" t="s">
        <v>3432</v>
      </c>
      <c r="D631" s="241" t="s">
        <v>3771</v>
      </c>
      <c r="E631" s="241" t="s">
        <v>3811</v>
      </c>
      <c r="F631" s="278">
        <v>7565</v>
      </c>
      <c r="G631" s="278">
        <v>87594</v>
      </c>
      <c r="H631" s="278">
        <v>34440</v>
      </c>
      <c r="I631" s="278">
        <v>52879</v>
      </c>
      <c r="J631" s="278">
        <v>81961</v>
      </c>
      <c r="K631" s="278">
        <v>31284</v>
      </c>
      <c r="L631" s="278">
        <v>50406</v>
      </c>
      <c r="M631" s="278">
        <v>7562</v>
      </c>
      <c r="N631" s="278">
        <v>87579</v>
      </c>
      <c r="O631" s="278">
        <v>34429</v>
      </c>
      <c r="P631" s="278">
        <v>52875</v>
      </c>
      <c r="Q631" s="278">
        <v>81946</v>
      </c>
      <c r="R631" s="278">
        <v>31273</v>
      </c>
      <c r="S631" s="278">
        <v>50402</v>
      </c>
    </row>
    <row r="632" spans="1:19">
      <c r="A632" s="241" t="s">
        <v>3159</v>
      </c>
      <c r="B632" s="241" t="s">
        <v>5303</v>
      </c>
      <c r="C632" s="241" t="s">
        <v>3172</v>
      </c>
      <c r="D632" s="241" t="s">
        <v>3771</v>
      </c>
      <c r="E632" s="241" t="s">
        <v>3812</v>
      </c>
      <c r="F632" s="278">
        <v>2568</v>
      </c>
      <c r="G632" s="278">
        <v>70542</v>
      </c>
      <c r="H632" s="278">
        <v>32942</v>
      </c>
      <c r="I632" s="278">
        <v>37585</v>
      </c>
      <c r="J632" s="278">
        <v>65180</v>
      </c>
      <c r="K632" s="278">
        <v>30303</v>
      </c>
      <c r="L632" s="278">
        <v>34862</v>
      </c>
      <c r="M632" s="278">
        <v>2018</v>
      </c>
      <c r="N632" s="278">
        <v>65992</v>
      </c>
      <c r="O632" s="278">
        <v>29594</v>
      </c>
      <c r="P632" s="278">
        <v>36383</v>
      </c>
      <c r="Q632" s="278">
        <v>60736</v>
      </c>
      <c r="R632" s="278">
        <v>26995</v>
      </c>
      <c r="S632" s="278">
        <v>33726</v>
      </c>
    </row>
    <row r="633" spans="1:19">
      <c r="A633" s="241" t="s">
        <v>3159</v>
      </c>
      <c r="B633" s="241" t="s">
        <v>5303</v>
      </c>
      <c r="C633" s="241" t="s">
        <v>3172</v>
      </c>
      <c r="D633" s="241" t="s">
        <v>3771</v>
      </c>
      <c r="E633" s="241" t="s">
        <v>3813</v>
      </c>
      <c r="F633" s="278">
        <v>14840</v>
      </c>
      <c r="G633" s="278">
        <v>219747</v>
      </c>
      <c r="H633" s="278">
        <v>127520</v>
      </c>
      <c r="I633" s="278">
        <v>91991</v>
      </c>
      <c r="J633" s="278">
        <v>204998</v>
      </c>
      <c r="K633" s="278">
        <v>118418</v>
      </c>
      <c r="L633" s="278">
        <v>86349</v>
      </c>
      <c r="M633" s="278">
        <v>14840</v>
      </c>
      <c r="N633" s="278">
        <v>219747</v>
      </c>
      <c r="O633" s="278">
        <v>127520</v>
      </c>
      <c r="P633" s="278">
        <v>91991</v>
      </c>
      <c r="Q633" s="278">
        <v>204998</v>
      </c>
      <c r="R633" s="278">
        <v>118418</v>
      </c>
      <c r="S633" s="278">
        <v>86349</v>
      </c>
    </row>
    <row r="634" spans="1:19">
      <c r="A634" s="241" t="s">
        <v>3159</v>
      </c>
      <c r="B634" s="241" t="s">
        <v>5303</v>
      </c>
      <c r="C634" s="241" t="s">
        <v>3432</v>
      </c>
      <c r="D634" s="241" t="s">
        <v>3771</v>
      </c>
      <c r="E634" s="241" t="s">
        <v>3814</v>
      </c>
      <c r="F634" s="278">
        <v>2761</v>
      </c>
      <c r="G634" s="278">
        <v>9903</v>
      </c>
      <c r="H634" s="278">
        <v>6814</v>
      </c>
      <c r="I634" s="278">
        <v>3080</v>
      </c>
      <c r="J634" s="278">
        <v>6036</v>
      </c>
      <c r="K634" s="278">
        <v>4333</v>
      </c>
      <c r="L634" s="278">
        <v>1695</v>
      </c>
      <c r="M634" s="278">
        <v>2761</v>
      </c>
      <c r="N634" s="278">
        <v>9903</v>
      </c>
      <c r="O634" s="278">
        <v>6814</v>
      </c>
      <c r="P634" s="278">
        <v>3080</v>
      </c>
      <c r="Q634" s="278">
        <v>6036</v>
      </c>
      <c r="R634" s="278">
        <v>4333</v>
      </c>
      <c r="S634" s="278">
        <v>1695</v>
      </c>
    </row>
    <row r="635" spans="1:19">
      <c r="A635" s="241" t="s">
        <v>3159</v>
      </c>
      <c r="B635" s="241" t="s">
        <v>5303</v>
      </c>
      <c r="C635" s="241" t="s">
        <v>3432</v>
      </c>
      <c r="D635" s="241" t="s">
        <v>3771</v>
      </c>
      <c r="E635" s="241" t="s">
        <v>3815</v>
      </c>
      <c r="F635" s="278">
        <v>8399</v>
      </c>
      <c r="G635" s="278">
        <v>172359</v>
      </c>
      <c r="H635" s="278">
        <v>99168</v>
      </c>
      <c r="I635" s="278">
        <v>72977</v>
      </c>
      <c r="J635" s="278">
        <v>164043</v>
      </c>
      <c r="K635" s="278">
        <v>94168</v>
      </c>
      <c r="L635" s="278">
        <v>69662</v>
      </c>
      <c r="M635" s="278">
        <v>8399</v>
      </c>
      <c r="N635" s="278">
        <v>172359</v>
      </c>
      <c r="O635" s="278">
        <v>99168</v>
      </c>
      <c r="P635" s="278">
        <v>72977</v>
      </c>
      <c r="Q635" s="278">
        <v>164043</v>
      </c>
      <c r="R635" s="278">
        <v>94168</v>
      </c>
      <c r="S635" s="278">
        <v>69662</v>
      </c>
    </row>
    <row r="636" spans="1:19">
      <c r="A636" s="241" t="s">
        <v>3159</v>
      </c>
      <c r="B636" s="241" t="s">
        <v>5303</v>
      </c>
      <c r="C636" s="241" t="s">
        <v>3432</v>
      </c>
      <c r="D636" s="241" t="s">
        <v>3771</v>
      </c>
      <c r="E636" s="241" t="s">
        <v>3816</v>
      </c>
      <c r="F636" s="278">
        <v>2643</v>
      </c>
      <c r="G636" s="278">
        <v>33551</v>
      </c>
      <c r="H636" s="278">
        <v>19272</v>
      </c>
      <c r="I636" s="278">
        <v>14269</v>
      </c>
      <c r="J636" s="278">
        <v>32441</v>
      </c>
      <c r="K636" s="278">
        <v>18612</v>
      </c>
      <c r="L636" s="278">
        <v>13821</v>
      </c>
      <c r="M636" s="278">
        <v>2643</v>
      </c>
      <c r="N636" s="278">
        <v>33551</v>
      </c>
      <c r="O636" s="278">
        <v>19272</v>
      </c>
      <c r="P636" s="278">
        <v>14269</v>
      </c>
      <c r="Q636" s="278">
        <v>32441</v>
      </c>
      <c r="R636" s="278">
        <v>18612</v>
      </c>
      <c r="S636" s="278">
        <v>13821</v>
      </c>
    </row>
    <row r="637" spans="1:19">
      <c r="A637" s="241" t="s">
        <v>3159</v>
      </c>
      <c r="B637" s="241" t="s">
        <v>5303</v>
      </c>
      <c r="C637" s="241" t="s">
        <v>3432</v>
      </c>
      <c r="D637" s="241" t="s">
        <v>3771</v>
      </c>
      <c r="E637" s="241" t="s">
        <v>3817</v>
      </c>
      <c r="F637" s="278">
        <v>1037</v>
      </c>
      <c r="G637" s="278">
        <v>3934</v>
      </c>
      <c r="H637" s="278">
        <v>2266</v>
      </c>
      <c r="I637" s="278">
        <v>1665</v>
      </c>
      <c r="J637" s="278">
        <v>2478</v>
      </c>
      <c r="K637" s="278">
        <v>1305</v>
      </c>
      <c r="L637" s="278">
        <v>1171</v>
      </c>
      <c r="M637" s="278">
        <v>1037</v>
      </c>
      <c r="N637" s="278">
        <v>3934</v>
      </c>
      <c r="O637" s="278">
        <v>2266</v>
      </c>
      <c r="P637" s="278">
        <v>1665</v>
      </c>
      <c r="Q637" s="278">
        <v>2478</v>
      </c>
      <c r="R637" s="278">
        <v>1305</v>
      </c>
      <c r="S637" s="278">
        <v>1171</v>
      </c>
    </row>
    <row r="638" spans="1:19">
      <c r="A638" s="241" t="s">
        <v>3159</v>
      </c>
      <c r="B638" s="241" t="s">
        <v>5303</v>
      </c>
      <c r="C638" s="241" t="s">
        <v>3172</v>
      </c>
      <c r="D638" s="241" t="s">
        <v>3771</v>
      </c>
      <c r="E638" s="241" t="s">
        <v>3818</v>
      </c>
      <c r="F638" s="278">
        <v>12053</v>
      </c>
      <c r="G638" s="278">
        <v>105386</v>
      </c>
      <c r="H638" s="278">
        <v>57824</v>
      </c>
      <c r="I638" s="278">
        <v>47269</v>
      </c>
      <c r="J638" s="278">
        <v>87962</v>
      </c>
      <c r="K638" s="278">
        <v>46551</v>
      </c>
      <c r="L638" s="278">
        <v>41130</v>
      </c>
      <c r="M638" s="278">
        <v>11990</v>
      </c>
      <c r="N638" s="278">
        <v>104989</v>
      </c>
      <c r="O638" s="278">
        <v>57608</v>
      </c>
      <c r="P638" s="278">
        <v>47088</v>
      </c>
      <c r="Q638" s="278">
        <v>87586</v>
      </c>
      <c r="R638" s="278">
        <v>46339</v>
      </c>
      <c r="S638" s="278">
        <v>40966</v>
      </c>
    </row>
    <row r="639" spans="1:19">
      <c r="A639" s="241" t="s">
        <v>3159</v>
      </c>
      <c r="B639" s="241" t="s">
        <v>5303</v>
      </c>
      <c r="C639" s="241" t="s">
        <v>3432</v>
      </c>
      <c r="D639" s="241" t="s">
        <v>3771</v>
      </c>
      <c r="E639" s="241" t="s">
        <v>3819</v>
      </c>
      <c r="F639" s="278">
        <v>4504</v>
      </c>
      <c r="G639" s="278">
        <v>46818</v>
      </c>
      <c r="H639" s="278">
        <v>24247</v>
      </c>
      <c r="I639" s="278">
        <v>22425</v>
      </c>
      <c r="J639" s="278">
        <v>41418</v>
      </c>
      <c r="K639" s="278">
        <v>21707</v>
      </c>
      <c r="L639" s="278">
        <v>19566</v>
      </c>
      <c r="M639" s="278">
        <v>4504</v>
      </c>
      <c r="N639" s="278">
        <v>46818</v>
      </c>
      <c r="O639" s="278">
        <v>24247</v>
      </c>
      <c r="P639" s="278">
        <v>22425</v>
      </c>
      <c r="Q639" s="278">
        <v>41418</v>
      </c>
      <c r="R639" s="278">
        <v>21707</v>
      </c>
      <c r="S639" s="278">
        <v>19566</v>
      </c>
    </row>
    <row r="640" spans="1:19">
      <c r="A640" s="241" t="s">
        <v>3159</v>
      </c>
      <c r="B640" s="241" t="s">
        <v>5303</v>
      </c>
      <c r="C640" s="241" t="s">
        <v>3432</v>
      </c>
      <c r="D640" s="241" t="s">
        <v>3771</v>
      </c>
      <c r="E640" s="241" t="s">
        <v>3820</v>
      </c>
      <c r="F640" s="278">
        <v>1238</v>
      </c>
      <c r="G640" s="278">
        <v>12872</v>
      </c>
      <c r="H640" s="278">
        <v>7570</v>
      </c>
      <c r="I640" s="278">
        <v>5288</v>
      </c>
      <c r="J640" s="278">
        <v>10319</v>
      </c>
      <c r="K640" s="278">
        <v>5478</v>
      </c>
      <c r="L640" s="278">
        <v>4829</v>
      </c>
      <c r="M640" s="278">
        <v>1218</v>
      </c>
      <c r="N640" s="278">
        <v>12725</v>
      </c>
      <c r="O640" s="278">
        <v>7499</v>
      </c>
      <c r="P640" s="278">
        <v>5212</v>
      </c>
      <c r="Q640" s="278">
        <v>10172</v>
      </c>
      <c r="R640" s="278">
        <v>5407</v>
      </c>
      <c r="S640" s="278">
        <v>4753</v>
      </c>
    </row>
    <row r="641" spans="1:19">
      <c r="A641" s="241" t="s">
        <v>3159</v>
      </c>
      <c r="B641" s="241" t="s">
        <v>5303</v>
      </c>
      <c r="C641" s="241" t="s">
        <v>3432</v>
      </c>
      <c r="D641" s="241" t="s">
        <v>3771</v>
      </c>
      <c r="E641" s="241" t="s">
        <v>3821</v>
      </c>
      <c r="F641" s="278">
        <v>6311</v>
      </c>
      <c r="G641" s="278">
        <v>45696</v>
      </c>
      <c r="H641" s="278">
        <v>26007</v>
      </c>
      <c r="I641" s="278">
        <v>19556</v>
      </c>
      <c r="J641" s="278">
        <v>36225</v>
      </c>
      <c r="K641" s="278">
        <v>19366</v>
      </c>
      <c r="L641" s="278">
        <v>16735</v>
      </c>
      <c r="M641" s="278">
        <v>6268</v>
      </c>
      <c r="N641" s="278">
        <v>45446</v>
      </c>
      <c r="O641" s="278">
        <v>25862</v>
      </c>
      <c r="P641" s="278">
        <v>19451</v>
      </c>
      <c r="Q641" s="278">
        <v>35996</v>
      </c>
      <c r="R641" s="278">
        <v>19225</v>
      </c>
      <c r="S641" s="278">
        <v>16647</v>
      </c>
    </row>
    <row r="642" spans="1:19">
      <c r="A642" s="241" t="s">
        <v>3159</v>
      </c>
      <c r="B642" s="241" t="s">
        <v>5303</v>
      </c>
      <c r="C642" s="241" t="s">
        <v>3168</v>
      </c>
      <c r="D642" s="241" t="s">
        <v>3822</v>
      </c>
      <c r="E642" s="241" t="s">
        <v>3823</v>
      </c>
      <c r="F642" s="278">
        <v>213536</v>
      </c>
      <c r="G642" s="278">
        <v>3347777</v>
      </c>
      <c r="H642" s="278">
        <v>1502410</v>
      </c>
      <c r="I642" s="278">
        <v>1842134</v>
      </c>
      <c r="J642" s="278">
        <v>3114136</v>
      </c>
      <c r="K642" s="278">
        <v>1394459</v>
      </c>
      <c r="L642" s="278">
        <v>1716718</v>
      </c>
      <c r="M642" s="278">
        <v>163357</v>
      </c>
      <c r="N642" s="278">
        <v>1950734</v>
      </c>
      <c r="O642" s="278">
        <v>903223</v>
      </c>
      <c r="P642" s="278">
        <v>1044278</v>
      </c>
      <c r="Q642" s="278">
        <v>1728181</v>
      </c>
      <c r="R642" s="278">
        <v>797970</v>
      </c>
      <c r="S642" s="278">
        <v>927252</v>
      </c>
    </row>
    <row r="643" spans="1:19">
      <c r="A643" s="241" t="s">
        <v>3159</v>
      </c>
      <c r="B643" s="241" t="s">
        <v>5303</v>
      </c>
      <c r="C643" s="241" t="s">
        <v>3459</v>
      </c>
      <c r="D643" s="241" t="s">
        <v>3824</v>
      </c>
      <c r="E643" s="241" t="s">
        <v>3825</v>
      </c>
      <c r="F643" s="278">
        <v>57293</v>
      </c>
      <c r="G643" s="278">
        <v>2381381</v>
      </c>
      <c r="H643" s="278">
        <v>1042430</v>
      </c>
      <c r="I643" s="278">
        <v>1337966</v>
      </c>
      <c r="J643" s="278">
        <v>2324894</v>
      </c>
      <c r="K643" s="278">
        <v>1012883</v>
      </c>
      <c r="L643" s="278">
        <v>1311131</v>
      </c>
      <c r="M643" s="278">
        <v>20608</v>
      </c>
      <c r="N643" s="278">
        <v>1118959</v>
      </c>
      <c r="O643" s="278">
        <v>513670</v>
      </c>
      <c r="P643" s="278">
        <v>604304</v>
      </c>
      <c r="Q643" s="278">
        <v>1071544</v>
      </c>
      <c r="R643" s="278">
        <v>486141</v>
      </c>
      <c r="S643" s="278">
        <v>584523</v>
      </c>
    </row>
    <row r="644" spans="1:19">
      <c r="A644" s="241" t="s">
        <v>3159</v>
      </c>
      <c r="B644" s="241" t="s">
        <v>5303</v>
      </c>
      <c r="C644" s="241" t="s">
        <v>3170</v>
      </c>
      <c r="D644" s="241" t="s">
        <v>3824</v>
      </c>
      <c r="E644" s="241" t="s">
        <v>3826</v>
      </c>
      <c r="F644" s="278">
        <v>57293</v>
      </c>
      <c r="G644" s="278">
        <v>2381381</v>
      </c>
      <c r="H644" s="278">
        <v>1042430</v>
      </c>
      <c r="I644" s="278">
        <v>1337966</v>
      </c>
      <c r="J644" s="278">
        <v>2324894</v>
      </c>
      <c r="K644" s="278">
        <v>1012883</v>
      </c>
      <c r="L644" s="278">
        <v>1311131</v>
      </c>
      <c r="M644" s="278">
        <v>20608</v>
      </c>
      <c r="N644" s="278">
        <v>1118959</v>
      </c>
      <c r="O644" s="278">
        <v>513670</v>
      </c>
      <c r="P644" s="278">
        <v>604304</v>
      </c>
      <c r="Q644" s="278">
        <v>1071544</v>
      </c>
      <c r="R644" s="278">
        <v>486141</v>
      </c>
      <c r="S644" s="278">
        <v>584523</v>
      </c>
    </row>
    <row r="645" spans="1:19">
      <c r="A645" s="241" t="s">
        <v>3159</v>
      </c>
      <c r="B645" s="241" t="s">
        <v>5303</v>
      </c>
      <c r="C645" s="241" t="s">
        <v>3172</v>
      </c>
      <c r="D645" s="241" t="s">
        <v>3824</v>
      </c>
      <c r="E645" s="241" t="s">
        <v>3827</v>
      </c>
      <c r="F645" s="278">
        <v>618</v>
      </c>
      <c r="G645" s="278">
        <v>16542</v>
      </c>
      <c r="H645" s="278">
        <v>8924</v>
      </c>
      <c r="I645" s="278">
        <v>7618</v>
      </c>
      <c r="J645" s="278">
        <v>14952</v>
      </c>
      <c r="K645" s="278">
        <v>7608</v>
      </c>
      <c r="L645" s="278">
        <v>7344</v>
      </c>
      <c r="M645" s="278">
        <v>617</v>
      </c>
      <c r="N645" s="278">
        <v>16541</v>
      </c>
      <c r="O645" s="278">
        <v>8923</v>
      </c>
      <c r="P645" s="278">
        <v>7618</v>
      </c>
      <c r="Q645" s="278">
        <v>14951</v>
      </c>
      <c r="R645" s="278">
        <v>7607</v>
      </c>
      <c r="S645" s="278">
        <v>7344</v>
      </c>
    </row>
    <row r="646" spans="1:19">
      <c r="A646" s="241" t="s">
        <v>3159</v>
      </c>
      <c r="B646" s="241" t="s">
        <v>5303</v>
      </c>
      <c r="C646" s="241" t="s">
        <v>3172</v>
      </c>
      <c r="D646" s="241" t="s">
        <v>3824</v>
      </c>
      <c r="E646" s="241" t="s">
        <v>3828</v>
      </c>
      <c r="F646" s="278">
        <v>9199</v>
      </c>
      <c r="G646" s="278">
        <v>166502</v>
      </c>
      <c r="H646" s="278">
        <v>23027</v>
      </c>
      <c r="I646" s="278">
        <v>143450</v>
      </c>
      <c r="J646" s="278">
        <v>160478</v>
      </c>
      <c r="K646" s="278">
        <v>20699</v>
      </c>
      <c r="L646" s="278">
        <v>139754</v>
      </c>
      <c r="M646" s="278">
        <v>6416</v>
      </c>
      <c r="N646" s="278">
        <v>139139</v>
      </c>
      <c r="O646" s="278">
        <v>21562</v>
      </c>
      <c r="P646" s="278">
        <v>117552</v>
      </c>
      <c r="Q646" s="278">
        <v>133502</v>
      </c>
      <c r="R646" s="278">
        <v>19256</v>
      </c>
      <c r="S646" s="278">
        <v>114221</v>
      </c>
    </row>
    <row r="647" spans="1:19">
      <c r="A647" s="241" t="s">
        <v>3159</v>
      </c>
      <c r="B647" s="241" t="s">
        <v>5303</v>
      </c>
      <c r="C647" s="241" t="s">
        <v>3172</v>
      </c>
      <c r="D647" s="241" t="s">
        <v>3824</v>
      </c>
      <c r="E647" s="241" t="s">
        <v>3829</v>
      </c>
      <c r="F647" s="278">
        <v>5370</v>
      </c>
      <c r="G647" s="278">
        <v>178878</v>
      </c>
      <c r="H647" s="278">
        <v>15922</v>
      </c>
      <c r="I647" s="278">
        <v>162690</v>
      </c>
      <c r="J647" s="278">
        <v>173806</v>
      </c>
      <c r="K647" s="278">
        <v>14212</v>
      </c>
      <c r="L647" s="278">
        <v>159393</v>
      </c>
      <c r="M647" s="278">
        <v>4492</v>
      </c>
      <c r="N647" s="278">
        <v>151575</v>
      </c>
      <c r="O647" s="278">
        <v>14826</v>
      </c>
      <c r="P647" s="278">
        <v>136483</v>
      </c>
      <c r="Q647" s="278">
        <v>146939</v>
      </c>
      <c r="R647" s="278">
        <v>13128</v>
      </c>
      <c r="S647" s="278">
        <v>133610</v>
      </c>
    </row>
    <row r="648" spans="1:19">
      <c r="A648" s="241" t="s">
        <v>3159</v>
      </c>
      <c r="B648" s="241" t="s">
        <v>5303</v>
      </c>
      <c r="C648" s="241" t="s">
        <v>3172</v>
      </c>
      <c r="D648" s="241" t="s">
        <v>3824</v>
      </c>
      <c r="E648" s="241" t="s">
        <v>3830</v>
      </c>
      <c r="F648" s="278">
        <v>19203</v>
      </c>
      <c r="G648" s="278">
        <v>565923</v>
      </c>
      <c r="H648" s="278">
        <v>187622</v>
      </c>
      <c r="I648" s="278">
        <v>378301</v>
      </c>
      <c r="J648" s="278">
        <v>560940</v>
      </c>
      <c r="K648" s="278">
        <v>186891</v>
      </c>
      <c r="L648" s="278">
        <v>374049</v>
      </c>
      <c r="M648" s="278">
        <v>297</v>
      </c>
      <c r="N648" s="278">
        <v>11243</v>
      </c>
      <c r="O648" s="278">
        <v>4942</v>
      </c>
      <c r="P648" s="278">
        <v>6301</v>
      </c>
      <c r="Q648" s="278">
        <v>11101</v>
      </c>
      <c r="R648" s="278">
        <v>4887</v>
      </c>
      <c r="S648" s="278">
        <v>6214</v>
      </c>
    </row>
    <row r="649" spans="1:19">
      <c r="A649" s="241" t="s">
        <v>3159</v>
      </c>
      <c r="B649" s="241" t="s">
        <v>5303</v>
      </c>
      <c r="C649" s="241" t="s">
        <v>3172</v>
      </c>
      <c r="D649" s="241" t="s">
        <v>3824</v>
      </c>
      <c r="E649" s="241" t="s">
        <v>3831</v>
      </c>
      <c r="F649" s="278">
        <v>9834</v>
      </c>
      <c r="G649" s="278">
        <v>311718</v>
      </c>
      <c r="H649" s="278">
        <v>158241</v>
      </c>
      <c r="I649" s="278">
        <v>153443</v>
      </c>
      <c r="J649" s="278">
        <v>309303</v>
      </c>
      <c r="K649" s="278">
        <v>157357</v>
      </c>
      <c r="L649" s="278">
        <v>151912</v>
      </c>
      <c r="M649" s="278">
        <v>691</v>
      </c>
      <c r="N649" s="278">
        <v>22598</v>
      </c>
      <c r="O649" s="278">
        <v>12413</v>
      </c>
      <c r="P649" s="278">
        <v>10151</v>
      </c>
      <c r="Q649" s="278">
        <v>22285</v>
      </c>
      <c r="R649" s="278">
        <v>12238</v>
      </c>
      <c r="S649" s="278">
        <v>10013</v>
      </c>
    </row>
    <row r="650" spans="1:19">
      <c r="A650" s="241" t="s">
        <v>3159</v>
      </c>
      <c r="B650" s="241" t="s">
        <v>5303</v>
      </c>
      <c r="C650" s="241" t="s">
        <v>3172</v>
      </c>
      <c r="D650" s="241" t="s">
        <v>3824</v>
      </c>
      <c r="E650" s="241" t="s">
        <v>3832</v>
      </c>
      <c r="F650" s="278">
        <v>5583</v>
      </c>
      <c r="G650" s="278">
        <v>370152</v>
      </c>
      <c r="H650" s="278">
        <v>229001</v>
      </c>
      <c r="I650" s="278">
        <v>140863</v>
      </c>
      <c r="J650" s="278">
        <v>365963</v>
      </c>
      <c r="K650" s="278">
        <v>226388</v>
      </c>
      <c r="L650" s="278">
        <v>139287</v>
      </c>
      <c r="M650" s="278">
        <v>1975</v>
      </c>
      <c r="N650" s="278">
        <v>123021</v>
      </c>
      <c r="O650" s="278">
        <v>74955</v>
      </c>
      <c r="P650" s="278">
        <v>47778</v>
      </c>
      <c r="Q650" s="278">
        <v>119578</v>
      </c>
      <c r="R650" s="278">
        <v>72693</v>
      </c>
      <c r="S650" s="278">
        <v>46597</v>
      </c>
    </row>
    <row r="651" spans="1:19">
      <c r="A651" s="241" t="s">
        <v>3159</v>
      </c>
      <c r="B651" s="241" t="s">
        <v>5303</v>
      </c>
      <c r="C651" s="241" t="s">
        <v>3172</v>
      </c>
      <c r="D651" s="241" t="s">
        <v>3824</v>
      </c>
      <c r="E651" s="241" t="s">
        <v>3833</v>
      </c>
      <c r="F651" s="278">
        <v>1248</v>
      </c>
      <c r="G651" s="278">
        <v>113514</v>
      </c>
      <c r="H651" s="278">
        <v>42713</v>
      </c>
      <c r="I651" s="278">
        <v>70801</v>
      </c>
      <c r="J651" s="278">
        <v>113292</v>
      </c>
      <c r="K651" s="278">
        <v>42643</v>
      </c>
      <c r="L651" s="278">
        <v>70649</v>
      </c>
      <c r="M651" s="278">
        <v>59</v>
      </c>
      <c r="N651" s="278">
        <v>2536</v>
      </c>
      <c r="O651" s="278">
        <v>1150</v>
      </c>
      <c r="P651" s="278">
        <v>1386</v>
      </c>
      <c r="Q651" s="278">
        <v>2510</v>
      </c>
      <c r="R651" s="278">
        <v>1134</v>
      </c>
      <c r="S651" s="278">
        <v>1376</v>
      </c>
    </row>
    <row r="652" spans="1:19">
      <c r="A652" s="241" t="s">
        <v>3159</v>
      </c>
      <c r="B652" s="241" t="s">
        <v>5303</v>
      </c>
      <c r="C652" s="241" t="s">
        <v>3172</v>
      </c>
      <c r="D652" s="241" t="s">
        <v>3824</v>
      </c>
      <c r="E652" s="241" t="s">
        <v>3834</v>
      </c>
      <c r="F652" s="278">
        <v>2442</v>
      </c>
      <c r="G652" s="278">
        <v>553435</v>
      </c>
      <c r="H652" s="278">
        <v>324638</v>
      </c>
      <c r="I652" s="278">
        <v>228796</v>
      </c>
      <c r="J652" s="278">
        <v>531287</v>
      </c>
      <c r="K652" s="278">
        <v>310705</v>
      </c>
      <c r="L652" s="278">
        <v>220581</v>
      </c>
      <c r="M652" s="278">
        <v>2419</v>
      </c>
      <c r="N652" s="278">
        <v>551824</v>
      </c>
      <c r="O652" s="278">
        <v>323815</v>
      </c>
      <c r="P652" s="278">
        <v>228008</v>
      </c>
      <c r="Q652" s="278">
        <v>529676</v>
      </c>
      <c r="R652" s="278">
        <v>309882</v>
      </c>
      <c r="S652" s="278">
        <v>219793</v>
      </c>
    </row>
    <row r="653" spans="1:19">
      <c r="A653" s="241" t="s">
        <v>3159</v>
      </c>
      <c r="B653" s="241" t="s">
        <v>5303</v>
      </c>
      <c r="C653" s="241" t="s">
        <v>3172</v>
      </c>
      <c r="D653" s="241" t="s">
        <v>3824</v>
      </c>
      <c r="E653" s="241" t="s">
        <v>3835</v>
      </c>
      <c r="F653" s="278">
        <v>3776</v>
      </c>
      <c r="G653" s="278">
        <v>103516</v>
      </c>
      <c r="H653" s="278">
        <v>51744</v>
      </c>
      <c r="I653" s="278">
        <v>51401</v>
      </c>
      <c r="J653" s="278">
        <v>93732</v>
      </c>
      <c r="K653" s="278">
        <v>45834</v>
      </c>
      <c r="L653" s="278">
        <v>47567</v>
      </c>
      <c r="M653" s="278">
        <v>3622</v>
      </c>
      <c r="N653" s="278">
        <v>99281</v>
      </c>
      <c r="O653" s="278">
        <v>50486</v>
      </c>
      <c r="P653" s="278">
        <v>48424</v>
      </c>
      <c r="Q653" s="278">
        <v>89861</v>
      </c>
      <c r="R653" s="278">
        <v>44770</v>
      </c>
      <c r="S653" s="278">
        <v>44760</v>
      </c>
    </row>
    <row r="654" spans="1:19">
      <c r="A654" s="241" t="s">
        <v>3159</v>
      </c>
      <c r="B654" s="241" t="s">
        <v>5303</v>
      </c>
      <c r="C654" s="241" t="s">
        <v>3432</v>
      </c>
      <c r="D654" s="241" t="s">
        <v>3824</v>
      </c>
      <c r="E654" s="241" t="s">
        <v>3836</v>
      </c>
      <c r="F654" s="278">
        <v>2927</v>
      </c>
      <c r="G654" s="278">
        <v>85572</v>
      </c>
      <c r="H654" s="278">
        <v>42991</v>
      </c>
      <c r="I654" s="278">
        <v>42210</v>
      </c>
      <c r="J654" s="278">
        <v>77325</v>
      </c>
      <c r="K654" s="278">
        <v>37988</v>
      </c>
      <c r="L654" s="278">
        <v>39006</v>
      </c>
      <c r="M654" s="278">
        <v>2775</v>
      </c>
      <c r="N654" s="278">
        <v>81365</v>
      </c>
      <c r="O654" s="278">
        <v>41756</v>
      </c>
      <c r="P654" s="278">
        <v>39238</v>
      </c>
      <c r="Q654" s="278">
        <v>73482</v>
      </c>
      <c r="R654" s="278">
        <v>36947</v>
      </c>
      <c r="S654" s="278">
        <v>36204</v>
      </c>
    </row>
    <row r="655" spans="1:19">
      <c r="A655" s="241" t="s">
        <v>3159</v>
      </c>
      <c r="B655" s="241" t="s">
        <v>5303</v>
      </c>
      <c r="C655" s="241" t="s">
        <v>3432</v>
      </c>
      <c r="D655" s="241" t="s">
        <v>3824</v>
      </c>
      <c r="E655" s="241" t="s">
        <v>3837</v>
      </c>
      <c r="F655" s="278">
        <v>849</v>
      </c>
      <c r="G655" s="278">
        <v>17944</v>
      </c>
      <c r="H655" s="278">
        <v>8753</v>
      </c>
      <c r="I655" s="278">
        <v>9191</v>
      </c>
      <c r="J655" s="278">
        <v>16407</v>
      </c>
      <c r="K655" s="278">
        <v>7846</v>
      </c>
      <c r="L655" s="278">
        <v>8561</v>
      </c>
      <c r="M655" s="278">
        <v>847</v>
      </c>
      <c r="N655" s="278">
        <v>17916</v>
      </c>
      <c r="O655" s="278">
        <v>8730</v>
      </c>
      <c r="P655" s="278">
        <v>9186</v>
      </c>
      <c r="Q655" s="278">
        <v>16379</v>
      </c>
      <c r="R655" s="278">
        <v>7823</v>
      </c>
      <c r="S655" s="278">
        <v>8556</v>
      </c>
    </row>
    <row r="656" spans="1:19">
      <c r="A656" s="241" t="s">
        <v>3159</v>
      </c>
      <c r="B656" s="241" t="s">
        <v>5303</v>
      </c>
      <c r="C656" s="241" t="s">
        <v>3172</v>
      </c>
      <c r="D656" s="241" t="s">
        <v>3824</v>
      </c>
      <c r="E656" s="241" t="s">
        <v>3838</v>
      </c>
      <c r="F656" s="278">
        <v>20</v>
      </c>
      <c r="G656" s="278">
        <v>1201</v>
      </c>
      <c r="H656" s="278">
        <v>598</v>
      </c>
      <c r="I656" s="278">
        <v>603</v>
      </c>
      <c r="J656" s="278">
        <v>1141</v>
      </c>
      <c r="K656" s="278">
        <v>546</v>
      </c>
      <c r="L656" s="278">
        <v>595</v>
      </c>
      <c r="M656" s="278">
        <v>20</v>
      </c>
      <c r="N656" s="278">
        <v>1201</v>
      </c>
      <c r="O656" s="278">
        <v>598</v>
      </c>
      <c r="P656" s="278">
        <v>603</v>
      </c>
      <c r="Q656" s="278">
        <v>1141</v>
      </c>
      <c r="R656" s="278">
        <v>546</v>
      </c>
      <c r="S656" s="278">
        <v>595</v>
      </c>
    </row>
    <row r="657" spans="1:19">
      <c r="A657" s="241" t="s">
        <v>3159</v>
      </c>
      <c r="B657" s="241" t="s">
        <v>5303</v>
      </c>
      <c r="C657" s="241" t="s">
        <v>3459</v>
      </c>
      <c r="D657" s="241" t="s">
        <v>3839</v>
      </c>
      <c r="E657" s="241" t="s">
        <v>3840</v>
      </c>
      <c r="F657" s="278">
        <v>156243</v>
      </c>
      <c r="G657" s="278">
        <v>966396</v>
      </c>
      <c r="H657" s="278">
        <v>459980</v>
      </c>
      <c r="I657" s="278">
        <v>504168</v>
      </c>
      <c r="J657" s="278">
        <v>789242</v>
      </c>
      <c r="K657" s="278">
        <v>381576</v>
      </c>
      <c r="L657" s="278">
        <v>405587</v>
      </c>
      <c r="M657" s="278">
        <v>142749</v>
      </c>
      <c r="N657" s="278">
        <v>831775</v>
      </c>
      <c r="O657" s="278">
        <v>389553</v>
      </c>
      <c r="P657" s="278">
        <v>439974</v>
      </c>
      <c r="Q657" s="278">
        <v>656637</v>
      </c>
      <c r="R657" s="278">
        <v>311829</v>
      </c>
      <c r="S657" s="278">
        <v>342729</v>
      </c>
    </row>
    <row r="658" spans="1:19">
      <c r="A658" s="241" t="s">
        <v>3159</v>
      </c>
      <c r="B658" s="241" t="s">
        <v>5303</v>
      </c>
      <c r="C658" s="241" t="s">
        <v>3170</v>
      </c>
      <c r="D658" s="241" t="s">
        <v>3839</v>
      </c>
      <c r="E658" s="241" t="s">
        <v>3841</v>
      </c>
      <c r="F658" s="278">
        <v>156243</v>
      </c>
      <c r="G658" s="278">
        <v>966396</v>
      </c>
      <c r="H658" s="278">
        <v>459980</v>
      </c>
      <c r="I658" s="278">
        <v>504168</v>
      </c>
      <c r="J658" s="278">
        <v>789242</v>
      </c>
      <c r="K658" s="278">
        <v>381576</v>
      </c>
      <c r="L658" s="278">
        <v>405587</v>
      </c>
      <c r="M658" s="278">
        <v>142749</v>
      </c>
      <c r="N658" s="278">
        <v>831775</v>
      </c>
      <c r="O658" s="278">
        <v>389553</v>
      </c>
      <c r="P658" s="278">
        <v>439974</v>
      </c>
      <c r="Q658" s="278">
        <v>656637</v>
      </c>
      <c r="R658" s="278">
        <v>311829</v>
      </c>
      <c r="S658" s="278">
        <v>342729</v>
      </c>
    </row>
    <row r="659" spans="1:19">
      <c r="A659" s="241" t="s">
        <v>3159</v>
      </c>
      <c r="B659" s="241" t="s">
        <v>5303</v>
      </c>
      <c r="C659" s="241" t="s">
        <v>3172</v>
      </c>
      <c r="D659" s="241" t="s">
        <v>3839</v>
      </c>
      <c r="E659" s="241" t="s">
        <v>3842</v>
      </c>
      <c r="F659" s="278">
        <v>481</v>
      </c>
      <c r="G659" s="278">
        <v>7258</v>
      </c>
      <c r="H659" s="278">
        <v>3527</v>
      </c>
      <c r="I659" s="278">
        <v>3712</v>
      </c>
      <c r="J659" s="278">
        <v>6613</v>
      </c>
      <c r="K659" s="278">
        <v>3095</v>
      </c>
      <c r="L659" s="278">
        <v>3499</v>
      </c>
      <c r="M659" s="278">
        <v>480</v>
      </c>
      <c r="N659" s="278">
        <v>7256</v>
      </c>
      <c r="O659" s="278">
        <v>3525</v>
      </c>
      <c r="P659" s="278">
        <v>3712</v>
      </c>
      <c r="Q659" s="278">
        <v>6611</v>
      </c>
      <c r="R659" s="278">
        <v>3093</v>
      </c>
      <c r="S659" s="278">
        <v>3499</v>
      </c>
    </row>
    <row r="660" spans="1:19">
      <c r="A660" s="241" t="s">
        <v>3159</v>
      </c>
      <c r="B660" s="241" t="s">
        <v>5303</v>
      </c>
      <c r="C660" s="241" t="s">
        <v>3172</v>
      </c>
      <c r="D660" s="241" t="s">
        <v>3839</v>
      </c>
      <c r="E660" s="241" t="s">
        <v>3843</v>
      </c>
      <c r="F660" s="278">
        <v>17155</v>
      </c>
      <c r="G660" s="278">
        <v>139125</v>
      </c>
      <c r="H660" s="278">
        <v>52373</v>
      </c>
      <c r="I660" s="278">
        <v>86725</v>
      </c>
      <c r="J660" s="278">
        <v>132505</v>
      </c>
      <c r="K660" s="278">
        <v>49098</v>
      </c>
      <c r="L660" s="278">
        <v>83380</v>
      </c>
      <c r="M660" s="278">
        <v>5103</v>
      </c>
      <c r="N660" s="278">
        <v>58457</v>
      </c>
      <c r="O660" s="278">
        <v>21715</v>
      </c>
      <c r="P660" s="278">
        <v>36715</v>
      </c>
      <c r="Q660" s="278">
        <v>53514</v>
      </c>
      <c r="R660" s="278">
        <v>18918</v>
      </c>
      <c r="S660" s="278">
        <v>34569</v>
      </c>
    </row>
    <row r="661" spans="1:19">
      <c r="A661" s="241" t="s">
        <v>3159</v>
      </c>
      <c r="B661" s="241" t="s">
        <v>5303</v>
      </c>
      <c r="C661" s="241" t="s">
        <v>3432</v>
      </c>
      <c r="D661" s="241" t="s">
        <v>3839</v>
      </c>
      <c r="E661" s="241" t="s">
        <v>3844</v>
      </c>
      <c r="F661" s="278">
        <v>7167</v>
      </c>
      <c r="G661" s="278">
        <v>27845</v>
      </c>
      <c r="H661" s="278">
        <v>13279</v>
      </c>
      <c r="I661" s="278">
        <v>14566</v>
      </c>
      <c r="J661" s="278">
        <v>26951</v>
      </c>
      <c r="K661" s="278">
        <v>12712</v>
      </c>
      <c r="L661" s="278">
        <v>14239</v>
      </c>
      <c r="M661" s="278">
        <v>883</v>
      </c>
      <c r="N661" s="278">
        <v>4458</v>
      </c>
      <c r="O661" s="278">
        <v>1934</v>
      </c>
      <c r="P661" s="278">
        <v>2524</v>
      </c>
      <c r="Q661" s="278">
        <v>3899</v>
      </c>
      <c r="R661" s="278">
        <v>1514</v>
      </c>
      <c r="S661" s="278">
        <v>2385</v>
      </c>
    </row>
    <row r="662" spans="1:19">
      <c r="A662" s="241" t="s">
        <v>3159</v>
      </c>
      <c r="B662" s="241" t="s">
        <v>5303</v>
      </c>
      <c r="C662" s="241" t="s">
        <v>3432</v>
      </c>
      <c r="D662" s="241" t="s">
        <v>3839</v>
      </c>
      <c r="E662" s="241" t="s">
        <v>3845</v>
      </c>
      <c r="F662" s="278">
        <v>3562</v>
      </c>
      <c r="G662" s="278">
        <v>46159</v>
      </c>
      <c r="H662" s="278">
        <v>9989</v>
      </c>
      <c r="I662" s="278">
        <v>36170</v>
      </c>
      <c r="J662" s="278">
        <v>45253</v>
      </c>
      <c r="K662" s="278">
        <v>9843</v>
      </c>
      <c r="L662" s="278">
        <v>35410</v>
      </c>
      <c r="M662" s="278">
        <v>1034</v>
      </c>
      <c r="N662" s="278">
        <v>14627</v>
      </c>
      <c r="O662" s="278">
        <v>3030</v>
      </c>
      <c r="P662" s="278">
        <v>11597</v>
      </c>
      <c r="Q662" s="278">
        <v>14266</v>
      </c>
      <c r="R662" s="278">
        <v>2933</v>
      </c>
      <c r="S662" s="278">
        <v>11333</v>
      </c>
    </row>
    <row r="663" spans="1:19">
      <c r="A663" s="241" t="s">
        <v>3159</v>
      </c>
      <c r="B663" s="241" t="s">
        <v>5303</v>
      </c>
      <c r="C663" s="241" t="s">
        <v>3432</v>
      </c>
      <c r="D663" s="241" t="s">
        <v>3839</v>
      </c>
      <c r="E663" s="241" t="s">
        <v>3846</v>
      </c>
      <c r="F663" s="278">
        <v>4424</v>
      </c>
      <c r="G663" s="278">
        <v>38229</v>
      </c>
      <c r="H663" s="278">
        <v>15511</v>
      </c>
      <c r="I663" s="278">
        <v>22691</v>
      </c>
      <c r="J663" s="278">
        <v>35222</v>
      </c>
      <c r="K663" s="278">
        <v>13940</v>
      </c>
      <c r="L663" s="278">
        <v>21255</v>
      </c>
      <c r="M663" s="278">
        <v>2209</v>
      </c>
      <c r="N663" s="278">
        <v>20916</v>
      </c>
      <c r="O663" s="278">
        <v>7767</v>
      </c>
      <c r="P663" s="278">
        <v>13122</v>
      </c>
      <c r="Q663" s="278">
        <v>18548</v>
      </c>
      <c r="R663" s="278">
        <v>6417</v>
      </c>
      <c r="S663" s="278">
        <v>12104</v>
      </c>
    </row>
    <row r="664" spans="1:19">
      <c r="A664" s="241" t="s">
        <v>3159</v>
      </c>
      <c r="B664" s="241" t="s">
        <v>5303</v>
      </c>
      <c r="C664" s="241" t="s">
        <v>3432</v>
      </c>
      <c r="D664" s="241" t="s">
        <v>3839</v>
      </c>
      <c r="E664" s="241" t="s">
        <v>3847</v>
      </c>
      <c r="F664" s="278">
        <v>418</v>
      </c>
      <c r="G664" s="278">
        <v>13245</v>
      </c>
      <c r="H664" s="278">
        <v>6532</v>
      </c>
      <c r="I664" s="278">
        <v>6713</v>
      </c>
      <c r="J664" s="278">
        <v>12132</v>
      </c>
      <c r="K664" s="278">
        <v>5963</v>
      </c>
      <c r="L664" s="278">
        <v>6169</v>
      </c>
      <c r="M664" s="278">
        <v>330</v>
      </c>
      <c r="N664" s="278">
        <v>11610</v>
      </c>
      <c r="O664" s="278">
        <v>5500</v>
      </c>
      <c r="P664" s="278">
        <v>6110</v>
      </c>
      <c r="Q664" s="278">
        <v>10534</v>
      </c>
      <c r="R664" s="278">
        <v>4947</v>
      </c>
      <c r="S664" s="278">
        <v>5587</v>
      </c>
    </row>
    <row r="665" spans="1:19">
      <c r="A665" s="241" t="s">
        <v>3159</v>
      </c>
      <c r="B665" s="241" t="s">
        <v>5303</v>
      </c>
      <c r="C665" s="241" t="s">
        <v>3432</v>
      </c>
      <c r="D665" s="241" t="s">
        <v>3839</v>
      </c>
      <c r="E665" s="241" t="s">
        <v>3848</v>
      </c>
      <c r="F665" s="278">
        <v>41</v>
      </c>
      <c r="G665" s="278">
        <v>855</v>
      </c>
      <c r="H665" s="278">
        <v>336</v>
      </c>
      <c r="I665" s="278">
        <v>519</v>
      </c>
      <c r="J665" s="278">
        <v>795</v>
      </c>
      <c r="K665" s="278">
        <v>285</v>
      </c>
      <c r="L665" s="278">
        <v>510</v>
      </c>
      <c r="M665" s="278">
        <v>40</v>
      </c>
      <c r="N665" s="278">
        <v>854</v>
      </c>
      <c r="O665" s="278">
        <v>336</v>
      </c>
      <c r="P665" s="278">
        <v>518</v>
      </c>
      <c r="Q665" s="278">
        <v>794</v>
      </c>
      <c r="R665" s="278">
        <v>285</v>
      </c>
      <c r="S665" s="278">
        <v>509</v>
      </c>
    </row>
    <row r="666" spans="1:19">
      <c r="A666" s="241" t="s">
        <v>3159</v>
      </c>
      <c r="B666" s="241" t="s">
        <v>5303</v>
      </c>
      <c r="C666" s="241" t="s">
        <v>3432</v>
      </c>
      <c r="D666" s="241" t="s">
        <v>3839</v>
      </c>
      <c r="E666" s="241" t="s">
        <v>3849</v>
      </c>
      <c r="F666" s="278">
        <v>1543</v>
      </c>
      <c r="G666" s="278">
        <v>12792</v>
      </c>
      <c r="H666" s="278">
        <v>6726</v>
      </c>
      <c r="I666" s="278">
        <v>6066</v>
      </c>
      <c r="J666" s="278">
        <v>12152</v>
      </c>
      <c r="K666" s="278">
        <v>6355</v>
      </c>
      <c r="L666" s="278">
        <v>5797</v>
      </c>
      <c r="M666" s="278">
        <v>607</v>
      </c>
      <c r="N666" s="278">
        <v>5992</v>
      </c>
      <c r="O666" s="278">
        <v>3148</v>
      </c>
      <c r="P666" s="278">
        <v>2844</v>
      </c>
      <c r="Q666" s="278">
        <v>5473</v>
      </c>
      <c r="R666" s="278">
        <v>2822</v>
      </c>
      <c r="S666" s="278">
        <v>2651</v>
      </c>
    </row>
    <row r="667" spans="1:19">
      <c r="A667" s="241" t="s">
        <v>3159</v>
      </c>
      <c r="B667" s="241" t="s">
        <v>5303</v>
      </c>
      <c r="C667" s="241" t="s">
        <v>3172</v>
      </c>
      <c r="D667" s="241" t="s">
        <v>3839</v>
      </c>
      <c r="E667" s="241" t="s">
        <v>3850</v>
      </c>
      <c r="F667" s="278">
        <v>5426</v>
      </c>
      <c r="G667" s="278">
        <v>99124</v>
      </c>
      <c r="H667" s="278">
        <v>67117</v>
      </c>
      <c r="I667" s="278">
        <v>31796</v>
      </c>
      <c r="J667" s="278">
        <v>94319</v>
      </c>
      <c r="K667" s="278">
        <v>64080</v>
      </c>
      <c r="L667" s="278">
        <v>30037</v>
      </c>
      <c r="M667" s="278">
        <v>4333</v>
      </c>
      <c r="N667" s="278">
        <v>47140</v>
      </c>
      <c r="O667" s="278">
        <v>28133</v>
      </c>
      <c r="P667" s="278">
        <v>18796</v>
      </c>
      <c r="Q667" s="278">
        <v>42654</v>
      </c>
      <c r="R667" s="278">
        <v>25291</v>
      </c>
      <c r="S667" s="278">
        <v>17161</v>
      </c>
    </row>
    <row r="668" spans="1:19">
      <c r="A668" s="241" t="s">
        <v>3159</v>
      </c>
      <c r="B668" s="241" t="s">
        <v>5303</v>
      </c>
      <c r="C668" s="241" t="s">
        <v>3172</v>
      </c>
      <c r="D668" s="241" t="s">
        <v>3839</v>
      </c>
      <c r="E668" s="241" t="s">
        <v>3851</v>
      </c>
      <c r="F668" s="278">
        <v>53014</v>
      </c>
      <c r="G668" s="278">
        <v>378521</v>
      </c>
      <c r="H668" s="278">
        <v>194613</v>
      </c>
      <c r="I668" s="278">
        <v>183265</v>
      </c>
      <c r="J668" s="278">
        <v>307675</v>
      </c>
      <c r="K668" s="278">
        <v>158738</v>
      </c>
      <c r="L668" s="278">
        <v>148375</v>
      </c>
      <c r="M668" s="278">
        <v>53009</v>
      </c>
      <c r="N668" s="278">
        <v>378502</v>
      </c>
      <c r="O668" s="278">
        <v>194603</v>
      </c>
      <c r="P668" s="278">
        <v>183256</v>
      </c>
      <c r="Q668" s="278">
        <v>307656</v>
      </c>
      <c r="R668" s="278">
        <v>158728</v>
      </c>
      <c r="S668" s="278">
        <v>148366</v>
      </c>
    </row>
    <row r="669" spans="1:19">
      <c r="A669" s="241" t="s">
        <v>3159</v>
      </c>
      <c r="B669" s="241" t="s">
        <v>5303</v>
      </c>
      <c r="C669" s="241" t="s">
        <v>3172</v>
      </c>
      <c r="D669" s="241" t="s">
        <v>3839</v>
      </c>
      <c r="E669" s="241" t="s">
        <v>3852</v>
      </c>
      <c r="F669" s="278">
        <v>74564</v>
      </c>
      <c r="G669" s="278">
        <v>259843</v>
      </c>
      <c r="H669" s="278">
        <v>91435</v>
      </c>
      <c r="I669" s="278">
        <v>167159</v>
      </c>
      <c r="J669" s="278">
        <v>175081</v>
      </c>
      <c r="K669" s="278">
        <v>61502</v>
      </c>
      <c r="L669" s="278">
        <v>112406</v>
      </c>
      <c r="M669" s="278">
        <v>74539</v>
      </c>
      <c r="N669" s="278">
        <v>259738</v>
      </c>
      <c r="O669" s="278">
        <v>91387</v>
      </c>
      <c r="P669" s="278">
        <v>167102</v>
      </c>
      <c r="Q669" s="278">
        <v>174976</v>
      </c>
      <c r="R669" s="278">
        <v>61454</v>
      </c>
      <c r="S669" s="278">
        <v>112349</v>
      </c>
    </row>
    <row r="670" spans="1:19">
      <c r="A670" s="241" t="s">
        <v>3159</v>
      </c>
      <c r="B670" s="241" t="s">
        <v>5303</v>
      </c>
      <c r="C670" s="241" t="s">
        <v>3432</v>
      </c>
      <c r="D670" s="241" t="s">
        <v>3839</v>
      </c>
      <c r="E670" s="241" t="s">
        <v>3853</v>
      </c>
      <c r="F670" s="278">
        <v>18010</v>
      </c>
      <c r="G670" s="278">
        <v>33168</v>
      </c>
      <c r="H670" s="278">
        <v>6346</v>
      </c>
      <c r="I670" s="278">
        <v>26760</v>
      </c>
      <c r="J670" s="278">
        <v>14583</v>
      </c>
      <c r="K670" s="278">
        <v>2826</v>
      </c>
      <c r="L670" s="278">
        <v>11731</v>
      </c>
      <c r="M670" s="278">
        <v>18010</v>
      </c>
      <c r="N670" s="278">
        <v>33168</v>
      </c>
      <c r="O670" s="278">
        <v>6346</v>
      </c>
      <c r="P670" s="278">
        <v>26760</v>
      </c>
      <c r="Q670" s="278">
        <v>14583</v>
      </c>
      <c r="R670" s="278">
        <v>2826</v>
      </c>
      <c r="S670" s="278">
        <v>11731</v>
      </c>
    </row>
    <row r="671" spans="1:19">
      <c r="A671" s="241" t="s">
        <v>3159</v>
      </c>
      <c r="B671" s="241" t="s">
        <v>5303</v>
      </c>
      <c r="C671" s="241" t="s">
        <v>3432</v>
      </c>
      <c r="D671" s="241" t="s">
        <v>3839</v>
      </c>
      <c r="E671" s="241" t="s">
        <v>3854</v>
      </c>
      <c r="F671" s="278">
        <v>7373</v>
      </c>
      <c r="G671" s="278">
        <v>10571</v>
      </c>
      <c r="H671" s="278">
        <v>2483</v>
      </c>
      <c r="I671" s="278">
        <v>8083</v>
      </c>
      <c r="J671" s="278">
        <v>2023</v>
      </c>
      <c r="K671" s="278">
        <v>439</v>
      </c>
      <c r="L671" s="278">
        <v>1584</v>
      </c>
      <c r="M671" s="278">
        <v>7373</v>
      </c>
      <c r="N671" s="278">
        <v>10571</v>
      </c>
      <c r="O671" s="278">
        <v>2483</v>
      </c>
      <c r="P671" s="278">
        <v>8083</v>
      </c>
      <c r="Q671" s="278">
        <v>2023</v>
      </c>
      <c r="R671" s="278">
        <v>439</v>
      </c>
      <c r="S671" s="278">
        <v>1584</v>
      </c>
    </row>
    <row r="672" spans="1:19">
      <c r="A672" s="241" t="s">
        <v>3159</v>
      </c>
      <c r="B672" s="241" t="s">
        <v>5303</v>
      </c>
      <c r="C672" s="241" t="s">
        <v>3432</v>
      </c>
      <c r="D672" s="241" t="s">
        <v>3839</v>
      </c>
      <c r="E672" s="241" t="s">
        <v>3855</v>
      </c>
      <c r="F672" s="278">
        <v>2231</v>
      </c>
      <c r="G672" s="278">
        <v>2942</v>
      </c>
      <c r="H672" s="278">
        <v>458</v>
      </c>
      <c r="I672" s="278">
        <v>2484</v>
      </c>
      <c r="J672" s="278">
        <v>437</v>
      </c>
      <c r="K672" s="278">
        <v>90</v>
      </c>
      <c r="L672" s="278">
        <v>347</v>
      </c>
      <c r="M672" s="278">
        <v>2231</v>
      </c>
      <c r="N672" s="278">
        <v>2942</v>
      </c>
      <c r="O672" s="278">
        <v>458</v>
      </c>
      <c r="P672" s="278">
        <v>2484</v>
      </c>
      <c r="Q672" s="278">
        <v>437</v>
      </c>
      <c r="R672" s="278">
        <v>90</v>
      </c>
      <c r="S672" s="278">
        <v>347</v>
      </c>
    </row>
    <row r="673" spans="1:19">
      <c r="A673" s="241" t="s">
        <v>3159</v>
      </c>
      <c r="B673" s="241" t="s">
        <v>5303</v>
      </c>
      <c r="C673" s="241" t="s">
        <v>3432</v>
      </c>
      <c r="D673" s="241" t="s">
        <v>3839</v>
      </c>
      <c r="E673" s="241" t="s">
        <v>3856</v>
      </c>
      <c r="F673" s="278">
        <v>5227</v>
      </c>
      <c r="G673" s="278">
        <v>10575</v>
      </c>
      <c r="H673" s="278">
        <v>2945</v>
      </c>
      <c r="I673" s="278">
        <v>7617</v>
      </c>
      <c r="J673" s="278">
        <v>4654</v>
      </c>
      <c r="K673" s="278">
        <v>755</v>
      </c>
      <c r="L673" s="278">
        <v>3891</v>
      </c>
      <c r="M673" s="278">
        <v>5227</v>
      </c>
      <c r="N673" s="278">
        <v>10575</v>
      </c>
      <c r="O673" s="278">
        <v>2945</v>
      </c>
      <c r="P673" s="278">
        <v>7617</v>
      </c>
      <c r="Q673" s="278">
        <v>4654</v>
      </c>
      <c r="R673" s="278">
        <v>755</v>
      </c>
      <c r="S673" s="278">
        <v>3891</v>
      </c>
    </row>
    <row r="674" spans="1:19">
      <c r="A674" s="241" t="s">
        <v>3159</v>
      </c>
      <c r="B674" s="241" t="s">
        <v>5303</v>
      </c>
      <c r="C674" s="241" t="s">
        <v>3432</v>
      </c>
      <c r="D674" s="241" t="s">
        <v>3839</v>
      </c>
      <c r="E674" s="241" t="s">
        <v>3857</v>
      </c>
      <c r="F674" s="278">
        <v>9548</v>
      </c>
      <c r="G674" s="278">
        <v>40216</v>
      </c>
      <c r="H674" s="278">
        <v>12517</v>
      </c>
      <c r="I674" s="278">
        <v>27158</v>
      </c>
      <c r="J674" s="278">
        <v>32090</v>
      </c>
      <c r="K674" s="278">
        <v>9861</v>
      </c>
      <c r="L674" s="278">
        <v>21695</v>
      </c>
      <c r="M674" s="278">
        <v>9548</v>
      </c>
      <c r="N674" s="278">
        <v>40216</v>
      </c>
      <c r="O674" s="278">
        <v>12517</v>
      </c>
      <c r="P674" s="278">
        <v>27158</v>
      </c>
      <c r="Q674" s="278">
        <v>32090</v>
      </c>
      <c r="R674" s="278">
        <v>9861</v>
      </c>
      <c r="S674" s="278">
        <v>21695</v>
      </c>
    </row>
    <row r="675" spans="1:19">
      <c r="A675" s="241" t="s">
        <v>3159</v>
      </c>
      <c r="B675" s="241" t="s">
        <v>5303</v>
      </c>
      <c r="C675" s="241" t="s">
        <v>3432</v>
      </c>
      <c r="D675" s="241" t="s">
        <v>3839</v>
      </c>
      <c r="E675" s="241" t="s">
        <v>3858</v>
      </c>
      <c r="F675" s="278">
        <v>11401</v>
      </c>
      <c r="G675" s="278">
        <v>84390</v>
      </c>
      <c r="H675" s="278">
        <v>42070</v>
      </c>
      <c r="I675" s="278">
        <v>41811</v>
      </c>
      <c r="J675" s="278">
        <v>69039</v>
      </c>
      <c r="K675" s="278">
        <v>32436</v>
      </c>
      <c r="L675" s="278">
        <v>36107</v>
      </c>
      <c r="M675" s="278">
        <v>11401</v>
      </c>
      <c r="N675" s="278">
        <v>84390</v>
      </c>
      <c r="O675" s="278">
        <v>42070</v>
      </c>
      <c r="P675" s="278">
        <v>41811</v>
      </c>
      <c r="Q675" s="278">
        <v>69039</v>
      </c>
      <c r="R675" s="278">
        <v>32436</v>
      </c>
      <c r="S675" s="278">
        <v>36107</v>
      </c>
    </row>
    <row r="676" spans="1:19">
      <c r="A676" s="241" t="s">
        <v>3159</v>
      </c>
      <c r="B676" s="241" t="s">
        <v>5303</v>
      </c>
      <c r="C676" s="241" t="s">
        <v>3432</v>
      </c>
      <c r="D676" s="241" t="s">
        <v>3839</v>
      </c>
      <c r="E676" s="241" t="s">
        <v>3859</v>
      </c>
      <c r="F676" s="278">
        <v>20774</v>
      </c>
      <c r="G676" s="278">
        <v>77981</v>
      </c>
      <c r="H676" s="278">
        <v>24616</v>
      </c>
      <c r="I676" s="278">
        <v>53246</v>
      </c>
      <c r="J676" s="278">
        <v>52255</v>
      </c>
      <c r="K676" s="278">
        <v>15095</v>
      </c>
      <c r="L676" s="278">
        <v>37051</v>
      </c>
      <c r="M676" s="278">
        <v>20749</v>
      </c>
      <c r="N676" s="278">
        <v>77876</v>
      </c>
      <c r="O676" s="278">
        <v>24568</v>
      </c>
      <c r="P676" s="278">
        <v>53189</v>
      </c>
      <c r="Q676" s="278">
        <v>52150</v>
      </c>
      <c r="R676" s="278">
        <v>15047</v>
      </c>
      <c r="S676" s="278">
        <v>36994</v>
      </c>
    </row>
    <row r="677" spans="1:19">
      <c r="A677" s="241" t="s">
        <v>3159</v>
      </c>
      <c r="B677" s="241" t="s">
        <v>5303</v>
      </c>
      <c r="C677" s="241" t="s">
        <v>3172</v>
      </c>
      <c r="D677" s="241" t="s">
        <v>3839</v>
      </c>
      <c r="E677" s="241" t="s">
        <v>3860</v>
      </c>
      <c r="F677" s="278">
        <v>5584</v>
      </c>
      <c r="G677" s="278">
        <v>82418</v>
      </c>
      <c r="H677" s="278">
        <v>50856</v>
      </c>
      <c r="I677" s="278">
        <v>31463</v>
      </c>
      <c r="J677" s="278">
        <v>72962</v>
      </c>
      <c r="K677" s="278">
        <v>45013</v>
      </c>
      <c r="L677" s="278">
        <v>27853</v>
      </c>
      <c r="M677" s="278">
        <v>5266</v>
      </c>
      <c r="N677" s="278">
        <v>80575</v>
      </c>
      <c r="O677" s="278">
        <v>50131</v>
      </c>
      <c r="P677" s="278">
        <v>30345</v>
      </c>
      <c r="Q677" s="278">
        <v>71139</v>
      </c>
      <c r="R677" s="278">
        <v>44295</v>
      </c>
      <c r="S677" s="278">
        <v>26748</v>
      </c>
    </row>
    <row r="678" spans="1:19">
      <c r="A678" s="241" t="s">
        <v>3159</v>
      </c>
      <c r="B678" s="241" t="s">
        <v>5303</v>
      </c>
      <c r="C678" s="241" t="s">
        <v>3168</v>
      </c>
      <c r="D678" s="241" t="s">
        <v>3861</v>
      </c>
      <c r="E678" s="241" t="s">
        <v>3862</v>
      </c>
      <c r="F678" s="278">
        <v>485925</v>
      </c>
      <c r="G678" s="278">
        <v>8886182</v>
      </c>
      <c r="H678" s="278">
        <v>2409341</v>
      </c>
      <c r="I678" s="278">
        <v>6342320</v>
      </c>
      <c r="J678" s="278">
        <v>8204370</v>
      </c>
      <c r="K678" s="278">
        <v>2045778</v>
      </c>
      <c r="L678" s="278">
        <v>6043430</v>
      </c>
      <c r="M678" s="278">
        <v>462531</v>
      </c>
      <c r="N678" s="278">
        <v>8162398</v>
      </c>
      <c r="O678" s="278">
        <v>2258486</v>
      </c>
      <c r="P678" s="278">
        <v>5769391</v>
      </c>
      <c r="Q678" s="278">
        <v>7494649</v>
      </c>
      <c r="R678" s="278">
        <v>1896618</v>
      </c>
      <c r="S678" s="278">
        <v>5482869</v>
      </c>
    </row>
    <row r="679" spans="1:19">
      <c r="A679" s="241" t="s">
        <v>3159</v>
      </c>
      <c r="B679" s="241" t="s">
        <v>5303</v>
      </c>
      <c r="C679" s="241" t="s">
        <v>3170</v>
      </c>
      <c r="D679" s="241" t="s">
        <v>3861</v>
      </c>
      <c r="E679" s="241" t="s">
        <v>3863</v>
      </c>
      <c r="F679" s="278">
        <v>250960</v>
      </c>
      <c r="G679" s="278">
        <v>4296665</v>
      </c>
      <c r="H679" s="278">
        <v>1244134</v>
      </c>
      <c r="I679" s="278">
        <v>2943443</v>
      </c>
      <c r="J679" s="278">
        <v>3824872</v>
      </c>
      <c r="K679" s="278">
        <v>961626</v>
      </c>
      <c r="L679" s="278">
        <v>2769586</v>
      </c>
      <c r="M679" s="278">
        <v>249200</v>
      </c>
      <c r="N679" s="278">
        <v>4012468</v>
      </c>
      <c r="O679" s="278">
        <v>1165035</v>
      </c>
      <c r="P679" s="278">
        <v>2738345</v>
      </c>
      <c r="Q679" s="278">
        <v>3543115</v>
      </c>
      <c r="R679" s="278">
        <v>883517</v>
      </c>
      <c r="S679" s="278">
        <v>2565938</v>
      </c>
    </row>
    <row r="680" spans="1:19">
      <c r="A680" s="241" t="s">
        <v>3159</v>
      </c>
      <c r="B680" s="241" t="s">
        <v>5303</v>
      </c>
      <c r="C680" s="241" t="s">
        <v>3172</v>
      </c>
      <c r="D680" s="241" t="s">
        <v>3861</v>
      </c>
      <c r="E680" s="241" t="s">
        <v>3864</v>
      </c>
      <c r="F680" s="278">
        <v>773</v>
      </c>
      <c r="G680" s="278">
        <v>11772</v>
      </c>
      <c r="H680" s="278">
        <v>5820</v>
      </c>
      <c r="I680" s="278">
        <v>5502</v>
      </c>
      <c r="J680" s="278">
        <v>10077</v>
      </c>
      <c r="K680" s="278">
        <v>4786</v>
      </c>
      <c r="L680" s="278">
        <v>5121</v>
      </c>
      <c r="M680" s="278">
        <v>748</v>
      </c>
      <c r="N680" s="278">
        <v>10133</v>
      </c>
      <c r="O680" s="278">
        <v>5184</v>
      </c>
      <c r="P680" s="278">
        <v>4499</v>
      </c>
      <c r="Q680" s="278">
        <v>8438</v>
      </c>
      <c r="R680" s="278">
        <v>4150</v>
      </c>
      <c r="S680" s="278">
        <v>4118</v>
      </c>
    </row>
    <row r="681" spans="1:19">
      <c r="A681" s="241" t="s">
        <v>3159</v>
      </c>
      <c r="B681" s="241" t="s">
        <v>5303</v>
      </c>
      <c r="C681" s="241" t="s">
        <v>3172</v>
      </c>
      <c r="D681" s="241" t="s">
        <v>3861</v>
      </c>
      <c r="E681" s="241" t="s">
        <v>3865</v>
      </c>
      <c r="F681" s="278">
        <v>8341</v>
      </c>
      <c r="G681" s="278">
        <v>2403536</v>
      </c>
      <c r="H681" s="278">
        <v>687791</v>
      </c>
      <c r="I681" s="278">
        <v>1611755</v>
      </c>
      <c r="J681" s="278">
        <v>2330356</v>
      </c>
      <c r="K681" s="278">
        <v>650325</v>
      </c>
      <c r="L681" s="278">
        <v>1590667</v>
      </c>
      <c r="M681" s="278">
        <v>7596</v>
      </c>
      <c r="N681" s="278">
        <v>2129686</v>
      </c>
      <c r="O681" s="278">
        <v>611503</v>
      </c>
      <c r="P681" s="278">
        <v>1414193</v>
      </c>
      <c r="Q681" s="278">
        <v>2058669</v>
      </c>
      <c r="R681" s="278">
        <v>574979</v>
      </c>
      <c r="S681" s="278">
        <v>1394326</v>
      </c>
    </row>
    <row r="682" spans="1:19">
      <c r="A682" s="241" t="s">
        <v>3159</v>
      </c>
      <c r="B682" s="241" t="s">
        <v>5303</v>
      </c>
      <c r="C682" s="241" t="s">
        <v>3172</v>
      </c>
      <c r="D682" s="241" t="s">
        <v>3861</v>
      </c>
      <c r="E682" s="241" t="s">
        <v>3866</v>
      </c>
      <c r="F682" s="278">
        <v>82728</v>
      </c>
      <c r="G682" s="278">
        <v>1047032</v>
      </c>
      <c r="H682" s="278">
        <v>259455</v>
      </c>
      <c r="I682" s="278">
        <v>786383</v>
      </c>
      <c r="J682" s="278">
        <v>859095</v>
      </c>
      <c r="K682" s="278">
        <v>156235</v>
      </c>
      <c r="L682" s="278">
        <v>701931</v>
      </c>
      <c r="M682" s="278">
        <v>81901</v>
      </c>
      <c r="N682" s="278">
        <v>1039402</v>
      </c>
      <c r="O682" s="278">
        <v>257439</v>
      </c>
      <c r="P682" s="278">
        <v>780769</v>
      </c>
      <c r="Q682" s="278">
        <v>851705</v>
      </c>
      <c r="R682" s="278">
        <v>154263</v>
      </c>
      <c r="S682" s="278">
        <v>696513</v>
      </c>
    </row>
    <row r="683" spans="1:19">
      <c r="A683" s="241" t="s">
        <v>3159</v>
      </c>
      <c r="B683" s="241" t="s">
        <v>5303</v>
      </c>
      <c r="C683" s="241" t="s">
        <v>3172</v>
      </c>
      <c r="D683" s="241" t="s">
        <v>3861</v>
      </c>
      <c r="E683" s="241" t="s">
        <v>3867</v>
      </c>
      <c r="F683" s="278">
        <v>64655</v>
      </c>
      <c r="G683" s="278">
        <v>456159</v>
      </c>
      <c r="H683" s="278">
        <v>120530</v>
      </c>
      <c r="I683" s="278">
        <v>335337</v>
      </c>
      <c r="J683" s="278">
        <v>353588</v>
      </c>
      <c r="K683" s="278">
        <v>54297</v>
      </c>
      <c r="L683" s="278">
        <v>299046</v>
      </c>
      <c r="M683" s="278">
        <v>64576</v>
      </c>
      <c r="N683" s="278">
        <v>455809</v>
      </c>
      <c r="O683" s="278">
        <v>120447</v>
      </c>
      <c r="P683" s="278">
        <v>335070</v>
      </c>
      <c r="Q683" s="278">
        <v>353268</v>
      </c>
      <c r="R683" s="278">
        <v>54218</v>
      </c>
      <c r="S683" s="278">
        <v>298805</v>
      </c>
    </row>
    <row r="684" spans="1:19">
      <c r="A684" s="241" t="s">
        <v>3159</v>
      </c>
      <c r="B684" s="241" t="s">
        <v>5303</v>
      </c>
      <c r="C684" s="241" t="s">
        <v>3172</v>
      </c>
      <c r="D684" s="241" t="s">
        <v>3861</v>
      </c>
      <c r="E684" s="241" t="s">
        <v>3868</v>
      </c>
      <c r="F684" s="278">
        <v>8146</v>
      </c>
      <c r="G684" s="278">
        <v>97285</v>
      </c>
      <c r="H684" s="278">
        <v>20843</v>
      </c>
      <c r="I684" s="278">
        <v>73797</v>
      </c>
      <c r="J684" s="278">
        <v>90775</v>
      </c>
      <c r="K684" s="278">
        <v>18439</v>
      </c>
      <c r="L684" s="278">
        <v>69834</v>
      </c>
      <c r="M684" s="278">
        <v>8064</v>
      </c>
      <c r="N684" s="278">
        <v>96578</v>
      </c>
      <c r="O684" s="278">
        <v>20778</v>
      </c>
      <c r="P684" s="278">
        <v>73155</v>
      </c>
      <c r="Q684" s="278">
        <v>90075</v>
      </c>
      <c r="R684" s="278">
        <v>18374</v>
      </c>
      <c r="S684" s="278">
        <v>69199</v>
      </c>
    </row>
    <row r="685" spans="1:19">
      <c r="A685" s="241" t="s">
        <v>3159</v>
      </c>
      <c r="B685" s="241" t="s">
        <v>5303</v>
      </c>
      <c r="C685" s="241" t="s">
        <v>3432</v>
      </c>
      <c r="D685" s="241" t="s">
        <v>3861</v>
      </c>
      <c r="E685" s="241" t="s">
        <v>3869</v>
      </c>
      <c r="F685" s="278">
        <v>503</v>
      </c>
      <c r="G685" s="278">
        <v>1632</v>
      </c>
      <c r="H685" s="278">
        <v>91</v>
      </c>
      <c r="I685" s="278">
        <v>1537</v>
      </c>
      <c r="J685" s="278">
        <v>856</v>
      </c>
      <c r="K685" s="278">
        <v>40</v>
      </c>
      <c r="L685" s="278">
        <v>812</v>
      </c>
      <c r="M685" s="278">
        <v>500</v>
      </c>
      <c r="N685" s="278">
        <v>1615</v>
      </c>
      <c r="O685" s="278">
        <v>91</v>
      </c>
      <c r="P685" s="278">
        <v>1520</v>
      </c>
      <c r="Q685" s="278">
        <v>839</v>
      </c>
      <c r="R685" s="278">
        <v>40</v>
      </c>
      <c r="S685" s="278">
        <v>795</v>
      </c>
    </row>
    <row r="686" spans="1:19">
      <c r="A686" s="241" t="s">
        <v>3159</v>
      </c>
      <c r="B686" s="241" t="s">
        <v>5303</v>
      </c>
      <c r="C686" s="241" t="s">
        <v>3432</v>
      </c>
      <c r="D686" s="241" t="s">
        <v>3861</v>
      </c>
      <c r="E686" s="241" t="s">
        <v>3870</v>
      </c>
      <c r="F686" s="278">
        <v>7643</v>
      </c>
      <c r="G686" s="278">
        <v>95653</v>
      </c>
      <c r="H686" s="278">
        <v>20752</v>
      </c>
      <c r="I686" s="278">
        <v>72260</v>
      </c>
      <c r="J686" s="278">
        <v>89919</v>
      </c>
      <c r="K686" s="278">
        <v>18399</v>
      </c>
      <c r="L686" s="278">
        <v>69022</v>
      </c>
      <c r="M686" s="278">
        <v>7564</v>
      </c>
      <c r="N686" s="278">
        <v>94963</v>
      </c>
      <c r="O686" s="278">
        <v>20687</v>
      </c>
      <c r="P686" s="278">
        <v>71635</v>
      </c>
      <c r="Q686" s="278">
        <v>89236</v>
      </c>
      <c r="R686" s="278">
        <v>18334</v>
      </c>
      <c r="S686" s="278">
        <v>68404</v>
      </c>
    </row>
    <row r="687" spans="1:19">
      <c r="A687" s="241" t="s">
        <v>3159</v>
      </c>
      <c r="B687" s="241" t="s">
        <v>5303</v>
      </c>
      <c r="C687" s="241" t="s">
        <v>3172</v>
      </c>
      <c r="D687" s="241" t="s">
        <v>3861</v>
      </c>
      <c r="E687" s="241" t="s">
        <v>3871</v>
      </c>
      <c r="F687" s="278">
        <v>78918</v>
      </c>
      <c r="G687" s="278">
        <v>203189</v>
      </c>
      <c r="H687" s="278">
        <v>111298</v>
      </c>
      <c r="I687" s="278">
        <v>91446</v>
      </c>
      <c r="J687" s="278">
        <v>113152</v>
      </c>
      <c r="K687" s="278">
        <v>46209</v>
      </c>
      <c r="L687" s="278">
        <v>66560</v>
      </c>
      <c r="M687" s="278">
        <v>78918</v>
      </c>
      <c r="N687" s="278">
        <v>203189</v>
      </c>
      <c r="O687" s="278">
        <v>111298</v>
      </c>
      <c r="P687" s="278">
        <v>91446</v>
      </c>
      <c r="Q687" s="278">
        <v>113152</v>
      </c>
      <c r="R687" s="278">
        <v>46209</v>
      </c>
      <c r="S687" s="278">
        <v>66560</v>
      </c>
    </row>
    <row r="688" spans="1:19">
      <c r="A688" s="241" t="s">
        <v>3159</v>
      </c>
      <c r="B688" s="241" t="s">
        <v>5303</v>
      </c>
      <c r="C688" s="241" t="s">
        <v>3172</v>
      </c>
      <c r="D688" s="241" t="s">
        <v>3861</v>
      </c>
      <c r="E688" s="241" t="s">
        <v>3872</v>
      </c>
      <c r="F688" s="278">
        <v>7399</v>
      </c>
      <c r="G688" s="278">
        <v>77692</v>
      </c>
      <c r="H688" s="278">
        <v>38397</v>
      </c>
      <c r="I688" s="278">
        <v>39223</v>
      </c>
      <c r="J688" s="278">
        <v>67829</v>
      </c>
      <c r="K688" s="278">
        <v>31335</v>
      </c>
      <c r="L688" s="278">
        <v>36427</v>
      </c>
      <c r="M688" s="278">
        <v>7397</v>
      </c>
      <c r="N688" s="278">
        <v>77671</v>
      </c>
      <c r="O688" s="278">
        <v>38386</v>
      </c>
      <c r="P688" s="278">
        <v>39213</v>
      </c>
      <c r="Q688" s="278">
        <v>67808</v>
      </c>
      <c r="R688" s="278">
        <v>31324</v>
      </c>
      <c r="S688" s="278">
        <v>36417</v>
      </c>
    </row>
    <row r="689" spans="1:19">
      <c r="A689" s="241" t="s">
        <v>3159</v>
      </c>
      <c r="B689" s="241" t="s">
        <v>5303</v>
      </c>
      <c r="C689" s="241" t="s">
        <v>3432</v>
      </c>
      <c r="D689" s="241" t="s">
        <v>3861</v>
      </c>
      <c r="E689" s="241" t="s">
        <v>3873</v>
      </c>
      <c r="F689" s="278">
        <v>5452</v>
      </c>
      <c r="G689" s="278">
        <v>25452</v>
      </c>
      <c r="H689" s="278">
        <v>15917</v>
      </c>
      <c r="I689" s="278">
        <v>9495</v>
      </c>
      <c r="J689" s="278">
        <v>17955</v>
      </c>
      <c r="K689" s="278">
        <v>10285</v>
      </c>
      <c r="L689" s="278">
        <v>7635</v>
      </c>
      <c r="M689" s="278">
        <v>5452</v>
      </c>
      <c r="N689" s="278">
        <v>25452</v>
      </c>
      <c r="O689" s="278">
        <v>15917</v>
      </c>
      <c r="P689" s="278">
        <v>9495</v>
      </c>
      <c r="Q689" s="278">
        <v>17955</v>
      </c>
      <c r="R689" s="278">
        <v>10285</v>
      </c>
      <c r="S689" s="278">
        <v>7635</v>
      </c>
    </row>
    <row r="690" spans="1:19">
      <c r="A690" s="241" t="s">
        <v>3159</v>
      </c>
      <c r="B690" s="241" t="s">
        <v>5303</v>
      </c>
      <c r="C690" s="241" t="s">
        <v>3432</v>
      </c>
      <c r="D690" s="241" t="s">
        <v>3861</v>
      </c>
      <c r="E690" s="241" t="s">
        <v>3874</v>
      </c>
      <c r="F690" s="278">
        <v>1947</v>
      </c>
      <c r="G690" s="278">
        <v>52240</v>
      </c>
      <c r="H690" s="278">
        <v>22480</v>
      </c>
      <c r="I690" s="278">
        <v>29728</v>
      </c>
      <c r="J690" s="278">
        <v>49874</v>
      </c>
      <c r="K690" s="278">
        <v>21050</v>
      </c>
      <c r="L690" s="278">
        <v>28792</v>
      </c>
      <c r="M690" s="278">
        <v>1945</v>
      </c>
      <c r="N690" s="278">
        <v>52219</v>
      </c>
      <c r="O690" s="278">
        <v>22469</v>
      </c>
      <c r="P690" s="278">
        <v>29718</v>
      </c>
      <c r="Q690" s="278">
        <v>49853</v>
      </c>
      <c r="R690" s="278">
        <v>21039</v>
      </c>
      <c r="S690" s="278">
        <v>28782</v>
      </c>
    </row>
    <row r="691" spans="1:19">
      <c r="A691" s="241" t="s">
        <v>3159</v>
      </c>
      <c r="B691" s="241" t="s">
        <v>5303</v>
      </c>
      <c r="C691" s="241" t="s">
        <v>3170</v>
      </c>
      <c r="D691" s="241" t="s">
        <v>3861</v>
      </c>
      <c r="E691" s="241" t="s">
        <v>3875</v>
      </c>
      <c r="F691" s="278">
        <v>5171</v>
      </c>
      <c r="G691" s="278">
        <v>166904</v>
      </c>
      <c r="H691" s="278">
        <v>49849</v>
      </c>
      <c r="I691" s="278">
        <v>114724</v>
      </c>
      <c r="J691" s="278">
        <v>150771</v>
      </c>
      <c r="K691" s="278">
        <v>44450</v>
      </c>
      <c r="L691" s="278">
        <v>104181</v>
      </c>
      <c r="M691" s="278">
        <v>2855</v>
      </c>
      <c r="N691" s="278">
        <v>88147</v>
      </c>
      <c r="O691" s="278">
        <v>27637</v>
      </c>
      <c r="P691" s="278">
        <v>58179</v>
      </c>
      <c r="Q691" s="278">
        <v>73801</v>
      </c>
      <c r="R691" s="278">
        <v>22496</v>
      </c>
      <c r="S691" s="278">
        <v>49165</v>
      </c>
    </row>
    <row r="692" spans="1:19">
      <c r="A692" s="241" t="s">
        <v>3159</v>
      </c>
      <c r="B692" s="241" t="s">
        <v>5303</v>
      </c>
      <c r="C692" s="241" t="s">
        <v>3172</v>
      </c>
      <c r="D692" s="241" t="s">
        <v>3861</v>
      </c>
      <c r="E692" s="241" t="s">
        <v>3876</v>
      </c>
      <c r="F692" s="278">
        <v>17</v>
      </c>
      <c r="G692" s="278">
        <v>312</v>
      </c>
      <c r="H692" s="278">
        <v>141</v>
      </c>
      <c r="I692" s="278">
        <v>171</v>
      </c>
      <c r="J692" s="278">
        <v>286</v>
      </c>
      <c r="K692" s="278">
        <v>117</v>
      </c>
      <c r="L692" s="278">
        <v>169</v>
      </c>
      <c r="M692" s="278">
        <v>16</v>
      </c>
      <c r="N692" s="278">
        <v>311</v>
      </c>
      <c r="O692" s="278">
        <v>140</v>
      </c>
      <c r="P692" s="278">
        <v>171</v>
      </c>
      <c r="Q692" s="278">
        <v>285</v>
      </c>
      <c r="R692" s="278">
        <v>116</v>
      </c>
      <c r="S692" s="278">
        <v>169</v>
      </c>
    </row>
    <row r="693" spans="1:19">
      <c r="A693" s="241" t="s">
        <v>3159</v>
      </c>
      <c r="B693" s="241" t="s">
        <v>5303</v>
      </c>
      <c r="C693" s="241" t="s">
        <v>3172</v>
      </c>
      <c r="D693" s="241" t="s">
        <v>3861</v>
      </c>
      <c r="E693" s="241" t="s">
        <v>3877</v>
      </c>
      <c r="F693" s="278">
        <v>557</v>
      </c>
      <c r="G693" s="278">
        <v>32058</v>
      </c>
      <c r="H693" s="278">
        <v>11099</v>
      </c>
      <c r="I693" s="278">
        <v>20959</v>
      </c>
      <c r="J693" s="278">
        <v>31630</v>
      </c>
      <c r="K693" s="278">
        <v>10961</v>
      </c>
      <c r="L693" s="278">
        <v>20669</v>
      </c>
      <c r="M693" s="279" t="s">
        <v>5304</v>
      </c>
      <c r="N693" s="279" t="s">
        <v>5304</v>
      </c>
      <c r="O693" s="279" t="s">
        <v>5304</v>
      </c>
      <c r="P693" s="279" t="s">
        <v>5304</v>
      </c>
      <c r="Q693" s="279" t="s">
        <v>5304</v>
      </c>
      <c r="R693" s="279" t="s">
        <v>5304</v>
      </c>
      <c r="S693" s="279" t="s">
        <v>5304</v>
      </c>
    </row>
    <row r="694" spans="1:19">
      <c r="A694" s="241" t="s">
        <v>3159</v>
      </c>
      <c r="B694" s="241" t="s">
        <v>5303</v>
      </c>
      <c r="C694" s="241" t="s">
        <v>3172</v>
      </c>
      <c r="D694" s="241" t="s">
        <v>3861</v>
      </c>
      <c r="E694" s="241" t="s">
        <v>3878</v>
      </c>
      <c r="F694" s="278">
        <v>3829</v>
      </c>
      <c r="G694" s="278">
        <v>121715</v>
      </c>
      <c r="H694" s="278">
        <v>31316</v>
      </c>
      <c r="I694" s="278">
        <v>88068</v>
      </c>
      <c r="J694" s="278">
        <v>106567</v>
      </c>
      <c r="K694" s="278">
        <v>26473</v>
      </c>
      <c r="L694" s="278">
        <v>77954</v>
      </c>
      <c r="M694" s="278">
        <v>2437</v>
      </c>
      <c r="N694" s="278">
        <v>81448</v>
      </c>
      <c r="O694" s="278">
        <v>23956</v>
      </c>
      <c r="P694" s="278">
        <v>55161</v>
      </c>
      <c r="Q694" s="278">
        <v>67626</v>
      </c>
      <c r="R694" s="278">
        <v>19223</v>
      </c>
      <c r="S694" s="278">
        <v>46263</v>
      </c>
    </row>
    <row r="695" spans="1:19">
      <c r="A695" s="241" t="s">
        <v>3159</v>
      </c>
      <c r="B695" s="241" t="s">
        <v>5303</v>
      </c>
      <c r="C695" s="241" t="s">
        <v>3172</v>
      </c>
      <c r="D695" s="241" t="s">
        <v>3861</v>
      </c>
      <c r="E695" s="241" t="s">
        <v>3879</v>
      </c>
      <c r="F695" s="278">
        <v>768</v>
      </c>
      <c r="G695" s="278">
        <v>12819</v>
      </c>
      <c r="H695" s="278">
        <v>7293</v>
      </c>
      <c r="I695" s="278">
        <v>5526</v>
      </c>
      <c r="J695" s="278">
        <v>12288</v>
      </c>
      <c r="K695" s="278">
        <v>6899</v>
      </c>
      <c r="L695" s="278">
        <v>5389</v>
      </c>
      <c r="M695" s="278">
        <v>402</v>
      </c>
      <c r="N695" s="278">
        <v>6388</v>
      </c>
      <c r="O695" s="278">
        <v>3541</v>
      </c>
      <c r="P695" s="278">
        <v>2847</v>
      </c>
      <c r="Q695" s="278">
        <v>5890</v>
      </c>
      <c r="R695" s="278">
        <v>3157</v>
      </c>
      <c r="S695" s="278">
        <v>2733</v>
      </c>
    </row>
    <row r="696" spans="1:19">
      <c r="A696" s="241" t="s">
        <v>3159</v>
      </c>
      <c r="B696" s="241" t="s">
        <v>5303</v>
      </c>
      <c r="C696" s="241" t="s">
        <v>3170</v>
      </c>
      <c r="D696" s="241" t="s">
        <v>3861</v>
      </c>
      <c r="E696" s="241" t="s">
        <v>3880</v>
      </c>
      <c r="F696" s="278">
        <v>229768</v>
      </c>
      <c r="G696" s="278">
        <v>4422372</v>
      </c>
      <c r="H696" s="278">
        <v>1115254</v>
      </c>
      <c r="I696" s="278">
        <v>3284017</v>
      </c>
      <c r="J696" s="278">
        <v>4228512</v>
      </c>
      <c r="K696" s="278">
        <v>1039613</v>
      </c>
      <c r="L696" s="278">
        <v>3169538</v>
      </c>
      <c r="M696" s="278">
        <v>210450</v>
      </c>
      <c r="N696" s="278">
        <v>4061542</v>
      </c>
      <c r="O696" s="278">
        <v>1065710</v>
      </c>
      <c r="P696" s="278">
        <v>2972731</v>
      </c>
      <c r="Q696" s="278">
        <v>3877518</v>
      </c>
      <c r="R696" s="278">
        <v>990516</v>
      </c>
      <c r="S696" s="278">
        <v>2867641</v>
      </c>
    </row>
    <row r="697" spans="1:19">
      <c r="A697" s="241" t="s">
        <v>3159</v>
      </c>
      <c r="B697" s="241" t="s">
        <v>5303</v>
      </c>
      <c r="C697" s="241" t="s">
        <v>3172</v>
      </c>
      <c r="D697" s="241" t="s">
        <v>3861</v>
      </c>
      <c r="E697" s="241" t="s">
        <v>3881</v>
      </c>
      <c r="F697" s="278">
        <v>2795</v>
      </c>
      <c r="G697" s="278">
        <v>23668</v>
      </c>
      <c r="H697" s="278">
        <v>10886</v>
      </c>
      <c r="I697" s="278">
        <v>12707</v>
      </c>
      <c r="J697" s="278">
        <v>19532</v>
      </c>
      <c r="K697" s="278">
        <v>8011</v>
      </c>
      <c r="L697" s="278">
        <v>11459</v>
      </c>
      <c r="M697" s="278">
        <v>2791</v>
      </c>
      <c r="N697" s="278">
        <v>23643</v>
      </c>
      <c r="O697" s="278">
        <v>10870</v>
      </c>
      <c r="P697" s="278">
        <v>12698</v>
      </c>
      <c r="Q697" s="278">
        <v>19507</v>
      </c>
      <c r="R697" s="278">
        <v>7995</v>
      </c>
      <c r="S697" s="278">
        <v>11450</v>
      </c>
    </row>
    <row r="698" spans="1:19">
      <c r="A698" s="241" t="s">
        <v>3159</v>
      </c>
      <c r="B698" s="241" t="s">
        <v>5303</v>
      </c>
      <c r="C698" s="241" t="s">
        <v>3172</v>
      </c>
      <c r="D698" s="241" t="s">
        <v>3861</v>
      </c>
      <c r="E698" s="241" t="s">
        <v>3882</v>
      </c>
      <c r="F698" s="278">
        <v>3016</v>
      </c>
      <c r="G698" s="278">
        <v>57667</v>
      </c>
      <c r="H698" s="278">
        <v>26120</v>
      </c>
      <c r="I698" s="278">
        <v>31544</v>
      </c>
      <c r="J698" s="278">
        <v>54821</v>
      </c>
      <c r="K698" s="278">
        <v>23582</v>
      </c>
      <c r="L698" s="278">
        <v>31236</v>
      </c>
      <c r="M698" s="278">
        <v>2969</v>
      </c>
      <c r="N698" s="278">
        <v>56922</v>
      </c>
      <c r="O698" s="278">
        <v>25845</v>
      </c>
      <c r="P698" s="278">
        <v>31074</v>
      </c>
      <c r="Q698" s="278">
        <v>54080</v>
      </c>
      <c r="R698" s="278">
        <v>23307</v>
      </c>
      <c r="S698" s="278">
        <v>30770</v>
      </c>
    </row>
    <row r="699" spans="1:19">
      <c r="A699" s="241" t="s">
        <v>3159</v>
      </c>
      <c r="B699" s="241" t="s">
        <v>5303</v>
      </c>
      <c r="C699" s="241" t="s">
        <v>3172</v>
      </c>
      <c r="D699" s="241" t="s">
        <v>3861</v>
      </c>
      <c r="E699" s="241" t="s">
        <v>3883</v>
      </c>
      <c r="F699" s="278">
        <v>629</v>
      </c>
      <c r="G699" s="278">
        <v>46304</v>
      </c>
      <c r="H699" s="278">
        <v>19211</v>
      </c>
      <c r="I699" s="278">
        <v>27093</v>
      </c>
      <c r="J699" s="278">
        <v>46015</v>
      </c>
      <c r="K699" s="278">
        <v>19189</v>
      </c>
      <c r="L699" s="278">
        <v>26826</v>
      </c>
      <c r="M699" s="279" t="s">
        <v>5304</v>
      </c>
      <c r="N699" s="279" t="s">
        <v>5304</v>
      </c>
      <c r="O699" s="279" t="s">
        <v>5304</v>
      </c>
      <c r="P699" s="279" t="s">
        <v>5304</v>
      </c>
      <c r="Q699" s="279" t="s">
        <v>5304</v>
      </c>
      <c r="R699" s="279" t="s">
        <v>5304</v>
      </c>
      <c r="S699" s="279" t="s">
        <v>5304</v>
      </c>
    </row>
    <row r="700" spans="1:19">
      <c r="A700" s="241" t="s">
        <v>3159</v>
      </c>
      <c r="B700" s="241" t="s">
        <v>5303</v>
      </c>
      <c r="C700" s="241" t="s">
        <v>3172</v>
      </c>
      <c r="D700" s="241" t="s">
        <v>3861</v>
      </c>
      <c r="E700" s="241" t="s">
        <v>3884</v>
      </c>
      <c r="F700" s="278">
        <v>68844</v>
      </c>
      <c r="G700" s="278">
        <v>1133473</v>
      </c>
      <c r="H700" s="278">
        <v>137618</v>
      </c>
      <c r="I700" s="278">
        <v>990995</v>
      </c>
      <c r="J700" s="278">
        <v>1081293</v>
      </c>
      <c r="K700" s="278">
        <v>123244</v>
      </c>
      <c r="L700" s="278">
        <v>953771</v>
      </c>
      <c r="M700" s="278">
        <v>52741</v>
      </c>
      <c r="N700" s="278">
        <v>853546</v>
      </c>
      <c r="O700" s="278">
        <v>117915</v>
      </c>
      <c r="P700" s="278">
        <v>730771</v>
      </c>
      <c r="Q700" s="278">
        <v>810456</v>
      </c>
      <c r="R700" s="278">
        <v>103852</v>
      </c>
      <c r="S700" s="278">
        <v>702326</v>
      </c>
    </row>
    <row r="701" spans="1:19">
      <c r="A701" s="241" t="s">
        <v>3159</v>
      </c>
      <c r="B701" s="241" t="s">
        <v>5303</v>
      </c>
      <c r="C701" s="241" t="s">
        <v>3432</v>
      </c>
      <c r="D701" s="241" t="s">
        <v>3861</v>
      </c>
      <c r="E701" s="241" t="s">
        <v>3885</v>
      </c>
      <c r="F701" s="278">
        <v>35473</v>
      </c>
      <c r="G701" s="278">
        <v>770122</v>
      </c>
      <c r="H701" s="278">
        <v>54584</v>
      </c>
      <c r="I701" s="278">
        <v>713609</v>
      </c>
      <c r="J701" s="278">
        <v>739895</v>
      </c>
      <c r="K701" s="278">
        <v>47296</v>
      </c>
      <c r="L701" s="278">
        <v>690772</v>
      </c>
      <c r="M701" s="278">
        <v>28105</v>
      </c>
      <c r="N701" s="278">
        <v>570005</v>
      </c>
      <c r="O701" s="278">
        <v>48156</v>
      </c>
      <c r="P701" s="278">
        <v>519920</v>
      </c>
      <c r="Q701" s="278">
        <v>546410</v>
      </c>
      <c r="R701" s="278">
        <v>41016</v>
      </c>
      <c r="S701" s="278">
        <v>503567</v>
      </c>
    </row>
    <row r="702" spans="1:19">
      <c r="A702" s="241" t="s">
        <v>3159</v>
      </c>
      <c r="B702" s="241" t="s">
        <v>5303</v>
      </c>
      <c r="C702" s="241" t="s">
        <v>3432</v>
      </c>
      <c r="D702" s="241" t="s">
        <v>3861</v>
      </c>
      <c r="E702" s="241" t="s">
        <v>3886</v>
      </c>
      <c r="F702" s="278">
        <v>33371</v>
      </c>
      <c r="G702" s="278">
        <v>363351</v>
      </c>
      <c r="H702" s="278">
        <v>83034</v>
      </c>
      <c r="I702" s="278">
        <v>277386</v>
      </c>
      <c r="J702" s="278">
        <v>341398</v>
      </c>
      <c r="K702" s="278">
        <v>75948</v>
      </c>
      <c r="L702" s="278">
        <v>262999</v>
      </c>
      <c r="M702" s="278">
        <v>24636</v>
      </c>
      <c r="N702" s="278">
        <v>283541</v>
      </c>
      <c r="O702" s="278">
        <v>69759</v>
      </c>
      <c r="P702" s="278">
        <v>210851</v>
      </c>
      <c r="Q702" s="278">
        <v>264046</v>
      </c>
      <c r="R702" s="278">
        <v>62836</v>
      </c>
      <c r="S702" s="278">
        <v>198759</v>
      </c>
    </row>
    <row r="703" spans="1:19">
      <c r="A703" s="241" t="s">
        <v>3159</v>
      </c>
      <c r="B703" s="241" t="s">
        <v>5303</v>
      </c>
      <c r="C703" s="241" t="s">
        <v>3172</v>
      </c>
      <c r="D703" s="241" t="s">
        <v>3861</v>
      </c>
      <c r="E703" s="241" t="s">
        <v>3887</v>
      </c>
      <c r="F703" s="278">
        <v>113437</v>
      </c>
      <c r="G703" s="278">
        <v>2540897</v>
      </c>
      <c r="H703" s="278">
        <v>693131</v>
      </c>
      <c r="I703" s="278">
        <v>1832396</v>
      </c>
      <c r="J703" s="278">
        <v>2440838</v>
      </c>
      <c r="K703" s="278">
        <v>653531</v>
      </c>
      <c r="L703" s="278">
        <v>1774832</v>
      </c>
      <c r="M703" s="278">
        <v>112153</v>
      </c>
      <c r="N703" s="278">
        <v>2521238</v>
      </c>
      <c r="O703" s="278">
        <v>687945</v>
      </c>
      <c r="P703" s="278">
        <v>1817923</v>
      </c>
      <c r="Q703" s="278">
        <v>2421458</v>
      </c>
      <c r="R703" s="278">
        <v>648400</v>
      </c>
      <c r="S703" s="278">
        <v>1760583</v>
      </c>
    </row>
    <row r="704" spans="1:19">
      <c r="A704" s="241" t="s">
        <v>3159</v>
      </c>
      <c r="B704" s="241" t="s">
        <v>5303</v>
      </c>
      <c r="C704" s="241" t="s">
        <v>3432</v>
      </c>
      <c r="D704" s="241" t="s">
        <v>3861</v>
      </c>
      <c r="E704" s="241" t="s">
        <v>3888</v>
      </c>
      <c r="F704" s="278">
        <v>9979</v>
      </c>
      <c r="G704" s="278">
        <v>647028</v>
      </c>
      <c r="H704" s="278">
        <v>206857</v>
      </c>
      <c r="I704" s="278">
        <v>435166</v>
      </c>
      <c r="J704" s="278">
        <v>634661</v>
      </c>
      <c r="K704" s="278">
        <v>201249</v>
      </c>
      <c r="L704" s="278">
        <v>430058</v>
      </c>
      <c r="M704" s="278">
        <v>9843</v>
      </c>
      <c r="N704" s="278">
        <v>640069</v>
      </c>
      <c r="O704" s="278">
        <v>204849</v>
      </c>
      <c r="P704" s="278">
        <v>430215</v>
      </c>
      <c r="Q704" s="278">
        <v>627737</v>
      </c>
      <c r="R704" s="278">
        <v>199246</v>
      </c>
      <c r="S704" s="278">
        <v>425137</v>
      </c>
    </row>
    <row r="705" spans="1:19">
      <c r="A705" s="241" t="s">
        <v>3159</v>
      </c>
      <c r="B705" s="241" t="s">
        <v>5303</v>
      </c>
      <c r="C705" s="241" t="s">
        <v>3432</v>
      </c>
      <c r="D705" s="241" t="s">
        <v>3861</v>
      </c>
      <c r="E705" s="241" t="s">
        <v>3889</v>
      </c>
      <c r="F705" s="278">
        <v>3755</v>
      </c>
      <c r="G705" s="278">
        <v>290999</v>
      </c>
      <c r="H705" s="278">
        <v>92083</v>
      </c>
      <c r="I705" s="278">
        <v>194680</v>
      </c>
      <c r="J705" s="278">
        <v>285217</v>
      </c>
      <c r="K705" s="278">
        <v>89577</v>
      </c>
      <c r="L705" s="278">
        <v>192054</v>
      </c>
      <c r="M705" s="278">
        <v>3672</v>
      </c>
      <c r="N705" s="278">
        <v>287150</v>
      </c>
      <c r="O705" s="278">
        <v>90940</v>
      </c>
      <c r="P705" s="278">
        <v>191974</v>
      </c>
      <c r="Q705" s="278">
        <v>281404</v>
      </c>
      <c r="R705" s="278">
        <v>88448</v>
      </c>
      <c r="S705" s="278">
        <v>189370</v>
      </c>
    </row>
    <row r="706" spans="1:19">
      <c r="A706" s="241" t="s">
        <v>3159</v>
      </c>
      <c r="B706" s="241" t="s">
        <v>5303</v>
      </c>
      <c r="C706" s="241" t="s">
        <v>3432</v>
      </c>
      <c r="D706" s="241" t="s">
        <v>3861</v>
      </c>
      <c r="E706" s="241" t="s">
        <v>3890</v>
      </c>
      <c r="F706" s="278">
        <v>38076</v>
      </c>
      <c r="G706" s="278">
        <v>596474</v>
      </c>
      <c r="H706" s="278">
        <v>161399</v>
      </c>
      <c r="I706" s="278">
        <v>433026</v>
      </c>
      <c r="J706" s="278">
        <v>565895</v>
      </c>
      <c r="K706" s="278">
        <v>147853</v>
      </c>
      <c r="L706" s="278">
        <v>416281</v>
      </c>
      <c r="M706" s="278">
        <v>38008</v>
      </c>
      <c r="N706" s="278">
        <v>595883</v>
      </c>
      <c r="O706" s="278">
        <v>161255</v>
      </c>
      <c r="P706" s="278">
        <v>432579</v>
      </c>
      <c r="Q706" s="278">
        <v>565336</v>
      </c>
      <c r="R706" s="278">
        <v>147712</v>
      </c>
      <c r="S706" s="278">
        <v>415863</v>
      </c>
    </row>
    <row r="707" spans="1:19">
      <c r="A707" s="241" t="s">
        <v>3159</v>
      </c>
      <c r="B707" s="241" t="s">
        <v>5303</v>
      </c>
      <c r="C707" s="241" t="s">
        <v>3432</v>
      </c>
      <c r="D707" s="241" t="s">
        <v>3861</v>
      </c>
      <c r="E707" s="241" t="s">
        <v>3891</v>
      </c>
      <c r="F707" s="278">
        <v>20238</v>
      </c>
      <c r="G707" s="278">
        <v>363689</v>
      </c>
      <c r="H707" s="278">
        <v>64393</v>
      </c>
      <c r="I707" s="278">
        <v>297979</v>
      </c>
      <c r="J707" s="278">
        <v>336856</v>
      </c>
      <c r="K707" s="278">
        <v>56567</v>
      </c>
      <c r="L707" s="278">
        <v>278997</v>
      </c>
      <c r="M707" s="278">
        <v>20211</v>
      </c>
      <c r="N707" s="278">
        <v>363520</v>
      </c>
      <c r="O707" s="278">
        <v>64380</v>
      </c>
      <c r="P707" s="278">
        <v>297823</v>
      </c>
      <c r="Q707" s="278">
        <v>336698</v>
      </c>
      <c r="R707" s="278">
        <v>56554</v>
      </c>
      <c r="S707" s="278">
        <v>278852</v>
      </c>
    </row>
    <row r="708" spans="1:19">
      <c r="A708" s="241" t="s">
        <v>3159</v>
      </c>
      <c r="B708" s="241" t="s">
        <v>5303</v>
      </c>
      <c r="C708" s="241" t="s">
        <v>3432</v>
      </c>
      <c r="D708" s="241" t="s">
        <v>3861</v>
      </c>
      <c r="E708" s="241" t="s">
        <v>3892</v>
      </c>
      <c r="F708" s="278">
        <v>11243</v>
      </c>
      <c r="G708" s="278">
        <v>200204</v>
      </c>
      <c r="H708" s="278">
        <v>49156</v>
      </c>
      <c r="I708" s="278">
        <v>150383</v>
      </c>
      <c r="J708" s="278">
        <v>192637</v>
      </c>
      <c r="K708" s="278">
        <v>45971</v>
      </c>
      <c r="L708" s="278">
        <v>146012</v>
      </c>
      <c r="M708" s="278">
        <v>11236</v>
      </c>
      <c r="N708" s="278">
        <v>200150</v>
      </c>
      <c r="O708" s="278">
        <v>49153</v>
      </c>
      <c r="P708" s="278">
        <v>150332</v>
      </c>
      <c r="Q708" s="278">
        <v>192583</v>
      </c>
      <c r="R708" s="278">
        <v>45968</v>
      </c>
      <c r="S708" s="278">
        <v>145961</v>
      </c>
    </row>
    <row r="709" spans="1:19">
      <c r="A709" s="241" t="s">
        <v>3159</v>
      </c>
      <c r="B709" s="241" t="s">
        <v>5303</v>
      </c>
      <c r="C709" s="241" t="s">
        <v>3432</v>
      </c>
      <c r="D709" s="241" t="s">
        <v>3861</v>
      </c>
      <c r="E709" s="241" t="s">
        <v>3893</v>
      </c>
      <c r="F709" s="278">
        <v>9792</v>
      </c>
      <c r="G709" s="278">
        <v>260793</v>
      </c>
      <c r="H709" s="278">
        <v>72326</v>
      </c>
      <c r="I709" s="278">
        <v>187486</v>
      </c>
      <c r="J709" s="278">
        <v>253918</v>
      </c>
      <c r="K709" s="278">
        <v>69245</v>
      </c>
      <c r="L709" s="278">
        <v>183699</v>
      </c>
      <c r="M709" s="278">
        <v>9792</v>
      </c>
      <c r="N709" s="278">
        <v>260793</v>
      </c>
      <c r="O709" s="278">
        <v>72326</v>
      </c>
      <c r="P709" s="278">
        <v>187486</v>
      </c>
      <c r="Q709" s="278">
        <v>253918</v>
      </c>
      <c r="R709" s="278">
        <v>69245</v>
      </c>
      <c r="S709" s="278">
        <v>183699</v>
      </c>
    </row>
    <row r="710" spans="1:19">
      <c r="A710" s="241" t="s">
        <v>3159</v>
      </c>
      <c r="B710" s="241" t="s">
        <v>5303</v>
      </c>
      <c r="C710" s="241" t="s">
        <v>3432</v>
      </c>
      <c r="D710" s="241" t="s">
        <v>3861</v>
      </c>
      <c r="E710" s="241" t="s">
        <v>3894</v>
      </c>
      <c r="F710" s="278">
        <v>20354</v>
      </c>
      <c r="G710" s="278">
        <v>181710</v>
      </c>
      <c r="H710" s="278">
        <v>46917</v>
      </c>
      <c r="I710" s="278">
        <v>133676</v>
      </c>
      <c r="J710" s="278">
        <v>171654</v>
      </c>
      <c r="K710" s="278">
        <v>43069</v>
      </c>
      <c r="L710" s="278">
        <v>127731</v>
      </c>
      <c r="M710" s="278">
        <v>19391</v>
      </c>
      <c r="N710" s="278">
        <v>173673</v>
      </c>
      <c r="O710" s="278">
        <v>45042</v>
      </c>
      <c r="P710" s="278">
        <v>127514</v>
      </c>
      <c r="Q710" s="278">
        <v>163782</v>
      </c>
      <c r="R710" s="278">
        <v>41227</v>
      </c>
      <c r="S710" s="278">
        <v>121701</v>
      </c>
    </row>
    <row r="711" spans="1:19">
      <c r="A711" s="241" t="s">
        <v>3159</v>
      </c>
      <c r="B711" s="241" t="s">
        <v>5303</v>
      </c>
      <c r="C711" s="241" t="s">
        <v>3172</v>
      </c>
      <c r="D711" s="241" t="s">
        <v>3861</v>
      </c>
      <c r="E711" s="241" t="s">
        <v>3895</v>
      </c>
      <c r="F711" s="278">
        <v>34999</v>
      </c>
      <c r="G711" s="278">
        <v>507394</v>
      </c>
      <c r="H711" s="278">
        <v>191444</v>
      </c>
      <c r="I711" s="278">
        <v>313649</v>
      </c>
      <c r="J711" s="278">
        <v>482158</v>
      </c>
      <c r="K711" s="278">
        <v>179614</v>
      </c>
      <c r="L711" s="278">
        <v>300467</v>
      </c>
      <c r="M711" s="278">
        <v>34689</v>
      </c>
      <c r="N711" s="278">
        <v>500246</v>
      </c>
      <c r="O711" s="278">
        <v>188797</v>
      </c>
      <c r="P711" s="278">
        <v>309148</v>
      </c>
      <c r="Q711" s="278">
        <v>475121</v>
      </c>
      <c r="R711" s="278">
        <v>177011</v>
      </c>
      <c r="S711" s="278">
        <v>296033</v>
      </c>
    </row>
    <row r="712" spans="1:19">
      <c r="A712" s="241" t="s">
        <v>3159</v>
      </c>
      <c r="B712" s="241" t="s">
        <v>5303</v>
      </c>
      <c r="C712" s="241" t="s">
        <v>3172</v>
      </c>
      <c r="D712" s="241" t="s">
        <v>3861</v>
      </c>
      <c r="E712" s="241" t="s">
        <v>3896</v>
      </c>
      <c r="F712" s="278">
        <v>6047</v>
      </c>
      <c r="G712" s="278">
        <v>112958</v>
      </c>
      <c r="H712" s="278">
        <v>36844</v>
      </c>
      <c r="I712" s="278">
        <v>75633</v>
      </c>
      <c r="J712" s="278">
        <v>103844</v>
      </c>
      <c r="K712" s="278">
        <v>32442</v>
      </c>
      <c r="L712" s="278">
        <v>70947</v>
      </c>
      <c r="M712" s="278">
        <v>5106</v>
      </c>
      <c r="N712" s="278">
        <v>105936</v>
      </c>
      <c r="O712" s="278">
        <v>34338</v>
      </c>
      <c r="P712" s="278">
        <v>71117</v>
      </c>
      <c r="Q712" s="278">
        <v>96885</v>
      </c>
      <c r="R712" s="278">
        <v>29951</v>
      </c>
      <c r="S712" s="278">
        <v>66479</v>
      </c>
    </row>
    <row r="713" spans="1:19">
      <c r="A713" s="241" t="s">
        <v>3159</v>
      </c>
      <c r="B713" s="241" t="s">
        <v>5303</v>
      </c>
      <c r="C713" s="241" t="s">
        <v>3432</v>
      </c>
      <c r="D713" s="241" t="s">
        <v>3861</v>
      </c>
      <c r="E713" s="241" t="s">
        <v>3897</v>
      </c>
      <c r="F713" s="278">
        <v>242</v>
      </c>
      <c r="G713" s="278">
        <v>1780</v>
      </c>
      <c r="H713" s="278">
        <v>1193</v>
      </c>
      <c r="I713" s="278">
        <v>580</v>
      </c>
      <c r="J713" s="278">
        <v>1542</v>
      </c>
      <c r="K713" s="278">
        <v>1005</v>
      </c>
      <c r="L713" s="278">
        <v>535</v>
      </c>
      <c r="M713" s="278">
        <v>241</v>
      </c>
      <c r="N713" s="278">
        <v>1777</v>
      </c>
      <c r="O713" s="278">
        <v>1191</v>
      </c>
      <c r="P713" s="278">
        <v>579</v>
      </c>
      <c r="Q713" s="278">
        <v>1539</v>
      </c>
      <c r="R713" s="278">
        <v>1003</v>
      </c>
      <c r="S713" s="278">
        <v>534</v>
      </c>
    </row>
    <row r="714" spans="1:19">
      <c r="A714" s="241" t="s">
        <v>3159</v>
      </c>
      <c r="B714" s="241" t="s">
        <v>5303</v>
      </c>
      <c r="C714" s="241" t="s">
        <v>3432</v>
      </c>
      <c r="D714" s="241" t="s">
        <v>3861</v>
      </c>
      <c r="E714" s="241" t="s">
        <v>3898</v>
      </c>
      <c r="F714" s="278">
        <v>5805</v>
      </c>
      <c r="G714" s="278">
        <v>111178</v>
      </c>
      <c r="H714" s="278">
        <v>35651</v>
      </c>
      <c r="I714" s="278">
        <v>75053</v>
      </c>
      <c r="J714" s="278">
        <v>102302</v>
      </c>
      <c r="K714" s="278">
        <v>31437</v>
      </c>
      <c r="L714" s="278">
        <v>70412</v>
      </c>
      <c r="M714" s="278">
        <v>4865</v>
      </c>
      <c r="N714" s="278">
        <v>104159</v>
      </c>
      <c r="O714" s="278">
        <v>33147</v>
      </c>
      <c r="P714" s="278">
        <v>70538</v>
      </c>
      <c r="Q714" s="278">
        <v>95346</v>
      </c>
      <c r="R714" s="278">
        <v>28948</v>
      </c>
      <c r="S714" s="278">
        <v>65945</v>
      </c>
    </row>
    <row r="715" spans="1:19">
      <c r="A715" s="241" t="s">
        <v>3159</v>
      </c>
      <c r="B715" s="241" t="s">
        <v>5303</v>
      </c>
      <c r="C715" s="241" t="s">
        <v>3168</v>
      </c>
      <c r="D715" s="241" t="s">
        <v>3899</v>
      </c>
      <c r="E715" s="241" t="s">
        <v>3900</v>
      </c>
      <c r="F715" s="278">
        <v>32161</v>
      </c>
      <c r="G715" s="278">
        <v>436032</v>
      </c>
      <c r="H715" s="278">
        <v>257534</v>
      </c>
      <c r="I715" s="278">
        <v>178047</v>
      </c>
      <c r="J715" s="278">
        <v>417195</v>
      </c>
      <c r="K715" s="278">
        <v>244981</v>
      </c>
      <c r="L715" s="278">
        <v>171810</v>
      </c>
      <c r="M715" s="278">
        <v>32131</v>
      </c>
      <c r="N715" s="278">
        <v>435970</v>
      </c>
      <c r="O715" s="278">
        <v>257514</v>
      </c>
      <c r="P715" s="278">
        <v>178005</v>
      </c>
      <c r="Q715" s="278">
        <v>417136</v>
      </c>
      <c r="R715" s="278">
        <v>244963</v>
      </c>
      <c r="S715" s="278">
        <v>171769</v>
      </c>
    </row>
    <row r="716" spans="1:19">
      <c r="A716" s="241" t="s">
        <v>3159</v>
      </c>
      <c r="B716" s="241" t="s">
        <v>5303</v>
      </c>
      <c r="C716" s="241" t="s">
        <v>3459</v>
      </c>
      <c r="D716" s="241" t="s">
        <v>3901</v>
      </c>
      <c r="E716" s="241" t="s">
        <v>3902</v>
      </c>
      <c r="F716" s="278">
        <v>23449</v>
      </c>
      <c r="G716" s="278">
        <v>285146</v>
      </c>
      <c r="H716" s="278">
        <v>172989</v>
      </c>
      <c r="I716" s="278">
        <v>112152</v>
      </c>
      <c r="J716" s="278">
        <v>277807</v>
      </c>
      <c r="K716" s="278">
        <v>170067</v>
      </c>
      <c r="L716" s="278">
        <v>107736</v>
      </c>
      <c r="M716" s="278">
        <v>23419</v>
      </c>
      <c r="N716" s="278">
        <v>285084</v>
      </c>
      <c r="O716" s="278">
        <v>172969</v>
      </c>
      <c r="P716" s="278">
        <v>112110</v>
      </c>
      <c r="Q716" s="278">
        <v>277748</v>
      </c>
      <c r="R716" s="278">
        <v>170049</v>
      </c>
      <c r="S716" s="278">
        <v>107695</v>
      </c>
    </row>
    <row r="717" spans="1:19">
      <c r="A717" s="241" t="s">
        <v>3159</v>
      </c>
      <c r="B717" s="241" t="s">
        <v>5303</v>
      </c>
      <c r="C717" s="241" t="s">
        <v>3170</v>
      </c>
      <c r="D717" s="241" t="s">
        <v>3901</v>
      </c>
      <c r="E717" s="241" t="s">
        <v>3903</v>
      </c>
      <c r="F717" s="278">
        <v>23449</v>
      </c>
      <c r="G717" s="278">
        <v>285146</v>
      </c>
      <c r="H717" s="278">
        <v>172989</v>
      </c>
      <c r="I717" s="278">
        <v>112152</v>
      </c>
      <c r="J717" s="278">
        <v>277807</v>
      </c>
      <c r="K717" s="278">
        <v>170067</v>
      </c>
      <c r="L717" s="278">
        <v>107736</v>
      </c>
      <c r="M717" s="278">
        <v>23419</v>
      </c>
      <c r="N717" s="278">
        <v>285084</v>
      </c>
      <c r="O717" s="278">
        <v>172969</v>
      </c>
      <c r="P717" s="278">
        <v>112110</v>
      </c>
      <c r="Q717" s="278">
        <v>277748</v>
      </c>
      <c r="R717" s="278">
        <v>170049</v>
      </c>
      <c r="S717" s="278">
        <v>107695</v>
      </c>
    </row>
    <row r="718" spans="1:19">
      <c r="A718" s="241" t="s">
        <v>3159</v>
      </c>
      <c r="B718" s="241" t="s">
        <v>5303</v>
      </c>
      <c r="C718" s="241" t="s">
        <v>3172</v>
      </c>
      <c r="D718" s="241" t="s">
        <v>3901</v>
      </c>
      <c r="E718" s="241" t="s">
        <v>3904</v>
      </c>
      <c r="F718" s="278">
        <v>99</v>
      </c>
      <c r="G718" s="278">
        <v>14029</v>
      </c>
      <c r="H718" s="278">
        <v>10460</v>
      </c>
      <c r="I718" s="278">
        <v>3569</v>
      </c>
      <c r="J718" s="278">
        <v>14029</v>
      </c>
      <c r="K718" s="278">
        <v>10460</v>
      </c>
      <c r="L718" s="278">
        <v>3569</v>
      </c>
      <c r="M718" s="278">
        <v>99</v>
      </c>
      <c r="N718" s="278">
        <v>14029</v>
      </c>
      <c r="O718" s="278">
        <v>10460</v>
      </c>
      <c r="P718" s="278">
        <v>3569</v>
      </c>
      <c r="Q718" s="278">
        <v>14029</v>
      </c>
      <c r="R718" s="278">
        <v>10460</v>
      </c>
      <c r="S718" s="278">
        <v>3569</v>
      </c>
    </row>
    <row r="719" spans="1:19">
      <c r="A719" s="241" t="s">
        <v>3159</v>
      </c>
      <c r="B719" s="241" t="s">
        <v>5303</v>
      </c>
      <c r="C719" s="241" t="s">
        <v>3172</v>
      </c>
      <c r="D719" s="241" t="s">
        <v>3901</v>
      </c>
      <c r="E719" s="241" t="s">
        <v>3905</v>
      </c>
      <c r="F719" s="278">
        <v>19813</v>
      </c>
      <c r="G719" s="278">
        <v>260588</v>
      </c>
      <c r="H719" s="278">
        <v>159766</v>
      </c>
      <c r="I719" s="278">
        <v>100821</v>
      </c>
      <c r="J719" s="278">
        <v>258424</v>
      </c>
      <c r="K719" s="278">
        <v>158468</v>
      </c>
      <c r="L719" s="278">
        <v>99955</v>
      </c>
      <c r="M719" s="278">
        <v>19813</v>
      </c>
      <c r="N719" s="278">
        <v>260588</v>
      </c>
      <c r="O719" s="278">
        <v>159766</v>
      </c>
      <c r="P719" s="278">
        <v>100821</v>
      </c>
      <c r="Q719" s="278">
        <v>258424</v>
      </c>
      <c r="R719" s="278">
        <v>158468</v>
      </c>
      <c r="S719" s="278">
        <v>99955</v>
      </c>
    </row>
    <row r="720" spans="1:19">
      <c r="A720" s="241" t="s">
        <v>3159</v>
      </c>
      <c r="B720" s="241" t="s">
        <v>5303</v>
      </c>
      <c r="C720" s="241" t="s">
        <v>3172</v>
      </c>
      <c r="D720" s="241" t="s">
        <v>3901</v>
      </c>
      <c r="E720" s="241" t="s">
        <v>3906</v>
      </c>
      <c r="F720" s="278">
        <v>3537</v>
      </c>
      <c r="G720" s="278">
        <v>10529</v>
      </c>
      <c r="H720" s="278">
        <v>2763</v>
      </c>
      <c r="I720" s="278">
        <v>7762</v>
      </c>
      <c r="J720" s="278">
        <v>5354</v>
      </c>
      <c r="K720" s="278">
        <v>1139</v>
      </c>
      <c r="L720" s="278">
        <v>4212</v>
      </c>
      <c r="M720" s="278">
        <v>3507</v>
      </c>
      <c r="N720" s="278">
        <v>10467</v>
      </c>
      <c r="O720" s="278">
        <v>2743</v>
      </c>
      <c r="P720" s="278">
        <v>7720</v>
      </c>
      <c r="Q720" s="278">
        <v>5295</v>
      </c>
      <c r="R720" s="278">
        <v>1121</v>
      </c>
      <c r="S720" s="278">
        <v>4171</v>
      </c>
    </row>
    <row r="721" spans="1:19">
      <c r="A721" s="241" t="s">
        <v>3159</v>
      </c>
      <c r="B721" s="241" t="s">
        <v>5303</v>
      </c>
      <c r="C721" s="241" t="s">
        <v>3459</v>
      </c>
      <c r="D721" s="241" t="s">
        <v>3907</v>
      </c>
      <c r="E721" s="241" t="s">
        <v>3908</v>
      </c>
      <c r="F721" s="278">
        <v>8712</v>
      </c>
      <c r="G721" s="278">
        <v>150886</v>
      </c>
      <c r="H721" s="278">
        <v>84545</v>
      </c>
      <c r="I721" s="278">
        <v>65895</v>
      </c>
      <c r="J721" s="278">
        <v>139388</v>
      </c>
      <c r="K721" s="278">
        <v>74914</v>
      </c>
      <c r="L721" s="278">
        <v>64074</v>
      </c>
      <c r="M721" s="278">
        <v>8712</v>
      </c>
      <c r="N721" s="278">
        <v>150886</v>
      </c>
      <c r="O721" s="278">
        <v>84545</v>
      </c>
      <c r="P721" s="278">
        <v>65895</v>
      </c>
      <c r="Q721" s="278">
        <v>139388</v>
      </c>
      <c r="R721" s="278">
        <v>74914</v>
      </c>
      <c r="S721" s="278">
        <v>64074</v>
      </c>
    </row>
    <row r="722" spans="1:19">
      <c r="A722" s="241" t="s">
        <v>3159</v>
      </c>
      <c r="B722" s="241" t="s">
        <v>5303</v>
      </c>
      <c r="C722" s="241" t="s">
        <v>3170</v>
      </c>
      <c r="D722" s="241" t="s">
        <v>3907</v>
      </c>
      <c r="E722" s="241" t="s">
        <v>3909</v>
      </c>
      <c r="F722" s="278">
        <v>8712</v>
      </c>
      <c r="G722" s="278">
        <v>150886</v>
      </c>
      <c r="H722" s="278">
        <v>84545</v>
      </c>
      <c r="I722" s="278">
        <v>65895</v>
      </c>
      <c r="J722" s="278">
        <v>139388</v>
      </c>
      <c r="K722" s="278">
        <v>74914</v>
      </c>
      <c r="L722" s="278">
        <v>64074</v>
      </c>
      <c r="M722" s="278">
        <v>8712</v>
      </c>
      <c r="N722" s="278">
        <v>150886</v>
      </c>
      <c r="O722" s="278">
        <v>84545</v>
      </c>
      <c r="P722" s="278">
        <v>65895</v>
      </c>
      <c r="Q722" s="278">
        <v>139388</v>
      </c>
      <c r="R722" s="278">
        <v>74914</v>
      </c>
      <c r="S722" s="278">
        <v>64074</v>
      </c>
    </row>
    <row r="723" spans="1:19">
      <c r="A723" s="241" t="s">
        <v>3159</v>
      </c>
      <c r="B723" s="241" t="s">
        <v>5303</v>
      </c>
      <c r="C723" s="241" t="s">
        <v>3172</v>
      </c>
      <c r="D723" s="241" t="s">
        <v>3907</v>
      </c>
      <c r="E723" s="241" t="s">
        <v>3910</v>
      </c>
      <c r="F723" s="278">
        <v>120</v>
      </c>
      <c r="G723" s="278">
        <v>5323</v>
      </c>
      <c r="H723" s="278">
        <v>3377</v>
      </c>
      <c r="I723" s="278">
        <v>1946</v>
      </c>
      <c r="J723" s="278">
        <v>4728</v>
      </c>
      <c r="K723" s="278">
        <v>2860</v>
      </c>
      <c r="L723" s="278">
        <v>1868</v>
      </c>
      <c r="M723" s="278">
        <v>120</v>
      </c>
      <c r="N723" s="278">
        <v>5323</v>
      </c>
      <c r="O723" s="278">
        <v>3377</v>
      </c>
      <c r="P723" s="278">
        <v>1946</v>
      </c>
      <c r="Q723" s="278">
        <v>4728</v>
      </c>
      <c r="R723" s="278">
        <v>2860</v>
      </c>
      <c r="S723" s="278">
        <v>1868</v>
      </c>
    </row>
    <row r="724" spans="1:19">
      <c r="A724" s="241" t="s">
        <v>3159</v>
      </c>
      <c r="B724" s="241" t="s">
        <v>5303</v>
      </c>
      <c r="C724" s="241" t="s">
        <v>3172</v>
      </c>
      <c r="D724" s="241" t="s">
        <v>3907</v>
      </c>
      <c r="E724" s="241" t="s">
        <v>3911</v>
      </c>
      <c r="F724" s="278">
        <v>7616</v>
      </c>
      <c r="G724" s="278">
        <v>141016</v>
      </c>
      <c r="H724" s="278">
        <v>78494</v>
      </c>
      <c r="I724" s="278">
        <v>62076</v>
      </c>
      <c r="J724" s="278">
        <v>131442</v>
      </c>
      <c r="K724" s="278">
        <v>70576</v>
      </c>
      <c r="L724" s="278">
        <v>60466</v>
      </c>
      <c r="M724" s="278">
        <v>7616</v>
      </c>
      <c r="N724" s="278">
        <v>141016</v>
      </c>
      <c r="O724" s="278">
        <v>78494</v>
      </c>
      <c r="P724" s="278">
        <v>62076</v>
      </c>
      <c r="Q724" s="278">
        <v>131442</v>
      </c>
      <c r="R724" s="278">
        <v>70576</v>
      </c>
      <c r="S724" s="278">
        <v>60466</v>
      </c>
    </row>
    <row r="725" spans="1:19">
      <c r="A725" s="241" t="s">
        <v>3159</v>
      </c>
      <c r="B725" s="241" t="s">
        <v>5303</v>
      </c>
      <c r="C725" s="241" t="s">
        <v>3172</v>
      </c>
      <c r="D725" s="241" t="s">
        <v>3907</v>
      </c>
      <c r="E725" s="241" t="s">
        <v>3912</v>
      </c>
      <c r="F725" s="278">
        <v>976</v>
      </c>
      <c r="G725" s="278">
        <v>4547</v>
      </c>
      <c r="H725" s="278">
        <v>2674</v>
      </c>
      <c r="I725" s="278">
        <v>1873</v>
      </c>
      <c r="J725" s="278">
        <v>3218</v>
      </c>
      <c r="K725" s="278">
        <v>1478</v>
      </c>
      <c r="L725" s="278">
        <v>1740</v>
      </c>
      <c r="M725" s="278">
        <v>976</v>
      </c>
      <c r="N725" s="278">
        <v>4547</v>
      </c>
      <c r="O725" s="278">
        <v>2674</v>
      </c>
      <c r="P725" s="278">
        <v>1873</v>
      </c>
      <c r="Q725" s="278">
        <v>3218</v>
      </c>
      <c r="R725" s="278">
        <v>1478</v>
      </c>
      <c r="S725" s="278">
        <v>1740</v>
      </c>
    </row>
    <row r="726" spans="1:19">
      <c r="A726" s="241" t="s">
        <v>3159</v>
      </c>
      <c r="B726" s="241" t="s">
        <v>5303</v>
      </c>
      <c r="C726" s="241" t="s">
        <v>3168</v>
      </c>
      <c r="D726" s="241" t="s">
        <v>3913</v>
      </c>
      <c r="E726" s="241" t="s">
        <v>3914</v>
      </c>
      <c r="F726" s="278">
        <v>375073</v>
      </c>
      <c r="G726" s="278">
        <v>5303693</v>
      </c>
      <c r="H726" s="278">
        <v>3109201</v>
      </c>
      <c r="I726" s="278">
        <v>2174404</v>
      </c>
      <c r="J726" s="278">
        <v>4747423</v>
      </c>
      <c r="K726" s="278">
        <v>2723727</v>
      </c>
      <c r="L726" s="278">
        <v>2004007</v>
      </c>
      <c r="M726" s="278">
        <v>369212</v>
      </c>
      <c r="N726" s="278">
        <v>5234337</v>
      </c>
      <c r="O726" s="278">
        <v>3053717</v>
      </c>
      <c r="P726" s="278">
        <v>2160532</v>
      </c>
      <c r="Q726" s="278">
        <v>4678572</v>
      </c>
      <c r="R726" s="278">
        <v>2668561</v>
      </c>
      <c r="S726" s="278">
        <v>1990322</v>
      </c>
    </row>
    <row r="727" spans="1:19">
      <c r="A727" s="241" t="s">
        <v>3159</v>
      </c>
      <c r="B727" s="241" t="s">
        <v>5303</v>
      </c>
      <c r="C727" s="241" t="s">
        <v>3459</v>
      </c>
      <c r="D727" s="241" t="s">
        <v>3915</v>
      </c>
      <c r="E727" s="241" t="s">
        <v>3916</v>
      </c>
      <c r="F727" s="278">
        <v>153065</v>
      </c>
      <c r="G727" s="278">
        <v>550732</v>
      </c>
      <c r="H727" s="278">
        <v>325492</v>
      </c>
      <c r="I727" s="278">
        <v>224464</v>
      </c>
      <c r="J727" s="278">
        <v>398721</v>
      </c>
      <c r="K727" s="278">
        <v>206995</v>
      </c>
      <c r="L727" s="278">
        <v>191121</v>
      </c>
      <c r="M727" s="278">
        <v>153063</v>
      </c>
      <c r="N727" s="278">
        <v>550713</v>
      </c>
      <c r="O727" s="278">
        <v>325482</v>
      </c>
      <c r="P727" s="278">
        <v>224455</v>
      </c>
      <c r="Q727" s="278">
        <v>398702</v>
      </c>
      <c r="R727" s="278">
        <v>206985</v>
      </c>
      <c r="S727" s="278">
        <v>191112</v>
      </c>
    </row>
    <row r="728" spans="1:19">
      <c r="A728" s="241" t="s">
        <v>3159</v>
      </c>
      <c r="B728" s="241" t="s">
        <v>5303</v>
      </c>
      <c r="C728" s="241" t="s">
        <v>3170</v>
      </c>
      <c r="D728" s="241" t="s">
        <v>3915</v>
      </c>
      <c r="E728" s="241" t="s">
        <v>3917</v>
      </c>
      <c r="F728" s="278">
        <v>57103</v>
      </c>
      <c r="G728" s="278">
        <v>294505</v>
      </c>
      <c r="H728" s="278">
        <v>167255</v>
      </c>
      <c r="I728" s="278">
        <v>126813</v>
      </c>
      <c r="J728" s="278">
        <v>240148</v>
      </c>
      <c r="K728" s="278">
        <v>124486</v>
      </c>
      <c r="L728" s="278">
        <v>115275</v>
      </c>
      <c r="M728" s="278">
        <v>57101</v>
      </c>
      <c r="N728" s="278">
        <v>294486</v>
      </c>
      <c r="O728" s="278">
        <v>167245</v>
      </c>
      <c r="P728" s="278">
        <v>126804</v>
      </c>
      <c r="Q728" s="278">
        <v>240129</v>
      </c>
      <c r="R728" s="278">
        <v>124476</v>
      </c>
      <c r="S728" s="278">
        <v>115266</v>
      </c>
    </row>
    <row r="729" spans="1:19">
      <c r="A729" s="241" t="s">
        <v>3159</v>
      </c>
      <c r="B729" s="241" t="s">
        <v>5303</v>
      </c>
      <c r="C729" s="241" t="s">
        <v>3172</v>
      </c>
      <c r="D729" s="241" t="s">
        <v>3915</v>
      </c>
      <c r="E729" s="241" t="s">
        <v>3918</v>
      </c>
      <c r="F729" s="278">
        <v>22758</v>
      </c>
      <c r="G729" s="278">
        <v>121143</v>
      </c>
      <c r="H729" s="278">
        <v>69656</v>
      </c>
      <c r="I729" s="278">
        <v>51278</v>
      </c>
      <c r="J729" s="278">
        <v>98634</v>
      </c>
      <c r="K729" s="278">
        <v>50661</v>
      </c>
      <c r="L729" s="278">
        <v>47780</v>
      </c>
      <c r="M729" s="278">
        <v>22758</v>
      </c>
      <c r="N729" s="278">
        <v>121143</v>
      </c>
      <c r="O729" s="278">
        <v>69656</v>
      </c>
      <c r="P729" s="278">
        <v>51278</v>
      </c>
      <c r="Q729" s="278">
        <v>98634</v>
      </c>
      <c r="R729" s="278">
        <v>50661</v>
      </c>
      <c r="S729" s="278">
        <v>47780</v>
      </c>
    </row>
    <row r="730" spans="1:19">
      <c r="A730" s="241" t="s">
        <v>3159</v>
      </c>
      <c r="B730" s="241" t="s">
        <v>5303</v>
      </c>
      <c r="C730" s="241" t="s">
        <v>3172</v>
      </c>
      <c r="D730" s="241" t="s">
        <v>3915</v>
      </c>
      <c r="E730" s="241" t="s">
        <v>3919</v>
      </c>
      <c r="F730" s="278">
        <v>6327</v>
      </c>
      <c r="G730" s="278">
        <v>31258</v>
      </c>
      <c r="H730" s="278">
        <v>19713</v>
      </c>
      <c r="I730" s="278">
        <v>11484</v>
      </c>
      <c r="J730" s="278">
        <v>25767</v>
      </c>
      <c r="K730" s="278">
        <v>15188</v>
      </c>
      <c r="L730" s="278">
        <v>10519</v>
      </c>
      <c r="M730" s="278">
        <v>6327</v>
      </c>
      <c r="N730" s="278">
        <v>31258</v>
      </c>
      <c r="O730" s="278">
        <v>19713</v>
      </c>
      <c r="P730" s="278">
        <v>11484</v>
      </c>
      <c r="Q730" s="278">
        <v>25767</v>
      </c>
      <c r="R730" s="278">
        <v>15188</v>
      </c>
      <c r="S730" s="278">
        <v>10519</v>
      </c>
    </row>
    <row r="731" spans="1:19">
      <c r="A731" s="241" t="s">
        <v>3159</v>
      </c>
      <c r="B731" s="241" t="s">
        <v>5303</v>
      </c>
      <c r="C731" s="241" t="s">
        <v>3172</v>
      </c>
      <c r="D731" s="241" t="s">
        <v>3915</v>
      </c>
      <c r="E731" s="241" t="s">
        <v>3920</v>
      </c>
      <c r="F731" s="278">
        <v>1741</v>
      </c>
      <c r="G731" s="278">
        <v>10211</v>
      </c>
      <c r="H731" s="278">
        <v>4944</v>
      </c>
      <c r="I731" s="278">
        <v>5261</v>
      </c>
      <c r="J731" s="278">
        <v>8516</v>
      </c>
      <c r="K731" s="278">
        <v>3715</v>
      </c>
      <c r="L731" s="278">
        <v>4795</v>
      </c>
      <c r="M731" s="278">
        <v>1739</v>
      </c>
      <c r="N731" s="278">
        <v>10192</v>
      </c>
      <c r="O731" s="278">
        <v>4934</v>
      </c>
      <c r="P731" s="278">
        <v>5252</v>
      </c>
      <c r="Q731" s="278">
        <v>8497</v>
      </c>
      <c r="R731" s="278">
        <v>3705</v>
      </c>
      <c r="S731" s="278">
        <v>4786</v>
      </c>
    </row>
    <row r="732" spans="1:19">
      <c r="A732" s="241" t="s">
        <v>3159</v>
      </c>
      <c r="B732" s="241" t="s">
        <v>5303</v>
      </c>
      <c r="C732" s="241" t="s">
        <v>3172</v>
      </c>
      <c r="D732" s="241" t="s">
        <v>3915</v>
      </c>
      <c r="E732" s="241" t="s">
        <v>3921</v>
      </c>
      <c r="F732" s="278">
        <v>1741</v>
      </c>
      <c r="G732" s="278">
        <v>6782</v>
      </c>
      <c r="H732" s="278">
        <v>4198</v>
      </c>
      <c r="I732" s="278">
        <v>2561</v>
      </c>
      <c r="J732" s="278">
        <v>6053</v>
      </c>
      <c r="K732" s="278">
        <v>3683</v>
      </c>
      <c r="L732" s="278">
        <v>2347</v>
      </c>
      <c r="M732" s="278">
        <v>1741</v>
      </c>
      <c r="N732" s="278">
        <v>6782</v>
      </c>
      <c r="O732" s="278">
        <v>4198</v>
      </c>
      <c r="P732" s="278">
        <v>2561</v>
      </c>
      <c r="Q732" s="278">
        <v>6053</v>
      </c>
      <c r="R732" s="278">
        <v>3683</v>
      </c>
      <c r="S732" s="278">
        <v>2347</v>
      </c>
    </row>
    <row r="733" spans="1:19">
      <c r="A733" s="241" t="s">
        <v>3159</v>
      </c>
      <c r="B733" s="241" t="s">
        <v>5303</v>
      </c>
      <c r="C733" s="241" t="s">
        <v>3172</v>
      </c>
      <c r="D733" s="241" t="s">
        <v>3915</v>
      </c>
      <c r="E733" s="241" t="s">
        <v>3922</v>
      </c>
      <c r="F733" s="278">
        <v>24536</v>
      </c>
      <c r="G733" s="278">
        <v>125111</v>
      </c>
      <c r="H733" s="278">
        <v>68744</v>
      </c>
      <c r="I733" s="278">
        <v>56229</v>
      </c>
      <c r="J733" s="278">
        <v>101178</v>
      </c>
      <c r="K733" s="278">
        <v>51239</v>
      </c>
      <c r="L733" s="278">
        <v>49834</v>
      </c>
      <c r="M733" s="278">
        <v>24536</v>
      </c>
      <c r="N733" s="278">
        <v>125111</v>
      </c>
      <c r="O733" s="278">
        <v>68744</v>
      </c>
      <c r="P733" s="278">
        <v>56229</v>
      </c>
      <c r="Q733" s="278">
        <v>101178</v>
      </c>
      <c r="R733" s="278">
        <v>51239</v>
      </c>
      <c r="S733" s="278">
        <v>49834</v>
      </c>
    </row>
    <row r="734" spans="1:19">
      <c r="A734" s="241" t="s">
        <v>3159</v>
      </c>
      <c r="B734" s="241" t="s">
        <v>5303</v>
      </c>
      <c r="C734" s="241" t="s">
        <v>3170</v>
      </c>
      <c r="D734" s="241" t="s">
        <v>3915</v>
      </c>
      <c r="E734" s="241" t="s">
        <v>3923</v>
      </c>
      <c r="F734" s="278">
        <v>95958</v>
      </c>
      <c r="G734" s="278">
        <v>256179</v>
      </c>
      <c r="H734" s="278">
        <v>158222</v>
      </c>
      <c r="I734" s="278">
        <v>97618</v>
      </c>
      <c r="J734" s="278">
        <v>158527</v>
      </c>
      <c r="K734" s="278">
        <v>82495</v>
      </c>
      <c r="L734" s="278">
        <v>75814</v>
      </c>
      <c r="M734" s="278">
        <v>95958</v>
      </c>
      <c r="N734" s="278">
        <v>256179</v>
      </c>
      <c r="O734" s="278">
        <v>158222</v>
      </c>
      <c r="P734" s="278">
        <v>97618</v>
      </c>
      <c r="Q734" s="278">
        <v>158527</v>
      </c>
      <c r="R734" s="278">
        <v>82495</v>
      </c>
      <c r="S734" s="278">
        <v>75814</v>
      </c>
    </row>
    <row r="735" spans="1:19">
      <c r="A735" s="241" t="s">
        <v>3159</v>
      </c>
      <c r="B735" s="241" t="s">
        <v>5303</v>
      </c>
      <c r="C735" s="241" t="s">
        <v>3172</v>
      </c>
      <c r="D735" s="241" t="s">
        <v>3915</v>
      </c>
      <c r="E735" s="241" t="s">
        <v>3924</v>
      </c>
      <c r="F735" s="278">
        <v>14187</v>
      </c>
      <c r="G735" s="278">
        <v>43542</v>
      </c>
      <c r="H735" s="278">
        <v>29605</v>
      </c>
      <c r="I735" s="278">
        <v>13814</v>
      </c>
      <c r="J735" s="278">
        <v>26671</v>
      </c>
      <c r="K735" s="278">
        <v>16781</v>
      </c>
      <c r="L735" s="278">
        <v>9848</v>
      </c>
      <c r="M735" s="278">
        <v>14187</v>
      </c>
      <c r="N735" s="278">
        <v>43542</v>
      </c>
      <c r="O735" s="278">
        <v>29605</v>
      </c>
      <c r="P735" s="278">
        <v>13814</v>
      </c>
      <c r="Q735" s="278">
        <v>26671</v>
      </c>
      <c r="R735" s="278">
        <v>16781</v>
      </c>
      <c r="S735" s="278">
        <v>9848</v>
      </c>
    </row>
    <row r="736" spans="1:19">
      <c r="A736" s="241" t="s">
        <v>3159</v>
      </c>
      <c r="B736" s="241" t="s">
        <v>5303</v>
      </c>
      <c r="C736" s="241" t="s">
        <v>3172</v>
      </c>
      <c r="D736" s="241" t="s">
        <v>3915</v>
      </c>
      <c r="E736" s="241" t="s">
        <v>3925</v>
      </c>
      <c r="F736" s="278">
        <v>61064</v>
      </c>
      <c r="G736" s="278">
        <v>161549</v>
      </c>
      <c r="H736" s="278">
        <v>98349</v>
      </c>
      <c r="I736" s="278">
        <v>63125</v>
      </c>
      <c r="J736" s="278">
        <v>95309</v>
      </c>
      <c r="K736" s="278">
        <v>46450</v>
      </c>
      <c r="L736" s="278">
        <v>48809</v>
      </c>
      <c r="M736" s="278">
        <v>61064</v>
      </c>
      <c r="N736" s="278">
        <v>161549</v>
      </c>
      <c r="O736" s="278">
        <v>98349</v>
      </c>
      <c r="P736" s="278">
        <v>63125</v>
      </c>
      <c r="Q736" s="278">
        <v>95309</v>
      </c>
      <c r="R736" s="278">
        <v>46450</v>
      </c>
      <c r="S736" s="278">
        <v>48809</v>
      </c>
    </row>
    <row r="737" spans="1:19">
      <c r="A737" s="241" t="s">
        <v>3159</v>
      </c>
      <c r="B737" s="241" t="s">
        <v>5303</v>
      </c>
      <c r="C737" s="241" t="s">
        <v>3172</v>
      </c>
      <c r="D737" s="241" t="s">
        <v>3915</v>
      </c>
      <c r="E737" s="241" t="s">
        <v>3926</v>
      </c>
      <c r="F737" s="278">
        <v>7696</v>
      </c>
      <c r="G737" s="278">
        <v>19917</v>
      </c>
      <c r="H737" s="278">
        <v>11507</v>
      </c>
      <c r="I737" s="278">
        <v>8296</v>
      </c>
      <c r="J737" s="278">
        <v>16082</v>
      </c>
      <c r="K737" s="278">
        <v>8602</v>
      </c>
      <c r="L737" s="278">
        <v>7374</v>
      </c>
      <c r="M737" s="278">
        <v>7696</v>
      </c>
      <c r="N737" s="278">
        <v>19917</v>
      </c>
      <c r="O737" s="278">
        <v>11507</v>
      </c>
      <c r="P737" s="278">
        <v>8296</v>
      </c>
      <c r="Q737" s="278">
        <v>16082</v>
      </c>
      <c r="R737" s="278">
        <v>8602</v>
      </c>
      <c r="S737" s="278">
        <v>7374</v>
      </c>
    </row>
    <row r="738" spans="1:19">
      <c r="A738" s="241" t="s">
        <v>3159</v>
      </c>
      <c r="B738" s="241" t="s">
        <v>5303</v>
      </c>
      <c r="C738" s="241" t="s">
        <v>3172</v>
      </c>
      <c r="D738" s="241" t="s">
        <v>3915</v>
      </c>
      <c r="E738" s="241" t="s">
        <v>3927</v>
      </c>
      <c r="F738" s="278">
        <v>13011</v>
      </c>
      <c r="G738" s="278">
        <v>31171</v>
      </c>
      <c r="H738" s="278">
        <v>18761</v>
      </c>
      <c r="I738" s="278">
        <v>12383</v>
      </c>
      <c r="J738" s="278">
        <v>20465</v>
      </c>
      <c r="K738" s="278">
        <v>10662</v>
      </c>
      <c r="L738" s="278">
        <v>9783</v>
      </c>
      <c r="M738" s="278">
        <v>13011</v>
      </c>
      <c r="N738" s="278">
        <v>31171</v>
      </c>
      <c r="O738" s="278">
        <v>18761</v>
      </c>
      <c r="P738" s="278">
        <v>12383</v>
      </c>
      <c r="Q738" s="278">
        <v>20465</v>
      </c>
      <c r="R738" s="278">
        <v>10662</v>
      </c>
      <c r="S738" s="278">
        <v>9783</v>
      </c>
    </row>
    <row r="739" spans="1:19">
      <c r="A739" s="241" t="s">
        <v>3159</v>
      </c>
      <c r="B739" s="241" t="s">
        <v>5303</v>
      </c>
      <c r="C739" s="241" t="s">
        <v>3459</v>
      </c>
      <c r="D739" s="241" t="s">
        <v>3928</v>
      </c>
      <c r="E739" s="241" t="s">
        <v>3929</v>
      </c>
      <c r="F739" s="278">
        <v>222008</v>
      </c>
      <c r="G739" s="278">
        <v>4752961</v>
      </c>
      <c r="H739" s="278">
        <v>2783709</v>
      </c>
      <c r="I739" s="278">
        <v>1949940</v>
      </c>
      <c r="J739" s="278">
        <v>4348702</v>
      </c>
      <c r="K739" s="278">
        <v>2516732</v>
      </c>
      <c r="L739" s="278">
        <v>1812886</v>
      </c>
      <c r="M739" s="278">
        <v>216149</v>
      </c>
      <c r="N739" s="278">
        <v>4683624</v>
      </c>
      <c r="O739" s="278">
        <v>2728235</v>
      </c>
      <c r="P739" s="278">
        <v>1936077</v>
      </c>
      <c r="Q739" s="278">
        <v>4279870</v>
      </c>
      <c r="R739" s="278">
        <v>2461576</v>
      </c>
      <c r="S739" s="278">
        <v>1799210</v>
      </c>
    </row>
    <row r="740" spans="1:19">
      <c r="A740" s="241" t="s">
        <v>3159</v>
      </c>
      <c r="B740" s="241" t="s">
        <v>5303</v>
      </c>
      <c r="C740" s="241" t="s">
        <v>3170</v>
      </c>
      <c r="D740" s="241" t="s">
        <v>3928</v>
      </c>
      <c r="E740" s="241" t="s">
        <v>3930</v>
      </c>
      <c r="F740" s="278">
        <v>24178</v>
      </c>
      <c r="G740" s="278">
        <v>344579</v>
      </c>
      <c r="H740" s="278">
        <v>289257</v>
      </c>
      <c r="I740" s="278">
        <v>54927</v>
      </c>
      <c r="J740" s="278">
        <v>304103</v>
      </c>
      <c r="K740" s="278">
        <v>260311</v>
      </c>
      <c r="L740" s="278">
        <v>43436</v>
      </c>
      <c r="M740" s="278">
        <v>21873</v>
      </c>
      <c r="N740" s="278">
        <v>297467</v>
      </c>
      <c r="O740" s="278">
        <v>245965</v>
      </c>
      <c r="P740" s="278">
        <v>51107</v>
      </c>
      <c r="Q740" s="278">
        <v>257211</v>
      </c>
      <c r="R740" s="278">
        <v>217185</v>
      </c>
      <c r="S740" s="278">
        <v>39670</v>
      </c>
    </row>
    <row r="741" spans="1:19">
      <c r="A741" s="241" t="s">
        <v>3159</v>
      </c>
      <c r="B741" s="241" t="s">
        <v>5303</v>
      </c>
      <c r="C741" s="241" t="s">
        <v>3172</v>
      </c>
      <c r="D741" s="241" t="s">
        <v>3928</v>
      </c>
      <c r="E741" s="241" t="s">
        <v>3931</v>
      </c>
      <c r="F741" s="278">
        <v>334</v>
      </c>
      <c r="G741" s="278">
        <v>3929</v>
      </c>
      <c r="H741" s="278">
        <v>2931</v>
      </c>
      <c r="I741" s="278">
        <v>994</v>
      </c>
      <c r="J741" s="278">
        <v>3464</v>
      </c>
      <c r="K741" s="278">
        <v>2602</v>
      </c>
      <c r="L741" s="278">
        <v>860</v>
      </c>
      <c r="M741" s="278">
        <v>316</v>
      </c>
      <c r="N741" s="278">
        <v>3302</v>
      </c>
      <c r="O741" s="278">
        <v>2446</v>
      </c>
      <c r="P741" s="278">
        <v>852</v>
      </c>
      <c r="Q741" s="278">
        <v>2837</v>
      </c>
      <c r="R741" s="278">
        <v>2117</v>
      </c>
      <c r="S741" s="278">
        <v>718</v>
      </c>
    </row>
    <row r="742" spans="1:19">
      <c r="A742" s="241" t="s">
        <v>3159</v>
      </c>
      <c r="B742" s="241" t="s">
        <v>5303</v>
      </c>
      <c r="C742" s="241" t="s">
        <v>3172</v>
      </c>
      <c r="D742" s="241" t="s">
        <v>3928</v>
      </c>
      <c r="E742" s="241" t="s">
        <v>3932</v>
      </c>
      <c r="F742" s="278">
        <v>13894</v>
      </c>
      <c r="G742" s="278">
        <v>211133</v>
      </c>
      <c r="H742" s="278">
        <v>180219</v>
      </c>
      <c r="I742" s="278">
        <v>30745</v>
      </c>
      <c r="J742" s="278">
        <v>187536</v>
      </c>
      <c r="K742" s="278">
        <v>163637</v>
      </c>
      <c r="L742" s="278">
        <v>23754</v>
      </c>
      <c r="M742" s="278">
        <v>11618</v>
      </c>
      <c r="N742" s="278">
        <v>164688</v>
      </c>
      <c r="O742" s="278">
        <v>137449</v>
      </c>
      <c r="P742" s="278">
        <v>27070</v>
      </c>
      <c r="Q742" s="278">
        <v>141311</v>
      </c>
      <c r="R742" s="278">
        <v>121033</v>
      </c>
      <c r="S742" s="278">
        <v>20133</v>
      </c>
    </row>
    <row r="743" spans="1:19">
      <c r="A743" s="241" t="s">
        <v>3159</v>
      </c>
      <c r="B743" s="241" t="s">
        <v>5303</v>
      </c>
      <c r="C743" s="241" t="s">
        <v>3172</v>
      </c>
      <c r="D743" s="241" t="s">
        <v>3928</v>
      </c>
      <c r="E743" s="241" t="s">
        <v>3933</v>
      </c>
      <c r="F743" s="278">
        <v>9897</v>
      </c>
      <c r="G743" s="278">
        <v>128086</v>
      </c>
      <c r="H743" s="278">
        <v>104872</v>
      </c>
      <c r="I743" s="278">
        <v>22992</v>
      </c>
      <c r="J743" s="278">
        <v>111758</v>
      </c>
      <c r="K743" s="278">
        <v>92899</v>
      </c>
      <c r="L743" s="278">
        <v>18650</v>
      </c>
      <c r="M743" s="278">
        <v>9887</v>
      </c>
      <c r="N743" s="278">
        <v>128047</v>
      </c>
      <c r="O743" s="278">
        <v>104835</v>
      </c>
      <c r="P743" s="278">
        <v>22990</v>
      </c>
      <c r="Q743" s="278">
        <v>111719</v>
      </c>
      <c r="R743" s="278">
        <v>92862</v>
      </c>
      <c r="S743" s="278">
        <v>18648</v>
      </c>
    </row>
    <row r="744" spans="1:19">
      <c r="A744" s="241" t="s">
        <v>3159</v>
      </c>
      <c r="B744" s="241" t="s">
        <v>5303</v>
      </c>
      <c r="C744" s="241" t="s">
        <v>3172</v>
      </c>
      <c r="D744" s="241" t="s">
        <v>3928</v>
      </c>
      <c r="E744" s="241" t="s">
        <v>3934</v>
      </c>
      <c r="F744" s="278">
        <v>53</v>
      </c>
      <c r="G744" s="278">
        <v>1431</v>
      </c>
      <c r="H744" s="278">
        <v>1235</v>
      </c>
      <c r="I744" s="278">
        <v>196</v>
      </c>
      <c r="J744" s="278">
        <v>1345</v>
      </c>
      <c r="K744" s="278">
        <v>1173</v>
      </c>
      <c r="L744" s="278">
        <v>172</v>
      </c>
      <c r="M744" s="278">
        <v>52</v>
      </c>
      <c r="N744" s="278">
        <v>1430</v>
      </c>
      <c r="O744" s="278">
        <v>1235</v>
      </c>
      <c r="P744" s="278">
        <v>195</v>
      </c>
      <c r="Q744" s="278">
        <v>1344</v>
      </c>
      <c r="R744" s="278">
        <v>1173</v>
      </c>
      <c r="S744" s="278">
        <v>171</v>
      </c>
    </row>
    <row r="745" spans="1:19">
      <c r="A745" s="241" t="s">
        <v>3159</v>
      </c>
      <c r="B745" s="241" t="s">
        <v>5303</v>
      </c>
      <c r="C745" s="241" t="s">
        <v>3170</v>
      </c>
      <c r="D745" s="241" t="s">
        <v>3928</v>
      </c>
      <c r="E745" s="241" t="s">
        <v>3935</v>
      </c>
      <c r="F745" s="278">
        <v>48798</v>
      </c>
      <c r="G745" s="278">
        <v>220145</v>
      </c>
      <c r="H745" s="278">
        <v>174337</v>
      </c>
      <c r="I745" s="278">
        <v>45631</v>
      </c>
      <c r="J745" s="278">
        <v>153240</v>
      </c>
      <c r="K745" s="278">
        <v>122786</v>
      </c>
      <c r="L745" s="278">
        <v>30296</v>
      </c>
      <c r="M745" s="278">
        <v>48765</v>
      </c>
      <c r="N745" s="278">
        <v>219700</v>
      </c>
      <c r="O745" s="278">
        <v>173902</v>
      </c>
      <c r="P745" s="278">
        <v>45621</v>
      </c>
      <c r="Q745" s="278">
        <v>152795</v>
      </c>
      <c r="R745" s="278">
        <v>122351</v>
      </c>
      <c r="S745" s="278">
        <v>30286</v>
      </c>
    </row>
    <row r="746" spans="1:19">
      <c r="A746" s="241" t="s">
        <v>3159</v>
      </c>
      <c r="B746" s="241" t="s">
        <v>5303</v>
      </c>
      <c r="C746" s="241" t="s">
        <v>3172</v>
      </c>
      <c r="D746" s="241" t="s">
        <v>3928</v>
      </c>
      <c r="E746" s="241" t="s">
        <v>3936</v>
      </c>
      <c r="F746" s="278">
        <v>120</v>
      </c>
      <c r="G746" s="278">
        <v>806</v>
      </c>
      <c r="H746" s="278">
        <v>642</v>
      </c>
      <c r="I746" s="278">
        <v>163</v>
      </c>
      <c r="J746" s="278">
        <v>646</v>
      </c>
      <c r="K746" s="278">
        <v>520</v>
      </c>
      <c r="L746" s="278">
        <v>126</v>
      </c>
      <c r="M746" s="278">
        <v>120</v>
      </c>
      <c r="N746" s="278">
        <v>806</v>
      </c>
      <c r="O746" s="278">
        <v>642</v>
      </c>
      <c r="P746" s="278">
        <v>163</v>
      </c>
      <c r="Q746" s="278">
        <v>646</v>
      </c>
      <c r="R746" s="278">
        <v>520</v>
      </c>
      <c r="S746" s="278">
        <v>126</v>
      </c>
    </row>
    <row r="747" spans="1:19">
      <c r="A747" s="241" t="s">
        <v>3159</v>
      </c>
      <c r="B747" s="241" t="s">
        <v>5303</v>
      </c>
      <c r="C747" s="241" t="s">
        <v>3172</v>
      </c>
      <c r="D747" s="241" t="s">
        <v>3928</v>
      </c>
      <c r="E747" s="241" t="s">
        <v>3937</v>
      </c>
      <c r="F747" s="278">
        <v>48678</v>
      </c>
      <c r="G747" s="278">
        <v>219339</v>
      </c>
      <c r="H747" s="278">
        <v>173695</v>
      </c>
      <c r="I747" s="278">
        <v>45468</v>
      </c>
      <c r="J747" s="278">
        <v>152594</v>
      </c>
      <c r="K747" s="278">
        <v>122266</v>
      </c>
      <c r="L747" s="278">
        <v>30170</v>
      </c>
      <c r="M747" s="278">
        <v>48645</v>
      </c>
      <c r="N747" s="278">
        <v>218894</v>
      </c>
      <c r="O747" s="278">
        <v>173260</v>
      </c>
      <c r="P747" s="278">
        <v>45458</v>
      </c>
      <c r="Q747" s="278">
        <v>152149</v>
      </c>
      <c r="R747" s="278">
        <v>121831</v>
      </c>
      <c r="S747" s="278">
        <v>30160</v>
      </c>
    </row>
    <row r="748" spans="1:19">
      <c r="A748" s="241" t="s">
        <v>3159</v>
      </c>
      <c r="B748" s="241" t="s">
        <v>5303</v>
      </c>
      <c r="C748" s="241" t="s">
        <v>3170</v>
      </c>
      <c r="D748" s="241" t="s">
        <v>3928</v>
      </c>
      <c r="E748" s="241" t="s">
        <v>3938</v>
      </c>
      <c r="F748" s="278">
        <v>28705</v>
      </c>
      <c r="G748" s="278">
        <v>228732</v>
      </c>
      <c r="H748" s="278">
        <v>187503</v>
      </c>
      <c r="I748" s="278">
        <v>40168</v>
      </c>
      <c r="J748" s="278">
        <v>196253</v>
      </c>
      <c r="K748" s="278">
        <v>161912</v>
      </c>
      <c r="L748" s="278">
        <v>33306</v>
      </c>
      <c r="M748" s="278">
        <v>28703</v>
      </c>
      <c r="N748" s="278">
        <v>228705</v>
      </c>
      <c r="O748" s="278">
        <v>187480</v>
      </c>
      <c r="P748" s="278">
        <v>40164</v>
      </c>
      <c r="Q748" s="278">
        <v>196226</v>
      </c>
      <c r="R748" s="278">
        <v>161889</v>
      </c>
      <c r="S748" s="278">
        <v>33302</v>
      </c>
    </row>
    <row r="749" spans="1:19">
      <c r="A749" s="241" t="s">
        <v>3159</v>
      </c>
      <c r="B749" s="241" t="s">
        <v>5303</v>
      </c>
      <c r="C749" s="241" t="s">
        <v>3172</v>
      </c>
      <c r="D749" s="241" t="s">
        <v>3928</v>
      </c>
      <c r="E749" s="241" t="s">
        <v>3939</v>
      </c>
      <c r="F749" s="278">
        <v>161</v>
      </c>
      <c r="G749" s="278">
        <v>2236</v>
      </c>
      <c r="H749" s="278">
        <v>1743</v>
      </c>
      <c r="I749" s="278">
        <v>479</v>
      </c>
      <c r="J749" s="278">
        <v>1993</v>
      </c>
      <c r="K749" s="278">
        <v>1569</v>
      </c>
      <c r="L749" s="278">
        <v>412</v>
      </c>
      <c r="M749" s="278">
        <v>161</v>
      </c>
      <c r="N749" s="278">
        <v>2236</v>
      </c>
      <c r="O749" s="278">
        <v>1743</v>
      </c>
      <c r="P749" s="278">
        <v>479</v>
      </c>
      <c r="Q749" s="278">
        <v>1993</v>
      </c>
      <c r="R749" s="278">
        <v>1569</v>
      </c>
      <c r="S749" s="278">
        <v>412</v>
      </c>
    </row>
    <row r="750" spans="1:19">
      <c r="A750" s="241" t="s">
        <v>3159</v>
      </c>
      <c r="B750" s="241" t="s">
        <v>5303</v>
      </c>
      <c r="C750" s="241" t="s">
        <v>3172</v>
      </c>
      <c r="D750" s="241" t="s">
        <v>3928</v>
      </c>
      <c r="E750" s="241" t="s">
        <v>3940</v>
      </c>
      <c r="F750" s="278">
        <v>15285</v>
      </c>
      <c r="G750" s="278">
        <v>142658</v>
      </c>
      <c r="H750" s="278">
        <v>120326</v>
      </c>
      <c r="I750" s="278">
        <v>21471</v>
      </c>
      <c r="J750" s="278">
        <v>124050</v>
      </c>
      <c r="K750" s="278">
        <v>105670</v>
      </c>
      <c r="L750" s="278">
        <v>17537</v>
      </c>
      <c r="M750" s="278">
        <v>15284</v>
      </c>
      <c r="N750" s="278">
        <v>142638</v>
      </c>
      <c r="O750" s="278">
        <v>120307</v>
      </c>
      <c r="P750" s="278">
        <v>21470</v>
      </c>
      <c r="Q750" s="278">
        <v>124030</v>
      </c>
      <c r="R750" s="278">
        <v>105651</v>
      </c>
      <c r="S750" s="278">
        <v>17536</v>
      </c>
    </row>
    <row r="751" spans="1:19">
      <c r="A751" s="241" t="s">
        <v>3159</v>
      </c>
      <c r="B751" s="241" t="s">
        <v>5303</v>
      </c>
      <c r="C751" s="241" t="s">
        <v>3172</v>
      </c>
      <c r="D751" s="241" t="s">
        <v>3928</v>
      </c>
      <c r="E751" s="241" t="s">
        <v>3941</v>
      </c>
      <c r="F751" s="278">
        <v>5737</v>
      </c>
      <c r="G751" s="278">
        <v>58998</v>
      </c>
      <c r="H751" s="278">
        <v>47114</v>
      </c>
      <c r="I751" s="278">
        <v>11745</v>
      </c>
      <c r="J751" s="278">
        <v>53988</v>
      </c>
      <c r="K751" s="278">
        <v>43120</v>
      </c>
      <c r="L751" s="278">
        <v>10733</v>
      </c>
      <c r="M751" s="278">
        <v>5737</v>
      </c>
      <c r="N751" s="278">
        <v>58998</v>
      </c>
      <c r="O751" s="278">
        <v>47114</v>
      </c>
      <c r="P751" s="278">
        <v>11745</v>
      </c>
      <c r="Q751" s="278">
        <v>53988</v>
      </c>
      <c r="R751" s="278">
        <v>43120</v>
      </c>
      <c r="S751" s="278">
        <v>10733</v>
      </c>
    </row>
    <row r="752" spans="1:19">
      <c r="A752" s="241" t="s">
        <v>3159</v>
      </c>
      <c r="B752" s="241" t="s">
        <v>5303</v>
      </c>
      <c r="C752" s="241" t="s">
        <v>3172</v>
      </c>
      <c r="D752" s="241" t="s">
        <v>3928</v>
      </c>
      <c r="E752" s="241" t="s">
        <v>3942</v>
      </c>
      <c r="F752" s="278">
        <v>1989</v>
      </c>
      <c r="G752" s="278">
        <v>3827</v>
      </c>
      <c r="H752" s="278">
        <v>2669</v>
      </c>
      <c r="I752" s="278">
        <v>1158</v>
      </c>
      <c r="J752" s="278">
        <v>1038</v>
      </c>
      <c r="K752" s="278">
        <v>537</v>
      </c>
      <c r="L752" s="278">
        <v>501</v>
      </c>
      <c r="M752" s="278">
        <v>1989</v>
      </c>
      <c r="N752" s="278">
        <v>3827</v>
      </c>
      <c r="O752" s="278">
        <v>2669</v>
      </c>
      <c r="P752" s="278">
        <v>1158</v>
      </c>
      <c r="Q752" s="278">
        <v>1038</v>
      </c>
      <c r="R752" s="278">
        <v>537</v>
      </c>
      <c r="S752" s="278">
        <v>501</v>
      </c>
    </row>
    <row r="753" spans="1:19">
      <c r="A753" s="241" t="s">
        <v>3159</v>
      </c>
      <c r="B753" s="241" t="s">
        <v>5303</v>
      </c>
      <c r="C753" s="241" t="s">
        <v>3172</v>
      </c>
      <c r="D753" s="241" t="s">
        <v>3928</v>
      </c>
      <c r="E753" s="241" t="s">
        <v>3943</v>
      </c>
      <c r="F753" s="278">
        <v>5533</v>
      </c>
      <c r="G753" s="278">
        <v>21013</v>
      </c>
      <c r="H753" s="278">
        <v>15651</v>
      </c>
      <c r="I753" s="278">
        <v>5315</v>
      </c>
      <c r="J753" s="278">
        <v>15184</v>
      </c>
      <c r="K753" s="278">
        <v>11016</v>
      </c>
      <c r="L753" s="278">
        <v>4123</v>
      </c>
      <c r="M753" s="278">
        <v>5532</v>
      </c>
      <c r="N753" s="278">
        <v>21006</v>
      </c>
      <c r="O753" s="278">
        <v>15647</v>
      </c>
      <c r="P753" s="278">
        <v>5312</v>
      </c>
      <c r="Q753" s="278">
        <v>15177</v>
      </c>
      <c r="R753" s="278">
        <v>11012</v>
      </c>
      <c r="S753" s="278">
        <v>4120</v>
      </c>
    </row>
    <row r="754" spans="1:19">
      <c r="A754" s="241" t="s">
        <v>3159</v>
      </c>
      <c r="B754" s="241" t="s">
        <v>5303</v>
      </c>
      <c r="C754" s="241" t="s">
        <v>3170</v>
      </c>
      <c r="D754" s="241" t="s">
        <v>3928</v>
      </c>
      <c r="E754" s="241" t="s">
        <v>3944</v>
      </c>
      <c r="F754" s="278">
        <v>21690</v>
      </c>
      <c r="G754" s="278">
        <v>1261643</v>
      </c>
      <c r="H754" s="278">
        <v>635157</v>
      </c>
      <c r="I754" s="278">
        <v>623509</v>
      </c>
      <c r="J754" s="278">
        <v>1187032</v>
      </c>
      <c r="K754" s="278">
        <v>596820</v>
      </c>
      <c r="L754" s="278">
        <v>587276</v>
      </c>
      <c r="M754" s="278">
        <v>21623</v>
      </c>
      <c r="N754" s="278">
        <v>1261397</v>
      </c>
      <c r="O754" s="278">
        <v>635099</v>
      </c>
      <c r="P754" s="278">
        <v>623321</v>
      </c>
      <c r="Q754" s="278">
        <v>1186791</v>
      </c>
      <c r="R754" s="278">
        <v>596762</v>
      </c>
      <c r="S754" s="278">
        <v>587093</v>
      </c>
    </row>
    <row r="755" spans="1:19">
      <c r="A755" s="241" t="s">
        <v>3159</v>
      </c>
      <c r="B755" s="241" t="s">
        <v>5303</v>
      </c>
      <c r="C755" s="241" t="s">
        <v>3172</v>
      </c>
      <c r="D755" s="241" t="s">
        <v>3928</v>
      </c>
      <c r="E755" s="241" t="s">
        <v>3945</v>
      </c>
      <c r="F755" s="278">
        <v>165</v>
      </c>
      <c r="G755" s="278">
        <v>7778</v>
      </c>
      <c r="H755" s="278">
        <v>5196</v>
      </c>
      <c r="I755" s="278">
        <v>2575</v>
      </c>
      <c r="J755" s="278">
        <v>7038</v>
      </c>
      <c r="K755" s="278">
        <v>4487</v>
      </c>
      <c r="L755" s="278">
        <v>2548</v>
      </c>
      <c r="M755" s="278">
        <v>165</v>
      </c>
      <c r="N755" s="278">
        <v>7778</v>
      </c>
      <c r="O755" s="278">
        <v>5196</v>
      </c>
      <c r="P755" s="278">
        <v>2575</v>
      </c>
      <c r="Q755" s="278">
        <v>7038</v>
      </c>
      <c r="R755" s="278">
        <v>4487</v>
      </c>
      <c r="S755" s="278">
        <v>2548</v>
      </c>
    </row>
    <row r="756" spans="1:19">
      <c r="A756" s="241" t="s">
        <v>3159</v>
      </c>
      <c r="B756" s="241" t="s">
        <v>5303</v>
      </c>
      <c r="C756" s="241" t="s">
        <v>3172</v>
      </c>
      <c r="D756" s="241" t="s">
        <v>3928</v>
      </c>
      <c r="E756" s="241" t="s">
        <v>3946</v>
      </c>
      <c r="F756" s="278">
        <v>6919</v>
      </c>
      <c r="G756" s="278">
        <v>94422</v>
      </c>
      <c r="H756" s="278">
        <v>52312</v>
      </c>
      <c r="I756" s="278">
        <v>42034</v>
      </c>
      <c r="J756" s="278">
        <v>81131</v>
      </c>
      <c r="K756" s="278">
        <v>43757</v>
      </c>
      <c r="L756" s="278">
        <v>37302</v>
      </c>
      <c r="M756" s="278">
        <v>6852</v>
      </c>
      <c r="N756" s="278">
        <v>94176</v>
      </c>
      <c r="O756" s="278">
        <v>52254</v>
      </c>
      <c r="P756" s="278">
        <v>41846</v>
      </c>
      <c r="Q756" s="278">
        <v>80890</v>
      </c>
      <c r="R756" s="278">
        <v>43699</v>
      </c>
      <c r="S756" s="278">
        <v>37119</v>
      </c>
    </row>
    <row r="757" spans="1:19">
      <c r="A757" s="241" t="s">
        <v>3159</v>
      </c>
      <c r="B757" s="241" t="s">
        <v>5303</v>
      </c>
      <c r="C757" s="241" t="s">
        <v>3172</v>
      </c>
      <c r="D757" s="241" t="s">
        <v>3928</v>
      </c>
      <c r="E757" s="241" t="s">
        <v>3947</v>
      </c>
      <c r="F757" s="278">
        <v>14606</v>
      </c>
      <c r="G757" s="278">
        <v>1159443</v>
      </c>
      <c r="H757" s="278">
        <v>577649</v>
      </c>
      <c r="I757" s="278">
        <v>578900</v>
      </c>
      <c r="J757" s="278">
        <v>1098863</v>
      </c>
      <c r="K757" s="278">
        <v>548576</v>
      </c>
      <c r="L757" s="278">
        <v>547426</v>
      </c>
      <c r="M757" s="278">
        <v>14606</v>
      </c>
      <c r="N757" s="278">
        <v>1159443</v>
      </c>
      <c r="O757" s="278">
        <v>577649</v>
      </c>
      <c r="P757" s="278">
        <v>578900</v>
      </c>
      <c r="Q757" s="278">
        <v>1098863</v>
      </c>
      <c r="R757" s="278">
        <v>548576</v>
      </c>
      <c r="S757" s="278">
        <v>547426</v>
      </c>
    </row>
    <row r="758" spans="1:19">
      <c r="A758" s="241" t="s">
        <v>3159</v>
      </c>
      <c r="B758" s="241" t="s">
        <v>5303</v>
      </c>
      <c r="C758" s="241" t="s">
        <v>3170</v>
      </c>
      <c r="D758" s="241" t="s">
        <v>3928</v>
      </c>
      <c r="E758" s="241" t="s">
        <v>3948</v>
      </c>
      <c r="F758" s="278">
        <v>90625</v>
      </c>
      <c r="G758" s="278">
        <v>2633560</v>
      </c>
      <c r="H758" s="278">
        <v>1466526</v>
      </c>
      <c r="I758" s="278">
        <v>1152627</v>
      </c>
      <c r="J758" s="278">
        <v>2448272</v>
      </c>
      <c r="K758" s="278">
        <v>1346717</v>
      </c>
      <c r="L758" s="278">
        <v>1087229</v>
      </c>
      <c r="M758" s="278">
        <v>90434</v>
      </c>
      <c r="N758" s="278">
        <v>2631859</v>
      </c>
      <c r="O758" s="278">
        <v>1465449</v>
      </c>
      <c r="P758" s="278">
        <v>1152003</v>
      </c>
      <c r="Q758" s="278">
        <v>2446598</v>
      </c>
      <c r="R758" s="278">
        <v>1345656</v>
      </c>
      <c r="S758" s="278">
        <v>1086616</v>
      </c>
    </row>
    <row r="759" spans="1:19">
      <c r="A759" s="241" t="s">
        <v>3159</v>
      </c>
      <c r="B759" s="241" t="s">
        <v>5303</v>
      </c>
      <c r="C759" s="241" t="s">
        <v>3172</v>
      </c>
      <c r="D759" s="241" t="s">
        <v>3928</v>
      </c>
      <c r="E759" s="241" t="s">
        <v>3949</v>
      </c>
      <c r="F759" s="278">
        <v>581</v>
      </c>
      <c r="G759" s="278">
        <v>11438</v>
      </c>
      <c r="H759" s="278">
        <v>7068</v>
      </c>
      <c r="I759" s="278">
        <v>4358</v>
      </c>
      <c r="J759" s="278">
        <v>10599</v>
      </c>
      <c r="K759" s="278">
        <v>6368</v>
      </c>
      <c r="L759" s="278">
        <v>4219</v>
      </c>
      <c r="M759" s="278">
        <v>581</v>
      </c>
      <c r="N759" s="278">
        <v>11438</v>
      </c>
      <c r="O759" s="278">
        <v>7068</v>
      </c>
      <c r="P759" s="278">
        <v>4358</v>
      </c>
      <c r="Q759" s="278">
        <v>10599</v>
      </c>
      <c r="R759" s="278">
        <v>6368</v>
      </c>
      <c r="S759" s="278">
        <v>4219</v>
      </c>
    </row>
    <row r="760" spans="1:19">
      <c r="A760" s="241" t="s">
        <v>3159</v>
      </c>
      <c r="B760" s="241" t="s">
        <v>5303</v>
      </c>
      <c r="C760" s="241" t="s">
        <v>3172</v>
      </c>
      <c r="D760" s="241" t="s">
        <v>3928</v>
      </c>
      <c r="E760" s="241" t="s">
        <v>3950</v>
      </c>
      <c r="F760" s="278">
        <v>1394</v>
      </c>
      <c r="G760" s="278">
        <v>10219</v>
      </c>
      <c r="H760" s="278">
        <v>5238</v>
      </c>
      <c r="I760" s="278">
        <v>4974</v>
      </c>
      <c r="J760" s="278">
        <v>8464</v>
      </c>
      <c r="K760" s="278">
        <v>4083</v>
      </c>
      <c r="L760" s="278">
        <v>4375</v>
      </c>
      <c r="M760" s="278">
        <v>1394</v>
      </c>
      <c r="N760" s="278">
        <v>10219</v>
      </c>
      <c r="O760" s="278">
        <v>5238</v>
      </c>
      <c r="P760" s="278">
        <v>4974</v>
      </c>
      <c r="Q760" s="278">
        <v>8464</v>
      </c>
      <c r="R760" s="278">
        <v>4083</v>
      </c>
      <c r="S760" s="278">
        <v>4375</v>
      </c>
    </row>
    <row r="761" spans="1:19">
      <c r="A761" s="241" t="s">
        <v>3159</v>
      </c>
      <c r="B761" s="241" t="s">
        <v>5303</v>
      </c>
      <c r="C761" s="241" t="s">
        <v>3172</v>
      </c>
      <c r="D761" s="241" t="s">
        <v>3928</v>
      </c>
      <c r="E761" s="241" t="s">
        <v>3951</v>
      </c>
      <c r="F761" s="278">
        <v>27977</v>
      </c>
      <c r="G761" s="278">
        <v>983703</v>
      </c>
      <c r="H761" s="278">
        <v>494908</v>
      </c>
      <c r="I761" s="278">
        <v>485218</v>
      </c>
      <c r="J761" s="278">
        <v>920879</v>
      </c>
      <c r="K761" s="278">
        <v>456856</v>
      </c>
      <c r="L761" s="278">
        <v>460491</v>
      </c>
      <c r="M761" s="278">
        <v>27977</v>
      </c>
      <c r="N761" s="278">
        <v>983703</v>
      </c>
      <c r="O761" s="278">
        <v>494908</v>
      </c>
      <c r="P761" s="278">
        <v>485218</v>
      </c>
      <c r="Q761" s="278">
        <v>920879</v>
      </c>
      <c r="R761" s="278">
        <v>456856</v>
      </c>
      <c r="S761" s="278">
        <v>460491</v>
      </c>
    </row>
    <row r="762" spans="1:19">
      <c r="A762" s="241" t="s">
        <v>3159</v>
      </c>
      <c r="B762" s="241" t="s">
        <v>5303</v>
      </c>
      <c r="C762" s="241" t="s">
        <v>3432</v>
      </c>
      <c r="D762" s="241" t="s">
        <v>3928</v>
      </c>
      <c r="E762" s="241" t="s">
        <v>3952</v>
      </c>
      <c r="F762" s="278">
        <v>12604</v>
      </c>
      <c r="G762" s="278">
        <v>662555</v>
      </c>
      <c r="H762" s="278">
        <v>327604</v>
      </c>
      <c r="I762" s="278">
        <v>332759</v>
      </c>
      <c r="J762" s="278">
        <v>629622</v>
      </c>
      <c r="K762" s="278">
        <v>309426</v>
      </c>
      <c r="L762" s="278">
        <v>318037</v>
      </c>
      <c r="M762" s="278">
        <v>12604</v>
      </c>
      <c r="N762" s="278">
        <v>662555</v>
      </c>
      <c r="O762" s="278">
        <v>327604</v>
      </c>
      <c r="P762" s="278">
        <v>332759</v>
      </c>
      <c r="Q762" s="278">
        <v>629622</v>
      </c>
      <c r="R762" s="278">
        <v>309426</v>
      </c>
      <c r="S762" s="278">
        <v>318037</v>
      </c>
    </row>
    <row r="763" spans="1:19">
      <c r="A763" s="241" t="s">
        <v>3159</v>
      </c>
      <c r="B763" s="241" t="s">
        <v>5303</v>
      </c>
      <c r="C763" s="241" t="s">
        <v>3432</v>
      </c>
      <c r="D763" s="241" t="s">
        <v>3928</v>
      </c>
      <c r="E763" s="241" t="s">
        <v>3953</v>
      </c>
      <c r="F763" s="278">
        <v>15373</v>
      </c>
      <c r="G763" s="278">
        <v>321148</v>
      </c>
      <c r="H763" s="278">
        <v>167304</v>
      </c>
      <c r="I763" s="278">
        <v>152459</v>
      </c>
      <c r="J763" s="278">
        <v>291257</v>
      </c>
      <c r="K763" s="278">
        <v>147430</v>
      </c>
      <c r="L763" s="278">
        <v>142454</v>
      </c>
      <c r="M763" s="278">
        <v>15373</v>
      </c>
      <c r="N763" s="278">
        <v>321148</v>
      </c>
      <c r="O763" s="278">
        <v>167304</v>
      </c>
      <c r="P763" s="278">
        <v>152459</v>
      </c>
      <c r="Q763" s="278">
        <v>291257</v>
      </c>
      <c r="R763" s="278">
        <v>147430</v>
      </c>
      <c r="S763" s="278">
        <v>142454</v>
      </c>
    </row>
    <row r="764" spans="1:19">
      <c r="A764" s="241" t="s">
        <v>3159</v>
      </c>
      <c r="B764" s="241" t="s">
        <v>5303</v>
      </c>
      <c r="C764" s="241" t="s">
        <v>3172</v>
      </c>
      <c r="D764" s="241" t="s">
        <v>3928</v>
      </c>
      <c r="E764" s="241" t="s">
        <v>3954</v>
      </c>
      <c r="F764" s="278">
        <v>9720</v>
      </c>
      <c r="G764" s="278">
        <v>460609</v>
      </c>
      <c r="H764" s="278">
        <v>405352</v>
      </c>
      <c r="I764" s="278">
        <v>54409</v>
      </c>
      <c r="J764" s="278">
        <v>437437</v>
      </c>
      <c r="K764" s="278">
        <v>385801</v>
      </c>
      <c r="L764" s="278">
        <v>50791</v>
      </c>
      <c r="M764" s="278">
        <v>9720</v>
      </c>
      <c r="N764" s="278">
        <v>460609</v>
      </c>
      <c r="O764" s="278">
        <v>405352</v>
      </c>
      <c r="P764" s="278">
        <v>54409</v>
      </c>
      <c r="Q764" s="278">
        <v>437437</v>
      </c>
      <c r="R764" s="278">
        <v>385801</v>
      </c>
      <c r="S764" s="278">
        <v>50791</v>
      </c>
    </row>
    <row r="765" spans="1:19">
      <c r="A765" s="241" t="s">
        <v>3159</v>
      </c>
      <c r="B765" s="241" t="s">
        <v>5303</v>
      </c>
      <c r="C765" s="241" t="s">
        <v>3172</v>
      </c>
      <c r="D765" s="241" t="s">
        <v>3928</v>
      </c>
      <c r="E765" s="241" t="s">
        <v>3955</v>
      </c>
      <c r="F765" s="278">
        <v>50953</v>
      </c>
      <c r="G765" s="278">
        <v>1167591</v>
      </c>
      <c r="H765" s="278">
        <v>553960</v>
      </c>
      <c r="I765" s="278">
        <v>603668</v>
      </c>
      <c r="J765" s="278">
        <v>1070893</v>
      </c>
      <c r="K765" s="278">
        <v>493609</v>
      </c>
      <c r="L765" s="278">
        <v>567353</v>
      </c>
      <c r="M765" s="278">
        <v>50762</v>
      </c>
      <c r="N765" s="278">
        <v>1165890</v>
      </c>
      <c r="O765" s="278">
        <v>552883</v>
      </c>
      <c r="P765" s="278">
        <v>603044</v>
      </c>
      <c r="Q765" s="278">
        <v>1069219</v>
      </c>
      <c r="R765" s="278">
        <v>492548</v>
      </c>
      <c r="S765" s="278">
        <v>566740</v>
      </c>
    </row>
    <row r="766" spans="1:19">
      <c r="A766" s="241" t="s">
        <v>3159</v>
      </c>
      <c r="B766" s="241" t="s">
        <v>5303</v>
      </c>
      <c r="C766" s="241" t="s">
        <v>3170</v>
      </c>
      <c r="D766" s="241" t="s">
        <v>3928</v>
      </c>
      <c r="E766" s="241" t="s">
        <v>3956</v>
      </c>
      <c r="F766" s="278">
        <v>7831</v>
      </c>
      <c r="G766" s="278">
        <v>61712</v>
      </c>
      <c r="H766" s="278">
        <v>29145</v>
      </c>
      <c r="I766" s="278">
        <v>32280</v>
      </c>
      <c r="J766" s="278">
        <v>57524</v>
      </c>
      <c r="K766" s="278">
        <v>26617</v>
      </c>
      <c r="L766" s="278">
        <v>30642</v>
      </c>
      <c r="M766" s="278">
        <v>4570</v>
      </c>
      <c r="N766" s="278">
        <v>41906</v>
      </c>
      <c r="O766" s="278">
        <v>18556</v>
      </c>
      <c r="P766" s="278">
        <v>23063</v>
      </c>
      <c r="Q766" s="278">
        <v>37971</v>
      </c>
      <c r="R766" s="278">
        <v>16164</v>
      </c>
      <c r="S766" s="278">
        <v>21542</v>
      </c>
    </row>
    <row r="767" spans="1:19">
      <c r="A767" s="241" t="s">
        <v>3159</v>
      </c>
      <c r="B767" s="241" t="s">
        <v>5303</v>
      </c>
      <c r="C767" s="241" t="s">
        <v>3172</v>
      </c>
      <c r="D767" s="241" t="s">
        <v>3928</v>
      </c>
      <c r="E767" s="241" t="s">
        <v>3957</v>
      </c>
      <c r="F767" s="278">
        <v>21</v>
      </c>
      <c r="G767" s="278">
        <v>152</v>
      </c>
      <c r="H767" s="278">
        <v>91</v>
      </c>
      <c r="I767" s="278">
        <v>61</v>
      </c>
      <c r="J767" s="278">
        <v>118</v>
      </c>
      <c r="K767" s="278">
        <v>63</v>
      </c>
      <c r="L767" s="278">
        <v>55</v>
      </c>
      <c r="M767" s="278">
        <v>19</v>
      </c>
      <c r="N767" s="278">
        <v>149</v>
      </c>
      <c r="O767" s="278">
        <v>89</v>
      </c>
      <c r="P767" s="278">
        <v>60</v>
      </c>
      <c r="Q767" s="278">
        <v>115</v>
      </c>
      <c r="R767" s="278">
        <v>61</v>
      </c>
      <c r="S767" s="278">
        <v>54</v>
      </c>
    </row>
    <row r="768" spans="1:19">
      <c r="A768" s="241" t="s">
        <v>3159</v>
      </c>
      <c r="B768" s="241" t="s">
        <v>5303</v>
      </c>
      <c r="C768" s="241" t="s">
        <v>3172</v>
      </c>
      <c r="D768" s="241" t="s">
        <v>3928</v>
      </c>
      <c r="E768" s="241" t="s">
        <v>3958</v>
      </c>
      <c r="F768" s="278">
        <v>6562</v>
      </c>
      <c r="G768" s="278">
        <v>46546</v>
      </c>
      <c r="H768" s="278">
        <v>20327</v>
      </c>
      <c r="I768" s="278">
        <v>25932</v>
      </c>
      <c r="J768" s="278">
        <v>43056</v>
      </c>
      <c r="K768" s="278">
        <v>18312</v>
      </c>
      <c r="L768" s="278">
        <v>24479</v>
      </c>
      <c r="M768" s="278">
        <v>4071</v>
      </c>
      <c r="N768" s="278">
        <v>35416</v>
      </c>
      <c r="O768" s="278">
        <v>14905</v>
      </c>
      <c r="P768" s="278">
        <v>20224</v>
      </c>
      <c r="Q768" s="278">
        <v>32094</v>
      </c>
      <c r="R768" s="278">
        <v>12953</v>
      </c>
      <c r="S768" s="278">
        <v>18876</v>
      </c>
    </row>
    <row r="769" spans="1:19">
      <c r="A769" s="241" t="s">
        <v>3159</v>
      </c>
      <c r="B769" s="241" t="s">
        <v>5303</v>
      </c>
      <c r="C769" s="241" t="s">
        <v>3172</v>
      </c>
      <c r="D769" s="241" t="s">
        <v>3928</v>
      </c>
      <c r="E769" s="241" t="s">
        <v>3959</v>
      </c>
      <c r="F769" s="278">
        <v>89</v>
      </c>
      <c r="G769" s="278">
        <v>2760</v>
      </c>
      <c r="H769" s="278">
        <v>2223</v>
      </c>
      <c r="I769" s="278">
        <v>537</v>
      </c>
      <c r="J769" s="278">
        <v>2607</v>
      </c>
      <c r="K769" s="278">
        <v>2083</v>
      </c>
      <c r="L769" s="278">
        <v>524</v>
      </c>
      <c r="M769" s="278">
        <v>76</v>
      </c>
      <c r="N769" s="278">
        <v>2276</v>
      </c>
      <c r="O769" s="278">
        <v>1774</v>
      </c>
      <c r="P769" s="278">
        <v>502</v>
      </c>
      <c r="Q769" s="278">
        <v>2125</v>
      </c>
      <c r="R769" s="278">
        <v>1636</v>
      </c>
      <c r="S769" s="278">
        <v>489</v>
      </c>
    </row>
    <row r="770" spans="1:19">
      <c r="A770" s="241" t="s">
        <v>3159</v>
      </c>
      <c r="B770" s="241" t="s">
        <v>5303</v>
      </c>
      <c r="C770" s="241" t="s">
        <v>3172</v>
      </c>
      <c r="D770" s="241" t="s">
        <v>3928</v>
      </c>
      <c r="E770" s="241" t="s">
        <v>3960</v>
      </c>
      <c r="F770" s="278">
        <v>1158</v>
      </c>
      <c r="G770" s="278">
        <v>12253</v>
      </c>
      <c r="H770" s="278">
        <v>6504</v>
      </c>
      <c r="I770" s="278">
        <v>5749</v>
      </c>
      <c r="J770" s="278">
        <v>11743</v>
      </c>
      <c r="K770" s="278">
        <v>6159</v>
      </c>
      <c r="L770" s="278">
        <v>5584</v>
      </c>
      <c r="M770" s="278">
        <v>403</v>
      </c>
      <c r="N770" s="278">
        <v>4064</v>
      </c>
      <c r="O770" s="278">
        <v>1788</v>
      </c>
      <c r="P770" s="278">
        <v>2276</v>
      </c>
      <c r="Q770" s="278">
        <v>3637</v>
      </c>
      <c r="R770" s="278">
        <v>1514</v>
      </c>
      <c r="S770" s="278">
        <v>2123</v>
      </c>
    </row>
    <row r="771" spans="1:19">
      <c r="A771" s="241" t="s">
        <v>3159</v>
      </c>
      <c r="B771" s="241" t="s">
        <v>5303</v>
      </c>
      <c r="C771" s="241" t="s">
        <v>3168</v>
      </c>
      <c r="D771" s="241" t="s">
        <v>3961</v>
      </c>
      <c r="E771" s="241" t="s">
        <v>3962</v>
      </c>
      <c r="F771" s="278">
        <v>38812</v>
      </c>
      <c r="G771" s="278">
        <v>2024856</v>
      </c>
      <c r="H771" s="278">
        <v>1426644</v>
      </c>
      <c r="I771" s="278">
        <v>598212</v>
      </c>
      <c r="J771" s="278">
        <v>2018634</v>
      </c>
      <c r="K771" s="278">
        <v>1424938</v>
      </c>
      <c r="L771" s="278">
        <v>593696</v>
      </c>
      <c r="M771" s="279" t="s">
        <v>5304</v>
      </c>
      <c r="N771" s="279" t="s">
        <v>5304</v>
      </c>
      <c r="O771" s="279" t="s">
        <v>5304</v>
      </c>
      <c r="P771" s="279" t="s">
        <v>5304</v>
      </c>
      <c r="Q771" s="279" t="s">
        <v>5304</v>
      </c>
      <c r="R771" s="279" t="s">
        <v>5304</v>
      </c>
      <c r="S771" s="279" t="s">
        <v>5304</v>
      </c>
    </row>
    <row r="772" spans="1:19">
      <c r="A772" s="241" t="s">
        <v>3159</v>
      </c>
      <c r="B772" s="241" t="s">
        <v>5303</v>
      </c>
      <c r="C772" s="241" t="s">
        <v>3170</v>
      </c>
      <c r="D772" s="241" t="s">
        <v>3961</v>
      </c>
      <c r="E772" s="241" t="s">
        <v>3963</v>
      </c>
      <c r="F772" s="278">
        <v>5857</v>
      </c>
      <c r="G772" s="278">
        <v>582326</v>
      </c>
      <c r="H772" s="278">
        <v>444763</v>
      </c>
      <c r="I772" s="278">
        <v>137563</v>
      </c>
      <c r="J772" s="278">
        <v>582033</v>
      </c>
      <c r="K772" s="278">
        <v>444604</v>
      </c>
      <c r="L772" s="278">
        <v>137429</v>
      </c>
      <c r="M772" s="279" t="s">
        <v>5304</v>
      </c>
      <c r="N772" s="279" t="s">
        <v>5304</v>
      </c>
      <c r="O772" s="279" t="s">
        <v>5304</v>
      </c>
      <c r="P772" s="279" t="s">
        <v>5304</v>
      </c>
      <c r="Q772" s="279" t="s">
        <v>5304</v>
      </c>
      <c r="R772" s="279" t="s">
        <v>5304</v>
      </c>
      <c r="S772" s="279" t="s">
        <v>5304</v>
      </c>
    </row>
    <row r="773" spans="1:19">
      <c r="A773" s="241" t="s">
        <v>3159</v>
      </c>
      <c r="B773" s="241" t="s">
        <v>5303</v>
      </c>
      <c r="C773" s="241" t="s">
        <v>3172</v>
      </c>
      <c r="D773" s="241" t="s">
        <v>3961</v>
      </c>
      <c r="E773" s="241" t="s">
        <v>3964</v>
      </c>
      <c r="F773" s="278">
        <v>16</v>
      </c>
      <c r="G773" s="278">
        <v>3071</v>
      </c>
      <c r="H773" s="278">
        <v>1975</v>
      </c>
      <c r="I773" s="278">
        <v>1096</v>
      </c>
      <c r="J773" s="278">
        <v>3071</v>
      </c>
      <c r="K773" s="278">
        <v>1975</v>
      </c>
      <c r="L773" s="278">
        <v>1096</v>
      </c>
      <c r="M773" s="279" t="s">
        <v>5304</v>
      </c>
      <c r="N773" s="279" t="s">
        <v>5304</v>
      </c>
      <c r="O773" s="279" t="s">
        <v>5304</v>
      </c>
      <c r="P773" s="279" t="s">
        <v>5304</v>
      </c>
      <c r="Q773" s="279" t="s">
        <v>5304</v>
      </c>
      <c r="R773" s="279" t="s">
        <v>5304</v>
      </c>
      <c r="S773" s="279" t="s">
        <v>5304</v>
      </c>
    </row>
    <row r="774" spans="1:19">
      <c r="A774" s="241" t="s">
        <v>3159</v>
      </c>
      <c r="B774" s="241" t="s">
        <v>5303</v>
      </c>
      <c r="C774" s="241" t="s">
        <v>3172</v>
      </c>
      <c r="D774" s="241" t="s">
        <v>3961</v>
      </c>
      <c r="E774" s="241" t="s">
        <v>3965</v>
      </c>
      <c r="F774" s="278">
        <v>554</v>
      </c>
      <c r="G774" s="278">
        <v>25096</v>
      </c>
      <c r="H774" s="278">
        <v>15015</v>
      </c>
      <c r="I774" s="278">
        <v>10081</v>
      </c>
      <c r="J774" s="278">
        <v>25096</v>
      </c>
      <c r="K774" s="278">
        <v>15015</v>
      </c>
      <c r="L774" s="278">
        <v>10081</v>
      </c>
      <c r="M774" s="279" t="s">
        <v>5304</v>
      </c>
      <c r="N774" s="279" t="s">
        <v>5304</v>
      </c>
      <c r="O774" s="279" t="s">
        <v>5304</v>
      </c>
      <c r="P774" s="279" t="s">
        <v>5304</v>
      </c>
      <c r="Q774" s="279" t="s">
        <v>5304</v>
      </c>
      <c r="R774" s="279" t="s">
        <v>5304</v>
      </c>
      <c r="S774" s="279" t="s">
        <v>5304</v>
      </c>
    </row>
    <row r="775" spans="1:19">
      <c r="A775" s="241" t="s">
        <v>3159</v>
      </c>
      <c r="B775" s="241" t="s">
        <v>5303</v>
      </c>
      <c r="C775" s="241" t="s">
        <v>3172</v>
      </c>
      <c r="D775" s="241" t="s">
        <v>3961</v>
      </c>
      <c r="E775" s="241" t="s">
        <v>3966</v>
      </c>
      <c r="F775" s="278">
        <v>5287</v>
      </c>
      <c r="G775" s="278">
        <v>554159</v>
      </c>
      <c r="H775" s="278">
        <v>427773</v>
      </c>
      <c r="I775" s="278">
        <v>126386</v>
      </c>
      <c r="J775" s="278">
        <v>553866</v>
      </c>
      <c r="K775" s="278">
        <v>427614</v>
      </c>
      <c r="L775" s="278">
        <v>126252</v>
      </c>
      <c r="M775" s="279" t="s">
        <v>5304</v>
      </c>
      <c r="N775" s="279" t="s">
        <v>5304</v>
      </c>
      <c r="O775" s="279" t="s">
        <v>5304</v>
      </c>
      <c r="P775" s="279" t="s">
        <v>5304</v>
      </c>
      <c r="Q775" s="279" t="s">
        <v>5304</v>
      </c>
      <c r="R775" s="279" t="s">
        <v>5304</v>
      </c>
      <c r="S775" s="279" t="s">
        <v>5304</v>
      </c>
    </row>
    <row r="776" spans="1:19">
      <c r="A776" s="241" t="s">
        <v>3159</v>
      </c>
      <c r="B776" s="241" t="s">
        <v>5303</v>
      </c>
      <c r="C776" s="241" t="s">
        <v>3170</v>
      </c>
      <c r="D776" s="241" t="s">
        <v>3961</v>
      </c>
      <c r="E776" s="241" t="s">
        <v>3967</v>
      </c>
      <c r="F776" s="278">
        <v>32955</v>
      </c>
      <c r="G776" s="278">
        <v>1442530</v>
      </c>
      <c r="H776" s="278">
        <v>981881</v>
      </c>
      <c r="I776" s="278">
        <v>460649</v>
      </c>
      <c r="J776" s="278">
        <v>1436601</v>
      </c>
      <c r="K776" s="278">
        <v>980334</v>
      </c>
      <c r="L776" s="278">
        <v>456267</v>
      </c>
      <c r="M776" s="279" t="s">
        <v>5304</v>
      </c>
      <c r="N776" s="279" t="s">
        <v>5304</v>
      </c>
      <c r="O776" s="279" t="s">
        <v>5304</v>
      </c>
      <c r="P776" s="279" t="s">
        <v>5304</v>
      </c>
      <c r="Q776" s="279" t="s">
        <v>5304</v>
      </c>
      <c r="R776" s="279" t="s">
        <v>5304</v>
      </c>
      <c r="S776" s="279" t="s">
        <v>5304</v>
      </c>
    </row>
    <row r="777" spans="1:19">
      <c r="A777" s="241" t="s">
        <v>3159</v>
      </c>
      <c r="B777" s="241" t="s">
        <v>5303</v>
      </c>
      <c r="C777" s="241" t="s">
        <v>3172</v>
      </c>
      <c r="D777" s="241" t="s">
        <v>3961</v>
      </c>
      <c r="E777" s="241" t="s">
        <v>3968</v>
      </c>
      <c r="F777" s="278">
        <v>12377</v>
      </c>
      <c r="G777" s="278">
        <v>514396</v>
      </c>
      <c r="H777" s="278">
        <v>402231</v>
      </c>
      <c r="I777" s="278">
        <v>112165</v>
      </c>
      <c r="J777" s="278">
        <v>513987</v>
      </c>
      <c r="K777" s="278">
        <v>402071</v>
      </c>
      <c r="L777" s="278">
        <v>111916</v>
      </c>
      <c r="M777" s="279" t="s">
        <v>5304</v>
      </c>
      <c r="N777" s="279" t="s">
        <v>5304</v>
      </c>
      <c r="O777" s="279" t="s">
        <v>5304</v>
      </c>
      <c r="P777" s="279" t="s">
        <v>5304</v>
      </c>
      <c r="Q777" s="279" t="s">
        <v>5304</v>
      </c>
      <c r="R777" s="279" t="s">
        <v>5304</v>
      </c>
      <c r="S777" s="279" t="s">
        <v>5304</v>
      </c>
    </row>
    <row r="778" spans="1:19">
      <c r="A778" s="259" t="s">
        <v>3159</v>
      </c>
      <c r="B778" s="259" t="s">
        <v>5303</v>
      </c>
      <c r="C778" s="259" t="s">
        <v>3172</v>
      </c>
      <c r="D778" s="259" t="s">
        <v>3961</v>
      </c>
      <c r="E778" s="259" t="s">
        <v>3969</v>
      </c>
      <c r="F778" s="278">
        <v>20578</v>
      </c>
      <c r="G778" s="278">
        <v>928134</v>
      </c>
      <c r="H778" s="278">
        <v>579650</v>
      </c>
      <c r="I778" s="278">
        <v>348484</v>
      </c>
      <c r="J778" s="278">
        <v>922614</v>
      </c>
      <c r="K778" s="278">
        <v>578263</v>
      </c>
      <c r="L778" s="278">
        <v>344351</v>
      </c>
      <c r="M778" s="279" t="s">
        <v>5304</v>
      </c>
      <c r="N778" s="279" t="s">
        <v>5304</v>
      </c>
      <c r="O778" s="279" t="s">
        <v>5304</v>
      </c>
      <c r="P778" s="279" t="s">
        <v>5304</v>
      </c>
      <c r="Q778" s="279" t="s">
        <v>5304</v>
      </c>
      <c r="R778" s="279" t="s">
        <v>5304</v>
      </c>
      <c r="S778" s="279" t="s">
        <v>5304</v>
      </c>
    </row>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A510-50B8-4467-83BF-DCE9727FBDEB}">
  <dimension ref="A1:AJ663"/>
  <sheetViews>
    <sheetView workbookViewId="0">
      <pane xSplit="6" ySplit="11" topLeftCell="G649" activePane="bottomRight" state="frozen"/>
      <selection pane="topRight" activeCell="G1" sqref="G1"/>
      <selection pane="bottomLeft" activeCell="A12" sqref="A12"/>
      <selection pane="bottomRight" activeCell="J657" sqref="J657"/>
    </sheetView>
  </sheetViews>
  <sheetFormatPr defaultColWidth="14.33203125" defaultRowHeight="12" outlineLevelRow="1"/>
  <cols>
    <col min="1" max="1" width="2.08203125" style="234" customWidth="1"/>
    <col min="2" max="2" width="9.75" style="234" customWidth="1"/>
    <col min="3" max="3" width="2.08203125" style="234" bestFit="1" customWidth="1"/>
    <col min="4" max="4" width="29.33203125" style="234" customWidth="1"/>
    <col min="5" max="5" width="1.75" style="234" customWidth="1"/>
    <col min="6" max="6" width="6.33203125" style="234" customWidth="1"/>
    <col min="7" max="16384" width="14.33203125" style="234"/>
  </cols>
  <sheetData>
    <row r="1" spans="1:36" s="232" customFormat="1">
      <c r="A1" s="269" t="s">
        <v>3971</v>
      </c>
      <c r="B1" s="269"/>
      <c r="C1" s="269"/>
      <c r="D1" s="269"/>
    </row>
    <row r="2" spans="1:36" s="232" customFormat="1">
      <c r="A2" s="232" t="s">
        <v>3972</v>
      </c>
    </row>
    <row r="3" spans="1:36" s="232" customFormat="1"/>
    <row r="4" spans="1:36" s="232" customFormat="1" outlineLevel="1">
      <c r="A4" s="232" t="s">
        <v>3973</v>
      </c>
    </row>
    <row r="5" spans="1:36" s="232" customFormat="1" outlineLevel="1">
      <c r="A5" s="232" t="s">
        <v>3974</v>
      </c>
    </row>
    <row r="6" spans="1:36" s="232" customFormat="1" ht="12.5" thickBot="1"/>
    <row r="7" spans="1:36" s="232" customFormat="1">
      <c r="A7" s="260"/>
      <c r="B7" s="260"/>
      <c r="C7" s="260"/>
      <c r="D7" s="260"/>
      <c r="E7" s="261"/>
      <c r="F7" s="246" t="s">
        <v>3975</v>
      </c>
      <c r="G7" s="247" t="s">
        <v>3141</v>
      </c>
      <c r="H7" s="248" t="s">
        <v>3141</v>
      </c>
      <c r="I7" s="248" t="s">
        <v>3141</v>
      </c>
      <c r="J7" s="248" t="s">
        <v>3141</v>
      </c>
      <c r="K7" s="248" t="s">
        <v>3141</v>
      </c>
      <c r="L7" s="248" t="s">
        <v>3141</v>
      </c>
      <c r="M7" s="248" t="s">
        <v>3141</v>
      </c>
      <c r="N7" s="248" t="s">
        <v>3141</v>
      </c>
      <c r="O7" s="248" t="s">
        <v>3141</v>
      </c>
      <c r="P7" s="248" t="s">
        <v>3141</v>
      </c>
      <c r="Q7" s="248" t="s">
        <v>3141</v>
      </c>
      <c r="R7" s="248" t="s">
        <v>3141</v>
      </c>
      <c r="S7" s="248" t="s">
        <v>3141</v>
      </c>
      <c r="T7" s="248" t="s">
        <v>3141</v>
      </c>
      <c r="U7" s="248" t="s">
        <v>3141</v>
      </c>
      <c r="V7" s="248" t="s">
        <v>3141</v>
      </c>
      <c r="W7" s="248" t="s">
        <v>3141</v>
      </c>
      <c r="X7" s="248" t="s">
        <v>3141</v>
      </c>
      <c r="Y7" s="248" t="s">
        <v>3141</v>
      </c>
      <c r="Z7" s="248" t="s">
        <v>3141</v>
      </c>
      <c r="AA7" s="248" t="s">
        <v>3141</v>
      </c>
      <c r="AB7" s="248" t="s">
        <v>3141</v>
      </c>
      <c r="AC7" s="248" t="s">
        <v>3141</v>
      </c>
      <c r="AD7" s="248" t="s">
        <v>3141</v>
      </c>
      <c r="AE7" s="248" t="s">
        <v>3141</v>
      </c>
      <c r="AF7" s="248" t="s">
        <v>3141</v>
      </c>
      <c r="AG7" s="248" t="s">
        <v>3141</v>
      </c>
      <c r="AH7" s="248" t="s">
        <v>3141</v>
      </c>
      <c r="AI7" s="248" t="s">
        <v>3141</v>
      </c>
      <c r="AJ7" s="249" t="s">
        <v>3141</v>
      </c>
    </row>
    <row r="8" spans="1:36" s="232" customFormat="1">
      <c r="E8" s="262"/>
      <c r="F8" s="250" t="s">
        <v>3976</v>
      </c>
      <c r="G8" s="265" t="s">
        <v>3977</v>
      </c>
      <c r="H8" s="266" t="s">
        <v>3977</v>
      </c>
      <c r="I8" s="251" t="s">
        <v>3977</v>
      </c>
      <c r="J8" s="251" t="s">
        <v>3977</v>
      </c>
      <c r="K8" s="251" t="s">
        <v>3977</v>
      </c>
      <c r="L8" s="251" t="s">
        <v>3977</v>
      </c>
      <c r="M8" s="251" t="s">
        <v>3977</v>
      </c>
      <c r="N8" s="251" t="s">
        <v>3977</v>
      </c>
      <c r="O8" s="251" t="s">
        <v>3977</v>
      </c>
      <c r="P8" s="251" t="s">
        <v>3977</v>
      </c>
      <c r="Q8" s="251" t="s">
        <v>3978</v>
      </c>
      <c r="R8" s="251" t="s">
        <v>3978</v>
      </c>
      <c r="S8" s="251" t="s">
        <v>3978</v>
      </c>
      <c r="T8" s="251" t="s">
        <v>3978</v>
      </c>
      <c r="U8" s="251" t="s">
        <v>3978</v>
      </c>
      <c r="V8" s="251" t="s">
        <v>3978</v>
      </c>
      <c r="W8" s="251" t="s">
        <v>3978</v>
      </c>
      <c r="X8" s="251" t="s">
        <v>3978</v>
      </c>
      <c r="Y8" s="251" t="s">
        <v>3978</v>
      </c>
      <c r="Z8" s="251" t="s">
        <v>3978</v>
      </c>
      <c r="AA8" s="251" t="s">
        <v>3979</v>
      </c>
      <c r="AB8" s="251" t="s">
        <v>3979</v>
      </c>
      <c r="AC8" s="251" t="s">
        <v>3979</v>
      </c>
      <c r="AD8" s="251" t="s">
        <v>3979</v>
      </c>
      <c r="AE8" s="251" t="s">
        <v>3979</v>
      </c>
      <c r="AF8" s="251" t="s">
        <v>3979</v>
      </c>
      <c r="AG8" s="251" t="s">
        <v>3979</v>
      </c>
      <c r="AH8" s="251" t="s">
        <v>3979</v>
      </c>
      <c r="AI8" s="251" t="s">
        <v>3979</v>
      </c>
      <c r="AJ8" s="252" t="s">
        <v>3979</v>
      </c>
    </row>
    <row r="9" spans="1:36" s="232" customFormat="1" ht="24">
      <c r="E9" s="262"/>
      <c r="F9" s="250" t="s">
        <v>3980</v>
      </c>
      <c r="G9" s="265" t="s">
        <v>3981</v>
      </c>
      <c r="H9" s="266" t="s">
        <v>3982</v>
      </c>
      <c r="I9" s="251" t="s">
        <v>3983</v>
      </c>
      <c r="J9" s="251" t="s">
        <v>3984</v>
      </c>
      <c r="K9" s="251" t="s">
        <v>3985</v>
      </c>
      <c r="L9" s="251" t="s">
        <v>3986</v>
      </c>
      <c r="M9" s="251" t="s">
        <v>3987</v>
      </c>
      <c r="N9" s="251" t="s">
        <v>3988</v>
      </c>
      <c r="O9" s="251" t="s">
        <v>3989</v>
      </c>
      <c r="P9" s="251" t="s">
        <v>3990</v>
      </c>
      <c r="Q9" s="251" t="s">
        <v>3981</v>
      </c>
      <c r="R9" s="251" t="s">
        <v>3982</v>
      </c>
      <c r="S9" s="251" t="s">
        <v>3983</v>
      </c>
      <c r="T9" s="251" t="s">
        <v>3984</v>
      </c>
      <c r="U9" s="251" t="s">
        <v>3985</v>
      </c>
      <c r="V9" s="251" t="s">
        <v>3986</v>
      </c>
      <c r="W9" s="251" t="s">
        <v>3987</v>
      </c>
      <c r="X9" s="251" t="s">
        <v>3988</v>
      </c>
      <c r="Y9" s="251" t="s">
        <v>3989</v>
      </c>
      <c r="Z9" s="251" t="s">
        <v>3990</v>
      </c>
      <c r="AA9" s="251" t="s">
        <v>3981</v>
      </c>
      <c r="AB9" s="251" t="s">
        <v>3982</v>
      </c>
      <c r="AC9" s="251" t="s">
        <v>3983</v>
      </c>
      <c r="AD9" s="251" t="s">
        <v>3984</v>
      </c>
      <c r="AE9" s="251" t="s">
        <v>3985</v>
      </c>
      <c r="AF9" s="251" t="s">
        <v>3986</v>
      </c>
      <c r="AG9" s="251" t="s">
        <v>3987</v>
      </c>
      <c r="AH9" s="251" t="s">
        <v>3988</v>
      </c>
      <c r="AI9" s="251" t="s">
        <v>3989</v>
      </c>
      <c r="AJ9" s="252" t="s">
        <v>3990</v>
      </c>
    </row>
    <row r="10" spans="1:36" s="232" customFormat="1" ht="24.5" thickBot="1">
      <c r="A10" s="263"/>
      <c r="B10" s="263"/>
      <c r="C10" s="263"/>
      <c r="D10" s="263"/>
      <c r="E10" s="264"/>
      <c r="F10" s="253" t="s">
        <v>3991</v>
      </c>
      <c r="G10" s="267"/>
      <c r="H10" s="268" t="s">
        <v>3992</v>
      </c>
      <c r="I10" s="254" t="s">
        <v>3992</v>
      </c>
      <c r="J10" s="254" t="s">
        <v>3992</v>
      </c>
      <c r="K10" s="254" t="s">
        <v>3992</v>
      </c>
      <c r="L10" s="254" t="s">
        <v>3992</v>
      </c>
      <c r="M10" s="254" t="s">
        <v>3992</v>
      </c>
      <c r="N10" s="254" t="s">
        <v>3992</v>
      </c>
      <c r="O10" s="254" t="s">
        <v>3992</v>
      </c>
      <c r="P10" s="254" t="s">
        <v>3992</v>
      </c>
      <c r="Q10" s="254"/>
      <c r="R10" s="254" t="s">
        <v>3992</v>
      </c>
      <c r="S10" s="254" t="s">
        <v>3992</v>
      </c>
      <c r="T10" s="254" t="s">
        <v>3992</v>
      </c>
      <c r="U10" s="254" t="s">
        <v>3992</v>
      </c>
      <c r="V10" s="254" t="s">
        <v>3992</v>
      </c>
      <c r="W10" s="254" t="s">
        <v>3992</v>
      </c>
      <c r="X10" s="254" t="s">
        <v>3992</v>
      </c>
      <c r="Y10" s="254" t="s">
        <v>3992</v>
      </c>
      <c r="Z10" s="254" t="s">
        <v>3992</v>
      </c>
      <c r="AA10" s="254"/>
      <c r="AB10" s="254" t="s">
        <v>3992</v>
      </c>
      <c r="AC10" s="254" t="s">
        <v>3992</v>
      </c>
      <c r="AD10" s="254" t="s">
        <v>3992</v>
      </c>
      <c r="AE10" s="254" t="s">
        <v>3992</v>
      </c>
      <c r="AF10" s="254" t="s">
        <v>3992</v>
      </c>
      <c r="AG10" s="254" t="s">
        <v>3992</v>
      </c>
      <c r="AH10" s="254" t="s">
        <v>3992</v>
      </c>
      <c r="AI10" s="254" t="s">
        <v>3992</v>
      </c>
      <c r="AJ10" s="255" t="s">
        <v>3992</v>
      </c>
    </row>
    <row r="11" spans="1:36" s="232" customFormat="1">
      <c r="A11" s="258" t="s">
        <v>3993</v>
      </c>
      <c r="B11" s="259" t="s">
        <v>3154</v>
      </c>
      <c r="C11" s="259" t="s">
        <v>3994</v>
      </c>
      <c r="D11" s="259" t="s">
        <v>3995</v>
      </c>
      <c r="E11" s="259" t="s">
        <v>3993</v>
      </c>
      <c r="F11" s="236" t="s">
        <v>3996</v>
      </c>
      <c r="G11" s="256" t="s">
        <v>3158</v>
      </c>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row>
    <row r="12" spans="1:36">
      <c r="A12" s="237">
        <v>1</v>
      </c>
      <c r="B12" s="238" t="s">
        <v>3997</v>
      </c>
      <c r="C12" s="238" t="s">
        <v>3161</v>
      </c>
      <c r="D12" s="238" t="s">
        <v>3998</v>
      </c>
      <c r="E12" s="238">
        <v>1</v>
      </c>
      <c r="F12" s="239" t="s">
        <v>3999</v>
      </c>
      <c r="G12" s="233">
        <v>1979604</v>
      </c>
      <c r="H12" s="233">
        <v>1689183006</v>
      </c>
      <c r="I12" s="233">
        <v>484088409</v>
      </c>
      <c r="J12" s="233">
        <v>334718404</v>
      </c>
      <c r="K12" s="233">
        <v>149370006</v>
      </c>
      <c r="L12" s="233">
        <v>1577680077</v>
      </c>
      <c r="M12" s="233">
        <v>196765736</v>
      </c>
      <c r="N12" s="233">
        <v>12101936</v>
      </c>
      <c r="O12" s="233">
        <v>385832744</v>
      </c>
      <c r="P12" s="233">
        <v>320370601</v>
      </c>
      <c r="Q12" s="233">
        <v>1814431</v>
      </c>
      <c r="R12" s="233">
        <v>1470058256</v>
      </c>
      <c r="S12" s="233">
        <v>465748961</v>
      </c>
      <c r="T12" s="233">
        <v>322324182</v>
      </c>
      <c r="U12" s="233">
        <v>143424779</v>
      </c>
      <c r="V12" s="233">
        <v>1378352842</v>
      </c>
      <c r="W12" s="233">
        <v>161810276</v>
      </c>
      <c r="X12" s="233">
        <v>11072682</v>
      </c>
      <c r="Y12" s="233">
        <v>370343658</v>
      </c>
      <c r="Z12" s="233">
        <v>264588373</v>
      </c>
      <c r="AA12" s="233">
        <v>165173</v>
      </c>
      <c r="AB12" s="233">
        <v>219124750</v>
      </c>
      <c r="AC12" s="233">
        <v>18339449</v>
      </c>
      <c r="AD12" s="233">
        <v>12394222</v>
      </c>
      <c r="AE12" s="233">
        <v>5945227</v>
      </c>
      <c r="AF12" s="233">
        <v>199327235</v>
      </c>
      <c r="AG12" s="233">
        <v>34955460</v>
      </c>
      <c r="AH12" s="233">
        <v>1029253</v>
      </c>
      <c r="AI12" s="233">
        <v>15489086</v>
      </c>
      <c r="AJ12" s="233">
        <v>55782229</v>
      </c>
    </row>
    <row r="13" spans="1:36">
      <c r="A13" s="240">
        <v>1</v>
      </c>
      <c r="B13" s="241" t="s">
        <v>3997</v>
      </c>
      <c r="C13" s="241" t="s">
        <v>3168</v>
      </c>
      <c r="D13" s="241" t="s">
        <v>4000</v>
      </c>
      <c r="E13" s="241">
        <v>2</v>
      </c>
      <c r="F13" s="242" t="s">
        <v>4001</v>
      </c>
      <c r="G13" s="233">
        <v>36231</v>
      </c>
      <c r="H13" s="233">
        <v>6175232</v>
      </c>
      <c r="I13" s="233">
        <v>198597</v>
      </c>
      <c r="J13" s="233">
        <v>138425</v>
      </c>
      <c r="K13" s="233">
        <v>60172</v>
      </c>
      <c r="L13" s="233">
        <v>5976015</v>
      </c>
      <c r="M13" s="233">
        <v>919403</v>
      </c>
      <c r="N13" s="233">
        <v>55457</v>
      </c>
      <c r="O13" s="233">
        <v>214733</v>
      </c>
      <c r="P13" s="233">
        <v>1174076</v>
      </c>
      <c r="Q13" s="233">
        <v>25459</v>
      </c>
      <c r="R13" s="233">
        <v>5167656</v>
      </c>
      <c r="S13" s="233">
        <v>169403</v>
      </c>
      <c r="T13" s="233">
        <v>122918</v>
      </c>
      <c r="U13" s="233">
        <v>46485</v>
      </c>
      <c r="V13" s="233">
        <v>5040608</v>
      </c>
      <c r="W13" s="233">
        <v>755081</v>
      </c>
      <c r="X13" s="233">
        <v>45912</v>
      </c>
      <c r="Y13" s="233">
        <v>191690</v>
      </c>
      <c r="Z13" s="233">
        <v>928041</v>
      </c>
      <c r="AA13" s="233">
        <v>10772</v>
      </c>
      <c r="AB13" s="233">
        <v>1007576</v>
      </c>
      <c r="AC13" s="233">
        <v>29195</v>
      </c>
      <c r="AD13" s="233">
        <v>15508</v>
      </c>
      <c r="AE13" s="233">
        <v>13687</v>
      </c>
      <c r="AF13" s="233">
        <v>935407</v>
      </c>
      <c r="AG13" s="233">
        <v>164322</v>
      </c>
      <c r="AH13" s="233">
        <v>9545</v>
      </c>
      <c r="AI13" s="233">
        <v>23044</v>
      </c>
      <c r="AJ13" s="233">
        <v>246035</v>
      </c>
    </row>
    <row r="14" spans="1:36">
      <c r="A14" s="240">
        <v>1</v>
      </c>
      <c r="B14" s="241" t="s">
        <v>3997</v>
      </c>
      <c r="C14" s="241" t="s">
        <v>3459</v>
      </c>
      <c r="D14" s="241" t="s">
        <v>4002</v>
      </c>
      <c r="E14" s="241">
        <v>3</v>
      </c>
      <c r="F14" s="242" t="s">
        <v>4003</v>
      </c>
      <c r="G14" s="233">
        <v>32959</v>
      </c>
      <c r="H14" s="233">
        <v>5456663</v>
      </c>
      <c r="I14" s="233">
        <v>171756</v>
      </c>
      <c r="J14" s="233">
        <v>115504</v>
      </c>
      <c r="K14" s="233">
        <v>56252</v>
      </c>
      <c r="L14" s="233">
        <v>5253057</v>
      </c>
      <c r="M14" s="233">
        <v>777371</v>
      </c>
      <c r="N14" s="233">
        <v>49528</v>
      </c>
      <c r="O14" s="233">
        <v>168996</v>
      </c>
      <c r="P14" s="233">
        <v>1030505</v>
      </c>
      <c r="Q14" s="233">
        <v>22707</v>
      </c>
      <c r="R14" s="233">
        <v>4505213</v>
      </c>
      <c r="S14" s="233">
        <v>144116</v>
      </c>
      <c r="T14" s="233">
        <v>100592</v>
      </c>
      <c r="U14" s="233">
        <v>43524</v>
      </c>
      <c r="V14" s="233">
        <v>4372093</v>
      </c>
      <c r="W14" s="233">
        <v>624977</v>
      </c>
      <c r="X14" s="233">
        <v>40832</v>
      </c>
      <c r="Y14" s="233">
        <v>146757</v>
      </c>
      <c r="Z14" s="233">
        <v>798929</v>
      </c>
      <c r="AA14" s="233">
        <v>10252</v>
      </c>
      <c r="AB14" s="233">
        <v>951450</v>
      </c>
      <c r="AC14" s="233">
        <v>27640</v>
      </c>
      <c r="AD14" s="233">
        <v>14912</v>
      </c>
      <c r="AE14" s="233">
        <v>12728</v>
      </c>
      <c r="AF14" s="233">
        <v>880964</v>
      </c>
      <c r="AG14" s="233">
        <v>152395</v>
      </c>
      <c r="AH14" s="233">
        <v>8696</v>
      </c>
      <c r="AI14" s="233">
        <v>22239</v>
      </c>
      <c r="AJ14" s="233">
        <v>231575</v>
      </c>
    </row>
    <row r="15" spans="1:36">
      <c r="A15" s="240">
        <v>1</v>
      </c>
      <c r="B15" s="241" t="s">
        <v>3997</v>
      </c>
      <c r="C15" s="241" t="s">
        <v>3172</v>
      </c>
      <c r="D15" s="241" t="s">
        <v>4004</v>
      </c>
      <c r="E15" s="241">
        <v>5</v>
      </c>
      <c r="F15" s="242" t="s">
        <v>4005</v>
      </c>
      <c r="G15" s="233">
        <v>28985</v>
      </c>
      <c r="H15" s="233">
        <v>4897388</v>
      </c>
      <c r="I15" s="233">
        <v>158369</v>
      </c>
      <c r="J15" s="233">
        <v>107277</v>
      </c>
      <c r="K15" s="233">
        <v>51092</v>
      </c>
      <c r="L15" s="233">
        <v>4751849</v>
      </c>
      <c r="M15" s="233">
        <v>669708</v>
      </c>
      <c r="N15" s="233">
        <v>42038</v>
      </c>
      <c r="O15" s="233">
        <v>158755</v>
      </c>
      <c r="P15" s="233">
        <v>857286</v>
      </c>
      <c r="Q15" s="233">
        <v>20593</v>
      </c>
      <c r="R15" s="233">
        <v>4243424</v>
      </c>
      <c r="S15" s="233">
        <v>142157</v>
      </c>
      <c r="T15" s="233">
        <v>99447</v>
      </c>
      <c r="U15" s="233">
        <v>42710</v>
      </c>
      <c r="V15" s="233">
        <v>4134806</v>
      </c>
      <c r="W15" s="233">
        <v>565509</v>
      </c>
      <c r="X15" s="233">
        <v>36107</v>
      </c>
      <c r="Y15" s="233">
        <v>145505</v>
      </c>
      <c r="Z15" s="233">
        <v>710234</v>
      </c>
      <c r="AA15" s="233">
        <v>8392</v>
      </c>
      <c r="AB15" s="233">
        <v>653964</v>
      </c>
      <c r="AC15" s="233">
        <v>16212</v>
      </c>
      <c r="AD15" s="233">
        <v>7830</v>
      </c>
      <c r="AE15" s="233">
        <v>8382</v>
      </c>
      <c r="AF15" s="233">
        <v>617042</v>
      </c>
      <c r="AG15" s="233">
        <v>104199</v>
      </c>
      <c r="AH15" s="233">
        <v>5931</v>
      </c>
      <c r="AI15" s="233">
        <v>13250</v>
      </c>
      <c r="AJ15" s="233">
        <v>147052</v>
      </c>
    </row>
    <row r="16" spans="1:36">
      <c r="A16" s="240">
        <v>1</v>
      </c>
      <c r="B16" s="241" t="s">
        <v>3997</v>
      </c>
      <c r="C16" s="241" t="s">
        <v>3432</v>
      </c>
      <c r="D16" s="241" t="s">
        <v>4006</v>
      </c>
      <c r="E16" s="241">
        <v>6</v>
      </c>
      <c r="F16" s="242" t="s">
        <v>4007</v>
      </c>
      <c r="G16" s="233">
        <v>16816</v>
      </c>
      <c r="H16" s="233">
        <v>1374655</v>
      </c>
      <c r="I16" s="233">
        <v>47684</v>
      </c>
      <c r="J16" s="233">
        <v>24902</v>
      </c>
      <c r="K16" s="233">
        <v>22782</v>
      </c>
      <c r="L16" s="233">
        <v>1366158</v>
      </c>
      <c r="M16" s="233">
        <v>290887</v>
      </c>
      <c r="N16" s="233">
        <v>16514</v>
      </c>
      <c r="O16" s="233">
        <v>65151</v>
      </c>
      <c r="P16" s="233">
        <v>315898</v>
      </c>
      <c r="Q16" s="233">
        <v>11580</v>
      </c>
      <c r="R16" s="233">
        <v>1152959</v>
      </c>
      <c r="S16" s="233">
        <v>45257</v>
      </c>
      <c r="T16" s="233">
        <v>24226</v>
      </c>
      <c r="U16" s="233">
        <v>21032</v>
      </c>
      <c r="V16" s="233">
        <v>1149826</v>
      </c>
      <c r="W16" s="233">
        <v>248934</v>
      </c>
      <c r="X16" s="233">
        <v>14041</v>
      </c>
      <c r="Y16" s="233">
        <v>63495</v>
      </c>
      <c r="Z16" s="233">
        <v>266107</v>
      </c>
      <c r="AA16" s="233">
        <v>5236</v>
      </c>
      <c r="AB16" s="233">
        <v>221696</v>
      </c>
      <c r="AC16" s="233">
        <v>2426</v>
      </c>
      <c r="AD16" s="233">
        <v>676</v>
      </c>
      <c r="AE16" s="233">
        <v>1750</v>
      </c>
      <c r="AF16" s="233">
        <v>216332</v>
      </c>
      <c r="AG16" s="233">
        <v>41953</v>
      </c>
      <c r="AH16" s="233">
        <v>2473</v>
      </c>
      <c r="AI16" s="233">
        <v>1656</v>
      </c>
      <c r="AJ16" s="233">
        <v>49790</v>
      </c>
    </row>
    <row r="17" spans="1:36">
      <c r="A17" s="240">
        <v>1</v>
      </c>
      <c r="B17" s="241" t="s">
        <v>3997</v>
      </c>
      <c r="C17" s="241" t="s">
        <v>3432</v>
      </c>
      <c r="D17" s="241" t="s">
        <v>4008</v>
      </c>
      <c r="E17" s="241">
        <v>6</v>
      </c>
      <c r="F17" s="242" t="s">
        <v>4009</v>
      </c>
      <c r="G17" s="233">
        <v>5971</v>
      </c>
      <c r="H17" s="233">
        <v>2935980</v>
      </c>
      <c r="I17" s="233">
        <v>93071</v>
      </c>
      <c r="J17" s="233">
        <v>70180</v>
      </c>
      <c r="K17" s="233">
        <v>22891</v>
      </c>
      <c r="L17" s="233">
        <v>2840771</v>
      </c>
      <c r="M17" s="233">
        <v>262147</v>
      </c>
      <c r="N17" s="233">
        <v>19638</v>
      </c>
      <c r="O17" s="233">
        <v>79255</v>
      </c>
      <c r="P17" s="233">
        <v>376993</v>
      </c>
      <c r="Q17" s="233">
        <v>5536</v>
      </c>
      <c r="R17" s="233">
        <v>2784572</v>
      </c>
      <c r="S17" s="233">
        <v>88180</v>
      </c>
      <c r="T17" s="233">
        <v>68663</v>
      </c>
      <c r="U17" s="233">
        <v>19517</v>
      </c>
      <c r="V17" s="233">
        <v>2692690</v>
      </c>
      <c r="W17" s="233">
        <v>248991</v>
      </c>
      <c r="X17" s="233">
        <v>18544</v>
      </c>
      <c r="Y17" s="233">
        <v>75310</v>
      </c>
      <c r="Z17" s="233">
        <v>359418</v>
      </c>
      <c r="AA17" s="233">
        <v>435</v>
      </c>
      <c r="AB17" s="233">
        <v>151408</v>
      </c>
      <c r="AC17" s="233">
        <v>4891</v>
      </c>
      <c r="AD17" s="233">
        <v>1517</v>
      </c>
      <c r="AE17" s="233">
        <v>3374</v>
      </c>
      <c r="AF17" s="233">
        <v>148081</v>
      </c>
      <c r="AG17" s="233">
        <v>13155</v>
      </c>
      <c r="AH17" s="233">
        <v>1094</v>
      </c>
      <c r="AI17" s="233">
        <v>3946</v>
      </c>
      <c r="AJ17" s="233">
        <v>17576</v>
      </c>
    </row>
    <row r="18" spans="1:36">
      <c r="A18" s="240">
        <v>1</v>
      </c>
      <c r="B18" s="241" t="s">
        <v>3997</v>
      </c>
      <c r="C18" s="241" t="s">
        <v>3432</v>
      </c>
      <c r="D18" s="241" t="s">
        <v>4010</v>
      </c>
      <c r="E18" s="241">
        <v>6</v>
      </c>
      <c r="F18" s="242" t="s">
        <v>4011</v>
      </c>
      <c r="G18" s="233">
        <v>3780</v>
      </c>
      <c r="H18" s="233">
        <v>444167</v>
      </c>
      <c r="I18" s="233">
        <v>16668</v>
      </c>
      <c r="J18" s="233">
        <v>12003</v>
      </c>
      <c r="K18" s="233">
        <v>4665</v>
      </c>
      <c r="L18" s="233">
        <v>413741</v>
      </c>
      <c r="M18" s="233">
        <v>76394</v>
      </c>
      <c r="N18" s="233">
        <v>3699</v>
      </c>
      <c r="O18" s="233">
        <v>13853</v>
      </c>
      <c r="P18" s="233">
        <v>110519</v>
      </c>
      <c r="Q18" s="233">
        <v>1175</v>
      </c>
      <c r="R18" s="233">
        <v>170352</v>
      </c>
      <c r="S18" s="233">
        <v>7777</v>
      </c>
      <c r="T18" s="233">
        <v>6370</v>
      </c>
      <c r="U18" s="233">
        <v>1407</v>
      </c>
      <c r="V18" s="233">
        <v>167871</v>
      </c>
      <c r="W18" s="233">
        <v>28246</v>
      </c>
      <c r="X18" s="233">
        <v>1396</v>
      </c>
      <c r="Y18" s="233">
        <v>6208</v>
      </c>
      <c r="Z18" s="233">
        <v>32123</v>
      </c>
      <c r="AA18" s="233">
        <v>2605</v>
      </c>
      <c r="AB18" s="233">
        <v>273815</v>
      </c>
      <c r="AC18" s="233">
        <v>8891</v>
      </c>
      <c r="AD18" s="233">
        <v>5633</v>
      </c>
      <c r="AE18" s="233">
        <v>3258</v>
      </c>
      <c r="AF18" s="233">
        <v>245870</v>
      </c>
      <c r="AG18" s="233">
        <v>48148</v>
      </c>
      <c r="AH18" s="233">
        <v>2303</v>
      </c>
      <c r="AI18" s="233">
        <v>7645</v>
      </c>
      <c r="AJ18" s="233">
        <v>78396</v>
      </c>
    </row>
    <row r="19" spans="1:36">
      <c r="A19" s="240">
        <v>1</v>
      </c>
      <c r="B19" s="241" t="s">
        <v>3997</v>
      </c>
      <c r="C19" s="241" t="s">
        <v>3432</v>
      </c>
      <c r="D19" s="241" t="s">
        <v>4012</v>
      </c>
      <c r="E19" s="241">
        <v>6</v>
      </c>
      <c r="F19" s="242" t="s">
        <v>4013</v>
      </c>
      <c r="G19" s="233">
        <v>2418</v>
      </c>
      <c r="H19" s="233">
        <v>142586</v>
      </c>
      <c r="I19" s="233">
        <v>946</v>
      </c>
      <c r="J19" s="233">
        <v>191</v>
      </c>
      <c r="K19" s="233">
        <v>754</v>
      </c>
      <c r="L19" s="233">
        <v>131179</v>
      </c>
      <c r="M19" s="233">
        <v>40281</v>
      </c>
      <c r="N19" s="233">
        <v>2188</v>
      </c>
      <c r="O19" s="233">
        <v>496</v>
      </c>
      <c r="P19" s="233">
        <v>53876</v>
      </c>
      <c r="Q19" s="233">
        <v>2302</v>
      </c>
      <c r="R19" s="233">
        <v>135541</v>
      </c>
      <c r="S19" s="233">
        <v>942</v>
      </c>
      <c r="T19" s="233">
        <v>188</v>
      </c>
      <c r="U19" s="233">
        <v>754</v>
      </c>
      <c r="V19" s="233">
        <v>124419</v>
      </c>
      <c r="W19" s="233">
        <v>39338</v>
      </c>
      <c r="X19" s="233">
        <v>2126</v>
      </c>
      <c r="Y19" s="233">
        <v>493</v>
      </c>
      <c r="Z19" s="233">
        <v>52586</v>
      </c>
      <c r="AA19" s="233">
        <v>116</v>
      </c>
      <c r="AB19" s="233">
        <v>7045</v>
      </c>
      <c r="AC19" s="233">
        <v>4</v>
      </c>
      <c r="AD19" s="233">
        <v>3</v>
      </c>
      <c r="AE19" s="233">
        <v>0</v>
      </c>
      <c r="AF19" s="233">
        <v>6760</v>
      </c>
      <c r="AG19" s="233">
        <v>943</v>
      </c>
      <c r="AH19" s="233">
        <v>62</v>
      </c>
      <c r="AI19" s="233">
        <v>3</v>
      </c>
      <c r="AJ19" s="233">
        <v>1290</v>
      </c>
    </row>
    <row r="20" spans="1:36">
      <c r="A20" s="240">
        <v>1</v>
      </c>
      <c r="B20" s="241" t="s">
        <v>3997</v>
      </c>
      <c r="C20" s="241" t="s">
        <v>3172</v>
      </c>
      <c r="D20" s="241" t="s">
        <v>4014</v>
      </c>
      <c r="E20" s="241">
        <v>5</v>
      </c>
      <c r="F20" s="242" t="s">
        <v>4015</v>
      </c>
      <c r="G20" s="233">
        <v>3968</v>
      </c>
      <c r="H20" s="233">
        <v>559214</v>
      </c>
      <c r="I20" s="233">
        <v>13387</v>
      </c>
      <c r="J20" s="233">
        <v>8227</v>
      </c>
      <c r="K20" s="233">
        <v>5160</v>
      </c>
      <c r="L20" s="233">
        <v>501154</v>
      </c>
      <c r="M20" s="233">
        <v>107657</v>
      </c>
      <c r="N20" s="233">
        <v>7474</v>
      </c>
      <c r="O20" s="233">
        <v>10241</v>
      </c>
      <c r="P20" s="233">
        <v>173191</v>
      </c>
      <c r="Q20" s="233">
        <v>2111</v>
      </c>
      <c r="R20" s="233">
        <v>261729</v>
      </c>
      <c r="S20" s="233">
        <v>1959</v>
      </c>
      <c r="T20" s="233">
        <v>1145</v>
      </c>
      <c r="U20" s="233">
        <v>814</v>
      </c>
      <c r="V20" s="233">
        <v>237233</v>
      </c>
      <c r="W20" s="233">
        <v>59462</v>
      </c>
      <c r="X20" s="233">
        <v>4709</v>
      </c>
      <c r="Y20" s="233">
        <v>1252</v>
      </c>
      <c r="Z20" s="233">
        <v>88668</v>
      </c>
      <c r="AA20" s="233">
        <v>1857</v>
      </c>
      <c r="AB20" s="233">
        <v>297485</v>
      </c>
      <c r="AC20" s="233">
        <v>11428</v>
      </c>
      <c r="AD20" s="233">
        <v>7082</v>
      </c>
      <c r="AE20" s="233">
        <v>4346</v>
      </c>
      <c r="AF20" s="233">
        <v>263921</v>
      </c>
      <c r="AG20" s="233">
        <v>48195</v>
      </c>
      <c r="AH20" s="233">
        <v>2764</v>
      </c>
      <c r="AI20" s="233">
        <v>8989</v>
      </c>
      <c r="AJ20" s="233">
        <v>84523</v>
      </c>
    </row>
    <row r="21" spans="1:36">
      <c r="A21" s="240">
        <v>1</v>
      </c>
      <c r="B21" s="241" t="s">
        <v>3997</v>
      </c>
      <c r="C21" s="241" t="s">
        <v>3432</v>
      </c>
      <c r="D21" s="241" t="s">
        <v>4016</v>
      </c>
      <c r="E21" s="241">
        <v>6</v>
      </c>
      <c r="F21" s="242" t="s">
        <v>4017</v>
      </c>
      <c r="G21" s="233">
        <v>2103</v>
      </c>
      <c r="H21" s="233">
        <v>259278</v>
      </c>
      <c r="I21" s="233">
        <v>8827</v>
      </c>
      <c r="J21" s="233">
        <v>5830</v>
      </c>
      <c r="K21" s="233">
        <v>2998</v>
      </c>
      <c r="L21" s="233">
        <v>233156</v>
      </c>
      <c r="M21" s="233">
        <v>47276</v>
      </c>
      <c r="N21" s="233">
        <v>3093</v>
      </c>
      <c r="O21" s="233">
        <v>7414</v>
      </c>
      <c r="P21" s="233">
        <v>76492</v>
      </c>
      <c r="Q21" s="233">
        <v>654</v>
      </c>
      <c r="R21" s="233">
        <v>57002</v>
      </c>
      <c r="S21" s="233">
        <v>279</v>
      </c>
      <c r="T21" s="233">
        <v>125</v>
      </c>
      <c r="U21" s="233">
        <v>154</v>
      </c>
      <c r="V21" s="233">
        <v>53382</v>
      </c>
      <c r="W21" s="233">
        <v>14140</v>
      </c>
      <c r="X21" s="233">
        <v>1201</v>
      </c>
      <c r="Y21" s="233">
        <v>168</v>
      </c>
      <c r="Z21" s="233">
        <v>18960</v>
      </c>
      <c r="AA21" s="233">
        <v>1449</v>
      </c>
      <c r="AB21" s="233">
        <v>202277</v>
      </c>
      <c r="AC21" s="233">
        <v>8549</v>
      </c>
      <c r="AD21" s="233">
        <v>5705</v>
      </c>
      <c r="AE21" s="233">
        <v>2844</v>
      </c>
      <c r="AF21" s="233">
        <v>179774</v>
      </c>
      <c r="AG21" s="233">
        <v>33136</v>
      </c>
      <c r="AH21" s="233">
        <v>1892</v>
      </c>
      <c r="AI21" s="233">
        <v>7246</v>
      </c>
      <c r="AJ21" s="233">
        <v>57531</v>
      </c>
    </row>
    <row r="22" spans="1:36">
      <c r="A22" s="240">
        <v>1</v>
      </c>
      <c r="B22" s="241" t="s">
        <v>3997</v>
      </c>
      <c r="C22" s="241" t="s">
        <v>3432</v>
      </c>
      <c r="D22" s="241" t="s">
        <v>4018</v>
      </c>
      <c r="E22" s="241">
        <v>6</v>
      </c>
      <c r="F22" s="242" t="s">
        <v>4019</v>
      </c>
      <c r="G22" s="233">
        <v>639</v>
      </c>
      <c r="H22" s="233">
        <v>123327</v>
      </c>
      <c r="I22" s="233">
        <v>2048</v>
      </c>
      <c r="J22" s="233">
        <v>1204</v>
      </c>
      <c r="K22" s="233">
        <v>844</v>
      </c>
      <c r="L22" s="233">
        <v>109723</v>
      </c>
      <c r="M22" s="233">
        <v>22881</v>
      </c>
      <c r="N22" s="233">
        <v>1936</v>
      </c>
      <c r="O22" s="233">
        <v>1117</v>
      </c>
      <c r="P22" s="233">
        <v>38421</v>
      </c>
      <c r="Q22" s="233">
        <v>571</v>
      </c>
      <c r="R22" s="233">
        <v>101397</v>
      </c>
      <c r="S22" s="233">
        <v>1154</v>
      </c>
      <c r="T22" s="233">
        <v>744</v>
      </c>
      <c r="U22" s="233">
        <v>410</v>
      </c>
      <c r="V22" s="233">
        <v>89589</v>
      </c>
      <c r="W22" s="233">
        <v>19933</v>
      </c>
      <c r="X22" s="233">
        <v>1730</v>
      </c>
      <c r="Y22" s="233">
        <v>784</v>
      </c>
      <c r="Z22" s="233">
        <v>33472</v>
      </c>
      <c r="AA22" s="233">
        <v>68</v>
      </c>
      <c r="AB22" s="233">
        <v>21930</v>
      </c>
      <c r="AC22" s="233">
        <v>894</v>
      </c>
      <c r="AD22" s="233">
        <v>460</v>
      </c>
      <c r="AE22" s="233">
        <v>434</v>
      </c>
      <c r="AF22" s="233">
        <v>20134</v>
      </c>
      <c r="AG22" s="233">
        <v>2947</v>
      </c>
      <c r="AH22" s="233">
        <v>206</v>
      </c>
      <c r="AI22" s="233">
        <v>333</v>
      </c>
      <c r="AJ22" s="233">
        <v>4950</v>
      </c>
    </row>
    <row r="23" spans="1:36">
      <c r="A23" s="240">
        <v>1</v>
      </c>
      <c r="B23" s="241" t="s">
        <v>3997</v>
      </c>
      <c r="C23" s="241" t="s">
        <v>3432</v>
      </c>
      <c r="D23" s="241" t="s">
        <v>4021</v>
      </c>
      <c r="E23" s="241">
        <v>6</v>
      </c>
      <c r="F23" s="242" t="s">
        <v>4022</v>
      </c>
      <c r="G23" s="233">
        <v>74</v>
      </c>
      <c r="H23" s="233">
        <v>2435</v>
      </c>
      <c r="I23" s="233">
        <v>33</v>
      </c>
      <c r="J23" s="233">
        <v>0</v>
      </c>
      <c r="K23" s="233">
        <v>33</v>
      </c>
      <c r="L23" s="233">
        <v>2301</v>
      </c>
      <c r="M23" s="233">
        <v>574</v>
      </c>
      <c r="N23" s="233">
        <v>73</v>
      </c>
      <c r="O23" s="233">
        <v>12</v>
      </c>
      <c r="P23" s="233">
        <v>782</v>
      </c>
      <c r="Q23" s="233">
        <v>55</v>
      </c>
      <c r="R23" s="233">
        <v>2274</v>
      </c>
      <c r="S23" s="233">
        <v>18</v>
      </c>
      <c r="T23" s="233">
        <v>0</v>
      </c>
      <c r="U23" s="233">
        <v>18</v>
      </c>
      <c r="V23" s="233">
        <v>2151</v>
      </c>
      <c r="W23" s="233">
        <v>554</v>
      </c>
      <c r="X23" s="233">
        <v>70</v>
      </c>
      <c r="Y23" s="233">
        <v>12</v>
      </c>
      <c r="Z23" s="233">
        <v>746</v>
      </c>
      <c r="AA23" s="233">
        <v>19</v>
      </c>
      <c r="AB23" s="233">
        <v>161</v>
      </c>
      <c r="AC23" s="233">
        <v>16</v>
      </c>
      <c r="AD23" s="233">
        <v>0</v>
      </c>
      <c r="AE23" s="233">
        <v>16</v>
      </c>
      <c r="AF23" s="233">
        <v>150</v>
      </c>
      <c r="AG23" s="233">
        <v>20</v>
      </c>
      <c r="AH23" s="233">
        <v>4</v>
      </c>
      <c r="AI23" s="233">
        <v>0</v>
      </c>
      <c r="AJ23" s="233">
        <v>35</v>
      </c>
    </row>
    <row r="24" spans="1:36">
      <c r="A24" s="240">
        <v>1</v>
      </c>
      <c r="B24" s="241" t="s">
        <v>3997</v>
      </c>
      <c r="C24" s="241" t="s">
        <v>3432</v>
      </c>
      <c r="D24" s="241" t="s">
        <v>4023</v>
      </c>
      <c r="E24" s="241">
        <v>6</v>
      </c>
      <c r="F24" s="242" t="s">
        <v>4024</v>
      </c>
      <c r="G24" s="233">
        <v>1090</v>
      </c>
      <c r="H24" s="233">
        <v>169692</v>
      </c>
      <c r="I24" s="233">
        <v>2216</v>
      </c>
      <c r="J24" s="233">
        <v>972</v>
      </c>
      <c r="K24" s="233">
        <v>1244</v>
      </c>
      <c r="L24" s="233">
        <v>151850</v>
      </c>
      <c r="M24" s="233">
        <v>35559</v>
      </c>
      <c r="N24" s="233">
        <v>2253</v>
      </c>
      <c r="O24" s="233">
        <v>1472</v>
      </c>
      <c r="P24" s="233">
        <v>55654</v>
      </c>
      <c r="Q24" s="233">
        <v>784</v>
      </c>
      <c r="R24" s="233">
        <v>98025</v>
      </c>
      <c r="S24" s="233">
        <v>436</v>
      </c>
      <c r="T24" s="233">
        <v>235</v>
      </c>
      <c r="U24" s="233">
        <v>201</v>
      </c>
      <c r="V24" s="233">
        <v>89289</v>
      </c>
      <c r="W24" s="233">
        <v>23815</v>
      </c>
      <c r="X24" s="233">
        <v>1620</v>
      </c>
      <c r="Y24" s="233">
        <v>261</v>
      </c>
      <c r="Z24" s="233">
        <v>34172</v>
      </c>
      <c r="AA24" s="233">
        <v>306</v>
      </c>
      <c r="AB24" s="233">
        <v>71667</v>
      </c>
      <c r="AC24" s="233">
        <v>1781</v>
      </c>
      <c r="AD24" s="233">
        <v>737</v>
      </c>
      <c r="AE24" s="233">
        <v>1043</v>
      </c>
      <c r="AF24" s="233">
        <v>62562</v>
      </c>
      <c r="AG24" s="233">
        <v>11744</v>
      </c>
      <c r="AH24" s="233">
        <v>633</v>
      </c>
      <c r="AI24" s="233">
        <v>1211</v>
      </c>
      <c r="AJ24" s="233">
        <v>21482</v>
      </c>
    </row>
    <row r="25" spans="1:36">
      <c r="A25" s="240">
        <v>1</v>
      </c>
      <c r="B25" s="241" t="s">
        <v>3997</v>
      </c>
      <c r="C25" s="241" t="s">
        <v>3432</v>
      </c>
      <c r="D25" s="241" t="s">
        <v>4025</v>
      </c>
      <c r="E25" s="241">
        <v>6</v>
      </c>
      <c r="F25" s="242" t="s">
        <v>4026</v>
      </c>
      <c r="G25" s="233">
        <v>62</v>
      </c>
      <c r="H25" s="233">
        <v>4480</v>
      </c>
      <c r="I25" s="233">
        <v>263</v>
      </c>
      <c r="J25" s="233">
        <v>221</v>
      </c>
      <c r="K25" s="233">
        <v>41</v>
      </c>
      <c r="L25" s="233">
        <v>4124</v>
      </c>
      <c r="M25" s="233">
        <v>1367</v>
      </c>
      <c r="N25" s="233">
        <v>119</v>
      </c>
      <c r="O25" s="233">
        <v>226</v>
      </c>
      <c r="P25" s="233">
        <v>1842</v>
      </c>
      <c r="Q25" s="233">
        <v>47</v>
      </c>
      <c r="R25" s="233">
        <v>3031</v>
      </c>
      <c r="S25" s="233">
        <v>74</v>
      </c>
      <c r="T25" s="233">
        <v>42</v>
      </c>
      <c r="U25" s="233">
        <v>32</v>
      </c>
      <c r="V25" s="233">
        <v>2823</v>
      </c>
      <c r="W25" s="233">
        <v>1020</v>
      </c>
      <c r="X25" s="233">
        <v>89</v>
      </c>
      <c r="Y25" s="233">
        <v>27</v>
      </c>
      <c r="Z25" s="233">
        <v>1317</v>
      </c>
      <c r="AA25" s="233">
        <v>15</v>
      </c>
      <c r="AB25" s="233">
        <v>1450</v>
      </c>
      <c r="AC25" s="233">
        <v>189</v>
      </c>
      <c r="AD25" s="233">
        <v>180</v>
      </c>
      <c r="AE25" s="233">
        <v>9</v>
      </c>
      <c r="AF25" s="233">
        <v>1301</v>
      </c>
      <c r="AG25" s="233">
        <v>347</v>
      </c>
      <c r="AH25" s="233">
        <v>30</v>
      </c>
      <c r="AI25" s="233">
        <v>199</v>
      </c>
      <c r="AJ25" s="233">
        <v>525</v>
      </c>
    </row>
    <row r="26" spans="1:36">
      <c r="A26" s="240">
        <v>1</v>
      </c>
      <c r="B26" s="241" t="s">
        <v>3997</v>
      </c>
      <c r="C26" s="241" t="s">
        <v>3459</v>
      </c>
      <c r="D26" s="241" t="s">
        <v>4027</v>
      </c>
      <c r="E26" s="241">
        <v>3</v>
      </c>
      <c r="F26" s="242" t="s">
        <v>4028</v>
      </c>
      <c r="G26" s="233">
        <v>3260</v>
      </c>
      <c r="H26" s="233">
        <v>717615</v>
      </c>
      <c r="I26" s="233">
        <v>26783</v>
      </c>
      <c r="J26" s="233">
        <v>22871</v>
      </c>
      <c r="K26" s="233">
        <v>3912</v>
      </c>
      <c r="L26" s="233">
        <v>721980</v>
      </c>
      <c r="M26" s="233">
        <v>141833</v>
      </c>
      <c r="N26" s="233">
        <v>5922</v>
      </c>
      <c r="O26" s="233">
        <v>45733</v>
      </c>
      <c r="P26" s="233">
        <v>143391</v>
      </c>
      <c r="Q26" s="233">
        <v>2742</v>
      </c>
      <c r="R26" s="233">
        <v>661992</v>
      </c>
      <c r="S26" s="233">
        <v>25228</v>
      </c>
      <c r="T26" s="233">
        <v>22275</v>
      </c>
      <c r="U26" s="233">
        <v>2953</v>
      </c>
      <c r="V26" s="233">
        <v>668029</v>
      </c>
      <c r="W26" s="233">
        <v>129992</v>
      </c>
      <c r="X26" s="233">
        <v>5075</v>
      </c>
      <c r="Y26" s="233">
        <v>44928</v>
      </c>
      <c r="Z26" s="233">
        <v>129030</v>
      </c>
      <c r="AA26" s="233">
        <v>518</v>
      </c>
      <c r="AB26" s="233">
        <v>55623</v>
      </c>
      <c r="AC26" s="233">
        <v>1555</v>
      </c>
      <c r="AD26" s="233">
        <v>596</v>
      </c>
      <c r="AE26" s="233">
        <v>959</v>
      </c>
      <c r="AF26" s="233">
        <v>53950</v>
      </c>
      <c r="AG26" s="233">
        <v>11841</v>
      </c>
      <c r="AH26" s="233">
        <v>847</v>
      </c>
      <c r="AI26" s="233">
        <v>805</v>
      </c>
      <c r="AJ26" s="233">
        <v>14361</v>
      </c>
    </row>
    <row r="27" spans="1:36">
      <c r="A27" s="240">
        <v>1</v>
      </c>
      <c r="B27" s="241" t="s">
        <v>3997</v>
      </c>
      <c r="C27" s="241" t="s">
        <v>3172</v>
      </c>
      <c r="D27" s="241" t="s">
        <v>4029</v>
      </c>
      <c r="E27" s="241">
        <v>5</v>
      </c>
      <c r="F27" s="242" t="s">
        <v>4030</v>
      </c>
      <c r="G27" s="233">
        <v>1634</v>
      </c>
      <c r="H27" s="233">
        <v>342159</v>
      </c>
      <c r="I27" s="233">
        <v>9120</v>
      </c>
      <c r="J27" s="233">
        <v>7414</v>
      </c>
      <c r="K27" s="233">
        <v>1706</v>
      </c>
      <c r="L27" s="233">
        <v>361493</v>
      </c>
      <c r="M27" s="233">
        <v>95722</v>
      </c>
      <c r="N27" s="233">
        <v>3586</v>
      </c>
      <c r="O27" s="233">
        <v>21552</v>
      </c>
      <c r="P27" s="233">
        <v>79974</v>
      </c>
      <c r="Q27" s="233">
        <v>1443</v>
      </c>
      <c r="R27" s="233">
        <v>320202</v>
      </c>
      <c r="S27" s="233">
        <v>8151</v>
      </c>
      <c r="T27" s="233">
        <v>7273</v>
      </c>
      <c r="U27" s="233">
        <v>878</v>
      </c>
      <c r="V27" s="233">
        <v>339456</v>
      </c>
      <c r="W27" s="233">
        <v>89563</v>
      </c>
      <c r="X27" s="233">
        <v>3335</v>
      </c>
      <c r="Y27" s="233">
        <v>20925</v>
      </c>
      <c r="Z27" s="233">
        <v>73643</v>
      </c>
      <c r="AA27" s="233">
        <v>191</v>
      </c>
      <c r="AB27" s="233">
        <v>21958</v>
      </c>
      <c r="AC27" s="233">
        <v>968</v>
      </c>
      <c r="AD27" s="233">
        <v>141</v>
      </c>
      <c r="AE27" s="233">
        <v>828</v>
      </c>
      <c r="AF27" s="233">
        <v>22036</v>
      </c>
      <c r="AG27" s="233">
        <v>6159</v>
      </c>
      <c r="AH27" s="233">
        <v>252</v>
      </c>
      <c r="AI27" s="233">
        <v>627</v>
      </c>
      <c r="AJ27" s="233">
        <v>6331</v>
      </c>
    </row>
    <row r="28" spans="1:36">
      <c r="A28" s="240">
        <v>1</v>
      </c>
      <c r="B28" s="241" t="s">
        <v>3997</v>
      </c>
      <c r="C28" s="241" t="s">
        <v>3432</v>
      </c>
      <c r="D28" s="241" t="s">
        <v>4031</v>
      </c>
      <c r="E28" s="241">
        <v>6</v>
      </c>
      <c r="F28" s="242" t="s">
        <v>4032</v>
      </c>
      <c r="G28" s="233">
        <v>1556</v>
      </c>
      <c r="H28" s="233">
        <v>339791</v>
      </c>
      <c r="I28" s="233">
        <v>9111</v>
      </c>
      <c r="J28" s="233">
        <v>7414</v>
      </c>
      <c r="K28" s="233">
        <v>1697</v>
      </c>
      <c r="L28" s="233">
        <v>359650</v>
      </c>
      <c r="M28" s="233">
        <v>95186</v>
      </c>
      <c r="N28" s="233">
        <v>3560</v>
      </c>
      <c r="O28" s="233">
        <v>21551</v>
      </c>
      <c r="P28" s="233">
        <v>78886</v>
      </c>
      <c r="Q28" s="233">
        <v>1426</v>
      </c>
      <c r="R28" s="233">
        <v>319372</v>
      </c>
      <c r="S28" s="233">
        <v>8151</v>
      </c>
      <c r="T28" s="233">
        <v>7273</v>
      </c>
      <c r="U28" s="233">
        <v>878</v>
      </c>
      <c r="V28" s="233">
        <v>338814</v>
      </c>
      <c r="W28" s="233">
        <v>89278</v>
      </c>
      <c r="X28" s="233">
        <v>3328</v>
      </c>
      <c r="Y28" s="233">
        <v>20925</v>
      </c>
      <c r="Z28" s="233">
        <v>73164</v>
      </c>
      <c r="AA28" s="233">
        <v>130</v>
      </c>
      <c r="AB28" s="233">
        <v>20419</v>
      </c>
      <c r="AC28" s="233">
        <v>959</v>
      </c>
      <c r="AD28" s="233">
        <v>141</v>
      </c>
      <c r="AE28" s="233">
        <v>818</v>
      </c>
      <c r="AF28" s="233">
        <v>20837</v>
      </c>
      <c r="AG28" s="233">
        <v>5908</v>
      </c>
      <c r="AH28" s="233">
        <v>232</v>
      </c>
      <c r="AI28" s="233">
        <v>626</v>
      </c>
      <c r="AJ28" s="233">
        <v>5723</v>
      </c>
    </row>
    <row r="29" spans="1:36">
      <c r="A29" s="240">
        <v>1</v>
      </c>
      <c r="B29" s="241" t="s">
        <v>3997</v>
      </c>
      <c r="C29" s="241" t="s">
        <v>3432</v>
      </c>
      <c r="D29" s="241" t="s">
        <v>4033</v>
      </c>
      <c r="E29" s="241">
        <v>6</v>
      </c>
      <c r="F29" s="242" t="s">
        <v>4034</v>
      </c>
      <c r="G29" s="233">
        <v>78</v>
      </c>
      <c r="H29" s="233">
        <v>2368</v>
      </c>
      <c r="I29" s="233">
        <v>9</v>
      </c>
      <c r="J29" s="233">
        <v>0</v>
      </c>
      <c r="K29" s="233">
        <v>9</v>
      </c>
      <c r="L29" s="233">
        <v>1842</v>
      </c>
      <c r="M29" s="233">
        <v>536</v>
      </c>
      <c r="N29" s="233">
        <v>26</v>
      </c>
      <c r="O29" s="233">
        <v>1</v>
      </c>
      <c r="P29" s="233">
        <v>1088</v>
      </c>
      <c r="Q29" s="233">
        <v>17</v>
      </c>
      <c r="R29" s="233">
        <v>830</v>
      </c>
      <c r="S29" s="233">
        <v>0</v>
      </c>
      <c r="T29" s="233">
        <v>0</v>
      </c>
      <c r="U29" s="233">
        <v>0</v>
      </c>
      <c r="V29" s="233">
        <v>642</v>
      </c>
      <c r="W29" s="233">
        <v>285</v>
      </c>
      <c r="X29" s="233">
        <v>6</v>
      </c>
      <c r="Y29" s="233">
        <v>0</v>
      </c>
      <c r="Z29" s="233">
        <v>479</v>
      </c>
      <c r="AA29" s="233">
        <v>61</v>
      </c>
      <c r="AB29" s="233">
        <v>1539</v>
      </c>
      <c r="AC29" s="233">
        <v>9</v>
      </c>
      <c r="AD29" s="233">
        <v>0</v>
      </c>
      <c r="AE29" s="233">
        <v>9</v>
      </c>
      <c r="AF29" s="233">
        <v>1200</v>
      </c>
      <c r="AG29" s="233">
        <v>251</v>
      </c>
      <c r="AH29" s="233">
        <v>19</v>
      </c>
      <c r="AI29" s="233">
        <v>1</v>
      </c>
      <c r="AJ29" s="233">
        <v>609</v>
      </c>
    </row>
    <row r="30" spans="1:36">
      <c r="A30" s="240">
        <v>1</v>
      </c>
      <c r="B30" s="241" t="s">
        <v>3997</v>
      </c>
      <c r="C30" s="241" t="s">
        <v>3172</v>
      </c>
      <c r="D30" s="241" t="s">
        <v>4035</v>
      </c>
      <c r="E30" s="241">
        <v>5</v>
      </c>
      <c r="F30" s="242" t="s">
        <v>4036</v>
      </c>
      <c r="G30" s="233">
        <v>1625</v>
      </c>
      <c r="H30" s="233">
        <v>375456</v>
      </c>
      <c r="I30" s="233">
        <v>17663</v>
      </c>
      <c r="J30" s="233">
        <v>15457</v>
      </c>
      <c r="K30" s="233">
        <v>2206</v>
      </c>
      <c r="L30" s="233">
        <v>360487</v>
      </c>
      <c r="M30" s="233">
        <v>46112</v>
      </c>
      <c r="N30" s="233">
        <v>2335</v>
      </c>
      <c r="O30" s="233">
        <v>24181</v>
      </c>
      <c r="P30" s="233">
        <v>63416</v>
      </c>
      <c r="Q30" s="233">
        <v>1298</v>
      </c>
      <c r="R30" s="233">
        <v>341790</v>
      </c>
      <c r="S30" s="233">
        <v>17076</v>
      </c>
      <c r="T30" s="233">
        <v>15002</v>
      </c>
      <c r="U30" s="233">
        <v>2074</v>
      </c>
      <c r="V30" s="233">
        <v>328573</v>
      </c>
      <c r="W30" s="233">
        <v>40429</v>
      </c>
      <c r="X30" s="233">
        <v>1740</v>
      </c>
      <c r="Y30" s="233">
        <v>24003</v>
      </c>
      <c r="Z30" s="233">
        <v>55387</v>
      </c>
      <c r="AA30" s="233">
        <v>327</v>
      </c>
      <c r="AB30" s="233">
        <v>33666</v>
      </c>
      <c r="AC30" s="233">
        <v>586</v>
      </c>
      <c r="AD30" s="233">
        <v>455</v>
      </c>
      <c r="AE30" s="233">
        <v>131</v>
      </c>
      <c r="AF30" s="233">
        <v>31914</v>
      </c>
      <c r="AG30" s="233">
        <v>5683</v>
      </c>
      <c r="AH30" s="233">
        <v>595</v>
      </c>
      <c r="AI30" s="233">
        <v>178</v>
      </c>
      <c r="AJ30" s="233">
        <v>8029</v>
      </c>
    </row>
    <row r="31" spans="1:36">
      <c r="A31" s="240">
        <v>1</v>
      </c>
      <c r="B31" s="241" t="s">
        <v>3997</v>
      </c>
      <c r="C31" s="241" t="s">
        <v>3432</v>
      </c>
      <c r="D31" s="241" t="s">
        <v>4037</v>
      </c>
      <c r="E31" s="241">
        <v>6</v>
      </c>
      <c r="F31" s="242" t="s">
        <v>4038</v>
      </c>
      <c r="G31" s="233">
        <v>1021</v>
      </c>
      <c r="H31" s="233">
        <v>251316</v>
      </c>
      <c r="I31" s="233">
        <v>12522</v>
      </c>
      <c r="J31" s="233">
        <v>11752</v>
      </c>
      <c r="K31" s="233">
        <v>770</v>
      </c>
      <c r="L31" s="233">
        <v>249495</v>
      </c>
      <c r="M31" s="233">
        <v>32476</v>
      </c>
      <c r="N31" s="233">
        <v>1389</v>
      </c>
      <c r="O31" s="233">
        <v>8915</v>
      </c>
      <c r="P31" s="233">
        <v>35686</v>
      </c>
      <c r="Q31" s="233">
        <v>945</v>
      </c>
      <c r="R31" s="233">
        <v>235541</v>
      </c>
      <c r="S31" s="233">
        <v>12390</v>
      </c>
      <c r="T31" s="233">
        <v>11657</v>
      </c>
      <c r="U31" s="233">
        <v>733</v>
      </c>
      <c r="V31" s="233">
        <v>234595</v>
      </c>
      <c r="W31" s="233">
        <v>29824</v>
      </c>
      <c r="X31" s="233">
        <v>1151</v>
      </c>
      <c r="Y31" s="233">
        <v>8915</v>
      </c>
      <c r="Z31" s="233">
        <v>31921</v>
      </c>
      <c r="AA31" s="233">
        <v>76</v>
      </c>
      <c r="AB31" s="233">
        <v>15775</v>
      </c>
      <c r="AC31" s="233">
        <v>131</v>
      </c>
      <c r="AD31" s="233">
        <v>95</v>
      </c>
      <c r="AE31" s="233">
        <v>37</v>
      </c>
      <c r="AF31" s="233">
        <v>14900</v>
      </c>
      <c r="AG31" s="233">
        <v>2652</v>
      </c>
      <c r="AH31" s="233">
        <v>238</v>
      </c>
      <c r="AI31" s="233">
        <v>0</v>
      </c>
      <c r="AJ31" s="233">
        <v>3765</v>
      </c>
    </row>
    <row r="32" spans="1:36">
      <c r="A32" s="240">
        <v>1</v>
      </c>
      <c r="B32" s="241" t="s">
        <v>3997</v>
      </c>
      <c r="C32" s="241" t="s">
        <v>3432</v>
      </c>
      <c r="D32" s="241" t="s">
        <v>4039</v>
      </c>
      <c r="E32" s="241">
        <v>6</v>
      </c>
      <c r="F32" s="242" t="s">
        <v>4040</v>
      </c>
      <c r="G32" s="233">
        <v>604</v>
      </c>
      <c r="H32" s="233">
        <v>124140</v>
      </c>
      <c r="I32" s="233">
        <v>5141</v>
      </c>
      <c r="J32" s="233">
        <v>3705</v>
      </c>
      <c r="K32" s="233">
        <v>1436</v>
      </c>
      <c r="L32" s="233">
        <v>110992</v>
      </c>
      <c r="M32" s="233">
        <v>13636</v>
      </c>
      <c r="N32" s="233">
        <v>947</v>
      </c>
      <c r="O32" s="233">
        <v>15266</v>
      </c>
      <c r="P32" s="233">
        <v>27730</v>
      </c>
      <c r="Q32" s="233">
        <v>353</v>
      </c>
      <c r="R32" s="233">
        <v>106249</v>
      </c>
      <c r="S32" s="233">
        <v>4686</v>
      </c>
      <c r="T32" s="233">
        <v>3345</v>
      </c>
      <c r="U32" s="233">
        <v>1341</v>
      </c>
      <c r="V32" s="233">
        <v>93978</v>
      </c>
      <c r="W32" s="233">
        <v>10605</v>
      </c>
      <c r="X32" s="233">
        <v>589</v>
      </c>
      <c r="Y32" s="233">
        <v>15088</v>
      </c>
      <c r="Z32" s="233">
        <v>23466</v>
      </c>
      <c r="AA32" s="233">
        <v>251</v>
      </c>
      <c r="AB32" s="233">
        <v>17891</v>
      </c>
      <c r="AC32" s="233">
        <v>455</v>
      </c>
      <c r="AD32" s="233">
        <v>361</v>
      </c>
      <c r="AE32" s="233">
        <v>95</v>
      </c>
      <c r="AF32" s="233">
        <v>17014</v>
      </c>
      <c r="AG32" s="233">
        <v>3031</v>
      </c>
      <c r="AH32" s="233">
        <v>357</v>
      </c>
      <c r="AI32" s="233">
        <v>178</v>
      </c>
      <c r="AJ32" s="233">
        <v>4264</v>
      </c>
    </row>
    <row r="33" spans="1:36">
      <c r="A33" s="240">
        <v>1</v>
      </c>
      <c r="B33" s="241" t="s">
        <v>3997</v>
      </c>
      <c r="C33" s="241" t="s">
        <v>3168</v>
      </c>
      <c r="D33" s="241" t="s">
        <v>4041</v>
      </c>
      <c r="E33" s="241">
        <v>2</v>
      </c>
      <c r="F33" s="242" t="s">
        <v>4042</v>
      </c>
      <c r="G33" s="233">
        <v>1943373</v>
      </c>
      <c r="H33" s="233">
        <v>1683007775</v>
      </c>
      <c r="I33" s="233">
        <v>483889812</v>
      </c>
      <c r="J33" s="233">
        <v>334579978</v>
      </c>
      <c r="K33" s="233">
        <v>149309834</v>
      </c>
      <c r="L33" s="233">
        <v>1571704061</v>
      </c>
      <c r="M33" s="233">
        <v>195846333</v>
      </c>
      <c r="N33" s="233">
        <v>12046479</v>
      </c>
      <c r="O33" s="233">
        <v>385618010</v>
      </c>
      <c r="P33" s="233">
        <v>319196525</v>
      </c>
      <c r="Q33" s="233">
        <v>1788972</v>
      </c>
      <c r="R33" s="233">
        <v>1464890601</v>
      </c>
      <c r="S33" s="233">
        <v>465579558</v>
      </c>
      <c r="T33" s="233">
        <v>322201264</v>
      </c>
      <c r="U33" s="233">
        <v>143378294</v>
      </c>
      <c r="V33" s="233">
        <v>1373312234</v>
      </c>
      <c r="W33" s="233">
        <v>161055195</v>
      </c>
      <c r="X33" s="233">
        <v>11026770</v>
      </c>
      <c r="Y33" s="233">
        <v>370151968</v>
      </c>
      <c r="Z33" s="233">
        <v>263660332</v>
      </c>
      <c r="AA33" s="233">
        <v>154401</v>
      </c>
      <c r="AB33" s="233">
        <v>218117174</v>
      </c>
      <c r="AC33" s="233">
        <v>18310254</v>
      </c>
      <c r="AD33" s="233">
        <v>12378714</v>
      </c>
      <c r="AE33" s="233">
        <v>5931540</v>
      </c>
      <c r="AF33" s="233">
        <v>198391827</v>
      </c>
      <c r="AG33" s="233">
        <v>34791138</v>
      </c>
      <c r="AH33" s="233">
        <v>1019709</v>
      </c>
      <c r="AI33" s="233">
        <v>15466042</v>
      </c>
      <c r="AJ33" s="233">
        <v>55536194</v>
      </c>
    </row>
    <row r="34" spans="1:36">
      <c r="A34" s="240">
        <v>1</v>
      </c>
      <c r="B34" s="241" t="s">
        <v>3997</v>
      </c>
      <c r="C34" s="241" t="s">
        <v>3459</v>
      </c>
      <c r="D34" s="241" t="s">
        <v>4043</v>
      </c>
      <c r="E34" s="241">
        <v>3</v>
      </c>
      <c r="F34" s="242" t="s">
        <v>4044</v>
      </c>
      <c r="G34" s="233">
        <v>1318</v>
      </c>
      <c r="H34" s="233">
        <v>1862962</v>
      </c>
      <c r="I34" s="233">
        <v>17387</v>
      </c>
      <c r="J34" s="233">
        <v>14246</v>
      </c>
      <c r="K34" s="233">
        <v>3141</v>
      </c>
      <c r="L34" s="233">
        <v>1286440</v>
      </c>
      <c r="M34" s="233">
        <v>109197</v>
      </c>
      <c r="N34" s="233">
        <v>18407</v>
      </c>
      <c r="O34" s="233">
        <v>13994</v>
      </c>
      <c r="P34" s="233">
        <v>704127</v>
      </c>
      <c r="Q34" s="233">
        <v>1242</v>
      </c>
      <c r="R34" s="233">
        <v>1850617</v>
      </c>
      <c r="S34" s="233">
        <v>17258</v>
      </c>
      <c r="T34" s="233">
        <v>14197</v>
      </c>
      <c r="U34" s="233">
        <v>3061</v>
      </c>
      <c r="V34" s="233">
        <v>1275061</v>
      </c>
      <c r="W34" s="233">
        <v>108320</v>
      </c>
      <c r="X34" s="233">
        <v>18323</v>
      </c>
      <c r="Y34" s="233">
        <v>13890</v>
      </c>
      <c r="Z34" s="233">
        <v>702198</v>
      </c>
      <c r="AA34" s="233">
        <v>76</v>
      </c>
      <c r="AB34" s="233">
        <v>12345</v>
      </c>
      <c r="AC34" s="233">
        <v>129</v>
      </c>
      <c r="AD34" s="233">
        <v>49</v>
      </c>
      <c r="AE34" s="233">
        <v>80</v>
      </c>
      <c r="AF34" s="233">
        <v>11378</v>
      </c>
      <c r="AG34" s="233">
        <v>878</v>
      </c>
      <c r="AH34" s="233">
        <v>84</v>
      </c>
      <c r="AI34" s="233">
        <v>104</v>
      </c>
      <c r="AJ34" s="233">
        <v>1929</v>
      </c>
    </row>
    <row r="35" spans="1:36">
      <c r="A35" s="240">
        <v>1</v>
      </c>
      <c r="B35" s="241" t="s">
        <v>3997</v>
      </c>
      <c r="C35" s="241" t="s">
        <v>3172</v>
      </c>
      <c r="D35" s="241" t="s">
        <v>4045</v>
      </c>
      <c r="E35" s="241">
        <v>5</v>
      </c>
      <c r="F35" s="242" t="s">
        <v>4046</v>
      </c>
      <c r="G35" s="233">
        <v>1318</v>
      </c>
      <c r="H35" s="233">
        <v>1862962</v>
      </c>
      <c r="I35" s="233">
        <v>17387</v>
      </c>
      <c r="J35" s="233">
        <v>14246</v>
      </c>
      <c r="K35" s="233">
        <v>3141</v>
      </c>
      <c r="L35" s="233">
        <v>1286440</v>
      </c>
      <c r="M35" s="233">
        <v>109197</v>
      </c>
      <c r="N35" s="233">
        <v>18407</v>
      </c>
      <c r="O35" s="233">
        <v>13994</v>
      </c>
      <c r="P35" s="233">
        <v>704127</v>
      </c>
      <c r="Q35" s="233">
        <v>1242</v>
      </c>
      <c r="R35" s="233">
        <v>1850617</v>
      </c>
      <c r="S35" s="233">
        <v>17258</v>
      </c>
      <c r="T35" s="233">
        <v>14197</v>
      </c>
      <c r="U35" s="233">
        <v>3061</v>
      </c>
      <c r="V35" s="233">
        <v>1275061</v>
      </c>
      <c r="W35" s="233">
        <v>108320</v>
      </c>
      <c r="X35" s="233">
        <v>18323</v>
      </c>
      <c r="Y35" s="233">
        <v>13890</v>
      </c>
      <c r="Z35" s="233">
        <v>702198</v>
      </c>
      <c r="AA35" s="233">
        <v>76</v>
      </c>
      <c r="AB35" s="233">
        <v>12345</v>
      </c>
      <c r="AC35" s="233">
        <v>129</v>
      </c>
      <c r="AD35" s="233">
        <v>49</v>
      </c>
      <c r="AE35" s="233">
        <v>80</v>
      </c>
      <c r="AF35" s="233">
        <v>11378</v>
      </c>
      <c r="AG35" s="233">
        <v>878</v>
      </c>
      <c r="AH35" s="233">
        <v>84</v>
      </c>
      <c r="AI35" s="233">
        <v>104</v>
      </c>
      <c r="AJ35" s="233">
        <v>1929</v>
      </c>
    </row>
    <row r="36" spans="1:36">
      <c r="A36" s="240">
        <v>1</v>
      </c>
      <c r="B36" s="241" t="s">
        <v>3997</v>
      </c>
      <c r="C36" s="241" t="s">
        <v>3432</v>
      </c>
      <c r="D36" s="241" t="s">
        <v>4047</v>
      </c>
      <c r="E36" s="241">
        <v>6</v>
      </c>
      <c r="F36" s="242" t="s">
        <v>4048</v>
      </c>
      <c r="G36" s="233">
        <v>11</v>
      </c>
      <c r="H36" s="233">
        <v>34559</v>
      </c>
      <c r="I36" s="233">
        <v>7</v>
      </c>
      <c r="J36" s="233">
        <v>0</v>
      </c>
      <c r="K36" s="233">
        <v>7</v>
      </c>
      <c r="L36" s="233">
        <v>22448</v>
      </c>
      <c r="M36" s="233">
        <v>1919</v>
      </c>
      <c r="N36" s="233">
        <v>64</v>
      </c>
      <c r="O36" s="233">
        <v>2</v>
      </c>
      <c r="P36" s="233">
        <v>14094</v>
      </c>
      <c r="Q36" s="233">
        <v>11</v>
      </c>
      <c r="R36" s="233">
        <v>34559</v>
      </c>
      <c r="S36" s="233">
        <v>7</v>
      </c>
      <c r="T36" s="233">
        <v>0</v>
      </c>
      <c r="U36" s="233">
        <v>7</v>
      </c>
      <c r="V36" s="233">
        <v>22448</v>
      </c>
      <c r="W36" s="233">
        <v>1919</v>
      </c>
      <c r="X36" s="233">
        <v>64</v>
      </c>
      <c r="Y36" s="233">
        <v>2</v>
      </c>
      <c r="Z36" s="233">
        <v>14094</v>
      </c>
      <c r="AA36" s="235" t="s">
        <v>5298</v>
      </c>
      <c r="AB36" s="235" t="s">
        <v>5298</v>
      </c>
      <c r="AC36" s="235" t="s">
        <v>5298</v>
      </c>
      <c r="AD36" s="235" t="s">
        <v>5298</v>
      </c>
      <c r="AE36" s="235" t="s">
        <v>5298</v>
      </c>
      <c r="AF36" s="235" t="s">
        <v>5298</v>
      </c>
      <c r="AG36" s="235" t="s">
        <v>5298</v>
      </c>
      <c r="AH36" s="235" t="s">
        <v>5298</v>
      </c>
      <c r="AI36" s="235" t="s">
        <v>5298</v>
      </c>
      <c r="AJ36" s="235" t="s">
        <v>5298</v>
      </c>
    </row>
    <row r="37" spans="1:36">
      <c r="A37" s="240">
        <v>1</v>
      </c>
      <c r="B37" s="241" t="s">
        <v>3997</v>
      </c>
      <c r="C37" s="241" t="s">
        <v>3432</v>
      </c>
      <c r="D37" s="241" t="s">
        <v>4049</v>
      </c>
      <c r="E37" s="241">
        <v>6</v>
      </c>
      <c r="F37" s="242" t="s">
        <v>4050</v>
      </c>
      <c r="G37" s="233">
        <v>12</v>
      </c>
      <c r="H37" s="233">
        <v>13394</v>
      </c>
      <c r="I37" s="233">
        <v>1288</v>
      </c>
      <c r="J37" s="233">
        <v>1070</v>
      </c>
      <c r="K37" s="233">
        <v>218</v>
      </c>
      <c r="L37" s="233">
        <v>10855</v>
      </c>
      <c r="M37" s="233">
        <v>1585</v>
      </c>
      <c r="N37" s="233">
        <v>750</v>
      </c>
      <c r="O37" s="233">
        <v>901</v>
      </c>
      <c r="P37" s="233">
        <v>4873</v>
      </c>
      <c r="Q37" s="233">
        <v>12</v>
      </c>
      <c r="R37" s="233">
        <v>13394</v>
      </c>
      <c r="S37" s="233">
        <v>1288</v>
      </c>
      <c r="T37" s="233">
        <v>1070</v>
      </c>
      <c r="U37" s="233">
        <v>218</v>
      </c>
      <c r="V37" s="233">
        <v>10855</v>
      </c>
      <c r="W37" s="233">
        <v>1585</v>
      </c>
      <c r="X37" s="233">
        <v>750</v>
      </c>
      <c r="Y37" s="233">
        <v>901</v>
      </c>
      <c r="Z37" s="233">
        <v>4873</v>
      </c>
      <c r="AA37" s="235" t="s">
        <v>5298</v>
      </c>
      <c r="AB37" s="235" t="s">
        <v>5298</v>
      </c>
      <c r="AC37" s="235" t="s">
        <v>5298</v>
      </c>
      <c r="AD37" s="235" t="s">
        <v>5298</v>
      </c>
      <c r="AE37" s="235" t="s">
        <v>5298</v>
      </c>
      <c r="AF37" s="235" t="s">
        <v>5298</v>
      </c>
      <c r="AG37" s="235" t="s">
        <v>5298</v>
      </c>
      <c r="AH37" s="235" t="s">
        <v>5298</v>
      </c>
      <c r="AI37" s="235" t="s">
        <v>5298</v>
      </c>
      <c r="AJ37" s="235" t="s">
        <v>5298</v>
      </c>
    </row>
    <row r="38" spans="1:36">
      <c r="A38" s="240">
        <v>1</v>
      </c>
      <c r="B38" s="241" t="s">
        <v>3997</v>
      </c>
      <c r="C38" s="241" t="s">
        <v>3432</v>
      </c>
      <c r="D38" s="241" t="s">
        <v>4051</v>
      </c>
      <c r="E38" s="241">
        <v>6</v>
      </c>
      <c r="F38" s="242" t="s">
        <v>4052</v>
      </c>
      <c r="G38" s="233">
        <v>44</v>
      </c>
      <c r="H38" s="233">
        <v>1357177</v>
      </c>
      <c r="I38" s="233">
        <v>0</v>
      </c>
      <c r="J38" s="233">
        <v>0</v>
      </c>
      <c r="K38" s="233">
        <v>0</v>
      </c>
      <c r="L38" s="233">
        <v>827541</v>
      </c>
      <c r="M38" s="233">
        <v>40469</v>
      </c>
      <c r="N38" s="233">
        <v>12195</v>
      </c>
      <c r="O38" s="233">
        <v>0</v>
      </c>
      <c r="P38" s="233">
        <v>582300</v>
      </c>
      <c r="Q38" s="233">
        <v>44</v>
      </c>
      <c r="R38" s="233">
        <v>1357177</v>
      </c>
      <c r="S38" s="233">
        <v>0</v>
      </c>
      <c r="T38" s="233">
        <v>0</v>
      </c>
      <c r="U38" s="233">
        <v>0</v>
      </c>
      <c r="V38" s="233">
        <v>827541</v>
      </c>
      <c r="W38" s="233">
        <v>40469</v>
      </c>
      <c r="X38" s="233">
        <v>12195</v>
      </c>
      <c r="Y38" s="233">
        <v>0</v>
      </c>
      <c r="Z38" s="233">
        <v>582300</v>
      </c>
      <c r="AA38" s="235" t="s">
        <v>5298</v>
      </c>
      <c r="AB38" s="235" t="s">
        <v>5298</v>
      </c>
      <c r="AC38" s="235" t="s">
        <v>5298</v>
      </c>
      <c r="AD38" s="235" t="s">
        <v>5298</v>
      </c>
      <c r="AE38" s="235" t="s">
        <v>5298</v>
      </c>
      <c r="AF38" s="235" t="s">
        <v>5298</v>
      </c>
      <c r="AG38" s="235" t="s">
        <v>5298</v>
      </c>
      <c r="AH38" s="235" t="s">
        <v>5298</v>
      </c>
      <c r="AI38" s="235" t="s">
        <v>5298</v>
      </c>
      <c r="AJ38" s="235" t="s">
        <v>5298</v>
      </c>
    </row>
    <row r="39" spans="1:36">
      <c r="A39" s="240">
        <v>1</v>
      </c>
      <c r="B39" s="241" t="s">
        <v>3997</v>
      </c>
      <c r="C39" s="241" t="s">
        <v>3432</v>
      </c>
      <c r="D39" s="241" t="s">
        <v>4053</v>
      </c>
      <c r="E39" s="241">
        <v>6</v>
      </c>
      <c r="F39" s="242" t="s">
        <v>4054</v>
      </c>
      <c r="G39" s="233">
        <v>1095</v>
      </c>
      <c r="H39" s="233">
        <v>335484</v>
      </c>
      <c r="I39" s="233">
        <v>14862</v>
      </c>
      <c r="J39" s="233">
        <v>11996</v>
      </c>
      <c r="K39" s="233">
        <v>2867</v>
      </c>
      <c r="L39" s="233">
        <v>311666</v>
      </c>
      <c r="M39" s="233">
        <v>48339</v>
      </c>
      <c r="N39" s="233">
        <v>4197</v>
      </c>
      <c r="O39" s="233">
        <v>12678</v>
      </c>
      <c r="P39" s="233">
        <v>76354</v>
      </c>
      <c r="Q39" s="233">
        <v>1022</v>
      </c>
      <c r="R39" s="233">
        <v>323607</v>
      </c>
      <c r="S39" s="233">
        <v>14797</v>
      </c>
      <c r="T39" s="233">
        <v>11984</v>
      </c>
      <c r="U39" s="233">
        <v>2813</v>
      </c>
      <c r="V39" s="233">
        <v>300755</v>
      </c>
      <c r="W39" s="233">
        <v>47605</v>
      </c>
      <c r="X39" s="233">
        <v>4131</v>
      </c>
      <c r="Y39" s="233">
        <v>12619</v>
      </c>
      <c r="Z39" s="233">
        <v>74588</v>
      </c>
      <c r="AA39" s="233">
        <v>73</v>
      </c>
      <c r="AB39" s="233">
        <v>11877</v>
      </c>
      <c r="AC39" s="233">
        <v>65</v>
      </c>
      <c r="AD39" s="233">
        <v>11</v>
      </c>
      <c r="AE39" s="233">
        <v>54</v>
      </c>
      <c r="AF39" s="233">
        <v>10911</v>
      </c>
      <c r="AG39" s="233">
        <v>734</v>
      </c>
      <c r="AH39" s="233">
        <v>66</v>
      </c>
      <c r="AI39" s="233">
        <v>59</v>
      </c>
      <c r="AJ39" s="233">
        <v>1766</v>
      </c>
    </row>
    <row r="40" spans="1:36">
      <c r="A40" s="240">
        <v>1</v>
      </c>
      <c r="B40" s="241" t="s">
        <v>3997</v>
      </c>
      <c r="C40" s="241" t="s">
        <v>3432</v>
      </c>
      <c r="D40" s="241" t="s">
        <v>4055</v>
      </c>
      <c r="E40" s="241">
        <v>6</v>
      </c>
      <c r="F40" s="242" t="s">
        <v>4056</v>
      </c>
      <c r="G40" s="233">
        <v>119</v>
      </c>
      <c r="H40" s="233">
        <v>113744</v>
      </c>
      <c r="I40" s="233">
        <v>1230</v>
      </c>
      <c r="J40" s="233">
        <v>1180</v>
      </c>
      <c r="K40" s="233">
        <v>50</v>
      </c>
      <c r="L40" s="233">
        <v>105516</v>
      </c>
      <c r="M40" s="233">
        <v>15599</v>
      </c>
      <c r="N40" s="233">
        <v>1130</v>
      </c>
      <c r="O40" s="233">
        <v>408</v>
      </c>
      <c r="P40" s="233">
        <v>24957</v>
      </c>
      <c r="Q40" s="233">
        <v>117</v>
      </c>
      <c r="R40" s="235" t="s">
        <v>4020</v>
      </c>
      <c r="S40" s="235" t="s">
        <v>4020</v>
      </c>
      <c r="T40" s="235" t="s">
        <v>4020</v>
      </c>
      <c r="U40" s="235" t="s">
        <v>4020</v>
      </c>
      <c r="V40" s="235" t="s">
        <v>4020</v>
      </c>
      <c r="W40" s="235" t="s">
        <v>4020</v>
      </c>
      <c r="X40" s="235" t="s">
        <v>4020</v>
      </c>
      <c r="Y40" s="235" t="s">
        <v>4020</v>
      </c>
      <c r="Z40" s="235" t="s">
        <v>4020</v>
      </c>
      <c r="AA40" s="233">
        <v>2</v>
      </c>
      <c r="AB40" s="235" t="s">
        <v>4020</v>
      </c>
      <c r="AC40" s="235" t="s">
        <v>4020</v>
      </c>
      <c r="AD40" s="235" t="s">
        <v>4020</v>
      </c>
      <c r="AE40" s="235" t="s">
        <v>4020</v>
      </c>
      <c r="AF40" s="235" t="s">
        <v>4020</v>
      </c>
      <c r="AG40" s="235" t="s">
        <v>4020</v>
      </c>
      <c r="AH40" s="235" t="s">
        <v>4020</v>
      </c>
      <c r="AI40" s="235" t="s">
        <v>4020</v>
      </c>
      <c r="AJ40" s="235" t="s">
        <v>4020</v>
      </c>
    </row>
    <row r="41" spans="1:36">
      <c r="A41" s="240">
        <v>1</v>
      </c>
      <c r="B41" s="241" t="s">
        <v>3997</v>
      </c>
      <c r="C41" s="241" t="s">
        <v>3432</v>
      </c>
      <c r="D41" s="241" t="s">
        <v>4057</v>
      </c>
      <c r="E41" s="241">
        <v>6</v>
      </c>
      <c r="F41" s="242" t="s">
        <v>4058</v>
      </c>
      <c r="G41" s="233">
        <v>33</v>
      </c>
      <c r="H41" s="233">
        <v>8131</v>
      </c>
      <c r="I41" s="233">
        <v>0</v>
      </c>
      <c r="J41" s="233">
        <v>0</v>
      </c>
      <c r="K41" s="233">
        <v>0</v>
      </c>
      <c r="L41" s="233">
        <v>7947</v>
      </c>
      <c r="M41" s="233">
        <v>1210</v>
      </c>
      <c r="N41" s="233">
        <v>66</v>
      </c>
      <c r="O41" s="233">
        <v>0</v>
      </c>
      <c r="P41" s="233">
        <v>1460</v>
      </c>
      <c r="Q41" s="233">
        <v>32</v>
      </c>
      <c r="R41" s="235" t="s">
        <v>4020</v>
      </c>
      <c r="S41" s="235" t="s">
        <v>4020</v>
      </c>
      <c r="T41" s="235" t="s">
        <v>4020</v>
      </c>
      <c r="U41" s="235" t="s">
        <v>4020</v>
      </c>
      <c r="V41" s="235" t="s">
        <v>4020</v>
      </c>
      <c r="W41" s="235" t="s">
        <v>4020</v>
      </c>
      <c r="X41" s="235" t="s">
        <v>4020</v>
      </c>
      <c r="Y41" s="235" t="s">
        <v>4020</v>
      </c>
      <c r="Z41" s="235" t="s">
        <v>4020</v>
      </c>
      <c r="AA41" s="233">
        <v>1</v>
      </c>
      <c r="AB41" s="235" t="s">
        <v>4020</v>
      </c>
      <c r="AC41" s="235" t="s">
        <v>4020</v>
      </c>
      <c r="AD41" s="235" t="s">
        <v>4020</v>
      </c>
      <c r="AE41" s="235" t="s">
        <v>4020</v>
      </c>
      <c r="AF41" s="235" t="s">
        <v>4020</v>
      </c>
      <c r="AG41" s="235" t="s">
        <v>4020</v>
      </c>
      <c r="AH41" s="235" t="s">
        <v>4020</v>
      </c>
      <c r="AI41" s="235" t="s">
        <v>4020</v>
      </c>
      <c r="AJ41" s="235" t="s">
        <v>4020</v>
      </c>
    </row>
    <row r="42" spans="1:36">
      <c r="A42" s="240">
        <v>1</v>
      </c>
      <c r="B42" s="241" t="s">
        <v>3997</v>
      </c>
      <c r="C42" s="241" t="s">
        <v>3459</v>
      </c>
      <c r="D42" s="241" t="s">
        <v>4059</v>
      </c>
      <c r="E42" s="241">
        <v>3</v>
      </c>
      <c r="F42" s="242" t="s">
        <v>4060</v>
      </c>
      <c r="G42" s="233">
        <v>320741</v>
      </c>
      <c r="H42" s="233">
        <v>120783338</v>
      </c>
      <c r="I42" s="233">
        <v>1355886</v>
      </c>
      <c r="J42" s="233">
        <v>1014523</v>
      </c>
      <c r="K42" s="233">
        <v>341364</v>
      </c>
      <c r="L42" s="233">
        <v>112042878</v>
      </c>
      <c r="M42" s="233">
        <v>14710336</v>
      </c>
      <c r="N42" s="233">
        <v>744782</v>
      </c>
      <c r="O42" s="233">
        <v>1085723</v>
      </c>
      <c r="P42" s="233">
        <v>24195578</v>
      </c>
      <c r="Q42" s="233">
        <v>319857</v>
      </c>
      <c r="R42" s="233">
        <v>120615145</v>
      </c>
      <c r="S42" s="233">
        <v>1353364</v>
      </c>
      <c r="T42" s="233">
        <v>1012926</v>
      </c>
      <c r="U42" s="233">
        <v>340438</v>
      </c>
      <c r="V42" s="233">
        <v>111879862</v>
      </c>
      <c r="W42" s="233">
        <v>14696010</v>
      </c>
      <c r="X42" s="233">
        <v>744099</v>
      </c>
      <c r="Y42" s="233">
        <v>1084321</v>
      </c>
      <c r="Z42" s="233">
        <v>24175392</v>
      </c>
      <c r="AA42" s="233">
        <v>884</v>
      </c>
      <c r="AB42" s="233">
        <v>168193</v>
      </c>
      <c r="AC42" s="233">
        <v>2522</v>
      </c>
      <c r="AD42" s="233">
        <v>1597</v>
      </c>
      <c r="AE42" s="233">
        <v>925</v>
      </c>
      <c r="AF42" s="233">
        <v>163016</v>
      </c>
      <c r="AG42" s="233">
        <v>14326</v>
      </c>
      <c r="AH42" s="233">
        <v>683</v>
      </c>
      <c r="AI42" s="233">
        <v>1402</v>
      </c>
      <c r="AJ42" s="233">
        <v>20186</v>
      </c>
    </row>
    <row r="43" spans="1:36">
      <c r="A43" s="240">
        <v>1</v>
      </c>
      <c r="B43" s="241" t="s">
        <v>3997</v>
      </c>
      <c r="C43" s="241" t="s">
        <v>3172</v>
      </c>
      <c r="D43" s="241" t="s">
        <v>4061</v>
      </c>
      <c r="E43" s="241">
        <v>5</v>
      </c>
      <c r="F43" s="242" t="s">
        <v>4062</v>
      </c>
      <c r="G43" s="233">
        <v>141981</v>
      </c>
      <c r="H43" s="233">
        <v>75067224</v>
      </c>
      <c r="I43" s="233">
        <v>574357</v>
      </c>
      <c r="J43" s="233">
        <v>431896</v>
      </c>
      <c r="K43" s="233">
        <v>142461</v>
      </c>
      <c r="L43" s="233">
        <v>69978730</v>
      </c>
      <c r="M43" s="233">
        <v>7424707</v>
      </c>
      <c r="N43" s="233">
        <v>430471</v>
      </c>
      <c r="O43" s="233">
        <v>451478</v>
      </c>
      <c r="P43" s="233">
        <v>12943673</v>
      </c>
      <c r="Q43" s="233">
        <v>141527</v>
      </c>
      <c r="R43" s="233">
        <v>74957337</v>
      </c>
      <c r="S43" s="233">
        <v>573913</v>
      </c>
      <c r="T43" s="233">
        <v>431673</v>
      </c>
      <c r="U43" s="233">
        <v>142240</v>
      </c>
      <c r="V43" s="233">
        <v>69872973</v>
      </c>
      <c r="W43" s="233">
        <v>7417185</v>
      </c>
      <c r="X43" s="233">
        <v>430030</v>
      </c>
      <c r="Y43" s="233">
        <v>451373</v>
      </c>
      <c r="Z43" s="233">
        <v>12931580</v>
      </c>
      <c r="AA43" s="233">
        <v>454</v>
      </c>
      <c r="AB43" s="233">
        <v>109887</v>
      </c>
      <c r="AC43" s="233">
        <v>444</v>
      </c>
      <c r="AD43" s="233">
        <v>223</v>
      </c>
      <c r="AE43" s="233">
        <v>221</v>
      </c>
      <c r="AF43" s="233">
        <v>105757</v>
      </c>
      <c r="AG43" s="233">
        <v>7522</v>
      </c>
      <c r="AH43" s="233">
        <v>441</v>
      </c>
      <c r="AI43" s="233">
        <v>104</v>
      </c>
      <c r="AJ43" s="233">
        <v>12093</v>
      </c>
    </row>
    <row r="44" spans="1:36">
      <c r="A44" s="240">
        <v>1</v>
      </c>
      <c r="B44" s="241" t="s">
        <v>3997</v>
      </c>
      <c r="C44" s="241" t="s">
        <v>3432</v>
      </c>
      <c r="D44" s="241" t="s">
        <v>4063</v>
      </c>
      <c r="E44" s="241">
        <v>6</v>
      </c>
      <c r="F44" s="242" t="s">
        <v>4064</v>
      </c>
      <c r="G44" s="233">
        <v>5190</v>
      </c>
      <c r="H44" s="233">
        <v>19768425</v>
      </c>
      <c r="I44" s="233">
        <v>37179</v>
      </c>
      <c r="J44" s="233">
        <v>18667</v>
      </c>
      <c r="K44" s="233">
        <v>18512</v>
      </c>
      <c r="L44" s="233">
        <v>18654224</v>
      </c>
      <c r="M44" s="233">
        <v>1482138</v>
      </c>
      <c r="N44" s="233">
        <v>57661</v>
      </c>
      <c r="O44" s="233">
        <v>35183</v>
      </c>
      <c r="P44" s="233">
        <v>2654000</v>
      </c>
      <c r="Q44" s="233">
        <v>5179</v>
      </c>
      <c r="R44" s="233">
        <v>19764587</v>
      </c>
      <c r="S44" s="233">
        <v>37179</v>
      </c>
      <c r="T44" s="233">
        <v>18667</v>
      </c>
      <c r="U44" s="233">
        <v>18512</v>
      </c>
      <c r="V44" s="233">
        <v>18650614</v>
      </c>
      <c r="W44" s="233">
        <v>1481746</v>
      </c>
      <c r="X44" s="233">
        <v>57655</v>
      </c>
      <c r="Y44" s="233">
        <v>35183</v>
      </c>
      <c r="Z44" s="233">
        <v>2653373</v>
      </c>
      <c r="AA44" s="233">
        <v>11</v>
      </c>
      <c r="AB44" s="233">
        <v>3838</v>
      </c>
      <c r="AC44" s="233">
        <v>0</v>
      </c>
      <c r="AD44" s="233">
        <v>0</v>
      </c>
      <c r="AE44" s="233">
        <v>0</v>
      </c>
      <c r="AF44" s="233">
        <v>3610</v>
      </c>
      <c r="AG44" s="233">
        <v>392</v>
      </c>
      <c r="AH44" s="233">
        <v>6</v>
      </c>
      <c r="AI44" s="233">
        <v>0</v>
      </c>
      <c r="AJ44" s="233">
        <v>626</v>
      </c>
    </row>
    <row r="45" spans="1:36">
      <c r="A45" s="240">
        <v>1</v>
      </c>
      <c r="B45" s="241" t="s">
        <v>3997</v>
      </c>
      <c r="C45" s="241" t="s">
        <v>3432</v>
      </c>
      <c r="D45" s="241" t="s">
        <v>4065</v>
      </c>
      <c r="E45" s="241">
        <v>6</v>
      </c>
      <c r="F45" s="242" t="s">
        <v>4066</v>
      </c>
      <c r="G45" s="233">
        <v>59021</v>
      </c>
      <c r="H45" s="233">
        <v>16974754</v>
      </c>
      <c r="I45" s="233">
        <v>150365</v>
      </c>
      <c r="J45" s="233">
        <v>104467</v>
      </c>
      <c r="K45" s="233">
        <v>45898</v>
      </c>
      <c r="L45" s="233">
        <v>15464762</v>
      </c>
      <c r="M45" s="233">
        <v>2505758</v>
      </c>
      <c r="N45" s="233">
        <v>124110</v>
      </c>
      <c r="O45" s="233">
        <v>106479</v>
      </c>
      <c r="P45" s="233">
        <v>4139860</v>
      </c>
      <c r="Q45" s="233">
        <v>58755</v>
      </c>
      <c r="R45" s="233">
        <v>16920742</v>
      </c>
      <c r="S45" s="233">
        <v>149999</v>
      </c>
      <c r="T45" s="233">
        <v>104288</v>
      </c>
      <c r="U45" s="233">
        <v>45711</v>
      </c>
      <c r="V45" s="233">
        <v>15413709</v>
      </c>
      <c r="W45" s="233">
        <v>2502093</v>
      </c>
      <c r="X45" s="233">
        <v>123911</v>
      </c>
      <c r="Y45" s="233">
        <v>106375</v>
      </c>
      <c r="Z45" s="233">
        <v>4133036</v>
      </c>
      <c r="AA45" s="233">
        <v>266</v>
      </c>
      <c r="AB45" s="233">
        <v>54013</v>
      </c>
      <c r="AC45" s="233">
        <v>366</v>
      </c>
      <c r="AD45" s="233">
        <v>178</v>
      </c>
      <c r="AE45" s="233">
        <v>187</v>
      </c>
      <c r="AF45" s="233">
        <v>51052</v>
      </c>
      <c r="AG45" s="233">
        <v>3665</v>
      </c>
      <c r="AH45" s="233">
        <v>199</v>
      </c>
      <c r="AI45" s="233">
        <v>104</v>
      </c>
      <c r="AJ45" s="233">
        <v>6825</v>
      </c>
    </row>
    <row r="46" spans="1:36">
      <c r="A46" s="240">
        <v>1</v>
      </c>
      <c r="B46" s="241" t="s">
        <v>3997</v>
      </c>
      <c r="C46" s="241" t="s">
        <v>3432</v>
      </c>
      <c r="D46" s="241" t="s">
        <v>4067</v>
      </c>
      <c r="E46" s="241">
        <v>6</v>
      </c>
      <c r="F46" s="242" t="s">
        <v>4068</v>
      </c>
      <c r="G46" s="233">
        <v>4365</v>
      </c>
      <c r="H46" s="233">
        <v>3079536</v>
      </c>
      <c r="I46" s="233">
        <v>15869</v>
      </c>
      <c r="J46" s="233">
        <v>11361</v>
      </c>
      <c r="K46" s="233">
        <v>4508</v>
      </c>
      <c r="L46" s="233">
        <v>2861087</v>
      </c>
      <c r="M46" s="233">
        <v>339938</v>
      </c>
      <c r="N46" s="233">
        <v>35254</v>
      </c>
      <c r="O46" s="233">
        <v>11818</v>
      </c>
      <c r="P46" s="233">
        <v>593641</v>
      </c>
      <c r="Q46" s="233">
        <v>4355</v>
      </c>
      <c r="R46" s="233">
        <v>3078122</v>
      </c>
      <c r="S46" s="233">
        <v>15863</v>
      </c>
      <c r="T46" s="233">
        <v>11355</v>
      </c>
      <c r="U46" s="233">
        <v>4508</v>
      </c>
      <c r="V46" s="233">
        <v>2859695</v>
      </c>
      <c r="W46" s="233">
        <v>339886</v>
      </c>
      <c r="X46" s="233">
        <v>35253</v>
      </c>
      <c r="Y46" s="233">
        <v>11818</v>
      </c>
      <c r="Z46" s="233">
        <v>593565</v>
      </c>
      <c r="AA46" s="233">
        <v>10</v>
      </c>
      <c r="AB46" s="233">
        <v>1414</v>
      </c>
      <c r="AC46" s="233">
        <v>6</v>
      </c>
      <c r="AD46" s="233">
        <v>6</v>
      </c>
      <c r="AE46" s="233">
        <v>0</v>
      </c>
      <c r="AF46" s="233">
        <v>1392</v>
      </c>
      <c r="AG46" s="233">
        <v>52</v>
      </c>
      <c r="AH46" s="233">
        <v>1</v>
      </c>
      <c r="AI46" s="233">
        <v>0</v>
      </c>
      <c r="AJ46" s="233">
        <v>76</v>
      </c>
    </row>
    <row r="47" spans="1:36">
      <c r="A47" s="240">
        <v>1</v>
      </c>
      <c r="B47" s="241" t="s">
        <v>3997</v>
      </c>
      <c r="C47" s="241" t="s">
        <v>3432</v>
      </c>
      <c r="D47" s="241" t="s">
        <v>4069</v>
      </c>
      <c r="E47" s="241">
        <v>6</v>
      </c>
      <c r="F47" s="242" t="s">
        <v>4070</v>
      </c>
      <c r="G47" s="233">
        <v>33521</v>
      </c>
      <c r="H47" s="233">
        <v>25373357</v>
      </c>
      <c r="I47" s="233">
        <v>176409</v>
      </c>
      <c r="J47" s="233">
        <v>123608</v>
      </c>
      <c r="K47" s="233">
        <v>52801</v>
      </c>
      <c r="L47" s="233">
        <v>23718913</v>
      </c>
      <c r="M47" s="233">
        <v>2076454</v>
      </c>
      <c r="N47" s="233">
        <v>135295</v>
      </c>
      <c r="O47" s="233">
        <v>129959</v>
      </c>
      <c r="P47" s="233">
        <v>3866193</v>
      </c>
      <c r="Q47" s="233">
        <v>33456</v>
      </c>
      <c r="R47" s="233">
        <v>25355281</v>
      </c>
      <c r="S47" s="233">
        <v>176376</v>
      </c>
      <c r="T47" s="233">
        <v>123604</v>
      </c>
      <c r="U47" s="233">
        <v>52772</v>
      </c>
      <c r="V47" s="233">
        <v>23701430</v>
      </c>
      <c r="W47" s="233">
        <v>2074567</v>
      </c>
      <c r="X47" s="233">
        <v>135223</v>
      </c>
      <c r="Y47" s="233">
        <v>129959</v>
      </c>
      <c r="Z47" s="233">
        <v>3863641</v>
      </c>
      <c r="AA47" s="233">
        <v>65</v>
      </c>
      <c r="AB47" s="233">
        <v>18077</v>
      </c>
      <c r="AC47" s="233">
        <v>33</v>
      </c>
      <c r="AD47" s="233">
        <v>4</v>
      </c>
      <c r="AE47" s="233">
        <v>28</v>
      </c>
      <c r="AF47" s="233">
        <v>17483</v>
      </c>
      <c r="AG47" s="233">
        <v>1886</v>
      </c>
      <c r="AH47" s="233">
        <v>72</v>
      </c>
      <c r="AI47" s="233">
        <v>0</v>
      </c>
      <c r="AJ47" s="233">
        <v>2552</v>
      </c>
    </row>
    <row r="48" spans="1:36">
      <c r="A48" s="240">
        <v>1</v>
      </c>
      <c r="B48" s="241" t="s">
        <v>3997</v>
      </c>
      <c r="C48" s="241" t="s">
        <v>3432</v>
      </c>
      <c r="D48" s="241" t="s">
        <v>4071</v>
      </c>
      <c r="E48" s="241">
        <v>6</v>
      </c>
      <c r="F48" s="242" t="s">
        <v>4072</v>
      </c>
      <c r="G48" s="233">
        <v>20025</v>
      </c>
      <c r="H48" s="233">
        <v>6556378</v>
      </c>
      <c r="I48" s="233">
        <v>175218</v>
      </c>
      <c r="J48" s="233">
        <v>165971</v>
      </c>
      <c r="K48" s="233">
        <v>9247</v>
      </c>
      <c r="L48" s="233">
        <v>6199743</v>
      </c>
      <c r="M48" s="233">
        <v>569153</v>
      </c>
      <c r="N48" s="233">
        <v>54914</v>
      </c>
      <c r="O48" s="233">
        <v>154065</v>
      </c>
      <c r="P48" s="233">
        <v>980702</v>
      </c>
      <c r="Q48" s="233">
        <v>19988</v>
      </c>
      <c r="R48" s="233">
        <v>6552219</v>
      </c>
      <c r="S48" s="233">
        <v>175183</v>
      </c>
      <c r="T48" s="233">
        <v>165937</v>
      </c>
      <c r="U48" s="233">
        <v>9247</v>
      </c>
      <c r="V48" s="233">
        <v>6195753</v>
      </c>
      <c r="W48" s="233">
        <v>568751</v>
      </c>
      <c r="X48" s="233">
        <v>54888</v>
      </c>
      <c r="Y48" s="233">
        <v>154065</v>
      </c>
      <c r="Z48" s="233">
        <v>980104</v>
      </c>
      <c r="AA48" s="233">
        <v>37</v>
      </c>
      <c r="AB48" s="233">
        <v>4159</v>
      </c>
      <c r="AC48" s="233">
        <v>34</v>
      </c>
      <c r="AD48" s="233">
        <v>34</v>
      </c>
      <c r="AE48" s="233">
        <v>0</v>
      </c>
      <c r="AF48" s="233">
        <v>3990</v>
      </c>
      <c r="AG48" s="233">
        <v>402</v>
      </c>
      <c r="AH48" s="233">
        <v>26</v>
      </c>
      <c r="AI48" s="233">
        <v>0</v>
      </c>
      <c r="AJ48" s="233">
        <v>598</v>
      </c>
    </row>
    <row r="49" spans="1:36">
      <c r="A49" s="240">
        <v>1</v>
      </c>
      <c r="B49" s="241" t="s">
        <v>3997</v>
      </c>
      <c r="C49" s="241" t="s">
        <v>3432</v>
      </c>
      <c r="D49" s="241" t="s">
        <v>4073</v>
      </c>
      <c r="E49" s="241">
        <v>6</v>
      </c>
      <c r="F49" s="242" t="s">
        <v>4074</v>
      </c>
      <c r="G49" s="233">
        <v>19859</v>
      </c>
      <c r="H49" s="233">
        <v>3314774</v>
      </c>
      <c r="I49" s="233">
        <v>19318</v>
      </c>
      <c r="J49" s="233">
        <v>7822</v>
      </c>
      <c r="K49" s="233">
        <v>11496</v>
      </c>
      <c r="L49" s="233">
        <v>3080002</v>
      </c>
      <c r="M49" s="233">
        <v>451268</v>
      </c>
      <c r="N49" s="233">
        <v>23237</v>
      </c>
      <c r="O49" s="233">
        <v>13973</v>
      </c>
      <c r="P49" s="233">
        <v>709276</v>
      </c>
      <c r="Q49" s="233">
        <v>19794</v>
      </c>
      <c r="R49" s="233">
        <v>3286387</v>
      </c>
      <c r="S49" s="233">
        <v>19312</v>
      </c>
      <c r="T49" s="233">
        <v>7822</v>
      </c>
      <c r="U49" s="233">
        <v>11490</v>
      </c>
      <c r="V49" s="233">
        <v>3051770</v>
      </c>
      <c r="W49" s="233">
        <v>450143</v>
      </c>
      <c r="X49" s="233">
        <v>23101</v>
      </c>
      <c r="Y49" s="233">
        <v>13973</v>
      </c>
      <c r="Z49" s="233">
        <v>707861</v>
      </c>
      <c r="AA49" s="233">
        <v>65</v>
      </c>
      <c r="AB49" s="233">
        <v>28386</v>
      </c>
      <c r="AC49" s="233">
        <v>6</v>
      </c>
      <c r="AD49" s="233">
        <v>0</v>
      </c>
      <c r="AE49" s="233">
        <v>5</v>
      </c>
      <c r="AF49" s="233">
        <v>28232</v>
      </c>
      <c r="AG49" s="233">
        <v>1125</v>
      </c>
      <c r="AH49" s="233">
        <v>136</v>
      </c>
      <c r="AI49" s="233">
        <v>0</v>
      </c>
      <c r="AJ49" s="233">
        <v>1416</v>
      </c>
    </row>
    <row r="50" spans="1:36">
      <c r="A50" s="240">
        <v>1</v>
      </c>
      <c r="B50" s="241" t="s">
        <v>3997</v>
      </c>
      <c r="C50" s="241" t="s">
        <v>3172</v>
      </c>
      <c r="D50" s="241" t="s">
        <v>4075</v>
      </c>
      <c r="E50" s="241">
        <v>5</v>
      </c>
      <c r="F50" s="242" t="s">
        <v>4076</v>
      </c>
      <c r="G50" s="233">
        <v>93579</v>
      </c>
      <c r="H50" s="233">
        <v>16480260</v>
      </c>
      <c r="I50" s="233">
        <v>282846</v>
      </c>
      <c r="J50" s="233">
        <v>221469</v>
      </c>
      <c r="K50" s="233">
        <v>61377</v>
      </c>
      <c r="L50" s="233">
        <v>15328958</v>
      </c>
      <c r="M50" s="233">
        <v>2639754</v>
      </c>
      <c r="N50" s="233">
        <v>146239</v>
      </c>
      <c r="O50" s="233">
        <v>222344</v>
      </c>
      <c r="P50" s="233">
        <v>3937295</v>
      </c>
      <c r="Q50" s="233">
        <v>93448</v>
      </c>
      <c r="R50" s="233">
        <v>16461679</v>
      </c>
      <c r="S50" s="233">
        <v>282765</v>
      </c>
      <c r="T50" s="233">
        <v>221389</v>
      </c>
      <c r="U50" s="233">
        <v>61377</v>
      </c>
      <c r="V50" s="233">
        <v>15310914</v>
      </c>
      <c r="W50" s="233">
        <v>2638039</v>
      </c>
      <c r="X50" s="233">
        <v>146213</v>
      </c>
      <c r="Y50" s="233">
        <v>222318</v>
      </c>
      <c r="Z50" s="233">
        <v>3935018</v>
      </c>
      <c r="AA50" s="233">
        <v>131</v>
      </c>
      <c r="AB50" s="233">
        <v>18581</v>
      </c>
      <c r="AC50" s="233">
        <v>81</v>
      </c>
      <c r="AD50" s="233">
        <v>81</v>
      </c>
      <c r="AE50" s="233">
        <v>0</v>
      </c>
      <c r="AF50" s="233">
        <v>18044</v>
      </c>
      <c r="AG50" s="233">
        <v>1715</v>
      </c>
      <c r="AH50" s="233">
        <v>26</v>
      </c>
      <c r="AI50" s="233">
        <v>26</v>
      </c>
      <c r="AJ50" s="233">
        <v>2277</v>
      </c>
    </row>
    <row r="51" spans="1:36">
      <c r="A51" s="240">
        <v>1</v>
      </c>
      <c r="B51" s="241" t="s">
        <v>3997</v>
      </c>
      <c r="C51" s="241" t="s">
        <v>3432</v>
      </c>
      <c r="D51" s="241" t="s">
        <v>4077</v>
      </c>
      <c r="E51" s="241">
        <v>6</v>
      </c>
      <c r="F51" s="242" t="s">
        <v>4078</v>
      </c>
      <c r="G51" s="233">
        <v>8489</v>
      </c>
      <c r="H51" s="233">
        <v>964459</v>
      </c>
      <c r="I51" s="233">
        <v>3908</v>
      </c>
      <c r="J51" s="233">
        <v>2914</v>
      </c>
      <c r="K51" s="233">
        <v>994</v>
      </c>
      <c r="L51" s="233">
        <v>912935</v>
      </c>
      <c r="M51" s="233">
        <v>163703</v>
      </c>
      <c r="N51" s="233">
        <v>9723</v>
      </c>
      <c r="O51" s="233">
        <v>1710</v>
      </c>
      <c r="P51" s="233">
        <v>224950</v>
      </c>
      <c r="Q51" s="233">
        <v>8474</v>
      </c>
      <c r="R51" s="233">
        <v>962586</v>
      </c>
      <c r="S51" s="233">
        <v>3852</v>
      </c>
      <c r="T51" s="233">
        <v>2858</v>
      </c>
      <c r="U51" s="233">
        <v>994</v>
      </c>
      <c r="V51" s="233">
        <v>911172</v>
      </c>
      <c r="W51" s="233">
        <v>162634</v>
      </c>
      <c r="X51" s="233">
        <v>9718</v>
      </c>
      <c r="Y51" s="233">
        <v>1708</v>
      </c>
      <c r="Z51" s="233">
        <v>223766</v>
      </c>
      <c r="AA51" s="233">
        <v>15</v>
      </c>
      <c r="AB51" s="233">
        <v>1873</v>
      </c>
      <c r="AC51" s="233">
        <v>56</v>
      </c>
      <c r="AD51" s="233">
        <v>56</v>
      </c>
      <c r="AE51" s="233">
        <v>0</v>
      </c>
      <c r="AF51" s="233">
        <v>1763</v>
      </c>
      <c r="AG51" s="233">
        <v>1069</v>
      </c>
      <c r="AH51" s="233">
        <v>5</v>
      </c>
      <c r="AI51" s="233">
        <v>2</v>
      </c>
      <c r="AJ51" s="233">
        <v>1184</v>
      </c>
    </row>
    <row r="52" spans="1:36">
      <c r="A52" s="240">
        <v>1</v>
      </c>
      <c r="B52" s="241" t="s">
        <v>3997</v>
      </c>
      <c r="C52" s="241" t="s">
        <v>3432</v>
      </c>
      <c r="D52" s="241" t="s">
        <v>4079</v>
      </c>
      <c r="E52" s="241">
        <v>6</v>
      </c>
      <c r="F52" s="242" t="s">
        <v>4080</v>
      </c>
      <c r="G52" s="233">
        <v>16838</v>
      </c>
      <c r="H52" s="233">
        <v>3901287</v>
      </c>
      <c r="I52" s="233">
        <v>81044</v>
      </c>
      <c r="J52" s="233">
        <v>70671</v>
      </c>
      <c r="K52" s="233">
        <v>10372</v>
      </c>
      <c r="L52" s="233">
        <v>3607440</v>
      </c>
      <c r="M52" s="233">
        <v>693062</v>
      </c>
      <c r="N52" s="233">
        <v>37120</v>
      </c>
      <c r="O52" s="233">
        <v>65655</v>
      </c>
      <c r="P52" s="233">
        <v>1024030</v>
      </c>
      <c r="Q52" s="233">
        <v>16819</v>
      </c>
      <c r="R52" s="233">
        <v>3889773</v>
      </c>
      <c r="S52" s="233">
        <v>81044</v>
      </c>
      <c r="T52" s="233">
        <v>70671</v>
      </c>
      <c r="U52" s="233">
        <v>10372</v>
      </c>
      <c r="V52" s="233">
        <v>3596159</v>
      </c>
      <c r="W52" s="233">
        <v>692887</v>
      </c>
      <c r="X52" s="233">
        <v>37115</v>
      </c>
      <c r="Y52" s="233">
        <v>65655</v>
      </c>
      <c r="Z52" s="233">
        <v>1023616</v>
      </c>
      <c r="AA52" s="233">
        <v>19</v>
      </c>
      <c r="AB52" s="233">
        <v>11514</v>
      </c>
      <c r="AC52" s="233">
        <v>0</v>
      </c>
      <c r="AD52" s="233">
        <v>0</v>
      </c>
      <c r="AE52" s="233">
        <v>0</v>
      </c>
      <c r="AF52" s="233">
        <v>11281</v>
      </c>
      <c r="AG52" s="233">
        <v>176</v>
      </c>
      <c r="AH52" s="233">
        <v>5</v>
      </c>
      <c r="AI52" s="233">
        <v>0</v>
      </c>
      <c r="AJ52" s="233">
        <v>414</v>
      </c>
    </row>
    <row r="53" spans="1:36">
      <c r="A53" s="240">
        <v>1</v>
      </c>
      <c r="B53" s="241" t="s">
        <v>3997</v>
      </c>
      <c r="C53" s="241" t="s">
        <v>3432</v>
      </c>
      <c r="D53" s="241" t="s">
        <v>4081</v>
      </c>
      <c r="E53" s="241">
        <v>6</v>
      </c>
      <c r="F53" s="242" t="s">
        <v>4082</v>
      </c>
      <c r="G53" s="233">
        <v>6281</v>
      </c>
      <c r="H53" s="233">
        <v>1713826</v>
      </c>
      <c r="I53" s="233">
        <v>11699</v>
      </c>
      <c r="J53" s="233">
        <v>5578</v>
      </c>
      <c r="K53" s="233">
        <v>6121</v>
      </c>
      <c r="L53" s="233">
        <v>1595407</v>
      </c>
      <c r="M53" s="233">
        <v>256009</v>
      </c>
      <c r="N53" s="233">
        <v>14579</v>
      </c>
      <c r="O53" s="233">
        <v>8628</v>
      </c>
      <c r="P53" s="233">
        <v>389007</v>
      </c>
      <c r="Q53" s="233">
        <v>6277</v>
      </c>
      <c r="R53" s="233">
        <v>1713799</v>
      </c>
      <c r="S53" s="233">
        <v>11699</v>
      </c>
      <c r="T53" s="233">
        <v>5578</v>
      </c>
      <c r="U53" s="233">
        <v>6121</v>
      </c>
      <c r="V53" s="233">
        <v>1595391</v>
      </c>
      <c r="W53" s="233">
        <v>256007</v>
      </c>
      <c r="X53" s="233">
        <v>14576</v>
      </c>
      <c r="Y53" s="233">
        <v>8628</v>
      </c>
      <c r="Z53" s="233">
        <v>388991</v>
      </c>
      <c r="AA53" s="233">
        <v>4</v>
      </c>
      <c r="AB53" s="233">
        <v>28</v>
      </c>
      <c r="AC53" s="233">
        <v>0</v>
      </c>
      <c r="AD53" s="233">
        <v>0</v>
      </c>
      <c r="AE53" s="233">
        <v>0</v>
      </c>
      <c r="AF53" s="233">
        <v>16</v>
      </c>
      <c r="AG53" s="233">
        <v>2</v>
      </c>
      <c r="AH53" s="233">
        <v>3</v>
      </c>
      <c r="AI53" s="233">
        <v>0</v>
      </c>
      <c r="AJ53" s="233">
        <v>16</v>
      </c>
    </row>
    <row r="54" spans="1:36">
      <c r="A54" s="240">
        <v>1</v>
      </c>
      <c r="B54" s="241" t="s">
        <v>3997</v>
      </c>
      <c r="C54" s="241" t="s">
        <v>3432</v>
      </c>
      <c r="D54" s="241" t="s">
        <v>4083</v>
      </c>
      <c r="E54" s="241">
        <v>6</v>
      </c>
      <c r="F54" s="242" t="s">
        <v>4084</v>
      </c>
      <c r="G54" s="233">
        <v>3608</v>
      </c>
      <c r="H54" s="233">
        <v>466106</v>
      </c>
      <c r="I54" s="233">
        <v>17687</v>
      </c>
      <c r="J54" s="233">
        <v>16119</v>
      </c>
      <c r="K54" s="233">
        <v>1568</v>
      </c>
      <c r="L54" s="233">
        <v>443189</v>
      </c>
      <c r="M54" s="233">
        <v>70556</v>
      </c>
      <c r="N54" s="233">
        <v>4741</v>
      </c>
      <c r="O54" s="233">
        <v>15350</v>
      </c>
      <c r="P54" s="233">
        <v>98215</v>
      </c>
      <c r="Q54" s="233">
        <v>3597</v>
      </c>
      <c r="R54" s="233">
        <v>465851</v>
      </c>
      <c r="S54" s="233">
        <v>17687</v>
      </c>
      <c r="T54" s="233">
        <v>16119</v>
      </c>
      <c r="U54" s="233">
        <v>1568</v>
      </c>
      <c r="V54" s="233">
        <v>442976</v>
      </c>
      <c r="W54" s="233">
        <v>70526</v>
      </c>
      <c r="X54" s="233">
        <v>4738</v>
      </c>
      <c r="Y54" s="233">
        <v>15350</v>
      </c>
      <c r="Z54" s="233">
        <v>98139</v>
      </c>
      <c r="AA54" s="233">
        <v>11</v>
      </c>
      <c r="AB54" s="233">
        <v>255</v>
      </c>
      <c r="AC54" s="233">
        <v>0</v>
      </c>
      <c r="AD54" s="233">
        <v>0</v>
      </c>
      <c r="AE54" s="233">
        <v>0</v>
      </c>
      <c r="AF54" s="233">
        <v>212</v>
      </c>
      <c r="AG54" s="233">
        <v>30</v>
      </c>
      <c r="AH54" s="233">
        <v>3</v>
      </c>
      <c r="AI54" s="233">
        <v>0</v>
      </c>
      <c r="AJ54" s="233">
        <v>76</v>
      </c>
    </row>
    <row r="55" spans="1:36">
      <c r="A55" s="240">
        <v>1</v>
      </c>
      <c r="B55" s="241" t="s">
        <v>3997</v>
      </c>
      <c r="C55" s="241" t="s">
        <v>3432</v>
      </c>
      <c r="D55" s="241" t="s">
        <v>4085</v>
      </c>
      <c r="E55" s="241">
        <v>6</v>
      </c>
      <c r="F55" s="242" t="s">
        <v>4086</v>
      </c>
      <c r="G55" s="233">
        <v>3492</v>
      </c>
      <c r="H55" s="233">
        <v>340562</v>
      </c>
      <c r="I55" s="233">
        <v>1451</v>
      </c>
      <c r="J55" s="233">
        <v>1334</v>
      </c>
      <c r="K55" s="233">
        <v>117</v>
      </c>
      <c r="L55" s="233">
        <v>316944</v>
      </c>
      <c r="M55" s="233">
        <v>78802</v>
      </c>
      <c r="N55" s="233">
        <v>4718</v>
      </c>
      <c r="O55" s="233">
        <v>983</v>
      </c>
      <c r="P55" s="233">
        <v>107139</v>
      </c>
      <c r="Q55" s="233">
        <v>3488</v>
      </c>
      <c r="R55" s="233">
        <v>340496</v>
      </c>
      <c r="S55" s="233">
        <v>1451</v>
      </c>
      <c r="T55" s="233">
        <v>1334</v>
      </c>
      <c r="U55" s="233">
        <v>117</v>
      </c>
      <c r="V55" s="233">
        <v>316886</v>
      </c>
      <c r="W55" s="233">
        <v>78775</v>
      </c>
      <c r="X55" s="233">
        <v>4717</v>
      </c>
      <c r="Y55" s="233">
        <v>983</v>
      </c>
      <c r="Z55" s="233">
        <v>107102</v>
      </c>
      <c r="AA55" s="233">
        <v>4</v>
      </c>
      <c r="AB55" s="233">
        <v>66</v>
      </c>
      <c r="AC55" s="233">
        <v>0</v>
      </c>
      <c r="AD55" s="233">
        <v>0</v>
      </c>
      <c r="AE55" s="233">
        <v>0</v>
      </c>
      <c r="AF55" s="233">
        <v>58</v>
      </c>
      <c r="AG55" s="233">
        <v>27</v>
      </c>
      <c r="AH55" s="233">
        <v>1</v>
      </c>
      <c r="AI55" s="233">
        <v>0</v>
      </c>
      <c r="AJ55" s="233">
        <v>37</v>
      </c>
    </row>
    <row r="56" spans="1:36">
      <c r="A56" s="240">
        <v>1</v>
      </c>
      <c r="B56" s="241" t="s">
        <v>3997</v>
      </c>
      <c r="C56" s="241" t="s">
        <v>3432</v>
      </c>
      <c r="D56" s="241" t="s">
        <v>4087</v>
      </c>
      <c r="E56" s="241">
        <v>6</v>
      </c>
      <c r="F56" s="242" t="s">
        <v>4088</v>
      </c>
      <c r="G56" s="233">
        <v>5264</v>
      </c>
      <c r="H56" s="233">
        <v>655239</v>
      </c>
      <c r="I56" s="233">
        <v>5275</v>
      </c>
      <c r="J56" s="233">
        <v>4554</v>
      </c>
      <c r="K56" s="233">
        <v>721</v>
      </c>
      <c r="L56" s="233">
        <v>603994</v>
      </c>
      <c r="M56" s="233">
        <v>116392</v>
      </c>
      <c r="N56" s="233">
        <v>6626</v>
      </c>
      <c r="O56" s="233">
        <v>4365</v>
      </c>
      <c r="P56" s="233">
        <v>174262</v>
      </c>
      <c r="Q56" s="233">
        <v>5258</v>
      </c>
      <c r="R56" s="233">
        <v>655083</v>
      </c>
      <c r="S56" s="233">
        <v>5275</v>
      </c>
      <c r="T56" s="233">
        <v>4554</v>
      </c>
      <c r="U56" s="233">
        <v>721</v>
      </c>
      <c r="V56" s="233">
        <v>603871</v>
      </c>
      <c r="W56" s="233">
        <v>116340</v>
      </c>
      <c r="X56" s="233">
        <v>6623</v>
      </c>
      <c r="Y56" s="233">
        <v>4365</v>
      </c>
      <c r="Z56" s="233">
        <v>174175</v>
      </c>
      <c r="AA56" s="233">
        <v>6</v>
      </c>
      <c r="AB56" s="233">
        <v>155</v>
      </c>
      <c r="AC56" s="233">
        <v>0</v>
      </c>
      <c r="AD56" s="233">
        <v>0</v>
      </c>
      <c r="AE56" s="233">
        <v>0</v>
      </c>
      <c r="AF56" s="233">
        <v>123</v>
      </c>
      <c r="AG56" s="233">
        <v>53</v>
      </c>
      <c r="AH56" s="233">
        <v>2</v>
      </c>
      <c r="AI56" s="233">
        <v>0</v>
      </c>
      <c r="AJ56" s="233">
        <v>87</v>
      </c>
    </row>
    <row r="57" spans="1:36">
      <c r="A57" s="240">
        <v>1</v>
      </c>
      <c r="B57" s="241" t="s">
        <v>3997</v>
      </c>
      <c r="C57" s="241" t="s">
        <v>3432</v>
      </c>
      <c r="D57" s="241" t="s">
        <v>4089</v>
      </c>
      <c r="E57" s="241">
        <v>6</v>
      </c>
      <c r="F57" s="242" t="s">
        <v>4090</v>
      </c>
      <c r="G57" s="233">
        <v>13121</v>
      </c>
      <c r="H57" s="233">
        <v>1636558</v>
      </c>
      <c r="I57" s="233">
        <v>18006</v>
      </c>
      <c r="J57" s="233">
        <v>13869</v>
      </c>
      <c r="K57" s="233">
        <v>4137</v>
      </c>
      <c r="L57" s="233">
        <v>1494778</v>
      </c>
      <c r="M57" s="233">
        <v>299179</v>
      </c>
      <c r="N57" s="233">
        <v>14578</v>
      </c>
      <c r="O57" s="233">
        <v>11755</v>
      </c>
      <c r="P57" s="233">
        <v>455537</v>
      </c>
      <c r="Q57" s="233">
        <v>13102</v>
      </c>
      <c r="R57" s="233">
        <v>1634740</v>
      </c>
      <c r="S57" s="233">
        <v>18006</v>
      </c>
      <c r="T57" s="233">
        <v>13869</v>
      </c>
      <c r="U57" s="233">
        <v>4137</v>
      </c>
      <c r="V57" s="233">
        <v>1492988</v>
      </c>
      <c r="W57" s="233">
        <v>299043</v>
      </c>
      <c r="X57" s="233">
        <v>14576</v>
      </c>
      <c r="Y57" s="233">
        <v>11755</v>
      </c>
      <c r="Z57" s="233">
        <v>455372</v>
      </c>
      <c r="AA57" s="233">
        <v>19</v>
      </c>
      <c r="AB57" s="233">
        <v>1818</v>
      </c>
      <c r="AC57" s="233">
        <v>0</v>
      </c>
      <c r="AD57" s="233">
        <v>0</v>
      </c>
      <c r="AE57" s="233">
        <v>0</v>
      </c>
      <c r="AF57" s="233">
        <v>1791</v>
      </c>
      <c r="AG57" s="233">
        <v>135</v>
      </c>
      <c r="AH57" s="233">
        <v>2</v>
      </c>
      <c r="AI57" s="233">
        <v>0</v>
      </c>
      <c r="AJ57" s="233">
        <v>164</v>
      </c>
    </row>
    <row r="58" spans="1:36">
      <c r="A58" s="240">
        <v>1</v>
      </c>
      <c r="B58" s="241" t="s">
        <v>3997</v>
      </c>
      <c r="C58" s="241" t="s">
        <v>3432</v>
      </c>
      <c r="D58" s="241" t="s">
        <v>4091</v>
      </c>
      <c r="E58" s="241">
        <v>6</v>
      </c>
      <c r="F58" s="242" t="s">
        <v>4092</v>
      </c>
      <c r="G58" s="233">
        <v>16391</v>
      </c>
      <c r="H58" s="233">
        <v>2900131</v>
      </c>
      <c r="I58" s="233">
        <v>71769</v>
      </c>
      <c r="J58" s="233">
        <v>47673</v>
      </c>
      <c r="K58" s="233">
        <v>24095</v>
      </c>
      <c r="L58" s="233">
        <v>2737667</v>
      </c>
      <c r="M58" s="233">
        <v>372205</v>
      </c>
      <c r="N58" s="233">
        <v>18088</v>
      </c>
      <c r="O58" s="233">
        <v>57731</v>
      </c>
      <c r="P58" s="233">
        <v>552758</v>
      </c>
      <c r="Q58" s="233">
        <v>16373</v>
      </c>
      <c r="R58" s="233">
        <v>2898457</v>
      </c>
      <c r="S58" s="233">
        <v>71769</v>
      </c>
      <c r="T58" s="233">
        <v>47673</v>
      </c>
      <c r="U58" s="233">
        <v>24095</v>
      </c>
      <c r="V58" s="233">
        <v>2736054</v>
      </c>
      <c r="W58" s="233">
        <v>372068</v>
      </c>
      <c r="X58" s="233">
        <v>18085</v>
      </c>
      <c r="Y58" s="233">
        <v>57731</v>
      </c>
      <c r="Z58" s="233">
        <v>552556</v>
      </c>
      <c r="AA58" s="233">
        <v>18</v>
      </c>
      <c r="AB58" s="233">
        <v>1674</v>
      </c>
      <c r="AC58" s="233">
        <v>0</v>
      </c>
      <c r="AD58" s="233">
        <v>0</v>
      </c>
      <c r="AE58" s="233">
        <v>0</v>
      </c>
      <c r="AF58" s="233">
        <v>1613</v>
      </c>
      <c r="AG58" s="233">
        <v>137</v>
      </c>
      <c r="AH58" s="233">
        <v>3</v>
      </c>
      <c r="AI58" s="233">
        <v>0</v>
      </c>
      <c r="AJ58" s="233">
        <v>202</v>
      </c>
    </row>
    <row r="59" spans="1:36">
      <c r="A59" s="240">
        <v>1</v>
      </c>
      <c r="B59" s="241" t="s">
        <v>3997</v>
      </c>
      <c r="C59" s="241" t="s">
        <v>3432</v>
      </c>
      <c r="D59" s="241" t="s">
        <v>4093</v>
      </c>
      <c r="E59" s="241">
        <v>6</v>
      </c>
      <c r="F59" s="242" t="s">
        <v>4094</v>
      </c>
      <c r="G59" s="233">
        <v>20095</v>
      </c>
      <c r="H59" s="233">
        <v>3902092</v>
      </c>
      <c r="I59" s="233">
        <v>72007</v>
      </c>
      <c r="J59" s="233">
        <v>58757</v>
      </c>
      <c r="K59" s="233">
        <v>13250</v>
      </c>
      <c r="L59" s="233">
        <v>3616606</v>
      </c>
      <c r="M59" s="233">
        <v>589846</v>
      </c>
      <c r="N59" s="233">
        <v>36066</v>
      </c>
      <c r="O59" s="233">
        <v>56167</v>
      </c>
      <c r="P59" s="233">
        <v>911398</v>
      </c>
      <c r="Q59" s="233">
        <v>20060</v>
      </c>
      <c r="R59" s="233">
        <v>3900894</v>
      </c>
      <c r="S59" s="233">
        <v>71982</v>
      </c>
      <c r="T59" s="233">
        <v>58733</v>
      </c>
      <c r="U59" s="233">
        <v>13250</v>
      </c>
      <c r="V59" s="233">
        <v>3615418</v>
      </c>
      <c r="W59" s="233">
        <v>589761</v>
      </c>
      <c r="X59" s="233">
        <v>36064</v>
      </c>
      <c r="Y59" s="233">
        <v>56143</v>
      </c>
      <c r="Z59" s="233">
        <v>911301</v>
      </c>
      <c r="AA59" s="233">
        <v>35</v>
      </c>
      <c r="AB59" s="233">
        <v>1198</v>
      </c>
      <c r="AC59" s="233">
        <v>25</v>
      </c>
      <c r="AD59" s="233">
        <v>24</v>
      </c>
      <c r="AE59" s="233">
        <v>0</v>
      </c>
      <c r="AF59" s="233">
        <v>1187</v>
      </c>
      <c r="AG59" s="233">
        <v>85</v>
      </c>
      <c r="AH59" s="233">
        <v>2</v>
      </c>
      <c r="AI59" s="233">
        <v>24</v>
      </c>
      <c r="AJ59" s="233">
        <v>98</v>
      </c>
    </row>
    <row r="60" spans="1:36">
      <c r="A60" s="240">
        <v>1</v>
      </c>
      <c r="B60" s="241" t="s">
        <v>3997</v>
      </c>
      <c r="C60" s="241" t="s">
        <v>3172</v>
      </c>
      <c r="D60" s="241" t="s">
        <v>4095</v>
      </c>
      <c r="E60" s="241">
        <v>5</v>
      </c>
      <c r="F60" s="242" t="s">
        <v>4096</v>
      </c>
      <c r="G60" s="233">
        <v>85157</v>
      </c>
      <c r="H60" s="233">
        <v>29234451</v>
      </c>
      <c r="I60" s="233">
        <v>498674</v>
      </c>
      <c r="J60" s="233">
        <v>361148</v>
      </c>
      <c r="K60" s="233">
        <v>137526</v>
      </c>
      <c r="L60" s="233">
        <v>26733845</v>
      </c>
      <c r="M60" s="233">
        <v>4645662</v>
      </c>
      <c r="N60" s="233">
        <v>168062</v>
      </c>
      <c r="O60" s="233">
        <v>411902</v>
      </c>
      <c r="P60" s="233">
        <v>7314330</v>
      </c>
      <c r="Q60" s="233">
        <v>84858</v>
      </c>
      <c r="R60" s="233">
        <v>29194726</v>
      </c>
      <c r="S60" s="233">
        <v>496676</v>
      </c>
      <c r="T60" s="233">
        <v>359855</v>
      </c>
      <c r="U60" s="233">
        <v>136822</v>
      </c>
      <c r="V60" s="233">
        <v>26694630</v>
      </c>
      <c r="W60" s="233">
        <v>4640572</v>
      </c>
      <c r="X60" s="233">
        <v>167846</v>
      </c>
      <c r="Y60" s="233">
        <v>410629</v>
      </c>
      <c r="Z60" s="233">
        <v>7308514</v>
      </c>
      <c r="AA60" s="233">
        <v>299</v>
      </c>
      <c r="AB60" s="233">
        <v>39725</v>
      </c>
      <c r="AC60" s="233">
        <v>1998</v>
      </c>
      <c r="AD60" s="233">
        <v>1293</v>
      </c>
      <c r="AE60" s="233">
        <v>704</v>
      </c>
      <c r="AF60" s="233">
        <v>39215</v>
      </c>
      <c r="AG60" s="233">
        <v>5090</v>
      </c>
      <c r="AH60" s="233">
        <v>216</v>
      </c>
      <c r="AI60" s="233">
        <v>1272</v>
      </c>
      <c r="AJ60" s="233">
        <v>5816</v>
      </c>
    </row>
    <row r="61" spans="1:36">
      <c r="A61" s="240">
        <v>1</v>
      </c>
      <c r="B61" s="241" t="s">
        <v>3997</v>
      </c>
      <c r="C61" s="241" t="s">
        <v>3432</v>
      </c>
      <c r="D61" s="241" t="s">
        <v>4097</v>
      </c>
      <c r="E61" s="241">
        <v>6</v>
      </c>
      <c r="F61" s="242" t="s">
        <v>4098</v>
      </c>
      <c r="G61" s="233">
        <v>33826</v>
      </c>
      <c r="H61" s="233">
        <v>10744092</v>
      </c>
      <c r="I61" s="233">
        <v>104766</v>
      </c>
      <c r="J61" s="233">
        <v>76971</v>
      </c>
      <c r="K61" s="233">
        <v>27795</v>
      </c>
      <c r="L61" s="233">
        <v>9833188</v>
      </c>
      <c r="M61" s="233">
        <v>1740898</v>
      </c>
      <c r="N61" s="233">
        <v>63196</v>
      </c>
      <c r="O61" s="233">
        <v>79603</v>
      </c>
      <c r="P61" s="233">
        <v>2714998</v>
      </c>
      <c r="Q61" s="233">
        <v>33745</v>
      </c>
      <c r="R61" s="233">
        <v>10736956</v>
      </c>
      <c r="S61" s="233">
        <v>104642</v>
      </c>
      <c r="T61" s="233">
        <v>76875</v>
      </c>
      <c r="U61" s="233">
        <v>27767</v>
      </c>
      <c r="V61" s="233">
        <v>9826354</v>
      </c>
      <c r="W61" s="233">
        <v>1740184</v>
      </c>
      <c r="X61" s="233">
        <v>63141</v>
      </c>
      <c r="Y61" s="233">
        <v>79536</v>
      </c>
      <c r="Z61" s="233">
        <v>2713927</v>
      </c>
      <c r="AA61" s="233">
        <v>81</v>
      </c>
      <c r="AB61" s="233">
        <v>7136</v>
      </c>
      <c r="AC61" s="233">
        <v>124</v>
      </c>
      <c r="AD61" s="233">
        <v>95</v>
      </c>
      <c r="AE61" s="233">
        <v>29</v>
      </c>
      <c r="AF61" s="233">
        <v>6834</v>
      </c>
      <c r="AG61" s="233">
        <v>714</v>
      </c>
      <c r="AH61" s="233">
        <v>55</v>
      </c>
      <c r="AI61" s="233">
        <v>67</v>
      </c>
      <c r="AJ61" s="233">
        <v>1071</v>
      </c>
    </row>
    <row r="62" spans="1:36">
      <c r="A62" s="240">
        <v>1</v>
      </c>
      <c r="B62" s="241" t="s">
        <v>3997</v>
      </c>
      <c r="C62" s="241" t="s">
        <v>3432</v>
      </c>
      <c r="D62" s="241" t="s">
        <v>4099</v>
      </c>
      <c r="E62" s="241">
        <v>6</v>
      </c>
      <c r="F62" s="242" t="s">
        <v>4100</v>
      </c>
      <c r="G62" s="233">
        <v>7606</v>
      </c>
      <c r="H62" s="233">
        <v>4375000</v>
      </c>
      <c r="I62" s="233">
        <v>74966</v>
      </c>
      <c r="J62" s="233">
        <v>35609</v>
      </c>
      <c r="K62" s="233">
        <v>39357</v>
      </c>
      <c r="L62" s="233">
        <v>4013212</v>
      </c>
      <c r="M62" s="233">
        <v>837243</v>
      </c>
      <c r="N62" s="233">
        <v>21337</v>
      </c>
      <c r="O62" s="233">
        <v>49736</v>
      </c>
      <c r="P62" s="233">
        <v>1220369</v>
      </c>
      <c r="Q62" s="233">
        <v>7599</v>
      </c>
      <c r="R62" s="235" t="s">
        <v>4020</v>
      </c>
      <c r="S62" s="235" t="s">
        <v>4020</v>
      </c>
      <c r="T62" s="235" t="s">
        <v>4020</v>
      </c>
      <c r="U62" s="235" t="s">
        <v>4020</v>
      </c>
      <c r="V62" s="235" t="s">
        <v>4020</v>
      </c>
      <c r="W62" s="235" t="s">
        <v>4020</v>
      </c>
      <c r="X62" s="235" t="s">
        <v>4020</v>
      </c>
      <c r="Y62" s="235" t="s">
        <v>4020</v>
      </c>
      <c r="Z62" s="235" t="s">
        <v>4020</v>
      </c>
      <c r="AA62" s="233">
        <v>7</v>
      </c>
      <c r="AB62" s="235" t="s">
        <v>4020</v>
      </c>
      <c r="AC62" s="235" t="s">
        <v>4020</v>
      </c>
      <c r="AD62" s="235" t="s">
        <v>4020</v>
      </c>
      <c r="AE62" s="235" t="s">
        <v>4020</v>
      </c>
      <c r="AF62" s="235" t="s">
        <v>4020</v>
      </c>
      <c r="AG62" s="235" t="s">
        <v>4020</v>
      </c>
      <c r="AH62" s="235" t="s">
        <v>4020</v>
      </c>
      <c r="AI62" s="235" t="s">
        <v>4020</v>
      </c>
      <c r="AJ62" s="235" t="s">
        <v>4020</v>
      </c>
    </row>
    <row r="63" spans="1:36">
      <c r="A63" s="240">
        <v>1</v>
      </c>
      <c r="B63" s="241" t="s">
        <v>3997</v>
      </c>
      <c r="C63" s="241" t="s">
        <v>3432</v>
      </c>
      <c r="D63" s="241" t="s">
        <v>4101</v>
      </c>
      <c r="E63" s="241">
        <v>6</v>
      </c>
      <c r="F63" s="242" t="s">
        <v>4102</v>
      </c>
      <c r="G63" s="233">
        <v>31755</v>
      </c>
      <c r="H63" s="233">
        <v>9074279</v>
      </c>
      <c r="I63" s="233">
        <v>188194</v>
      </c>
      <c r="J63" s="233">
        <v>127971</v>
      </c>
      <c r="K63" s="233">
        <v>60224</v>
      </c>
      <c r="L63" s="233">
        <v>8319676</v>
      </c>
      <c r="M63" s="233">
        <v>1292719</v>
      </c>
      <c r="N63" s="233">
        <v>53984</v>
      </c>
      <c r="O63" s="233">
        <v>180748</v>
      </c>
      <c r="P63" s="233">
        <v>2101306</v>
      </c>
      <c r="Q63" s="233">
        <v>31554</v>
      </c>
      <c r="R63" s="233">
        <v>9043031</v>
      </c>
      <c r="S63" s="233">
        <v>186321</v>
      </c>
      <c r="T63" s="233">
        <v>126772</v>
      </c>
      <c r="U63" s="233">
        <v>59548</v>
      </c>
      <c r="V63" s="233">
        <v>8288644</v>
      </c>
      <c r="W63" s="233">
        <v>1288415</v>
      </c>
      <c r="X63" s="233">
        <v>53825</v>
      </c>
      <c r="Y63" s="233">
        <v>179544</v>
      </c>
      <c r="Z63" s="233">
        <v>2096626</v>
      </c>
      <c r="AA63" s="233">
        <v>201</v>
      </c>
      <c r="AB63" s="233">
        <v>31248</v>
      </c>
      <c r="AC63" s="233">
        <v>1874</v>
      </c>
      <c r="AD63" s="233">
        <v>1198</v>
      </c>
      <c r="AE63" s="233">
        <v>676</v>
      </c>
      <c r="AF63" s="233">
        <v>31032</v>
      </c>
      <c r="AG63" s="233">
        <v>4305</v>
      </c>
      <c r="AH63" s="233">
        <v>159</v>
      </c>
      <c r="AI63" s="233">
        <v>1205</v>
      </c>
      <c r="AJ63" s="233">
        <v>4679</v>
      </c>
    </row>
    <row r="64" spans="1:36">
      <c r="A64" s="240">
        <v>1</v>
      </c>
      <c r="B64" s="241" t="s">
        <v>3997</v>
      </c>
      <c r="C64" s="241" t="s">
        <v>3432</v>
      </c>
      <c r="D64" s="241" t="s">
        <v>4103</v>
      </c>
      <c r="E64" s="241">
        <v>6</v>
      </c>
      <c r="F64" s="242" t="s">
        <v>4104</v>
      </c>
      <c r="G64" s="233">
        <v>7667</v>
      </c>
      <c r="H64" s="233">
        <v>3975941</v>
      </c>
      <c r="I64" s="233">
        <v>98814</v>
      </c>
      <c r="J64" s="233">
        <v>93810</v>
      </c>
      <c r="K64" s="233">
        <v>5004</v>
      </c>
      <c r="L64" s="233">
        <v>3622324</v>
      </c>
      <c r="M64" s="233">
        <v>586553</v>
      </c>
      <c r="N64" s="233">
        <v>21859</v>
      </c>
      <c r="O64" s="233">
        <v>77927</v>
      </c>
      <c r="P64" s="233">
        <v>962030</v>
      </c>
      <c r="Q64" s="233">
        <v>7658</v>
      </c>
      <c r="R64" s="233">
        <v>3975787</v>
      </c>
      <c r="S64" s="233">
        <v>98814</v>
      </c>
      <c r="T64" s="233">
        <v>93810</v>
      </c>
      <c r="U64" s="233">
        <v>5004</v>
      </c>
      <c r="V64" s="233">
        <v>3622162</v>
      </c>
      <c r="W64" s="233">
        <v>586516</v>
      </c>
      <c r="X64" s="233">
        <v>21858</v>
      </c>
      <c r="Y64" s="233">
        <v>77927</v>
      </c>
      <c r="Z64" s="233">
        <v>961999</v>
      </c>
      <c r="AA64" s="233">
        <v>9</v>
      </c>
      <c r="AB64" s="233">
        <v>155</v>
      </c>
      <c r="AC64" s="233">
        <v>0</v>
      </c>
      <c r="AD64" s="233">
        <v>0</v>
      </c>
      <c r="AE64" s="233">
        <v>0</v>
      </c>
      <c r="AF64" s="233">
        <v>161</v>
      </c>
      <c r="AG64" s="233">
        <v>37</v>
      </c>
      <c r="AH64" s="233">
        <v>1</v>
      </c>
      <c r="AI64" s="233">
        <v>0</v>
      </c>
      <c r="AJ64" s="233">
        <v>31</v>
      </c>
    </row>
    <row r="65" spans="1:36">
      <c r="A65" s="240">
        <v>1</v>
      </c>
      <c r="B65" s="241" t="s">
        <v>3997</v>
      </c>
      <c r="C65" s="241" t="s">
        <v>3432</v>
      </c>
      <c r="D65" s="241" t="s">
        <v>4105</v>
      </c>
      <c r="E65" s="241">
        <v>6</v>
      </c>
      <c r="F65" s="242" t="s">
        <v>4106</v>
      </c>
      <c r="G65" s="233">
        <v>4303</v>
      </c>
      <c r="H65" s="233">
        <v>1065138</v>
      </c>
      <c r="I65" s="233">
        <v>31934</v>
      </c>
      <c r="J65" s="233">
        <v>26788</v>
      </c>
      <c r="K65" s="233">
        <v>5146</v>
      </c>
      <c r="L65" s="233">
        <v>945445</v>
      </c>
      <c r="M65" s="233">
        <v>188248</v>
      </c>
      <c r="N65" s="233">
        <v>7685</v>
      </c>
      <c r="O65" s="233">
        <v>23887</v>
      </c>
      <c r="P65" s="233">
        <v>315626</v>
      </c>
      <c r="Q65" s="233">
        <v>4302</v>
      </c>
      <c r="R65" s="235" t="s">
        <v>4020</v>
      </c>
      <c r="S65" s="235" t="s">
        <v>4020</v>
      </c>
      <c r="T65" s="235" t="s">
        <v>4020</v>
      </c>
      <c r="U65" s="235" t="s">
        <v>4020</v>
      </c>
      <c r="V65" s="235" t="s">
        <v>4020</v>
      </c>
      <c r="W65" s="235" t="s">
        <v>4020</v>
      </c>
      <c r="X65" s="235" t="s">
        <v>4020</v>
      </c>
      <c r="Y65" s="235" t="s">
        <v>4020</v>
      </c>
      <c r="Z65" s="235" t="s">
        <v>4020</v>
      </c>
      <c r="AA65" s="233">
        <v>1</v>
      </c>
      <c r="AB65" s="235" t="s">
        <v>4020</v>
      </c>
      <c r="AC65" s="235" t="s">
        <v>4020</v>
      </c>
      <c r="AD65" s="235" t="s">
        <v>4020</v>
      </c>
      <c r="AE65" s="235" t="s">
        <v>4020</v>
      </c>
      <c r="AF65" s="235" t="s">
        <v>4020</v>
      </c>
      <c r="AG65" s="235" t="s">
        <v>4020</v>
      </c>
      <c r="AH65" s="235" t="s">
        <v>4020</v>
      </c>
      <c r="AI65" s="235" t="s">
        <v>4020</v>
      </c>
      <c r="AJ65" s="235" t="s">
        <v>4020</v>
      </c>
    </row>
    <row r="66" spans="1:36">
      <c r="A66" s="240">
        <v>1</v>
      </c>
      <c r="B66" s="241" t="s">
        <v>3997</v>
      </c>
      <c r="C66" s="241" t="s">
        <v>3459</v>
      </c>
      <c r="D66" s="241" t="s">
        <v>4107</v>
      </c>
      <c r="E66" s="241">
        <v>3</v>
      </c>
      <c r="F66" s="242" t="s">
        <v>4108</v>
      </c>
      <c r="G66" s="233">
        <v>242957</v>
      </c>
      <c r="H66" s="233">
        <v>414819046</v>
      </c>
      <c r="I66" s="233">
        <v>23615224</v>
      </c>
      <c r="J66" s="233">
        <v>22449665</v>
      </c>
      <c r="K66" s="233">
        <v>1165560</v>
      </c>
      <c r="L66" s="233">
        <v>381022817</v>
      </c>
      <c r="M66" s="233">
        <v>43984402</v>
      </c>
      <c r="N66" s="233">
        <v>3252093</v>
      </c>
      <c r="O66" s="233">
        <v>20052231</v>
      </c>
      <c r="P66" s="233">
        <v>81032724</v>
      </c>
      <c r="Q66" s="233">
        <v>240751</v>
      </c>
      <c r="R66" s="233">
        <v>413918801</v>
      </c>
      <c r="S66" s="233">
        <v>23491191</v>
      </c>
      <c r="T66" s="233">
        <v>22334727</v>
      </c>
      <c r="U66" s="233">
        <v>1156463</v>
      </c>
      <c r="V66" s="233">
        <v>380214111</v>
      </c>
      <c r="W66" s="233">
        <v>43856321</v>
      </c>
      <c r="X66" s="233">
        <v>3240913</v>
      </c>
      <c r="Y66" s="233">
        <v>19948511</v>
      </c>
      <c r="Z66" s="233">
        <v>80801923</v>
      </c>
      <c r="AA66" s="233">
        <v>2206</v>
      </c>
      <c r="AB66" s="233">
        <v>900244</v>
      </c>
      <c r="AC66" s="233">
        <v>124034</v>
      </c>
      <c r="AD66" s="233">
        <v>114937</v>
      </c>
      <c r="AE66" s="233">
        <v>9096</v>
      </c>
      <c r="AF66" s="233">
        <v>808706</v>
      </c>
      <c r="AG66" s="233">
        <v>128082</v>
      </c>
      <c r="AH66" s="233">
        <v>11181</v>
      </c>
      <c r="AI66" s="233">
        <v>103720</v>
      </c>
      <c r="AJ66" s="233">
        <v>230801</v>
      </c>
    </row>
    <row r="67" spans="1:36">
      <c r="A67" s="240">
        <v>1</v>
      </c>
      <c r="B67" s="241" t="s">
        <v>3997</v>
      </c>
      <c r="C67" s="241" t="s">
        <v>3172</v>
      </c>
      <c r="D67" s="241" t="s">
        <v>4109</v>
      </c>
      <c r="E67" s="241">
        <v>5</v>
      </c>
      <c r="F67" s="242" t="s">
        <v>4110</v>
      </c>
      <c r="G67" s="233">
        <v>24292</v>
      </c>
      <c r="H67" s="233">
        <v>36267601</v>
      </c>
      <c r="I67" s="233">
        <v>4978959</v>
      </c>
      <c r="J67" s="233">
        <v>4463822</v>
      </c>
      <c r="K67" s="233">
        <v>515136</v>
      </c>
      <c r="L67" s="233">
        <v>34206131</v>
      </c>
      <c r="M67" s="233">
        <v>3816032</v>
      </c>
      <c r="N67" s="233">
        <v>258169</v>
      </c>
      <c r="O67" s="233">
        <v>4733596</v>
      </c>
      <c r="P67" s="233">
        <v>6135670</v>
      </c>
      <c r="Q67" s="233">
        <v>23663</v>
      </c>
      <c r="R67" s="233">
        <v>35913138</v>
      </c>
      <c r="S67" s="233">
        <v>4895045</v>
      </c>
      <c r="T67" s="233">
        <v>4386190</v>
      </c>
      <c r="U67" s="233">
        <v>508854</v>
      </c>
      <c r="V67" s="233">
        <v>33866801</v>
      </c>
      <c r="W67" s="233">
        <v>3781841</v>
      </c>
      <c r="X67" s="233">
        <v>254555</v>
      </c>
      <c r="Y67" s="233">
        <v>4658825</v>
      </c>
      <c r="Z67" s="233">
        <v>6082733</v>
      </c>
      <c r="AA67" s="233">
        <v>629</v>
      </c>
      <c r="AB67" s="233">
        <v>354463</v>
      </c>
      <c r="AC67" s="233">
        <v>83914</v>
      </c>
      <c r="AD67" s="233">
        <v>77632</v>
      </c>
      <c r="AE67" s="233">
        <v>6282</v>
      </c>
      <c r="AF67" s="233">
        <v>339330</v>
      </c>
      <c r="AG67" s="233">
        <v>34191</v>
      </c>
      <c r="AH67" s="233">
        <v>3613</v>
      </c>
      <c r="AI67" s="233">
        <v>74771</v>
      </c>
      <c r="AJ67" s="233">
        <v>52937</v>
      </c>
    </row>
    <row r="68" spans="1:36">
      <c r="A68" s="240">
        <v>1</v>
      </c>
      <c r="B68" s="241" t="s">
        <v>3997</v>
      </c>
      <c r="C68" s="241" t="s">
        <v>3432</v>
      </c>
      <c r="D68" s="241" t="s">
        <v>4111</v>
      </c>
      <c r="E68" s="241">
        <v>6</v>
      </c>
      <c r="F68" s="242" t="s">
        <v>4112</v>
      </c>
      <c r="G68" s="233">
        <v>2345</v>
      </c>
      <c r="H68" s="233">
        <v>10595933</v>
      </c>
      <c r="I68" s="233">
        <v>2082797</v>
      </c>
      <c r="J68" s="233">
        <v>2030472</v>
      </c>
      <c r="K68" s="233">
        <v>52324</v>
      </c>
      <c r="L68" s="233">
        <v>10123405</v>
      </c>
      <c r="M68" s="233">
        <v>680398</v>
      </c>
      <c r="N68" s="233">
        <v>53062</v>
      </c>
      <c r="O68" s="233">
        <v>1932579</v>
      </c>
      <c r="P68" s="233">
        <v>1205988</v>
      </c>
      <c r="Q68" s="233">
        <v>2248</v>
      </c>
      <c r="R68" s="233">
        <v>10361763</v>
      </c>
      <c r="S68" s="233">
        <v>2011308</v>
      </c>
      <c r="T68" s="233">
        <v>1964424</v>
      </c>
      <c r="U68" s="233">
        <v>46884</v>
      </c>
      <c r="V68" s="233">
        <v>9896385</v>
      </c>
      <c r="W68" s="233">
        <v>664006</v>
      </c>
      <c r="X68" s="233">
        <v>51649</v>
      </c>
      <c r="Y68" s="233">
        <v>1866252</v>
      </c>
      <c r="Z68" s="233">
        <v>1181033</v>
      </c>
      <c r="AA68" s="233">
        <v>97</v>
      </c>
      <c r="AB68" s="233">
        <v>234170</v>
      </c>
      <c r="AC68" s="233">
        <v>71488</v>
      </c>
      <c r="AD68" s="233">
        <v>66049</v>
      </c>
      <c r="AE68" s="233">
        <v>5440</v>
      </c>
      <c r="AF68" s="233">
        <v>227020</v>
      </c>
      <c r="AG68" s="233">
        <v>16392</v>
      </c>
      <c r="AH68" s="233">
        <v>1413</v>
      </c>
      <c r="AI68" s="233">
        <v>66328</v>
      </c>
      <c r="AJ68" s="233">
        <v>24955</v>
      </c>
    </row>
    <row r="69" spans="1:36">
      <c r="A69" s="240">
        <v>1</v>
      </c>
      <c r="B69" s="241" t="s">
        <v>3997</v>
      </c>
      <c r="C69" s="241" t="s">
        <v>3432</v>
      </c>
      <c r="D69" s="241" t="s">
        <v>4113</v>
      </c>
      <c r="E69" s="241">
        <v>6</v>
      </c>
      <c r="F69" s="242" t="s">
        <v>4114</v>
      </c>
      <c r="G69" s="233">
        <v>5106</v>
      </c>
      <c r="H69" s="233">
        <v>4749250</v>
      </c>
      <c r="I69" s="233">
        <v>951490</v>
      </c>
      <c r="J69" s="233">
        <v>889791</v>
      </c>
      <c r="K69" s="233">
        <v>61700</v>
      </c>
      <c r="L69" s="233">
        <v>4460709</v>
      </c>
      <c r="M69" s="233">
        <v>454308</v>
      </c>
      <c r="N69" s="233">
        <v>37634</v>
      </c>
      <c r="O69" s="233">
        <v>1049121</v>
      </c>
      <c r="P69" s="233">
        <v>780483</v>
      </c>
      <c r="Q69" s="233">
        <v>5038</v>
      </c>
      <c r="R69" s="233">
        <v>4731866</v>
      </c>
      <c r="S69" s="233">
        <v>949055</v>
      </c>
      <c r="T69" s="233">
        <v>887535</v>
      </c>
      <c r="U69" s="233">
        <v>61520</v>
      </c>
      <c r="V69" s="233">
        <v>4443349</v>
      </c>
      <c r="W69" s="233">
        <v>452071</v>
      </c>
      <c r="X69" s="233">
        <v>37374</v>
      </c>
      <c r="Y69" s="233">
        <v>1046940</v>
      </c>
      <c r="Z69" s="233">
        <v>777961</v>
      </c>
      <c r="AA69" s="233">
        <v>68</v>
      </c>
      <c r="AB69" s="233">
        <v>17384</v>
      </c>
      <c r="AC69" s="233">
        <v>2435</v>
      </c>
      <c r="AD69" s="233">
        <v>2255</v>
      </c>
      <c r="AE69" s="233">
        <v>180</v>
      </c>
      <c r="AF69" s="233">
        <v>17360</v>
      </c>
      <c r="AG69" s="233">
        <v>2237</v>
      </c>
      <c r="AH69" s="233">
        <v>260</v>
      </c>
      <c r="AI69" s="233">
        <v>2180</v>
      </c>
      <c r="AJ69" s="233">
        <v>2521</v>
      </c>
    </row>
    <row r="70" spans="1:36">
      <c r="A70" s="240">
        <v>1</v>
      </c>
      <c r="B70" s="241" t="s">
        <v>3997</v>
      </c>
      <c r="C70" s="241" t="s">
        <v>3432</v>
      </c>
      <c r="D70" s="241" t="s">
        <v>4115</v>
      </c>
      <c r="E70" s="241">
        <v>6</v>
      </c>
      <c r="F70" s="242" t="s">
        <v>4116</v>
      </c>
      <c r="G70" s="233">
        <v>1816</v>
      </c>
      <c r="H70" s="233">
        <v>877294</v>
      </c>
      <c r="I70" s="233">
        <v>147295</v>
      </c>
      <c r="J70" s="233">
        <v>124951</v>
      </c>
      <c r="K70" s="233">
        <v>22344</v>
      </c>
      <c r="L70" s="233">
        <v>795339</v>
      </c>
      <c r="M70" s="233">
        <v>127931</v>
      </c>
      <c r="N70" s="233">
        <v>10369</v>
      </c>
      <c r="O70" s="233">
        <v>113246</v>
      </c>
      <c r="P70" s="233">
        <v>220255</v>
      </c>
      <c r="Q70" s="233">
        <v>1737</v>
      </c>
      <c r="R70" s="233">
        <v>868908</v>
      </c>
      <c r="S70" s="233">
        <v>146395</v>
      </c>
      <c r="T70" s="233">
        <v>124183</v>
      </c>
      <c r="U70" s="233">
        <v>22213</v>
      </c>
      <c r="V70" s="233">
        <v>787461</v>
      </c>
      <c r="W70" s="233">
        <v>126076</v>
      </c>
      <c r="X70" s="233">
        <v>10199</v>
      </c>
      <c r="Y70" s="233">
        <v>112606</v>
      </c>
      <c r="Z70" s="233">
        <v>217722</v>
      </c>
      <c r="AA70" s="233">
        <v>79</v>
      </c>
      <c r="AB70" s="233">
        <v>8386</v>
      </c>
      <c r="AC70" s="233">
        <v>900</v>
      </c>
      <c r="AD70" s="233">
        <v>769</v>
      </c>
      <c r="AE70" s="233">
        <v>131</v>
      </c>
      <c r="AF70" s="233">
        <v>7879</v>
      </c>
      <c r="AG70" s="233">
        <v>1855</v>
      </c>
      <c r="AH70" s="233">
        <v>171</v>
      </c>
      <c r="AI70" s="233">
        <v>641</v>
      </c>
      <c r="AJ70" s="233">
        <v>2533</v>
      </c>
    </row>
    <row r="71" spans="1:36">
      <c r="A71" s="240">
        <v>1</v>
      </c>
      <c r="B71" s="241" t="s">
        <v>3997</v>
      </c>
      <c r="C71" s="241" t="s">
        <v>3432</v>
      </c>
      <c r="D71" s="241" t="s">
        <v>4117</v>
      </c>
      <c r="E71" s="241">
        <v>6</v>
      </c>
      <c r="F71" s="242" t="s">
        <v>4118</v>
      </c>
      <c r="G71" s="233">
        <v>1629</v>
      </c>
      <c r="H71" s="233">
        <v>2677738</v>
      </c>
      <c r="I71" s="233">
        <v>165337</v>
      </c>
      <c r="J71" s="233">
        <v>158175</v>
      </c>
      <c r="K71" s="233">
        <v>7162</v>
      </c>
      <c r="L71" s="233">
        <v>2517208</v>
      </c>
      <c r="M71" s="233">
        <v>287976</v>
      </c>
      <c r="N71" s="233">
        <v>17989</v>
      </c>
      <c r="O71" s="233">
        <v>138177</v>
      </c>
      <c r="P71" s="233">
        <v>466495</v>
      </c>
      <c r="Q71" s="233">
        <v>1569</v>
      </c>
      <c r="R71" s="233">
        <v>2658946</v>
      </c>
      <c r="S71" s="233">
        <v>164737</v>
      </c>
      <c r="T71" s="233">
        <v>157618</v>
      </c>
      <c r="U71" s="233">
        <v>7119</v>
      </c>
      <c r="V71" s="233">
        <v>2501910</v>
      </c>
      <c r="W71" s="233">
        <v>284859</v>
      </c>
      <c r="X71" s="233">
        <v>17520</v>
      </c>
      <c r="Y71" s="233">
        <v>138177</v>
      </c>
      <c r="Z71" s="233">
        <v>459415</v>
      </c>
      <c r="AA71" s="233">
        <v>60</v>
      </c>
      <c r="AB71" s="233">
        <v>18792</v>
      </c>
      <c r="AC71" s="233">
        <v>600</v>
      </c>
      <c r="AD71" s="233">
        <v>557</v>
      </c>
      <c r="AE71" s="233">
        <v>43</v>
      </c>
      <c r="AF71" s="233">
        <v>15299</v>
      </c>
      <c r="AG71" s="233">
        <v>3117</v>
      </c>
      <c r="AH71" s="233">
        <v>470</v>
      </c>
      <c r="AI71" s="233">
        <v>0</v>
      </c>
      <c r="AJ71" s="233">
        <v>7080</v>
      </c>
    </row>
    <row r="72" spans="1:36">
      <c r="A72" s="240">
        <v>1</v>
      </c>
      <c r="B72" s="241" t="s">
        <v>3997</v>
      </c>
      <c r="C72" s="241" t="s">
        <v>3432</v>
      </c>
      <c r="D72" s="241" t="s">
        <v>4119</v>
      </c>
      <c r="E72" s="241">
        <v>6</v>
      </c>
      <c r="F72" s="242" t="s">
        <v>4120</v>
      </c>
      <c r="G72" s="233">
        <v>105</v>
      </c>
      <c r="H72" s="233">
        <v>551148</v>
      </c>
      <c r="I72" s="233">
        <v>31316</v>
      </c>
      <c r="J72" s="233">
        <v>30525</v>
      </c>
      <c r="K72" s="233">
        <v>791</v>
      </c>
      <c r="L72" s="233">
        <v>494639</v>
      </c>
      <c r="M72" s="233">
        <v>46517</v>
      </c>
      <c r="N72" s="233">
        <v>4792</v>
      </c>
      <c r="O72" s="233">
        <v>25869</v>
      </c>
      <c r="P72" s="233">
        <v>107818</v>
      </c>
      <c r="Q72" s="233">
        <v>103</v>
      </c>
      <c r="R72" s="235" t="s">
        <v>4020</v>
      </c>
      <c r="S72" s="235" t="s">
        <v>4020</v>
      </c>
      <c r="T72" s="235" t="s">
        <v>4020</v>
      </c>
      <c r="U72" s="235" t="s">
        <v>4020</v>
      </c>
      <c r="V72" s="235" t="s">
        <v>4020</v>
      </c>
      <c r="W72" s="235" t="s">
        <v>4020</v>
      </c>
      <c r="X72" s="235" t="s">
        <v>4020</v>
      </c>
      <c r="Y72" s="235" t="s">
        <v>4020</v>
      </c>
      <c r="Z72" s="235" t="s">
        <v>4020</v>
      </c>
      <c r="AA72" s="233">
        <v>2</v>
      </c>
      <c r="AB72" s="235" t="s">
        <v>4020</v>
      </c>
      <c r="AC72" s="235" t="s">
        <v>4020</v>
      </c>
      <c r="AD72" s="235" t="s">
        <v>4020</v>
      </c>
      <c r="AE72" s="235" t="s">
        <v>4020</v>
      </c>
      <c r="AF72" s="235" t="s">
        <v>4020</v>
      </c>
      <c r="AG72" s="235" t="s">
        <v>4020</v>
      </c>
      <c r="AH72" s="235" t="s">
        <v>4020</v>
      </c>
      <c r="AI72" s="235" t="s">
        <v>4020</v>
      </c>
      <c r="AJ72" s="235" t="s">
        <v>4020</v>
      </c>
    </row>
    <row r="73" spans="1:36">
      <c r="A73" s="240">
        <v>1</v>
      </c>
      <c r="B73" s="241" t="s">
        <v>3997</v>
      </c>
      <c r="C73" s="241" t="s">
        <v>3432</v>
      </c>
      <c r="D73" s="241" t="s">
        <v>4121</v>
      </c>
      <c r="E73" s="241">
        <v>6</v>
      </c>
      <c r="F73" s="242" t="s">
        <v>4122</v>
      </c>
      <c r="G73" s="233">
        <v>649</v>
      </c>
      <c r="H73" s="233">
        <v>1263962</v>
      </c>
      <c r="I73" s="233">
        <v>101608</v>
      </c>
      <c r="J73" s="233">
        <v>95723</v>
      </c>
      <c r="K73" s="233">
        <v>5884</v>
      </c>
      <c r="L73" s="233">
        <v>1197755</v>
      </c>
      <c r="M73" s="233">
        <v>82399</v>
      </c>
      <c r="N73" s="233">
        <v>6909</v>
      </c>
      <c r="O73" s="233">
        <v>161551</v>
      </c>
      <c r="P73" s="233">
        <v>155514</v>
      </c>
      <c r="Q73" s="233">
        <v>619</v>
      </c>
      <c r="R73" s="233">
        <v>1258037</v>
      </c>
      <c r="S73" s="233">
        <v>99354</v>
      </c>
      <c r="T73" s="233">
        <v>93591</v>
      </c>
      <c r="U73" s="233">
        <v>5763</v>
      </c>
      <c r="V73" s="233">
        <v>1191911</v>
      </c>
      <c r="W73" s="233">
        <v>81934</v>
      </c>
      <c r="X73" s="233">
        <v>6863</v>
      </c>
      <c r="Y73" s="233">
        <v>160459</v>
      </c>
      <c r="Z73" s="233">
        <v>154922</v>
      </c>
      <c r="AA73" s="233">
        <v>30</v>
      </c>
      <c r="AB73" s="233">
        <v>5925</v>
      </c>
      <c r="AC73" s="233">
        <v>2254</v>
      </c>
      <c r="AD73" s="233">
        <v>2132</v>
      </c>
      <c r="AE73" s="233">
        <v>122</v>
      </c>
      <c r="AF73" s="233">
        <v>5844</v>
      </c>
      <c r="AG73" s="233">
        <v>465</v>
      </c>
      <c r="AH73" s="233">
        <v>46</v>
      </c>
      <c r="AI73" s="233">
        <v>1091</v>
      </c>
      <c r="AJ73" s="233">
        <v>592</v>
      </c>
    </row>
    <row r="74" spans="1:36">
      <c r="A74" s="240">
        <v>1</v>
      </c>
      <c r="B74" s="241" t="s">
        <v>3997</v>
      </c>
      <c r="C74" s="241" t="s">
        <v>3432</v>
      </c>
      <c r="D74" s="241" t="s">
        <v>4123</v>
      </c>
      <c r="E74" s="241">
        <v>6</v>
      </c>
      <c r="F74" s="242" t="s">
        <v>4124</v>
      </c>
      <c r="G74" s="233">
        <v>4299</v>
      </c>
      <c r="H74" s="233">
        <v>5090744</v>
      </c>
      <c r="I74" s="233">
        <v>534186</v>
      </c>
      <c r="J74" s="233">
        <v>334703</v>
      </c>
      <c r="K74" s="233">
        <v>199483</v>
      </c>
      <c r="L74" s="233">
        <v>4797386</v>
      </c>
      <c r="M74" s="233">
        <v>804907</v>
      </c>
      <c r="N74" s="233">
        <v>41156</v>
      </c>
      <c r="O74" s="233">
        <v>497900</v>
      </c>
      <c r="P74" s="233">
        <v>1139421</v>
      </c>
      <c r="Q74" s="233">
        <v>4199</v>
      </c>
      <c r="R74" s="233">
        <v>5078112</v>
      </c>
      <c r="S74" s="233">
        <v>533640</v>
      </c>
      <c r="T74" s="233">
        <v>334262</v>
      </c>
      <c r="U74" s="233">
        <v>199379</v>
      </c>
      <c r="V74" s="233">
        <v>4786025</v>
      </c>
      <c r="W74" s="233">
        <v>802095</v>
      </c>
      <c r="X74" s="233">
        <v>40882</v>
      </c>
      <c r="Y74" s="233">
        <v>497602</v>
      </c>
      <c r="Z74" s="233">
        <v>1135064</v>
      </c>
      <c r="AA74" s="233">
        <v>100</v>
      </c>
      <c r="AB74" s="233">
        <v>12632</v>
      </c>
      <c r="AC74" s="233">
        <v>546</v>
      </c>
      <c r="AD74" s="233">
        <v>442</v>
      </c>
      <c r="AE74" s="233">
        <v>104</v>
      </c>
      <c r="AF74" s="233">
        <v>11361</v>
      </c>
      <c r="AG74" s="233">
        <v>2812</v>
      </c>
      <c r="AH74" s="233">
        <v>275</v>
      </c>
      <c r="AI74" s="233">
        <v>298</v>
      </c>
      <c r="AJ74" s="233">
        <v>4356</v>
      </c>
    </row>
    <row r="75" spans="1:36">
      <c r="A75" s="240">
        <v>1</v>
      </c>
      <c r="B75" s="241" t="s">
        <v>3997</v>
      </c>
      <c r="C75" s="241" t="s">
        <v>3432</v>
      </c>
      <c r="D75" s="241" t="s">
        <v>4125</v>
      </c>
      <c r="E75" s="241">
        <v>6</v>
      </c>
      <c r="F75" s="242" t="s">
        <v>4126</v>
      </c>
      <c r="G75" s="233">
        <v>220</v>
      </c>
      <c r="H75" s="233">
        <v>1163286</v>
      </c>
      <c r="I75" s="233">
        <v>37461</v>
      </c>
      <c r="J75" s="233">
        <v>36308</v>
      </c>
      <c r="K75" s="233">
        <v>1153</v>
      </c>
      <c r="L75" s="233">
        <v>1124082</v>
      </c>
      <c r="M75" s="233">
        <v>75604</v>
      </c>
      <c r="N75" s="233">
        <v>6054</v>
      </c>
      <c r="O75" s="233">
        <v>32183</v>
      </c>
      <c r="P75" s="233">
        <v>120862</v>
      </c>
      <c r="Q75" s="233">
        <v>201</v>
      </c>
      <c r="R75" s="233">
        <v>1150547</v>
      </c>
      <c r="S75" s="233">
        <v>37401</v>
      </c>
      <c r="T75" s="233">
        <v>36250</v>
      </c>
      <c r="U75" s="233">
        <v>1151</v>
      </c>
      <c r="V75" s="233">
        <v>1112314</v>
      </c>
      <c r="W75" s="233">
        <v>73816</v>
      </c>
      <c r="X75" s="233">
        <v>5755</v>
      </c>
      <c r="Y75" s="233">
        <v>32109</v>
      </c>
      <c r="Z75" s="233">
        <v>117804</v>
      </c>
      <c r="AA75" s="233">
        <v>19</v>
      </c>
      <c r="AB75" s="233">
        <v>12739</v>
      </c>
      <c r="AC75" s="233">
        <v>60</v>
      </c>
      <c r="AD75" s="233">
        <v>58</v>
      </c>
      <c r="AE75" s="233">
        <v>2</v>
      </c>
      <c r="AF75" s="233">
        <v>11769</v>
      </c>
      <c r="AG75" s="233">
        <v>1788</v>
      </c>
      <c r="AH75" s="233">
        <v>299</v>
      </c>
      <c r="AI75" s="233">
        <v>74</v>
      </c>
      <c r="AJ75" s="233">
        <v>3057</v>
      </c>
    </row>
    <row r="76" spans="1:36">
      <c r="A76" s="240">
        <v>1</v>
      </c>
      <c r="B76" s="241" t="s">
        <v>3997</v>
      </c>
      <c r="C76" s="241" t="s">
        <v>3432</v>
      </c>
      <c r="D76" s="241" t="s">
        <v>4127</v>
      </c>
      <c r="E76" s="241">
        <v>6</v>
      </c>
      <c r="F76" s="242" t="s">
        <v>4128</v>
      </c>
      <c r="G76" s="233">
        <v>8123</v>
      </c>
      <c r="H76" s="233">
        <v>9298246</v>
      </c>
      <c r="I76" s="233">
        <v>927469</v>
      </c>
      <c r="J76" s="233">
        <v>763174</v>
      </c>
      <c r="K76" s="233">
        <v>164295</v>
      </c>
      <c r="L76" s="233">
        <v>8695607</v>
      </c>
      <c r="M76" s="233">
        <v>1255993</v>
      </c>
      <c r="N76" s="233">
        <v>80203</v>
      </c>
      <c r="O76" s="233">
        <v>782969</v>
      </c>
      <c r="P76" s="233">
        <v>1938835</v>
      </c>
      <c r="Q76" s="233">
        <v>7949</v>
      </c>
      <c r="R76" s="235" t="s">
        <v>4020</v>
      </c>
      <c r="S76" s="235" t="s">
        <v>4020</v>
      </c>
      <c r="T76" s="235" t="s">
        <v>4020</v>
      </c>
      <c r="U76" s="235" t="s">
        <v>4020</v>
      </c>
      <c r="V76" s="235" t="s">
        <v>4020</v>
      </c>
      <c r="W76" s="235" t="s">
        <v>4020</v>
      </c>
      <c r="X76" s="235" t="s">
        <v>4020</v>
      </c>
      <c r="Y76" s="235" t="s">
        <v>4020</v>
      </c>
      <c r="Z76" s="235" t="s">
        <v>4020</v>
      </c>
      <c r="AA76" s="233">
        <v>174</v>
      </c>
      <c r="AB76" s="235" t="s">
        <v>4020</v>
      </c>
      <c r="AC76" s="235" t="s">
        <v>4020</v>
      </c>
      <c r="AD76" s="235" t="s">
        <v>4020</v>
      </c>
      <c r="AE76" s="235" t="s">
        <v>4020</v>
      </c>
      <c r="AF76" s="235" t="s">
        <v>4020</v>
      </c>
      <c r="AG76" s="235" t="s">
        <v>4020</v>
      </c>
      <c r="AH76" s="235" t="s">
        <v>4020</v>
      </c>
      <c r="AI76" s="235" t="s">
        <v>4020</v>
      </c>
      <c r="AJ76" s="235" t="s">
        <v>4020</v>
      </c>
    </row>
    <row r="77" spans="1:36">
      <c r="A77" s="240">
        <v>1</v>
      </c>
      <c r="B77" s="241" t="s">
        <v>3997</v>
      </c>
      <c r="C77" s="241" t="s">
        <v>3172</v>
      </c>
      <c r="D77" s="241" t="s">
        <v>4129</v>
      </c>
      <c r="E77" s="241">
        <v>5</v>
      </c>
      <c r="F77" s="242" t="s">
        <v>4130</v>
      </c>
      <c r="G77" s="233">
        <v>5214</v>
      </c>
      <c r="H77" s="233">
        <v>10952113</v>
      </c>
      <c r="I77" s="233">
        <v>457396</v>
      </c>
      <c r="J77" s="233">
        <v>365395</v>
      </c>
      <c r="K77" s="233">
        <v>92001</v>
      </c>
      <c r="L77" s="233">
        <v>10287597</v>
      </c>
      <c r="M77" s="233">
        <v>688212</v>
      </c>
      <c r="N77" s="233">
        <v>123600</v>
      </c>
      <c r="O77" s="233">
        <v>593504</v>
      </c>
      <c r="P77" s="233">
        <v>1476328</v>
      </c>
      <c r="Q77" s="233">
        <v>4801</v>
      </c>
      <c r="R77" s="233">
        <v>10842956</v>
      </c>
      <c r="S77" s="233">
        <v>452931</v>
      </c>
      <c r="T77" s="233">
        <v>361918</v>
      </c>
      <c r="U77" s="233">
        <v>91014</v>
      </c>
      <c r="V77" s="233">
        <v>10190162</v>
      </c>
      <c r="W77" s="233">
        <v>676454</v>
      </c>
      <c r="X77" s="233">
        <v>122112</v>
      </c>
      <c r="Y77" s="233">
        <v>589940</v>
      </c>
      <c r="Z77" s="233">
        <v>1451360</v>
      </c>
      <c r="AA77" s="233">
        <v>413</v>
      </c>
      <c r="AB77" s="233">
        <v>109157</v>
      </c>
      <c r="AC77" s="233">
        <v>4465</v>
      </c>
      <c r="AD77" s="233">
        <v>3477</v>
      </c>
      <c r="AE77" s="233">
        <v>987</v>
      </c>
      <c r="AF77" s="233">
        <v>97435</v>
      </c>
      <c r="AG77" s="233">
        <v>11759</v>
      </c>
      <c r="AH77" s="233">
        <v>1488</v>
      </c>
      <c r="AI77" s="233">
        <v>3564</v>
      </c>
      <c r="AJ77" s="233">
        <v>24968</v>
      </c>
    </row>
    <row r="78" spans="1:36">
      <c r="A78" s="240">
        <v>1</v>
      </c>
      <c r="B78" s="241" t="s">
        <v>3997</v>
      </c>
      <c r="C78" s="241" t="s">
        <v>3432</v>
      </c>
      <c r="D78" s="241" t="s">
        <v>4131</v>
      </c>
      <c r="E78" s="241">
        <v>6</v>
      </c>
      <c r="F78" s="242" t="s">
        <v>4132</v>
      </c>
      <c r="G78" s="233">
        <v>665</v>
      </c>
      <c r="H78" s="233">
        <v>3428663</v>
      </c>
      <c r="I78" s="233">
        <v>78045</v>
      </c>
      <c r="J78" s="233">
        <v>44692</v>
      </c>
      <c r="K78" s="233">
        <v>33353</v>
      </c>
      <c r="L78" s="233">
        <v>3292151</v>
      </c>
      <c r="M78" s="233">
        <v>207384</v>
      </c>
      <c r="N78" s="233">
        <v>14043</v>
      </c>
      <c r="O78" s="233">
        <v>57292</v>
      </c>
      <c r="P78" s="233">
        <v>357940</v>
      </c>
      <c r="Q78" s="233">
        <v>639</v>
      </c>
      <c r="R78" s="233">
        <v>3384334</v>
      </c>
      <c r="S78" s="233">
        <v>76447</v>
      </c>
      <c r="T78" s="233">
        <v>43246</v>
      </c>
      <c r="U78" s="233">
        <v>33200</v>
      </c>
      <c r="V78" s="233">
        <v>3251190</v>
      </c>
      <c r="W78" s="233">
        <v>201654</v>
      </c>
      <c r="X78" s="233">
        <v>13810</v>
      </c>
      <c r="Y78" s="233">
        <v>56029</v>
      </c>
      <c r="Z78" s="233">
        <v>348608</v>
      </c>
      <c r="AA78" s="233">
        <v>26</v>
      </c>
      <c r="AB78" s="233">
        <v>44329</v>
      </c>
      <c r="AC78" s="233">
        <v>1599</v>
      </c>
      <c r="AD78" s="233">
        <v>1446</v>
      </c>
      <c r="AE78" s="233">
        <v>153</v>
      </c>
      <c r="AF78" s="233">
        <v>40961</v>
      </c>
      <c r="AG78" s="233">
        <v>5730</v>
      </c>
      <c r="AH78" s="233">
        <v>233</v>
      </c>
      <c r="AI78" s="233">
        <v>1263</v>
      </c>
      <c r="AJ78" s="233">
        <v>9332</v>
      </c>
    </row>
    <row r="79" spans="1:36">
      <c r="A79" s="240">
        <v>1</v>
      </c>
      <c r="B79" s="241" t="s">
        <v>3997</v>
      </c>
      <c r="C79" s="241" t="s">
        <v>3432</v>
      </c>
      <c r="D79" s="241" t="s">
        <v>4133</v>
      </c>
      <c r="E79" s="241">
        <v>6</v>
      </c>
      <c r="F79" s="242" t="s">
        <v>4134</v>
      </c>
      <c r="G79" s="233">
        <v>1916</v>
      </c>
      <c r="H79" s="233">
        <v>3212991</v>
      </c>
      <c r="I79" s="233">
        <v>46928</v>
      </c>
      <c r="J79" s="233">
        <v>27320</v>
      </c>
      <c r="K79" s="233">
        <v>19608</v>
      </c>
      <c r="L79" s="233">
        <v>3030393</v>
      </c>
      <c r="M79" s="233">
        <v>211015</v>
      </c>
      <c r="N79" s="233">
        <v>86260</v>
      </c>
      <c r="O79" s="233">
        <v>59779</v>
      </c>
      <c r="P79" s="233">
        <v>479873</v>
      </c>
      <c r="Q79" s="233">
        <v>1902</v>
      </c>
      <c r="R79" s="233">
        <v>3212048</v>
      </c>
      <c r="S79" s="233">
        <v>46926</v>
      </c>
      <c r="T79" s="233">
        <v>27320</v>
      </c>
      <c r="U79" s="233">
        <v>19606</v>
      </c>
      <c r="V79" s="233">
        <v>3029632</v>
      </c>
      <c r="W79" s="233">
        <v>210850</v>
      </c>
      <c r="X79" s="233">
        <v>86063</v>
      </c>
      <c r="Y79" s="233">
        <v>59779</v>
      </c>
      <c r="Z79" s="233">
        <v>479330</v>
      </c>
      <c r="AA79" s="233">
        <v>14</v>
      </c>
      <c r="AB79" s="233">
        <v>942</v>
      </c>
      <c r="AC79" s="233">
        <v>2</v>
      </c>
      <c r="AD79" s="235" t="s">
        <v>5298</v>
      </c>
      <c r="AE79" s="233">
        <v>2</v>
      </c>
      <c r="AF79" s="233">
        <v>761</v>
      </c>
      <c r="AG79" s="233">
        <v>165</v>
      </c>
      <c r="AH79" s="233">
        <v>197</v>
      </c>
      <c r="AI79" s="233">
        <v>0</v>
      </c>
      <c r="AJ79" s="233">
        <v>543</v>
      </c>
    </row>
    <row r="80" spans="1:36">
      <c r="A80" s="240">
        <v>1</v>
      </c>
      <c r="B80" s="241" t="s">
        <v>3997</v>
      </c>
      <c r="C80" s="241" t="s">
        <v>3432</v>
      </c>
      <c r="D80" s="241" t="s">
        <v>4135</v>
      </c>
      <c r="E80" s="241">
        <v>6</v>
      </c>
      <c r="F80" s="242" t="s">
        <v>4136</v>
      </c>
      <c r="G80" s="233">
        <v>1332</v>
      </c>
      <c r="H80" s="233">
        <v>1289903</v>
      </c>
      <c r="I80" s="233">
        <v>158716</v>
      </c>
      <c r="J80" s="233">
        <v>125027</v>
      </c>
      <c r="K80" s="233">
        <v>33689</v>
      </c>
      <c r="L80" s="233">
        <v>1187397</v>
      </c>
      <c r="M80" s="233">
        <v>124287</v>
      </c>
      <c r="N80" s="233">
        <v>7097</v>
      </c>
      <c r="O80" s="233">
        <v>328864</v>
      </c>
      <c r="P80" s="233">
        <v>233891</v>
      </c>
      <c r="Q80" s="233">
        <v>1093</v>
      </c>
      <c r="R80" s="233">
        <v>1272697</v>
      </c>
      <c r="S80" s="233">
        <v>158335</v>
      </c>
      <c r="T80" s="233">
        <v>125023</v>
      </c>
      <c r="U80" s="233">
        <v>33311</v>
      </c>
      <c r="V80" s="233">
        <v>1173065</v>
      </c>
      <c r="W80" s="233">
        <v>122159</v>
      </c>
      <c r="X80" s="233">
        <v>6679</v>
      </c>
      <c r="Y80" s="233">
        <v>328524</v>
      </c>
      <c r="Z80" s="233">
        <v>228469</v>
      </c>
      <c r="AA80" s="233">
        <v>239</v>
      </c>
      <c r="AB80" s="233">
        <v>17206</v>
      </c>
      <c r="AC80" s="233">
        <v>381</v>
      </c>
      <c r="AD80" s="233">
        <v>3</v>
      </c>
      <c r="AE80" s="233">
        <v>378</v>
      </c>
      <c r="AF80" s="233">
        <v>14331</v>
      </c>
      <c r="AG80" s="233">
        <v>2129</v>
      </c>
      <c r="AH80" s="233">
        <v>418</v>
      </c>
      <c r="AI80" s="233">
        <v>340</v>
      </c>
      <c r="AJ80" s="233">
        <v>5422</v>
      </c>
    </row>
    <row r="81" spans="1:36">
      <c r="A81" s="240">
        <v>1</v>
      </c>
      <c r="B81" s="241" t="s">
        <v>3997</v>
      </c>
      <c r="C81" s="241" t="s">
        <v>3432</v>
      </c>
      <c r="D81" s="241" t="s">
        <v>4137</v>
      </c>
      <c r="E81" s="241">
        <v>6</v>
      </c>
      <c r="F81" s="242" t="s">
        <v>4138</v>
      </c>
      <c r="G81" s="233">
        <v>133</v>
      </c>
      <c r="H81" s="235" t="s">
        <v>4020</v>
      </c>
      <c r="I81" s="235" t="s">
        <v>4020</v>
      </c>
      <c r="J81" s="235" t="s">
        <v>4020</v>
      </c>
      <c r="K81" s="235" t="s">
        <v>4020</v>
      </c>
      <c r="L81" s="235" t="s">
        <v>4020</v>
      </c>
      <c r="M81" s="235" t="s">
        <v>4020</v>
      </c>
      <c r="N81" s="235" t="s">
        <v>4020</v>
      </c>
      <c r="O81" s="235" t="s">
        <v>4020</v>
      </c>
      <c r="P81" s="235" t="s">
        <v>4020</v>
      </c>
      <c r="Q81" s="233">
        <v>109</v>
      </c>
      <c r="R81" s="235" t="s">
        <v>4020</v>
      </c>
      <c r="S81" s="235" t="s">
        <v>4020</v>
      </c>
      <c r="T81" s="235" t="s">
        <v>4020</v>
      </c>
      <c r="U81" s="235" t="s">
        <v>4020</v>
      </c>
      <c r="V81" s="235" t="s">
        <v>4020</v>
      </c>
      <c r="W81" s="235" t="s">
        <v>4020</v>
      </c>
      <c r="X81" s="235" t="s">
        <v>4020</v>
      </c>
      <c r="Y81" s="235" t="s">
        <v>4020</v>
      </c>
      <c r="Z81" s="235" t="s">
        <v>4020</v>
      </c>
      <c r="AA81" s="233">
        <v>24</v>
      </c>
      <c r="AB81" s="233">
        <v>1937</v>
      </c>
      <c r="AC81" s="233">
        <v>479</v>
      </c>
      <c r="AD81" s="233">
        <v>107</v>
      </c>
      <c r="AE81" s="233">
        <v>373</v>
      </c>
      <c r="AF81" s="233">
        <v>1673</v>
      </c>
      <c r="AG81" s="233">
        <v>508</v>
      </c>
      <c r="AH81" s="233">
        <v>51</v>
      </c>
      <c r="AI81" s="233">
        <v>236</v>
      </c>
      <c r="AJ81" s="233">
        <v>822</v>
      </c>
    </row>
    <row r="82" spans="1:36">
      <c r="A82" s="240">
        <v>1</v>
      </c>
      <c r="B82" s="241" t="s">
        <v>3997</v>
      </c>
      <c r="C82" s="241" t="s">
        <v>3432</v>
      </c>
      <c r="D82" s="241" t="s">
        <v>4139</v>
      </c>
      <c r="E82" s="241">
        <v>6</v>
      </c>
      <c r="F82" s="242" t="s">
        <v>4140</v>
      </c>
      <c r="G82" s="233">
        <v>1</v>
      </c>
      <c r="H82" s="235" t="s">
        <v>4020</v>
      </c>
      <c r="I82" s="235" t="s">
        <v>4020</v>
      </c>
      <c r="J82" s="235" t="s">
        <v>4020</v>
      </c>
      <c r="K82" s="235" t="s">
        <v>4020</v>
      </c>
      <c r="L82" s="235" t="s">
        <v>4020</v>
      </c>
      <c r="M82" s="235" t="s">
        <v>4020</v>
      </c>
      <c r="N82" s="235" t="s">
        <v>4020</v>
      </c>
      <c r="O82" s="235" t="s">
        <v>4020</v>
      </c>
      <c r="P82" s="235" t="s">
        <v>4020</v>
      </c>
      <c r="Q82" s="233">
        <v>1</v>
      </c>
      <c r="R82" s="235" t="s">
        <v>4020</v>
      </c>
      <c r="S82" s="235" t="s">
        <v>4020</v>
      </c>
      <c r="T82" s="235" t="s">
        <v>4020</v>
      </c>
      <c r="U82" s="235" t="s">
        <v>4020</v>
      </c>
      <c r="V82" s="235" t="s">
        <v>4020</v>
      </c>
      <c r="W82" s="235" t="s">
        <v>4020</v>
      </c>
      <c r="X82" s="235" t="s">
        <v>4020</v>
      </c>
      <c r="Y82" s="235" t="s">
        <v>4020</v>
      </c>
      <c r="Z82" s="235" t="s">
        <v>4020</v>
      </c>
      <c r="AA82" s="235" t="s">
        <v>5298</v>
      </c>
      <c r="AB82" s="235" t="s">
        <v>5298</v>
      </c>
      <c r="AC82" s="235" t="s">
        <v>5298</v>
      </c>
      <c r="AD82" s="235" t="s">
        <v>5298</v>
      </c>
      <c r="AE82" s="235" t="s">
        <v>5298</v>
      </c>
      <c r="AF82" s="235" t="s">
        <v>5298</v>
      </c>
      <c r="AG82" s="235" t="s">
        <v>5298</v>
      </c>
      <c r="AH82" s="235" t="s">
        <v>5298</v>
      </c>
      <c r="AI82" s="235" t="s">
        <v>5298</v>
      </c>
      <c r="AJ82" s="235" t="s">
        <v>5298</v>
      </c>
    </row>
    <row r="83" spans="1:36">
      <c r="A83" s="240">
        <v>1</v>
      </c>
      <c r="B83" s="241" t="s">
        <v>3997</v>
      </c>
      <c r="C83" s="241" t="s">
        <v>3432</v>
      </c>
      <c r="D83" s="241" t="s">
        <v>4141</v>
      </c>
      <c r="E83" s="241">
        <v>6</v>
      </c>
      <c r="F83" s="242" t="s">
        <v>4142</v>
      </c>
      <c r="G83" s="233">
        <v>1167</v>
      </c>
      <c r="H83" s="233">
        <v>2296727</v>
      </c>
      <c r="I83" s="233">
        <v>149784</v>
      </c>
      <c r="J83" s="233">
        <v>145003</v>
      </c>
      <c r="K83" s="233">
        <v>4781</v>
      </c>
      <c r="L83" s="233">
        <v>2165925</v>
      </c>
      <c r="M83" s="233">
        <v>107242</v>
      </c>
      <c r="N83" s="233">
        <v>10651</v>
      </c>
      <c r="O83" s="233">
        <v>128646</v>
      </c>
      <c r="P83" s="233">
        <v>248696</v>
      </c>
      <c r="Q83" s="233">
        <v>1057</v>
      </c>
      <c r="R83" s="233">
        <v>2251984</v>
      </c>
      <c r="S83" s="233">
        <v>147781</v>
      </c>
      <c r="T83" s="233">
        <v>143081</v>
      </c>
      <c r="U83" s="233">
        <v>4699</v>
      </c>
      <c r="V83" s="233">
        <v>2126216</v>
      </c>
      <c r="W83" s="233">
        <v>104015</v>
      </c>
      <c r="X83" s="233">
        <v>10063</v>
      </c>
      <c r="Y83" s="233">
        <v>126920</v>
      </c>
      <c r="Z83" s="233">
        <v>239846</v>
      </c>
      <c r="AA83" s="233">
        <v>110</v>
      </c>
      <c r="AB83" s="233">
        <v>44743</v>
      </c>
      <c r="AC83" s="233">
        <v>2003</v>
      </c>
      <c r="AD83" s="233">
        <v>1921</v>
      </c>
      <c r="AE83" s="233">
        <v>82</v>
      </c>
      <c r="AF83" s="233">
        <v>39709</v>
      </c>
      <c r="AG83" s="233">
        <v>3227</v>
      </c>
      <c r="AH83" s="233">
        <v>589</v>
      </c>
      <c r="AI83" s="233">
        <v>1725</v>
      </c>
      <c r="AJ83" s="233">
        <v>8850</v>
      </c>
    </row>
    <row r="84" spans="1:36">
      <c r="A84" s="240">
        <v>1</v>
      </c>
      <c r="B84" s="241" t="s">
        <v>3997</v>
      </c>
      <c r="C84" s="241" t="s">
        <v>3172</v>
      </c>
      <c r="D84" s="241" t="s">
        <v>4143</v>
      </c>
      <c r="E84" s="241">
        <v>5</v>
      </c>
      <c r="F84" s="242" t="s">
        <v>4144</v>
      </c>
      <c r="G84" s="233">
        <v>16157</v>
      </c>
      <c r="H84" s="233">
        <v>5322641</v>
      </c>
      <c r="I84" s="233">
        <v>444868</v>
      </c>
      <c r="J84" s="233">
        <v>412816</v>
      </c>
      <c r="K84" s="233">
        <v>32052</v>
      </c>
      <c r="L84" s="233">
        <v>4884411</v>
      </c>
      <c r="M84" s="233">
        <v>888737</v>
      </c>
      <c r="N84" s="233">
        <v>81527</v>
      </c>
      <c r="O84" s="233">
        <v>310910</v>
      </c>
      <c r="P84" s="233">
        <v>1408493</v>
      </c>
      <c r="Q84" s="233">
        <v>15931</v>
      </c>
      <c r="R84" s="233">
        <v>5305953</v>
      </c>
      <c r="S84" s="233">
        <v>444620</v>
      </c>
      <c r="T84" s="233">
        <v>412624</v>
      </c>
      <c r="U84" s="233">
        <v>31996</v>
      </c>
      <c r="V84" s="233">
        <v>4869601</v>
      </c>
      <c r="W84" s="233">
        <v>883570</v>
      </c>
      <c r="X84" s="233">
        <v>80941</v>
      </c>
      <c r="Y84" s="233">
        <v>310894</v>
      </c>
      <c r="Z84" s="233">
        <v>1400862</v>
      </c>
      <c r="AA84" s="233">
        <v>226</v>
      </c>
      <c r="AB84" s="233">
        <v>16688</v>
      </c>
      <c r="AC84" s="233">
        <v>248</v>
      </c>
      <c r="AD84" s="233">
        <v>192</v>
      </c>
      <c r="AE84" s="233">
        <v>56</v>
      </c>
      <c r="AF84" s="233">
        <v>14811</v>
      </c>
      <c r="AG84" s="233">
        <v>5167</v>
      </c>
      <c r="AH84" s="233">
        <v>586</v>
      </c>
      <c r="AI84" s="233">
        <v>16</v>
      </c>
      <c r="AJ84" s="233">
        <v>7631</v>
      </c>
    </row>
    <row r="85" spans="1:36">
      <c r="A85" s="240">
        <v>1</v>
      </c>
      <c r="B85" s="241" t="s">
        <v>3997</v>
      </c>
      <c r="C85" s="241" t="s">
        <v>3432</v>
      </c>
      <c r="D85" s="241" t="s">
        <v>4145</v>
      </c>
      <c r="E85" s="241">
        <v>6</v>
      </c>
      <c r="F85" s="242" t="s">
        <v>4146</v>
      </c>
      <c r="G85" s="233">
        <v>813</v>
      </c>
      <c r="H85" s="233">
        <v>1106598</v>
      </c>
      <c r="I85" s="233">
        <v>36980</v>
      </c>
      <c r="J85" s="233">
        <v>36601</v>
      </c>
      <c r="K85" s="233">
        <v>379</v>
      </c>
      <c r="L85" s="233">
        <v>1036662</v>
      </c>
      <c r="M85" s="233">
        <v>144605</v>
      </c>
      <c r="N85" s="233">
        <v>12995</v>
      </c>
      <c r="O85" s="233">
        <v>32783</v>
      </c>
      <c r="P85" s="233">
        <v>227535</v>
      </c>
      <c r="Q85" s="233">
        <v>800</v>
      </c>
      <c r="R85" s="233">
        <v>1106005</v>
      </c>
      <c r="S85" s="233">
        <v>36980</v>
      </c>
      <c r="T85" s="233">
        <v>36601</v>
      </c>
      <c r="U85" s="233">
        <v>379</v>
      </c>
      <c r="V85" s="233">
        <v>1036080</v>
      </c>
      <c r="W85" s="233">
        <v>144428</v>
      </c>
      <c r="X85" s="233">
        <v>12979</v>
      </c>
      <c r="Y85" s="233">
        <v>32783</v>
      </c>
      <c r="Z85" s="233">
        <v>227332</v>
      </c>
      <c r="AA85" s="233">
        <v>13</v>
      </c>
      <c r="AB85" s="233">
        <v>593</v>
      </c>
      <c r="AC85" s="233">
        <v>0</v>
      </c>
      <c r="AD85" s="233">
        <v>0</v>
      </c>
      <c r="AE85" s="233">
        <v>0</v>
      </c>
      <c r="AF85" s="233">
        <v>582</v>
      </c>
      <c r="AG85" s="233">
        <v>177</v>
      </c>
      <c r="AH85" s="233">
        <v>16</v>
      </c>
      <c r="AI85" s="233">
        <v>0</v>
      </c>
      <c r="AJ85" s="233">
        <v>204</v>
      </c>
    </row>
    <row r="86" spans="1:36">
      <c r="A86" s="240">
        <v>1</v>
      </c>
      <c r="B86" s="241" t="s">
        <v>3997</v>
      </c>
      <c r="C86" s="241" t="s">
        <v>3432</v>
      </c>
      <c r="D86" s="241" t="s">
        <v>4147</v>
      </c>
      <c r="E86" s="241">
        <v>6</v>
      </c>
      <c r="F86" s="242" t="s">
        <v>4148</v>
      </c>
      <c r="G86" s="233">
        <v>1701</v>
      </c>
      <c r="H86" s="233">
        <v>504150</v>
      </c>
      <c r="I86" s="233">
        <v>57822</v>
      </c>
      <c r="J86" s="233">
        <v>54160</v>
      </c>
      <c r="K86" s="233">
        <v>3661</v>
      </c>
      <c r="L86" s="233">
        <v>456485</v>
      </c>
      <c r="M86" s="233">
        <v>78218</v>
      </c>
      <c r="N86" s="233">
        <v>9385</v>
      </c>
      <c r="O86" s="233">
        <v>42621</v>
      </c>
      <c r="P86" s="233">
        <v>135268</v>
      </c>
      <c r="Q86" s="233">
        <v>1637</v>
      </c>
      <c r="R86" s="233">
        <v>501589</v>
      </c>
      <c r="S86" s="233">
        <v>57689</v>
      </c>
      <c r="T86" s="233">
        <v>54040</v>
      </c>
      <c r="U86" s="233">
        <v>3648</v>
      </c>
      <c r="V86" s="233">
        <v>453929</v>
      </c>
      <c r="W86" s="233">
        <v>77335</v>
      </c>
      <c r="X86" s="233">
        <v>9348</v>
      </c>
      <c r="Y86" s="233">
        <v>42621</v>
      </c>
      <c r="Z86" s="233">
        <v>134343</v>
      </c>
      <c r="AA86" s="233">
        <v>64</v>
      </c>
      <c r="AB86" s="233">
        <v>2561</v>
      </c>
      <c r="AC86" s="233">
        <v>133</v>
      </c>
      <c r="AD86" s="233">
        <v>120</v>
      </c>
      <c r="AE86" s="233">
        <v>13</v>
      </c>
      <c r="AF86" s="233">
        <v>2556</v>
      </c>
      <c r="AG86" s="233">
        <v>883</v>
      </c>
      <c r="AH86" s="233">
        <v>37</v>
      </c>
      <c r="AI86" s="233">
        <v>0</v>
      </c>
      <c r="AJ86" s="233">
        <v>925</v>
      </c>
    </row>
    <row r="87" spans="1:36">
      <c r="A87" s="240">
        <v>1</v>
      </c>
      <c r="B87" s="241" t="s">
        <v>3997</v>
      </c>
      <c r="C87" s="241" t="s">
        <v>3432</v>
      </c>
      <c r="D87" s="241" t="s">
        <v>4149</v>
      </c>
      <c r="E87" s="241">
        <v>6</v>
      </c>
      <c r="F87" s="242" t="s">
        <v>4150</v>
      </c>
      <c r="G87" s="233">
        <v>387</v>
      </c>
      <c r="H87" s="233">
        <v>88531</v>
      </c>
      <c r="I87" s="233">
        <v>1312</v>
      </c>
      <c r="J87" s="233">
        <v>1256</v>
      </c>
      <c r="K87" s="233">
        <v>57</v>
      </c>
      <c r="L87" s="233">
        <v>80967</v>
      </c>
      <c r="M87" s="233">
        <v>15299</v>
      </c>
      <c r="N87" s="233">
        <v>1637</v>
      </c>
      <c r="O87" s="233">
        <v>743</v>
      </c>
      <c r="P87" s="233">
        <v>24501</v>
      </c>
      <c r="Q87" s="233">
        <v>384</v>
      </c>
      <c r="R87" s="233">
        <v>88503</v>
      </c>
      <c r="S87" s="233">
        <v>1312</v>
      </c>
      <c r="T87" s="233">
        <v>1256</v>
      </c>
      <c r="U87" s="233">
        <v>57</v>
      </c>
      <c r="V87" s="233">
        <v>80934</v>
      </c>
      <c r="W87" s="233">
        <v>15286</v>
      </c>
      <c r="X87" s="233">
        <v>1636</v>
      </c>
      <c r="Y87" s="233">
        <v>743</v>
      </c>
      <c r="Z87" s="233">
        <v>24491</v>
      </c>
      <c r="AA87" s="233">
        <v>3</v>
      </c>
      <c r="AB87" s="233">
        <v>29</v>
      </c>
      <c r="AC87" s="235" t="s">
        <v>5298</v>
      </c>
      <c r="AD87" s="235" t="s">
        <v>5298</v>
      </c>
      <c r="AE87" s="235" t="s">
        <v>5298</v>
      </c>
      <c r="AF87" s="233">
        <v>33</v>
      </c>
      <c r="AG87" s="233">
        <v>13</v>
      </c>
      <c r="AH87" s="233">
        <v>1</v>
      </c>
      <c r="AI87" s="233">
        <v>0</v>
      </c>
      <c r="AJ87" s="233">
        <v>10</v>
      </c>
    </row>
    <row r="88" spans="1:36">
      <c r="A88" s="240">
        <v>1</v>
      </c>
      <c r="B88" s="241" t="s">
        <v>3997</v>
      </c>
      <c r="C88" s="241" t="s">
        <v>3432</v>
      </c>
      <c r="D88" s="241" t="s">
        <v>4151</v>
      </c>
      <c r="E88" s="241">
        <v>6</v>
      </c>
      <c r="F88" s="242" t="s">
        <v>4152</v>
      </c>
      <c r="G88" s="233">
        <v>1193</v>
      </c>
      <c r="H88" s="233">
        <v>321878</v>
      </c>
      <c r="I88" s="233">
        <v>9735</v>
      </c>
      <c r="J88" s="233">
        <v>8853</v>
      </c>
      <c r="K88" s="233">
        <v>882</v>
      </c>
      <c r="L88" s="233">
        <v>289777</v>
      </c>
      <c r="M88" s="233">
        <v>76206</v>
      </c>
      <c r="N88" s="233">
        <v>6985</v>
      </c>
      <c r="O88" s="233">
        <v>6237</v>
      </c>
      <c r="P88" s="233">
        <v>115292</v>
      </c>
      <c r="Q88" s="233">
        <v>1142</v>
      </c>
      <c r="R88" s="233">
        <v>316406</v>
      </c>
      <c r="S88" s="233">
        <v>9701</v>
      </c>
      <c r="T88" s="233">
        <v>8832</v>
      </c>
      <c r="U88" s="233">
        <v>869</v>
      </c>
      <c r="V88" s="233">
        <v>284884</v>
      </c>
      <c r="W88" s="233">
        <v>74397</v>
      </c>
      <c r="X88" s="233">
        <v>6735</v>
      </c>
      <c r="Y88" s="233">
        <v>6222</v>
      </c>
      <c r="Z88" s="233">
        <v>112654</v>
      </c>
      <c r="AA88" s="233">
        <v>51</v>
      </c>
      <c r="AB88" s="233">
        <v>5472</v>
      </c>
      <c r="AC88" s="233">
        <v>34</v>
      </c>
      <c r="AD88" s="233">
        <v>21</v>
      </c>
      <c r="AE88" s="233">
        <v>13</v>
      </c>
      <c r="AF88" s="233">
        <v>4893</v>
      </c>
      <c r="AG88" s="233">
        <v>1809</v>
      </c>
      <c r="AH88" s="233">
        <v>251</v>
      </c>
      <c r="AI88" s="233">
        <v>16</v>
      </c>
      <c r="AJ88" s="233">
        <v>2639</v>
      </c>
    </row>
    <row r="89" spans="1:36">
      <c r="A89" s="240">
        <v>1</v>
      </c>
      <c r="B89" s="241" t="s">
        <v>3997</v>
      </c>
      <c r="C89" s="241" t="s">
        <v>3432</v>
      </c>
      <c r="D89" s="241" t="s">
        <v>4153</v>
      </c>
      <c r="E89" s="241">
        <v>6</v>
      </c>
      <c r="F89" s="242" t="s">
        <v>4154</v>
      </c>
      <c r="G89" s="233">
        <v>1119</v>
      </c>
      <c r="H89" s="233">
        <v>579505</v>
      </c>
      <c r="I89" s="233">
        <v>43320</v>
      </c>
      <c r="J89" s="233">
        <v>42228</v>
      </c>
      <c r="K89" s="233">
        <v>1092</v>
      </c>
      <c r="L89" s="233">
        <v>526706</v>
      </c>
      <c r="M89" s="233">
        <v>93661</v>
      </c>
      <c r="N89" s="233">
        <v>6679</v>
      </c>
      <c r="O89" s="233">
        <v>31490</v>
      </c>
      <c r="P89" s="233">
        <v>153139</v>
      </c>
      <c r="Q89" s="233">
        <v>1085</v>
      </c>
      <c r="R89" s="233">
        <v>577306</v>
      </c>
      <c r="S89" s="233">
        <v>43252</v>
      </c>
      <c r="T89" s="233">
        <v>42185</v>
      </c>
      <c r="U89" s="233">
        <v>1067</v>
      </c>
      <c r="V89" s="233">
        <v>525414</v>
      </c>
      <c r="W89" s="233">
        <v>93299</v>
      </c>
      <c r="X89" s="233">
        <v>6560</v>
      </c>
      <c r="Y89" s="233">
        <v>31490</v>
      </c>
      <c r="Z89" s="233">
        <v>151751</v>
      </c>
      <c r="AA89" s="233">
        <v>34</v>
      </c>
      <c r="AB89" s="233">
        <v>2198</v>
      </c>
      <c r="AC89" s="233">
        <v>68</v>
      </c>
      <c r="AD89" s="233">
        <v>42</v>
      </c>
      <c r="AE89" s="233">
        <v>25</v>
      </c>
      <c r="AF89" s="233">
        <v>1292</v>
      </c>
      <c r="AG89" s="233">
        <v>362</v>
      </c>
      <c r="AH89" s="233">
        <v>120</v>
      </c>
      <c r="AI89" s="233">
        <v>0</v>
      </c>
      <c r="AJ89" s="233">
        <v>1388</v>
      </c>
    </row>
    <row r="90" spans="1:36">
      <c r="A90" s="240">
        <v>1</v>
      </c>
      <c r="B90" s="241" t="s">
        <v>3997</v>
      </c>
      <c r="C90" s="241" t="s">
        <v>3432</v>
      </c>
      <c r="D90" s="241" t="s">
        <v>4155</v>
      </c>
      <c r="E90" s="241">
        <v>6</v>
      </c>
      <c r="F90" s="242" t="s">
        <v>4156</v>
      </c>
      <c r="G90" s="233">
        <v>5164</v>
      </c>
      <c r="H90" s="233">
        <v>1080107</v>
      </c>
      <c r="I90" s="233">
        <v>72297</v>
      </c>
      <c r="J90" s="233">
        <v>62855</v>
      </c>
      <c r="K90" s="233">
        <v>9443</v>
      </c>
      <c r="L90" s="233">
        <v>985091</v>
      </c>
      <c r="M90" s="233">
        <v>217936</v>
      </c>
      <c r="N90" s="233">
        <v>19161</v>
      </c>
      <c r="O90" s="233">
        <v>51045</v>
      </c>
      <c r="P90" s="233">
        <v>332114</v>
      </c>
      <c r="Q90" s="233">
        <v>5149</v>
      </c>
      <c r="R90" s="233">
        <v>1078005</v>
      </c>
      <c r="S90" s="233">
        <v>72296</v>
      </c>
      <c r="T90" s="233">
        <v>62855</v>
      </c>
      <c r="U90" s="233">
        <v>9442</v>
      </c>
      <c r="V90" s="233">
        <v>983176</v>
      </c>
      <c r="W90" s="233">
        <v>217034</v>
      </c>
      <c r="X90" s="233">
        <v>19087</v>
      </c>
      <c r="Y90" s="233">
        <v>51045</v>
      </c>
      <c r="Z90" s="233">
        <v>330950</v>
      </c>
      <c r="AA90" s="233">
        <v>15</v>
      </c>
      <c r="AB90" s="233">
        <v>2102</v>
      </c>
      <c r="AC90" s="233">
        <v>1</v>
      </c>
      <c r="AD90" s="233">
        <v>0</v>
      </c>
      <c r="AE90" s="233">
        <v>1</v>
      </c>
      <c r="AF90" s="233">
        <v>1915</v>
      </c>
      <c r="AG90" s="233">
        <v>903</v>
      </c>
      <c r="AH90" s="233">
        <v>74</v>
      </c>
      <c r="AI90" s="233">
        <v>0</v>
      </c>
      <c r="AJ90" s="233">
        <v>1164</v>
      </c>
    </row>
    <row r="91" spans="1:36">
      <c r="A91" s="240">
        <v>1</v>
      </c>
      <c r="B91" s="241" t="s">
        <v>3997</v>
      </c>
      <c r="C91" s="241" t="s">
        <v>3432</v>
      </c>
      <c r="D91" s="241" t="s">
        <v>4157</v>
      </c>
      <c r="E91" s="241">
        <v>6</v>
      </c>
      <c r="F91" s="242" t="s">
        <v>4158</v>
      </c>
      <c r="G91" s="233">
        <v>372</v>
      </c>
      <c r="H91" s="233">
        <v>215823</v>
      </c>
      <c r="I91" s="233">
        <v>31549</v>
      </c>
      <c r="J91" s="233">
        <v>30259</v>
      </c>
      <c r="K91" s="233">
        <v>1290</v>
      </c>
      <c r="L91" s="233">
        <v>207628</v>
      </c>
      <c r="M91" s="233">
        <v>33218</v>
      </c>
      <c r="N91" s="233">
        <v>2623</v>
      </c>
      <c r="O91" s="233">
        <v>28202</v>
      </c>
      <c r="P91" s="233">
        <v>44037</v>
      </c>
      <c r="Q91" s="233">
        <v>371</v>
      </c>
      <c r="R91" s="235" t="s">
        <v>4020</v>
      </c>
      <c r="S91" s="235" t="s">
        <v>4020</v>
      </c>
      <c r="T91" s="235" t="s">
        <v>4020</v>
      </c>
      <c r="U91" s="235" t="s">
        <v>4020</v>
      </c>
      <c r="V91" s="235" t="s">
        <v>4020</v>
      </c>
      <c r="W91" s="235" t="s">
        <v>4020</v>
      </c>
      <c r="X91" s="235" t="s">
        <v>4020</v>
      </c>
      <c r="Y91" s="235" t="s">
        <v>4020</v>
      </c>
      <c r="Z91" s="235" t="s">
        <v>4020</v>
      </c>
      <c r="AA91" s="233">
        <v>1</v>
      </c>
      <c r="AB91" s="235" t="s">
        <v>4020</v>
      </c>
      <c r="AC91" s="235" t="s">
        <v>4020</v>
      </c>
      <c r="AD91" s="235" t="s">
        <v>4020</v>
      </c>
      <c r="AE91" s="235" t="s">
        <v>4020</v>
      </c>
      <c r="AF91" s="235" t="s">
        <v>4020</v>
      </c>
      <c r="AG91" s="235" t="s">
        <v>4020</v>
      </c>
      <c r="AH91" s="235" t="s">
        <v>4020</v>
      </c>
      <c r="AI91" s="235" t="s">
        <v>4020</v>
      </c>
      <c r="AJ91" s="235" t="s">
        <v>4020</v>
      </c>
    </row>
    <row r="92" spans="1:36">
      <c r="A92" s="240">
        <v>1</v>
      </c>
      <c r="B92" s="241" t="s">
        <v>3997</v>
      </c>
      <c r="C92" s="241" t="s">
        <v>3432</v>
      </c>
      <c r="D92" s="241" t="s">
        <v>4159</v>
      </c>
      <c r="E92" s="241">
        <v>6</v>
      </c>
      <c r="F92" s="242" t="s">
        <v>4160</v>
      </c>
      <c r="G92" s="233">
        <v>1540</v>
      </c>
      <c r="H92" s="233">
        <v>265102</v>
      </c>
      <c r="I92" s="233">
        <v>84476</v>
      </c>
      <c r="J92" s="233">
        <v>77652</v>
      </c>
      <c r="K92" s="233">
        <v>6824</v>
      </c>
      <c r="L92" s="233">
        <v>247020</v>
      </c>
      <c r="M92" s="233">
        <v>53940</v>
      </c>
      <c r="N92" s="233">
        <v>4740</v>
      </c>
      <c r="O92" s="233">
        <v>59681</v>
      </c>
      <c r="P92" s="233">
        <v>76761</v>
      </c>
      <c r="Q92" s="233">
        <v>1520</v>
      </c>
      <c r="R92" s="233">
        <v>263026</v>
      </c>
      <c r="S92" s="233">
        <v>84466</v>
      </c>
      <c r="T92" s="233">
        <v>77644</v>
      </c>
      <c r="U92" s="233">
        <v>6822</v>
      </c>
      <c r="V92" s="233">
        <v>245027</v>
      </c>
      <c r="W92" s="233">
        <v>53610</v>
      </c>
      <c r="X92" s="233">
        <v>4725</v>
      </c>
      <c r="Y92" s="233">
        <v>59681</v>
      </c>
      <c r="Z92" s="233">
        <v>76334</v>
      </c>
      <c r="AA92" s="233">
        <v>20</v>
      </c>
      <c r="AB92" s="233">
        <v>2076</v>
      </c>
      <c r="AC92" s="233">
        <v>10</v>
      </c>
      <c r="AD92" s="233">
        <v>8</v>
      </c>
      <c r="AE92" s="233">
        <v>2</v>
      </c>
      <c r="AF92" s="233">
        <v>1994</v>
      </c>
      <c r="AG92" s="233">
        <v>330</v>
      </c>
      <c r="AH92" s="233">
        <v>16</v>
      </c>
      <c r="AI92" s="233">
        <v>0</v>
      </c>
      <c r="AJ92" s="233">
        <v>427</v>
      </c>
    </row>
    <row r="93" spans="1:36">
      <c r="A93" s="240">
        <v>1</v>
      </c>
      <c r="B93" s="241" t="s">
        <v>3997</v>
      </c>
      <c r="C93" s="241" t="s">
        <v>3432</v>
      </c>
      <c r="D93" s="241" t="s">
        <v>4161</v>
      </c>
      <c r="E93" s="241">
        <v>6</v>
      </c>
      <c r="F93" s="242" t="s">
        <v>4162</v>
      </c>
      <c r="G93" s="233">
        <v>3868</v>
      </c>
      <c r="H93" s="233">
        <v>1160948</v>
      </c>
      <c r="I93" s="233">
        <v>107377</v>
      </c>
      <c r="J93" s="233">
        <v>98952</v>
      </c>
      <c r="K93" s="233">
        <v>8426</v>
      </c>
      <c r="L93" s="233">
        <v>1054076</v>
      </c>
      <c r="M93" s="233">
        <v>175653</v>
      </c>
      <c r="N93" s="233">
        <v>17321</v>
      </c>
      <c r="O93" s="233">
        <v>58107</v>
      </c>
      <c r="P93" s="233">
        <v>299846</v>
      </c>
      <c r="Q93" s="233">
        <v>3843</v>
      </c>
      <c r="R93" s="235" t="s">
        <v>4020</v>
      </c>
      <c r="S93" s="235" t="s">
        <v>4020</v>
      </c>
      <c r="T93" s="235" t="s">
        <v>4020</v>
      </c>
      <c r="U93" s="235" t="s">
        <v>4020</v>
      </c>
      <c r="V93" s="235" t="s">
        <v>4020</v>
      </c>
      <c r="W93" s="235" t="s">
        <v>4020</v>
      </c>
      <c r="X93" s="235" t="s">
        <v>4020</v>
      </c>
      <c r="Y93" s="235" t="s">
        <v>4020</v>
      </c>
      <c r="Z93" s="235" t="s">
        <v>4020</v>
      </c>
      <c r="AA93" s="233">
        <v>25</v>
      </c>
      <c r="AB93" s="235" t="s">
        <v>4020</v>
      </c>
      <c r="AC93" s="235" t="s">
        <v>4020</v>
      </c>
      <c r="AD93" s="235" t="s">
        <v>4020</v>
      </c>
      <c r="AE93" s="235" t="s">
        <v>4020</v>
      </c>
      <c r="AF93" s="235" t="s">
        <v>4020</v>
      </c>
      <c r="AG93" s="235" t="s">
        <v>4020</v>
      </c>
      <c r="AH93" s="235" t="s">
        <v>4020</v>
      </c>
      <c r="AI93" s="235" t="s">
        <v>4020</v>
      </c>
      <c r="AJ93" s="235" t="s">
        <v>4020</v>
      </c>
    </row>
    <row r="94" spans="1:36">
      <c r="A94" s="240">
        <v>1</v>
      </c>
      <c r="B94" s="241" t="s">
        <v>3997</v>
      </c>
      <c r="C94" s="241" t="s">
        <v>3172</v>
      </c>
      <c r="D94" s="241" t="s">
        <v>4163</v>
      </c>
      <c r="E94" s="241">
        <v>5</v>
      </c>
      <c r="F94" s="242" t="s">
        <v>4164</v>
      </c>
      <c r="G94" s="233">
        <v>6219</v>
      </c>
      <c r="H94" s="233">
        <v>3652291</v>
      </c>
      <c r="I94" s="233">
        <v>366920</v>
      </c>
      <c r="J94" s="233">
        <v>348781</v>
      </c>
      <c r="K94" s="233">
        <v>18138</v>
      </c>
      <c r="L94" s="233">
        <v>3234594</v>
      </c>
      <c r="M94" s="233">
        <v>382634</v>
      </c>
      <c r="N94" s="233">
        <v>42552</v>
      </c>
      <c r="O94" s="233">
        <v>224202</v>
      </c>
      <c r="P94" s="233">
        <v>842883</v>
      </c>
      <c r="Q94" s="233">
        <v>5938</v>
      </c>
      <c r="R94" s="233">
        <v>3512428</v>
      </c>
      <c r="S94" s="233">
        <v>343674</v>
      </c>
      <c r="T94" s="233">
        <v>326143</v>
      </c>
      <c r="U94" s="233">
        <v>17532</v>
      </c>
      <c r="V94" s="233">
        <v>3116484</v>
      </c>
      <c r="W94" s="233">
        <v>365394</v>
      </c>
      <c r="X94" s="233">
        <v>39919</v>
      </c>
      <c r="Y94" s="233">
        <v>205576</v>
      </c>
      <c r="Z94" s="233">
        <v>801257</v>
      </c>
      <c r="AA94" s="233">
        <v>281</v>
      </c>
      <c r="AB94" s="233">
        <v>139863</v>
      </c>
      <c r="AC94" s="233">
        <v>23246</v>
      </c>
      <c r="AD94" s="233">
        <v>22639</v>
      </c>
      <c r="AE94" s="233">
        <v>607</v>
      </c>
      <c r="AF94" s="233">
        <v>118110</v>
      </c>
      <c r="AG94" s="233">
        <v>17240</v>
      </c>
      <c r="AH94" s="233">
        <v>2633</v>
      </c>
      <c r="AI94" s="233">
        <v>18626</v>
      </c>
      <c r="AJ94" s="233">
        <v>41627</v>
      </c>
    </row>
    <row r="95" spans="1:36">
      <c r="A95" s="240">
        <v>1</v>
      </c>
      <c r="B95" s="241" t="s">
        <v>3997</v>
      </c>
      <c r="C95" s="241" t="s">
        <v>3432</v>
      </c>
      <c r="D95" s="241" t="s">
        <v>4165</v>
      </c>
      <c r="E95" s="241">
        <v>6</v>
      </c>
      <c r="F95" s="242" t="s">
        <v>4166</v>
      </c>
      <c r="G95" s="233">
        <v>3152</v>
      </c>
      <c r="H95" s="233">
        <v>1103607</v>
      </c>
      <c r="I95" s="233">
        <v>126542</v>
      </c>
      <c r="J95" s="233">
        <v>113504</v>
      </c>
      <c r="K95" s="233">
        <v>13038</v>
      </c>
      <c r="L95" s="233">
        <v>945401</v>
      </c>
      <c r="M95" s="233">
        <v>125166</v>
      </c>
      <c r="N95" s="233">
        <v>17415</v>
      </c>
      <c r="O95" s="233">
        <v>85661</v>
      </c>
      <c r="P95" s="233">
        <v>300787</v>
      </c>
      <c r="Q95" s="233">
        <v>2995</v>
      </c>
      <c r="R95" s="233">
        <v>1011603</v>
      </c>
      <c r="S95" s="233">
        <v>106844</v>
      </c>
      <c r="T95" s="233">
        <v>93996</v>
      </c>
      <c r="U95" s="233">
        <v>12848</v>
      </c>
      <c r="V95" s="233">
        <v>868146</v>
      </c>
      <c r="W95" s="233">
        <v>115339</v>
      </c>
      <c r="X95" s="233">
        <v>15776</v>
      </c>
      <c r="Y95" s="233">
        <v>69081</v>
      </c>
      <c r="Z95" s="233">
        <v>274572</v>
      </c>
      <c r="AA95" s="233">
        <v>157</v>
      </c>
      <c r="AB95" s="233">
        <v>92004</v>
      </c>
      <c r="AC95" s="233">
        <v>19698</v>
      </c>
      <c r="AD95" s="233">
        <v>19508</v>
      </c>
      <c r="AE95" s="233">
        <v>190</v>
      </c>
      <c r="AF95" s="233">
        <v>77256</v>
      </c>
      <c r="AG95" s="233">
        <v>9827</v>
      </c>
      <c r="AH95" s="233">
        <v>1640</v>
      </c>
      <c r="AI95" s="233">
        <v>16579</v>
      </c>
      <c r="AJ95" s="233">
        <v>26215</v>
      </c>
    </row>
    <row r="96" spans="1:36">
      <c r="A96" s="240">
        <v>1</v>
      </c>
      <c r="B96" s="241" t="s">
        <v>3997</v>
      </c>
      <c r="C96" s="241" t="s">
        <v>3432</v>
      </c>
      <c r="D96" s="241" t="s">
        <v>4167</v>
      </c>
      <c r="E96" s="241">
        <v>6</v>
      </c>
      <c r="F96" s="242" t="s">
        <v>4168</v>
      </c>
      <c r="G96" s="233">
        <v>1573</v>
      </c>
      <c r="H96" s="233">
        <v>2328840</v>
      </c>
      <c r="I96" s="233">
        <v>224334</v>
      </c>
      <c r="J96" s="233">
        <v>220910</v>
      </c>
      <c r="K96" s="233">
        <v>3424</v>
      </c>
      <c r="L96" s="233">
        <v>2095941</v>
      </c>
      <c r="M96" s="233">
        <v>212179</v>
      </c>
      <c r="N96" s="233">
        <v>19922</v>
      </c>
      <c r="O96" s="233">
        <v>129069</v>
      </c>
      <c r="P96" s="233">
        <v>465000</v>
      </c>
      <c r="Q96" s="233">
        <v>1490</v>
      </c>
      <c r="R96" s="233">
        <v>2283208</v>
      </c>
      <c r="S96" s="233">
        <v>221421</v>
      </c>
      <c r="T96" s="233">
        <v>218407</v>
      </c>
      <c r="U96" s="233">
        <v>3014</v>
      </c>
      <c r="V96" s="233">
        <v>2056993</v>
      </c>
      <c r="W96" s="233">
        <v>205190</v>
      </c>
      <c r="X96" s="233">
        <v>18984</v>
      </c>
      <c r="Y96" s="233">
        <v>127022</v>
      </c>
      <c r="Z96" s="233">
        <v>450388</v>
      </c>
      <c r="AA96" s="233">
        <v>83</v>
      </c>
      <c r="AB96" s="233">
        <v>45632</v>
      </c>
      <c r="AC96" s="233">
        <v>2913</v>
      </c>
      <c r="AD96" s="233">
        <v>2503</v>
      </c>
      <c r="AE96" s="233">
        <v>410</v>
      </c>
      <c r="AF96" s="233">
        <v>38948</v>
      </c>
      <c r="AG96" s="233">
        <v>6989</v>
      </c>
      <c r="AH96" s="233">
        <v>938</v>
      </c>
      <c r="AI96" s="233">
        <v>2047</v>
      </c>
      <c r="AJ96" s="233">
        <v>14612</v>
      </c>
    </row>
    <row r="97" spans="1:36">
      <c r="A97" s="240">
        <v>1</v>
      </c>
      <c r="B97" s="241" t="s">
        <v>3997</v>
      </c>
      <c r="C97" s="241" t="s">
        <v>3432</v>
      </c>
      <c r="D97" s="241" t="s">
        <v>4169</v>
      </c>
      <c r="E97" s="241">
        <v>6</v>
      </c>
      <c r="F97" s="242" t="s">
        <v>4170</v>
      </c>
      <c r="G97" s="233">
        <v>556</v>
      </c>
      <c r="H97" s="233">
        <v>85127</v>
      </c>
      <c r="I97" s="233">
        <v>7744</v>
      </c>
      <c r="J97" s="233">
        <v>6839</v>
      </c>
      <c r="K97" s="233">
        <v>905</v>
      </c>
      <c r="L97" s="233">
        <v>75758</v>
      </c>
      <c r="M97" s="233">
        <v>19655</v>
      </c>
      <c r="N97" s="233">
        <v>2022</v>
      </c>
      <c r="O97" s="233">
        <v>4289</v>
      </c>
      <c r="P97" s="233">
        <v>31045</v>
      </c>
      <c r="Q97" s="233">
        <v>548</v>
      </c>
      <c r="R97" s="233">
        <v>84494</v>
      </c>
      <c r="S97" s="233">
        <v>7265</v>
      </c>
      <c r="T97" s="233">
        <v>6360</v>
      </c>
      <c r="U97" s="233">
        <v>905</v>
      </c>
      <c r="V97" s="233">
        <v>75177</v>
      </c>
      <c r="W97" s="233">
        <v>19595</v>
      </c>
      <c r="X97" s="233">
        <v>2018</v>
      </c>
      <c r="Y97" s="233">
        <v>4289</v>
      </c>
      <c r="Z97" s="233">
        <v>30930</v>
      </c>
      <c r="AA97" s="233">
        <v>8</v>
      </c>
      <c r="AB97" s="233">
        <v>633</v>
      </c>
      <c r="AC97" s="233">
        <v>479</v>
      </c>
      <c r="AD97" s="233">
        <v>479</v>
      </c>
      <c r="AE97" s="233">
        <v>0</v>
      </c>
      <c r="AF97" s="233">
        <v>582</v>
      </c>
      <c r="AG97" s="233">
        <v>60</v>
      </c>
      <c r="AH97" s="233">
        <v>4</v>
      </c>
      <c r="AI97" s="233">
        <v>0</v>
      </c>
      <c r="AJ97" s="233">
        <v>116</v>
      </c>
    </row>
    <row r="98" spans="1:36">
      <c r="A98" s="240">
        <v>1</v>
      </c>
      <c r="B98" s="241" t="s">
        <v>3997</v>
      </c>
      <c r="C98" s="241" t="s">
        <v>3432</v>
      </c>
      <c r="D98" s="241" t="s">
        <v>4171</v>
      </c>
      <c r="E98" s="241">
        <v>6</v>
      </c>
      <c r="F98" s="242" t="s">
        <v>4172</v>
      </c>
      <c r="G98" s="233">
        <v>938</v>
      </c>
      <c r="H98" s="233">
        <v>134717</v>
      </c>
      <c r="I98" s="233">
        <v>8299</v>
      </c>
      <c r="J98" s="233">
        <v>7528</v>
      </c>
      <c r="K98" s="233">
        <v>772</v>
      </c>
      <c r="L98" s="233">
        <v>117493</v>
      </c>
      <c r="M98" s="233">
        <v>25634</v>
      </c>
      <c r="N98" s="233">
        <v>3193</v>
      </c>
      <c r="O98" s="233">
        <v>5183</v>
      </c>
      <c r="P98" s="233">
        <v>46050</v>
      </c>
      <c r="Q98" s="233">
        <v>905</v>
      </c>
      <c r="R98" s="233">
        <v>133123</v>
      </c>
      <c r="S98" s="233">
        <v>8143</v>
      </c>
      <c r="T98" s="233">
        <v>7379</v>
      </c>
      <c r="U98" s="233">
        <v>765</v>
      </c>
      <c r="V98" s="233">
        <v>116168</v>
      </c>
      <c r="W98" s="233">
        <v>25270</v>
      </c>
      <c r="X98" s="233">
        <v>3142</v>
      </c>
      <c r="Y98" s="233">
        <v>5183</v>
      </c>
      <c r="Z98" s="233">
        <v>45367</v>
      </c>
      <c r="AA98" s="233">
        <v>33</v>
      </c>
      <c r="AB98" s="233">
        <v>1594</v>
      </c>
      <c r="AC98" s="233">
        <v>156</v>
      </c>
      <c r="AD98" s="233">
        <v>149</v>
      </c>
      <c r="AE98" s="233">
        <v>7</v>
      </c>
      <c r="AF98" s="233">
        <v>1325</v>
      </c>
      <c r="AG98" s="233">
        <v>364</v>
      </c>
      <c r="AH98" s="233">
        <v>51</v>
      </c>
      <c r="AI98" s="233">
        <v>0</v>
      </c>
      <c r="AJ98" s="233">
        <v>684</v>
      </c>
    </row>
    <row r="99" spans="1:36">
      <c r="A99" s="240">
        <v>1</v>
      </c>
      <c r="B99" s="241" t="s">
        <v>3997</v>
      </c>
      <c r="C99" s="241" t="s">
        <v>3172</v>
      </c>
      <c r="D99" s="241" t="s">
        <v>4173</v>
      </c>
      <c r="E99" s="241">
        <v>5</v>
      </c>
      <c r="F99" s="242" t="s">
        <v>4174</v>
      </c>
      <c r="G99" s="233">
        <v>7808</v>
      </c>
      <c r="H99" s="233">
        <v>3018358</v>
      </c>
      <c r="I99" s="233">
        <v>352869</v>
      </c>
      <c r="J99" s="233">
        <v>337225</v>
      </c>
      <c r="K99" s="233">
        <v>15644</v>
      </c>
      <c r="L99" s="233">
        <v>2729932</v>
      </c>
      <c r="M99" s="233">
        <v>488620</v>
      </c>
      <c r="N99" s="233">
        <v>37090</v>
      </c>
      <c r="O99" s="233">
        <v>265244</v>
      </c>
      <c r="P99" s="233">
        <v>814136</v>
      </c>
      <c r="Q99" s="233">
        <v>7754</v>
      </c>
      <c r="R99" s="233">
        <v>3017168</v>
      </c>
      <c r="S99" s="233">
        <v>352859</v>
      </c>
      <c r="T99" s="233">
        <v>337220</v>
      </c>
      <c r="U99" s="233">
        <v>15639</v>
      </c>
      <c r="V99" s="233">
        <v>2728856</v>
      </c>
      <c r="W99" s="233">
        <v>488332</v>
      </c>
      <c r="X99" s="233">
        <v>37052</v>
      </c>
      <c r="Y99" s="233">
        <v>265244</v>
      </c>
      <c r="Z99" s="233">
        <v>813695</v>
      </c>
      <c r="AA99" s="233">
        <v>54</v>
      </c>
      <c r="AB99" s="233">
        <v>1190</v>
      </c>
      <c r="AC99" s="233">
        <v>10</v>
      </c>
      <c r="AD99" s="233">
        <v>4</v>
      </c>
      <c r="AE99" s="233">
        <v>5</v>
      </c>
      <c r="AF99" s="233">
        <v>1076</v>
      </c>
      <c r="AG99" s="233">
        <v>288</v>
      </c>
      <c r="AH99" s="233">
        <v>39</v>
      </c>
      <c r="AI99" s="233">
        <v>0</v>
      </c>
      <c r="AJ99" s="233">
        <v>441</v>
      </c>
    </row>
    <row r="100" spans="1:36">
      <c r="A100" s="240">
        <v>1</v>
      </c>
      <c r="B100" s="241" t="s">
        <v>3997</v>
      </c>
      <c r="C100" s="241" t="s">
        <v>3432</v>
      </c>
      <c r="D100" s="241" t="s">
        <v>4175</v>
      </c>
      <c r="E100" s="241">
        <v>6</v>
      </c>
      <c r="F100" s="242" t="s">
        <v>4176</v>
      </c>
      <c r="G100" s="233">
        <v>4284</v>
      </c>
      <c r="H100" s="233">
        <v>2208355</v>
      </c>
      <c r="I100" s="233">
        <v>326751</v>
      </c>
      <c r="J100" s="233">
        <v>315875</v>
      </c>
      <c r="K100" s="233">
        <v>10876</v>
      </c>
      <c r="L100" s="233">
        <v>1998107</v>
      </c>
      <c r="M100" s="233">
        <v>337132</v>
      </c>
      <c r="N100" s="233">
        <v>24401</v>
      </c>
      <c r="O100" s="233">
        <v>249786</v>
      </c>
      <c r="P100" s="233">
        <v>571782</v>
      </c>
      <c r="Q100" s="233">
        <v>4263</v>
      </c>
      <c r="R100" s="233">
        <v>2208066</v>
      </c>
      <c r="S100" s="233">
        <v>326747</v>
      </c>
      <c r="T100" s="233">
        <v>315874</v>
      </c>
      <c r="U100" s="233">
        <v>10873</v>
      </c>
      <c r="V100" s="233">
        <v>1997906</v>
      </c>
      <c r="W100" s="233">
        <v>337046</v>
      </c>
      <c r="X100" s="233">
        <v>24386</v>
      </c>
      <c r="Y100" s="233">
        <v>249786</v>
      </c>
      <c r="Z100" s="233">
        <v>571591</v>
      </c>
      <c r="AA100" s="233">
        <v>21</v>
      </c>
      <c r="AB100" s="233">
        <v>290</v>
      </c>
      <c r="AC100" s="233">
        <v>4</v>
      </c>
      <c r="AD100" s="233">
        <v>1</v>
      </c>
      <c r="AE100" s="233">
        <v>3</v>
      </c>
      <c r="AF100" s="233">
        <v>200</v>
      </c>
      <c r="AG100" s="233">
        <v>86</v>
      </c>
      <c r="AH100" s="233">
        <v>15</v>
      </c>
      <c r="AI100" s="233">
        <v>0</v>
      </c>
      <c r="AJ100" s="233">
        <v>191</v>
      </c>
    </row>
    <row r="101" spans="1:36">
      <c r="A101" s="240">
        <v>1</v>
      </c>
      <c r="B101" s="241" t="s">
        <v>3997</v>
      </c>
      <c r="C101" s="241" t="s">
        <v>3432</v>
      </c>
      <c r="D101" s="241" t="s">
        <v>4177</v>
      </c>
      <c r="E101" s="241">
        <v>6</v>
      </c>
      <c r="F101" s="242" t="s">
        <v>4178</v>
      </c>
      <c r="G101" s="233">
        <v>442</v>
      </c>
      <c r="H101" s="233">
        <v>47274</v>
      </c>
      <c r="I101" s="233">
        <v>7439</v>
      </c>
      <c r="J101" s="233">
        <v>5174</v>
      </c>
      <c r="K101" s="233">
        <v>2265</v>
      </c>
      <c r="L101" s="233">
        <v>44452</v>
      </c>
      <c r="M101" s="233">
        <v>13243</v>
      </c>
      <c r="N101" s="233">
        <v>1102</v>
      </c>
      <c r="O101" s="233">
        <v>3822</v>
      </c>
      <c r="P101" s="233">
        <v>17168</v>
      </c>
      <c r="Q101" s="233">
        <v>435</v>
      </c>
      <c r="R101" s="233">
        <v>47186</v>
      </c>
      <c r="S101" s="233">
        <v>7436</v>
      </c>
      <c r="T101" s="233">
        <v>5171</v>
      </c>
      <c r="U101" s="233">
        <v>2265</v>
      </c>
      <c r="V101" s="233">
        <v>44360</v>
      </c>
      <c r="W101" s="233">
        <v>13203</v>
      </c>
      <c r="X101" s="233">
        <v>1101</v>
      </c>
      <c r="Y101" s="233">
        <v>3822</v>
      </c>
      <c r="Z101" s="233">
        <v>17129</v>
      </c>
      <c r="AA101" s="233">
        <v>7</v>
      </c>
      <c r="AB101" s="233">
        <v>89</v>
      </c>
      <c r="AC101" s="233">
        <v>4</v>
      </c>
      <c r="AD101" s="233">
        <v>3</v>
      </c>
      <c r="AE101" s="233">
        <v>0</v>
      </c>
      <c r="AF101" s="233">
        <v>92</v>
      </c>
      <c r="AG101" s="233">
        <v>40</v>
      </c>
      <c r="AH101" s="233">
        <v>2</v>
      </c>
      <c r="AI101" s="233">
        <v>0</v>
      </c>
      <c r="AJ101" s="233">
        <v>39</v>
      </c>
    </row>
    <row r="102" spans="1:36">
      <c r="A102" s="240">
        <v>1</v>
      </c>
      <c r="B102" s="241" t="s">
        <v>3997</v>
      </c>
      <c r="C102" s="241" t="s">
        <v>3432</v>
      </c>
      <c r="D102" s="241" t="s">
        <v>4179</v>
      </c>
      <c r="E102" s="241">
        <v>6</v>
      </c>
      <c r="F102" s="242" t="s">
        <v>4180</v>
      </c>
      <c r="G102" s="233">
        <v>1924</v>
      </c>
      <c r="H102" s="233">
        <v>237649</v>
      </c>
      <c r="I102" s="233">
        <v>3884</v>
      </c>
      <c r="J102" s="233">
        <v>3249</v>
      </c>
      <c r="K102" s="233">
        <v>635</v>
      </c>
      <c r="L102" s="233">
        <v>209247</v>
      </c>
      <c r="M102" s="233">
        <v>44531</v>
      </c>
      <c r="N102" s="233">
        <v>5448</v>
      </c>
      <c r="O102" s="233">
        <v>2083</v>
      </c>
      <c r="P102" s="233">
        <v>78380</v>
      </c>
      <c r="Q102" s="233">
        <v>1906</v>
      </c>
      <c r="R102" s="233">
        <v>236995</v>
      </c>
      <c r="S102" s="233">
        <v>3882</v>
      </c>
      <c r="T102" s="233">
        <v>3249</v>
      </c>
      <c r="U102" s="233">
        <v>633</v>
      </c>
      <c r="V102" s="233">
        <v>208590</v>
      </c>
      <c r="W102" s="233">
        <v>44436</v>
      </c>
      <c r="X102" s="233">
        <v>5434</v>
      </c>
      <c r="Y102" s="233">
        <v>2083</v>
      </c>
      <c r="Z102" s="233">
        <v>78275</v>
      </c>
      <c r="AA102" s="233">
        <v>18</v>
      </c>
      <c r="AB102" s="233">
        <v>654</v>
      </c>
      <c r="AC102" s="233">
        <v>2</v>
      </c>
      <c r="AD102" s="233">
        <v>0</v>
      </c>
      <c r="AE102" s="233">
        <v>2</v>
      </c>
      <c r="AF102" s="233">
        <v>658</v>
      </c>
      <c r="AG102" s="233">
        <v>95</v>
      </c>
      <c r="AH102" s="233">
        <v>14</v>
      </c>
      <c r="AI102" s="233">
        <v>0</v>
      </c>
      <c r="AJ102" s="233">
        <v>105</v>
      </c>
    </row>
    <row r="103" spans="1:36">
      <c r="A103" s="240">
        <v>1</v>
      </c>
      <c r="B103" s="241" t="s">
        <v>3997</v>
      </c>
      <c r="C103" s="241" t="s">
        <v>3432</v>
      </c>
      <c r="D103" s="241" t="s">
        <v>4181</v>
      </c>
      <c r="E103" s="241">
        <v>6</v>
      </c>
      <c r="F103" s="242" t="s">
        <v>4182</v>
      </c>
      <c r="G103" s="233">
        <v>1158</v>
      </c>
      <c r="H103" s="233">
        <v>525079</v>
      </c>
      <c r="I103" s="233">
        <v>14794</v>
      </c>
      <c r="J103" s="233">
        <v>12927</v>
      </c>
      <c r="K103" s="233">
        <v>1868</v>
      </c>
      <c r="L103" s="233">
        <v>478126</v>
      </c>
      <c r="M103" s="233">
        <v>93713</v>
      </c>
      <c r="N103" s="233">
        <v>6139</v>
      </c>
      <c r="O103" s="233">
        <v>9553</v>
      </c>
      <c r="P103" s="233">
        <v>146806</v>
      </c>
      <c r="Q103" s="233">
        <v>1150</v>
      </c>
      <c r="R103" s="233">
        <v>524922</v>
      </c>
      <c r="S103" s="233">
        <v>14794</v>
      </c>
      <c r="T103" s="233">
        <v>12927</v>
      </c>
      <c r="U103" s="233">
        <v>1867</v>
      </c>
      <c r="V103" s="233">
        <v>478000</v>
      </c>
      <c r="W103" s="233">
        <v>93646</v>
      </c>
      <c r="X103" s="233">
        <v>6131</v>
      </c>
      <c r="Y103" s="233">
        <v>9553</v>
      </c>
      <c r="Z103" s="233">
        <v>146700</v>
      </c>
      <c r="AA103" s="233">
        <v>8</v>
      </c>
      <c r="AB103" s="233">
        <v>157</v>
      </c>
      <c r="AC103" s="233">
        <v>0</v>
      </c>
      <c r="AD103" s="233">
        <v>0</v>
      </c>
      <c r="AE103" s="233">
        <v>0</v>
      </c>
      <c r="AF103" s="233">
        <v>126</v>
      </c>
      <c r="AG103" s="233">
        <v>67</v>
      </c>
      <c r="AH103" s="233">
        <v>8</v>
      </c>
      <c r="AI103" s="233">
        <v>0</v>
      </c>
      <c r="AJ103" s="233">
        <v>106</v>
      </c>
    </row>
    <row r="104" spans="1:36">
      <c r="A104" s="240">
        <v>1</v>
      </c>
      <c r="B104" s="241" t="s">
        <v>3997</v>
      </c>
      <c r="C104" s="241" t="s">
        <v>3172</v>
      </c>
      <c r="D104" s="241" t="s">
        <v>4183</v>
      </c>
      <c r="E104" s="241">
        <v>5</v>
      </c>
      <c r="F104" s="242" t="s">
        <v>4184</v>
      </c>
      <c r="G104" s="233">
        <v>5971</v>
      </c>
      <c r="H104" s="233">
        <v>8246076</v>
      </c>
      <c r="I104" s="233">
        <v>1188322</v>
      </c>
      <c r="J104" s="233">
        <v>1170885</v>
      </c>
      <c r="K104" s="233">
        <v>17437</v>
      </c>
      <c r="L104" s="233">
        <v>7654456</v>
      </c>
      <c r="M104" s="233">
        <v>981236</v>
      </c>
      <c r="N104" s="233">
        <v>106708</v>
      </c>
      <c r="O104" s="233">
        <v>877543</v>
      </c>
      <c r="P104" s="233">
        <v>1679564</v>
      </c>
      <c r="Q104" s="233">
        <v>5941</v>
      </c>
      <c r="R104" s="233">
        <v>8244890</v>
      </c>
      <c r="S104" s="233">
        <v>1188133</v>
      </c>
      <c r="T104" s="233">
        <v>1170805</v>
      </c>
      <c r="U104" s="233">
        <v>17327</v>
      </c>
      <c r="V104" s="233">
        <v>7653285</v>
      </c>
      <c r="W104" s="233">
        <v>980690</v>
      </c>
      <c r="X104" s="233">
        <v>106679</v>
      </c>
      <c r="Y104" s="233">
        <v>877474</v>
      </c>
      <c r="Z104" s="233">
        <v>1678974</v>
      </c>
      <c r="AA104" s="233">
        <v>30</v>
      </c>
      <c r="AB104" s="233">
        <v>1185</v>
      </c>
      <c r="AC104" s="233">
        <v>190</v>
      </c>
      <c r="AD104" s="233">
        <v>80</v>
      </c>
      <c r="AE104" s="233">
        <v>110</v>
      </c>
      <c r="AF104" s="233">
        <v>1171</v>
      </c>
      <c r="AG104" s="233">
        <v>546</v>
      </c>
      <c r="AH104" s="233">
        <v>29</v>
      </c>
      <c r="AI104" s="233">
        <v>69</v>
      </c>
      <c r="AJ104" s="233">
        <v>590</v>
      </c>
    </row>
    <row r="105" spans="1:36">
      <c r="A105" s="240">
        <v>1</v>
      </c>
      <c r="B105" s="241" t="s">
        <v>3997</v>
      </c>
      <c r="C105" s="241" t="s">
        <v>3432</v>
      </c>
      <c r="D105" s="241" t="s">
        <v>4185</v>
      </c>
      <c r="E105" s="241">
        <v>6</v>
      </c>
      <c r="F105" s="242" t="s">
        <v>4186</v>
      </c>
      <c r="G105" s="233">
        <v>41</v>
      </c>
      <c r="H105" s="233">
        <v>50647</v>
      </c>
      <c r="I105" s="233">
        <v>5642</v>
      </c>
      <c r="J105" s="233">
        <v>5490</v>
      </c>
      <c r="K105" s="233">
        <v>151</v>
      </c>
      <c r="L105" s="233">
        <v>44570</v>
      </c>
      <c r="M105" s="233">
        <v>11496</v>
      </c>
      <c r="N105" s="233">
        <v>1157</v>
      </c>
      <c r="O105" s="233">
        <v>5148</v>
      </c>
      <c r="P105" s="233">
        <v>18730</v>
      </c>
      <c r="Q105" s="233">
        <v>40</v>
      </c>
      <c r="R105" s="235" t="s">
        <v>4020</v>
      </c>
      <c r="S105" s="235" t="s">
        <v>4020</v>
      </c>
      <c r="T105" s="235" t="s">
        <v>4020</v>
      </c>
      <c r="U105" s="235" t="s">
        <v>4020</v>
      </c>
      <c r="V105" s="235" t="s">
        <v>4020</v>
      </c>
      <c r="W105" s="235" t="s">
        <v>4020</v>
      </c>
      <c r="X105" s="235" t="s">
        <v>4020</v>
      </c>
      <c r="Y105" s="235" t="s">
        <v>4020</v>
      </c>
      <c r="Z105" s="235" t="s">
        <v>4020</v>
      </c>
      <c r="AA105" s="233">
        <v>1</v>
      </c>
      <c r="AB105" s="235" t="s">
        <v>4020</v>
      </c>
      <c r="AC105" s="235" t="s">
        <v>4020</v>
      </c>
      <c r="AD105" s="235" t="s">
        <v>4020</v>
      </c>
      <c r="AE105" s="235" t="s">
        <v>4020</v>
      </c>
      <c r="AF105" s="235" t="s">
        <v>4020</v>
      </c>
      <c r="AG105" s="235" t="s">
        <v>4020</v>
      </c>
      <c r="AH105" s="235" t="s">
        <v>4020</v>
      </c>
      <c r="AI105" s="235" t="s">
        <v>4020</v>
      </c>
      <c r="AJ105" s="235" t="s">
        <v>4020</v>
      </c>
    </row>
    <row r="106" spans="1:36">
      <c r="A106" s="240">
        <v>1</v>
      </c>
      <c r="B106" s="241" t="s">
        <v>3997</v>
      </c>
      <c r="C106" s="241" t="s">
        <v>3432</v>
      </c>
      <c r="D106" s="241" t="s">
        <v>4187</v>
      </c>
      <c r="E106" s="241">
        <v>6</v>
      </c>
      <c r="F106" s="242" t="s">
        <v>4188</v>
      </c>
      <c r="G106" s="233">
        <v>322</v>
      </c>
      <c r="H106" s="233">
        <v>2521167</v>
      </c>
      <c r="I106" s="233">
        <v>142065</v>
      </c>
      <c r="J106" s="233">
        <v>140824</v>
      </c>
      <c r="K106" s="233">
        <v>1241</v>
      </c>
      <c r="L106" s="233">
        <v>2346334</v>
      </c>
      <c r="M106" s="233">
        <v>271950</v>
      </c>
      <c r="N106" s="233">
        <v>53876</v>
      </c>
      <c r="O106" s="233">
        <v>122271</v>
      </c>
      <c r="P106" s="233">
        <v>500659</v>
      </c>
      <c r="Q106" s="233">
        <v>314</v>
      </c>
      <c r="R106" s="233">
        <v>2520595</v>
      </c>
      <c r="S106" s="233">
        <v>141927</v>
      </c>
      <c r="T106" s="233">
        <v>140797</v>
      </c>
      <c r="U106" s="233">
        <v>1131</v>
      </c>
      <c r="V106" s="233">
        <v>2345807</v>
      </c>
      <c r="W106" s="233">
        <v>271792</v>
      </c>
      <c r="X106" s="233">
        <v>53862</v>
      </c>
      <c r="Y106" s="233">
        <v>122202</v>
      </c>
      <c r="Z106" s="233">
        <v>500442</v>
      </c>
      <c r="AA106" s="233">
        <v>8</v>
      </c>
      <c r="AB106" s="233">
        <v>572</v>
      </c>
      <c r="AC106" s="233">
        <v>137</v>
      </c>
      <c r="AD106" s="233">
        <v>27</v>
      </c>
      <c r="AE106" s="233">
        <v>110</v>
      </c>
      <c r="AF106" s="233">
        <v>527</v>
      </c>
      <c r="AG106" s="233">
        <v>158</v>
      </c>
      <c r="AH106" s="233">
        <v>14</v>
      </c>
      <c r="AI106" s="233">
        <v>69</v>
      </c>
      <c r="AJ106" s="233">
        <v>217</v>
      </c>
    </row>
    <row r="107" spans="1:36">
      <c r="A107" s="240">
        <v>1</v>
      </c>
      <c r="B107" s="241" t="s">
        <v>3997</v>
      </c>
      <c r="C107" s="241" t="s">
        <v>3432</v>
      </c>
      <c r="D107" s="241" t="s">
        <v>4189</v>
      </c>
      <c r="E107" s="241">
        <v>6</v>
      </c>
      <c r="F107" s="242" t="s">
        <v>4190</v>
      </c>
      <c r="G107" s="233">
        <v>362</v>
      </c>
      <c r="H107" s="233">
        <v>633672</v>
      </c>
      <c r="I107" s="233">
        <v>122775</v>
      </c>
      <c r="J107" s="233">
        <v>121342</v>
      </c>
      <c r="K107" s="233">
        <v>1434</v>
      </c>
      <c r="L107" s="233">
        <v>592936</v>
      </c>
      <c r="M107" s="233">
        <v>81844</v>
      </c>
      <c r="N107" s="233">
        <v>4916</v>
      </c>
      <c r="O107" s="233">
        <v>104295</v>
      </c>
      <c r="P107" s="233">
        <v>127498</v>
      </c>
      <c r="Q107" s="233">
        <v>362</v>
      </c>
      <c r="R107" s="233">
        <v>633672</v>
      </c>
      <c r="S107" s="233">
        <v>122775</v>
      </c>
      <c r="T107" s="233">
        <v>121342</v>
      </c>
      <c r="U107" s="233">
        <v>1434</v>
      </c>
      <c r="V107" s="233">
        <v>592936</v>
      </c>
      <c r="W107" s="233">
        <v>81844</v>
      </c>
      <c r="X107" s="233">
        <v>4916</v>
      </c>
      <c r="Y107" s="233">
        <v>104295</v>
      </c>
      <c r="Z107" s="233">
        <v>127498</v>
      </c>
      <c r="AA107" s="235" t="s">
        <v>5298</v>
      </c>
      <c r="AB107" s="235" t="s">
        <v>5298</v>
      </c>
      <c r="AC107" s="235" t="s">
        <v>5298</v>
      </c>
      <c r="AD107" s="235" t="s">
        <v>5298</v>
      </c>
      <c r="AE107" s="235" t="s">
        <v>5298</v>
      </c>
      <c r="AF107" s="235" t="s">
        <v>5298</v>
      </c>
      <c r="AG107" s="235" t="s">
        <v>5298</v>
      </c>
      <c r="AH107" s="235" t="s">
        <v>5298</v>
      </c>
      <c r="AI107" s="235" t="s">
        <v>5298</v>
      </c>
      <c r="AJ107" s="235" t="s">
        <v>5298</v>
      </c>
    </row>
    <row r="108" spans="1:36">
      <c r="A108" s="240">
        <v>1</v>
      </c>
      <c r="B108" s="241" t="s">
        <v>3997</v>
      </c>
      <c r="C108" s="241" t="s">
        <v>3432</v>
      </c>
      <c r="D108" s="241" t="s">
        <v>4191</v>
      </c>
      <c r="E108" s="241">
        <v>6</v>
      </c>
      <c r="F108" s="242" t="s">
        <v>4192</v>
      </c>
      <c r="G108" s="233">
        <v>1026</v>
      </c>
      <c r="H108" s="233">
        <v>518589</v>
      </c>
      <c r="I108" s="233">
        <v>49460</v>
      </c>
      <c r="J108" s="233">
        <v>45450</v>
      </c>
      <c r="K108" s="233">
        <v>4009</v>
      </c>
      <c r="L108" s="233">
        <v>492186</v>
      </c>
      <c r="M108" s="233">
        <v>85351</v>
      </c>
      <c r="N108" s="233">
        <v>5746</v>
      </c>
      <c r="O108" s="233">
        <v>31505</v>
      </c>
      <c r="P108" s="233">
        <v>117501</v>
      </c>
      <c r="Q108" s="233">
        <v>1022</v>
      </c>
      <c r="R108" s="233">
        <v>518578</v>
      </c>
      <c r="S108" s="233">
        <v>49460</v>
      </c>
      <c r="T108" s="233">
        <v>45450</v>
      </c>
      <c r="U108" s="233">
        <v>4009</v>
      </c>
      <c r="V108" s="233">
        <v>492180</v>
      </c>
      <c r="W108" s="233">
        <v>85347</v>
      </c>
      <c r="X108" s="233">
        <v>5746</v>
      </c>
      <c r="Y108" s="233">
        <v>31505</v>
      </c>
      <c r="Z108" s="233">
        <v>117491</v>
      </c>
      <c r="AA108" s="233">
        <v>4</v>
      </c>
      <c r="AB108" s="233">
        <v>11</v>
      </c>
      <c r="AC108" s="233">
        <v>0</v>
      </c>
      <c r="AD108" s="233">
        <v>0</v>
      </c>
      <c r="AE108" s="233">
        <v>0</v>
      </c>
      <c r="AF108" s="233">
        <v>6</v>
      </c>
      <c r="AG108" s="233">
        <v>4</v>
      </c>
      <c r="AH108" s="233">
        <v>0</v>
      </c>
      <c r="AI108" s="233">
        <v>0</v>
      </c>
      <c r="AJ108" s="233">
        <v>10</v>
      </c>
    </row>
    <row r="109" spans="1:36">
      <c r="A109" s="240">
        <v>1</v>
      </c>
      <c r="B109" s="241" t="s">
        <v>3997</v>
      </c>
      <c r="C109" s="241" t="s">
        <v>3432</v>
      </c>
      <c r="D109" s="241" t="s">
        <v>4193</v>
      </c>
      <c r="E109" s="241">
        <v>6</v>
      </c>
      <c r="F109" s="242" t="s">
        <v>4194</v>
      </c>
      <c r="G109" s="233">
        <v>3194</v>
      </c>
      <c r="H109" s="233">
        <v>2768538</v>
      </c>
      <c r="I109" s="233">
        <v>397427</v>
      </c>
      <c r="J109" s="233">
        <v>390620</v>
      </c>
      <c r="K109" s="233">
        <v>6807</v>
      </c>
      <c r="L109" s="233">
        <v>2588912</v>
      </c>
      <c r="M109" s="233">
        <v>379135</v>
      </c>
      <c r="N109" s="233">
        <v>29302</v>
      </c>
      <c r="O109" s="233">
        <v>320303</v>
      </c>
      <c r="P109" s="233">
        <v>588064</v>
      </c>
      <c r="Q109" s="233">
        <v>3180</v>
      </c>
      <c r="R109" s="233">
        <v>2768146</v>
      </c>
      <c r="S109" s="233">
        <v>397377</v>
      </c>
      <c r="T109" s="233">
        <v>390570</v>
      </c>
      <c r="U109" s="233">
        <v>6807</v>
      </c>
      <c r="V109" s="233">
        <v>2588480</v>
      </c>
      <c r="W109" s="233">
        <v>378908</v>
      </c>
      <c r="X109" s="233">
        <v>29289</v>
      </c>
      <c r="Y109" s="233">
        <v>320303</v>
      </c>
      <c r="Z109" s="233">
        <v>587863</v>
      </c>
      <c r="AA109" s="233">
        <v>14</v>
      </c>
      <c r="AB109" s="233">
        <v>393</v>
      </c>
      <c r="AC109" s="233">
        <v>50</v>
      </c>
      <c r="AD109" s="233">
        <v>50</v>
      </c>
      <c r="AE109" s="233">
        <v>0</v>
      </c>
      <c r="AF109" s="233">
        <v>431</v>
      </c>
      <c r="AG109" s="233">
        <v>227</v>
      </c>
      <c r="AH109" s="233">
        <v>13</v>
      </c>
      <c r="AI109" s="233">
        <v>0</v>
      </c>
      <c r="AJ109" s="233">
        <v>201</v>
      </c>
    </row>
    <row r="110" spans="1:36">
      <c r="A110" s="240">
        <v>1</v>
      </c>
      <c r="B110" s="241" t="s">
        <v>3997</v>
      </c>
      <c r="C110" s="241" t="s">
        <v>3432</v>
      </c>
      <c r="D110" s="241" t="s">
        <v>4195</v>
      </c>
      <c r="E110" s="241">
        <v>6</v>
      </c>
      <c r="F110" s="242" t="s">
        <v>4196</v>
      </c>
      <c r="G110" s="233">
        <v>1026</v>
      </c>
      <c r="H110" s="233">
        <v>1753462</v>
      </c>
      <c r="I110" s="233">
        <v>470954</v>
      </c>
      <c r="J110" s="233">
        <v>467158</v>
      </c>
      <c r="K110" s="233">
        <v>3795</v>
      </c>
      <c r="L110" s="233">
        <v>1589518</v>
      </c>
      <c r="M110" s="233">
        <v>151458</v>
      </c>
      <c r="N110" s="233">
        <v>11710</v>
      </c>
      <c r="O110" s="233">
        <v>294021</v>
      </c>
      <c r="P110" s="233">
        <v>327113</v>
      </c>
      <c r="Q110" s="233">
        <v>1023</v>
      </c>
      <c r="R110" s="235" t="s">
        <v>4020</v>
      </c>
      <c r="S110" s="235" t="s">
        <v>4020</v>
      </c>
      <c r="T110" s="235" t="s">
        <v>4020</v>
      </c>
      <c r="U110" s="235" t="s">
        <v>4020</v>
      </c>
      <c r="V110" s="235" t="s">
        <v>4020</v>
      </c>
      <c r="W110" s="235" t="s">
        <v>4020</v>
      </c>
      <c r="X110" s="235" t="s">
        <v>4020</v>
      </c>
      <c r="Y110" s="235" t="s">
        <v>4020</v>
      </c>
      <c r="Z110" s="235" t="s">
        <v>4020</v>
      </c>
      <c r="AA110" s="233">
        <v>3</v>
      </c>
      <c r="AB110" s="235" t="s">
        <v>4020</v>
      </c>
      <c r="AC110" s="235" t="s">
        <v>4020</v>
      </c>
      <c r="AD110" s="235" t="s">
        <v>4020</v>
      </c>
      <c r="AE110" s="235" t="s">
        <v>4020</v>
      </c>
      <c r="AF110" s="235" t="s">
        <v>4020</v>
      </c>
      <c r="AG110" s="235" t="s">
        <v>4020</v>
      </c>
      <c r="AH110" s="235" t="s">
        <v>4020</v>
      </c>
      <c r="AI110" s="235" t="s">
        <v>4020</v>
      </c>
      <c r="AJ110" s="235" t="s">
        <v>4020</v>
      </c>
    </row>
    <row r="111" spans="1:36">
      <c r="A111" s="240">
        <v>1</v>
      </c>
      <c r="B111" s="241" t="s">
        <v>3997</v>
      </c>
      <c r="C111" s="241" t="s">
        <v>3172</v>
      </c>
      <c r="D111" s="241" t="s">
        <v>4197</v>
      </c>
      <c r="E111" s="241">
        <v>5</v>
      </c>
      <c r="F111" s="242" t="s">
        <v>4198</v>
      </c>
      <c r="G111" s="233">
        <v>16871</v>
      </c>
      <c r="H111" s="233">
        <v>7697508</v>
      </c>
      <c r="I111" s="233">
        <v>195429</v>
      </c>
      <c r="J111" s="233">
        <v>173459</v>
      </c>
      <c r="K111" s="233">
        <v>21971</v>
      </c>
      <c r="L111" s="233">
        <v>7173616</v>
      </c>
      <c r="M111" s="233">
        <v>1325445</v>
      </c>
      <c r="N111" s="233">
        <v>88974</v>
      </c>
      <c r="O111" s="233">
        <v>155607</v>
      </c>
      <c r="P111" s="233">
        <v>1938310</v>
      </c>
      <c r="Q111" s="233">
        <v>16797</v>
      </c>
      <c r="R111" s="233">
        <v>7616847</v>
      </c>
      <c r="S111" s="233">
        <v>195409</v>
      </c>
      <c r="T111" s="233">
        <v>173441</v>
      </c>
      <c r="U111" s="233">
        <v>21968</v>
      </c>
      <c r="V111" s="233">
        <v>7101779</v>
      </c>
      <c r="W111" s="233">
        <v>1294643</v>
      </c>
      <c r="X111" s="233">
        <v>88574</v>
      </c>
      <c r="Y111" s="233">
        <v>155593</v>
      </c>
      <c r="Z111" s="233">
        <v>1898285</v>
      </c>
      <c r="AA111" s="233">
        <v>74</v>
      </c>
      <c r="AB111" s="233">
        <v>80661</v>
      </c>
      <c r="AC111" s="233">
        <v>20</v>
      </c>
      <c r="AD111" s="233">
        <v>18</v>
      </c>
      <c r="AE111" s="233">
        <v>2</v>
      </c>
      <c r="AF111" s="233">
        <v>71837</v>
      </c>
      <c r="AG111" s="233">
        <v>30802</v>
      </c>
      <c r="AH111" s="233">
        <v>400</v>
      </c>
      <c r="AI111" s="233">
        <v>13</v>
      </c>
      <c r="AJ111" s="233">
        <v>40025</v>
      </c>
    </row>
    <row r="112" spans="1:36">
      <c r="A112" s="240">
        <v>1</v>
      </c>
      <c r="B112" s="241" t="s">
        <v>3997</v>
      </c>
      <c r="C112" s="241" t="s">
        <v>3432</v>
      </c>
      <c r="D112" s="241" t="s">
        <v>4199</v>
      </c>
      <c r="E112" s="241">
        <v>6</v>
      </c>
      <c r="F112" s="242" t="s">
        <v>4200</v>
      </c>
      <c r="G112" s="233">
        <v>13958</v>
      </c>
      <c r="H112" s="233">
        <v>7089821</v>
      </c>
      <c r="I112" s="233">
        <v>189064</v>
      </c>
      <c r="J112" s="233">
        <v>168005</v>
      </c>
      <c r="K112" s="233">
        <v>21059</v>
      </c>
      <c r="L112" s="233">
        <v>6632582</v>
      </c>
      <c r="M112" s="233">
        <v>1164849</v>
      </c>
      <c r="N112" s="233">
        <v>75988</v>
      </c>
      <c r="O112" s="233">
        <v>151286</v>
      </c>
      <c r="P112" s="233">
        <v>1698076</v>
      </c>
      <c r="Q112" s="233">
        <v>13904</v>
      </c>
      <c r="R112" s="233">
        <v>7011602</v>
      </c>
      <c r="S112" s="233">
        <v>189044</v>
      </c>
      <c r="T112" s="233">
        <v>167987</v>
      </c>
      <c r="U112" s="233">
        <v>21057</v>
      </c>
      <c r="V112" s="233">
        <v>6562870</v>
      </c>
      <c r="W112" s="233">
        <v>1134973</v>
      </c>
      <c r="X112" s="233">
        <v>75702</v>
      </c>
      <c r="Y112" s="233">
        <v>151273</v>
      </c>
      <c r="Z112" s="233">
        <v>1659408</v>
      </c>
      <c r="AA112" s="233">
        <v>54</v>
      </c>
      <c r="AB112" s="233">
        <v>78219</v>
      </c>
      <c r="AC112" s="233">
        <v>20</v>
      </c>
      <c r="AD112" s="233">
        <v>18</v>
      </c>
      <c r="AE112" s="233">
        <v>2</v>
      </c>
      <c r="AF112" s="233">
        <v>69712</v>
      </c>
      <c r="AG112" s="233">
        <v>29875</v>
      </c>
      <c r="AH112" s="233">
        <v>286</v>
      </c>
      <c r="AI112" s="233">
        <v>13</v>
      </c>
      <c r="AJ112" s="233">
        <v>38668</v>
      </c>
    </row>
    <row r="113" spans="1:36">
      <c r="A113" s="240">
        <v>1</v>
      </c>
      <c r="B113" s="241" t="s">
        <v>3997</v>
      </c>
      <c r="C113" s="241" t="s">
        <v>3432</v>
      </c>
      <c r="D113" s="241" t="s">
        <v>4201</v>
      </c>
      <c r="E113" s="241">
        <v>6</v>
      </c>
      <c r="F113" s="242" t="s">
        <v>4202</v>
      </c>
      <c r="G113" s="233">
        <v>860</v>
      </c>
      <c r="H113" s="233">
        <v>400165</v>
      </c>
      <c r="I113" s="233">
        <v>4716</v>
      </c>
      <c r="J113" s="233">
        <v>4392</v>
      </c>
      <c r="K113" s="233">
        <v>324</v>
      </c>
      <c r="L113" s="233">
        <v>360572</v>
      </c>
      <c r="M113" s="233">
        <v>88432</v>
      </c>
      <c r="N113" s="233">
        <v>4708</v>
      </c>
      <c r="O113" s="233">
        <v>3200</v>
      </c>
      <c r="P113" s="233">
        <v>132733</v>
      </c>
      <c r="Q113" s="233">
        <v>855</v>
      </c>
      <c r="R113" s="235" t="s">
        <v>4020</v>
      </c>
      <c r="S113" s="235" t="s">
        <v>4020</v>
      </c>
      <c r="T113" s="235" t="s">
        <v>4020</v>
      </c>
      <c r="U113" s="235" t="s">
        <v>4020</v>
      </c>
      <c r="V113" s="235" t="s">
        <v>4020</v>
      </c>
      <c r="W113" s="235" t="s">
        <v>4020</v>
      </c>
      <c r="X113" s="235" t="s">
        <v>4020</v>
      </c>
      <c r="Y113" s="235" t="s">
        <v>4020</v>
      </c>
      <c r="Z113" s="235" t="s">
        <v>4020</v>
      </c>
      <c r="AA113" s="233">
        <v>5</v>
      </c>
      <c r="AB113" s="235" t="s">
        <v>4020</v>
      </c>
      <c r="AC113" s="235" t="s">
        <v>4020</v>
      </c>
      <c r="AD113" s="235" t="s">
        <v>4020</v>
      </c>
      <c r="AE113" s="235" t="s">
        <v>4020</v>
      </c>
      <c r="AF113" s="235" t="s">
        <v>4020</v>
      </c>
      <c r="AG113" s="235" t="s">
        <v>4020</v>
      </c>
      <c r="AH113" s="235" t="s">
        <v>4020</v>
      </c>
      <c r="AI113" s="235" t="s">
        <v>4020</v>
      </c>
      <c r="AJ113" s="235" t="s">
        <v>4020</v>
      </c>
    </row>
    <row r="114" spans="1:36">
      <c r="A114" s="240">
        <v>1</v>
      </c>
      <c r="B114" s="241" t="s">
        <v>3997</v>
      </c>
      <c r="C114" s="241" t="s">
        <v>3432</v>
      </c>
      <c r="D114" s="241" t="s">
        <v>4203</v>
      </c>
      <c r="E114" s="241">
        <v>6</v>
      </c>
      <c r="F114" s="242" t="s">
        <v>4204</v>
      </c>
      <c r="G114" s="233">
        <v>1901</v>
      </c>
      <c r="H114" s="233">
        <v>191423</v>
      </c>
      <c r="I114" s="233">
        <v>1516</v>
      </c>
      <c r="J114" s="233">
        <v>1005</v>
      </c>
      <c r="K114" s="233">
        <v>512</v>
      </c>
      <c r="L114" s="233">
        <v>167002</v>
      </c>
      <c r="M114" s="233">
        <v>67276</v>
      </c>
      <c r="N114" s="233">
        <v>7654</v>
      </c>
      <c r="O114" s="233">
        <v>1037</v>
      </c>
      <c r="P114" s="233">
        <v>99351</v>
      </c>
      <c r="Q114" s="233">
        <v>1888</v>
      </c>
      <c r="R114" s="233">
        <v>189292</v>
      </c>
      <c r="S114" s="233">
        <v>1516</v>
      </c>
      <c r="T114" s="233">
        <v>1005</v>
      </c>
      <c r="U114" s="233">
        <v>512</v>
      </c>
      <c r="V114" s="233">
        <v>165088</v>
      </c>
      <c r="W114" s="233">
        <v>66445</v>
      </c>
      <c r="X114" s="233">
        <v>7560</v>
      </c>
      <c r="Y114" s="233">
        <v>1037</v>
      </c>
      <c r="Z114" s="233">
        <v>98209</v>
      </c>
      <c r="AA114" s="233">
        <v>13</v>
      </c>
      <c r="AB114" s="233">
        <v>2131</v>
      </c>
      <c r="AC114" s="233">
        <v>0</v>
      </c>
      <c r="AD114" s="233">
        <v>0</v>
      </c>
      <c r="AE114" s="233">
        <v>0</v>
      </c>
      <c r="AF114" s="233">
        <v>1914</v>
      </c>
      <c r="AG114" s="233">
        <v>831</v>
      </c>
      <c r="AH114" s="233">
        <v>94</v>
      </c>
      <c r="AI114" s="233">
        <v>0</v>
      </c>
      <c r="AJ114" s="233">
        <v>1142</v>
      </c>
    </row>
    <row r="115" spans="1:36">
      <c r="A115" s="240">
        <v>1</v>
      </c>
      <c r="B115" s="241" t="s">
        <v>3997</v>
      </c>
      <c r="C115" s="241" t="s">
        <v>3432</v>
      </c>
      <c r="D115" s="241" t="s">
        <v>4205</v>
      </c>
      <c r="E115" s="241">
        <v>6</v>
      </c>
      <c r="F115" s="242" t="s">
        <v>4206</v>
      </c>
      <c r="G115" s="233">
        <v>152</v>
      </c>
      <c r="H115" s="233">
        <v>16098</v>
      </c>
      <c r="I115" s="233">
        <v>133</v>
      </c>
      <c r="J115" s="233">
        <v>57</v>
      </c>
      <c r="K115" s="233">
        <v>75</v>
      </c>
      <c r="L115" s="233">
        <v>13460</v>
      </c>
      <c r="M115" s="233">
        <v>4888</v>
      </c>
      <c r="N115" s="233">
        <v>624</v>
      </c>
      <c r="O115" s="233">
        <v>84</v>
      </c>
      <c r="P115" s="233">
        <v>8150</v>
      </c>
      <c r="Q115" s="233">
        <v>150</v>
      </c>
      <c r="R115" s="235" t="s">
        <v>4020</v>
      </c>
      <c r="S115" s="235" t="s">
        <v>4020</v>
      </c>
      <c r="T115" s="235" t="s">
        <v>4020</v>
      </c>
      <c r="U115" s="235" t="s">
        <v>4020</v>
      </c>
      <c r="V115" s="235" t="s">
        <v>4020</v>
      </c>
      <c r="W115" s="235" t="s">
        <v>4020</v>
      </c>
      <c r="X115" s="235" t="s">
        <v>4020</v>
      </c>
      <c r="Y115" s="235" t="s">
        <v>4020</v>
      </c>
      <c r="Z115" s="235" t="s">
        <v>4020</v>
      </c>
      <c r="AA115" s="233">
        <v>2</v>
      </c>
      <c r="AB115" s="235" t="s">
        <v>4020</v>
      </c>
      <c r="AC115" s="235" t="s">
        <v>4020</v>
      </c>
      <c r="AD115" s="235" t="s">
        <v>4020</v>
      </c>
      <c r="AE115" s="235" t="s">
        <v>4020</v>
      </c>
      <c r="AF115" s="235" t="s">
        <v>4020</v>
      </c>
      <c r="AG115" s="235" t="s">
        <v>4020</v>
      </c>
      <c r="AH115" s="235" t="s">
        <v>4020</v>
      </c>
      <c r="AI115" s="235" t="s">
        <v>4020</v>
      </c>
      <c r="AJ115" s="235" t="s">
        <v>4020</v>
      </c>
    </row>
    <row r="116" spans="1:36">
      <c r="A116" s="240">
        <v>1</v>
      </c>
      <c r="B116" s="241" t="s">
        <v>3997</v>
      </c>
      <c r="C116" s="241" t="s">
        <v>3172</v>
      </c>
      <c r="D116" s="241" t="s">
        <v>4207</v>
      </c>
      <c r="E116" s="241">
        <v>5</v>
      </c>
      <c r="F116" s="242" t="s">
        <v>4208</v>
      </c>
      <c r="G116" s="233">
        <v>5596</v>
      </c>
      <c r="H116" s="233">
        <v>42615541</v>
      </c>
      <c r="I116" s="233">
        <v>3443443</v>
      </c>
      <c r="J116" s="233">
        <v>3364161</v>
      </c>
      <c r="K116" s="233">
        <v>79282</v>
      </c>
      <c r="L116" s="233">
        <v>37885959</v>
      </c>
      <c r="M116" s="233">
        <v>4082911</v>
      </c>
      <c r="N116" s="233">
        <v>236902</v>
      </c>
      <c r="O116" s="233">
        <v>2537264</v>
      </c>
      <c r="P116" s="233">
        <v>9049395</v>
      </c>
      <c r="Q116" s="233">
        <v>5568</v>
      </c>
      <c r="R116" s="233">
        <v>42532221</v>
      </c>
      <c r="S116" s="233">
        <v>3435661</v>
      </c>
      <c r="T116" s="233">
        <v>3356385</v>
      </c>
      <c r="U116" s="233">
        <v>79276</v>
      </c>
      <c r="V116" s="233">
        <v>37820960</v>
      </c>
      <c r="W116" s="233">
        <v>4073127</v>
      </c>
      <c r="X116" s="233">
        <v>236471</v>
      </c>
      <c r="Y116" s="233">
        <v>2532443</v>
      </c>
      <c r="Z116" s="233">
        <v>9020859</v>
      </c>
      <c r="AA116" s="233">
        <v>28</v>
      </c>
      <c r="AB116" s="233">
        <v>83320</v>
      </c>
      <c r="AC116" s="233">
        <v>7782</v>
      </c>
      <c r="AD116" s="233">
        <v>7776</v>
      </c>
      <c r="AE116" s="233">
        <v>6</v>
      </c>
      <c r="AF116" s="233">
        <v>64999</v>
      </c>
      <c r="AG116" s="233">
        <v>9784</v>
      </c>
      <c r="AH116" s="233">
        <v>431</v>
      </c>
      <c r="AI116" s="233">
        <v>4821</v>
      </c>
      <c r="AJ116" s="233">
        <v>28535</v>
      </c>
    </row>
    <row r="117" spans="1:36">
      <c r="A117" s="240">
        <v>1</v>
      </c>
      <c r="B117" s="241" t="s">
        <v>3997</v>
      </c>
      <c r="C117" s="241" t="s">
        <v>3432</v>
      </c>
      <c r="D117" s="241" t="s">
        <v>4209</v>
      </c>
      <c r="E117" s="241">
        <v>6</v>
      </c>
      <c r="F117" s="242" t="s">
        <v>4210</v>
      </c>
      <c r="G117" s="233">
        <v>170</v>
      </c>
      <c r="H117" s="233">
        <v>296632</v>
      </c>
      <c r="I117" s="233">
        <v>32437</v>
      </c>
      <c r="J117" s="233">
        <v>31887</v>
      </c>
      <c r="K117" s="233">
        <v>550</v>
      </c>
      <c r="L117" s="233">
        <v>271768</v>
      </c>
      <c r="M117" s="233">
        <v>25579</v>
      </c>
      <c r="N117" s="233">
        <v>2111</v>
      </c>
      <c r="O117" s="233">
        <v>41268</v>
      </c>
      <c r="P117" s="233">
        <v>52555</v>
      </c>
      <c r="Q117" s="233">
        <v>167</v>
      </c>
      <c r="R117" s="233">
        <v>296042</v>
      </c>
      <c r="S117" s="233">
        <v>32432</v>
      </c>
      <c r="T117" s="233">
        <v>31887</v>
      </c>
      <c r="U117" s="233">
        <v>545</v>
      </c>
      <c r="V117" s="233">
        <v>271444</v>
      </c>
      <c r="W117" s="233">
        <v>25555</v>
      </c>
      <c r="X117" s="233">
        <v>2083</v>
      </c>
      <c r="Y117" s="233">
        <v>41268</v>
      </c>
      <c r="Z117" s="233">
        <v>52236</v>
      </c>
      <c r="AA117" s="233">
        <v>3</v>
      </c>
      <c r="AB117" s="233">
        <v>590</v>
      </c>
      <c r="AC117" s="233">
        <v>5</v>
      </c>
      <c r="AD117" s="235" t="s">
        <v>5298</v>
      </c>
      <c r="AE117" s="233">
        <v>5</v>
      </c>
      <c r="AF117" s="233">
        <v>324</v>
      </c>
      <c r="AG117" s="233">
        <v>24</v>
      </c>
      <c r="AH117" s="233">
        <v>28</v>
      </c>
      <c r="AI117" s="233">
        <v>0</v>
      </c>
      <c r="AJ117" s="233">
        <v>318</v>
      </c>
    </row>
    <row r="118" spans="1:36">
      <c r="A118" s="240">
        <v>1</v>
      </c>
      <c r="B118" s="241" t="s">
        <v>3997</v>
      </c>
      <c r="C118" s="241" t="s">
        <v>3432</v>
      </c>
      <c r="D118" s="241" t="s">
        <v>4211</v>
      </c>
      <c r="E118" s="241">
        <v>6</v>
      </c>
      <c r="F118" s="242" t="s">
        <v>4212</v>
      </c>
      <c r="G118" s="233">
        <v>862</v>
      </c>
      <c r="H118" s="233">
        <v>3824484</v>
      </c>
      <c r="I118" s="233">
        <v>401959</v>
      </c>
      <c r="J118" s="233">
        <v>375671</v>
      </c>
      <c r="K118" s="233">
        <v>26288</v>
      </c>
      <c r="L118" s="233">
        <v>3441528</v>
      </c>
      <c r="M118" s="233">
        <v>303749</v>
      </c>
      <c r="N118" s="233">
        <v>22219</v>
      </c>
      <c r="O118" s="233">
        <v>313877</v>
      </c>
      <c r="P118" s="233">
        <v>708923</v>
      </c>
      <c r="Q118" s="233">
        <v>857</v>
      </c>
      <c r="R118" s="233">
        <v>3824386</v>
      </c>
      <c r="S118" s="233">
        <v>401959</v>
      </c>
      <c r="T118" s="233">
        <v>375671</v>
      </c>
      <c r="U118" s="233">
        <v>26288</v>
      </c>
      <c r="V118" s="233">
        <v>3441450</v>
      </c>
      <c r="W118" s="233">
        <v>303718</v>
      </c>
      <c r="X118" s="233">
        <v>22215</v>
      </c>
      <c r="Y118" s="233">
        <v>313877</v>
      </c>
      <c r="Z118" s="233">
        <v>708868</v>
      </c>
      <c r="AA118" s="233">
        <v>5</v>
      </c>
      <c r="AB118" s="233">
        <v>98</v>
      </c>
      <c r="AC118" s="233">
        <v>0</v>
      </c>
      <c r="AD118" s="233">
        <v>0</v>
      </c>
      <c r="AE118" s="233">
        <v>0</v>
      </c>
      <c r="AF118" s="233">
        <v>78</v>
      </c>
      <c r="AG118" s="233">
        <v>31</v>
      </c>
      <c r="AH118" s="233">
        <v>4</v>
      </c>
      <c r="AI118" s="233">
        <v>0</v>
      </c>
      <c r="AJ118" s="233">
        <v>55</v>
      </c>
    </row>
    <row r="119" spans="1:36">
      <c r="A119" s="240">
        <v>1</v>
      </c>
      <c r="B119" s="241" t="s">
        <v>3997</v>
      </c>
      <c r="C119" s="241" t="s">
        <v>3432</v>
      </c>
      <c r="D119" s="241" t="s">
        <v>4213</v>
      </c>
      <c r="E119" s="241">
        <v>6</v>
      </c>
      <c r="F119" s="242" t="s">
        <v>4214</v>
      </c>
      <c r="G119" s="233">
        <v>685</v>
      </c>
      <c r="H119" s="233">
        <v>15097549</v>
      </c>
      <c r="I119" s="233">
        <v>1186455</v>
      </c>
      <c r="J119" s="233">
        <v>1184648</v>
      </c>
      <c r="K119" s="233">
        <v>1807</v>
      </c>
      <c r="L119" s="233">
        <v>13544577</v>
      </c>
      <c r="M119" s="233">
        <v>1314806</v>
      </c>
      <c r="N119" s="233">
        <v>72419</v>
      </c>
      <c r="O119" s="233">
        <v>760317</v>
      </c>
      <c r="P119" s="233">
        <v>2940198</v>
      </c>
      <c r="Q119" s="233">
        <v>684</v>
      </c>
      <c r="R119" s="235" t="s">
        <v>4020</v>
      </c>
      <c r="S119" s="235" t="s">
        <v>4020</v>
      </c>
      <c r="T119" s="235" t="s">
        <v>4020</v>
      </c>
      <c r="U119" s="235" t="s">
        <v>4020</v>
      </c>
      <c r="V119" s="235" t="s">
        <v>4020</v>
      </c>
      <c r="W119" s="235" t="s">
        <v>4020</v>
      </c>
      <c r="X119" s="235" t="s">
        <v>4020</v>
      </c>
      <c r="Y119" s="235" t="s">
        <v>4020</v>
      </c>
      <c r="Z119" s="235" t="s">
        <v>4020</v>
      </c>
      <c r="AA119" s="233">
        <v>1</v>
      </c>
      <c r="AB119" s="235" t="s">
        <v>4020</v>
      </c>
      <c r="AC119" s="235" t="s">
        <v>4020</v>
      </c>
      <c r="AD119" s="235" t="s">
        <v>4020</v>
      </c>
      <c r="AE119" s="235" t="s">
        <v>4020</v>
      </c>
      <c r="AF119" s="235" t="s">
        <v>4020</v>
      </c>
      <c r="AG119" s="235" t="s">
        <v>4020</v>
      </c>
      <c r="AH119" s="235" t="s">
        <v>4020</v>
      </c>
      <c r="AI119" s="235" t="s">
        <v>4020</v>
      </c>
      <c r="AJ119" s="235" t="s">
        <v>4020</v>
      </c>
    </row>
    <row r="120" spans="1:36">
      <c r="A120" s="240">
        <v>1</v>
      </c>
      <c r="B120" s="241" t="s">
        <v>3997</v>
      </c>
      <c r="C120" s="241" t="s">
        <v>3432</v>
      </c>
      <c r="D120" s="241" t="s">
        <v>4215</v>
      </c>
      <c r="E120" s="241">
        <v>6</v>
      </c>
      <c r="F120" s="242" t="s">
        <v>4216</v>
      </c>
      <c r="G120" s="233">
        <v>1029</v>
      </c>
      <c r="H120" s="233">
        <v>4161861</v>
      </c>
      <c r="I120" s="233">
        <v>261679</v>
      </c>
      <c r="J120" s="233">
        <v>249093</v>
      </c>
      <c r="K120" s="233">
        <v>12586</v>
      </c>
      <c r="L120" s="233">
        <v>3754436</v>
      </c>
      <c r="M120" s="233">
        <v>438227</v>
      </c>
      <c r="N120" s="233">
        <v>26423</v>
      </c>
      <c r="O120" s="233">
        <v>212625</v>
      </c>
      <c r="P120" s="233">
        <v>872075</v>
      </c>
      <c r="Q120" s="233">
        <v>1020</v>
      </c>
      <c r="R120" s="233">
        <v>4160001</v>
      </c>
      <c r="S120" s="233">
        <v>261026</v>
      </c>
      <c r="T120" s="233">
        <v>248440</v>
      </c>
      <c r="U120" s="233">
        <v>12586</v>
      </c>
      <c r="V120" s="233">
        <v>3752622</v>
      </c>
      <c r="W120" s="233">
        <v>438055</v>
      </c>
      <c r="X120" s="233">
        <v>26372</v>
      </c>
      <c r="Y120" s="233">
        <v>212555</v>
      </c>
      <c r="Z120" s="233">
        <v>871806</v>
      </c>
      <c r="AA120" s="233">
        <v>9</v>
      </c>
      <c r="AB120" s="233">
        <v>1860</v>
      </c>
      <c r="AC120" s="233">
        <v>653</v>
      </c>
      <c r="AD120" s="233">
        <v>653</v>
      </c>
      <c r="AE120" s="233">
        <v>0</v>
      </c>
      <c r="AF120" s="233">
        <v>1814</v>
      </c>
      <c r="AG120" s="233">
        <v>172</v>
      </c>
      <c r="AH120" s="233">
        <v>51</v>
      </c>
      <c r="AI120" s="233">
        <v>69</v>
      </c>
      <c r="AJ120" s="233">
        <v>269</v>
      </c>
    </row>
    <row r="121" spans="1:36">
      <c r="A121" s="240">
        <v>1</v>
      </c>
      <c r="B121" s="241" t="s">
        <v>3997</v>
      </c>
      <c r="C121" s="241" t="s">
        <v>3432</v>
      </c>
      <c r="D121" s="241" t="s">
        <v>4217</v>
      </c>
      <c r="E121" s="241">
        <v>6</v>
      </c>
      <c r="F121" s="242" t="s">
        <v>4218</v>
      </c>
      <c r="G121" s="233">
        <v>788</v>
      </c>
      <c r="H121" s="233">
        <v>13124153</v>
      </c>
      <c r="I121" s="233">
        <v>1098063</v>
      </c>
      <c r="J121" s="233">
        <v>1067710</v>
      </c>
      <c r="K121" s="233">
        <v>30353</v>
      </c>
      <c r="L121" s="233">
        <v>11393891</v>
      </c>
      <c r="M121" s="233">
        <v>1311950</v>
      </c>
      <c r="N121" s="233">
        <v>72322</v>
      </c>
      <c r="O121" s="233">
        <v>797445</v>
      </c>
      <c r="P121" s="233">
        <v>3114534</v>
      </c>
      <c r="Q121" s="233">
        <v>782</v>
      </c>
      <c r="R121" s="233">
        <v>13043656</v>
      </c>
      <c r="S121" s="233">
        <v>1090940</v>
      </c>
      <c r="T121" s="233">
        <v>1060587</v>
      </c>
      <c r="U121" s="233">
        <v>30353</v>
      </c>
      <c r="V121" s="233">
        <v>11331277</v>
      </c>
      <c r="W121" s="233">
        <v>1302394</v>
      </c>
      <c r="X121" s="233">
        <v>71985</v>
      </c>
      <c r="Y121" s="233">
        <v>792694</v>
      </c>
      <c r="Z121" s="233">
        <v>3086758</v>
      </c>
      <c r="AA121" s="233">
        <v>6</v>
      </c>
      <c r="AB121" s="233">
        <v>80497</v>
      </c>
      <c r="AC121" s="233">
        <v>7123</v>
      </c>
      <c r="AD121" s="233">
        <v>7123</v>
      </c>
      <c r="AE121" s="235" t="s">
        <v>5298</v>
      </c>
      <c r="AF121" s="233">
        <v>62614</v>
      </c>
      <c r="AG121" s="233">
        <v>9556</v>
      </c>
      <c r="AH121" s="233">
        <v>337</v>
      </c>
      <c r="AI121" s="233">
        <v>4752</v>
      </c>
      <c r="AJ121" s="233">
        <v>27776</v>
      </c>
    </row>
    <row r="122" spans="1:36">
      <c r="A122" s="240">
        <v>1</v>
      </c>
      <c r="B122" s="241" t="s">
        <v>3997</v>
      </c>
      <c r="C122" s="241" t="s">
        <v>3432</v>
      </c>
      <c r="D122" s="241" t="s">
        <v>4219</v>
      </c>
      <c r="E122" s="241">
        <v>6</v>
      </c>
      <c r="F122" s="242" t="s">
        <v>4220</v>
      </c>
      <c r="G122" s="233">
        <v>1028</v>
      </c>
      <c r="H122" s="233">
        <v>2140652</v>
      </c>
      <c r="I122" s="233">
        <v>59325</v>
      </c>
      <c r="J122" s="233">
        <v>52838</v>
      </c>
      <c r="K122" s="233">
        <v>6487</v>
      </c>
      <c r="L122" s="233">
        <v>1939566</v>
      </c>
      <c r="M122" s="233">
        <v>275977</v>
      </c>
      <c r="N122" s="233">
        <v>15109</v>
      </c>
      <c r="O122" s="233">
        <v>54236</v>
      </c>
      <c r="P122" s="233">
        <v>492173</v>
      </c>
      <c r="Q122" s="233">
        <v>1026</v>
      </c>
      <c r="R122" s="235" t="s">
        <v>4020</v>
      </c>
      <c r="S122" s="235" t="s">
        <v>4020</v>
      </c>
      <c r="T122" s="235" t="s">
        <v>4020</v>
      </c>
      <c r="U122" s="235" t="s">
        <v>4020</v>
      </c>
      <c r="V122" s="235" t="s">
        <v>4020</v>
      </c>
      <c r="W122" s="235" t="s">
        <v>4020</v>
      </c>
      <c r="X122" s="235" t="s">
        <v>4020</v>
      </c>
      <c r="Y122" s="235" t="s">
        <v>4020</v>
      </c>
      <c r="Z122" s="235" t="s">
        <v>4020</v>
      </c>
      <c r="AA122" s="233">
        <v>2</v>
      </c>
      <c r="AB122" s="235" t="s">
        <v>4020</v>
      </c>
      <c r="AC122" s="235" t="s">
        <v>4020</v>
      </c>
      <c r="AD122" s="235" t="s">
        <v>4020</v>
      </c>
      <c r="AE122" s="235" t="s">
        <v>4020</v>
      </c>
      <c r="AF122" s="235" t="s">
        <v>4020</v>
      </c>
      <c r="AG122" s="235" t="s">
        <v>4020</v>
      </c>
      <c r="AH122" s="235" t="s">
        <v>4020</v>
      </c>
      <c r="AI122" s="235" t="s">
        <v>4020</v>
      </c>
      <c r="AJ122" s="235" t="s">
        <v>4020</v>
      </c>
    </row>
    <row r="123" spans="1:36">
      <c r="A123" s="240">
        <v>1</v>
      </c>
      <c r="B123" s="241" t="s">
        <v>3997</v>
      </c>
      <c r="C123" s="241" t="s">
        <v>3432</v>
      </c>
      <c r="D123" s="241" t="s">
        <v>4221</v>
      </c>
      <c r="E123" s="241">
        <v>6</v>
      </c>
      <c r="F123" s="242" t="s">
        <v>4222</v>
      </c>
      <c r="G123" s="233">
        <v>1034</v>
      </c>
      <c r="H123" s="233">
        <v>3970210</v>
      </c>
      <c r="I123" s="233">
        <v>403524</v>
      </c>
      <c r="J123" s="233">
        <v>402314</v>
      </c>
      <c r="K123" s="233">
        <v>1210</v>
      </c>
      <c r="L123" s="233">
        <v>3540195</v>
      </c>
      <c r="M123" s="233">
        <v>412623</v>
      </c>
      <c r="N123" s="233">
        <v>26298</v>
      </c>
      <c r="O123" s="233">
        <v>357497</v>
      </c>
      <c r="P123" s="233">
        <v>868937</v>
      </c>
      <c r="Q123" s="233">
        <v>1032</v>
      </c>
      <c r="R123" s="235" t="s">
        <v>4020</v>
      </c>
      <c r="S123" s="235" t="s">
        <v>4020</v>
      </c>
      <c r="T123" s="235" t="s">
        <v>4020</v>
      </c>
      <c r="U123" s="235" t="s">
        <v>4020</v>
      </c>
      <c r="V123" s="235" t="s">
        <v>4020</v>
      </c>
      <c r="W123" s="235" t="s">
        <v>4020</v>
      </c>
      <c r="X123" s="235" t="s">
        <v>4020</v>
      </c>
      <c r="Y123" s="235" t="s">
        <v>4020</v>
      </c>
      <c r="Z123" s="235" t="s">
        <v>4020</v>
      </c>
      <c r="AA123" s="233">
        <v>2</v>
      </c>
      <c r="AB123" s="235" t="s">
        <v>4020</v>
      </c>
      <c r="AC123" s="235" t="s">
        <v>4020</v>
      </c>
      <c r="AD123" s="235" t="s">
        <v>4020</v>
      </c>
      <c r="AE123" s="235" t="s">
        <v>4020</v>
      </c>
      <c r="AF123" s="235" t="s">
        <v>4020</v>
      </c>
      <c r="AG123" s="235" t="s">
        <v>4020</v>
      </c>
      <c r="AH123" s="235" t="s">
        <v>4020</v>
      </c>
      <c r="AI123" s="235" t="s">
        <v>4020</v>
      </c>
      <c r="AJ123" s="235" t="s">
        <v>4020</v>
      </c>
    </row>
    <row r="124" spans="1:36">
      <c r="A124" s="240">
        <v>1</v>
      </c>
      <c r="B124" s="241" t="s">
        <v>3997</v>
      </c>
      <c r="C124" s="241" t="s">
        <v>3172</v>
      </c>
      <c r="D124" s="241" t="s">
        <v>4223</v>
      </c>
      <c r="E124" s="241">
        <v>5</v>
      </c>
      <c r="F124" s="242" t="s">
        <v>4224</v>
      </c>
      <c r="G124" s="233">
        <v>554</v>
      </c>
      <c r="H124" s="233">
        <v>19389275</v>
      </c>
      <c r="I124" s="233">
        <v>439569</v>
      </c>
      <c r="J124" s="233">
        <v>434157</v>
      </c>
      <c r="K124" s="233">
        <v>5412</v>
      </c>
      <c r="L124" s="233">
        <v>18282991</v>
      </c>
      <c r="M124" s="233">
        <v>253658</v>
      </c>
      <c r="N124" s="233">
        <v>94163</v>
      </c>
      <c r="O124" s="233">
        <v>746212</v>
      </c>
      <c r="P124" s="233">
        <v>1454105</v>
      </c>
      <c r="Q124" s="233">
        <v>529</v>
      </c>
      <c r="R124" s="233">
        <v>19370626</v>
      </c>
      <c r="S124" s="233">
        <v>438551</v>
      </c>
      <c r="T124" s="233">
        <v>433538</v>
      </c>
      <c r="U124" s="233">
        <v>5013</v>
      </c>
      <c r="V124" s="233">
        <v>18268251</v>
      </c>
      <c r="W124" s="233">
        <v>252328</v>
      </c>
      <c r="X124" s="233">
        <v>93851</v>
      </c>
      <c r="Y124" s="233">
        <v>745880</v>
      </c>
      <c r="Z124" s="233">
        <v>1448554</v>
      </c>
      <c r="AA124" s="233">
        <v>25</v>
      </c>
      <c r="AB124" s="233">
        <v>18649</v>
      </c>
      <c r="AC124" s="233">
        <v>1018</v>
      </c>
      <c r="AD124" s="233">
        <v>619</v>
      </c>
      <c r="AE124" s="233">
        <v>399</v>
      </c>
      <c r="AF124" s="233">
        <v>14741</v>
      </c>
      <c r="AG124" s="233">
        <v>1330</v>
      </c>
      <c r="AH124" s="233">
        <v>312</v>
      </c>
      <c r="AI124" s="233">
        <v>332</v>
      </c>
      <c r="AJ124" s="233">
        <v>5551</v>
      </c>
    </row>
    <row r="125" spans="1:36">
      <c r="A125" s="240">
        <v>1</v>
      </c>
      <c r="B125" s="241" t="s">
        <v>3997</v>
      </c>
      <c r="C125" s="241" t="s">
        <v>3432</v>
      </c>
      <c r="D125" s="241" t="s">
        <v>4225</v>
      </c>
      <c r="E125" s="241">
        <v>6</v>
      </c>
      <c r="F125" s="242" t="s">
        <v>4226</v>
      </c>
      <c r="G125" s="233">
        <v>28</v>
      </c>
      <c r="H125" s="233">
        <v>18416407</v>
      </c>
      <c r="I125" s="233">
        <v>361497</v>
      </c>
      <c r="J125" s="233">
        <v>361497</v>
      </c>
      <c r="K125" s="233">
        <v>0</v>
      </c>
      <c r="L125" s="233">
        <v>17404325</v>
      </c>
      <c r="M125" s="233">
        <v>184942</v>
      </c>
      <c r="N125" s="233">
        <v>84321</v>
      </c>
      <c r="O125" s="233">
        <v>678699</v>
      </c>
      <c r="P125" s="233">
        <v>1281345</v>
      </c>
      <c r="Q125" s="233">
        <v>28</v>
      </c>
      <c r="R125" s="233">
        <v>18416407</v>
      </c>
      <c r="S125" s="233">
        <v>361497</v>
      </c>
      <c r="T125" s="233">
        <v>361497</v>
      </c>
      <c r="U125" s="233">
        <v>0</v>
      </c>
      <c r="V125" s="233">
        <v>17404325</v>
      </c>
      <c r="W125" s="233">
        <v>184942</v>
      </c>
      <c r="X125" s="233">
        <v>84321</v>
      </c>
      <c r="Y125" s="233">
        <v>678699</v>
      </c>
      <c r="Z125" s="233">
        <v>1281345</v>
      </c>
      <c r="AA125" s="235" t="s">
        <v>5298</v>
      </c>
      <c r="AB125" s="235" t="s">
        <v>5298</v>
      </c>
      <c r="AC125" s="235" t="s">
        <v>5298</v>
      </c>
      <c r="AD125" s="235" t="s">
        <v>5298</v>
      </c>
      <c r="AE125" s="235" t="s">
        <v>5298</v>
      </c>
      <c r="AF125" s="235" t="s">
        <v>5298</v>
      </c>
      <c r="AG125" s="235" t="s">
        <v>5298</v>
      </c>
      <c r="AH125" s="235" t="s">
        <v>5298</v>
      </c>
      <c r="AI125" s="235" t="s">
        <v>5298</v>
      </c>
      <c r="AJ125" s="235" t="s">
        <v>5298</v>
      </c>
    </row>
    <row r="126" spans="1:36">
      <c r="A126" s="240">
        <v>1</v>
      </c>
      <c r="B126" s="241" t="s">
        <v>3997</v>
      </c>
      <c r="C126" s="241" t="s">
        <v>3432</v>
      </c>
      <c r="D126" s="241" t="s">
        <v>4227</v>
      </c>
      <c r="E126" s="241">
        <v>6</v>
      </c>
      <c r="F126" s="242" t="s">
        <v>4228</v>
      </c>
      <c r="G126" s="233">
        <v>109</v>
      </c>
      <c r="H126" s="233">
        <v>404580</v>
      </c>
      <c r="I126" s="233">
        <v>9870</v>
      </c>
      <c r="J126" s="233">
        <v>9777</v>
      </c>
      <c r="K126" s="233">
        <v>93</v>
      </c>
      <c r="L126" s="233">
        <v>381729</v>
      </c>
      <c r="M126" s="233">
        <v>28529</v>
      </c>
      <c r="N126" s="233">
        <v>2667</v>
      </c>
      <c r="O126" s="233">
        <v>11080</v>
      </c>
      <c r="P126" s="233">
        <v>54047</v>
      </c>
      <c r="Q126" s="233">
        <v>109</v>
      </c>
      <c r="R126" s="233">
        <v>404580</v>
      </c>
      <c r="S126" s="233">
        <v>9870</v>
      </c>
      <c r="T126" s="233">
        <v>9777</v>
      </c>
      <c r="U126" s="233">
        <v>93</v>
      </c>
      <c r="V126" s="233">
        <v>381729</v>
      </c>
      <c r="W126" s="233">
        <v>28529</v>
      </c>
      <c r="X126" s="233">
        <v>2667</v>
      </c>
      <c r="Y126" s="233">
        <v>11080</v>
      </c>
      <c r="Z126" s="233">
        <v>54047</v>
      </c>
      <c r="AA126" s="235" t="s">
        <v>5298</v>
      </c>
      <c r="AB126" s="235" t="s">
        <v>5298</v>
      </c>
      <c r="AC126" s="235" t="s">
        <v>5298</v>
      </c>
      <c r="AD126" s="235" t="s">
        <v>5298</v>
      </c>
      <c r="AE126" s="235" t="s">
        <v>5298</v>
      </c>
      <c r="AF126" s="235" t="s">
        <v>5298</v>
      </c>
      <c r="AG126" s="235" t="s">
        <v>5298</v>
      </c>
      <c r="AH126" s="235" t="s">
        <v>5298</v>
      </c>
      <c r="AI126" s="235" t="s">
        <v>5298</v>
      </c>
      <c r="AJ126" s="235" t="s">
        <v>5298</v>
      </c>
    </row>
    <row r="127" spans="1:36">
      <c r="A127" s="240">
        <v>1</v>
      </c>
      <c r="B127" s="241" t="s">
        <v>3997</v>
      </c>
      <c r="C127" s="241" t="s">
        <v>3432</v>
      </c>
      <c r="D127" s="241" t="s">
        <v>4229</v>
      </c>
      <c r="E127" s="241">
        <v>6</v>
      </c>
      <c r="F127" s="242" t="s">
        <v>4230</v>
      </c>
      <c r="G127" s="233">
        <v>9</v>
      </c>
      <c r="H127" s="233">
        <v>214909</v>
      </c>
      <c r="I127" s="233">
        <v>32682</v>
      </c>
      <c r="J127" s="233">
        <v>32682</v>
      </c>
      <c r="K127" s="233">
        <v>0</v>
      </c>
      <c r="L127" s="233">
        <v>199955</v>
      </c>
      <c r="M127" s="233">
        <v>5221</v>
      </c>
      <c r="N127" s="233">
        <v>1617</v>
      </c>
      <c r="O127" s="233">
        <v>29566</v>
      </c>
      <c r="P127" s="233">
        <v>21793</v>
      </c>
      <c r="Q127" s="233">
        <v>9</v>
      </c>
      <c r="R127" s="233">
        <v>214909</v>
      </c>
      <c r="S127" s="233">
        <v>32682</v>
      </c>
      <c r="T127" s="233">
        <v>32682</v>
      </c>
      <c r="U127" s="233">
        <v>0</v>
      </c>
      <c r="V127" s="233">
        <v>199955</v>
      </c>
      <c r="W127" s="233">
        <v>5221</v>
      </c>
      <c r="X127" s="233">
        <v>1617</v>
      </c>
      <c r="Y127" s="233">
        <v>29566</v>
      </c>
      <c r="Z127" s="233">
        <v>21793</v>
      </c>
      <c r="AA127" s="235" t="s">
        <v>5298</v>
      </c>
      <c r="AB127" s="235" t="s">
        <v>5298</v>
      </c>
      <c r="AC127" s="235" t="s">
        <v>5298</v>
      </c>
      <c r="AD127" s="235" t="s">
        <v>5298</v>
      </c>
      <c r="AE127" s="235" t="s">
        <v>5298</v>
      </c>
      <c r="AF127" s="235" t="s">
        <v>5298</v>
      </c>
      <c r="AG127" s="235" t="s">
        <v>5298</v>
      </c>
      <c r="AH127" s="235" t="s">
        <v>5298</v>
      </c>
      <c r="AI127" s="235" t="s">
        <v>5298</v>
      </c>
      <c r="AJ127" s="235" t="s">
        <v>5298</v>
      </c>
    </row>
    <row r="128" spans="1:36">
      <c r="A128" s="240">
        <v>1</v>
      </c>
      <c r="B128" s="241" t="s">
        <v>3997</v>
      </c>
      <c r="C128" s="241" t="s">
        <v>3432</v>
      </c>
      <c r="D128" s="241" t="s">
        <v>4231</v>
      </c>
      <c r="E128" s="241">
        <v>6</v>
      </c>
      <c r="F128" s="242" t="s">
        <v>4232</v>
      </c>
      <c r="G128" s="233">
        <v>279</v>
      </c>
      <c r="H128" s="233">
        <v>268991</v>
      </c>
      <c r="I128" s="233">
        <v>19010</v>
      </c>
      <c r="J128" s="233">
        <v>17674</v>
      </c>
      <c r="K128" s="233">
        <v>1337</v>
      </c>
      <c r="L128" s="233">
        <v>226572</v>
      </c>
      <c r="M128" s="233">
        <v>22789</v>
      </c>
      <c r="N128" s="233">
        <v>3604</v>
      </c>
      <c r="O128" s="233">
        <v>14618</v>
      </c>
      <c r="P128" s="233">
        <v>68812</v>
      </c>
      <c r="Q128" s="233">
        <v>255</v>
      </c>
      <c r="R128" s="235" t="s">
        <v>4020</v>
      </c>
      <c r="S128" s="235" t="s">
        <v>4020</v>
      </c>
      <c r="T128" s="235" t="s">
        <v>4020</v>
      </c>
      <c r="U128" s="235" t="s">
        <v>4020</v>
      </c>
      <c r="V128" s="235" t="s">
        <v>4020</v>
      </c>
      <c r="W128" s="235" t="s">
        <v>4020</v>
      </c>
      <c r="X128" s="235" t="s">
        <v>4020</v>
      </c>
      <c r="Y128" s="235" t="s">
        <v>4020</v>
      </c>
      <c r="Z128" s="235" t="s">
        <v>4020</v>
      </c>
      <c r="AA128" s="233">
        <v>24</v>
      </c>
      <c r="AB128" s="235" t="s">
        <v>4020</v>
      </c>
      <c r="AC128" s="235" t="s">
        <v>4020</v>
      </c>
      <c r="AD128" s="235" t="s">
        <v>4020</v>
      </c>
      <c r="AE128" s="235" t="s">
        <v>4020</v>
      </c>
      <c r="AF128" s="235" t="s">
        <v>4020</v>
      </c>
      <c r="AG128" s="235" t="s">
        <v>4020</v>
      </c>
      <c r="AH128" s="235" t="s">
        <v>4020</v>
      </c>
      <c r="AI128" s="235" t="s">
        <v>4020</v>
      </c>
      <c r="AJ128" s="235" t="s">
        <v>4020</v>
      </c>
    </row>
    <row r="129" spans="1:36">
      <c r="A129" s="240">
        <v>1</v>
      </c>
      <c r="B129" s="241" t="s">
        <v>3997</v>
      </c>
      <c r="C129" s="241" t="s">
        <v>3432</v>
      </c>
      <c r="D129" s="241" t="s">
        <v>4233</v>
      </c>
      <c r="E129" s="241">
        <v>6</v>
      </c>
      <c r="F129" s="242" t="s">
        <v>4234</v>
      </c>
      <c r="G129" s="233">
        <v>129</v>
      </c>
      <c r="H129" s="233">
        <v>84388</v>
      </c>
      <c r="I129" s="233">
        <v>16510</v>
      </c>
      <c r="J129" s="233">
        <v>12528</v>
      </c>
      <c r="K129" s="233">
        <v>3983</v>
      </c>
      <c r="L129" s="233">
        <v>70411</v>
      </c>
      <c r="M129" s="233">
        <v>12176</v>
      </c>
      <c r="N129" s="233">
        <v>1954</v>
      </c>
      <c r="O129" s="233">
        <v>12249</v>
      </c>
      <c r="P129" s="233">
        <v>28108</v>
      </c>
      <c r="Q129" s="233">
        <v>128</v>
      </c>
      <c r="R129" s="235" t="s">
        <v>4020</v>
      </c>
      <c r="S129" s="235" t="s">
        <v>4020</v>
      </c>
      <c r="T129" s="235" t="s">
        <v>4020</v>
      </c>
      <c r="U129" s="235" t="s">
        <v>4020</v>
      </c>
      <c r="V129" s="235" t="s">
        <v>4020</v>
      </c>
      <c r="W129" s="235" t="s">
        <v>4020</v>
      </c>
      <c r="X129" s="235" t="s">
        <v>4020</v>
      </c>
      <c r="Y129" s="235" t="s">
        <v>4020</v>
      </c>
      <c r="Z129" s="235" t="s">
        <v>4020</v>
      </c>
      <c r="AA129" s="233">
        <v>1</v>
      </c>
      <c r="AB129" s="235" t="s">
        <v>4020</v>
      </c>
      <c r="AC129" s="235" t="s">
        <v>4020</v>
      </c>
      <c r="AD129" s="235" t="s">
        <v>4020</v>
      </c>
      <c r="AE129" s="235" t="s">
        <v>4020</v>
      </c>
      <c r="AF129" s="235" t="s">
        <v>4020</v>
      </c>
      <c r="AG129" s="235" t="s">
        <v>4020</v>
      </c>
      <c r="AH129" s="235" t="s">
        <v>4020</v>
      </c>
      <c r="AI129" s="235" t="s">
        <v>4020</v>
      </c>
      <c r="AJ129" s="235" t="s">
        <v>4020</v>
      </c>
    </row>
    <row r="130" spans="1:36">
      <c r="A130" s="240">
        <v>1</v>
      </c>
      <c r="B130" s="241" t="s">
        <v>3997</v>
      </c>
      <c r="C130" s="241" t="s">
        <v>3172</v>
      </c>
      <c r="D130" s="241" t="s">
        <v>4235</v>
      </c>
      <c r="E130" s="241">
        <v>5</v>
      </c>
      <c r="F130" s="242" t="s">
        <v>4236</v>
      </c>
      <c r="G130" s="233">
        <v>13669</v>
      </c>
      <c r="H130" s="233">
        <v>15874537</v>
      </c>
      <c r="I130" s="233">
        <v>1203383</v>
      </c>
      <c r="J130" s="233">
        <v>1187950</v>
      </c>
      <c r="K130" s="233">
        <v>15433</v>
      </c>
      <c r="L130" s="233">
        <v>14453576</v>
      </c>
      <c r="M130" s="233">
        <v>2139186</v>
      </c>
      <c r="N130" s="233">
        <v>163487</v>
      </c>
      <c r="O130" s="233">
        <v>779796</v>
      </c>
      <c r="P130" s="233">
        <v>3723635</v>
      </c>
      <c r="Q130" s="233">
        <v>13651</v>
      </c>
      <c r="R130" s="233">
        <v>15873819</v>
      </c>
      <c r="S130" s="233">
        <v>1203326</v>
      </c>
      <c r="T130" s="233">
        <v>1187950</v>
      </c>
      <c r="U130" s="233">
        <v>15376</v>
      </c>
      <c r="V130" s="233">
        <v>14452913</v>
      </c>
      <c r="W130" s="233">
        <v>2138909</v>
      </c>
      <c r="X130" s="233">
        <v>163468</v>
      </c>
      <c r="Y130" s="233">
        <v>779796</v>
      </c>
      <c r="Z130" s="233">
        <v>3723283</v>
      </c>
      <c r="AA130" s="233">
        <v>18</v>
      </c>
      <c r="AB130" s="233">
        <v>718</v>
      </c>
      <c r="AC130" s="233">
        <v>57</v>
      </c>
      <c r="AD130" s="233">
        <v>0</v>
      </c>
      <c r="AE130" s="233">
        <v>57</v>
      </c>
      <c r="AF130" s="233">
        <v>663</v>
      </c>
      <c r="AG130" s="233">
        <v>278</v>
      </c>
      <c r="AH130" s="233">
        <v>19</v>
      </c>
      <c r="AI130" s="233">
        <v>0</v>
      </c>
      <c r="AJ130" s="233">
        <v>352</v>
      </c>
    </row>
    <row r="131" spans="1:36">
      <c r="A131" s="240">
        <v>1</v>
      </c>
      <c r="B131" s="241" t="s">
        <v>3997</v>
      </c>
      <c r="C131" s="241" t="s">
        <v>3432</v>
      </c>
      <c r="D131" s="241" t="s">
        <v>4237</v>
      </c>
      <c r="E131" s="241">
        <v>6</v>
      </c>
      <c r="F131" s="242" t="s">
        <v>4238</v>
      </c>
      <c r="G131" s="233">
        <v>1175</v>
      </c>
      <c r="H131" s="233">
        <v>1564096</v>
      </c>
      <c r="I131" s="233">
        <v>34777</v>
      </c>
      <c r="J131" s="233">
        <v>34294</v>
      </c>
      <c r="K131" s="233">
        <v>483</v>
      </c>
      <c r="L131" s="233">
        <v>1434984</v>
      </c>
      <c r="M131" s="233">
        <v>218598</v>
      </c>
      <c r="N131" s="233">
        <v>12678</v>
      </c>
      <c r="O131" s="233">
        <v>30384</v>
      </c>
      <c r="P131" s="233">
        <v>360387</v>
      </c>
      <c r="Q131" s="233">
        <v>1174</v>
      </c>
      <c r="R131" s="235" t="s">
        <v>4020</v>
      </c>
      <c r="S131" s="235" t="s">
        <v>4020</v>
      </c>
      <c r="T131" s="235" t="s">
        <v>4020</v>
      </c>
      <c r="U131" s="235" t="s">
        <v>4020</v>
      </c>
      <c r="V131" s="235" t="s">
        <v>4020</v>
      </c>
      <c r="W131" s="235" t="s">
        <v>4020</v>
      </c>
      <c r="X131" s="235" t="s">
        <v>4020</v>
      </c>
      <c r="Y131" s="235" t="s">
        <v>4020</v>
      </c>
      <c r="Z131" s="235" t="s">
        <v>4020</v>
      </c>
      <c r="AA131" s="233">
        <v>1</v>
      </c>
      <c r="AB131" s="235" t="s">
        <v>4020</v>
      </c>
      <c r="AC131" s="235" t="s">
        <v>4020</v>
      </c>
      <c r="AD131" s="235" t="s">
        <v>4020</v>
      </c>
      <c r="AE131" s="235" t="s">
        <v>4020</v>
      </c>
      <c r="AF131" s="235" t="s">
        <v>4020</v>
      </c>
      <c r="AG131" s="235" t="s">
        <v>4020</v>
      </c>
      <c r="AH131" s="235" t="s">
        <v>4020</v>
      </c>
      <c r="AI131" s="235" t="s">
        <v>4020</v>
      </c>
      <c r="AJ131" s="235" t="s">
        <v>4020</v>
      </c>
    </row>
    <row r="132" spans="1:36">
      <c r="A132" s="240">
        <v>1</v>
      </c>
      <c r="B132" s="241" t="s">
        <v>3997</v>
      </c>
      <c r="C132" s="241" t="s">
        <v>3432</v>
      </c>
      <c r="D132" s="241" t="s">
        <v>4239</v>
      </c>
      <c r="E132" s="241">
        <v>6</v>
      </c>
      <c r="F132" s="242" t="s">
        <v>4240</v>
      </c>
      <c r="G132" s="233">
        <v>1937</v>
      </c>
      <c r="H132" s="233">
        <v>4649763</v>
      </c>
      <c r="I132" s="233">
        <v>243091</v>
      </c>
      <c r="J132" s="233">
        <v>239299</v>
      </c>
      <c r="K132" s="233">
        <v>3792</v>
      </c>
      <c r="L132" s="233">
        <v>4185833</v>
      </c>
      <c r="M132" s="233">
        <v>544428</v>
      </c>
      <c r="N132" s="233">
        <v>34981</v>
      </c>
      <c r="O132" s="233">
        <v>212078</v>
      </c>
      <c r="P132" s="233">
        <v>1043338</v>
      </c>
      <c r="Q132" s="233">
        <v>1937</v>
      </c>
      <c r="R132" s="233">
        <v>4649763</v>
      </c>
      <c r="S132" s="233">
        <v>243091</v>
      </c>
      <c r="T132" s="233">
        <v>239299</v>
      </c>
      <c r="U132" s="233">
        <v>3792</v>
      </c>
      <c r="V132" s="233">
        <v>4185833</v>
      </c>
      <c r="W132" s="233">
        <v>544428</v>
      </c>
      <c r="X132" s="233">
        <v>34981</v>
      </c>
      <c r="Y132" s="233">
        <v>212078</v>
      </c>
      <c r="Z132" s="233">
        <v>1043338</v>
      </c>
      <c r="AA132" s="235" t="s">
        <v>5298</v>
      </c>
      <c r="AB132" s="235" t="s">
        <v>5298</v>
      </c>
      <c r="AC132" s="235" t="s">
        <v>5298</v>
      </c>
      <c r="AD132" s="235" t="s">
        <v>5298</v>
      </c>
      <c r="AE132" s="235" t="s">
        <v>5298</v>
      </c>
      <c r="AF132" s="235" t="s">
        <v>5298</v>
      </c>
      <c r="AG132" s="235" t="s">
        <v>5298</v>
      </c>
      <c r="AH132" s="235" t="s">
        <v>5298</v>
      </c>
      <c r="AI132" s="235" t="s">
        <v>5298</v>
      </c>
      <c r="AJ132" s="235" t="s">
        <v>5298</v>
      </c>
    </row>
    <row r="133" spans="1:36">
      <c r="A133" s="240">
        <v>1</v>
      </c>
      <c r="B133" s="241" t="s">
        <v>3997</v>
      </c>
      <c r="C133" s="241" t="s">
        <v>3432</v>
      </c>
      <c r="D133" s="241" t="s">
        <v>4241</v>
      </c>
      <c r="E133" s="241">
        <v>6</v>
      </c>
      <c r="F133" s="242" t="s">
        <v>4242</v>
      </c>
      <c r="G133" s="233">
        <v>4697</v>
      </c>
      <c r="H133" s="233">
        <v>4553258</v>
      </c>
      <c r="I133" s="233">
        <v>524204</v>
      </c>
      <c r="J133" s="233">
        <v>520835</v>
      </c>
      <c r="K133" s="233">
        <v>3369</v>
      </c>
      <c r="L133" s="233">
        <v>4215621</v>
      </c>
      <c r="M133" s="233">
        <v>666373</v>
      </c>
      <c r="N133" s="233">
        <v>53572</v>
      </c>
      <c r="O133" s="233">
        <v>207815</v>
      </c>
      <c r="P133" s="233">
        <v>1057581</v>
      </c>
      <c r="Q133" s="233">
        <v>4696</v>
      </c>
      <c r="R133" s="235" t="s">
        <v>4020</v>
      </c>
      <c r="S133" s="235" t="s">
        <v>4020</v>
      </c>
      <c r="T133" s="235" t="s">
        <v>4020</v>
      </c>
      <c r="U133" s="235" t="s">
        <v>4020</v>
      </c>
      <c r="V133" s="235" t="s">
        <v>4020</v>
      </c>
      <c r="W133" s="235" t="s">
        <v>4020</v>
      </c>
      <c r="X133" s="235" t="s">
        <v>4020</v>
      </c>
      <c r="Y133" s="235" t="s">
        <v>4020</v>
      </c>
      <c r="Z133" s="235" t="s">
        <v>4020</v>
      </c>
      <c r="AA133" s="233">
        <v>1</v>
      </c>
      <c r="AB133" s="235" t="s">
        <v>4020</v>
      </c>
      <c r="AC133" s="235" t="s">
        <v>4020</v>
      </c>
      <c r="AD133" s="235" t="s">
        <v>4020</v>
      </c>
      <c r="AE133" s="235" t="s">
        <v>4020</v>
      </c>
      <c r="AF133" s="235" t="s">
        <v>4020</v>
      </c>
      <c r="AG133" s="235" t="s">
        <v>4020</v>
      </c>
      <c r="AH133" s="235" t="s">
        <v>4020</v>
      </c>
      <c r="AI133" s="235" t="s">
        <v>4020</v>
      </c>
      <c r="AJ133" s="235" t="s">
        <v>4020</v>
      </c>
    </row>
    <row r="134" spans="1:36">
      <c r="A134" s="240">
        <v>1</v>
      </c>
      <c r="B134" s="241" t="s">
        <v>3997</v>
      </c>
      <c r="C134" s="241" t="s">
        <v>3432</v>
      </c>
      <c r="D134" s="241" t="s">
        <v>4243</v>
      </c>
      <c r="E134" s="241">
        <v>6</v>
      </c>
      <c r="F134" s="242" t="s">
        <v>4244</v>
      </c>
      <c r="G134" s="233">
        <v>1327</v>
      </c>
      <c r="H134" s="233">
        <v>1148545</v>
      </c>
      <c r="I134" s="233">
        <v>109838</v>
      </c>
      <c r="J134" s="233">
        <v>107378</v>
      </c>
      <c r="K134" s="233">
        <v>2460</v>
      </c>
      <c r="L134" s="233">
        <v>1051344</v>
      </c>
      <c r="M134" s="233">
        <v>151933</v>
      </c>
      <c r="N134" s="233">
        <v>12624</v>
      </c>
      <c r="O134" s="233">
        <v>84469</v>
      </c>
      <c r="P134" s="233">
        <v>261758</v>
      </c>
      <c r="Q134" s="233">
        <v>1326</v>
      </c>
      <c r="R134" s="235" t="s">
        <v>4020</v>
      </c>
      <c r="S134" s="235" t="s">
        <v>4020</v>
      </c>
      <c r="T134" s="235" t="s">
        <v>4020</v>
      </c>
      <c r="U134" s="235" t="s">
        <v>4020</v>
      </c>
      <c r="V134" s="235" t="s">
        <v>4020</v>
      </c>
      <c r="W134" s="235" t="s">
        <v>4020</v>
      </c>
      <c r="X134" s="235" t="s">
        <v>4020</v>
      </c>
      <c r="Y134" s="235" t="s">
        <v>4020</v>
      </c>
      <c r="Z134" s="235" t="s">
        <v>4020</v>
      </c>
      <c r="AA134" s="233">
        <v>1</v>
      </c>
      <c r="AB134" s="235" t="s">
        <v>4020</v>
      </c>
      <c r="AC134" s="235" t="s">
        <v>4020</v>
      </c>
      <c r="AD134" s="235" t="s">
        <v>4020</v>
      </c>
      <c r="AE134" s="235" t="s">
        <v>4020</v>
      </c>
      <c r="AF134" s="235" t="s">
        <v>4020</v>
      </c>
      <c r="AG134" s="235" t="s">
        <v>4020</v>
      </c>
      <c r="AH134" s="235" t="s">
        <v>4020</v>
      </c>
      <c r="AI134" s="235" t="s">
        <v>4020</v>
      </c>
      <c r="AJ134" s="235" t="s">
        <v>4020</v>
      </c>
    </row>
    <row r="135" spans="1:36">
      <c r="A135" s="240">
        <v>1</v>
      </c>
      <c r="B135" s="241" t="s">
        <v>3997</v>
      </c>
      <c r="C135" s="241" t="s">
        <v>3432</v>
      </c>
      <c r="D135" s="241" t="s">
        <v>4245</v>
      </c>
      <c r="E135" s="241">
        <v>6</v>
      </c>
      <c r="F135" s="242" t="s">
        <v>4246</v>
      </c>
      <c r="G135" s="233">
        <v>872</v>
      </c>
      <c r="H135" s="233">
        <v>720943</v>
      </c>
      <c r="I135" s="233">
        <v>41212</v>
      </c>
      <c r="J135" s="233">
        <v>40632</v>
      </c>
      <c r="K135" s="233">
        <v>580</v>
      </c>
      <c r="L135" s="233">
        <v>638860</v>
      </c>
      <c r="M135" s="233">
        <v>91075</v>
      </c>
      <c r="N135" s="233">
        <v>8442</v>
      </c>
      <c r="O135" s="233">
        <v>54482</v>
      </c>
      <c r="P135" s="233">
        <v>181600</v>
      </c>
      <c r="Q135" s="233">
        <v>865</v>
      </c>
      <c r="R135" s="233">
        <v>720458</v>
      </c>
      <c r="S135" s="233">
        <v>41156</v>
      </c>
      <c r="T135" s="233">
        <v>40632</v>
      </c>
      <c r="U135" s="233">
        <v>524</v>
      </c>
      <c r="V135" s="233">
        <v>638443</v>
      </c>
      <c r="W135" s="233">
        <v>90964</v>
      </c>
      <c r="X135" s="233">
        <v>8432</v>
      </c>
      <c r="Y135" s="233">
        <v>54482</v>
      </c>
      <c r="Z135" s="233">
        <v>181411</v>
      </c>
      <c r="AA135" s="233">
        <v>7</v>
      </c>
      <c r="AB135" s="233">
        <v>485</v>
      </c>
      <c r="AC135" s="233">
        <v>57</v>
      </c>
      <c r="AD135" s="233">
        <v>0</v>
      </c>
      <c r="AE135" s="233">
        <v>57</v>
      </c>
      <c r="AF135" s="233">
        <v>417</v>
      </c>
      <c r="AG135" s="233">
        <v>110</v>
      </c>
      <c r="AH135" s="233">
        <v>10</v>
      </c>
      <c r="AI135" s="233">
        <v>0</v>
      </c>
      <c r="AJ135" s="233">
        <v>189</v>
      </c>
    </row>
    <row r="136" spans="1:36">
      <c r="A136" s="240">
        <v>1</v>
      </c>
      <c r="B136" s="241" t="s">
        <v>3997</v>
      </c>
      <c r="C136" s="241" t="s">
        <v>3432</v>
      </c>
      <c r="D136" s="241" t="s">
        <v>4247</v>
      </c>
      <c r="E136" s="241">
        <v>6</v>
      </c>
      <c r="F136" s="242" t="s">
        <v>4248</v>
      </c>
      <c r="G136" s="233">
        <v>3661</v>
      </c>
      <c r="H136" s="233">
        <v>3237933</v>
      </c>
      <c r="I136" s="233">
        <v>250261</v>
      </c>
      <c r="J136" s="233">
        <v>245513</v>
      </c>
      <c r="K136" s="233">
        <v>4748</v>
      </c>
      <c r="L136" s="233">
        <v>2926934</v>
      </c>
      <c r="M136" s="233">
        <v>466780</v>
      </c>
      <c r="N136" s="233">
        <v>41190</v>
      </c>
      <c r="O136" s="233">
        <v>190569</v>
      </c>
      <c r="P136" s="233">
        <v>818970</v>
      </c>
      <c r="Q136" s="233">
        <v>3653</v>
      </c>
      <c r="R136" s="233">
        <v>3237773</v>
      </c>
      <c r="S136" s="233">
        <v>250261</v>
      </c>
      <c r="T136" s="233">
        <v>245513</v>
      </c>
      <c r="U136" s="233">
        <v>4748</v>
      </c>
      <c r="V136" s="233">
        <v>2926747</v>
      </c>
      <c r="W136" s="233">
        <v>466640</v>
      </c>
      <c r="X136" s="233">
        <v>41185</v>
      </c>
      <c r="Y136" s="233">
        <v>190569</v>
      </c>
      <c r="Z136" s="233">
        <v>818851</v>
      </c>
      <c r="AA136" s="233">
        <v>8</v>
      </c>
      <c r="AB136" s="233">
        <v>160</v>
      </c>
      <c r="AC136" s="233">
        <v>0</v>
      </c>
      <c r="AD136" s="233">
        <v>0</v>
      </c>
      <c r="AE136" s="233">
        <v>0</v>
      </c>
      <c r="AF136" s="233">
        <v>187</v>
      </c>
      <c r="AG136" s="233">
        <v>140</v>
      </c>
      <c r="AH136" s="233">
        <v>6</v>
      </c>
      <c r="AI136" s="233">
        <v>0</v>
      </c>
      <c r="AJ136" s="233">
        <v>119</v>
      </c>
    </row>
    <row r="137" spans="1:36">
      <c r="A137" s="240">
        <v>1</v>
      </c>
      <c r="B137" s="241" t="s">
        <v>3997</v>
      </c>
      <c r="C137" s="241" t="s">
        <v>3172</v>
      </c>
      <c r="D137" s="241" t="s">
        <v>4249</v>
      </c>
      <c r="E137" s="241">
        <v>5</v>
      </c>
      <c r="F137" s="242" t="s">
        <v>4250</v>
      </c>
      <c r="G137" s="233">
        <v>2665</v>
      </c>
      <c r="H137" s="233">
        <v>4914891</v>
      </c>
      <c r="I137" s="233">
        <v>278403</v>
      </c>
      <c r="J137" s="233">
        <v>269975</v>
      </c>
      <c r="K137" s="233">
        <v>8428</v>
      </c>
      <c r="L137" s="233">
        <v>4511518</v>
      </c>
      <c r="M137" s="233">
        <v>694232</v>
      </c>
      <c r="N137" s="233">
        <v>36105</v>
      </c>
      <c r="O137" s="233">
        <v>142677</v>
      </c>
      <c r="P137" s="233">
        <v>1133710</v>
      </c>
      <c r="Q137" s="233">
        <v>2661</v>
      </c>
      <c r="R137" s="233">
        <v>4914601</v>
      </c>
      <c r="S137" s="233">
        <v>278403</v>
      </c>
      <c r="T137" s="233">
        <v>269975</v>
      </c>
      <c r="U137" s="233">
        <v>8428</v>
      </c>
      <c r="V137" s="233">
        <v>4511350</v>
      </c>
      <c r="W137" s="233">
        <v>694177</v>
      </c>
      <c r="X137" s="233">
        <v>36087</v>
      </c>
      <c r="Y137" s="233">
        <v>142677</v>
      </c>
      <c r="Z137" s="233">
        <v>1133515</v>
      </c>
      <c r="AA137" s="233">
        <v>4</v>
      </c>
      <c r="AB137" s="233">
        <v>290</v>
      </c>
      <c r="AC137" s="233">
        <v>0</v>
      </c>
      <c r="AD137" s="233">
        <v>0</v>
      </c>
      <c r="AE137" s="233">
        <v>0</v>
      </c>
      <c r="AF137" s="233">
        <v>168</v>
      </c>
      <c r="AG137" s="233">
        <v>55</v>
      </c>
      <c r="AH137" s="233">
        <v>18</v>
      </c>
      <c r="AI137" s="233">
        <v>0</v>
      </c>
      <c r="AJ137" s="233">
        <v>195</v>
      </c>
    </row>
    <row r="138" spans="1:36">
      <c r="A138" s="240">
        <v>1</v>
      </c>
      <c r="B138" s="241" t="s">
        <v>3997</v>
      </c>
      <c r="C138" s="241" t="s">
        <v>3432</v>
      </c>
      <c r="D138" s="241" t="s">
        <v>4251</v>
      </c>
      <c r="E138" s="241">
        <v>6</v>
      </c>
      <c r="F138" s="242" t="s">
        <v>4252</v>
      </c>
      <c r="G138" s="233">
        <v>47</v>
      </c>
      <c r="H138" s="233">
        <v>2157413</v>
      </c>
      <c r="I138" s="233">
        <v>99097</v>
      </c>
      <c r="J138" s="233">
        <v>99095</v>
      </c>
      <c r="K138" s="233">
        <v>2</v>
      </c>
      <c r="L138" s="233">
        <v>1973545</v>
      </c>
      <c r="M138" s="233">
        <v>226157</v>
      </c>
      <c r="N138" s="233">
        <v>8136</v>
      </c>
      <c r="O138" s="233">
        <v>2103</v>
      </c>
      <c r="P138" s="233">
        <v>418161</v>
      </c>
      <c r="Q138" s="233">
        <v>47</v>
      </c>
      <c r="R138" s="233">
        <v>2157413</v>
      </c>
      <c r="S138" s="233">
        <v>99097</v>
      </c>
      <c r="T138" s="233">
        <v>99095</v>
      </c>
      <c r="U138" s="233">
        <v>2</v>
      </c>
      <c r="V138" s="233">
        <v>1973545</v>
      </c>
      <c r="W138" s="233">
        <v>226157</v>
      </c>
      <c r="X138" s="233">
        <v>8136</v>
      </c>
      <c r="Y138" s="233">
        <v>2103</v>
      </c>
      <c r="Z138" s="233">
        <v>418161</v>
      </c>
      <c r="AA138" s="235" t="s">
        <v>5298</v>
      </c>
      <c r="AB138" s="235" t="s">
        <v>5298</v>
      </c>
      <c r="AC138" s="235" t="s">
        <v>5298</v>
      </c>
      <c r="AD138" s="235" t="s">
        <v>5298</v>
      </c>
      <c r="AE138" s="235" t="s">
        <v>5298</v>
      </c>
      <c r="AF138" s="235" t="s">
        <v>5298</v>
      </c>
      <c r="AG138" s="235" t="s">
        <v>5298</v>
      </c>
      <c r="AH138" s="235" t="s">
        <v>5298</v>
      </c>
      <c r="AI138" s="235" t="s">
        <v>5298</v>
      </c>
      <c r="AJ138" s="235" t="s">
        <v>5298</v>
      </c>
    </row>
    <row r="139" spans="1:36">
      <c r="A139" s="240">
        <v>1</v>
      </c>
      <c r="B139" s="241" t="s">
        <v>3997</v>
      </c>
      <c r="C139" s="241" t="s">
        <v>3432</v>
      </c>
      <c r="D139" s="241" t="s">
        <v>4253</v>
      </c>
      <c r="E139" s="241">
        <v>6</v>
      </c>
      <c r="F139" s="242" t="s">
        <v>4254</v>
      </c>
      <c r="G139" s="233">
        <v>178</v>
      </c>
      <c r="H139" s="233">
        <v>167235</v>
      </c>
      <c r="I139" s="233">
        <v>13943</v>
      </c>
      <c r="J139" s="233">
        <v>13492</v>
      </c>
      <c r="K139" s="233">
        <v>450</v>
      </c>
      <c r="L139" s="233">
        <v>163279</v>
      </c>
      <c r="M139" s="233">
        <v>24439</v>
      </c>
      <c r="N139" s="233">
        <v>1489</v>
      </c>
      <c r="O139" s="233">
        <v>10885</v>
      </c>
      <c r="P139" s="233">
        <v>29883</v>
      </c>
      <c r="Q139" s="233">
        <v>175</v>
      </c>
      <c r="R139" s="235" t="s">
        <v>4020</v>
      </c>
      <c r="S139" s="235" t="s">
        <v>4020</v>
      </c>
      <c r="T139" s="235" t="s">
        <v>4020</v>
      </c>
      <c r="U139" s="235" t="s">
        <v>4020</v>
      </c>
      <c r="V139" s="235" t="s">
        <v>4020</v>
      </c>
      <c r="W139" s="235" t="s">
        <v>4020</v>
      </c>
      <c r="X139" s="235" t="s">
        <v>4020</v>
      </c>
      <c r="Y139" s="235" t="s">
        <v>4020</v>
      </c>
      <c r="Z139" s="235" t="s">
        <v>4020</v>
      </c>
      <c r="AA139" s="233">
        <v>3</v>
      </c>
      <c r="AB139" s="235" t="s">
        <v>4020</v>
      </c>
      <c r="AC139" s="235" t="s">
        <v>4020</v>
      </c>
      <c r="AD139" s="235" t="s">
        <v>4020</v>
      </c>
      <c r="AE139" s="235" t="s">
        <v>4020</v>
      </c>
      <c r="AF139" s="235" t="s">
        <v>4020</v>
      </c>
      <c r="AG139" s="235" t="s">
        <v>4020</v>
      </c>
      <c r="AH139" s="235" t="s">
        <v>4020</v>
      </c>
      <c r="AI139" s="235" t="s">
        <v>4020</v>
      </c>
      <c r="AJ139" s="235" t="s">
        <v>4020</v>
      </c>
    </row>
    <row r="140" spans="1:36">
      <c r="A140" s="240">
        <v>1</v>
      </c>
      <c r="B140" s="241" t="s">
        <v>3997</v>
      </c>
      <c r="C140" s="241" t="s">
        <v>3432</v>
      </c>
      <c r="D140" s="241" t="s">
        <v>4255</v>
      </c>
      <c r="E140" s="241">
        <v>6</v>
      </c>
      <c r="F140" s="242" t="s">
        <v>4256</v>
      </c>
      <c r="G140" s="233">
        <v>2000</v>
      </c>
      <c r="H140" s="233">
        <v>2316126</v>
      </c>
      <c r="I140" s="233">
        <v>140167</v>
      </c>
      <c r="J140" s="233">
        <v>132855</v>
      </c>
      <c r="K140" s="233">
        <v>7312</v>
      </c>
      <c r="L140" s="233">
        <v>2137690</v>
      </c>
      <c r="M140" s="233">
        <v>394139</v>
      </c>
      <c r="N140" s="233">
        <v>23208</v>
      </c>
      <c r="O140" s="233">
        <v>109939</v>
      </c>
      <c r="P140" s="233">
        <v>595783</v>
      </c>
      <c r="Q140" s="233">
        <v>2000</v>
      </c>
      <c r="R140" s="233">
        <v>2316126</v>
      </c>
      <c r="S140" s="233">
        <v>140167</v>
      </c>
      <c r="T140" s="233">
        <v>132855</v>
      </c>
      <c r="U140" s="233">
        <v>7312</v>
      </c>
      <c r="V140" s="233">
        <v>2137690</v>
      </c>
      <c r="W140" s="233">
        <v>394139</v>
      </c>
      <c r="X140" s="233">
        <v>23208</v>
      </c>
      <c r="Y140" s="233">
        <v>109939</v>
      </c>
      <c r="Z140" s="233">
        <v>595783</v>
      </c>
      <c r="AA140" s="235" t="s">
        <v>5298</v>
      </c>
      <c r="AB140" s="235" t="s">
        <v>5298</v>
      </c>
      <c r="AC140" s="235" t="s">
        <v>5298</v>
      </c>
      <c r="AD140" s="235" t="s">
        <v>5298</v>
      </c>
      <c r="AE140" s="235" t="s">
        <v>5298</v>
      </c>
      <c r="AF140" s="235" t="s">
        <v>5298</v>
      </c>
      <c r="AG140" s="235" t="s">
        <v>5298</v>
      </c>
      <c r="AH140" s="235" t="s">
        <v>5298</v>
      </c>
      <c r="AI140" s="235" t="s">
        <v>5298</v>
      </c>
      <c r="AJ140" s="235" t="s">
        <v>5298</v>
      </c>
    </row>
    <row r="141" spans="1:36">
      <c r="A141" s="240">
        <v>1</v>
      </c>
      <c r="B141" s="241" t="s">
        <v>3997</v>
      </c>
      <c r="C141" s="241" t="s">
        <v>3432</v>
      </c>
      <c r="D141" s="241" t="s">
        <v>4257</v>
      </c>
      <c r="E141" s="241">
        <v>6</v>
      </c>
      <c r="F141" s="242" t="s">
        <v>4258</v>
      </c>
      <c r="G141" s="233">
        <v>440</v>
      </c>
      <c r="H141" s="233">
        <v>274117</v>
      </c>
      <c r="I141" s="233">
        <v>25196</v>
      </c>
      <c r="J141" s="233">
        <v>24533</v>
      </c>
      <c r="K141" s="233">
        <v>663</v>
      </c>
      <c r="L141" s="233">
        <v>237004</v>
      </c>
      <c r="M141" s="233">
        <v>49496</v>
      </c>
      <c r="N141" s="233">
        <v>3272</v>
      </c>
      <c r="O141" s="233">
        <v>19750</v>
      </c>
      <c r="P141" s="233">
        <v>89882</v>
      </c>
      <c r="Q141" s="233">
        <v>439</v>
      </c>
      <c r="R141" s="235" t="s">
        <v>4020</v>
      </c>
      <c r="S141" s="235" t="s">
        <v>4020</v>
      </c>
      <c r="T141" s="235" t="s">
        <v>4020</v>
      </c>
      <c r="U141" s="235" t="s">
        <v>4020</v>
      </c>
      <c r="V141" s="235" t="s">
        <v>4020</v>
      </c>
      <c r="W141" s="235" t="s">
        <v>4020</v>
      </c>
      <c r="X141" s="235" t="s">
        <v>4020</v>
      </c>
      <c r="Y141" s="235" t="s">
        <v>4020</v>
      </c>
      <c r="Z141" s="235" t="s">
        <v>4020</v>
      </c>
      <c r="AA141" s="233">
        <v>1</v>
      </c>
      <c r="AB141" s="235" t="s">
        <v>4020</v>
      </c>
      <c r="AC141" s="235" t="s">
        <v>4020</v>
      </c>
      <c r="AD141" s="235" t="s">
        <v>4020</v>
      </c>
      <c r="AE141" s="235" t="s">
        <v>4020</v>
      </c>
      <c r="AF141" s="235" t="s">
        <v>4020</v>
      </c>
      <c r="AG141" s="235" t="s">
        <v>4020</v>
      </c>
      <c r="AH141" s="235" t="s">
        <v>4020</v>
      </c>
      <c r="AI141" s="235" t="s">
        <v>4020</v>
      </c>
      <c r="AJ141" s="235" t="s">
        <v>4020</v>
      </c>
    </row>
    <row r="142" spans="1:36">
      <c r="A142" s="240">
        <v>1</v>
      </c>
      <c r="B142" s="241" t="s">
        <v>3997</v>
      </c>
      <c r="C142" s="241" t="s">
        <v>3172</v>
      </c>
      <c r="D142" s="241" t="s">
        <v>4259</v>
      </c>
      <c r="E142" s="241">
        <v>5</v>
      </c>
      <c r="F142" s="242" t="s">
        <v>4260</v>
      </c>
      <c r="G142" s="233">
        <v>1881</v>
      </c>
      <c r="H142" s="233">
        <v>323793</v>
      </c>
      <c r="I142" s="233">
        <v>21095</v>
      </c>
      <c r="J142" s="233">
        <v>13726</v>
      </c>
      <c r="K142" s="233">
        <v>7369</v>
      </c>
      <c r="L142" s="233">
        <v>297179</v>
      </c>
      <c r="M142" s="233">
        <v>63790</v>
      </c>
      <c r="N142" s="233">
        <v>6713</v>
      </c>
      <c r="O142" s="233">
        <v>13794</v>
      </c>
      <c r="P142" s="233">
        <v>97117</v>
      </c>
      <c r="Q142" s="233">
        <v>1862</v>
      </c>
      <c r="R142" s="233">
        <v>323308</v>
      </c>
      <c r="S142" s="233">
        <v>21091</v>
      </c>
      <c r="T142" s="233">
        <v>13726</v>
      </c>
      <c r="U142" s="233">
        <v>7364</v>
      </c>
      <c r="V142" s="233">
        <v>296815</v>
      </c>
      <c r="W142" s="233">
        <v>63677</v>
      </c>
      <c r="X142" s="233">
        <v>6690</v>
      </c>
      <c r="Y142" s="233">
        <v>13794</v>
      </c>
      <c r="Z142" s="233">
        <v>96861</v>
      </c>
      <c r="AA142" s="233">
        <v>19</v>
      </c>
      <c r="AB142" s="233">
        <v>485</v>
      </c>
      <c r="AC142" s="233">
        <v>5</v>
      </c>
      <c r="AD142" s="233">
        <v>0</v>
      </c>
      <c r="AE142" s="233">
        <v>5</v>
      </c>
      <c r="AF142" s="233">
        <v>364</v>
      </c>
      <c r="AG142" s="233">
        <v>113</v>
      </c>
      <c r="AH142" s="233">
        <v>23</v>
      </c>
      <c r="AI142" s="233">
        <v>0</v>
      </c>
      <c r="AJ142" s="233">
        <v>257</v>
      </c>
    </row>
    <row r="143" spans="1:36">
      <c r="A143" s="240">
        <v>1</v>
      </c>
      <c r="B143" s="241" t="s">
        <v>3997</v>
      </c>
      <c r="C143" s="241" t="s">
        <v>3432</v>
      </c>
      <c r="D143" s="241" t="s">
        <v>4261</v>
      </c>
      <c r="E143" s="241">
        <v>6</v>
      </c>
      <c r="F143" s="242" t="s">
        <v>4262</v>
      </c>
      <c r="G143" s="233">
        <v>127</v>
      </c>
      <c r="H143" s="233">
        <v>20114</v>
      </c>
      <c r="I143" s="233">
        <v>931</v>
      </c>
      <c r="J143" s="233">
        <v>896</v>
      </c>
      <c r="K143" s="233">
        <v>35</v>
      </c>
      <c r="L143" s="233">
        <v>17750</v>
      </c>
      <c r="M143" s="233">
        <v>3968</v>
      </c>
      <c r="N143" s="233">
        <v>610</v>
      </c>
      <c r="O143" s="233">
        <v>503</v>
      </c>
      <c r="P143" s="233">
        <v>6942</v>
      </c>
      <c r="Q143" s="233">
        <v>122</v>
      </c>
      <c r="R143" s="235" t="s">
        <v>4020</v>
      </c>
      <c r="S143" s="235" t="s">
        <v>4020</v>
      </c>
      <c r="T143" s="235" t="s">
        <v>4020</v>
      </c>
      <c r="U143" s="235" t="s">
        <v>4020</v>
      </c>
      <c r="V143" s="235" t="s">
        <v>4020</v>
      </c>
      <c r="W143" s="235" t="s">
        <v>4020</v>
      </c>
      <c r="X143" s="235" t="s">
        <v>4020</v>
      </c>
      <c r="Y143" s="235" t="s">
        <v>4020</v>
      </c>
      <c r="Z143" s="235" t="s">
        <v>4020</v>
      </c>
      <c r="AA143" s="233">
        <v>5</v>
      </c>
      <c r="AB143" s="235" t="s">
        <v>4020</v>
      </c>
      <c r="AC143" s="235" t="s">
        <v>4020</v>
      </c>
      <c r="AD143" s="235" t="s">
        <v>4020</v>
      </c>
      <c r="AE143" s="235" t="s">
        <v>4020</v>
      </c>
      <c r="AF143" s="235" t="s">
        <v>4020</v>
      </c>
      <c r="AG143" s="235" t="s">
        <v>4020</v>
      </c>
      <c r="AH143" s="235" t="s">
        <v>4020</v>
      </c>
      <c r="AI143" s="235" t="s">
        <v>4020</v>
      </c>
      <c r="AJ143" s="235" t="s">
        <v>4020</v>
      </c>
    </row>
    <row r="144" spans="1:36">
      <c r="A144" s="240">
        <v>1</v>
      </c>
      <c r="B144" s="241" t="s">
        <v>3997</v>
      </c>
      <c r="C144" s="241" t="s">
        <v>3432</v>
      </c>
      <c r="D144" s="241" t="s">
        <v>4263</v>
      </c>
      <c r="E144" s="241">
        <v>6</v>
      </c>
      <c r="F144" s="242" t="s">
        <v>4264</v>
      </c>
      <c r="G144" s="233">
        <v>41</v>
      </c>
      <c r="H144" s="233">
        <v>12626</v>
      </c>
      <c r="I144" s="233">
        <v>1130</v>
      </c>
      <c r="J144" s="233">
        <v>1130</v>
      </c>
      <c r="K144" s="233">
        <v>0</v>
      </c>
      <c r="L144" s="233">
        <v>11647</v>
      </c>
      <c r="M144" s="233">
        <v>2137</v>
      </c>
      <c r="N144" s="233">
        <v>261</v>
      </c>
      <c r="O144" s="233">
        <v>866</v>
      </c>
      <c r="P144" s="233">
        <v>3377</v>
      </c>
      <c r="Q144" s="233">
        <v>40</v>
      </c>
      <c r="R144" s="235" t="s">
        <v>4020</v>
      </c>
      <c r="S144" s="235" t="s">
        <v>4020</v>
      </c>
      <c r="T144" s="235" t="s">
        <v>4020</v>
      </c>
      <c r="U144" s="235" t="s">
        <v>4020</v>
      </c>
      <c r="V144" s="235" t="s">
        <v>4020</v>
      </c>
      <c r="W144" s="235" t="s">
        <v>4020</v>
      </c>
      <c r="X144" s="235" t="s">
        <v>4020</v>
      </c>
      <c r="Y144" s="235" t="s">
        <v>4020</v>
      </c>
      <c r="Z144" s="235" t="s">
        <v>4020</v>
      </c>
      <c r="AA144" s="233">
        <v>1</v>
      </c>
      <c r="AB144" s="235" t="s">
        <v>4020</v>
      </c>
      <c r="AC144" s="235" t="s">
        <v>4020</v>
      </c>
      <c r="AD144" s="235" t="s">
        <v>4020</v>
      </c>
      <c r="AE144" s="235" t="s">
        <v>4020</v>
      </c>
      <c r="AF144" s="235" t="s">
        <v>4020</v>
      </c>
      <c r="AG144" s="235" t="s">
        <v>4020</v>
      </c>
      <c r="AH144" s="235" t="s">
        <v>4020</v>
      </c>
      <c r="AI144" s="235" t="s">
        <v>4020</v>
      </c>
      <c r="AJ144" s="235" t="s">
        <v>4020</v>
      </c>
    </row>
    <row r="145" spans="1:36">
      <c r="A145" s="240">
        <v>1</v>
      </c>
      <c r="B145" s="241" t="s">
        <v>3997</v>
      </c>
      <c r="C145" s="241" t="s">
        <v>3432</v>
      </c>
      <c r="D145" s="241" t="s">
        <v>4265</v>
      </c>
      <c r="E145" s="241">
        <v>6</v>
      </c>
      <c r="F145" s="242" t="s">
        <v>4266</v>
      </c>
      <c r="G145" s="233">
        <v>123</v>
      </c>
      <c r="H145" s="233">
        <v>7986</v>
      </c>
      <c r="I145" s="233">
        <v>63</v>
      </c>
      <c r="J145" s="233">
        <v>53</v>
      </c>
      <c r="K145" s="233">
        <v>10</v>
      </c>
      <c r="L145" s="233">
        <v>7575</v>
      </c>
      <c r="M145" s="233">
        <v>2706</v>
      </c>
      <c r="N145" s="233">
        <v>243</v>
      </c>
      <c r="O145" s="233">
        <v>9</v>
      </c>
      <c r="P145" s="233">
        <v>3360</v>
      </c>
      <c r="Q145" s="233">
        <v>123</v>
      </c>
      <c r="R145" s="233">
        <v>7986</v>
      </c>
      <c r="S145" s="233">
        <v>63</v>
      </c>
      <c r="T145" s="233">
        <v>53</v>
      </c>
      <c r="U145" s="233">
        <v>10</v>
      </c>
      <c r="V145" s="233">
        <v>7575</v>
      </c>
      <c r="W145" s="233">
        <v>2706</v>
      </c>
      <c r="X145" s="233">
        <v>243</v>
      </c>
      <c r="Y145" s="233">
        <v>9</v>
      </c>
      <c r="Z145" s="233">
        <v>3360</v>
      </c>
      <c r="AA145" s="235" t="s">
        <v>5298</v>
      </c>
      <c r="AB145" s="235" t="s">
        <v>5298</v>
      </c>
      <c r="AC145" s="235" t="s">
        <v>5298</v>
      </c>
      <c r="AD145" s="235" t="s">
        <v>5298</v>
      </c>
      <c r="AE145" s="235" t="s">
        <v>5298</v>
      </c>
      <c r="AF145" s="235" t="s">
        <v>5298</v>
      </c>
      <c r="AG145" s="235" t="s">
        <v>5298</v>
      </c>
      <c r="AH145" s="235" t="s">
        <v>5298</v>
      </c>
      <c r="AI145" s="235" t="s">
        <v>5298</v>
      </c>
      <c r="AJ145" s="235" t="s">
        <v>5298</v>
      </c>
    </row>
    <row r="146" spans="1:36">
      <c r="A146" s="240">
        <v>1</v>
      </c>
      <c r="B146" s="241" t="s">
        <v>3997</v>
      </c>
      <c r="C146" s="241" t="s">
        <v>3432</v>
      </c>
      <c r="D146" s="241" t="s">
        <v>4267</v>
      </c>
      <c r="E146" s="241">
        <v>6</v>
      </c>
      <c r="F146" s="242" t="s">
        <v>4268</v>
      </c>
      <c r="G146" s="233">
        <v>332</v>
      </c>
      <c r="H146" s="233">
        <v>85077</v>
      </c>
      <c r="I146" s="233">
        <v>7088</v>
      </c>
      <c r="J146" s="233">
        <v>4324</v>
      </c>
      <c r="K146" s="233">
        <v>2764</v>
      </c>
      <c r="L146" s="233">
        <v>80498</v>
      </c>
      <c r="M146" s="233">
        <v>15453</v>
      </c>
      <c r="N146" s="233">
        <v>1671</v>
      </c>
      <c r="O146" s="233">
        <v>4389</v>
      </c>
      <c r="P146" s="233">
        <v>21703</v>
      </c>
      <c r="Q146" s="233">
        <v>332</v>
      </c>
      <c r="R146" s="233">
        <v>85077</v>
      </c>
      <c r="S146" s="233">
        <v>7088</v>
      </c>
      <c r="T146" s="233">
        <v>4324</v>
      </c>
      <c r="U146" s="233">
        <v>2764</v>
      </c>
      <c r="V146" s="233">
        <v>80498</v>
      </c>
      <c r="W146" s="233">
        <v>15453</v>
      </c>
      <c r="X146" s="233">
        <v>1671</v>
      </c>
      <c r="Y146" s="233">
        <v>4389</v>
      </c>
      <c r="Z146" s="233">
        <v>21703</v>
      </c>
      <c r="AA146" s="235" t="s">
        <v>5298</v>
      </c>
      <c r="AB146" s="235" t="s">
        <v>5298</v>
      </c>
      <c r="AC146" s="235" t="s">
        <v>5298</v>
      </c>
      <c r="AD146" s="235" t="s">
        <v>5298</v>
      </c>
      <c r="AE146" s="235" t="s">
        <v>5298</v>
      </c>
      <c r="AF146" s="235" t="s">
        <v>5298</v>
      </c>
      <c r="AG146" s="235" t="s">
        <v>5298</v>
      </c>
      <c r="AH146" s="235" t="s">
        <v>5298</v>
      </c>
      <c r="AI146" s="235" t="s">
        <v>5298</v>
      </c>
      <c r="AJ146" s="235" t="s">
        <v>5298</v>
      </c>
    </row>
    <row r="147" spans="1:36">
      <c r="A147" s="240">
        <v>1</v>
      </c>
      <c r="B147" s="241" t="s">
        <v>3997</v>
      </c>
      <c r="C147" s="241" t="s">
        <v>3432</v>
      </c>
      <c r="D147" s="241" t="s">
        <v>4269</v>
      </c>
      <c r="E147" s="241">
        <v>6</v>
      </c>
      <c r="F147" s="242" t="s">
        <v>4270</v>
      </c>
      <c r="G147" s="233">
        <v>31</v>
      </c>
      <c r="H147" s="233">
        <v>7575</v>
      </c>
      <c r="I147" s="233">
        <v>2</v>
      </c>
      <c r="J147" s="233">
        <v>2</v>
      </c>
      <c r="K147" s="233">
        <v>0</v>
      </c>
      <c r="L147" s="233">
        <v>6659</v>
      </c>
      <c r="M147" s="233">
        <v>1192</v>
      </c>
      <c r="N147" s="233">
        <v>203</v>
      </c>
      <c r="O147" s="233">
        <v>0</v>
      </c>
      <c r="P147" s="233">
        <v>2310</v>
      </c>
      <c r="Q147" s="233">
        <v>31</v>
      </c>
      <c r="R147" s="233">
        <v>7575</v>
      </c>
      <c r="S147" s="233">
        <v>2</v>
      </c>
      <c r="T147" s="233">
        <v>2</v>
      </c>
      <c r="U147" s="233">
        <v>0</v>
      </c>
      <c r="V147" s="233">
        <v>6659</v>
      </c>
      <c r="W147" s="233">
        <v>1192</v>
      </c>
      <c r="X147" s="233">
        <v>203</v>
      </c>
      <c r="Y147" s="233">
        <v>0</v>
      </c>
      <c r="Z147" s="233">
        <v>2310</v>
      </c>
      <c r="AA147" s="235" t="s">
        <v>5298</v>
      </c>
      <c r="AB147" s="235" t="s">
        <v>5298</v>
      </c>
      <c r="AC147" s="235" t="s">
        <v>5298</v>
      </c>
      <c r="AD147" s="235" t="s">
        <v>5298</v>
      </c>
      <c r="AE147" s="235" t="s">
        <v>5298</v>
      </c>
      <c r="AF147" s="235" t="s">
        <v>5298</v>
      </c>
      <c r="AG147" s="235" t="s">
        <v>5298</v>
      </c>
      <c r="AH147" s="235" t="s">
        <v>5298</v>
      </c>
      <c r="AI147" s="235" t="s">
        <v>5298</v>
      </c>
      <c r="AJ147" s="235" t="s">
        <v>5298</v>
      </c>
    </row>
    <row r="148" spans="1:36">
      <c r="A148" s="240">
        <v>1</v>
      </c>
      <c r="B148" s="241" t="s">
        <v>3997</v>
      </c>
      <c r="C148" s="241" t="s">
        <v>3432</v>
      </c>
      <c r="D148" s="241" t="s">
        <v>4271</v>
      </c>
      <c r="E148" s="241">
        <v>6</v>
      </c>
      <c r="F148" s="242" t="s">
        <v>4272</v>
      </c>
      <c r="G148" s="233">
        <v>445</v>
      </c>
      <c r="H148" s="233">
        <v>84840</v>
      </c>
      <c r="I148" s="233">
        <v>6649</v>
      </c>
      <c r="J148" s="233">
        <v>3144</v>
      </c>
      <c r="K148" s="233">
        <v>3504</v>
      </c>
      <c r="L148" s="233">
        <v>75103</v>
      </c>
      <c r="M148" s="233">
        <v>17026</v>
      </c>
      <c r="N148" s="233">
        <v>1693</v>
      </c>
      <c r="O148" s="233">
        <v>4560</v>
      </c>
      <c r="P148" s="233">
        <v>28456</v>
      </c>
      <c r="Q148" s="233">
        <v>444</v>
      </c>
      <c r="R148" s="235" t="s">
        <v>4020</v>
      </c>
      <c r="S148" s="235" t="s">
        <v>4020</v>
      </c>
      <c r="T148" s="235" t="s">
        <v>4020</v>
      </c>
      <c r="U148" s="235" t="s">
        <v>4020</v>
      </c>
      <c r="V148" s="235" t="s">
        <v>4020</v>
      </c>
      <c r="W148" s="235" t="s">
        <v>4020</v>
      </c>
      <c r="X148" s="235" t="s">
        <v>4020</v>
      </c>
      <c r="Y148" s="235" t="s">
        <v>4020</v>
      </c>
      <c r="Z148" s="235" t="s">
        <v>4020</v>
      </c>
      <c r="AA148" s="233">
        <v>1</v>
      </c>
      <c r="AB148" s="235" t="s">
        <v>4020</v>
      </c>
      <c r="AC148" s="235" t="s">
        <v>4020</v>
      </c>
      <c r="AD148" s="235" t="s">
        <v>4020</v>
      </c>
      <c r="AE148" s="235" t="s">
        <v>4020</v>
      </c>
      <c r="AF148" s="235" t="s">
        <v>4020</v>
      </c>
      <c r="AG148" s="235" t="s">
        <v>4020</v>
      </c>
      <c r="AH148" s="235" t="s">
        <v>4020</v>
      </c>
      <c r="AI148" s="235" t="s">
        <v>4020</v>
      </c>
      <c r="AJ148" s="235" t="s">
        <v>4020</v>
      </c>
    </row>
    <row r="149" spans="1:36">
      <c r="A149" s="240">
        <v>1</v>
      </c>
      <c r="B149" s="241" t="s">
        <v>3997</v>
      </c>
      <c r="C149" s="241" t="s">
        <v>3432</v>
      </c>
      <c r="D149" s="241" t="s">
        <v>4273</v>
      </c>
      <c r="E149" s="241">
        <v>6</v>
      </c>
      <c r="F149" s="242" t="s">
        <v>4274</v>
      </c>
      <c r="G149" s="233">
        <v>631</v>
      </c>
      <c r="H149" s="233">
        <v>68395</v>
      </c>
      <c r="I149" s="233">
        <v>2550</v>
      </c>
      <c r="J149" s="233">
        <v>1753</v>
      </c>
      <c r="K149" s="233">
        <v>797</v>
      </c>
      <c r="L149" s="233">
        <v>63745</v>
      </c>
      <c r="M149" s="233">
        <v>14302</v>
      </c>
      <c r="N149" s="233">
        <v>1656</v>
      </c>
      <c r="O149" s="233">
        <v>1410</v>
      </c>
      <c r="P149" s="233">
        <v>20607</v>
      </c>
      <c r="Q149" s="233">
        <v>619</v>
      </c>
      <c r="R149" s="233">
        <v>68229</v>
      </c>
      <c r="S149" s="233">
        <v>2546</v>
      </c>
      <c r="T149" s="233">
        <v>1753</v>
      </c>
      <c r="U149" s="233">
        <v>792</v>
      </c>
      <c r="V149" s="233">
        <v>63594</v>
      </c>
      <c r="W149" s="233">
        <v>14242</v>
      </c>
      <c r="X149" s="233">
        <v>1650</v>
      </c>
      <c r="Y149" s="233">
        <v>1410</v>
      </c>
      <c r="Z149" s="233">
        <v>20527</v>
      </c>
      <c r="AA149" s="233">
        <v>12</v>
      </c>
      <c r="AB149" s="233">
        <v>165</v>
      </c>
      <c r="AC149" s="233">
        <v>5</v>
      </c>
      <c r="AD149" s="233">
        <v>0</v>
      </c>
      <c r="AE149" s="233">
        <v>5</v>
      </c>
      <c r="AF149" s="233">
        <v>151</v>
      </c>
      <c r="AG149" s="233">
        <v>60</v>
      </c>
      <c r="AH149" s="233">
        <v>6</v>
      </c>
      <c r="AI149" s="233">
        <v>0</v>
      </c>
      <c r="AJ149" s="233">
        <v>81</v>
      </c>
    </row>
    <row r="150" spans="1:36">
      <c r="A150" s="240">
        <v>1</v>
      </c>
      <c r="B150" s="241" t="s">
        <v>3997</v>
      </c>
      <c r="C150" s="241" t="s">
        <v>3432</v>
      </c>
      <c r="D150" s="241" t="s">
        <v>4275</v>
      </c>
      <c r="E150" s="241">
        <v>6</v>
      </c>
      <c r="F150" s="242" t="s">
        <v>4276</v>
      </c>
      <c r="G150" s="233">
        <v>4</v>
      </c>
      <c r="H150" s="233">
        <v>38</v>
      </c>
      <c r="I150" s="233">
        <v>0</v>
      </c>
      <c r="J150" s="233">
        <v>0</v>
      </c>
      <c r="K150" s="233">
        <v>0</v>
      </c>
      <c r="L150" s="233">
        <v>30</v>
      </c>
      <c r="M150" s="233">
        <v>16</v>
      </c>
      <c r="N150" s="233">
        <v>2</v>
      </c>
      <c r="O150" s="233">
        <v>0</v>
      </c>
      <c r="P150" s="233">
        <v>26</v>
      </c>
      <c r="Q150" s="233">
        <v>4</v>
      </c>
      <c r="R150" s="233">
        <v>38</v>
      </c>
      <c r="S150" s="233">
        <v>0</v>
      </c>
      <c r="T150" s="233">
        <v>0</v>
      </c>
      <c r="U150" s="233">
        <v>0</v>
      </c>
      <c r="V150" s="233">
        <v>30</v>
      </c>
      <c r="W150" s="233">
        <v>16</v>
      </c>
      <c r="X150" s="233">
        <v>2</v>
      </c>
      <c r="Y150" s="233">
        <v>0</v>
      </c>
      <c r="Z150" s="233">
        <v>26</v>
      </c>
      <c r="AA150" s="235" t="s">
        <v>5298</v>
      </c>
      <c r="AB150" s="235" t="s">
        <v>5298</v>
      </c>
      <c r="AC150" s="235" t="s">
        <v>5298</v>
      </c>
      <c r="AD150" s="235" t="s">
        <v>5298</v>
      </c>
      <c r="AE150" s="235" t="s">
        <v>5298</v>
      </c>
      <c r="AF150" s="235" t="s">
        <v>5298</v>
      </c>
      <c r="AG150" s="235" t="s">
        <v>5298</v>
      </c>
      <c r="AH150" s="235" t="s">
        <v>5298</v>
      </c>
      <c r="AI150" s="235" t="s">
        <v>5298</v>
      </c>
      <c r="AJ150" s="235" t="s">
        <v>5298</v>
      </c>
    </row>
    <row r="151" spans="1:36">
      <c r="A151" s="240">
        <v>1</v>
      </c>
      <c r="B151" s="241" t="s">
        <v>3997</v>
      </c>
      <c r="C151" s="241" t="s">
        <v>3432</v>
      </c>
      <c r="D151" s="241" t="s">
        <v>4277</v>
      </c>
      <c r="E151" s="241">
        <v>6</v>
      </c>
      <c r="F151" s="242" t="s">
        <v>4278</v>
      </c>
      <c r="G151" s="233">
        <v>147</v>
      </c>
      <c r="H151" s="233">
        <v>37141</v>
      </c>
      <c r="I151" s="233">
        <v>2682</v>
      </c>
      <c r="J151" s="233">
        <v>2424</v>
      </c>
      <c r="K151" s="233">
        <v>259</v>
      </c>
      <c r="L151" s="233">
        <v>34171</v>
      </c>
      <c r="M151" s="233">
        <v>6992</v>
      </c>
      <c r="N151" s="233">
        <v>374</v>
      </c>
      <c r="O151" s="233">
        <v>2057</v>
      </c>
      <c r="P151" s="233">
        <v>10336</v>
      </c>
      <c r="Q151" s="233">
        <v>147</v>
      </c>
      <c r="R151" s="233">
        <v>37141</v>
      </c>
      <c r="S151" s="233">
        <v>2682</v>
      </c>
      <c r="T151" s="233">
        <v>2424</v>
      </c>
      <c r="U151" s="233">
        <v>259</v>
      </c>
      <c r="V151" s="233">
        <v>34171</v>
      </c>
      <c r="W151" s="233">
        <v>6992</v>
      </c>
      <c r="X151" s="233">
        <v>374</v>
      </c>
      <c r="Y151" s="233">
        <v>2057</v>
      </c>
      <c r="Z151" s="233">
        <v>10336</v>
      </c>
      <c r="AA151" s="235" t="s">
        <v>5298</v>
      </c>
      <c r="AB151" s="235" t="s">
        <v>5298</v>
      </c>
      <c r="AC151" s="235" t="s">
        <v>5298</v>
      </c>
      <c r="AD151" s="235" t="s">
        <v>5298</v>
      </c>
      <c r="AE151" s="235" t="s">
        <v>5298</v>
      </c>
      <c r="AF151" s="235" t="s">
        <v>5298</v>
      </c>
      <c r="AG151" s="235" t="s">
        <v>5298</v>
      </c>
      <c r="AH151" s="235" t="s">
        <v>5298</v>
      </c>
      <c r="AI151" s="235" t="s">
        <v>5298</v>
      </c>
      <c r="AJ151" s="235" t="s">
        <v>5298</v>
      </c>
    </row>
    <row r="152" spans="1:36">
      <c r="A152" s="240">
        <v>1</v>
      </c>
      <c r="B152" s="241" t="s">
        <v>3997</v>
      </c>
      <c r="C152" s="241" t="s">
        <v>3172</v>
      </c>
      <c r="D152" s="241" t="s">
        <v>4279</v>
      </c>
      <c r="E152" s="241">
        <v>5</v>
      </c>
      <c r="F152" s="242" t="s">
        <v>4280</v>
      </c>
      <c r="G152" s="233">
        <v>9698</v>
      </c>
      <c r="H152" s="233">
        <v>10424189</v>
      </c>
      <c r="I152" s="233">
        <v>1298707</v>
      </c>
      <c r="J152" s="233">
        <v>1248738</v>
      </c>
      <c r="K152" s="233">
        <v>49969</v>
      </c>
      <c r="L152" s="233">
        <v>9350984</v>
      </c>
      <c r="M152" s="233">
        <v>1270848</v>
      </c>
      <c r="N152" s="233">
        <v>121214</v>
      </c>
      <c r="O152" s="233">
        <v>1002353</v>
      </c>
      <c r="P152" s="233">
        <v>2465266</v>
      </c>
      <c r="Q152" s="233">
        <v>9557</v>
      </c>
      <c r="R152" s="233">
        <v>10401445</v>
      </c>
      <c r="S152" s="233">
        <v>1296317</v>
      </c>
      <c r="T152" s="233">
        <v>1246606</v>
      </c>
      <c r="U152" s="233">
        <v>49711</v>
      </c>
      <c r="V152" s="233">
        <v>9331884</v>
      </c>
      <c r="W152" s="233">
        <v>1267171</v>
      </c>
      <c r="X152" s="233">
        <v>120597</v>
      </c>
      <c r="Y152" s="233">
        <v>1001088</v>
      </c>
      <c r="Z152" s="233">
        <v>2457329</v>
      </c>
      <c r="AA152" s="233">
        <v>141</v>
      </c>
      <c r="AB152" s="233">
        <v>22744</v>
      </c>
      <c r="AC152" s="233">
        <v>2390</v>
      </c>
      <c r="AD152" s="233">
        <v>2133</v>
      </c>
      <c r="AE152" s="233">
        <v>258</v>
      </c>
      <c r="AF152" s="233">
        <v>19100</v>
      </c>
      <c r="AG152" s="233">
        <v>3676</v>
      </c>
      <c r="AH152" s="233">
        <v>616</v>
      </c>
      <c r="AI152" s="233">
        <v>1265</v>
      </c>
      <c r="AJ152" s="233">
        <v>7937</v>
      </c>
    </row>
    <row r="153" spans="1:36">
      <c r="A153" s="240">
        <v>1</v>
      </c>
      <c r="B153" s="241" t="s">
        <v>3997</v>
      </c>
      <c r="C153" s="241" t="s">
        <v>3432</v>
      </c>
      <c r="D153" s="241" t="s">
        <v>4281</v>
      </c>
      <c r="E153" s="241">
        <v>6</v>
      </c>
      <c r="F153" s="242" t="s">
        <v>4282</v>
      </c>
      <c r="G153" s="233">
        <v>927</v>
      </c>
      <c r="H153" s="233">
        <v>2234351</v>
      </c>
      <c r="I153" s="233">
        <v>178468</v>
      </c>
      <c r="J153" s="233">
        <v>177607</v>
      </c>
      <c r="K153" s="233">
        <v>861</v>
      </c>
      <c r="L153" s="233">
        <v>2036250</v>
      </c>
      <c r="M153" s="233">
        <v>307953</v>
      </c>
      <c r="N153" s="233">
        <v>22455</v>
      </c>
      <c r="O153" s="233">
        <v>150258</v>
      </c>
      <c r="P153" s="233">
        <v>528509</v>
      </c>
      <c r="Q153" s="233">
        <v>924</v>
      </c>
      <c r="R153" s="233">
        <v>2233976</v>
      </c>
      <c r="S153" s="233">
        <v>178468</v>
      </c>
      <c r="T153" s="233">
        <v>177607</v>
      </c>
      <c r="U153" s="233">
        <v>861</v>
      </c>
      <c r="V153" s="233">
        <v>2036066</v>
      </c>
      <c r="W153" s="233">
        <v>307856</v>
      </c>
      <c r="X153" s="233">
        <v>22426</v>
      </c>
      <c r="Y153" s="233">
        <v>150258</v>
      </c>
      <c r="Z153" s="233">
        <v>528192</v>
      </c>
      <c r="AA153" s="233">
        <v>3</v>
      </c>
      <c r="AB153" s="233">
        <v>375</v>
      </c>
      <c r="AC153" s="233">
        <v>0</v>
      </c>
      <c r="AD153" s="233">
        <v>0</v>
      </c>
      <c r="AE153" s="233">
        <v>0</v>
      </c>
      <c r="AF153" s="233">
        <v>184</v>
      </c>
      <c r="AG153" s="233">
        <v>97</v>
      </c>
      <c r="AH153" s="233">
        <v>29</v>
      </c>
      <c r="AI153" s="233">
        <v>0</v>
      </c>
      <c r="AJ153" s="233">
        <v>317</v>
      </c>
    </row>
    <row r="154" spans="1:36">
      <c r="A154" s="240">
        <v>1</v>
      </c>
      <c r="B154" s="241" t="s">
        <v>3997</v>
      </c>
      <c r="C154" s="241" t="s">
        <v>3432</v>
      </c>
      <c r="D154" s="241" t="s">
        <v>4283</v>
      </c>
      <c r="E154" s="241">
        <v>6</v>
      </c>
      <c r="F154" s="242" t="s">
        <v>4284</v>
      </c>
      <c r="G154" s="233">
        <v>3690</v>
      </c>
      <c r="H154" s="233">
        <v>4191234</v>
      </c>
      <c r="I154" s="233">
        <v>533382</v>
      </c>
      <c r="J154" s="233">
        <v>510186</v>
      </c>
      <c r="K154" s="233">
        <v>23196</v>
      </c>
      <c r="L154" s="233">
        <v>3767433</v>
      </c>
      <c r="M154" s="233">
        <v>444597</v>
      </c>
      <c r="N154" s="233">
        <v>53023</v>
      </c>
      <c r="O154" s="233">
        <v>430640</v>
      </c>
      <c r="P154" s="233">
        <v>921421</v>
      </c>
      <c r="Q154" s="233">
        <v>3647</v>
      </c>
      <c r="R154" s="233">
        <v>4175910</v>
      </c>
      <c r="S154" s="233">
        <v>531277</v>
      </c>
      <c r="T154" s="233">
        <v>508164</v>
      </c>
      <c r="U154" s="233">
        <v>23114</v>
      </c>
      <c r="V154" s="233">
        <v>3754154</v>
      </c>
      <c r="W154" s="233">
        <v>442772</v>
      </c>
      <c r="X154" s="233">
        <v>52734</v>
      </c>
      <c r="Y154" s="233">
        <v>429431</v>
      </c>
      <c r="Z154" s="233">
        <v>917262</v>
      </c>
      <c r="AA154" s="233">
        <v>43</v>
      </c>
      <c r="AB154" s="233">
        <v>15324</v>
      </c>
      <c r="AC154" s="233">
        <v>2104</v>
      </c>
      <c r="AD154" s="233">
        <v>2022</v>
      </c>
      <c r="AE154" s="233">
        <v>82</v>
      </c>
      <c r="AF154" s="233">
        <v>13280</v>
      </c>
      <c r="AG154" s="233">
        <v>1825</v>
      </c>
      <c r="AH154" s="233">
        <v>289</v>
      </c>
      <c r="AI154" s="233">
        <v>1209</v>
      </c>
      <c r="AJ154" s="233">
        <v>4158</v>
      </c>
    </row>
    <row r="155" spans="1:36">
      <c r="A155" s="240">
        <v>1</v>
      </c>
      <c r="B155" s="241" t="s">
        <v>3997</v>
      </c>
      <c r="C155" s="241" t="s">
        <v>3432</v>
      </c>
      <c r="D155" s="241" t="s">
        <v>4285</v>
      </c>
      <c r="E155" s="241">
        <v>6</v>
      </c>
      <c r="F155" s="242" t="s">
        <v>4286</v>
      </c>
      <c r="G155" s="233">
        <v>184</v>
      </c>
      <c r="H155" s="233">
        <v>49683</v>
      </c>
      <c r="I155" s="233">
        <v>5348</v>
      </c>
      <c r="J155" s="233">
        <v>5136</v>
      </c>
      <c r="K155" s="233">
        <v>211</v>
      </c>
      <c r="L155" s="233">
        <v>45410</v>
      </c>
      <c r="M155" s="233">
        <v>10837</v>
      </c>
      <c r="N155" s="233">
        <v>1143</v>
      </c>
      <c r="O155" s="233">
        <v>3880</v>
      </c>
      <c r="P155" s="233">
        <v>16253</v>
      </c>
      <c r="Q155" s="233">
        <v>177</v>
      </c>
      <c r="R155" s="233">
        <v>48886</v>
      </c>
      <c r="S155" s="233">
        <v>5318</v>
      </c>
      <c r="T155" s="233">
        <v>5106</v>
      </c>
      <c r="U155" s="233">
        <v>211</v>
      </c>
      <c r="V155" s="233">
        <v>44714</v>
      </c>
      <c r="W155" s="233">
        <v>10651</v>
      </c>
      <c r="X155" s="233">
        <v>1113</v>
      </c>
      <c r="Y155" s="233">
        <v>3880</v>
      </c>
      <c r="Z155" s="233">
        <v>15936</v>
      </c>
      <c r="AA155" s="233">
        <v>7</v>
      </c>
      <c r="AB155" s="233">
        <v>796</v>
      </c>
      <c r="AC155" s="233">
        <v>30</v>
      </c>
      <c r="AD155" s="233">
        <v>30</v>
      </c>
      <c r="AE155" s="235" t="s">
        <v>5298</v>
      </c>
      <c r="AF155" s="233">
        <v>696</v>
      </c>
      <c r="AG155" s="233">
        <v>186</v>
      </c>
      <c r="AH155" s="233">
        <v>30</v>
      </c>
      <c r="AI155" s="233">
        <v>0</v>
      </c>
      <c r="AJ155" s="233">
        <v>316</v>
      </c>
    </row>
    <row r="156" spans="1:36">
      <c r="A156" s="240">
        <v>1</v>
      </c>
      <c r="B156" s="241" t="s">
        <v>3997</v>
      </c>
      <c r="C156" s="241" t="s">
        <v>3432</v>
      </c>
      <c r="D156" s="241" t="s">
        <v>4287</v>
      </c>
      <c r="E156" s="241">
        <v>6</v>
      </c>
      <c r="F156" s="242" t="s">
        <v>4288</v>
      </c>
      <c r="G156" s="233">
        <v>1474</v>
      </c>
      <c r="H156" s="233">
        <v>1318115</v>
      </c>
      <c r="I156" s="233">
        <v>181422</v>
      </c>
      <c r="J156" s="233">
        <v>176969</v>
      </c>
      <c r="K156" s="233">
        <v>4453</v>
      </c>
      <c r="L156" s="233">
        <v>1169334</v>
      </c>
      <c r="M156" s="233">
        <v>150721</v>
      </c>
      <c r="N156" s="233">
        <v>9827</v>
      </c>
      <c r="O156" s="233">
        <v>137492</v>
      </c>
      <c r="P156" s="233">
        <v>309329</v>
      </c>
      <c r="Q156" s="233">
        <v>1425</v>
      </c>
      <c r="R156" s="233">
        <v>1315642</v>
      </c>
      <c r="S156" s="233">
        <v>181303</v>
      </c>
      <c r="T156" s="233">
        <v>176914</v>
      </c>
      <c r="U156" s="233">
        <v>4389</v>
      </c>
      <c r="V156" s="233">
        <v>1167262</v>
      </c>
      <c r="W156" s="233">
        <v>149901</v>
      </c>
      <c r="X156" s="233">
        <v>9715</v>
      </c>
      <c r="Y156" s="233">
        <v>137436</v>
      </c>
      <c r="Z156" s="233">
        <v>307996</v>
      </c>
      <c r="AA156" s="233">
        <v>49</v>
      </c>
      <c r="AB156" s="233">
        <v>2473</v>
      </c>
      <c r="AC156" s="233">
        <v>119</v>
      </c>
      <c r="AD156" s="233">
        <v>56</v>
      </c>
      <c r="AE156" s="233">
        <v>64</v>
      </c>
      <c r="AF156" s="233">
        <v>2072</v>
      </c>
      <c r="AG156" s="233">
        <v>820</v>
      </c>
      <c r="AH156" s="233">
        <v>112</v>
      </c>
      <c r="AI156" s="233">
        <v>56</v>
      </c>
      <c r="AJ156" s="233">
        <v>1333</v>
      </c>
    </row>
    <row r="157" spans="1:36">
      <c r="A157" s="240">
        <v>1</v>
      </c>
      <c r="B157" s="241" t="s">
        <v>3997</v>
      </c>
      <c r="C157" s="241" t="s">
        <v>3432</v>
      </c>
      <c r="D157" s="241" t="s">
        <v>4289</v>
      </c>
      <c r="E157" s="241">
        <v>6</v>
      </c>
      <c r="F157" s="242" t="s">
        <v>4290</v>
      </c>
      <c r="G157" s="233">
        <v>167</v>
      </c>
      <c r="H157" s="233">
        <v>448619</v>
      </c>
      <c r="I157" s="233">
        <v>48344</v>
      </c>
      <c r="J157" s="233">
        <v>46295</v>
      </c>
      <c r="K157" s="233">
        <v>2049</v>
      </c>
      <c r="L157" s="233">
        <v>399543</v>
      </c>
      <c r="M157" s="233">
        <v>55880</v>
      </c>
      <c r="N157" s="233">
        <v>3534</v>
      </c>
      <c r="O157" s="233">
        <v>40021</v>
      </c>
      <c r="P157" s="233">
        <v>108491</v>
      </c>
      <c r="Q157" s="233">
        <v>167</v>
      </c>
      <c r="R157" s="233">
        <v>448619</v>
      </c>
      <c r="S157" s="233">
        <v>48344</v>
      </c>
      <c r="T157" s="233">
        <v>46295</v>
      </c>
      <c r="U157" s="233">
        <v>2049</v>
      </c>
      <c r="V157" s="233">
        <v>399543</v>
      </c>
      <c r="W157" s="233">
        <v>55880</v>
      </c>
      <c r="X157" s="233">
        <v>3534</v>
      </c>
      <c r="Y157" s="233">
        <v>40021</v>
      </c>
      <c r="Z157" s="233">
        <v>108491</v>
      </c>
      <c r="AA157" s="235" t="s">
        <v>5298</v>
      </c>
      <c r="AB157" s="235" t="s">
        <v>5298</v>
      </c>
      <c r="AC157" s="235" t="s">
        <v>5298</v>
      </c>
      <c r="AD157" s="235" t="s">
        <v>5298</v>
      </c>
      <c r="AE157" s="235" t="s">
        <v>5298</v>
      </c>
      <c r="AF157" s="235" t="s">
        <v>5298</v>
      </c>
      <c r="AG157" s="235" t="s">
        <v>5298</v>
      </c>
      <c r="AH157" s="235" t="s">
        <v>5298</v>
      </c>
      <c r="AI157" s="235" t="s">
        <v>5298</v>
      </c>
      <c r="AJ157" s="235" t="s">
        <v>5298</v>
      </c>
    </row>
    <row r="158" spans="1:36">
      <c r="A158" s="240">
        <v>1</v>
      </c>
      <c r="B158" s="241" t="s">
        <v>3997</v>
      </c>
      <c r="C158" s="241" t="s">
        <v>3432</v>
      </c>
      <c r="D158" s="241" t="s">
        <v>4291</v>
      </c>
      <c r="E158" s="241">
        <v>6</v>
      </c>
      <c r="F158" s="242" t="s">
        <v>4292</v>
      </c>
      <c r="G158" s="233">
        <v>142</v>
      </c>
      <c r="H158" s="233">
        <v>228923</v>
      </c>
      <c r="I158" s="233">
        <v>22928</v>
      </c>
      <c r="J158" s="233">
        <v>22843</v>
      </c>
      <c r="K158" s="233">
        <v>85</v>
      </c>
      <c r="L158" s="233">
        <v>198929</v>
      </c>
      <c r="M158" s="233">
        <v>36908</v>
      </c>
      <c r="N158" s="233">
        <v>4440</v>
      </c>
      <c r="O158" s="233">
        <v>19269</v>
      </c>
      <c r="P158" s="233">
        <v>71342</v>
      </c>
      <c r="Q158" s="233">
        <v>142</v>
      </c>
      <c r="R158" s="233">
        <v>228923</v>
      </c>
      <c r="S158" s="233">
        <v>22928</v>
      </c>
      <c r="T158" s="233">
        <v>22843</v>
      </c>
      <c r="U158" s="233">
        <v>85</v>
      </c>
      <c r="V158" s="233">
        <v>198929</v>
      </c>
      <c r="W158" s="233">
        <v>36908</v>
      </c>
      <c r="X158" s="233">
        <v>4440</v>
      </c>
      <c r="Y158" s="233">
        <v>19269</v>
      </c>
      <c r="Z158" s="233">
        <v>71342</v>
      </c>
      <c r="AA158" s="235" t="s">
        <v>5298</v>
      </c>
      <c r="AB158" s="235" t="s">
        <v>5298</v>
      </c>
      <c r="AC158" s="235" t="s">
        <v>5298</v>
      </c>
      <c r="AD158" s="235" t="s">
        <v>5298</v>
      </c>
      <c r="AE158" s="235" t="s">
        <v>5298</v>
      </c>
      <c r="AF158" s="235" t="s">
        <v>5298</v>
      </c>
      <c r="AG158" s="235" t="s">
        <v>5298</v>
      </c>
      <c r="AH158" s="235" t="s">
        <v>5298</v>
      </c>
      <c r="AI158" s="235" t="s">
        <v>5298</v>
      </c>
      <c r="AJ158" s="235" t="s">
        <v>5298</v>
      </c>
    </row>
    <row r="159" spans="1:36">
      <c r="A159" s="240">
        <v>1</v>
      </c>
      <c r="B159" s="241" t="s">
        <v>3997</v>
      </c>
      <c r="C159" s="241" t="s">
        <v>3432</v>
      </c>
      <c r="D159" s="241" t="s">
        <v>4293</v>
      </c>
      <c r="E159" s="241">
        <v>6</v>
      </c>
      <c r="F159" s="242" t="s">
        <v>4294</v>
      </c>
      <c r="G159" s="233">
        <v>244</v>
      </c>
      <c r="H159" s="233">
        <v>375145</v>
      </c>
      <c r="I159" s="233">
        <v>41059</v>
      </c>
      <c r="J159" s="233">
        <v>39450</v>
      </c>
      <c r="K159" s="233">
        <v>1609</v>
      </c>
      <c r="L159" s="233">
        <v>326160</v>
      </c>
      <c r="M159" s="233">
        <v>61740</v>
      </c>
      <c r="N159" s="233">
        <v>3653</v>
      </c>
      <c r="O159" s="233">
        <v>28486</v>
      </c>
      <c r="P159" s="233">
        <v>114378</v>
      </c>
      <c r="Q159" s="233">
        <v>243</v>
      </c>
      <c r="R159" s="235" t="s">
        <v>4020</v>
      </c>
      <c r="S159" s="235" t="s">
        <v>4020</v>
      </c>
      <c r="T159" s="235" t="s">
        <v>4020</v>
      </c>
      <c r="U159" s="235" t="s">
        <v>4020</v>
      </c>
      <c r="V159" s="235" t="s">
        <v>4020</v>
      </c>
      <c r="W159" s="235" t="s">
        <v>4020</v>
      </c>
      <c r="X159" s="235" t="s">
        <v>4020</v>
      </c>
      <c r="Y159" s="235" t="s">
        <v>4020</v>
      </c>
      <c r="Z159" s="235" t="s">
        <v>4020</v>
      </c>
      <c r="AA159" s="233">
        <v>1</v>
      </c>
      <c r="AB159" s="235" t="s">
        <v>4020</v>
      </c>
      <c r="AC159" s="235" t="s">
        <v>4020</v>
      </c>
      <c r="AD159" s="235" t="s">
        <v>4020</v>
      </c>
      <c r="AE159" s="235" t="s">
        <v>4020</v>
      </c>
      <c r="AF159" s="235" t="s">
        <v>4020</v>
      </c>
      <c r="AG159" s="235" t="s">
        <v>4020</v>
      </c>
      <c r="AH159" s="235" t="s">
        <v>4020</v>
      </c>
      <c r="AI159" s="235" t="s">
        <v>4020</v>
      </c>
      <c r="AJ159" s="235" t="s">
        <v>4020</v>
      </c>
    </row>
    <row r="160" spans="1:36">
      <c r="A160" s="240">
        <v>1</v>
      </c>
      <c r="B160" s="241" t="s">
        <v>3997</v>
      </c>
      <c r="C160" s="241" t="s">
        <v>3432</v>
      </c>
      <c r="D160" s="241" t="s">
        <v>4295</v>
      </c>
      <c r="E160" s="241">
        <v>6</v>
      </c>
      <c r="F160" s="242" t="s">
        <v>4296</v>
      </c>
      <c r="G160" s="233">
        <v>2054</v>
      </c>
      <c r="H160" s="233">
        <v>747426</v>
      </c>
      <c r="I160" s="233">
        <v>138093</v>
      </c>
      <c r="J160" s="233">
        <v>129337</v>
      </c>
      <c r="K160" s="233">
        <v>8757</v>
      </c>
      <c r="L160" s="233">
        <v>655014</v>
      </c>
      <c r="M160" s="233">
        <v>101370</v>
      </c>
      <c r="N160" s="233">
        <v>13561</v>
      </c>
      <c r="O160" s="233">
        <v>97945</v>
      </c>
      <c r="P160" s="233">
        <v>207342</v>
      </c>
      <c r="Q160" s="233">
        <v>2030</v>
      </c>
      <c r="R160" s="233">
        <v>744762</v>
      </c>
      <c r="S160" s="233">
        <v>137998</v>
      </c>
      <c r="T160" s="233">
        <v>129336</v>
      </c>
      <c r="U160" s="233">
        <v>8662</v>
      </c>
      <c r="V160" s="233">
        <v>652912</v>
      </c>
      <c r="W160" s="233">
        <v>100772</v>
      </c>
      <c r="X160" s="233">
        <v>13452</v>
      </c>
      <c r="Y160" s="233">
        <v>97945</v>
      </c>
      <c r="Z160" s="233">
        <v>206074</v>
      </c>
      <c r="AA160" s="233">
        <v>24</v>
      </c>
      <c r="AB160" s="233">
        <v>2663</v>
      </c>
      <c r="AC160" s="233">
        <v>95</v>
      </c>
      <c r="AD160" s="233">
        <v>0</v>
      </c>
      <c r="AE160" s="233">
        <v>95</v>
      </c>
      <c r="AF160" s="233">
        <v>2102</v>
      </c>
      <c r="AG160" s="233">
        <v>598</v>
      </c>
      <c r="AH160" s="233">
        <v>109</v>
      </c>
      <c r="AI160" s="233">
        <v>0</v>
      </c>
      <c r="AJ160" s="233">
        <v>1268</v>
      </c>
    </row>
    <row r="161" spans="1:36">
      <c r="A161" s="240">
        <v>1</v>
      </c>
      <c r="B161" s="241" t="s">
        <v>3997</v>
      </c>
      <c r="C161" s="241" t="s">
        <v>3432</v>
      </c>
      <c r="D161" s="241" t="s">
        <v>4297</v>
      </c>
      <c r="E161" s="241">
        <v>6</v>
      </c>
      <c r="F161" s="242" t="s">
        <v>4298</v>
      </c>
      <c r="G161" s="233">
        <v>816</v>
      </c>
      <c r="H161" s="233">
        <v>830693</v>
      </c>
      <c r="I161" s="233">
        <v>149663</v>
      </c>
      <c r="J161" s="233">
        <v>140915</v>
      </c>
      <c r="K161" s="233">
        <v>8748</v>
      </c>
      <c r="L161" s="233">
        <v>752911</v>
      </c>
      <c r="M161" s="233">
        <v>100841</v>
      </c>
      <c r="N161" s="233">
        <v>9578</v>
      </c>
      <c r="O161" s="233">
        <v>94362</v>
      </c>
      <c r="P161" s="233">
        <v>188202</v>
      </c>
      <c r="Q161" s="233">
        <v>802</v>
      </c>
      <c r="R161" s="235" t="s">
        <v>4020</v>
      </c>
      <c r="S161" s="235" t="s">
        <v>4020</v>
      </c>
      <c r="T161" s="235" t="s">
        <v>4020</v>
      </c>
      <c r="U161" s="235" t="s">
        <v>4020</v>
      </c>
      <c r="V161" s="235" t="s">
        <v>4020</v>
      </c>
      <c r="W161" s="235" t="s">
        <v>4020</v>
      </c>
      <c r="X161" s="235" t="s">
        <v>4020</v>
      </c>
      <c r="Y161" s="235" t="s">
        <v>4020</v>
      </c>
      <c r="Z161" s="235" t="s">
        <v>4020</v>
      </c>
      <c r="AA161" s="233">
        <v>14</v>
      </c>
      <c r="AB161" s="235" t="s">
        <v>4020</v>
      </c>
      <c r="AC161" s="235" t="s">
        <v>4020</v>
      </c>
      <c r="AD161" s="235" t="s">
        <v>4020</v>
      </c>
      <c r="AE161" s="235" t="s">
        <v>4020</v>
      </c>
      <c r="AF161" s="235" t="s">
        <v>4020</v>
      </c>
      <c r="AG161" s="235" t="s">
        <v>4020</v>
      </c>
      <c r="AH161" s="235" t="s">
        <v>4020</v>
      </c>
      <c r="AI161" s="235" t="s">
        <v>4020</v>
      </c>
      <c r="AJ161" s="235" t="s">
        <v>4020</v>
      </c>
    </row>
    <row r="162" spans="1:36">
      <c r="A162" s="240">
        <v>1</v>
      </c>
      <c r="B162" s="241" t="s">
        <v>3997</v>
      </c>
      <c r="C162" s="241" t="s">
        <v>3172</v>
      </c>
      <c r="D162" s="241" t="s">
        <v>4299</v>
      </c>
      <c r="E162" s="241">
        <v>5</v>
      </c>
      <c r="F162" s="242" t="s">
        <v>4300</v>
      </c>
      <c r="G162" s="233">
        <v>4650</v>
      </c>
      <c r="H162" s="233">
        <v>20262663</v>
      </c>
      <c r="I162" s="233">
        <v>602565</v>
      </c>
      <c r="J162" s="233">
        <v>596061</v>
      </c>
      <c r="K162" s="233">
        <v>6503</v>
      </c>
      <c r="L162" s="233">
        <v>18718133</v>
      </c>
      <c r="M162" s="233">
        <v>1344953</v>
      </c>
      <c r="N162" s="233">
        <v>188538</v>
      </c>
      <c r="O162" s="233">
        <v>513871</v>
      </c>
      <c r="P162" s="233">
        <v>3078022</v>
      </c>
      <c r="Q162" s="233">
        <v>4642</v>
      </c>
      <c r="R162" s="233">
        <v>20262053</v>
      </c>
      <c r="S162" s="233">
        <v>602538</v>
      </c>
      <c r="T162" s="233">
        <v>596061</v>
      </c>
      <c r="U162" s="233">
        <v>6477</v>
      </c>
      <c r="V162" s="233">
        <v>18717577</v>
      </c>
      <c r="W162" s="233">
        <v>1344814</v>
      </c>
      <c r="X162" s="233">
        <v>188501</v>
      </c>
      <c r="Y162" s="233">
        <v>513871</v>
      </c>
      <c r="Z162" s="233">
        <v>3077791</v>
      </c>
      <c r="AA162" s="233">
        <v>8</v>
      </c>
      <c r="AB162" s="233">
        <v>610</v>
      </c>
      <c r="AC162" s="233">
        <v>27</v>
      </c>
      <c r="AD162" s="233">
        <v>0</v>
      </c>
      <c r="AE162" s="233">
        <v>27</v>
      </c>
      <c r="AF162" s="233">
        <v>556</v>
      </c>
      <c r="AG162" s="233">
        <v>140</v>
      </c>
      <c r="AH162" s="233">
        <v>37</v>
      </c>
      <c r="AI162" s="233">
        <v>0</v>
      </c>
      <c r="AJ162" s="233">
        <v>231</v>
      </c>
    </row>
    <row r="163" spans="1:36">
      <c r="A163" s="240">
        <v>1</v>
      </c>
      <c r="B163" s="241" t="s">
        <v>3997</v>
      </c>
      <c r="C163" s="241" t="s">
        <v>3432</v>
      </c>
      <c r="D163" s="241" t="s">
        <v>4301</v>
      </c>
      <c r="E163" s="241">
        <v>6</v>
      </c>
      <c r="F163" s="242" t="s">
        <v>4302</v>
      </c>
      <c r="G163" s="233">
        <v>30</v>
      </c>
      <c r="H163" s="233">
        <v>9172205</v>
      </c>
      <c r="I163" s="233">
        <v>25203</v>
      </c>
      <c r="J163" s="233">
        <v>25203</v>
      </c>
      <c r="K163" s="233">
        <v>0</v>
      </c>
      <c r="L163" s="233">
        <v>8423386</v>
      </c>
      <c r="M163" s="233">
        <v>402353</v>
      </c>
      <c r="N163" s="233">
        <v>92697</v>
      </c>
      <c r="O163" s="233">
        <v>23311</v>
      </c>
      <c r="P163" s="233">
        <v>1243869</v>
      </c>
      <c r="Q163" s="233">
        <v>30</v>
      </c>
      <c r="R163" s="233">
        <v>9172205</v>
      </c>
      <c r="S163" s="233">
        <v>25203</v>
      </c>
      <c r="T163" s="233">
        <v>25203</v>
      </c>
      <c r="U163" s="233">
        <v>0</v>
      </c>
      <c r="V163" s="233">
        <v>8423386</v>
      </c>
      <c r="W163" s="233">
        <v>402353</v>
      </c>
      <c r="X163" s="233">
        <v>92697</v>
      </c>
      <c r="Y163" s="233">
        <v>23311</v>
      </c>
      <c r="Z163" s="233">
        <v>1243869</v>
      </c>
      <c r="AA163" s="235" t="s">
        <v>5298</v>
      </c>
      <c r="AB163" s="235" t="s">
        <v>5298</v>
      </c>
      <c r="AC163" s="235" t="s">
        <v>5298</v>
      </c>
      <c r="AD163" s="235" t="s">
        <v>5298</v>
      </c>
      <c r="AE163" s="235" t="s">
        <v>5298</v>
      </c>
      <c r="AF163" s="235" t="s">
        <v>5298</v>
      </c>
      <c r="AG163" s="235" t="s">
        <v>5298</v>
      </c>
      <c r="AH163" s="235" t="s">
        <v>5298</v>
      </c>
      <c r="AI163" s="235" t="s">
        <v>5298</v>
      </c>
      <c r="AJ163" s="235" t="s">
        <v>5298</v>
      </c>
    </row>
    <row r="164" spans="1:36">
      <c r="A164" s="240">
        <v>1</v>
      </c>
      <c r="B164" s="241" t="s">
        <v>3997</v>
      </c>
      <c r="C164" s="241" t="s">
        <v>3432</v>
      </c>
      <c r="D164" s="241" t="s">
        <v>4303</v>
      </c>
      <c r="E164" s="241">
        <v>6</v>
      </c>
      <c r="F164" s="242" t="s">
        <v>4304</v>
      </c>
      <c r="G164" s="233">
        <v>55</v>
      </c>
      <c r="H164" s="233">
        <v>3503086</v>
      </c>
      <c r="I164" s="233">
        <v>30968</v>
      </c>
      <c r="J164" s="233">
        <v>30702</v>
      </c>
      <c r="K164" s="233">
        <v>266</v>
      </c>
      <c r="L164" s="233">
        <v>3301897</v>
      </c>
      <c r="M164" s="233">
        <v>188133</v>
      </c>
      <c r="N164" s="233">
        <v>23236</v>
      </c>
      <c r="O164" s="233">
        <v>20354</v>
      </c>
      <c r="P164" s="233">
        <v>412558</v>
      </c>
      <c r="Q164" s="233">
        <v>55</v>
      </c>
      <c r="R164" s="233">
        <v>3503086</v>
      </c>
      <c r="S164" s="233">
        <v>30968</v>
      </c>
      <c r="T164" s="233">
        <v>30702</v>
      </c>
      <c r="U164" s="233">
        <v>266</v>
      </c>
      <c r="V164" s="233">
        <v>3301897</v>
      </c>
      <c r="W164" s="233">
        <v>188133</v>
      </c>
      <c r="X164" s="233">
        <v>23236</v>
      </c>
      <c r="Y164" s="233">
        <v>20354</v>
      </c>
      <c r="Z164" s="233">
        <v>412558</v>
      </c>
      <c r="AA164" s="235" t="s">
        <v>5298</v>
      </c>
      <c r="AB164" s="235" t="s">
        <v>5298</v>
      </c>
      <c r="AC164" s="235" t="s">
        <v>5298</v>
      </c>
      <c r="AD164" s="235" t="s">
        <v>5298</v>
      </c>
      <c r="AE164" s="235" t="s">
        <v>5298</v>
      </c>
      <c r="AF164" s="235" t="s">
        <v>5298</v>
      </c>
      <c r="AG164" s="235" t="s">
        <v>5298</v>
      </c>
      <c r="AH164" s="235" t="s">
        <v>5298</v>
      </c>
      <c r="AI164" s="235" t="s">
        <v>5298</v>
      </c>
      <c r="AJ164" s="235" t="s">
        <v>5298</v>
      </c>
    </row>
    <row r="165" spans="1:36">
      <c r="A165" s="240">
        <v>1</v>
      </c>
      <c r="B165" s="241" t="s">
        <v>3997</v>
      </c>
      <c r="C165" s="241" t="s">
        <v>3432</v>
      </c>
      <c r="D165" s="241" t="s">
        <v>4305</v>
      </c>
      <c r="E165" s="241">
        <v>6</v>
      </c>
      <c r="F165" s="242" t="s">
        <v>4306</v>
      </c>
      <c r="G165" s="233">
        <v>309</v>
      </c>
      <c r="H165" s="233">
        <v>1938825</v>
      </c>
      <c r="I165" s="233">
        <v>105299</v>
      </c>
      <c r="J165" s="233">
        <v>104824</v>
      </c>
      <c r="K165" s="233">
        <v>475</v>
      </c>
      <c r="L165" s="233">
        <v>1800176</v>
      </c>
      <c r="M165" s="233">
        <v>167655</v>
      </c>
      <c r="N165" s="233">
        <v>13070</v>
      </c>
      <c r="O165" s="233">
        <v>88649</v>
      </c>
      <c r="P165" s="233">
        <v>319374</v>
      </c>
      <c r="Q165" s="233">
        <v>309</v>
      </c>
      <c r="R165" s="233">
        <v>1938825</v>
      </c>
      <c r="S165" s="233">
        <v>105299</v>
      </c>
      <c r="T165" s="233">
        <v>104824</v>
      </c>
      <c r="U165" s="233">
        <v>475</v>
      </c>
      <c r="V165" s="233">
        <v>1800176</v>
      </c>
      <c r="W165" s="233">
        <v>167655</v>
      </c>
      <c r="X165" s="233">
        <v>13070</v>
      </c>
      <c r="Y165" s="233">
        <v>88649</v>
      </c>
      <c r="Z165" s="233">
        <v>319374</v>
      </c>
      <c r="AA165" s="235" t="s">
        <v>5298</v>
      </c>
      <c r="AB165" s="235" t="s">
        <v>5298</v>
      </c>
      <c r="AC165" s="235" t="s">
        <v>5298</v>
      </c>
      <c r="AD165" s="235" t="s">
        <v>5298</v>
      </c>
      <c r="AE165" s="235" t="s">
        <v>5298</v>
      </c>
      <c r="AF165" s="235" t="s">
        <v>5298</v>
      </c>
      <c r="AG165" s="235" t="s">
        <v>5298</v>
      </c>
      <c r="AH165" s="235" t="s">
        <v>5298</v>
      </c>
      <c r="AI165" s="235" t="s">
        <v>5298</v>
      </c>
      <c r="AJ165" s="235" t="s">
        <v>5298</v>
      </c>
    </row>
    <row r="166" spans="1:36">
      <c r="A166" s="240">
        <v>1</v>
      </c>
      <c r="B166" s="241" t="s">
        <v>3997</v>
      </c>
      <c r="C166" s="241" t="s">
        <v>3432</v>
      </c>
      <c r="D166" s="241" t="s">
        <v>4307</v>
      </c>
      <c r="E166" s="241">
        <v>6</v>
      </c>
      <c r="F166" s="242" t="s">
        <v>4308</v>
      </c>
      <c r="G166" s="233">
        <v>77</v>
      </c>
      <c r="H166" s="233">
        <v>462153</v>
      </c>
      <c r="I166" s="233">
        <v>1083</v>
      </c>
      <c r="J166" s="233">
        <v>1083</v>
      </c>
      <c r="K166" s="233">
        <v>0</v>
      </c>
      <c r="L166" s="233">
        <v>434766</v>
      </c>
      <c r="M166" s="233">
        <v>33935</v>
      </c>
      <c r="N166" s="233">
        <v>2884</v>
      </c>
      <c r="O166" s="233">
        <v>311</v>
      </c>
      <c r="P166" s="233">
        <v>64206</v>
      </c>
      <c r="Q166" s="233">
        <v>77</v>
      </c>
      <c r="R166" s="233">
        <v>462153</v>
      </c>
      <c r="S166" s="233">
        <v>1083</v>
      </c>
      <c r="T166" s="233">
        <v>1083</v>
      </c>
      <c r="U166" s="233">
        <v>0</v>
      </c>
      <c r="V166" s="233">
        <v>434766</v>
      </c>
      <c r="W166" s="233">
        <v>33935</v>
      </c>
      <c r="X166" s="233">
        <v>2884</v>
      </c>
      <c r="Y166" s="233">
        <v>311</v>
      </c>
      <c r="Z166" s="233">
        <v>64206</v>
      </c>
      <c r="AA166" s="235" t="s">
        <v>5298</v>
      </c>
      <c r="AB166" s="235" t="s">
        <v>5298</v>
      </c>
      <c r="AC166" s="235" t="s">
        <v>5298</v>
      </c>
      <c r="AD166" s="235" t="s">
        <v>5298</v>
      </c>
      <c r="AE166" s="235" t="s">
        <v>5298</v>
      </c>
      <c r="AF166" s="235" t="s">
        <v>5298</v>
      </c>
      <c r="AG166" s="235" t="s">
        <v>5298</v>
      </c>
      <c r="AH166" s="235" t="s">
        <v>5298</v>
      </c>
      <c r="AI166" s="235" t="s">
        <v>5298</v>
      </c>
      <c r="AJ166" s="235" t="s">
        <v>5298</v>
      </c>
    </row>
    <row r="167" spans="1:36">
      <c r="A167" s="240">
        <v>1</v>
      </c>
      <c r="B167" s="241" t="s">
        <v>3997</v>
      </c>
      <c r="C167" s="241" t="s">
        <v>3432</v>
      </c>
      <c r="D167" s="241" t="s">
        <v>4309</v>
      </c>
      <c r="E167" s="241">
        <v>6</v>
      </c>
      <c r="F167" s="242" t="s">
        <v>4310</v>
      </c>
      <c r="G167" s="233">
        <v>1299</v>
      </c>
      <c r="H167" s="233">
        <v>1466588</v>
      </c>
      <c r="I167" s="233">
        <v>48510</v>
      </c>
      <c r="J167" s="233">
        <v>46973</v>
      </c>
      <c r="K167" s="233">
        <v>1537</v>
      </c>
      <c r="L167" s="233">
        <v>1341984</v>
      </c>
      <c r="M167" s="233">
        <v>239248</v>
      </c>
      <c r="N167" s="233">
        <v>21641</v>
      </c>
      <c r="O167" s="233">
        <v>42197</v>
      </c>
      <c r="P167" s="233">
        <v>385493</v>
      </c>
      <c r="Q167" s="233">
        <v>1297</v>
      </c>
      <c r="R167" s="235" t="s">
        <v>4020</v>
      </c>
      <c r="S167" s="235" t="s">
        <v>4020</v>
      </c>
      <c r="T167" s="235" t="s">
        <v>4020</v>
      </c>
      <c r="U167" s="235" t="s">
        <v>4020</v>
      </c>
      <c r="V167" s="235" t="s">
        <v>4020</v>
      </c>
      <c r="W167" s="235" t="s">
        <v>4020</v>
      </c>
      <c r="X167" s="235" t="s">
        <v>4020</v>
      </c>
      <c r="Y167" s="235" t="s">
        <v>4020</v>
      </c>
      <c r="Z167" s="235" t="s">
        <v>4020</v>
      </c>
      <c r="AA167" s="233">
        <v>2</v>
      </c>
      <c r="AB167" s="235" t="s">
        <v>4020</v>
      </c>
      <c r="AC167" s="235" t="s">
        <v>4020</v>
      </c>
      <c r="AD167" s="235" t="s">
        <v>4020</v>
      </c>
      <c r="AE167" s="235" t="s">
        <v>4020</v>
      </c>
      <c r="AF167" s="235" t="s">
        <v>4020</v>
      </c>
      <c r="AG167" s="235" t="s">
        <v>4020</v>
      </c>
      <c r="AH167" s="235" t="s">
        <v>4020</v>
      </c>
      <c r="AI167" s="235" t="s">
        <v>4020</v>
      </c>
      <c r="AJ167" s="235" t="s">
        <v>4020</v>
      </c>
    </row>
    <row r="168" spans="1:36">
      <c r="A168" s="240">
        <v>1</v>
      </c>
      <c r="B168" s="241" t="s">
        <v>3997</v>
      </c>
      <c r="C168" s="241" t="s">
        <v>3432</v>
      </c>
      <c r="D168" s="241" t="s">
        <v>4311</v>
      </c>
      <c r="E168" s="241">
        <v>6</v>
      </c>
      <c r="F168" s="242" t="s">
        <v>4312</v>
      </c>
      <c r="G168" s="233">
        <v>2880</v>
      </c>
      <c r="H168" s="233">
        <v>3719806</v>
      </c>
      <c r="I168" s="233">
        <v>391502</v>
      </c>
      <c r="J168" s="233">
        <v>387276</v>
      </c>
      <c r="K168" s="233">
        <v>4226</v>
      </c>
      <c r="L168" s="233">
        <v>3415923</v>
      </c>
      <c r="M168" s="233">
        <v>313630</v>
      </c>
      <c r="N168" s="233">
        <v>35010</v>
      </c>
      <c r="O168" s="233">
        <v>339050</v>
      </c>
      <c r="P168" s="233">
        <v>652522</v>
      </c>
      <c r="Q168" s="233">
        <v>2874</v>
      </c>
      <c r="R168" s="235" t="s">
        <v>4020</v>
      </c>
      <c r="S168" s="235" t="s">
        <v>4020</v>
      </c>
      <c r="T168" s="235" t="s">
        <v>4020</v>
      </c>
      <c r="U168" s="235" t="s">
        <v>4020</v>
      </c>
      <c r="V168" s="235" t="s">
        <v>4020</v>
      </c>
      <c r="W168" s="235" t="s">
        <v>4020</v>
      </c>
      <c r="X168" s="235" t="s">
        <v>4020</v>
      </c>
      <c r="Y168" s="235" t="s">
        <v>4020</v>
      </c>
      <c r="Z168" s="235" t="s">
        <v>4020</v>
      </c>
      <c r="AA168" s="233">
        <v>6</v>
      </c>
      <c r="AB168" s="235" t="s">
        <v>4020</v>
      </c>
      <c r="AC168" s="235" t="s">
        <v>4020</v>
      </c>
      <c r="AD168" s="235" t="s">
        <v>4020</v>
      </c>
      <c r="AE168" s="235" t="s">
        <v>4020</v>
      </c>
      <c r="AF168" s="235" t="s">
        <v>4020</v>
      </c>
      <c r="AG168" s="235" t="s">
        <v>4020</v>
      </c>
      <c r="AH168" s="235" t="s">
        <v>4020</v>
      </c>
      <c r="AI168" s="235" t="s">
        <v>4020</v>
      </c>
      <c r="AJ168" s="235" t="s">
        <v>4020</v>
      </c>
    </row>
    <row r="169" spans="1:36">
      <c r="A169" s="240">
        <v>1</v>
      </c>
      <c r="B169" s="241" t="s">
        <v>3997</v>
      </c>
      <c r="C169" s="241" t="s">
        <v>3172</v>
      </c>
      <c r="D169" s="241" t="s">
        <v>4313</v>
      </c>
      <c r="E169" s="241">
        <v>5</v>
      </c>
      <c r="F169" s="242" t="s">
        <v>4314</v>
      </c>
      <c r="G169" s="233">
        <v>3113</v>
      </c>
      <c r="H169" s="233">
        <v>14289213</v>
      </c>
      <c r="I169" s="233">
        <v>688732</v>
      </c>
      <c r="J169" s="233">
        <v>636083</v>
      </c>
      <c r="K169" s="233">
        <v>52649</v>
      </c>
      <c r="L169" s="233">
        <v>13139929</v>
      </c>
      <c r="M169" s="233">
        <v>903605</v>
      </c>
      <c r="N169" s="233">
        <v>97707</v>
      </c>
      <c r="O169" s="233">
        <v>937189</v>
      </c>
      <c r="P169" s="233">
        <v>2150595</v>
      </c>
      <c r="Q169" s="233">
        <v>3111</v>
      </c>
      <c r="R169" s="235" t="s">
        <v>4020</v>
      </c>
      <c r="S169" s="235" t="s">
        <v>4020</v>
      </c>
      <c r="T169" s="235" t="s">
        <v>4020</v>
      </c>
      <c r="U169" s="235" t="s">
        <v>4020</v>
      </c>
      <c r="V169" s="235" t="s">
        <v>4020</v>
      </c>
      <c r="W169" s="235" t="s">
        <v>4020</v>
      </c>
      <c r="X169" s="235" t="s">
        <v>4020</v>
      </c>
      <c r="Y169" s="235" t="s">
        <v>4020</v>
      </c>
      <c r="Z169" s="235" t="s">
        <v>4020</v>
      </c>
      <c r="AA169" s="233">
        <v>2</v>
      </c>
      <c r="AB169" s="235" t="s">
        <v>4020</v>
      </c>
      <c r="AC169" s="235" t="s">
        <v>4020</v>
      </c>
      <c r="AD169" s="235" t="s">
        <v>4020</v>
      </c>
      <c r="AE169" s="235" t="s">
        <v>4020</v>
      </c>
      <c r="AF169" s="235" t="s">
        <v>4020</v>
      </c>
      <c r="AG169" s="235" t="s">
        <v>4020</v>
      </c>
      <c r="AH169" s="235" t="s">
        <v>4020</v>
      </c>
      <c r="AI169" s="235" t="s">
        <v>4020</v>
      </c>
      <c r="AJ169" s="235" t="s">
        <v>4020</v>
      </c>
    </row>
    <row r="170" spans="1:36">
      <c r="A170" s="240">
        <v>1</v>
      </c>
      <c r="B170" s="241" t="s">
        <v>3997</v>
      </c>
      <c r="C170" s="241" t="s">
        <v>3432</v>
      </c>
      <c r="D170" s="241" t="s">
        <v>4315</v>
      </c>
      <c r="E170" s="241">
        <v>6</v>
      </c>
      <c r="F170" s="242" t="s">
        <v>4316</v>
      </c>
      <c r="G170" s="233">
        <v>58</v>
      </c>
      <c r="H170" s="233">
        <v>4549108</v>
      </c>
      <c r="I170" s="233">
        <v>76985</v>
      </c>
      <c r="J170" s="233">
        <v>32590</v>
      </c>
      <c r="K170" s="233">
        <v>44395</v>
      </c>
      <c r="L170" s="233">
        <v>4030599</v>
      </c>
      <c r="M170" s="233">
        <v>161567</v>
      </c>
      <c r="N170" s="233">
        <v>19378</v>
      </c>
      <c r="O170" s="233">
        <v>265637</v>
      </c>
      <c r="P170" s="233">
        <v>699454</v>
      </c>
      <c r="Q170" s="233">
        <v>58</v>
      </c>
      <c r="R170" s="233">
        <v>4549108</v>
      </c>
      <c r="S170" s="233">
        <v>76985</v>
      </c>
      <c r="T170" s="233">
        <v>32590</v>
      </c>
      <c r="U170" s="233">
        <v>44395</v>
      </c>
      <c r="V170" s="233">
        <v>4030599</v>
      </c>
      <c r="W170" s="233">
        <v>161567</v>
      </c>
      <c r="X170" s="233">
        <v>19378</v>
      </c>
      <c r="Y170" s="233">
        <v>265637</v>
      </c>
      <c r="Z170" s="233">
        <v>699454</v>
      </c>
      <c r="AA170" s="235" t="s">
        <v>5298</v>
      </c>
      <c r="AB170" s="235" t="s">
        <v>5298</v>
      </c>
      <c r="AC170" s="235" t="s">
        <v>5298</v>
      </c>
      <c r="AD170" s="235" t="s">
        <v>5298</v>
      </c>
      <c r="AE170" s="235" t="s">
        <v>5298</v>
      </c>
      <c r="AF170" s="235" t="s">
        <v>5298</v>
      </c>
      <c r="AG170" s="235" t="s">
        <v>5298</v>
      </c>
      <c r="AH170" s="235" t="s">
        <v>5298</v>
      </c>
      <c r="AI170" s="235" t="s">
        <v>5298</v>
      </c>
      <c r="AJ170" s="235" t="s">
        <v>5298</v>
      </c>
    </row>
    <row r="171" spans="1:36">
      <c r="A171" s="240">
        <v>1</v>
      </c>
      <c r="B171" s="241" t="s">
        <v>3997</v>
      </c>
      <c r="C171" s="241" t="s">
        <v>3432</v>
      </c>
      <c r="D171" s="241" t="s">
        <v>4317</v>
      </c>
      <c r="E171" s="241">
        <v>6</v>
      </c>
      <c r="F171" s="242" t="s">
        <v>4318</v>
      </c>
      <c r="G171" s="233">
        <v>406</v>
      </c>
      <c r="H171" s="233">
        <v>1563280</v>
      </c>
      <c r="I171" s="233">
        <v>214173</v>
      </c>
      <c r="J171" s="233">
        <v>208972</v>
      </c>
      <c r="K171" s="233">
        <v>5202</v>
      </c>
      <c r="L171" s="233">
        <v>1463988</v>
      </c>
      <c r="M171" s="233">
        <v>75516</v>
      </c>
      <c r="N171" s="233">
        <v>8043</v>
      </c>
      <c r="O171" s="233">
        <v>196275</v>
      </c>
      <c r="P171" s="233">
        <v>182851</v>
      </c>
      <c r="Q171" s="233">
        <v>405</v>
      </c>
      <c r="R171" s="235" t="s">
        <v>4020</v>
      </c>
      <c r="S171" s="235" t="s">
        <v>4020</v>
      </c>
      <c r="T171" s="235" t="s">
        <v>4020</v>
      </c>
      <c r="U171" s="235" t="s">
        <v>4020</v>
      </c>
      <c r="V171" s="235" t="s">
        <v>4020</v>
      </c>
      <c r="W171" s="235" t="s">
        <v>4020</v>
      </c>
      <c r="X171" s="235" t="s">
        <v>4020</v>
      </c>
      <c r="Y171" s="235" t="s">
        <v>4020</v>
      </c>
      <c r="Z171" s="235" t="s">
        <v>4020</v>
      </c>
      <c r="AA171" s="233">
        <v>1</v>
      </c>
      <c r="AB171" s="235" t="s">
        <v>4020</v>
      </c>
      <c r="AC171" s="235" t="s">
        <v>4020</v>
      </c>
      <c r="AD171" s="235" t="s">
        <v>4020</v>
      </c>
      <c r="AE171" s="235" t="s">
        <v>4020</v>
      </c>
      <c r="AF171" s="235" t="s">
        <v>4020</v>
      </c>
      <c r="AG171" s="235" t="s">
        <v>4020</v>
      </c>
      <c r="AH171" s="235" t="s">
        <v>4020</v>
      </c>
      <c r="AI171" s="235" t="s">
        <v>4020</v>
      </c>
      <c r="AJ171" s="235" t="s">
        <v>4020</v>
      </c>
    </row>
    <row r="172" spans="1:36">
      <c r="A172" s="240">
        <v>1</v>
      </c>
      <c r="B172" s="241" t="s">
        <v>3997</v>
      </c>
      <c r="C172" s="241" t="s">
        <v>3432</v>
      </c>
      <c r="D172" s="241" t="s">
        <v>4319</v>
      </c>
      <c r="E172" s="241">
        <v>6</v>
      </c>
      <c r="F172" s="242" t="s">
        <v>4320</v>
      </c>
      <c r="G172" s="233">
        <v>522</v>
      </c>
      <c r="H172" s="233">
        <v>2703493</v>
      </c>
      <c r="I172" s="233">
        <v>85392</v>
      </c>
      <c r="J172" s="233">
        <v>82916</v>
      </c>
      <c r="K172" s="233">
        <v>2476</v>
      </c>
      <c r="L172" s="233">
        <v>2480609</v>
      </c>
      <c r="M172" s="233">
        <v>196307</v>
      </c>
      <c r="N172" s="233">
        <v>9830</v>
      </c>
      <c r="O172" s="233">
        <v>86304</v>
      </c>
      <c r="P172" s="233">
        <v>429020</v>
      </c>
      <c r="Q172" s="233">
        <v>522</v>
      </c>
      <c r="R172" s="233">
        <v>2703493</v>
      </c>
      <c r="S172" s="233">
        <v>85392</v>
      </c>
      <c r="T172" s="233">
        <v>82916</v>
      </c>
      <c r="U172" s="233">
        <v>2476</v>
      </c>
      <c r="V172" s="233">
        <v>2480609</v>
      </c>
      <c r="W172" s="233">
        <v>196307</v>
      </c>
      <c r="X172" s="233">
        <v>9830</v>
      </c>
      <c r="Y172" s="233">
        <v>86304</v>
      </c>
      <c r="Z172" s="233">
        <v>429020</v>
      </c>
      <c r="AA172" s="235" t="s">
        <v>5298</v>
      </c>
      <c r="AB172" s="235" t="s">
        <v>5298</v>
      </c>
      <c r="AC172" s="235" t="s">
        <v>5298</v>
      </c>
      <c r="AD172" s="235" t="s">
        <v>5298</v>
      </c>
      <c r="AE172" s="235" t="s">
        <v>5298</v>
      </c>
      <c r="AF172" s="235" t="s">
        <v>5298</v>
      </c>
      <c r="AG172" s="235" t="s">
        <v>5298</v>
      </c>
      <c r="AH172" s="235" t="s">
        <v>5298</v>
      </c>
      <c r="AI172" s="235" t="s">
        <v>5298</v>
      </c>
      <c r="AJ172" s="235" t="s">
        <v>5298</v>
      </c>
    </row>
    <row r="173" spans="1:36">
      <c r="A173" s="240">
        <v>1</v>
      </c>
      <c r="B173" s="241" t="s">
        <v>3997</v>
      </c>
      <c r="C173" s="241" t="s">
        <v>3432</v>
      </c>
      <c r="D173" s="241" t="s">
        <v>4321</v>
      </c>
      <c r="E173" s="241">
        <v>6</v>
      </c>
      <c r="F173" s="242" t="s">
        <v>4322</v>
      </c>
      <c r="G173" s="233">
        <v>420</v>
      </c>
      <c r="H173" s="233">
        <v>3577333</v>
      </c>
      <c r="I173" s="233">
        <v>258278</v>
      </c>
      <c r="J173" s="233">
        <v>258165</v>
      </c>
      <c r="K173" s="233">
        <v>113</v>
      </c>
      <c r="L173" s="233">
        <v>3449175</v>
      </c>
      <c r="M173" s="233">
        <v>203814</v>
      </c>
      <c r="N173" s="233">
        <v>11920</v>
      </c>
      <c r="O173" s="233">
        <v>346657</v>
      </c>
      <c r="P173" s="233">
        <v>343892</v>
      </c>
      <c r="Q173" s="233">
        <v>420</v>
      </c>
      <c r="R173" s="233">
        <v>3577333</v>
      </c>
      <c r="S173" s="233">
        <v>258278</v>
      </c>
      <c r="T173" s="233">
        <v>258165</v>
      </c>
      <c r="U173" s="233">
        <v>113</v>
      </c>
      <c r="V173" s="233">
        <v>3449175</v>
      </c>
      <c r="W173" s="233">
        <v>203814</v>
      </c>
      <c r="X173" s="233">
        <v>11920</v>
      </c>
      <c r="Y173" s="233">
        <v>346657</v>
      </c>
      <c r="Z173" s="233">
        <v>343892</v>
      </c>
      <c r="AA173" s="235" t="s">
        <v>5298</v>
      </c>
      <c r="AB173" s="235" t="s">
        <v>5298</v>
      </c>
      <c r="AC173" s="235" t="s">
        <v>5298</v>
      </c>
      <c r="AD173" s="235" t="s">
        <v>5298</v>
      </c>
      <c r="AE173" s="235" t="s">
        <v>5298</v>
      </c>
      <c r="AF173" s="235" t="s">
        <v>5298</v>
      </c>
      <c r="AG173" s="235" t="s">
        <v>5298</v>
      </c>
      <c r="AH173" s="235" t="s">
        <v>5298</v>
      </c>
      <c r="AI173" s="235" t="s">
        <v>5298</v>
      </c>
      <c r="AJ173" s="235" t="s">
        <v>5298</v>
      </c>
    </row>
    <row r="174" spans="1:36">
      <c r="A174" s="240">
        <v>1</v>
      </c>
      <c r="B174" s="241" t="s">
        <v>3997</v>
      </c>
      <c r="C174" s="241" t="s">
        <v>3432</v>
      </c>
      <c r="D174" s="241" t="s">
        <v>4323</v>
      </c>
      <c r="E174" s="241">
        <v>6</v>
      </c>
      <c r="F174" s="242" t="s">
        <v>4324</v>
      </c>
      <c r="G174" s="233">
        <v>1352</v>
      </c>
      <c r="H174" s="233">
        <v>1139075</v>
      </c>
      <c r="I174" s="233">
        <v>32875</v>
      </c>
      <c r="J174" s="233">
        <v>32627</v>
      </c>
      <c r="K174" s="233">
        <v>248</v>
      </c>
      <c r="L174" s="233">
        <v>1041276</v>
      </c>
      <c r="M174" s="233">
        <v>183973</v>
      </c>
      <c r="N174" s="233">
        <v>18175</v>
      </c>
      <c r="O174" s="233">
        <v>24650</v>
      </c>
      <c r="P174" s="233">
        <v>299947</v>
      </c>
      <c r="Q174" s="233">
        <v>1352</v>
      </c>
      <c r="R174" s="233">
        <v>1139075</v>
      </c>
      <c r="S174" s="233">
        <v>32875</v>
      </c>
      <c r="T174" s="233">
        <v>32627</v>
      </c>
      <c r="U174" s="233">
        <v>248</v>
      </c>
      <c r="V174" s="233">
        <v>1041276</v>
      </c>
      <c r="W174" s="233">
        <v>183973</v>
      </c>
      <c r="X174" s="233">
        <v>18175</v>
      </c>
      <c r="Y174" s="233">
        <v>24650</v>
      </c>
      <c r="Z174" s="233">
        <v>299947</v>
      </c>
      <c r="AA174" s="235" t="s">
        <v>5298</v>
      </c>
      <c r="AB174" s="235" t="s">
        <v>5298</v>
      </c>
      <c r="AC174" s="235" t="s">
        <v>5298</v>
      </c>
      <c r="AD174" s="235" t="s">
        <v>5298</v>
      </c>
      <c r="AE174" s="235" t="s">
        <v>5298</v>
      </c>
      <c r="AF174" s="235" t="s">
        <v>5298</v>
      </c>
      <c r="AG174" s="235" t="s">
        <v>5298</v>
      </c>
      <c r="AH174" s="235" t="s">
        <v>5298</v>
      </c>
      <c r="AI174" s="235" t="s">
        <v>5298</v>
      </c>
      <c r="AJ174" s="235" t="s">
        <v>5298</v>
      </c>
    </row>
    <row r="175" spans="1:36">
      <c r="A175" s="240">
        <v>1</v>
      </c>
      <c r="B175" s="241" t="s">
        <v>3997</v>
      </c>
      <c r="C175" s="241" t="s">
        <v>3432</v>
      </c>
      <c r="D175" s="241" t="s">
        <v>4325</v>
      </c>
      <c r="E175" s="241">
        <v>6</v>
      </c>
      <c r="F175" s="242" t="s">
        <v>4326</v>
      </c>
      <c r="G175" s="233">
        <v>355</v>
      </c>
      <c r="H175" s="233">
        <v>756924</v>
      </c>
      <c r="I175" s="233">
        <v>21029</v>
      </c>
      <c r="J175" s="233">
        <v>20814</v>
      </c>
      <c r="K175" s="233">
        <v>215</v>
      </c>
      <c r="L175" s="233">
        <v>674282</v>
      </c>
      <c r="M175" s="233">
        <v>82428</v>
      </c>
      <c r="N175" s="233">
        <v>30361</v>
      </c>
      <c r="O175" s="233">
        <v>17667</v>
      </c>
      <c r="P175" s="233">
        <v>195431</v>
      </c>
      <c r="Q175" s="233">
        <v>354</v>
      </c>
      <c r="R175" s="235" t="s">
        <v>4020</v>
      </c>
      <c r="S175" s="235" t="s">
        <v>4020</v>
      </c>
      <c r="T175" s="235" t="s">
        <v>4020</v>
      </c>
      <c r="U175" s="235" t="s">
        <v>4020</v>
      </c>
      <c r="V175" s="235" t="s">
        <v>4020</v>
      </c>
      <c r="W175" s="235" t="s">
        <v>4020</v>
      </c>
      <c r="X175" s="235" t="s">
        <v>4020</v>
      </c>
      <c r="Y175" s="235" t="s">
        <v>4020</v>
      </c>
      <c r="Z175" s="235" t="s">
        <v>4020</v>
      </c>
      <c r="AA175" s="233">
        <v>1</v>
      </c>
      <c r="AB175" s="235" t="s">
        <v>4020</v>
      </c>
      <c r="AC175" s="235" t="s">
        <v>4020</v>
      </c>
      <c r="AD175" s="235" t="s">
        <v>4020</v>
      </c>
      <c r="AE175" s="235" t="s">
        <v>4020</v>
      </c>
      <c r="AF175" s="235" t="s">
        <v>4020</v>
      </c>
      <c r="AG175" s="235" t="s">
        <v>4020</v>
      </c>
      <c r="AH175" s="235" t="s">
        <v>4020</v>
      </c>
      <c r="AI175" s="235" t="s">
        <v>4020</v>
      </c>
      <c r="AJ175" s="235" t="s">
        <v>4020</v>
      </c>
    </row>
    <row r="176" spans="1:36">
      <c r="A176" s="240">
        <v>1</v>
      </c>
      <c r="B176" s="241" t="s">
        <v>3997</v>
      </c>
      <c r="C176" s="241" t="s">
        <v>3172</v>
      </c>
      <c r="D176" s="241" t="s">
        <v>4327</v>
      </c>
      <c r="E176" s="241">
        <v>5</v>
      </c>
      <c r="F176" s="242" t="s">
        <v>4328</v>
      </c>
      <c r="G176" s="233">
        <v>33728</v>
      </c>
      <c r="H176" s="233">
        <v>18252033</v>
      </c>
      <c r="I176" s="233">
        <v>911039</v>
      </c>
      <c r="J176" s="233">
        <v>879696</v>
      </c>
      <c r="K176" s="233">
        <v>31343</v>
      </c>
      <c r="L176" s="233">
        <v>16411496</v>
      </c>
      <c r="M176" s="233">
        <v>2987855</v>
      </c>
      <c r="N176" s="233">
        <v>270713</v>
      </c>
      <c r="O176" s="233">
        <v>746347</v>
      </c>
      <c r="P176" s="233">
        <v>5099106</v>
      </c>
      <c r="Q176" s="233">
        <v>33680</v>
      </c>
      <c r="R176" s="233">
        <v>18204423</v>
      </c>
      <c r="S176" s="233">
        <v>910886</v>
      </c>
      <c r="T176" s="233">
        <v>879695</v>
      </c>
      <c r="U176" s="233">
        <v>31191</v>
      </c>
      <c r="V176" s="233">
        <v>16367331</v>
      </c>
      <c r="W176" s="233">
        <v>2980680</v>
      </c>
      <c r="X176" s="233">
        <v>270540</v>
      </c>
      <c r="Y176" s="233">
        <v>746301</v>
      </c>
      <c r="Z176" s="233">
        <v>5088313</v>
      </c>
      <c r="AA176" s="233">
        <v>48</v>
      </c>
      <c r="AB176" s="233">
        <v>47611</v>
      </c>
      <c r="AC176" s="233">
        <v>152</v>
      </c>
      <c r="AD176" s="233">
        <v>1</v>
      </c>
      <c r="AE176" s="233">
        <v>151</v>
      </c>
      <c r="AF176" s="233">
        <v>44165</v>
      </c>
      <c r="AG176" s="233">
        <v>7175</v>
      </c>
      <c r="AH176" s="233">
        <v>172</v>
      </c>
      <c r="AI176" s="233">
        <v>46</v>
      </c>
      <c r="AJ176" s="233">
        <v>10793</v>
      </c>
    </row>
    <row r="177" spans="1:36">
      <c r="A177" s="240">
        <v>1</v>
      </c>
      <c r="B177" s="241" t="s">
        <v>3997</v>
      </c>
      <c r="C177" s="241" t="s">
        <v>3432</v>
      </c>
      <c r="D177" s="241" t="s">
        <v>4329</v>
      </c>
      <c r="E177" s="241">
        <v>6</v>
      </c>
      <c r="F177" s="242" t="s">
        <v>4330</v>
      </c>
      <c r="G177" s="233">
        <v>232</v>
      </c>
      <c r="H177" s="233">
        <v>633513</v>
      </c>
      <c r="I177" s="233">
        <v>7576</v>
      </c>
      <c r="J177" s="233">
        <v>7080</v>
      </c>
      <c r="K177" s="233">
        <v>495</v>
      </c>
      <c r="L177" s="233">
        <v>614551</v>
      </c>
      <c r="M177" s="233">
        <v>64042</v>
      </c>
      <c r="N177" s="233">
        <v>5404</v>
      </c>
      <c r="O177" s="233">
        <v>25425</v>
      </c>
      <c r="P177" s="233">
        <v>88408</v>
      </c>
      <c r="Q177" s="233">
        <v>232</v>
      </c>
      <c r="R177" s="233">
        <v>633513</v>
      </c>
      <c r="S177" s="233">
        <v>7576</v>
      </c>
      <c r="T177" s="233">
        <v>7080</v>
      </c>
      <c r="U177" s="233">
        <v>495</v>
      </c>
      <c r="V177" s="233">
        <v>614551</v>
      </c>
      <c r="W177" s="233">
        <v>64042</v>
      </c>
      <c r="X177" s="233">
        <v>5404</v>
      </c>
      <c r="Y177" s="233">
        <v>25425</v>
      </c>
      <c r="Z177" s="233">
        <v>88408</v>
      </c>
      <c r="AA177" s="235" t="s">
        <v>5298</v>
      </c>
      <c r="AB177" s="235" t="s">
        <v>5298</v>
      </c>
      <c r="AC177" s="235" t="s">
        <v>5298</v>
      </c>
      <c r="AD177" s="235" t="s">
        <v>5298</v>
      </c>
      <c r="AE177" s="235" t="s">
        <v>5298</v>
      </c>
      <c r="AF177" s="235" t="s">
        <v>5298</v>
      </c>
      <c r="AG177" s="235" t="s">
        <v>5298</v>
      </c>
      <c r="AH177" s="235" t="s">
        <v>5298</v>
      </c>
      <c r="AI177" s="235" t="s">
        <v>5298</v>
      </c>
      <c r="AJ177" s="235" t="s">
        <v>5298</v>
      </c>
    </row>
    <row r="178" spans="1:36">
      <c r="A178" s="240">
        <v>1</v>
      </c>
      <c r="B178" s="241" t="s">
        <v>3997</v>
      </c>
      <c r="C178" s="241" t="s">
        <v>3432</v>
      </c>
      <c r="D178" s="241" t="s">
        <v>4331</v>
      </c>
      <c r="E178" s="241">
        <v>6</v>
      </c>
      <c r="F178" s="242" t="s">
        <v>4332</v>
      </c>
      <c r="G178" s="233">
        <v>2851</v>
      </c>
      <c r="H178" s="233">
        <v>1009292</v>
      </c>
      <c r="I178" s="233">
        <v>104375</v>
      </c>
      <c r="J178" s="233">
        <v>98136</v>
      </c>
      <c r="K178" s="233">
        <v>6240</v>
      </c>
      <c r="L178" s="233">
        <v>887792</v>
      </c>
      <c r="M178" s="233">
        <v>185780</v>
      </c>
      <c r="N178" s="233">
        <v>16114</v>
      </c>
      <c r="O178" s="233">
        <v>62883</v>
      </c>
      <c r="P178" s="233">
        <v>323394</v>
      </c>
      <c r="Q178" s="233">
        <v>2834</v>
      </c>
      <c r="R178" s="233">
        <v>1008854</v>
      </c>
      <c r="S178" s="233">
        <v>104277</v>
      </c>
      <c r="T178" s="233">
        <v>98135</v>
      </c>
      <c r="U178" s="233">
        <v>6142</v>
      </c>
      <c r="V178" s="233">
        <v>887421</v>
      </c>
      <c r="W178" s="233">
        <v>185589</v>
      </c>
      <c r="X178" s="233">
        <v>16097</v>
      </c>
      <c r="Y178" s="233">
        <v>62883</v>
      </c>
      <c r="Z178" s="233">
        <v>323119</v>
      </c>
      <c r="AA178" s="233">
        <v>17</v>
      </c>
      <c r="AB178" s="233">
        <v>438</v>
      </c>
      <c r="AC178" s="233">
        <v>99</v>
      </c>
      <c r="AD178" s="233">
        <v>1</v>
      </c>
      <c r="AE178" s="233">
        <v>98</v>
      </c>
      <c r="AF178" s="233">
        <v>371</v>
      </c>
      <c r="AG178" s="233">
        <v>191</v>
      </c>
      <c r="AH178" s="233">
        <v>17</v>
      </c>
      <c r="AI178" s="233">
        <v>0</v>
      </c>
      <c r="AJ178" s="233">
        <v>275</v>
      </c>
    </row>
    <row r="179" spans="1:36">
      <c r="A179" s="240">
        <v>1</v>
      </c>
      <c r="B179" s="241" t="s">
        <v>3997</v>
      </c>
      <c r="C179" s="241" t="s">
        <v>3432</v>
      </c>
      <c r="D179" s="241" t="s">
        <v>4333</v>
      </c>
      <c r="E179" s="241">
        <v>6</v>
      </c>
      <c r="F179" s="242" t="s">
        <v>4334</v>
      </c>
      <c r="G179" s="233">
        <v>1203</v>
      </c>
      <c r="H179" s="233">
        <v>1566673</v>
      </c>
      <c r="I179" s="233">
        <v>115032</v>
      </c>
      <c r="J179" s="233">
        <v>111805</v>
      </c>
      <c r="K179" s="233">
        <v>3227</v>
      </c>
      <c r="L179" s="233">
        <v>1446170</v>
      </c>
      <c r="M179" s="233">
        <v>207422</v>
      </c>
      <c r="N179" s="233">
        <v>12642</v>
      </c>
      <c r="O179" s="233">
        <v>151791</v>
      </c>
      <c r="P179" s="233">
        <v>340567</v>
      </c>
      <c r="Q179" s="233">
        <v>1203</v>
      </c>
      <c r="R179" s="233">
        <v>1566673</v>
      </c>
      <c r="S179" s="233">
        <v>115032</v>
      </c>
      <c r="T179" s="233">
        <v>111805</v>
      </c>
      <c r="U179" s="233">
        <v>3227</v>
      </c>
      <c r="V179" s="233">
        <v>1446170</v>
      </c>
      <c r="W179" s="233">
        <v>207422</v>
      </c>
      <c r="X179" s="233">
        <v>12642</v>
      </c>
      <c r="Y179" s="233">
        <v>151791</v>
      </c>
      <c r="Z179" s="233">
        <v>340567</v>
      </c>
      <c r="AA179" s="235" t="s">
        <v>5298</v>
      </c>
      <c r="AB179" s="235" t="s">
        <v>5298</v>
      </c>
      <c r="AC179" s="235" t="s">
        <v>5298</v>
      </c>
      <c r="AD179" s="235" t="s">
        <v>5298</v>
      </c>
      <c r="AE179" s="235" t="s">
        <v>5298</v>
      </c>
      <c r="AF179" s="235" t="s">
        <v>5298</v>
      </c>
      <c r="AG179" s="235" t="s">
        <v>5298</v>
      </c>
      <c r="AH179" s="235" t="s">
        <v>5298</v>
      </c>
      <c r="AI179" s="235" t="s">
        <v>5298</v>
      </c>
      <c r="AJ179" s="235" t="s">
        <v>5298</v>
      </c>
    </row>
    <row r="180" spans="1:36">
      <c r="A180" s="240">
        <v>1</v>
      </c>
      <c r="B180" s="241" t="s">
        <v>3997</v>
      </c>
      <c r="C180" s="241" t="s">
        <v>3432</v>
      </c>
      <c r="D180" s="241" t="s">
        <v>4335</v>
      </c>
      <c r="E180" s="241">
        <v>6</v>
      </c>
      <c r="F180" s="242" t="s">
        <v>4336</v>
      </c>
      <c r="G180" s="233">
        <v>14902</v>
      </c>
      <c r="H180" s="233">
        <v>7878829</v>
      </c>
      <c r="I180" s="233">
        <v>378690</v>
      </c>
      <c r="J180" s="233">
        <v>368519</v>
      </c>
      <c r="K180" s="233">
        <v>10171</v>
      </c>
      <c r="L180" s="233">
        <v>7066975</v>
      </c>
      <c r="M180" s="233">
        <v>1189978</v>
      </c>
      <c r="N180" s="233">
        <v>111925</v>
      </c>
      <c r="O180" s="233">
        <v>303914</v>
      </c>
      <c r="P180" s="233">
        <v>2113758</v>
      </c>
      <c r="Q180" s="233">
        <v>14890</v>
      </c>
      <c r="R180" s="233">
        <v>7878041</v>
      </c>
      <c r="S180" s="233">
        <v>378690</v>
      </c>
      <c r="T180" s="233">
        <v>368519</v>
      </c>
      <c r="U180" s="233">
        <v>10171</v>
      </c>
      <c r="V180" s="233">
        <v>7066146</v>
      </c>
      <c r="W180" s="233">
        <v>1189683</v>
      </c>
      <c r="X180" s="233">
        <v>111904</v>
      </c>
      <c r="Y180" s="233">
        <v>303914</v>
      </c>
      <c r="Z180" s="233">
        <v>2113482</v>
      </c>
      <c r="AA180" s="233">
        <v>12</v>
      </c>
      <c r="AB180" s="233">
        <v>787</v>
      </c>
      <c r="AC180" s="233">
        <v>0</v>
      </c>
      <c r="AD180" s="233">
        <v>0</v>
      </c>
      <c r="AE180" s="233">
        <v>0</v>
      </c>
      <c r="AF180" s="233">
        <v>829</v>
      </c>
      <c r="AG180" s="233">
        <v>295</v>
      </c>
      <c r="AH180" s="233">
        <v>22</v>
      </c>
      <c r="AI180" s="233">
        <v>0</v>
      </c>
      <c r="AJ180" s="233">
        <v>275</v>
      </c>
    </row>
    <row r="181" spans="1:36">
      <c r="A181" s="240">
        <v>1</v>
      </c>
      <c r="B181" s="241" t="s">
        <v>3997</v>
      </c>
      <c r="C181" s="241" t="s">
        <v>3432</v>
      </c>
      <c r="D181" s="241" t="s">
        <v>4337</v>
      </c>
      <c r="E181" s="241">
        <v>6</v>
      </c>
      <c r="F181" s="242" t="s">
        <v>4338</v>
      </c>
      <c r="G181" s="233">
        <v>4111</v>
      </c>
      <c r="H181" s="233">
        <v>1979156</v>
      </c>
      <c r="I181" s="233">
        <v>60449</v>
      </c>
      <c r="J181" s="233">
        <v>58826</v>
      </c>
      <c r="K181" s="233">
        <v>1624</v>
      </c>
      <c r="L181" s="233">
        <v>1796484</v>
      </c>
      <c r="M181" s="233">
        <v>355607</v>
      </c>
      <c r="N181" s="233">
        <v>35910</v>
      </c>
      <c r="O181" s="233">
        <v>51481</v>
      </c>
      <c r="P181" s="233">
        <v>574189</v>
      </c>
      <c r="Q181" s="233">
        <v>4106</v>
      </c>
      <c r="R181" s="233">
        <v>1978048</v>
      </c>
      <c r="S181" s="233">
        <v>60447</v>
      </c>
      <c r="T181" s="233">
        <v>58826</v>
      </c>
      <c r="U181" s="233">
        <v>1621</v>
      </c>
      <c r="V181" s="233">
        <v>1796256</v>
      </c>
      <c r="W181" s="233">
        <v>355525</v>
      </c>
      <c r="X181" s="233">
        <v>35898</v>
      </c>
      <c r="Y181" s="233">
        <v>51481</v>
      </c>
      <c r="Z181" s="233">
        <v>573215</v>
      </c>
      <c r="AA181" s="233">
        <v>5</v>
      </c>
      <c r="AB181" s="233">
        <v>1107</v>
      </c>
      <c r="AC181" s="233">
        <v>2</v>
      </c>
      <c r="AD181" s="235" t="s">
        <v>5298</v>
      </c>
      <c r="AE181" s="233">
        <v>2</v>
      </c>
      <c r="AF181" s="233">
        <v>228</v>
      </c>
      <c r="AG181" s="233">
        <v>82</v>
      </c>
      <c r="AH181" s="233">
        <v>12</v>
      </c>
      <c r="AI181" s="233">
        <v>0</v>
      </c>
      <c r="AJ181" s="233">
        <v>974</v>
      </c>
    </row>
    <row r="182" spans="1:36">
      <c r="A182" s="240">
        <v>1</v>
      </c>
      <c r="B182" s="241" t="s">
        <v>3997</v>
      </c>
      <c r="C182" s="241" t="s">
        <v>3432</v>
      </c>
      <c r="D182" s="241" t="s">
        <v>4339</v>
      </c>
      <c r="E182" s="241">
        <v>6</v>
      </c>
      <c r="F182" s="242" t="s">
        <v>4340</v>
      </c>
      <c r="G182" s="233">
        <v>5416</v>
      </c>
      <c r="H182" s="233">
        <v>1948820</v>
      </c>
      <c r="I182" s="233">
        <v>39879</v>
      </c>
      <c r="J182" s="233">
        <v>38347</v>
      </c>
      <c r="K182" s="233">
        <v>1532</v>
      </c>
      <c r="L182" s="233">
        <v>1658315</v>
      </c>
      <c r="M182" s="233">
        <v>466396</v>
      </c>
      <c r="N182" s="233">
        <v>46585</v>
      </c>
      <c r="O182" s="233">
        <v>23783</v>
      </c>
      <c r="P182" s="233">
        <v>803486</v>
      </c>
      <c r="Q182" s="233">
        <v>5407</v>
      </c>
      <c r="R182" s="233">
        <v>1947430</v>
      </c>
      <c r="S182" s="233">
        <v>39827</v>
      </c>
      <c r="T182" s="233">
        <v>38347</v>
      </c>
      <c r="U182" s="233">
        <v>1480</v>
      </c>
      <c r="V182" s="233">
        <v>1657169</v>
      </c>
      <c r="W182" s="233">
        <v>466072</v>
      </c>
      <c r="X182" s="233">
        <v>46531</v>
      </c>
      <c r="Y182" s="233">
        <v>23736</v>
      </c>
      <c r="Z182" s="233">
        <v>802865</v>
      </c>
      <c r="AA182" s="233">
        <v>9</v>
      </c>
      <c r="AB182" s="233">
        <v>1390</v>
      </c>
      <c r="AC182" s="233">
        <v>51</v>
      </c>
      <c r="AD182" s="233">
        <v>0</v>
      </c>
      <c r="AE182" s="233">
        <v>51</v>
      </c>
      <c r="AF182" s="233">
        <v>1146</v>
      </c>
      <c r="AG182" s="233">
        <v>324</v>
      </c>
      <c r="AH182" s="233">
        <v>54</v>
      </c>
      <c r="AI182" s="233">
        <v>46</v>
      </c>
      <c r="AJ182" s="233">
        <v>621</v>
      </c>
    </row>
    <row r="183" spans="1:36">
      <c r="A183" s="240">
        <v>1</v>
      </c>
      <c r="B183" s="241" t="s">
        <v>3997</v>
      </c>
      <c r="C183" s="241" t="s">
        <v>3432</v>
      </c>
      <c r="D183" s="241" t="s">
        <v>4341</v>
      </c>
      <c r="E183" s="241">
        <v>6</v>
      </c>
      <c r="F183" s="242" t="s">
        <v>4342</v>
      </c>
      <c r="G183" s="233">
        <v>795</v>
      </c>
      <c r="H183" s="233">
        <v>427773</v>
      </c>
      <c r="I183" s="233">
        <v>20305</v>
      </c>
      <c r="J183" s="233">
        <v>18438</v>
      </c>
      <c r="K183" s="233">
        <v>1867</v>
      </c>
      <c r="L183" s="233">
        <v>384448</v>
      </c>
      <c r="M183" s="233">
        <v>58776</v>
      </c>
      <c r="N183" s="233">
        <v>5988</v>
      </c>
      <c r="O183" s="233">
        <v>12894</v>
      </c>
      <c r="P183" s="233">
        <v>108088</v>
      </c>
      <c r="Q183" s="233">
        <v>795</v>
      </c>
      <c r="R183" s="233">
        <v>427773</v>
      </c>
      <c r="S183" s="233">
        <v>20305</v>
      </c>
      <c r="T183" s="233">
        <v>18438</v>
      </c>
      <c r="U183" s="233">
        <v>1867</v>
      </c>
      <c r="V183" s="233">
        <v>384448</v>
      </c>
      <c r="W183" s="233">
        <v>58776</v>
      </c>
      <c r="X183" s="233">
        <v>5988</v>
      </c>
      <c r="Y183" s="233">
        <v>12894</v>
      </c>
      <c r="Z183" s="233">
        <v>108088</v>
      </c>
      <c r="AA183" s="235" t="s">
        <v>5298</v>
      </c>
      <c r="AB183" s="235" t="s">
        <v>5298</v>
      </c>
      <c r="AC183" s="235" t="s">
        <v>5298</v>
      </c>
      <c r="AD183" s="235" t="s">
        <v>5298</v>
      </c>
      <c r="AE183" s="235" t="s">
        <v>5298</v>
      </c>
      <c r="AF183" s="235" t="s">
        <v>5298</v>
      </c>
      <c r="AG183" s="235" t="s">
        <v>5298</v>
      </c>
      <c r="AH183" s="235" t="s">
        <v>5298</v>
      </c>
      <c r="AI183" s="235" t="s">
        <v>5298</v>
      </c>
      <c r="AJ183" s="235" t="s">
        <v>5298</v>
      </c>
    </row>
    <row r="184" spans="1:36">
      <c r="A184" s="240">
        <v>1</v>
      </c>
      <c r="B184" s="241" t="s">
        <v>3997</v>
      </c>
      <c r="C184" s="241" t="s">
        <v>3432</v>
      </c>
      <c r="D184" s="241" t="s">
        <v>4343</v>
      </c>
      <c r="E184" s="241">
        <v>6</v>
      </c>
      <c r="F184" s="242" t="s">
        <v>4344</v>
      </c>
      <c r="G184" s="233">
        <v>1795</v>
      </c>
      <c r="H184" s="233">
        <v>1350159</v>
      </c>
      <c r="I184" s="233">
        <v>76815</v>
      </c>
      <c r="J184" s="233">
        <v>75289</v>
      </c>
      <c r="K184" s="233">
        <v>1526</v>
      </c>
      <c r="L184" s="233">
        <v>1221700</v>
      </c>
      <c r="M184" s="233">
        <v>200256</v>
      </c>
      <c r="N184" s="233">
        <v>16224</v>
      </c>
      <c r="O184" s="233">
        <v>45827</v>
      </c>
      <c r="P184" s="233">
        <v>344939</v>
      </c>
      <c r="Q184" s="233">
        <v>1791</v>
      </c>
      <c r="R184" s="235" t="s">
        <v>4020</v>
      </c>
      <c r="S184" s="235" t="s">
        <v>4020</v>
      </c>
      <c r="T184" s="235" t="s">
        <v>4020</v>
      </c>
      <c r="U184" s="235" t="s">
        <v>4020</v>
      </c>
      <c r="V184" s="235" t="s">
        <v>4020</v>
      </c>
      <c r="W184" s="235" t="s">
        <v>4020</v>
      </c>
      <c r="X184" s="235" t="s">
        <v>4020</v>
      </c>
      <c r="Y184" s="235" t="s">
        <v>4020</v>
      </c>
      <c r="Z184" s="235" t="s">
        <v>4020</v>
      </c>
      <c r="AA184" s="233">
        <v>4</v>
      </c>
      <c r="AB184" s="235" t="s">
        <v>4020</v>
      </c>
      <c r="AC184" s="235" t="s">
        <v>4020</v>
      </c>
      <c r="AD184" s="235" t="s">
        <v>4020</v>
      </c>
      <c r="AE184" s="235" t="s">
        <v>4020</v>
      </c>
      <c r="AF184" s="235" t="s">
        <v>4020</v>
      </c>
      <c r="AG184" s="235" t="s">
        <v>4020</v>
      </c>
      <c r="AH184" s="235" t="s">
        <v>4020</v>
      </c>
      <c r="AI184" s="235" t="s">
        <v>4020</v>
      </c>
      <c r="AJ184" s="235" t="s">
        <v>4020</v>
      </c>
    </row>
    <row r="185" spans="1:36">
      <c r="A185" s="240">
        <v>1</v>
      </c>
      <c r="B185" s="241" t="s">
        <v>3997</v>
      </c>
      <c r="C185" s="241" t="s">
        <v>3432</v>
      </c>
      <c r="D185" s="241" t="s">
        <v>4345</v>
      </c>
      <c r="E185" s="241">
        <v>6</v>
      </c>
      <c r="F185" s="242" t="s">
        <v>4346</v>
      </c>
      <c r="G185" s="233">
        <v>2423</v>
      </c>
      <c r="H185" s="233">
        <v>1457818</v>
      </c>
      <c r="I185" s="233">
        <v>107918</v>
      </c>
      <c r="J185" s="233">
        <v>103257</v>
      </c>
      <c r="K185" s="233">
        <v>4661</v>
      </c>
      <c r="L185" s="233">
        <v>1335060</v>
      </c>
      <c r="M185" s="233">
        <v>259598</v>
      </c>
      <c r="N185" s="233">
        <v>19921</v>
      </c>
      <c r="O185" s="233">
        <v>68350</v>
      </c>
      <c r="P185" s="233">
        <v>402277</v>
      </c>
      <c r="Q185" s="233">
        <v>2422</v>
      </c>
      <c r="R185" s="235" t="s">
        <v>4020</v>
      </c>
      <c r="S185" s="235" t="s">
        <v>4020</v>
      </c>
      <c r="T185" s="235" t="s">
        <v>4020</v>
      </c>
      <c r="U185" s="235" t="s">
        <v>4020</v>
      </c>
      <c r="V185" s="235" t="s">
        <v>4020</v>
      </c>
      <c r="W185" s="235" t="s">
        <v>4020</v>
      </c>
      <c r="X185" s="235" t="s">
        <v>4020</v>
      </c>
      <c r="Y185" s="235" t="s">
        <v>4020</v>
      </c>
      <c r="Z185" s="235" t="s">
        <v>4020</v>
      </c>
      <c r="AA185" s="233">
        <v>1</v>
      </c>
      <c r="AB185" s="235" t="s">
        <v>4020</v>
      </c>
      <c r="AC185" s="235" t="s">
        <v>4020</v>
      </c>
      <c r="AD185" s="235" t="s">
        <v>4020</v>
      </c>
      <c r="AE185" s="235" t="s">
        <v>4020</v>
      </c>
      <c r="AF185" s="235" t="s">
        <v>4020</v>
      </c>
      <c r="AG185" s="235" t="s">
        <v>4020</v>
      </c>
      <c r="AH185" s="235" t="s">
        <v>4020</v>
      </c>
      <c r="AI185" s="235" t="s">
        <v>4020</v>
      </c>
      <c r="AJ185" s="235" t="s">
        <v>4020</v>
      </c>
    </row>
    <row r="186" spans="1:36">
      <c r="A186" s="240">
        <v>1</v>
      </c>
      <c r="B186" s="241" t="s">
        <v>3997</v>
      </c>
      <c r="C186" s="241" t="s">
        <v>3172</v>
      </c>
      <c r="D186" s="241" t="s">
        <v>4347</v>
      </c>
      <c r="E186" s="241">
        <v>5</v>
      </c>
      <c r="F186" s="242" t="s">
        <v>4348</v>
      </c>
      <c r="G186" s="233">
        <v>9516</v>
      </c>
      <c r="H186" s="233">
        <v>14681640</v>
      </c>
      <c r="I186" s="233">
        <v>1182770</v>
      </c>
      <c r="J186" s="233">
        <v>1165950</v>
      </c>
      <c r="K186" s="233">
        <v>16821</v>
      </c>
      <c r="L186" s="233">
        <v>13341986</v>
      </c>
      <c r="M186" s="233">
        <v>1945630</v>
      </c>
      <c r="N186" s="233">
        <v>123642</v>
      </c>
      <c r="O186" s="233">
        <v>998305</v>
      </c>
      <c r="P186" s="233">
        <v>3408926</v>
      </c>
      <c r="Q186" s="233">
        <v>9509</v>
      </c>
      <c r="R186" s="233">
        <v>14681586</v>
      </c>
      <c r="S186" s="233">
        <v>1182770</v>
      </c>
      <c r="T186" s="233">
        <v>1165950</v>
      </c>
      <c r="U186" s="233">
        <v>16821</v>
      </c>
      <c r="V186" s="233">
        <v>13341948</v>
      </c>
      <c r="W186" s="233">
        <v>1945603</v>
      </c>
      <c r="X186" s="233">
        <v>123640</v>
      </c>
      <c r="Y186" s="233">
        <v>998305</v>
      </c>
      <c r="Z186" s="233">
        <v>3408881</v>
      </c>
      <c r="AA186" s="233">
        <v>7</v>
      </c>
      <c r="AB186" s="233">
        <v>54</v>
      </c>
      <c r="AC186" s="233">
        <v>0</v>
      </c>
      <c r="AD186" s="233">
        <v>0</v>
      </c>
      <c r="AE186" s="233">
        <v>0</v>
      </c>
      <c r="AF186" s="233">
        <v>38</v>
      </c>
      <c r="AG186" s="233">
        <v>27</v>
      </c>
      <c r="AH186" s="233">
        <v>2</v>
      </c>
      <c r="AI186" s="233">
        <v>0</v>
      </c>
      <c r="AJ186" s="233">
        <v>45</v>
      </c>
    </row>
    <row r="187" spans="1:36">
      <c r="A187" s="240">
        <v>1</v>
      </c>
      <c r="B187" s="241" t="s">
        <v>3997</v>
      </c>
      <c r="C187" s="241" t="s">
        <v>3432</v>
      </c>
      <c r="D187" s="241" t="s">
        <v>4349</v>
      </c>
      <c r="E187" s="241">
        <v>6</v>
      </c>
      <c r="F187" s="242" t="s">
        <v>4350</v>
      </c>
      <c r="G187" s="233">
        <v>382</v>
      </c>
      <c r="H187" s="233">
        <v>1696617</v>
      </c>
      <c r="I187" s="233">
        <v>1344</v>
      </c>
      <c r="J187" s="233">
        <v>1007</v>
      </c>
      <c r="K187" s="233">
        <v>337</v>
      </c>
      <c r="L187" s="233">
        <v>1671890</v>
      </c>
      <c r="M187" s="233">
        <v>181996</v>
      </c>
      <c r="N187" s="233">
        <v>10952</v>
      </c>
      <c r="O187" s="233">
        <v>465</v>
      </c>
      <c r="P187" s="233">
        <v>217674</v>
      </c>
      <c r="Q187" s="233">
        <v>382</v>
      </c>
      <c r="R187" s="233">
        <v>1696617</v>
      </c>
      <c r="S187" s="233">
        <v>1344</v>
      </c>
      <c r="T187" s="233">
        <v>1007</v>
      </c>
      <c r="U187" s="233">
        <v>337</v>
      </c>
      <c r="V187" s="233">
        <v>1671890</v>
      </c>
      <c r="W187" s="233">
        <v>181996</v>
      </c>
      <c r="X187" s="233">
        <v>10952</v>
      </c>
      <c r="Y187" s="233">
        <v>465</v>
      </c>
      <c r="Z187" s="233">
        <v>217674</v>
      </c>
      <c r="AA187" s="235" t="s">
        <v>5298</v>
      </c>
      <c r="AB187" s="235" t="s">
        <v>5298</v>
      </c>
      <c r="AC187" s="235" t="s">
        <v>5298</v>
      </c>
      <c r="AD187" s="235" t="s">
        <v>5298</v>
      </c>
      <c r="AE187" s="235" t="s">
        <v>5298</v>
      </c>
      <c r="AF187" s="235" t="s">
        <v>5298</v>
      </c>
      <c r="AG187" s="235" t="s">
        <v>5298</v>
      </c>
      <c r="AH187" s="235" t="s">
        <v>5298</v>
      </c>
      <c r="AI187" s="235" t="s">
        <v>5298</v>
      </c>
      <c r="AJ187" s="235" t="s">
        <v>5298</v>
      </c>
    </row>
    <row r="188" spans="1:36">
      <c r="A188" s="240">
        <v>1</v>
      </c>
      <c r="B188" s="241" t="s">
        <v>3997</v>
      </c>
      <c r="C188" s="241" t="s">
        <v>3432</v>
      </c>
      <c r="D188" s="241" t="s">
        <v>4351</v>
      </c>
      <c r="E188" s="241">
        <v>6</v>
      </c>
      <c r="F188" s="242" t="s">
        <v>4352</v>
      </c>
      <c r="G188" s="233">
        <v>1453</v>
      </c>
      <c r="H188" s="233">
        <v>2882489</v>
      </c>
      <c r="I188" s="233">
        <v>89325</v>
      </c>
      <c r="J188" s="233">
        <v>86565</v>
      </c>
      <c r="K188" s="233">
        <v>2760</v>
      </c>
      <c r="L188" s="233">
        <v>2485102</v>
      </c>
      <c r="M188" s="233">
        <v>371287</v>
      </c>
      <c r="N188" s="233">
        <v>24375</v>
      </c>
      <c r="O188" s="233">
        <v>64124</v>
      </c>
      <c r="P188" s="233">
        <v>793049</v>
      </c>
      <c r="Q188" s="233">
        <v>1452</v>
      </c>
      <c r="R188" s="235" t="s">
        <v>4020</v>
      </c>
      <c r="S188" s="235" t="s">
        <v>4020</v>
      </c>
      <c r="T188" s="235" t="s">
        <v>4020</v>
      </c>
      <c r="U188" s="235" t="s">
        <v>4020</v>
      </c>
      <c r="V188" s="235" t="s">
        <v>4020</v>
      </c>
      <c r="W188" s="235" t="s">
        <v>4020</v>
      </c>
      <c r="X188" s="235" t="s">
        <v>4020</v>
      </c>
      <c r="Y188" s="235" t="s">
        <v>4020</v>
      </c>
      <c r="Z188" s="235" t="s">
        <v>4020</v>
      </c>
      <c r="AA188" s="233">
        <v>1</v>
      </c>
      <c r="AB188" s="235" t="s">
        <v>4020</v>
      </c>
      <c r="AC188" s="235" t="s">
        <v>4020</v>
      </c>
      <c r="AD188" s="235" t="s">
        <v>4020</v>
      </c>
      <c r="AE188" s="235" t="s">
        <v>4020</v>
      </c>
      <c r="AF188" s="235" t="s">
        <v>4020</v>
      </c>
      <c r="AG188" s="235" t="s">
        <v>4020</v>
      </c>
      <c r="AH188" s="235" t="s">
        <v>4020</v>
      </c>
      <c r="AI188" s="235" t="s">
        <v>4020</v>
      </c>
      <c r="AJ188" s="235" t="s">
        <v>4020</v>
      </c>
    </row>
    <row r="189" spans="1:36">
      <c r="A189" s="240">
        <v>1</v>
      </c>
      <c r="B189" s="241" t="s">
        <v>3997</v>
      </c>
      <c r="C189" s="241" t="s">
        <v>3432</v>
      </c>
      <c r="D189" s="241" t="s">
        <v>4353</v>
      </c>
      <c r="E189" s="241">
        <v>6</v>
      </c>
      <c r="F189" s="242" t="s">
        <v>4354</v>
      </c>
      <c r="G189" s="233">
        <v>3149</v>
      </c>
      <c r="H189" s="233">
        <v>5093423</v>
      </c>
      <c r="I189" s="233">
        <v>182562</v>
      </c>
      <c r="J189" s="233">
        <v>174893</v>
      </c>
      <c r="K189" s="233">
        <v>7669</v>
      </c>
      <c r="L189" s="233">
        <v>4577457</v>
      </c>
      <c r="M189" s="233">
        <v>725160</v>
      </c>
      <c r="N189" s="233">
        <v>42468</v>
      </c>
      <c r="O189" s="233">
        <v>124178</v>
      </c>
      <c r="P189" s="233">
        <v>1283593</v>
      </c>
      <c r="Q189" s="233">
        <v>3148</v>
      </c>
      <c r="R189" s="235" t="s">
        <v>4020</v>
      </c>
      <c r="S189" s="235" t="s">
        <v>4020</v>
      </c>
      <c r="T189" s="235" t="s">
        <v>4020</v>
      </c>
      <c r="U189" s="235" t="s">
        <v>4020</v>
      </c>
      <c r="V189" s="235" t="s">
        <v>4020</v>
      </c>
      <c r="W189" s="235" t="s">
        <v>4020</v>
      </c>
      <c r="X189" s="235" t="s">
        <v>4020</v>
      </c>
      <c r="Y189" s="235" t="s">
        <v>4020</v>
      </c>
      <c r="Z189" s="235" t="s">
        <v>4020</v>
      </c>
      <c r="AA189" s="233">
        <v>1</v>
      </c>
      <c r="AB189" s="235" t="s">
        <v>4020</v>
      </c>
      <c r="AC189" s="235" t="s">
        <v>4020</v>
      </c>
      <c r="AD189" s="235" t="s">
        <v>4020</v>
      </c>
      <c r="AE189" s="235" t="s">
        <v>4020</v>
      </c>
      <c r="AF189" s="235" t="s">
        <v>4020</v>
      </c>
      <c r="AG189" s="235" t="s">
        <v>4020</v>
      </c>
      <c r="AH189" s="235" t="s">
        <v>4020</v>
      </c>
      <c r="AI189" s="235" t="s">
        <v>4020</v>
      </c>
      <c r="AJ189" s="235" t="s">
        <v>4020</v>
      </c>
    </row>
    <row r="190" spans="1:36">
      <c r="A190" s="240">
        <v>1</v>
      </c>
      <c r="B190" s="241" t="s">
        <v>3997</v>
      </c>
      <c r="C190" s="241" t="s">
        <v>3432</v>
      </c>
      <c r="D190" s="241" t="s">
        <v>4355</v>
      </c>
      <c r="E190" s="241">
        <v>6</v>
      </c>
      <c r="F190" s="242" t="s">
        <v>4356</v>
      </c>
      <c r="G190" s="233">
        <v>4532</v>
      </c>
      <c r="H190" s="233">
        <v>5009111</v>
      </c>
      <c r="I190" s="233">
        <v>909540</v>
      </c>
      <c r="J190" s="233">
        <v>903485</v>
      </c>
      <c r="K190" s="233">
        <v>6054</v>
      </c>
      <c r="L190" s="233">
        <v>4607537</v>
      </c>
      <c r="M190" s="233">
        <v>667187</v>
      </c>
      <c r="N190" s="233">
        <v>45848</v>
      </c>
      <c r="O190" s="233">
        <v>809538</v>
      </c>
      <c r="P190" s="233">
        <v>1114610</v>
      </c>
      <c r="Q190" s="233">
        <v>4527</v>
      </c>
      <c r="R190" s="235" t="s">
        <v>4020</v>
      </c>
      <c r="S190" s="235" t="s">
        <v>4020</v>
      </c>
      <c r="T190" s="235" t="s">
        <v>4020</v>
      </c>
      <c r="U190" s="235" t="s">
        <v>4020</v>
      </c>
      <c r="V190" s="235" t="s">
        <v>4020</v>
      </c>
      <c r="W190" s="235" t="s">
        <v>4020</v>
      </c>
      <c r="X190" s="235" t="s">
        <v>4020</v>
      </c>
      <c r="Y190" s="235" t="s">
        <v>4020</v>
      </c>
      <c r="Z190" s="235" t="s">
        <v>4020</v>
      </c>
      <c r="AA190" s="233">
        <v>5</v>
      </c>
      <c r="AB190" s="235" t="s">
        <v>4020</v>
      </c>
      <c r="AC190" s="235" t="s">
        <v>4020</v>
      </c>
      <c r="AD190" s="235" t="s">
        <v>4020</v>
      </c>
      <c r="AE190" s="235" t="s">
        <v>4020</v>
      </c>
      <c r="AF190" s="235" t="s">
        <v>4020</v>
      </c>
      <c r="AG190" s="235" t="s">
        <v>4020</v>
      </c>
      <c r="AH190" s="235" t="s">
        <v>4020</v>
      </c>
      <c r="AI190" s="235" t="s">
        <v>4020</v>
      </c>
      <c r="AJ190" s="235" t="s">
        <v>4020</v>
      </c>
    </row>
    <row r="191" spans="1:36">
      <c r="A191" s="240">
        <v>1</v>
      </c>
      <c r="B191" s="241" t="s">
        <v>3997</v>
      </c>
      <c r="C191" s="241" t="s">
        <v>3172</v>
      </c>
      <c r="D191" s="241" t="s">
        <v>4357</v>
      </c>
      <c r="E191" s="241">
        <v>5</v>
      </c>
      <c r="F191" s="242" t="s">
        <v>4358</v>
      </c>
      <c r="G191" s="233">
        <v>25904</v>
      </c>
      <c r="H191" s="233">
        <v>26422457</v>
      </c>
      <c r="I191" s="233">
        <v>712842</v>
      </c>
      <c r="J191" s="233">
        <v>694476</v>
      </c>
      <c r="K191" s="233">
        <v>18366</v>
      </c>
      <c r="L191" s="233">
        <v>23444323</v>
      </c>
      <c r="M191" s="233">
        <v>3257447</v>
      </c>
      <c r="N191" s="233">
        <v>272745</v>
      </c>
      <c r="O191" s="233">
        <v>547262</v>
      </c>
      <c r="P191" s="233">
        <v>6508326</v>
      </c>
      <c r="Q191" s="233">
        <v>25888</v>
      </c>
      <c r="R191" s="233">
        <v>26417148</v>
      </c>
      <c r="S191" s="233">
        <v>712842</v>
      </c>
      <c r="T191" s="233">
        <v>694476</v>
      </c>
      <c r="U191" s="233">
        <v>18366</v>
      </c>
      <c r="V191" s="233">
        <v>23440345</v>
      </c>
      <c r="W191" s="233">
        <v>3256124</v>
      </c>
      <c r="X191" s="233">
        <v>272514</v>
      </c>
      <c r="Y191" s="233">
        <v>547262</v>
      </c>
      <c r="Z191" s="233">
        <v>6505441</v>
      </c>
      <c r="AA191" s="233">
        <v>16</v>
      </c>
      <c r="AB191" s="233">
        <v>5309</v>
      </c>
      <c r="AC191" s="233">
        <v>0</v>
      </c>
      <c r="AD191" s="233">
        <v>0</v>
      </c>
      <c r="AE191" s="233">
        <v>0</v>
      </c>
      <c r="AF191" s="233">
        <v>3977</v>
      </c>
      <c r="AG191" s="233">
        <v>1323</v>
      </c>
      <c r="AH191" s="233">
        <v>230</v>
      </c>
      <c r="AI191" s="233">
        <v>0</v>
      </c>
      <c r="AJ191" s="233">
        <v>2885</v>
      </c>
    </row>
    <row r="192" spans="1:36">
      <c r="A192" s="240">
        <v>1</v>
      </c>
      <c r="B192" s="241" t="s">
        <v>3997</v>
      </c>
      <c r="C192" s="241" t="s">
        <v>3432</v>
      </c>
      <c r="D192" s="241" t="s">
        <v>4359</v>
      </c>
      <c r="E192" s="241">
        <v>6</v>
      </c>
      <c r="F192" s="242" t="s">
        <v>4360</v>
      </c>
      <c r="G192" s="233">
        <v>856</v>
      </c>
      <c r="H192" s="233">
        <v>2060958</v>
      </c>
      <c r="I192" s="233">
        <v>22439</v>
      </c>
      <c r="J192" s="233">
        <v>21233</v>
      </c>
      <c r="K192" s="233">
        <v>1206</v>
      </c>
      <c r="L192" s="233">
        <v>1935888</v>
      </c>
      <c r="M192" s="233">
        <v>132422</v>
      </c>
      <c r="N192" s="233">
        <v>11955</v>
      </c>
      <c r="O192" s="233">
        <v>15438</v>
      </c>
      <c r="P192" s="233">
        <v>269447</v>
      </c>
      <c r="Q192" s="233">
        <v>855</v>
      </c>
      <c r="R192" s="235" t="s">
        <v>4020</v>
      </c>
      <c r="S192" s="235" t="s">
        <v>4020</v>
      </c>
      <c r="T192" s="235" t="s">
        <v>4020</v>
      </c>
      <c r="U192" s="235" t="s">
        <v>4020</v>
      </c>
      <c r="V192" s="235" t="s">
        <v>4020</v>
      </c>
      <c r="W192" s="235" t="s">
        <v>4020</v>
      </c>
      <c r="X192" s="235" t="s">
        <v>4020</v>
      </c>
      <c r="Y192" s="235" t="s">
        <v>4020</v>
      </c>
      <c r="Z192" s="235" t="s">
        <v>4020</v>
      </c>
      <c r="AA192" s="233">
        <v>1</v>
      </c>
      <c r="AB192" s="235" t="s">
        <v>4020</v>
      </c>
      <c r="AC192" s="235" t="s">
        <v>4020</v>
      </c>
      <c r="AD192" s="235" t="s">
        <v>4020</v>
      </c>
      <c r="AE192" s="235" t="s">
        <v>4020</v>
      </c>
      <c r="AF192" s="235" t="s">
        <v>4020</v>
      </c>
      <c r="AG192" s="235" t="s">
        <v>4020</v>
      </c>
      <c r="AH192" s="235" t="s">
        <v>4020</v>
      </c>
      <c r="AI192" s="235" t="s">
        <v>4020</v>
      </c>
      <c r="AJ192" s="235" t="s">
        <v>4020</v>
      </c>
    </row>
    <row r="193" spans="1:36">
      <c r="A193" s="240">
        <v>1</v>
      </c>
      <c r="B193" s="241" t="s">
        <v>3997</v>
      </c>
      <c r="C193" s="241" t="s">
        <v>3432</v>
      </c>
      <c r="D193" s="241" t="s">
        <v>4361</v>
      </c>
      <c r="E193" s="241">
        <v>6</v>
      </c>
      <c r="F193" s="242" t="s">
        <v>4362</v>
      </c>
      <c r="G193" s="233">
        <v>1495</v>
      </c>
      <c r="H193" s="233">
        <v>4413682</v>
      </c>
      <c r="I193" s="233">
        <v>98125</v>
      </c>
      <c r="J193" s="233">
        <v>96526</v>
      </c>
      <c r="K193" s="233">
        <v>1599</v>
      </c>
      <c r="L193" s="233">
        <v>4089299</v>
      </c>
      <c r="M193" s="233">
        <v>424301</v>
      </c>
      <c r="N193" s="233">
        <v>29158</v>
      </c>
      <c r="O193" s="233">
        <v>69856</v>
      </c>
      <c r="P193" s="233">
        <v>777842</v>
      </c>
      <c r="Q193" s="233">
        <v>1495</v>
      </c>
      <c r="R193" s="233">
        <v>4413682</v>
      </c>
      <c r="S193" s="233">
        <v>98125</v>
      </c>
      <c r="T193" s="233">
        <v>96526</v>
      </c>
      <c r="U193" s="233">
        <v>1599</v>
      </c>
      <c r="V193" s="233">
        <v>4089299</v>
      </c>
      <c r="W193" s="233">
        <v>424301</v>
      </c>
      <c r="X193" s="233">
        <v>29158</v>
      </c>
      <c r="Y193" s="233">
        <v>69856</v>
      </c>
      <c r="Z193" s="233">
        <v>777842</v>
      </c>
      <c r="AA193" s="235" t="s">
        <v>5298</v>
      </c>
      <c r="AB193" s="235" t="s">
        <v>5298</v>
      </c>
      <c r="AC193" s="235" t="s">
        <v>5298</v>
      </c>
      <c r="AD193" s="235" t="s">
        <v>5298</v>
      </c>
      <c r="AE193" s="235" t="s">
        <v>5298</v>
      </c>
      <c r="AF193" s="235" t="s">
        <v>5298</v>
      </c>
      <c r="AG193" s="235" t="s">
        <v>5298</v>
      </c>
      <c r="AH193" s="235" t="s">
        <v>5298</v>
      </c>
      <c r="AI193" s="235" t="s">
        <v>5298</v>
      </c>
      <c r="AJ193" s="235" t="s">
        <v>5298</v>
      </c>
    </row>
    <row r="194" spans="1:36">
      <c r="A194" s="240">
        <v>1</v>
      </c>
      <c r="B194" s="241" t="s">
        <v>3997</v>
      </c>
      <c r="C194" s="241" t="s">
        <v>3432</v>
      </c>
      <c r="D194" s="241" t="s">
        <v>4363</v>
      </c>
      <c r="E194" s="241">
        <v>6</v>
      </c>
      <c r="F194" s="242" t="s">
        <v>4364</v>
      </c>
      <c r="G194" s="233">
        <v>499</v>
      </c>
      <c r="H194" s="233">
        <v>367099</v>
      </c>
      <c r="I194" s="233">
        <v>58485</v>
      </c>
      <c r="J194" s="233">
        <v>58155</v>
      </c>
      <c r="K194" s="233">
        <v>331</v>
      </c>
      <c r="L194" s="233">
        <v>339866</v>
      </c>
      <c r="M194" s="233">
        <v>55338</v>
      </c>
      <c r="N194" s="233">
        <v>4879</v>
      </c>
      <c r="O194" s="233">
        <v>55749</v>
      </c>
      <c r="P194" s="233">
        <v>87449</v>
      </c>
      <c r="Q194" s="233">
        <v>499</v>
      </c>
      <c r="R194" s="233">
        <v>367099</v>
      </c>
      <c r="S194" s="233">
        <v>58485</v>
      </c>
      <c r="T194" s="233">
        <v>58155</v>
      </c>
      <c r="U194" s="233">
        <v>331</v>
      </c>
      <c r="V194" s="233">
        <v>339866</v>
      </c>
      <c r="W194" s="233">
        <v>55338</v>
      </c>
      <c r="X194" s="233">
        <v>4879</v>
      </c>
      <c r="Y194" s="233">
        <v>55749</v>
      </c>
      <c r="Z194" s="233">
        <v>87449</v>
      </c>
      <c r="AA194" s="235" t="s">
        <v>5298</v>
      </c>
      <c r="AB194" s="235" t="s">
        <v>5298</v>
      </c>
      <c r="AC194" s="235" t="s">
        <v>5298</v>
      </c>
      <c r="AD194" s="235" t="s">
        <v>5298</v>
      </c>
      <c r="AE194" s="235" t="s">
        <v>5298</v>
      </c>
      <c r="AF194" s="235" t="s">
        <v>5298</v>
      </c>
      <c r="AG194" s="235" t="s">
        <v>5298</v>
      </c>
      <c r="AH194" s="235" t="s">
        <v>5298</v>
      </c>
      <c r="AI194" s="235" t="s">
        <v>5298</v>
      </c>
      <c r="AJ194" s="235" t="s">
        <v>5298</v>
      </c>
    </row>
    <row r="195" spans="1:36">
      <c r="A195" s="240">
        <v>1</v>
      </c>
      <c r="B195" s="241" t="s">
        <v>3997</v>
      </c>
      <c r="C195" s="241" t="s">
        <v>3432</v>
      </c>
      <c r="D195" s="241" t="s">
        <v>4365</v>
      </c>
      <c r="E195" s="241">
        <v>6</v>
      </c>
      <c r="F195" s="242" t="s">
        <v>4366</v>
      </c>
      <c r="G195" s="233">
        <v>2794</v>
      </c>
      <c r="H195" s="233">
        <v>1670607</v>
      </c>
      <c r="I195" s="233">
        <v>96763</v>
      </c>
      <c r="J195" s="233">
        <v>93562</v>
      </c>
      <c r="K195" s="233">
        <v>3201</v>
      </c>
      <c r="L195" s="233">
        <v>1469852</v>
      </c>
      <c r="M195" s="233">
        <v>294256</v>
      </c>
      <c r="N195" s="233">
        <v>22025</v>
      </c>
      <c r="O195" s="233">
        <v>51640</v>
      </c>
      <c r="P195" s="233">
        <v>517035</v>
      </c>
      <c r="Q195" s="233">
        <v>2792</v>
      </c>
      <c r="R195" s="235" t="s">
        <v>4020</v>
      </c>
      <c r="S195" s="235" t="s">
        <v>4020</v>
      </c>
      <c r="T195" s="235" t="s">
        <v>4020</v>
      </c>
      <c r="U195" s="235" t="s">
        <v>4020</v>
      </c>
      <c r="V195" s="235" t="s">
        <v>4020</v>
      </c>
      <c r="W195" s="235" t="s">
        <v>4020</v>
      </c>
      <c r="X195" s="235" t="s">
        <v>4020</v>
      </c>
      <c r="Y195" s="235" t="s">
        <v>4020</v>
      </c>
      <c r="Z195" s="235" t="s">
        <v>4020</v>
      </c>
      <c r="AA195" s="233">
        <v>2</v>
      </c>
      <c r="AB195" s="235" t="s">
        <v>4020</v>
      </c>
      <c r="AC195" s="235" t="s">
        <v>4020</v>
      </c>
      <c r="AD195" s="235" t="s">
        <v>4020</v>
      </c>
      <c r="AE195" s="235" t="s">
        <v>4020</v>
      </c>
      <c r="AF195" s="235" t="s">
        <v>4020</v>
      </c>
      <c r="AG195" s="235" t="s">
        <v>4020</v>
      </c>
      <c r="AH195" s="235" t="s">
        <v>4020</v>
      </c>
      <c r="AI195" s="235" t="s">
        <v>4020</v>
      </c>
      <c r="AJ195" s="235" t="s">
        <v>4020</v>
      </c>
    </row>
    <row r="196" spans="1:36">
      <c r="A196" s="240">
        <v>1</v>
      </c>
      <c r="B196" s="241" t="s">
        <v>3997</v>
      </c>
      <c r="C196" s="241" t="s">
        <v>3432</v>
      </c>
      <c r="D196" s="241" t="s">
        <v>4367</v>
      </c>
      <c r="E196" s="241">
        <v>6</v>
      </c>
      <c r="F196" s="242" t="s">
        <v>4368</v>
      </c>
      <c r="G196" s="233">
        <v>1944</v>
      </c>
      <c r="H196" s="233">
        <v>1917999</v>
      </c>
      <c r="I196" s="233">
        <v>68736</v>
      </c>
      <c r="J196" s="233">
        <v>65458</v>
      </c>
      <c r="K196" s="233">
        <v>3278</v>
      </c>
      <c r="L196" s="233">
        <v>1708688</v>
      </c>
      <c r="M196" s="233">
        <v>276635</v>
      </c>
      <c r="N196" s="233">
        <v>18744</v>
      </c>
      <c r="O196" s="233">
        <v>48886</v>
      </c>
      <c r="P196" s="233">
        <v>504689</v>
      </c>
      <c r="Q196" s="233">
        <v>1941</v>
      </c>
      <c r="R196" s="233">
        <v>1914194</v>
      </c>
      <c r="S196" s="233">
        <v>68736</v>
      </c>
      <c r="T196" s="233">
        <v>65458</v>
      </c>
      <c r="U196" s="233">
        <v>3278</v>
      </c>
      <c r="V196" s="233">
        <v>1706117</v>
      </c>
      <c r="W196" s="233">
        <v>275871</v>
      </c>
      <c r="X196" s="233">
        <v>18551</v>
      </c>
      <c r="Y196" s="233">
        <v>48886</v>
      </c>
      <c r="Z196" s="233">
        <v>502499</v>
      </c>
      <c r="AA196" s="233">
        <v>3</v>
      </c>
      <c r="AB196" s="233">
        <v>3805</v>
      </c>
      <c r="AC196" s="235" t="s">
        <v>5298</v>
      </c>
      <c r="AD196" s="235" t="s">
        <v>5298</v>
      </c>
      <c r="AE196" s="235" t="s">
        <v>5298</v>
      </c>
      <c r="AF196" s="233">
        <v>2571</v>
      </c>
      <c r="AG196" s="233">
        <v>764</v>
      </c>
      <c r="AH196" s="233">
        <v>193</v>
      </c>
      <c r="AI196" s="233">
        <v>0</v>
      </c>
      <c r="AJ196" s="233">
        <v>2190</v>
      </c>
    </row>
    <row r="197" spans="1:36">
      <c r="A197" s="240">
        <v>1</v>
      </c>
      <c r="B197" s="241" t="s">
        <v>3997</v>
      </c>
      <c r="C197" s="241" t="s">
        <v>3432</v>
      </c>
      <c r="D197" s="241" t="s">
        <v>4369</v>
      </c>
      <c r="E197" s="241">
        <v>6</v>
      </c>
      <c r="F197" s="242" t="s">
        <v>4370</v>
      </c>
      <c r="G197" s="233">
        <v>7736</v>
      </c>
      <c r="H197" s="233">
        <v>4760870</v>
      </c>
      <c r="I197" s="233">
        <v>175532</v>
      </c>
      <c r="J197" s="233">
        <v>171083</v>
      </c>
      <c r="K197" s="233">
        <v>4450</v>
      </c>
      <c r="L197" s="233">
        <v>4307027</v>
      </c>
      <c r="M197" s="233">
        <v>781269</v>
      </c>
      <c r="N197" s="233">
        <v>74272</v>
      </c>
      <c r="O197" s="233">
        <v>126167</v>
      </c>
      <c r="P197" s="233">
        <v>1309385</v>
      </c>
      <c r="Q197" s="233">
        <v>7733</v>
      </c>
      <c r="R197" s="233">
        <v>4760787</v>
      </c>
      <c r="S197" s="233">
        <v>175532</v>
      </c>
      <c r="T197" s="233">
        <v>171083</v>
      </c>
      <c r="U197" s="233">
        <v>4450</v>
      </c>
      <c r="V197" s="233">
        <v>4306956</v>
      </c>
      <c r="W197" s="233">
        <v>781234</v>
      </c>
      <c r="X197" s="233">
        <v>74270</v>
      </c>
      <c r="Y197" s="233">
        <v>126167</v>
      </c>
      <c r="Z197" s="233">
        <v>1309334</v>
      </c>
      <c r="AA197" s="233">
        <v>3</v>
      </c>
      <c r="AB197" s="233">
        <v>83</v>
      </c>
      <c r="AC197" s="235" t="s">
        <v>5298</v>
      </c>
      <c r="AD197" s="235" t="s">
        <v>5298</v>
      </c>
      <c r="AE197" s="235" t="s">
        <v>5298</v>
      </c>
      <c r="AF197" s="233">
        <v>71</v>
      </c>
      <c r="AG197" s="233">
        <v>36</v>
      </c>
      <c r="AH197" s="233">
        <v>3</v>
      </c>
      <c r="AI197" s="233">
        <v>0</v>
      </c>
      <c r="AJ197" s="233">
        <v>51</v>
      </c>
    </row>
    <row r="198" spans="1:36">
      <c r="A198" s="240">
        <v>1</v>
      </c>
      <c r="B198" s="241" t="s">
        <v>3997</v>
      </c>
      <c r="C198" s="241" t="s">
        <v>3432</v>
      </c>
      <c r="D198" s="241" t="s">
        <v>4371</v>
      </c>
      <c r="E198" s="241">
        <v>6</v>
      </c>
      <c r="F198" s="242" t="s">
        <v>4372</v>
      </c>
      <c r="G198" s="233">
        <v>1753</v>
      </c>
      <c r="H198" s="233">
        <v>7099655</v>
      </c>
      <c r="I198" s="233">
        <v>78733</v>
      </c>
      <c r="J198" s="233">
        <v>78284</v>
      </c>
      <c r="K198" s="233">
        <v>450</v>
      </c>
      <c r="L198" s="233">
        <v>6046337</v>
      </c>
      <c r="M198" s="233">
        <v>538937</v>
      </c>
      <c r="N198" s="233">
        <v>42511</v>
      </c>
      <c r="O198" s="233">
        <v>56352</v>
      </c>
      <c r="P198" s="233">
        <v>1634765</v>
      </c>
      <c r="Q198" s="233">
        <v>1752</v>
      </c>
      <c r="R198" s="235" t="s">
        <v>4020</v>
      </c>
      <c r="S198" s="235" t="s">
        <v>4020</v>
      </c>
      <c r="T198" s="235" t="s">
        <v>4020</v>
      </c>
      <c r="U198" s="235" t="s">
        <v>4020</v>
      </c>
      <c r="V198" s="235" t="s">
        <v>4020</v>
      </c>
      <c r="W198" s="235" t="s">
        <v>4020</v>
      </c>
      <c r="X198" s="235" t="s">
        <v>4020</v>
      </c>
      <c r="Y198" s="235" t="s">
        <v>4020</v>
      </c>
      <c r="Z198" s="235" t="s">
        <v>4020</v>
      </c>
      <c r="AA198" s="233">
        <v>1</v>
      </c>
      <c r="AB198" s="235" t="s">
        <v>4020</v>
      </c>
      <c r="AC198" s="235" t="s">
        <v>4020</v>
      </c>
      <c r="AD198" s="235" t="s">
        <v>4020</v>
      </c>
      <c r="AE198" s="235" t="s">
        <v>4020</v>
      </c>
      <c r="AF198" s="235" t="s">
        <v>4020</v>
      </c>
      <c r="AG198" s="235" t="s">
        <v>4020</v>
      </c>
      <c r="AH198" s="235" t="s">
        <v>4020</v>
      </c>
      <c r="AI198" s="235" t="s">
        <v>4020</v>
      </c>
      <c r="AJ198" s="235" t="s">
        <v>4020</v>
      </c>
    </row>
    <row r="199" spans="1:36">
      <c r="A199" s="240">
        <v>1</v>
      </c>
      <c r="B199" s="241" t="s">
        <v>3997</v>
      </c>
      <c r="C199" s="241" t="s">
        <v>3432</v>
      </c>
      <c r="D199" s="241" t="s">
        <v>4373</v>
      </c>
      <c r="E199" s="241">
        <v>6</v>
      </c>
      <c r="F199" s="242" t="s">
        <v>4374</v>
      </c>
      <c r="G199" s="233">
        <v>8827</v>
      </c>
      <c r="H199" s="233">
        <v>4131588</v>
      </c>
      <c r="I199" s="233">
        <v>114028</v>
      </c>
      <c r="J199" s="233">
        <v>110176</v>
      </c>
      <c r="K199" s="233">
        <v>3852</v>
      </c>
      <c r="L199" s="233">
        <v>3547366</v>
      </c>
      <c r="M199" s="233">
        <v>754290</v>
      </c>
      <c r="N199" s="233">
        <v>69202</v>
      </c>
      <c r="O199" s="233">
        <v>123174</v>
      </c>
      <c r="P199" s="233">
        <v>1407714</v>
      </c>
      <c r="Q199" s="233">
        <v>8821</v>
      </c>
      <c r="R199" s="233">
        <v>4130711</v>
      </c>
      <c r="S199" s="233">
        <v>114028</v>
      </c>
      <c r="T199" s="233">
        <v>110176</v>
      </c>
      <c r="U199" s="233">
        <v>3852</v>
      </c>
      <c r="V199" s="233">
        <v>3546524</v>
      </c>
      <c r="W199" s="233">
        <v>753964</v>
      </c>
      <c r="X199" s="233">
        <v>69188</v>
      </c>
      <c r="Y199" s="233">
        <v>123174</v>
      </c>
      <c r="Z199" s="233">
        <v>1407339</v>
      </c>
      <c r="AA199" s="233">
        <v>6</v>
      </c>
      <c r="AB199" s="233">
        <v>877</v>
      </c>
      <c r="AC199" s="233">
        <v>0</v>
      </c>
      <c r="AD199" s="233">
        <v>0</v>
      </c>
      <c r="AE199" s="233">
        <v>0</v>
      </c>
      <c r="AF199" s="233">
        <v>841</v>
      </c>
      <c r="AG199" s="233">
        <v>325</v>
      </c>
      <c r="AH199" s="233">
        <v>14</v>
      </c>
      <c r="AI199" s="233">
        <v>0</v>
      </c>
      <c r="AJ199" s="233">
        <v>375</v>
      </c>
    </row>
    <row r="200" spans="1:36">
      <c r="A200" s="240">
        <v>1</v>
      </c>
      <c r="B200" s="241" t="s">
        <v>3997</v>
      </c>
      <c r="C200" s="241" t="s">
        <v>3172</v>
      </c>
      <c r="D200" s="241" t="s">
        <v>4375</v>
      </c>
      <c r="E200" s="241">
        <v>5</v>
      </c>
      <c r="F200" s="242" t="s">
        <v>4376</v>
      </c>
      <c r="G200" s="233">
        <v>5854</v>
      </c>
      <c r="H200" s="233">
        <v>11630800</v>
      </c>
      <c r="I200" s="233">
        <v>567664</v>
      </c>
      <c r="J200" s="233">
        <v>551843</v>
      </c>
      <c r="K200" s="233">
        <v>15821</v>
      </c>
      <c r="L200" s="233">
        <v>10483891</v>
      </c>
      <c r="M200" s="233">
        <v>1943366</v>
      </c>
      <c r="N200" s="233">
        <v>82900</v>
      </c>
      <c r="O200" s="233">
        <v>433679</v>
      </c>
      <c r="P200" s="233">
        <v>3173175</v>
      </c>
      <c r="Q200" s="233">
        <v>5842</v>
      </c>
      <c r="R200" s="233">
        <v>11628541</v>
      </c>
      <c r="S200" s="233">
        <v>567636</v>
      </c>
      <c r="T200" s="233">
        <v>551826</v>
      </c>
      <c r="U200" s="233">
        <v>15810</v>
      </c>
      <c r="V200" s="233">
        <v>10482264</v>
      </c>
      <c r="W200" s="233">
        <v>1942759</v>
      </c>
      <c r="X200" s="233">
        <v>82830</v>
      </c>
      <c r="Y200" s="233">
        <v>433578</v>
      </c>
      <c r="Z200" s="233">
        <v>3171866</v>
      </c>
      <c r="AA200" s="233">
        <v>12</v>
      </c>
      <c r="AB200" s="233">
        <v>2259</v>
      </c>
      <c r="AC200" s="233">
        <v>28</v>
      </c>
      <c r="AD200" s="233">
        <v>17</v>
      </c>
      <c r="AE200" s="233">
        <v>11</v>
      </c>
      <c r="AF200" s="233">
        <v>1627</v>
      </c>
      <c r="AG200" s="233">
        <v>607</v>
      </c>
      <c r="AH200" s="233">
        <v>70</v>
      </c>
      <c r="AI200" s="233">
        <v>101</v>
      </c>
      <c r="AJ200" s="233">
        <v>1310</v>
      </c>
    </row>
    <row r="201" spans="1:36">
      <c r="A201" s="240">
        <v>1</v>
      </c>
      <c r="B201" s="241" t="s">
        <v>3997</v>
      </c>
      <c r="C201" s="241" t="s">
        <v>3432</v>
      </c>
      <c r="D201" s="241" t="s">
        <v>4377</v>
      </c>
      <c r="E201" s="241">
        <v>6</v>
      </c>
      <c r="F201" s="242" t="s">
        <v>4378</v>
      </c>
      <c r="G201" s="233">
        <v>338</v>
      </c>
      <c r="H201" s="233">
        <v>3683461</v>
      </c>
      <c r="I201" s="233">
        <v>5796</v>
      </c>
      <c r="J201" s="233">
        <v>5628</v>
      </c>
      <c r="K201" s="233">
        <v>168</v>
      </c>
      <c r="L201" s="233">
        <v>3480105</v>
      </c>
      <c r="M201" s="233">
        <v>813209</v>
      </c>
      <c r="N201" s="233">
        <v>17551</v>
      </c>
      <c r="O201" s="233">
        <v>4987</v>
      </c>
      <c r="P201" s="233">
        <v>1034116</v>
      </c>
      <c r="Q201" s="233">
        <v>336</v>
      </c>
      <c r="R201" s="235" t="s">
        <v>4020</v>
      </c>
      <c r="S201" s="235" t="s">
        <v>4020</v>
      </c>
      <c r="T201" s="235" t="s">
        <v>4020</v>
      </c>
      <c r="U201" s="235" t="s">
        <v>4020</v>
      </c>
      <c r="V201" s="235" t="s">
        <v>4020</v>
      </c>
      <c r="W201" s="235" t="s">
        <v>4020</v>
      </c>
      <c r="X201" s="235" t="s">
        <v>4020</v>
      </c>
      <c r="Y201" s="235" t="s">
        <v>4020</v>
      </c>
      <c r="Z201" s="235" t="s">
        <v>4020</v>
      </c>
      <c r="AA201" s="233">
        <v>2</v>
      </c>
      <c r="AB201" s="235" t="s">
        <v>4020</v>
      </c>
      <c r="AC201" s="235" t="s">
        <v>4020</v>
      </c>
      <c r="AD201" s="235" t="s">
        <v>4020</v>
      </c>
      <c r="AE201" s="235" t="s">
        <v>4020</v>
      </c>
      <c r="AF201" s="235" t="s">
        <v>4020</v>
      </c>
      <c r="AG201" s="235" t="s">
        <v>4020</v>
      </c>
      <c r="AH201" s="235" t="s">
        <v>4020</v>
      </c>
      <c r="AI201" s="235" t="s">
        <v>4020</v>
      </c>
      <c r="AJ201" s="235" t="s">
        <v>4020</v>
      </c>
    </row>
    <row r="202" spans="1:36">
      <c r="A202" s="240">
        <v>1</v>
      </c>
      <c r="B202" s="241" t="s">
        <v>3997</v>
      </c>
      <c r="C202" s="241" t="s">
        <v>3432</v>
      </c>
      <c r="D202" s="241" t="s">
        <v>4379</v>
      </c>
      <c r="E202" s="241">
        <v>6</v>
      </c>
      <c r="F202" s="242" t="s">
        <v>4380</v>
      </c>
      <c r="G202" s="233">
        <v>954</v>
      </c>
      <c r="H202" s="233">
        <v>1653574</v>
      </c>
      <c r="I202" s="233">
        <v>76059</v>
      </c>
      <c r="J202" s="233">
        <v>74358</v>
      </c>
      <c r="K202" s="233">
        <v>1701</v>
      </c>
      <c r="L202" s="233">
        <v>1440240</v>
      </c>
      <c r="M202" s="233">
        <v>188010</v>
      </c>
      <c r="N202" s="233">
        <v>14102</v>
      </c>
      <c r="O202" s="233">
        <v>35082</v>
      </c>
      <c r="P202" s="233">
        <v>415445</v>
      </c>
      <c r="Q202" s="233">
        <v>954</v>
      </c>
      <c r="R202" s="233">
        <v>1653574</v>
      </c>
      <c r="S202" s="233">
        <v>76059</v>
      </c>
      <c r="T202" s="233">
        <v>74358</v>
      </c>
      <c r="U202" s="233">
        <v>1701</v>
      </c>
      <c r="V202" s="233">
        <v>1440240</v>
      </c>
      <c r="W202" s="233">
        <v>188010</v>
      </c>
      <c r="X202" s="233">
        <v>14102</v>
      </c>
      <c r="Y202" s="233">
        <v>35082</v>
      </c>
      <c r="Z202" s="233">
        <v>415445</v>
      </c>
      <c r="AA202" s="235" t="s">
        <v>5298</v>
      </c>
      <c r="AB202" s="235" t="s">
        <v>5298</v>
      </c>
      <c r="AC202" s="235" t="s">
        <v>5298</v>
      </c>
      <c r="AD202" s="235" t="s">
        <v>5298</v>
      </c>
      <c r="AE202" s="235" t="s">
        <v>5298</v>
      </c>
      <c r="AF202" s="235" t="s">
        <v>5298</v>
      </c>
      <c r="AG202" s="235" t="s">
        <v>5298</v>
      </c>
      <c r="AH202" s="235" t="s">
        <v>5298</v>
      </c>
      <c r="AI202" s="235" t="s">
        <v>5298</v>
      </c>
      <c r="AJ202" s="235" t="s">
        <v>5298</v>
      </c>
    </row>
    <row r="203" spans="1:36">
      <c r="A203" s="240">
        <v>1</v>
      </c>
      <c r="B203" s="241" t="s">
        <v>3997</v>
      </c>
      <c r="C203" s="241" t="s">
        <v>3432</v>
      </c>
      <c r="D203" s="241" t="s">
        <v>4381</v>
      </c>
      <c r="E203" s="241">
        <v>6</v>
      </c>
      <c r="F203" s="242" t="s">
        <v>4382</v>
      </c>
      <c r="G203" s="233">
        <v>2256</v>
      </c>
      <c r="H203" s="233">
        <v>2191707</v>
      </c>
      <c r="I203" s="233">
        <v>190522</v>
      </c>
      <c r="J203" s="233">
        <v>184400</v>
      </c>
      <c r="K203" s="233">
        <v>6121</v>
      </c>
      <c r="L203" s="233">
        <v>1962975</v>
      </c>
      <c r="M203" s="233">
        <v>350388</v>
      </c>
      <c r="N203" s="233">
        <v>19169</v>
      </c>
      <c r="O203" s="233">
        <v>139806</v>
      </c>
      <c r="P203" s="233">
        <v>598288</v>
      </c>
      <c r="Q203" s="233">
        <v>2253</v>
      </c>
      <c r="R203" s="233">
        <v>2190426</v>
      </c>
      <c r="S203" s="233">
        <v>190522</v>
      </c>
      <c r="T203" s="233">
        <v>184400</v>
      </c>
      <c r="U203" s="233">
        <v>6121</v>
      </c>
      <c r="V203" s="233">
        <v>1962203</v>
      </c>
      <c r="W203" s="233">
        <v>350074</v>
      </c>
      <c r="X203" s="233">
        <v>19151</v>
      </c>
      <c r="Y203" s="233">
        <v>139806</v>
      </c>
      <c r="Z203" s="233">
        <v>597448</v>
      </c>
      <c r="AA203" s="233">
        <v>3</v>
      </c>
      <c r="AB203" s="233">
        <v>1281</v>
      </c>
      <c r="AC203" s="233">
        <v>0</v>
      </c>
      <c r="AD203" s="233">
        <v>0</v>
      </c>
      <c r="AE203" s="233">
        <v>0</v>
      </c>
      <c r="AF203" s="233">
        <v>772</v>
      </c>
      <c r="AG203" s="233">
        <v>314</v>
      </c>
      <c r="AH203" s="233">
        <v>17</v>
      </c>
      <c r="AI203" s="233">
        <v>0</v>
      </c>
      <c r="AJ203" s="233">
        <v>840</v>
      </c>
    </row>
    <row r="204" spans="1:36">
      <c r="A204" s="240">
        <v>1</v>
      </c>
      <c r="B204" s="241" t="s">
        <v>3997</v>
      </c>
      <c r="C204" s="241" t="s">
        <v>3432</v>
      </c>
      <c r="D204" s="241" t="s">
        <v>4383</v>
      </c>
      <c r="E204" s="241">
        <v>6</v>
      </c>
      <c r="F204" s="242" t="s">
        <v>4384</v>
      </c>
      <c r="G204" s="233">
        <v>1692</v>
      </c>
      <c r="H204" s="233">
        <v>3562294</v>
      </c>
      <c r="I204" s="233">
        <v>283094</v>
      </c>
      <c r="J204" s="233">
        <v>275509</v>
      </c>
      <c r="K204" s="233">
        <v>7584</v>
      </c>
      <c r="L204" s="233">
        <v>3125467</v>
      </c>
      <c r="M204" s="233">
        <v>491294</v>
      </c>
      <c r="N204" s="233">
        <v>26094</v>
      </c>
      <c r="O204" s="233">
        <v>248894</v>
      </c>
      <c r="P204" s="233">
        <v>954216</v>
      </c>
      <c r="Q204" s="233">
        <v>1686</v>
      </c>
      <c r="R204" s="233">
        <v>3561726</v>
      </c>
      <c r="S204" s="233">
        <v>283066</v>
      </c>
      <c r="T204" s="233">
        <v>275493</v>
      </c>
      <c r="U204" s="233">
        <v>7574</v>
      </c>
      <c r="V204" s="233">
        <v>3124873</v>
      </c>
      <c r="W204" s="233">
        <v>491097</v>
      </c>
      <c r="X204" s="233">
        <v>26063</v>
      </c>
      <c r="Y204" s="233">
        <v>248793</v>
      </c>
      <c r="Z204" s="233">
        <v>954013</v>
      </c>
      <c r="AA204" s="233">
        <v>6</v>
      </c>
      <c r="AB204" s="233">
        <v>568</v>
      </c>
      <c r="AC204" s="233">
        <v>28</v>
      </c>
      <c r="AD204" s="233">
        <v>17</v>
      </c>
      <c r="AE204" s="233">
        <v>11</v>
      </c>
      <c r="AF204" s="233">
        <v>594</v>
      </c>
      <c r="AG204" s="233">
        <v>197</v>
      </c>
      <c r="AH204" s="233">
        <v>31</v>
      </c>
      <c r="AI204" s="233">
        <v>101</v>
      </c>
      <c r="AJ204" s="233">
        <v>203</v>
      </c>
    </row>
    <row r="205" spans="1:36">
      <c r="A205" s="240">
        <v>1</v>
      </c>
      <c r="B205" s="241" t="s">
        <v>3997</v>
      </c>
      <c r="C205" s="241" t="s">
        <v>3432</v>
      </c>
      <c r="D205" s="241" t="s">
        <v>4385</v>
      </c>
      <c r="E205" s="241">
        <v>6</v>
      </c>
      <c r="F205" s="242" t="s">
        <v>4386</v>
      </c>
      <c r="G205" s="233">
        <v>583</v>
      </c>
      <c r="H205" s="233">
        <v>489684</v>
      </c>
      <c r="I205" s="233">
        <v>11899</v>
      </c>
      <c r="J205" s="233">
        <v>11805</v>
      </c>
      <c r="K205" s="233">
        <v>94</v>
      </c>
      <c r="L205" s="233">
        <v>428089</v>
      </c>
      <c r="M205" s="233">
        <v>88564</v>
      </c>
      <c r="N205" s="233">
        <v>5305</v>
      </c>
      <c r="O205" s="233">
        <v>4621</v>
      </c>
      <c r="P205" s="233">
        <v>155463</v>
      </c>
      <c r="Q205" s="233">
        <v>583</v>
      </c>
      <c r="R205" s="233">
        <v>489684</v>
      </c>
      <c r="S205" s="233">
        <v>11899</v>
      </c>
      <c r="T205" s="233">
        <v>11805</v>
      </c>
      <c r="U205" s="233">
        <v>94</v>
      </c>
      <c r="V205" s="233">
        <v>428089</v>
      </c>
      <c r="W205" s="233">
        <v>88564</v>
      </c>
      <c r="X205" s="233">
        <v>5305</v>
      </c>
      <c r="Y205" s="233">
        <v>4621</v>
      </c>
      <c r="Z205" s="233">
        <v>155463</v>
      </c>
      <c r="AA205" s="235" t="s">
        <v>5298</v>
      </c>
      <c r="AB205" s="235" t="s">
        <v>5298</v>
      </c>
      <c r="AC205" s="235" t="s">
        <v>5298</v>
      </c>
      <c r="AD205" s="235" t="s">
        <v>5298</v>
      </c>
      <c r="AE205" s="235" t="s">
        <v>5298</v>
      </c>
      <c r="AF205" s="235" t="s">
        <v>5298</v>
      </c>
      <c r="AG205" s="235" t="s">
        <v>5298</v>
      </c>
      <c r="AH205" s="235" t="s">
        <v>5298</v>
      </c>
      <c r="AI205" s="235" t="s">
        <v>5298</v>
      </c>
      <c r="AJ205" s="235" t="s">
        <v>5298</v>
      </c>
    </row>
    <row r="206" spans="1:36">
      <c r="A206" s="240">
        <v>1</v>
      </c>
      <c r="B206" s="241" t="s">
        <v>3997</v>
      </c>
      <c r="C206" s="241" t="s">
        <v>3432</v>
      </c>
      <c r="D206" s="241" t="s">
        <v>4387</v>
      </c>
      <c r="E206" s="241">
        <v>6</v>
      </c>
      <c r="F206" s="242" t="s">
        <v>4388</v>
      </c>
      <c r="G206" s="233">
        <v>31</v>
      </c>
      <c r="H206" s="233">
        <v>50080</v>
      </c>
      <c r="I206" s="233">
        <v>294</v>
      </c>
      <c r="J206" s="233">
        <v>143</v>
      </c>
      <c r="K206" s="233">
        <v>152</v>
      </c>
      <c r="L206" s="233">
        <v>47015</v>
      </c>
      <c r="M206" s="233">
        <v>11901</v>
      </c>
      <c r="N206" s="233">
        <v>680</v>
      </c>
      <c r="O206" s="233">
        <v>288</v>
      </c>
      <c r="P206" s="233">
        <v>15646</v>
      </c>
      <c r="Q206" s="233">
        <v>30</v>
      </c>
      <c r="R206" s="235" t="s">
        <v>4020</v>
      </c>
      <c r="S206" s="235" t="s">
        <v>4020</v>
      </c>
      <c r="T206" s="235" t="s">
        <v>4020</v>
      </c>
      <c r="U206" s="235" t="s">
        <v>4020</v>
      </c>
      <c r="V206" s="235" t="s">
        <v>4020</v>
      </c>
      <c r="W206" s="235" t="s">
        <v>4020</v>
      </c>
      <c r="X206" s="235" t="s">
        <v>4020</v>
      </c>
      <c r="Y206" s="235" t="s">
        <v>4020</v>
      </c>
      <c r="Z206" s="235" t="s">
        <v>4020</v>
      </c>
      <c r="AA206" s="233">
        <v>1</v>
      </c>
      <c r="AB206" s="235" t="s">
        <v>4020</v>
      </c>
      <c r="AC206" s="235" t="s">
        <v>4020</v>
      </c>
      <c r="AD206" s="235" t="s">
        <v>4020</v>
      </c>
      <c r="AE206" s="235" t="s">
        <v>4020</v>
      </c>
      <c r="AF206" s="235" t="s">
        <v>4020</v>
      </c>
      <c r="AG206" s="235" t="s">
        <v>4020</v>
      </c>
      <c r="AH206" s="235" t="s">
        <v>4020</v>
      </c>
      <c r="AI206" s="235" t="s">
        <v>4020</v>
      </c>
      <c r="AJ206" s="235" t="s">
        <v>4020</v>
      </c>
    </row>
    <row r="207" spans="1:36">
      <c r="A207" s="240">
        <v>1</v>
      </c>
      <c r="B207" s="241" t="s">
        <v>3997</v>
      </c>
      <c r="C207" s="241" t="s">
        <v>3172</v>
      </c>
      <c r="D207" s="241" t="s">
        <v>4389</v>
      </c>
      <c r="E207" s="241">
        <v>5</v>
      </c>
      <c r="F207" s="242" t="s">
        <v>4390</v>
      </c>
      <c r="G207" s="233">
        <v>4785</v>
      </c>
      <c r="H207" s="233">
        <v>21430955</v>
      </c>
      <c r="I207" s="233">
        <v>428125</v>
      </c>
      <c r="J207" s="233">
        <v>419243</v>
      </c>
      <c r="K207" s="233">
        <v>8882</v>
      </c>
      <c r="L207" s="233">
        <v>18888613</v>
      </c>
      <c r="M207" s="233">
        <v>2189334</v>
      </c>
      <c r="N207" s="233">
        <v>148618</v>
      </c>
      <c r="O207" s="233">
        <v>306034</v>
      </c>
      <c r="P207" s="233">
        <v>4880294</v>
      </c>
      <c r="Q207" s="233">
        <v>4781</v>
      </c>
      <c r="R207" s="233">
        <v>21430900</v>
      </c>
      <c r="S207" s="233">
        <v>428125</v>
      </c>
      <c r="T207" s="233">
        <v>419243</v>
      </c>
      <c r="U207" s="233">
        <v>8882</v>
      </c>
      <c r="V207" s="233">
        <v>18888557</v>
      </c>
      <c r="W207" s="233">
        <v>2189313</v>
      </c>
      <c r="X207" s="233">
        <v>148618</v>
      </c>
      <c r="Y207" s="233">
        <v>306034</v>
      </c>
      <c r="Z207" s="233">
        <v>4880273</v>
      </c>
      <c r="AA207" s="233">
        <v>4</v>
      </c>
      <c r="AB207" s="233">
        <v>56</v>
      </c>
      <c r="AC207" s="233">
        <v>0</v>
      </c>
      <c r="AD207" s="233">
        <v>0</v>
      </c>
      <c r="AE207" s="233">
        <v>0</v>
      </c>
      <c r="AF207" s="233">
        <v>57</v>
      </c>
      <c r="AG207" s="233">
        <v>22</v>
      </c>
      <c r="AH207" s="233">
        <v>0</v>
      </c>
      <c r="AI207" s="233">
        <v>0</v>
      </c>
      <c r="AJ207" s="233">
        <v>21</v>
      </c>
    </row>
    <row r="208" spans="1:36">
      <c r="A208" s="240">
        <v>1</v>
      </c>
      <c r="B208" s="241" t="s">
        <v>3997</v>
      </c>
      <c r="C208" s="241" t="s">
        <v>3432</v>
      </c>
      <c r="D208" s="241" t="s">
        <v>4391</v>
      </c>
      <c r="E208" s="241">
        <v>6</v>
      </c>
      <c r="F208" s="242" t="s">
        <v>4392</v>
      </c>
      <c r="G208" s="233">
        <v>358</v>
      </c>
      <c r="H208" s="233">
        <v>7379746</v>
      </c>
      <c r="I208" s="233">
        <v>193259</v>
      </c>
      <c r="J208" s="233">
        <v>189598</v>
      </c>
      <c r="K208" s="233">
        <v>3661</v>
      </c>
      <c r="L208" s="233">
        <v>6552916</v>
      </c>
      <c r="M208" s="233">
        <v>702696</v>
      </c>
      <c r="N208" s="233">
        <v>52803</v>
      </c>
      <c r="O208" s="233">
        <v>59267</v>
      </c>
      <c r="P208" s="233">
        <v>1582329</v>
      </c>
      <c r="Q208" s="233">
        <v>358</v>
      </c>
      <c r="R208" s="233">
        <v>7379746</v>
      </c>
      <c r="S208" s="233">
        <v>193259</v>
      </c>
      <c r="T208" s="233">
        <v>189598</v>
      </c>
      <c r="U208" s="233">
        <v>3661</v>
      </c>
      <c r="V208" s="233">
        <v>6552916</v>
      </c>
      <c r="W208" s="233">
        <v>702696</v>
      </c>
      <c r="X208" s="233">
        <v>52803</v>
      </c>
      <c r="Y208" s="233">
        <v>59267</v>
      </c>
      <c r="Z208" s="233">
        <v>1582329</v>
      </c>
      <c r="AA208" s="235" t="s">
        <v>5298</v>
      </c>
      <c r="AB208" s="235" t="s">
        <v>5298</v>
      </c>
      <c r="AC208" s="235" t="s">
        <v>5298</v>
      </c>
      <c r="AD208" s="235" t="s">
        <v>5298</v>
      </c>
      <c r="AE208" s="235" t="s">
        <v>5298</v>
      </c>
      <c r="AF208" s="235" t="s">
        <v>5298</v>
      </c>
      <c r="AG208" s="235" t="s">
        <v>5298</v>
      </c>
      <c r="AH208" s="235" t="s">
        <v>5298</v>
      </c>
      <c r="AI208" s="235" t="s">
        <v>5298</v>
      </c>
      <c r="AJ208" s="235" t="s">
        <v>5298</v>
      </c>
    </row>
    <row r="209" spans="1:36">
      <c r="A209" s="240">
        <v>1</v>
      </c>
      <c r="B209" s="241" t="s">
        <v>3997</v>
      </c>
      <c r="C209" s="241" t="s">
        <v>3432</v>
      </c>
      <c r="D209" s="241" t="s">
        <v>4393</v>
      </c>
      <c r="E209" s="241">
        <v>6</v>
      </c>
      <c r="F209" s="242" t="s">
        <v>4394</v>
      </c>
      <c r="G209" s="233">
        <v>1028</v>
      </c>
      <c r="H209" s="233">
        <v>6008175</v>
      </c>
      <c r="I209" s="233">
        <v>92412</v>
      </c>
      <c r="J209" s="233">
        <v>88898</v>
      </c>
      <c r="K209" s="233">
        <v>3514</v>
      </c>
      <c r="L209" s="233">
        <v>5419276</v>
      </c>
      <c r="M209" s="233">
        <v>550127</v>
      </c>
      <c r="N209" s="233">
        <v>27942</v>
      </c>
      <c r="O209" s="233">
        <v>129084</v>
      </c>
      <c r="P209" s="233">
        <v>1166968</v>
      </c>
      <c r="Q209" s="233">
        <v>1026</v>
      </c>
      <c r="R209" s="235" t="s">
        <v>4020</v>
      </c>
      <c r="S209" s="235" t="s">
        <v>4020</v>
      </c>
      <c r="T209" s="235" t="s">
        <v>4020</v>
      </c>
      <c r="U209" s="235" t="s">
        <v>4020</v>
      </c>
      <c r="V209" s="235" t="s">
        <v>4020</v>
      </c>
      <c r="W209" s="235" t="s">
        <v>4020</v>
      </c>
      <c r="X209" s="235" t="s">
        <v>4020</v>
      </c>
      <c r="Y209" s="235" t="s">
        <v>4020</v>
      </c>
      <c r="Z209" s="235" t="s">
        <v>4020</v>
      </c>
      <c r="AA209" s="233">
        <v>2</v>
      </c>
      <c r="AB209" s="235" t="s">
        <v>4020</v>
      </c>
      <c r="AC209" s="235" t="s">
        <v>4020</v>
      </c>
      <c r="AD209" s="235" t="s">
        <v>4020</v>
      </c>
      <c r="AE209" s="235" t="s">
        <v>4020</v>
      </c>
      <c r="AF209" s="235" t="s">
        <v>4020</v>
      </c>
      <c r="AG209" s="235" t="s">
        <v>4020</v>
      </c>
      <c r="AH209" s="235" t="s">
        <v>4020</v>
      </c>
      <c r="AI209" s="235" t="s">
        <v>4020</v>
      </c>
      <c r="AJ209" s="235" t="s">
        <v>4020</v>
      </c>
    </row>
    <row r="210" spans="1:36">
      <c r="A210" s="240">
        <v>1</v>
      </c>
      <c r="B210" s="241" t="s">
        <v>3997</v>
      </c>
      <c r="C210" s="241" t="s">
        <v>3432</v>
      </c>
      <c r="D210" s="241" t="s">
        <v>4395</v>
      </c>
      <c r="E210" s="241">
        <v>6</v>
      </c>
      <c r="F210" s="242" t="s">
        <v>4396</v>
      </c>
      <c r="G210" s="233">
        <v>35</v>
      </c>
      <c r="H210" s="233">
        <v>1610945</v>
      </c>
      <c r="I210" s="233">
        <v>44</v>
      </c>
      <c r="J210" s="233">
        <v>42</v>
      </c>
      <c r="K210" s="233">
        <v>3</v>
      </c>
      <c r="L210" s="233">
        <v>1482826</v>
      </c>
      <c r="M210" s="233">
        <v>78859</v>
      </c>
      <c r="N210" s="233">
        <v>9822</v>
      </c>
      <c r="O210" s="233">
        <v>6541</v>
      </c>
      <c r="P210" s="233">
        <v>216801</v>
      </c>
      <c r="Q210" s="233">
        <v>35</v>
      </c>
      <c r="R210" s="233">
        <v>1610945</v>
      </c>
      <c r="S210" s="233">
        <v>44</v>
      </c>
      <c r="T210" s="233">
        <v>42</v>
      </c>
      <c r="U210" s="233">
        <v>3</v>
      </c>
      <c r="V210" s="233">
        <v>1482826</v>
      </c>
      <c r="W210" s="233">
        <v>78859</v>
      </c>
      <c r="X210" s="233">
        <v>9822</v>
      </c>
      <c r="Y210" s="233">
        <v>6541</v>
      </c>
      <c r="Z210" s="233">
        <v>216801</v>
      </c>
      <c r="AA210" s="235" t="s">
        <v>5298</v>
      </c>
      <c r="AB210" s="235" t="s">
        <v>5298</v>
      </c>
      <c r="AC210" s="235" t="s">
        <v>5298</v>
      </c>
      <c r="AD210" s="235" t="s">
        <v>5298</v>
      </c>
      <c r="AE210" s="235" t="s">
        <v>5298</v>
      </c>
      <c r="AF210" s="235" t="s">
        <v>5298</v>
      </c>
      <c r="AG210" s="235" t="s">
        <v>5298</v>
      </c>
      <c r="AH210" s="235" t="s">
        <v>5298</v>
      </c>
      <c r="AI210" s="235" t="s">
        <v>5298</v>
      </c>
      <c r="AJ210" s="235" t="s">
        <v>5298</v>
      </c>
    </row>
    <row r="211" spans="1:36">
      <c r="A211" s="240">
        <v>1</v>
      </c>
      <c r="B211" s="241" t="s">
        <v>3997</v>
      </c>
      <c r="C211" s="241" t="s">
        <v>3432</v>
      </c>
      <c r="D211" s="241" t="s">
        <v>4397</v>
      </c>
      <c r="E211" s="241">
        <v>6</v>
      </c>
      <c r="F211" s="242" t="s">
        <v>4398</v>
      </c>
      <c r="G211" s="233">
        <v>1360</v>
      </c>
      <c r="H211" s="233">
        <v>2277067</v>
      </c>
      <c r="I211" s="233">
        <v>59924</v>
      </c>
      <c r="J211" s="233">
        <v>59509</v>
      </c>
      <c r="K211" s="233">
        <v>415</v>
      </c>
      <c r="L211" s="233">
        <v>2004487</v>
      </c>
      <c r="M211" s="233">
        <v>360076</v>
      </c>
      <c r="N211" s="233">
        <v>20426</v>
      </c>
      <c r="O211" s="233">
        <v>43950</v>
      </c>
      <c r="P211" s="233">
        <v>653082</v>
      </c>
      <c r="Q211" s="233">
        <v>1359</v>
      </c>
      <c r="R211" s="235" t="s">
        <v>4020</v>
      </c>
      <c r="S211" s="235" t="s">
        <v>4020</v>
      </c>
      <c r="T211" s="235" t="s">
        <v>4020</v>
      </c>
      <c r="U211" s="235" t="s">
        <v>4020</v>
      </c>
      <c r="V211" s="235" t="s">
        <v>4020</v>
      </c>
      <c r="W211" s="235" t="s">
        <v>4020</v>
      </c>
      <c r="X211" s="235" t="s">
        <v>4020</v>
      </c>
      <c r="Y211" s="235" t="s">
        <v>4020</v>
      </c>
      <c r="Z211" s="235" t="s">
        <v>4020</v>
      </c>
      <c r="AA211" s="233">
        <v>1</v>
      </c>
      <c r="AB211" s="235" t="s">
        <v>4020</v>
      </c>
      <c r="AC211" s="235" t="s">
        <v>4020</v>
      </c>
      <c r="AD211" s="235" t="s">
        <v>4020</v>
      </c>
      <c r="AE211" s="235" t="s">
        <v>4020</v>
      </c>
      <c r="AF211" s="235" t="s">
        <v>4020</v>
      </c>
      <c r="AG211" s="235" t="s">
        <v>4020</v>
      </c>
      <c r="AH211" s="235" t="s">
        <v>4020</v>
      </c>
      <c r="AI211" s="235" t="s">
        <v>4020</v>
      </c>
      <c r="AJ211" s="235" t="s">
        <v>4020</v>
      </c>
    </row>
    <row r="212" spans="1:36">
      <c r="A212" s="240">
        <v>1</v>
      </c>
      <c r="B212" s="241" t="s">
        <v>3997</v>
      </c>
      <c r="C212" s="241" t="s">
        <v>3432</v>
      </c>
      <c r="D212" s="241" t="s">
        <v>4399</v>
      </c>
      <c r="E212" s="241">
        <v>6</v>
      </c>
      <c r="F212" s="242" t="s">
        <v>4400</v>
      </c>
      <c r="G212" s="233">
        <v>255</v>
      </c>
      <c r="H212" s="233">
        <v>400228</v>
      </c>
      <c r="I212" s="233">
        <v>3219</v>
      </c>
      <c r="J212" s="233">
        <v>2838</v>
      </c>
      <c r="K212" s="233">
        <v>381</v>
      </c>
      <c r="L212" s="233">
        <v>357978</v>
      </c>
      <c r="M212" s="233">
        <v>63672</v>
      </c>
      <c r="N212" s="233">
        <v>5181</v>
      </c>
      <c r="O212" s="233">
        <v>2386</v>
      </c>
      <c r="P212" s="233">
        <v>111103</v>
      </c>
      <c r="Q212" s="233">
        <v>255</v>
      </c>
      <c r="R212" s="233">
        <v>400228</v>
      </c>
      <c r="S212" s="233">
        <v>3219</v>
      </c>
      <c r="T212" s="233">
        <v>2838</v>
      </c>
      <c r="U212" s="233">
        <v>381</v>
      </c>
      <c r="V212" s="233">
        <v>357978</v>
      </c>
      <c r="W212" s="233">
        <v>63672</v>
      </c>
      <c r="X212" s="233">
        <v>5181</v>
      </c>
      <c r="Y212" s="233">
        <v>2386</v>
      </c>
      <c r="Z212" s="233">
        <v>111103</v>
      </c>
      <c r="AA212" s="235" t="s">
        <v>5298</v>
      </c>
      <c r="AB212" s="235" t="s">
        <v>5298</v>
      </c>
      <c r="AC212" s="235" t="s">
        <v>5298</v>
      </c>
      <c r="AD212" s="235" t="s">
        <v>5298</v>
      </c>
      <c r="AE212" s="235" t="s">
        <v>5298</v>
      </c>
      <c r="AF212" s="235" t="s">
        <v>5298</v>
      </c>
      <c r="AG212" s="235" t="s">
        <v>5298</v>
      </c>
      <c r="AH212" s="235" t="s">
        <v>5298</v>
      </c>
      <c r="AI212" s="235" t="s">
        <v>5298</v>
      </c>
      <c r="AJ212" s="235" t="s">
        <v>5298</v>
      </c>
    </row>
    <row r="213" spans="1:36">
      <c r="A213" s="240">
        <v>1</v>
      </c>
      <c r="B213" s="241" t="s">
        <v>3997</v>
      </c>
      <c r="C213" s="241" t="s">
        <v>3432</v>
      </c>
      <c r="D213" s="241" t="s">
        <v>4401</v>
      </c>
      <c r="E213" s="241">
        <v>6</v>
      </c>
      <c r="F213" s="242" t="s">
        <v>4402</v>
      </c>
      <c r="G213" s="233">
        <v>1749</v>
      </c>
      <c r="H213" s="233">
        <v>3754794</v>
      </c>
      <c r="I213" s="233">
        <v>79267</v>
      </c>
      <c r="J213" s="233">
        <v>78357</v>
      </c>
      <c r="K213" s="233">
        <v>910</v>
      </c>
      <c r="L213" s="233">
        <v>3071130</v>
      </c>
      <c r="M213" s="233">
        <v>433905</v>
      </c>
      <c r="N213" s="233">
        <v>32443</v>
      </c>
      <c r="O213" s="233">
        <v>64806</v>
      </c>
      <c r="P213" s="233">
        <v>1150012</v>
      </c>
      <c r="Q213" s="233">
        <v>1748</v>
      </c>
      <c r="R213" s="235" t="s">
        <v>4020</v>
      </c>
      <c r="S213" s="235" t="s">
        <v>4020</v>
      </c>
      <c r="T213" s="235" t="s">
        <v>4020</v>
      </c>
      <c r="U213" s="235" t="s">
        <v>4020</v>
      </c>
      <c r="V213" s="235" t="s">
        <v>4020</v>
      </c>
      <c r="W213" s="235" t="s">
        <v>4020</v>
      </c>
      <c r="X213" s="235" t="s">
        <v>4020</v>
      </c>
      <c r="Y213" s="235" t="s">
        <v>4020</v>
      </c>
      <c r="Z213" s="235" t="s">
        <v>4020</v>
      </c>
      <c r="AA213" s="233">
        <v>1</v>
      </c>
      <c r="AB213" s="235" t="s">
        <v>4020</v>
      </c>
      <c r="AC213" s="235" t="s">
        <v>4020</v>
      </c>
      <c r="AD213" s="235" t="s">
        <v>4020</v>
      </c>
      <c r="AE213" s="235" t="s">
        <v>4020</v>
      </c>
      <c r="AF213" s="235" t="s">
        <v>4020</v>
      </c>
      <c r="AG213" s="235" t="s">
        <v>4020</v>
      </c>
      <c r="AH213" s="235" t="s">
        <v>4020</v>
      </c>
      <c r="AI213" s="235" t="s">
        <v>4020</v>
      </c>
      <c r="AJ213" s="235" t="s">
        <v>4020</v>
      </c>
    </row>
    <row r="214" spans="1:36">
      <c r="A214" s="240">
        <v>1</v>
      </c>
      <c r="B214" s="241" t="s">
        <v>3997</v>
      </c>
      <c r="C214" s="241" t="s">
        <v>3172</v>
      </c>
      <c r="D214" s="241" t="s">
        <v>4403</v>
      </c>
      <c r="E214" s="241">
        <v>5</v>
      </c>
      <c r="F214" s="242" t="s">
        <v>4404</v>
      </c>
      <c r="G214" s="233">
        <v>11206</v>
      </c>
      <c r="H214" s="233">
        <v>24827235</v>
      </c>
      <c r="I214" s="233">
        <v>1311402</v>
      </c>
      <c r="J214" s="233">
        <v>1294459</v>
      </c>
      <c r="K214" s="233">
        <v>16943</v>
      </c>
      <c r="L214" s="233">
        <v>23066351</v>
      </c>
      <c r="M214" s="233">
        <v>3260206</v>
      </c>
      <c r="N214" s="233">
        <v>187537</v>
      </c>
      <c r="O214" s="233">
        <v>1008626</v>
      </c>
      <c r="P214" s="233">
        <v>5208627</v>
      </c>
      <c r="Q214" s="233">
        <v>11194</v>
      </c>
      <c r="R214" s="233">
        <v>24826223</v>
      </c>
      <c r="S214" s="233">
        <v>1311402</v>
      </c>
      <c r="T214" s="233">
        <v>1294459</v>
      </c>
      <c r="U214" s="233">
        <v>16943</v>
      </c>
      <c r="V214" s="233">
        <v>23063627</v>
      </c>
      <c r="W214" s="233">
        <v>3259868</v>
      </c>
      <c r="X214" s="233">
        <v>187512</v>
      </c>
      <c r="Y214" s="233">
        <v>1008626</v>
      </c>
      <c r="Z214" s="233">
        <v>5209975</v>
      </c>
      <c r="AA214" s="233">
        <v>12</v>
      </c>
      <c r="AB214" s="233">
        <v>1012</v>
      </c>
      <c r="AC214" s="233">
        <v>0</v>
      </c>
      <c r="AD214" s="233">
        <v>0</v>
      </c>
      <c r="AE214" s="233">
        <v>0</v>
      </c>
      <c r="AF214" s="233">
        <v>2724</v>
      </c>
      <c r="AG214" s="233">
        <v>338</v>
      </c>
      <c r="AH214" s="233">
        <v>26</v>
      </c>
      <c r="AI214" s="233">
        <v>0</v>
      </c>
      <c r="AJ214" s="233">
        <v>1348</v>
      </c>
    </row>
    <row r="215" spans="1:36">
      <c r="A215" s="240">
        <v>1</v>
      </c>
      <c r="B215" s="241" t="s">
        <v>3997</v>
      </c>
      <c r="C215" s="241" t="s">
        <v>3432</v>
      </c>
      <c r="D215" s="241" t="s">
        <v>4405</v>
      </c>
      <c r="E215" s="241">
        <v>6</v>
      </c>
      <c r="F215" s="242" t="s">
        <v>4406</v>
      </c>
      <c r="G215" s="233">
        <v>5250</v>
      </c>
      <c r="H215" s="233">
        <v>7841628</v>
      </c>
      <c r="I215" s="233">
        <v>370272</v>
      </c>
      <c r="J215" s="233">
        <v>361370</v>
      </c>
      <c r="K215" s="233">
        <v>8902</v>
      </c>
      <c r="L215" s="233">
        <v>7254067</v>
      </c>
      <c r="M215" s="233">
        <v>1152983</v>
      </c>
      <c r="N215" s="233">
        <v>75372</v>
      </c>
      <c r="O215" s="233">
        <v>292210</v>
      </c>
      <c r="P215" s="233">
        <v>1815915</v>
      </c>
      <c r="Q215" s="233">
        <v>5246</v>
      </c>
      <c r="R215" s="233">
        <v>7841580</v>
      </c>
      <c r="S215" s="233">
        <v>370272</v>
      </c>
      <c r="T215" s="233">
        <v>361370</v>
      </c>
      <c r="U215" s="233">
        <v>8902</v>
      </c>
      <c r="V215" s="233">
        <v>7254024</v>
      </c>
      <c r="W215" s="233">
        <v>1152960</v>
      </c>
      <c r="X215" s="233">
        <v>75372</v>
      </c>
      <c r="Y215" s="233">
        <v>292210</v>
      </c>
      <c r="Z215" s="233">
        <v>1815888</v>
      </c>
      <c r="AA215" s="233">
        <v>4</v>
      </c>
      <c r="AB215" s="233">
        <v>48</v>
      </c>
      <c r="AC215" s="233">
        <v>0</v>
      </c>
      <c r="AD215" s="233">
        <v>0</v>
      </c>
      <c r="AE215" s="233">
        <v>0</v>
      </c>
      <c r="AF215" s="233">
        <v>43</v>
      </c>
      <c r="AG215" s="233">
        <v>23</v>
      </c>
      <c r="AH215" s="233">
        <v>0</v>
      </c>
      <c r="AI215" s="233">
        <v>0</v>
      </c>
      <c r="AJ215" s="233">
        <v>28</v>
      </c>
    </row>
    <row r="216" spans="1:36">
      <c r="A216" s="240">
        <v>1</v>
      </c>
      <c r="B216" s="241" t="s">
        <v>3997</v>
      </c>
      <c r="C216" s="241" t="s">
        <v>3432</v>
      </c>
      <c r="D216" s="241" t="s">
        <v>4407</v>
      </c>
      <c r="E216" s="241">
        <v>6</v>
      </c>
      <c r="F216" s="242" t="s">
        <v>4408</v>
      </c>
      <c r="G216" s="233">
        <v>1650</v>
      </c>
      <c r="H216" s="233">
        <v>6952664</v>
      </c>
      <c r="I216" s="233">
        <v>183702</v>
      </c>
      <c r="J216" s="233">
        <v>181440</v>
      </c>
      <c r="K216" s="233">
        <v>2262</v>
      </c>
      <c r="L216" s="233">
        <v>6589088</v>
      </c>
      <c r="M216" s="233">
        <v>788139</v>
      </c>
      <c r="N216" s="233">
        <v>39121</v>
      </c>
      <c r="O216" s="233">
        <v>167050</v>
      </c>
      <c r="P216" s="233">
        <v>1190835</v>
      </c>
      <c r="Q216" s="233">
        <v>1646</v>
      </c>
      <c r="R216" s="233">
        <v>6952090</v>
      </c>
      <c r="S216" s="233">
        <v>183702</v>
      </c>
      <c r="T216" s="233">
        <v>181440</v>
      </c>
      <c r="U216" s="233">
        <v>2262</v>
      </c>
      <c r="V216" s="233">
        <v>6586739</v>
      </c>
      <c r="W216" s="233">
        <v>787920</v>
      </c>
      <c r="X216" s="233">
        <v>39106</v>
      </c>
      <c r="Y216" s="233">
        <v>167050</v>
      </c>
      <c r="Z216" s="233">
        <v>1192376</v>
      </c>
      <c r="AA216" s="233">
        <v>4</v>
      </c>
      <c r="AB216" s="233">
        <v>573</v>
      </c>
      <c r="AC216" s="233">
        <v>0</v>
      </c>
      <c r="AD216" s="233">
        <v>0</v>
      </c>
      <c r="AE216" s="233">
        <v>0</v>
      </c>
      <c r="AF216" s="233">
        <v>2349</v>
      </c>
      <c r="AG216" s="233">
        <v>219</v>
      </c>
      <c r="AH216" s="233">
        <v>15</v>
      </c>
      <c r="AI216" s="233">
        <v>0</v>
      </c>
      <c r="AJ216" s="233">
        <v>1541</v>
      </c>
    </row>
    <row r="217" spans="1:36">
      <c r="A217" s="240">
        <v>1</v>
      </c>
      <c r="B217" s="241" t="s">
        <v>3997</v>
      </c>
      <c r="C217" s="241" t="s">
        <v>3432</v>
      </c>
      <c r="D217" s="241" t="s">
        <v>4409</v>
      </c>
      <c r="E217" s="241">
        <v>6</v>
      </c>
      <c r="F217" s="242" t="s">
        <v>4410</v>
      </c>
      <c r="G217" s="233">
        <v>1116</v>
      </c>
      <c r="H217" s="233">
        <v>2785742</v>
      </c>
      <c r="I217" s="233">
        <v>341465</v>
      </c>
      <c r="J217" s="233">
        <v>339341</v>
      </c>
      <c r="K217" s="233">
        <v>2123</v>
      </c>
      <c r="L217" s="233">
        <v>2645772</v>
      </c>
      <c r="M217" s="233">
        <v>302560</v>
      </c>
      <c r="N217" s="233">
        <v>14524</v>
      </c>
      <c r="O217" s="233">
        <v>229159</v>
      </c>
      <c r="P217" s="233">
        <v>457054</v>
      </c>
      <c r="Q217" s="233">
        <v>1115</v>
      </c>
      <c r="R217" s="235" t="s">
        <v>4020</v>
      </c>
      <c r="S217" s="235" t="s">
        <v>4020</v>
      </c>
      <c r="T217" s="235" t="s">
        <v>4020</v>
      </c>
      <c r="U217" s="235" t="s">
        <v>4020</v>
      </c>
      <c r="V217" s="235" t="s">
        <v>4020</v>
      </c>
      <c r="W217" s="235" t="s">
        <v>4020</v>
      </c>
      <c r="X217" s="235" t="s">
        <v>4020</v>
      </c>
      <c r="Y217" s="235" t="s">
        <v>4020</v>
      </c>
      <c r="Z217" s="235" t="s">
        <v>4020</v>
      </c>
      <c r="AA217" s="233">
        <v>1</v>
      </c>
      <c r="AB217" s="235" t="s">
        <v>4020</v>
      </c>
      <c r="AC217" s="235" t="s">
        <v>4020</v>
      </c>
      <c r="AD217" s="235" t="s">
        <v>4020</v>
      </c>
      <c r="AE217" s="235" t="s">
        <v>4020</v>
      </c>
      <c r="AF217" s="235" t="s">
        <v>4020</v>
      </c>
      <c r="AG217" s="235" t="s">
        <v>4020</v>
      </c>
      <c r="AH217" s="235" t="s">
        <v>4020</v>
      </c>
      <c r="AI217" s="235" t="s">
        <v>4020</v>
      </c>
      <c r="AJ217" s="235" t="s">
        <v>4020</v>
      </c>
    </row>
    <row r="218" spans="1:36">
      <c r="A218" s="240">
        <v>1</v>
      </c>
      <c r="B218" s="241" t="s">
        <v>3997</v>
      </c>
      <c r="C218" s="241" t="s">
        <v>3432</v>
      </c>
      <c r="D218" s="241" t="s">
        <v>4411</v>
      </c>
      <c r="E218" s="241">
        <v>6</v>
      </c>
      <c r="F218" s="242" t="s">
        <v>4412</v>
      </c>
      <c r="G218" s="233">
        <v>803</v>
      </c>
      <c r="H218" s="233">
        <v>1626846</v>
      </c>
      <c r="I218" s="233">
        <v>82023</v>
      </c>
      <c r="J218" s="233">
        <v>80471</v>
      </c>
      <c r="K218" s="233">
        <v>1552</v>
      </c>
      <c r="L218" s="233">
        <v>1491646</v>
      </c>
      <c r="M218" s="233">
        <v>209672</v>
      </c>
      <c r="N218" s="233">
        <v>15059</v>
      </c>
      <c r="O218" s="233">
        <v>60321</v>
      </c>
      <c r="P218" s="233">
        <v>359930</v>
      </c>
      <c r="Q218" s="233">
        <v>802</v>
      </c>
      <c r="R218" s="235" t="s">
        <v>4020</v>
      </c>
      <c r="S218" s="235" t="s">
        <v>4020</v>
      </c>
      <c r="T218" s="235" t="s">
        <v>4020</v>
      </c>
      <c r="U218" s="235" t="s">
        <v>4020</v>
      </c>
      <c r="V218" s="235" t="s">
        <v>4020</v>
      </c>
      <c r="W218" s="235" t="s">
        <v>4020</v>
      </c>
      <c r="X218" s="235" t="s">
        <v>4020</v>
      </c>
      <c r="Y218" s="235" t="s">
        <v>4020</v>
      </c>
      <c r="Z218" s="235" t="s">
        <v>4020</v>
      </c>
      <c r="AA218" s="233">
        <v>1</v>
      </c>
      <c r="AB218" s="235" t="s">
        <v>4020</v>
      </c>
      <c r="AC218" s="235" t="s">
        <v>4020</v>
      </c>
      <c r="AD218" s="235" t="s">
        <v>4020</v>
      </c>
      <c r="AE218" s="235" t="s">
        <v>4020</v>
      </c>
      <c r="AF218" s="235" t="s">
        <v>4020</v>
      </c>
      <c r="AG218" s="235" t="s">
        <v>4020</v>
      </c>
      <c r="AH218" s="235" t="s">
        <v>4020</v>
      </c>
      <c r="AI218" s="235" t="s">
        <v>4020</v>
      </c>
      <c r="AJ218" s="235" t="s">
        <v>4020</v>
      </c>
    </row>
    <row r="219" spans="1:36">
      <c r="A219" s="240">
        <v>1</v>
      </c>
      <c r="B219" s="241" t="s">
        <v>3997</v>
      </c>
      <c r="C219" s="241" t="s">
        <v>3432</v>
      </c>
      <c r="D219" s="241" t="s">
        <v>4413</v>
      </c>
      <c r="E219" s="241">
        <v>6</v>
      </c>
      <c r="F219" s="242" t="s">
        <v>4414</v>
      </c>
      <c r="G219" s="233">
        <v>154</v>
      </c>
      <c r="H219" s="233">
        <v>1550282</v>
      </c>
      <c r="I219" s="233">
        <v>30538</v>
      </c>
      <c r="J219" s="233">
        <v>30131</v>
      </c>
      <c r="K219" s="233">
        <v>407</v>
      </c>
      <c r="L219" s="233">
        <v>1544465</v>
      </c>
      <c r="M219" s="233">
        <v>204271</v>
      </c>
      <c r="N219" s="233">
        <v>11242</v>
      </c>
      <c r="O219" s="233">
        <v>3244</v>
      </c>
      <c r="P219" s="233">
        <v>221330</v>
      </c>
      <c r="Q219" s="233">
        <v>154</v>
      </c>
      <c r="R219" s="233">
        <v>1550282</v>
      </c>
      <c r="S219" s="233">
        <v>30538</v>
      </c>
      <c r="T219" s="233">
        <v>30131</v>
      </c>
      <c r="U219" s="233">
        <v>407</v>
      </c>
      <c r="V219" s="233">
        <v>1544465</v>
      </c>
      <c r="W219" s="233">
        <v>204271</v>
      </c>
      <c r="X219" s="233">
        <v>11242</v>
      </c>
      <c r="Y219" s="233">
        <v>3244</v>
      </c>
      <c r="Z219" s="233">
        <v>221330</v>
      </c>
      <c r="AA219" s="235" t="s">
        <v>5298</v>
      </c>
      <c r="AB219" s="235" t="s">
        <v>5298</v>
      </c>
      <c r="AC219" s="235" t="s">
        <v>5298</v>
      </c>
      <c r="AD219" s="235" t="s">
        <v>5298</v>
      </c>
      <c r="AE219" s="235" t="s">
        <v>5298</v>
      </c>
      <c r="AF219" s="235" t="s">
        <v>5298</v>
      </c>
      <c r="AG219" s="235" t="s">
        <v>5298</v>
      </c>
      <c r="AH219" s="235" t="s">
        <v>5298</v>
      </c>
      <c r="AI219" s="235" t="s">
        <v>5298</v>
      </c>
      <c r="AJ219" s="235" t="s">
        <v>5298</v>
      </c>
    </row>
    <row r="220" spans="1:36">
      <c r="A220" s="240">
        <v>1</v>
      </c>
      <c r="B220" s="241" t="s">
        <v>3997</v>
      </c>
      <c r="C220" s="241" t="s">
        <v>3432</v>
      </c>
      <c r="D220" s="241" t="s">
        <v>4415</v>
      </c>
      <c r="E220" s="241">
        <v>6</v>
      </c>
      <c r="F220" s="242" t="s">
        <v>4416</v>
      </c>
      <c r="G220" s="233">
        <v>832</v>
      </c>
      <c r="H220" s="233">
        <v>1334233</v>
      </c>
      <c r="I220" s="233">
        <v>77545</v>
      </c>
      <c r="J220" s="233">
        <v>77398</v>
      </c>
      <c r="K220" s="233">
        <v>147</v>
      </c>
      <c r="L220" s="233">
        <v>1240332</v>
      </c>
      <c r="M220" s="233">
        <v>214578</v>
      </c>
      <c r="N220" s="233">
        <v>9688</v>
      </c>
      <c r="O220" s="233">
        <v>110869</v>
      </c>
      <c r="P220" s="233">
        <v>318167</v>
      </c>
      <c r="Q220" s="233">
        <v>832</v>
      </c>
      <c r="R220" s="233">
        <v>1334233</v>
      </c>
      <c r="S220" s="233">
        <v>77545</v>
      </c>
      <c r="T220" s="233">
        <v>77398</v>
      </c>
      <c r="U220" s="233">
        <v>147</v>
      </c>
      <c r="V220" s="233">
        <v>1240332</v>
      </c>
      <c r="W220" s="233">
        <v>214578</v>
      </c>
      <c r="X220" s="233">
        <v>9688</v>
      </c>
      <c r="Y220" s="233">
        <v>110869</v>
      </c>
      <c r="Z220" s="233">
        <v>318167</v>
      </c>
      <c r="AA220" s="235" t="s">
        <v>5298</v>
      </c>
      <c r="AB220" s="235" t="s">
        <v>5298</v>
      </c>
      <c r="AC220" s="235" t="s">
        <v>5298</v>
      </c>
      <c r="AD220" s="235" t="s">
        <v>5298</v>
      </c>
      <c r="AE220" s="235" t="s">
        <v>5298</v>
      </c>
      <c r="AF220" s="235" t="s">
        <v>5298</v>
      </c>
      <c r="AG220" s="235" t="s">
        <v>5298</v>
      </c>
      <c r="AH220" s="235" t="s">
        <v>5298</v>
      </c>
      <c r="AI220" s="235" t="s">
        <v>5298</v>
      </c>
      <c r="AJ220" s="235" t="s">
        <v>5298</v>
      </c>
    </row>
    <row r="221" spans="1:36">
      <c r="A221" s="240">
        <v>1</v>
      </c>
      <c r="B221" s="241" t="s">
        <v>3997</v>
      </c>
      <c r="C221" s="241" t="s">
        <v>3432</v>
      </c>
      <c r="D221" s="241" t="s">
        <v>4417</v>
      </c>
      <c r="E221" s="241">
        <v>6</v>
      </c>
      <c r="F221" s="242" t="s">
        <v>4418</v>
      </c>
      <c r="G221" s="233">
        <v>1033</v>
      </c>
      <c r="H221" s="233">
        <v>2263536</v>
      </c>
      <c r="I221" s="233">
        <v>195298</v>
      </c>
      <c r="J221" s="233">
        <v>194147</v>
      </c>
      <c r="K221" s="233">
        <v>1150</v>
      </c>
      <c r="L221" s="233">
        <v>1883751</v>
      </c>
      <c r="M221" s="233">
        <v>315316</v>
      </c>
      <c r="N221" s="233">
        <v>15756</v>
      </c>
      <c r="O221" s="233">
        <v>118923</v>
      </c>
      <c r="P221" s="233">
        <v>710857</v>
      </c>
      <c r="Q221" s="233">
        <v>1031</v>
      </c>
      <c r="R221" s="235" t="s">
        <v>4020</v>
      </c>
      <c r="S221" s="235" t="s">
        <v>4020</v>
      </c>
      <c r="T221" s="235" t="s">
        <v>4020</v>
      </c>
      <c r="U221" s="235" t="s">
        <v>4020</v>
      </c>
      <c r="V221" s="235" t="s">
        <v>4020</v>
      </c>
      <c r="W221" s="235" t="s">
        <v>4020</v>
      </c>
      <c r="X221" s="235" t="s">
        <v>4020</v>
      </c>
      <c r="Y221" s="235" t="s">
        <v>4020</v>
      </c>
      <c r="Z221" s="235" t="s">
        <v>4020</v>
      </c>
      <c r="AA221" s="233">
        <v>2</v>
      </c>
      <c r="AB221" s="235" t="s">
        <v>4020</v>
      </c>
      <c r="AC221" s="235" t="s">
        <v>4020</v>
      </c>
      <c r="AD221" s="235" t="s">
        <v>4020</v>
      </c>
      <c r="AE221" s="235" t="s">
        <v>4020</v>
      </c>
      <c r="AF221" s="235" t="s">
        <v>4020</v>
      </c>
      <c r="AG221" s="235" t="s">
        <v>4020</v>
      </c>
      <c r="AH221" s="235" t="s">
        <v>4020</v>
      </c>
      <c r="AI221" s="235" t="s">
        <v>4020</v>
      </c>
      <c r="AJ221" s="235" t="s">
        <v>4020</v>
      </c>
    </row>
    <row r="222" spans="1:36">
      <c r="A222" s="240">
        <v>1</v>
      </c>
      <c r="B222" s="241" t="s">
        <v>3997</v>
      </c>
      <c r="C222" s="241" t="s">
        <v>3432</v>
      </c>
      <c r="D222" s="241" t="s">
        <v>4419</v>
      </c>
      <c r="E222" s="241">
        <v>6</v>
      </c>
      <c r="F222" s="242" t="s">
        <v>4420</v>
      </c>
      <c r="G222" s="233">
        <v>368</v>
      </c>
      <c r="H222" s="233">
        <v>472305</v>
      </c>
      <c r="I222" s="233">
        <v>30560</v>
      </c>
      <c r="J222" s="233">
        <v>30161</v>
      </c>
      <c r="K222" s="233">
        <v>399</v>
      </c>
      <c r="L222" s="233">
        <v>417230</v>
      </c>
      <c r="M222" s="233">
        <v>72688</v>
      </c>
      <c r="N222" s="233">
        <v>6775</v>
      </c>
      <c r="O222" s="233">
        <v>26849</v>
      </c>
      <c r="P222" s="233">
        <v>134538</v>
      </c>
      <c r="Q222" s="233">
        <v>368</v>
      </c>
      <c r="R222" s="233">
        <v>472305</v>
      </c>
      <c r="S222" s="233">
        <v>30560</v>
      </c>
      <c r="T222" s="233">
        <v>30161</v>
      </c>
      <c r="U222" s="233">
        <v>399</v>
      </c>
      <c r="V222" s="233">
        <v>417230</v>
      </c>
      <c r="W222" s="233">
        <v>72688</v>
      </c>
      <c r="X222" s="233">
        <v>6775</v>
      </c>
      <c r="Y222" s="233">
        <v>26849</v>
      </c>
      <c r="Z222" s="233">
        <v>134538</v>
      </c>
      <c r="AA222" s="235" t="s">
        <v>5298</v>
      </c>
      <c r="AB222" s="235" t="s">
        <v>5298</v>
      </c>
      <c r="AC222" s="235" t="s">
        <v>5298</v>
      </c>
      <c r="AD222" s="235" t="s">
        <v>5298</v>
      </c>
      <c r="AE222" s="235" t="s">
        <v>5298</v>
      </c>
      <c r="AF222" s="235" t="s">
        <v>5298</v>
      </c>
      <c r="AG222" s="235" t="s">
        <v>5298</v>
      </c>
      <c r="AH222" s="235" t="s">
        <v>5298</v>
      </c>
      <c r="AI222" s="235" t="s">
        <v>5298</v>
      </c>
      <c r="AJ222" s="235" t="s">
        <v>5298</v>
      </c>
    </row>
    <row r="223" spans="1:36">
      <c r="A223" s="240">
        <v>1</v>
      </c>
      <c r="B223" s="241" t="s">
        <v>3997</v>
      </c>
      <c r="C223" s="241" t="s">
        <v>3172</v>
      </c>
      <c r="D223" s="241" t="s">
        <v>4421</v>
      </c>
      <c r="E223" s="241">
        <v>5</v>
      </c>
      <c r="F223" s="242" t="s">
        <v>4422</v>
      </c>
      <c r="G223" s="233">
        <v>1690</v>
      </c>
      <c r="H223" s="233">
        <v>14044695</v>
      </c>
      <c r="I223" s="233">
        <v>537308</v>
      </c>
      <c r="J223" s="233">
        <v>516578</v>
      </c>
      <c r="K223" s="233">
        <v>20730</v>
      </c>
      <c r="L223" s="233">
        <v>13195869</v>
      </c>
      <c r="M223" s="233">
        <v>1767814</v>
      </c>
      <c r="N223" s="233">
        <v>59802</v>
      </c>
      <c r="O223" s="233">
        <v>292667</v>
      </c>
      <c r="P223" s="233">
        <v>2676443</v>
      </c>
      <c r="Q223" s="233">
        <v>1689</v>
      </c>
      <c r="R223" s="235" t="s">
        <v>4020</v>
      </c>
      <c r="S223" s="235" t="s">
        <v>4020</v>
      </c>
      <c r="T223" s="235" t="s">
        <v>4020</v>
      </c>
      <c r="U223" s="235" t="s">
        <v>4020</v>
      </c>
      <c r="V223" s="235" t="s">
        <v>4020</v>
      </c>
      <c r="W223" s="235" t="s">
        <v>4020</v>
      </c>
      <c r="X223" s="235" t="s">
        <v>4020</v>
      </c>
      <c r="Y223" s="235" t="s">
        <v>4020</v>
      </c>
      <c r="Z223" s="235" t="s">
        <v>4020</v>
      </c>
      <c r="AA223" s="233">
        <v>1</v>
      </c>
      <c r="AB223" s="235" t="s">
        <v>4020</v>
      </c>
      <c r="AC223" s="235" t="s">
        <v>4020</v>
      </c>
      <c r="AD223" s="235" t="s">
        <v>4020</v>
      </c>
      <c r="AE223" s="235" t="s">
        <v>4020</v>
      </c>
      <c r="AF223" s="235" t="s">
        <v>4020</v>
      </c>
      <c r="AG223" s="235" t="s">
        <v>4020</v>
      </c>
      <c r="AH223" s="235" t="s">
        <v>4020</v>
      </c>
      <c r="AI223" s="235" t="s">
        <v>4020</v>
      </c>
      <c r="AJ223" s="235" t="s">
        <v>4020</v>
      </c>
    </row>
    <row r="224" spans="1:36">
      <c r="A224" s="240">
        <v>1</v>
      </c>
      <c r="B224" s="241" t="s">
        <v>3997</v>
      </c>
      <c r="C224" s="241" t="s">
        <v>3432</v>
      </c>
      <c r="D224" s="241" t="s">
        <v>4423</v>
      </c>
      <c r="E224" s="241">
        <v>6</v>
      </c>
      <c r="F224" s="242" t="s">
        <v>4424</v>
      </c>
      <c r="G224" s="233">
        <v>625</v>
      </c>
      <c r="H224" s="233">
        <v>7963838</v>
      </c>
      <c r="I224" s="233">
        <v>225540</v>
      </c>
      <c r="J224" s="233">
        <v>222819</v>
      </c>
      <c r="K224" s="233">
        <v>2721</v>
      </c>
      <c r="L224" s="233">
        <v>7510977</v>
      </c>
      <c r="M224" s="233">
        <v>1164183</v>
      </c>
      <c r="N224" s="233">
        <v>35591</v>
      </c>
      <c r="O224" s="233">
        <v>20480</v>
      </c>
      <c r="P224" s="233">
        <v>1652635</v>
      </c>
      <c r="Q224" s="233">
        <v>624</v>
      </c>
      <c r="R224" s="235" t="s">
        <v>4020</v>
      </c>
      <c r="S224" s="235" t="s">
        <v>4020</v>
      </c>
      <c r="T224" s="235" t="s">
        <v>4020</v>
      </c>
      <c r="U224" s="235" t="s">
        <v>4020</v>
      </c>
      <c r="V224" s="235" t="s">
        <v>4020</v>
      </c>
      <c r="W224" s="235" t="s">
        <v>4020</v>
      </c>
      <c r="X224" s="235" t="s">
        <v>4020</v>
      </c>
      <c r="Y224" s="235" t="s">
        <v>4020</v>
      </c>
      <c r="Z224" s="235" t="s">
        <v>4020</v>
      </c>
      <c r="AA224" s="233">
        <v>1</v>
      </c>
      <c r="AB224" s="235" t="s">
        <v>4020</v>
      </c>
      <c r="AC224" s="235" t="s">
        <v>4020</v>
      </c>
      <c r="AD224" s="235" t="s">
        <v>4020</v>
      </c>
      <c r="AE224" s="235" t="s">
        <v>4020</v>
      </c>
      <c r="AF224" s="235" t="s">
        <v>4020</v>
      </c>
      <c r="AG224" s="235" t="s">
        <v>4020</v>
      </c>
      <c r="AH224" s="235" t="s">
        <v>4020</v>
      </c>
      <c r="AI224" s="235" t="s">
        <v>4020</v>
      </c>
      <c r="AJ224" s="235" t="s">
        <v>4020</v>
      </c>
    </row>
    <row r="225" spans="1:36">
      <c r="A225" s="240">
        <v>1</v>
      </c>
      <c r="B225" s="241" t="s">
        <v>3997</v>
      </c>
      <c r="C225" s="241" t="s">
        <v>3432</v>
      </c>
      <c r="D225" s="241" t="s">
        <v>4425</v>
      </c>
      <c r="E225" s="241">
        <v>6</v>
      </c>
      <c r="F225" s="242" t="s">
        <v>4426</v>
      </c>
      <c r="G225" s="233">
        <v>531</v>
      </c>
      <c r="H225" s="233">
        <v>1415033</v>
      </c>
      <c r="I225" s="233">
        <v>96171</v>
      </c>
      <c r="J225" s="233">
        <v>95572</v>
      </c>
      <c r="K225" s="233">
        <v>599</v>
      </c>
      <c r="L225" s="233">
        <v>1356469</v>
      </c>
      <c r="M225" s="233">
        <v>174741</v>
      </c>
      <c r="N225" s="233">
        <v>6083</v>
      </c>
      <c r="O225" s="233">
        <v>21322</v>
      </c>
      <c r="P225" s="233">
        <v>239388</v>
      </c>
      <c r="Q225" s="233">
        <v>531</v>
      </c>
      <c r="R225" s="233">
        <v>1415033</v>
      </c>
      <c r="S225" s="233">
        <v>96171</v>
      </c>
      <c r="T225" s="233">
        <v>95572</v>
      </c>
      <c r="U225" s="233">
        <v>599</v>
      </c>
      <c r="V225" s="233">
        <v>1356469</v>
      </c>
      <c r="W225" s="233">
        <v>174741</v>
      </c>
      <c r="X225" s="233">
        <v>6083</v>
      </c>
      <c r="Y225" s="233">
        <v>21322</v>
      </c>
      <c r="Z225" s="233">
        <v>239388</v>
      </c>
      <c r="AA225" s="235" t="s">
        <v>5298</v>
      </c>
      <c r="AB225" s="235" t="s">
        <v>5298</v>
      </c>
      <c r="AC225" s="235" t="s">
        <v>5298</v>
      </c>
      <c r="AD225" s="235" t="s">
        <v>5298</v>
      </c>
      <c r="AE225" s="235" t="s">
        <v>5298</v>
      </c>
      <c r="AF225" s="235" t="s">
        <v>5298</v>
      </c>
      <c r="AG225" s="235" t="s">
        <v>5298</v>
      </c>
      <c r="AH225" s="235" t="s">
        <v>5298</v>
      </c>
      <c r="AI225" s="235" t="s">
        <v>5298</v>
      </c>
      <c r="AJ225" s="235" t="s">
        <v>5298</v>
      </c>
    </row>
    <row r="226" spans="1:36">
      <c r="A226" s="240">
        <v>1</v>
      </c>
      <c r="B226" s="241" t="s">
        <v>3997</v>
      </c>
      <c r="C226" s="241" t="s">
        <v>3432</v>
      </c>
      <c r="D226" s="241" t="s">
        <v>4427</v>
      </c>
      <c r="E226" s="241">
        <v>6</v>
      </c>
      <c r="F226" s="242" t="s">
        <v>4428</v>
      </c>
      <c r="G226" s="233">
        <v>534</v>
      </c>
      <c r="H226" s="233">
        <v>4665824</v>
      </c>
      <c r="I226" s="233">
        <v>215597</v>
      </c>
      <c r="J226" s="233">
        <v>198187</v>
      </c>
      <c r="K226" s="233">
        <v>17410</v>
      </c>
      <c r="L226" s="233">
        <v>4328423</v>
      </c>
      <c r="M226" s="233">
        <v>428890</v>
      </c>
      <c r="N226" s="233">
        <v>18129</v>
      </c>
      <c r="O226" s="233">
        <v>250865</v>
      </c>
      <c r="P226" s="233">
        <v>784420</v>
      </c>
      <c r="Q226" s="233">
        <v>534</v>
      </c>
      <c r="R226" s="233">
        <v>4665824</v>
      </c>
      <c r="S226" s="233">
        <v>215597</v>
      </c>
      <c r="T226" s="233">
        <v>198187</v>
      </c>
      <c r="U226" s="233">
        <v>17410</v>
      </c>
      <c r="V226" s="233">
        <v>4328423</v>
      </c>
      <c r="W226" s="233">
        <v>428890</v>
      </c>
      <c r="X226" s="233">
        <v>18129</v>
      </c>
      <c r="Y226" s="233">
        <v>250865</v>
      </c>
      <c r="Z226" s="233">
        <v>784420</v>
      </c>
      <c r="AA226" s="235" t="s">
        <v>5298</v>
      </c>
      <c r="AB226" s="235" t="s">
        <v>5298</v>
      </c>
      <c r="AC226" s="235" t="s">
        <v>5298</v>
      </c>
      <c r="AD226" s="235" t="s">
        <v>5298</v>
      </c>
      <c r="AE226" s="235" t="s">
        <v>5298</v>
      </c>
      <c r="AF226" s="235" t="s">
        <v>5298</v>
      </c>
      <c r="AG226" s="235" t="s">
        <v>5298</v>
      </c>
      <c r="AH226" s="235" t="s">
        <v>5298</v>
      </c>
      <c r="AI226" s="235" t="s">
        <v>5298</v>
      </c>
      <c r="AJ226" s="235" t="s">
        <v>5298</v>
      </c>
    </row>
    <row r="227" spans="1:36">
      <c r="A227" s="240">
        <v>1</v>
      </c>
      <c r="B227" s="241" t="s">
        <v>3997</v>
      </c>
      <c r="C227" s="241" t="s">
        <v>3172</v>
      </c>
      <c r="D227" s="241" t="s">
        <v>4429</v>
      </c>
      <c r="E227" s="241">
        <v>5</v>
      </c>
      <c r="F227" s="242" t="s">
        <v>4430</v>
      </c>
      <c r="G227" s="233">
        <v>11437</v>
      </c>
      <c r="H227" s="233">
        <v>72703537</v>
      </c>
      <c r="I227" s="233">
        <v>1626828</v>
      </c>
      <c r="J227" s="233">
        <v>1598325</v>
      </c>
      <c r="K227" s="233">
        <v>28502</v>
      </c>
      <c r="L227" s="233">
        <v>69229951</v>
      </c>
      <c r="M227" s="233">
        <v>6431379</v>
      </c>
      <c r="N227" s="233">
        <v>355998</v>
      </c>
      <c r="O227" s="233">
        <v>1458555</v>
      </c>
      <c r="P227" s="233">
        <v>10260962</v>
      </c>
      <c r="Q227" s="233">
        <v>11414</v>
      </c>
      <c r="R227" s="233">
        <v>72696956</v>
      </c>
      <c r="S227" s="233">
        <v>1626563</v>
      </c>
      <c r="T227" s="233">
        <v>1598061</v>
      </c>
      <c r="U227" s="233">
        <v>28502</v>
      </c>
      <c r="V227" s="233">
        <v>69224652</v>
      </c>
      <c r="W227" s="233">
        <v>6430387</v>
      </c>
      <c r="X227" s="233">
        <v>355787</v>
      </c>
      <c r="Y227" s="233">
        <v>1458522</v>
      </c>
      <c r="Z227" s="233">
        <v>10258477</v>
      </c>
      <c r="AA227" s="233">
        <v>23</v>
      </c>
      <c r="AB227" s="233">
        <v>6581</v>
      </c>
      <c r="AC227" s="233">
        <v>264</v>
      </c>
      <c r="AD227" s="233">
        <v>264</v>
      </c>
      <c r="AE227" s="233">
        <v>0</v>
      </c>
      <c r="AF227" s="233">
        <v>5300</v>
      </c>
      <c r="AG227" s="233">
        <v>992</v>
      </c>
      <c r="AH227" s="233">
        <v>211</v>
      </c>
      <c r="AI227" s="233">
        <v>33</v>
      </c>
      <c r="AJ227" s="233">
        <v>2485</v>
      </c>
    </row>
    <row r="228" spans="1:36">
      <c r="A228" s="240">
        <v>1</v>
      </c>
      <c r="B228" s="241" t="s">
        <v>3997</v>
      </c>
      <c r="C228" s="241" t="s">
        <v>3432</v>
      </c>
      <c r="D228" s="241" t="s">
        <v>4431</v>
      </c>
      <c r="E228" s="241">
        <v>6</v>
      </c>
      <c r="F228" s="242" t="s">
        <v>4432</v>
      </c>
      <c r="G228" s="233">
        <v>7228</v>
      </c>
      <c r="H228" s="233">
        <v>66405669</v>
      </c>
      <c r="I228" s="233">
        <v>1511385</v>
      </c>
      <c r="J228" s="233">
        <v>1488103</v>
      </c>
      <c r="K228" s="233">
        <v>23283</v>
      </c>
      <c r="L228" s="233">
        <v>63247602</v>
      </c>
      <c r="M228" s="233">
        <v>5588186</v>
      </c>
      <c r="N228" s="233">
        <v>295793</v>
      </c>
      <c r="O228" s="233">
        <v>1351202</v>
      </c>
      <c r="P228" s="233">
        <v>9042046</v>
      </c>
      <c r="Q228" s="233">
        <v>7221</v>
      </c>
      <c r="R228" s="233">
        <v>66405168</v>
      </c>
      <c r="S228" s="233">
        <v>1511385</v>
      </c>
      <c r="T228" s="233">
        <v>1488103</v>
      </c>
      <c r="U228" s="233">
        <v>23283</v>
      </c>
      <c r="V228" s="233">
        <v>63247171</v>
      </c>
      <c r="W228" s="233">
        <v>5588058</v>
      </c>
      <c r="X228" s="233">
        <v>295778</v>
      </c>
      <c r="Y228" s="233">
        <v>1351202</v>
      </c>
      <c r="Z228" s="233">
        <v>9041833</v>
      </c>
      <c r="AA228" s="233">
        <v>7</v>
      </c>
      <c r="AB228" s="233">
        <v>501</v>
      </c>
      <c r="AC228" s="233">
        <v>0</v>
      </c>
      <c r="AD228" s="233">
        <v>0</v>
      </c>
      <c r="AE228" s="233">
        <v>0</v>
      </c>
      <c r="AF228" s="233">
        <v>431</v>
      </c>
      <c r="AG228" s="233">
        <v>128</v>
      </c>
      <c r="AH228" s="233">
        <v>15</v>
      </c>
      <c r="AI228" s="233">
        <v>0</v>
      </c>
      <c r="AJ228" s="233">
        <v>213</v>
      </c>
    </row>
    <row r="229" spans="1:36">
      <c r="A229" s="240">
        <v>1</v>
      </c>
      <c r="B229" s="241" t="s">
        <v>3997</v>
      </c>
      <c r="C229" s="241" t="s">
        <v>3432</v>
      </c>
      <c r="D229" s="241" t="s">
        <v>4433</v>
      </c>
      <c r="E229" s="241">
        <v>6</v>
      </c>
      <c r="F229" s="242" t="s">
        <v>4434</v>
      </c>
      <c r="G229" s="233">
        <v>569</v>
      </c>
      <c r="H229" s="233">
        <v>643178</v>
      </c>
      <c r="I229" s="233">
        <v>17150</v>
      </c>
      <c r="J229" s="233">
        <v>16997</v>
      </c>
      <c r="K229" s="233">
        <v>154</v>
      </c>
      <c r="L229" s="233">
        <v>582208</v>
      </c>
      <c r="M229" s="233">
        <v>133726</v>
      </c>
      <c r="N229" s="233">
        <v>6572</v>
      </c>
      <c r="O229" s="233">
        <v>13222</v>
      </c>
      <c r="P229" s="233">
        <v>201268</v>
      </c>
      <c r="Q229" s="233">
        <v>569</v>
      </c>
      <c r="R229" s="233">
        <v>643178</v>
      </c>
      <c r="S229" s="233">
        <v>17150</v>
      </c>
      <c r="T229" s="233">
        <v>16997</v>
      </c>
      <c r="U229" s="233">
        <v>154</v>
      </c>
      <c r="V229" s="233">
        <v>582208</v>
      </c>
      <c r="W229" s="233">
        <v>133726</v>
      </c>
      <c r="X229" s="233">
        <v>6572</v>
      </c>
      <c r="Y229" s="233">
        <v>13222</v>
      </c>
      <c r="Z229" s="233">
        <v>201268</v>
      </c>
      <c r="AA229" s="235" t="s">
        <v>5298</v>
      </c>
      <c r="AB229" s="235" t="s">
        <v>5298</v>
      </c>
      <c r="AC229" s="235" t="s">
        <v>5298</v>
      </c>
      <c r="AD229" s="235" t="s">
        <v>5298</v>
      </c>
      <c r="AE229" s="235" t="s">
        <v>5298</v>
      </c>
      <c r="AF229" s="235" t="s">
        <v>5298</v>
      </c>
      <c r="AG229" s="235" t="s">
        <v>5298</v>
      </c>
      <c r="AH229" s="235" t="s">
        <v>5298</v>
      </c>
      <c r="AI229" s="235" t="s">
        <v>5298</v>
      </c>
      <c r="AJ229" s="235" t="s">
        <v>5298</v>
      </c>
    </row>
    <row r="230" spans="1:36">
      <c r="A230" s="240">
        <v>1</v>
      </c>
      <c r="B230" s="241" t="s">
        <v>3997</v>
      </c>
      <c r="C230" s="241" t="s">
        <v>3432</v>
      </c>
      <c r="D230" s="241" t="s">
        <v>4435</v>
      </c>
      <c r="E230" s="241">
        <v>6</v>
      </c>
      <c r="F230" s="242" t="s">
        <v>4436</v>
      </c>
      <c r="G230" s="233">
        <v>2406</v>
      </c>
      <c r="H230" s="233">
        <v>3064907</v>
      </c>
      <c r="I230" s="233">
        <v>12803</v>
      </c>
      <c r="J230" s="233">
        <v>9731</v>
      </c>
      <c r="K230" s="233">
        <v>3072</v>
      </c>
      <c r="L230" s="233">
        <v>2958941</v>
      </c>
      <c r="M230" s="233">
        <v>333963</v>
      </c>
      <c r="N230" s="233">
        <v>32077</v>
      </c>
      <c r="O230" s="233">
        <v>7530</v>
      </c>
      <c r="P230" s="233">
        <v>472005</v>
      </c>
      <c r="Q230" s="233">
        <v>2393</v>
      </c>
      <c r="R230" s="233">
        <v>3059485</v>
      </c>
      <c r="S230" s="233">
        <v>12538</v>
      </c>
      <c r="T230" s="233">
        <v>9467</v>
      </c>
      <c r="U230" s="233">
        <v>3072</v>
      </c>
      <c r="V230" s="233">
        <v>2954524</v>
      </c>
      <c r="W230" s="233">
        <v>333184</v>
      </c>
      <c r="X230" s="233">
        <v>31910</v>
      </c>
      <c r="Y230" s="233">
        <v>7498</v>
      </c>
      <c r="Z230" s="233">
        <v>470056</v>
      </c>
      <c r="AA230" s="233">
        <v>13</v>
      </c>
      <c r="AB230" s="233">
        <v>5421</v>
      </c>
      <c r="AC230" s="233">
        <v>264</v>
      </c>
      <c r="AD230" s="233">
        <v>264</v>
      </c>
      <c r="AE230" s="233">
        <v>0</v>
      </c>
      <c r="AF230" s="233">
        <v>4418</v>
      </c>
      <c r="AG230" s="233">
        <v>779</v>
      </c>
      <c r="AH230" s="233">
        <v>167</v>
      </c>
      <c r="AI230" s="233">
        <v>33</v>
      </c>
      <c r="AJ230" s="233">
        <v>1949</v>
      </c>
    </row>
    <row r="231" spans="1:36">
      <c r="A231" s="240">
        <v>1</v>
      </c>
      <c r="B231" s="241" t="s">
        <v>3997</v>
      </c>
      <c r="C231" s="241" t="s">
        <v>3432</v>
      </c>
      <c r="D231" s="241" t="s">
        <v>4437</v>
      </c>
      <c r="E231" s="241">
        <v>6</v>
      </c>
      <c r="F231" s="242" t="s">
        <v>4438</v>
      </c>
      <c r="G231" s="233">
        <v>310</v>
      </c>
      <c r="H231" s="233">
        <v>1383227</v>
      </c>
      <c r="I231" s="233">
        <v>15342</v>
      </c>
      <c r="J231" s="233">
        <v>15106</v>
      </c>
      <c r="K231" s="233">
        <v>236</v>
      </c>
      <c r="L231" s="233">
        <v>1389919</v>
      </c>
      <c r="M231" s="233">
        <v>238275</v>
      </c>
      <c r="N231" s="233">
        <v>10142</v>
      </c>
      <c r="O231" s="233">
        <v>14102</v>
      </c>
      <c r="P231" s="233">
        <v>241725</v>
      </c>
      <c r="Q231" s="233">
        <v>309</v>
      </c>
      <c r="R231" s="235" t="s">
        <v>4020</v>
      </c>
      <c r="S231" s="235" t="s">
        <v>4020</v>
      </c>
      <c r="T231" s="235" t="s">
        <v>4020</v>
      </c>
      <c r="U231" s="235" t="s">
        <v>4020</v>
      </c>
      <c r="V231" s="235" t="s">
        <v>4020</v>
      </c>
      <c r="W231" s="235" t="s">
        <v>4020</v>
      </c>
      <c r="X231" s="235" t="s">
        <v>4020</v>
      </c>
      <c r="Y231" s="235" t="s">
        <v>4020</v>
      </c>
      <c r="Z231" s="235" t="s">
        <v>4020</v>
      </c>
      <c r="AA231" s="233">
        <v>1</v>
      </c>
      <c r="AB231" s="235" t="s">
        <v>4020</v>
      </c>
      <c r="AC231" s="235" t="s">
        <v>4020</v>
      </c>
      <c r="AD231" s="235" t="s">
        <v>4020</v>
      </c>
      <c r="AE231" s="235" t="s">
        <v>4020</v>
      </c>
      <c r="AF231" s="235" t="s">
        <v>4020</v>
      </c>
      <c r="AG231" s="235" t="s">
        <v>4020</v>
      </c>
      <c r="AH231" s="235" t="s">
        <v>4020</v>
      </c>
      <c r="AI231" s="235" t="s">
        <v>4020</v>
      </c>
      <c r="AJ231" s="235" t="s">
        <v>4020</v>
      </c>
    </row>
    <row r="232" spans="1:36">
      <c r="A232" s="240">
        <v>1</v>
      </c>
      <c r="B232" s="241" t="s">
        <v>3997</v>
      </c>
      <c r="C232" s="241" t="s">
        <v>3432</v>
      </c>
      <c r="D232" s="241" t="s">
        <v>4439</v>
      </c>
      <c r="E232" s="241">
        <v>6</v>
      </c>
      <c r="F232" s="242" t="s">
        <v>4440</v>
      </c>
      <c r="G232" s="233">
        <v>345</v>
      </c>
      <c r="H232" s="233">
        <v>427982</v>
      </c>
      <c r="I232" s="233">
        <v>45160</v>
      </c>
      <c r="J232" s="233">
        <v>44805</v>
      </c>
      <c r="K232" s="233">
        <v>355</v>
      </c>
      <c r="L232" s="233">
        <v>401497</v>
      </c>
      <c r="M232" s="233">
        <v>54190</v>
      </c>
      <c r="N232" s="233">
        <v>4489</v>
      </c>
      <c r="O232" s="233">
        <v>36066</v>
      </c>
      <c r="P232" s="233">
        <v>85164</v>
      </c>
      <c r="Q232" s="233">
        <v>345</v>
      </c>
      <c r="R232" s="233">
        <v>427982</v>
      </c>
      <c r="S232" s="233">
        <v>45160</v>
      </c>
      <c r="T232" s="233">
        <v>44805</v>
      </c>
      <c r="U232" s="233">
        <v>355</v>
      </c>
      <c r="V232" s="233">
        <v>401497</v>
      </c>
      <c r="W232" s="233">
        <v>54190</v>
      </c>
      <c r="X232" s="233">
        <v>4489</v>
      </c>
      <c r="Y232" s="233">
        <v>36066</v>
      </c>
      <c r="Z232" s="233">
        <v>85164</v>
      </c>
      <c r="AA232" s="235" t="s">
        <v>5298</v>
      </c>
      <c r="AB232" s="235" t="s">
        <v>5298</v>
      </c>
      <c r="AC232" s="235" t="s">
        <v>5298</v>
      </c>
      <c r="AD232" s="235" t="s">
        <v>5298</v>
      </c>
      <c r="AE232" s="235" t="s">
        <v>5298</v>
      </c>
      <c r="AF232" s="235" t="s">
        <v>5298</v>
      </c>
      <c r="AG232" s="235" t="s">
        <v>5298</v>
      </c>
      <c r="AH232" s="235" t="s">
        <v>5298</v>
      </c>
      <c r="AI232" s="235" t="s">
        <v>5298</v>
      </c>
      <c r="AJ232" s="235" t="s">
        <v>5298</v>
      </c>
    </row>
    <row r="233" spans="1:36">
      <c r="A233" s="240">
        <v>1</v>
      </c>
      <c r="B233" s="241" t="s">
        <v>3997</v>
      </c>
      <c r="C233" s="241" t="s">
        <v>3432</v>
      </c>
      <c r="D233" s="241" t="s">
        <v>4441</v>
      </c>
      <c r="E233" s="241">
        <v>6</v>
      </c>
      <c r="F233" s="242" t="s">
        <v>4442</v>
      </c>
      <c r="G233" s="233">
        <v>579</v>
      </c>
      <c r="H233" s="233">
        <v>778574</v>
      </c>
      <c r="I233" s="233">
        <v>24987</v>
      </c>
      <c r="J233" s="233">
        <v>23584</v>
      </c>
      <c r="K233" s="233">
        <v>1403</v>
      </c>
      <c r="L233" s="233">
        <v>649785</v>
      </c>
      <c r="M233" s="233">
        <v>83040</v>
      </c>
      <c r="N233" s="233">
        <v>6924</v>
      </c>
      <c r="O233" s="233">
        <v>36433</v>
      </c>
      <c r="P233" s="233">
        <v>218754</v>
      </c>
      <c r="Q233" s="233">
        <v>577</v>
      </c>
      <c r="R233" s="235" t="s">
        <v>4020</v>
      </c>
      <c r="S233" s="235" t="s">
        <v>4020</v>
      </c>
      <c r="T233" s="235" t="s">
        <v>4020</v>
      </c>
      <c r="U233" s="235" t="s">
        <v>4020</v>
      </c>
      <c r="V233" s="235" t="s">
        <v>4020</v>
      </c>
      <c r="W233" s="235" t="s">
        <v>4020</v>
      </c>
      <c r="X233" s="235" t="s">
        <v>4020</v>
      </c>
      <c r="Y233" s="235" t="s">
        <v>4020</v>
      </c>
      <c r="Z233" s="235" t="s">
        <v>4020</v>
      </c>
      <c r="AA233" s="233">
        <v>2</v>
      </c>
      <c r="AB233" s="235" t="s">
        <v>4020</v>
      </c>
      <c r="AC233" s="235" t="s">
        <v>4020</v>
      </c>
      <c r="AD233" s="235" t="s">
        <v>4020</v>
      </c>
      <c r="AE233" s="235" t="s">
        <v>4020</v>
      </c>
      <c r="AF233" s="235" t="s">
        <v>4020</v>
      </c>
      <c r="AG233" s="235" t="s">
        <v>4020</v>
      </c>
      <c r="AH233" s="235" t="s">
        <v>4020</v>
      </c>
      <c r="AI233" s="235" t="s">
        <v>4020</v>
      </c>
      <c r="AJ233" s="235" t="s">
        <v>4020</v>
      </c>
    </row>
    <row r="234" spans="1:36">
      <c r="A234" s="240">
        <v>1</v>
      </c>
      <c r="B234" s="241" t="s">
        <v>3997</v>
      </c>
      <c r="C234" s="241" t="s">
        <v>3172</v>
      </c>
      <c r="D234" s="241" t="s">
        <v>4443</v>
      </c>
      <c r="E234" s="241">
        <v>5</v>
      </c>
      <c r="F234" s="242" t="s">
        <v>4444</v>
      </c>
      <c r="G234" s="233">
        <v>14289</v>
      </c>
      <c r="H234" s="233">
        <v>7548731</v>
      </c>
      <c r="I234" s="233">
        <v>376422</v>
      </c>
      <c r="J234" s="233">
        <v>305845</v>
      </c>
      <c r="K234" s="233">
        <v>70577</v>
      </c>
      <c r="L234" s="233">
        <v>6125536</v>
      </c>
      <c r="M234" s="233">
        <v>872086</v>
      </c>
      <c r="N234" s="233">
        <v>66502</v>
      </c>
      <c r="O234" s="233">
        <v>426985</v>
      </c>
      <c r="P234" s="233">
        <v>2361783</v>
      </c>
      <c r="Q234" s="233">
        <v>14158</v>
      </c>
      <c r="R234" s="233">
        <v>7541405</v>
      </c>
      <c r="S234" s="233">
        <v>376204</v>
      </c>
      <c r="T234" s="233">
        <v>305760</v>
      </c>
      <c r="U234" s="233">
        <v>70443</v>
      </c>
      <c r="V234" s="233">
        <v>6119084</v>
      </c>
      <c r="W234" s="233">
        <v>869860</v>
      </c>
      <c r="X234" s="233">
        <v>66279</v>
      </c>
      <c r="Y234" s="233">
        <v>426923</v>
      </c>
      <c r="Z234" s="233">
        <v>2358460</v>
      </c>
      <c r="AA234" s="233">
        <v>131</v>
      </c>
      <c r="AB234" s="233">
        <v>7326</v>
      </c>
      <c r="AC234" s="233">
        <v>218</v>
      </c>
      <c r="AD234" s="233">
        <v>84</v>
      </c>
      <c r="AE234" s="233">
        <v>134</v>
      </c>
      <c r="AF234" s="233">
        <v>6452</v>
      </c>
      <c r="AG234" s="233">
        <v>2226</v>
      </c>
      <c r="AH234" s="233">
        <v>223</v>
      </c>
      <c r="AI234" s="233">
        <v>62</v>
      </c>
      <c r="AJ234" s="233">
        <v>3324</v>
      </c>
    </row>
    <row r="235" spans="1:36">
      <c r="A235" s="240">
        <v>1</v>
      </c>
      <c r="B235" s="241" t="s">
        <v>3997</v>
      </c>
      <c r="C235" s="241" t="s">
        <v>3432</v>
      </c>
      <c r="D235" s="241" t="s">
        <v>4445</v>
      </c>
      <c r="E235" s="241">
        <v>6</v>
      </c>
      <c r="F235" s="242" t="s">
        <v>4446</v>
      </c>
      <c r="G235" s="233">
        <v>984</v>
      </c>
      <c r="H235" s="233">
        <v>222110</v>
      </c>
      <c r="I235" s="233">
        <v>42369</v>
      </c>
      <c r="J235" s="233">
        <v>39390</v>
      </c>
      <c r="K235" s="233">
        <v>2979</v>
      </c>
      <c r="L235" s="233">
        <v>202186</v>
      </c>
      <c r="M235" s="233">
        <v>31273</v>
      </c>
      <c r="N235" s="233">
        <v>2795</v>
      </c>
      <c r="O235" s="233">
        <v>49732</v>
      </c>
      <c r="P235" s="233">
        <v>53991</v>
      </c>
      <c r="Q235" s="233">
        <v>981</v>
      </c>
      <c r="R235" s="233">
        <v>221892</v>
      </c>
      <c r="S235" s="233">
        <v>42349</v>
      </c>
      <c r="T235" s="233">
        <v>39390</v>
      </c>
      <c r="U235" s="233">
        <v>2959</v>
      </c>
      <c r="V235" s="233">
        <v>201979</v>
      </c>
      <c r="W235" s="233">
        <v>31158</v>
      </c>
      <c r="X235" s="233">
        <v>2788</v>
      </c>
      <c r="Y235" s="233">
        <v>49732</v>
      </c>
      <c r="Z235" s="233">
        <v>53859</v>
      </c>
      <c r="AA235" s="233">
        <v>3</v>
      </c>
      <c r="AB235" s="233">
        <v>218</v>
      </c>
      <c r="AC235" s="233">
        <v>20</v>
      </c>
      <c r="AD235" s="233">
        <v>0</v>
      </c>
      <c r="AE235" s="233">
        <v>20</v>
      </c>
      <c r="AF235" s="233">
        <v>207</v>
      </c>
      <c r="AG235" s="233">
        <v>115</v>
      </c>
      <c r="AH235" s="233">
        <v>7</v>
      </c>
      <c r="AI235" s="233">
        <v>0</v>
      </c>
      <c r="AJ235" s="233">
        <v>132</v>
      </c>
    </row>
    <row r="236" spans="1:36">
      <c r="A236" s="240">
        <v>1</v>
      </c>
      <c r="B236" s="241" t="s">
        <v>3997</v>
      </c>
      <c r="C236" s="241" t="s">
        <v>3432</v>
      </c>
      <c r="D236" s="241" t="s">
        <v>4447</v>
      </c>
      <c r="E236" s="241">
        <v>6</v>
      </c>
      <c r="F236" s="242" t="s">
        <v>4448</v>
      </c>
      <c r="G236" s="233">
        <v>853</v>
      </c>
      <c r="H236" s="233">
        <v>230608</v>
      </c>
      <c r="I236" s="233">
        <v>10762</v>
      </c>
      <c r="J236" s="233">
        <v>9550</v>
      </c>
      <c r="K236" s="233">
        <v>1212</v>
      </c>
      <c r="L236" s="233">
        <v>224447</v>
      </c>
      <c r="M236" s="233">
        <v>56393</v>
      </c>
      <c r="N236" s="233">
        <v>3543</v>
      </c>
      <c r="O236" s="233">
        <v>6229</v>
      </c>
      <c r="P236" s="233">
        <v>66097</v>
      </c>
      <c r="Q236" s="233">
        <v>843</v>
      </c>
      <c r="R236" s="233">
        <v>229851</v>
      </c>
      <c r="S236" s="233">
        <v>10762</v>
      </c>
      <c r="T236" s="233">
        <v>9550</v>
      </c>
      <c r="U236" s="233">
        <v>1212</v>
      </c>
      <c r="V236" s="233">
        <v>223634</v>
      </c>
      <c r="W236" s="233">
        <v>56001</v>
      </c>
      <c r="X236" s="233">
        <v>3537</v>
      </c>
      <c r="Y236" s="233">
        <v>6229</v>
      </c>
      <c r="Z236" s="233">
        <v>65755</v>
      </c>
      <c r="AA236" s="233">
        <v>10</v>
      </c>
      <c r="AB236" s="233">
        <v>757</v>
      </c>
      <c r="AC236" s="233">
        <v>0</v>
      </c>
      <c r="AD236" s="233">
        <v>0</v>
      </c>
      <c r="AE236" s="233">
        <v>0</v>
      </c>
      <c r="AF236" s="233">
        <v>813</v>
      </c>
      <c r="AG236" s="233">
        <v>392</v>
      </c>
      <c r="AH236" s="233">
        <v>6</v>
      </c>
      <c r="AI236" s="233">
        <v>0</v>
      </c>
      <c r="AJ236" s="233">
        <v>342</v>
      </c>
    </row>
    <row r="237" spans="1:36">
      <c r="A237" s="240">
        <v>1</v>
      </c>
      <c r="B237" s="241" t="s">
        <v>3997</v>
      </c>
      <c r="C237" s="241" t="s">
        <v>3432</v>
      </c>
      <c r="D237" s="241" t="s">
        <v>4449</v>
      </c>
      <c r="E237" s="241">
        <v>6</v>
      </c>
      <c r="F237" s="242" t="s">
        <v>4450</v>
      </c>
      <c r="G237" s="233">
        <v>114</v>
      </c>
      <c r="H237" s="233">
        <v>115355</v>
      </c>
      <c r="I237" s="233">
        <v>9376</v>
      </c>
      <c r="J237" s="233">
        <v>9341</v>
      </c>
      <c r="K237" s="233">
        <v>35</v>
      </c>
      <c r="L237" s="233">
        <v>107854</v>
      </c>
      <c r="M237" s="233">
        <v>28200</v>
      </c>
      <c r="N237" s="233">
        <v>1009</v>
      </c>
      <c r="O237" s="233">
        <v>5878</v>
      </c>
      <c r="P237" s="233">
        <v>36709</v>
      </c>
      <c r="Q237" s="233">
        <v>113</v>
      </c>
      <c r="R237" s="235" t="s">
        <v>4020</v>
      </c>
      <c r="S237" s="235" t="s">
        <v>4020</v>
      </c>
      <c r="T237" s="235" t="s">
        <v>4020</v>
      </c>
      <c r="U237" s="235" t="s">
        <v>4020</v>
      </c>
      <c r="V237" s="235" t="s">
        <v>4020</v>
      </c>
      <c r="W237" s="235" t="s">
        <v>4020</v>
      </c>
      <c r="X237" s="235" t="s">
        <v>4020</v>
      </c>
      <c r="Y237" s="235" t="s">
        <v>4020</v>
      </c>
      <c r="Z237" s="235" t="s">
        <v>4020</v>
      </c>
      <c r="AA237" s="233">
        <v>1</v>
      </c>
      <c r="AB237" s="235" t="s">
        <v>4020</v>
      </c>
      <c r="AC237" s="235" t="s">
        <v>4020</v>
      </c>
      <c r="AD237" s="235" t="s">
        <v>4020</v>
      </c>
      <c r="AE237" s="235" t="s">
        <v>4020</v>
      </c>
      <c r="AF237" s="235" t="s">
        <v>4020</v>
      </c>
      <c r="AG237" s="235" t="s">
        <v>4020</v>
      </c>
      <c r="AH237" s="235" t="s">
        <v>4020</v>
      </c>
      <c r="AI237" s="235" t="s">
        <v>4020</v>
      </c>
      <c r="AJ237" s="235" t="s">
        <v>4020</v>
      </c>
    </row>
    <row r="238" spans="1:36">
      <c r="A238" s="240">
        <v>1</v>
      </c>
      <c r="B238" s="241" t="s">
        <v>3997</v>
      </c>
      <c r="C238" s="241" t="s">
        <v>3432</v>
      </c>
      <c r="D238" s="241" t="s">
        <v>4451</v>
      </c>
      <c r="E238" s="241">
        <v>6</v>
      </c>
      <c r="F238" s="242" t="s">
        <v>4452</v>
      </c>
      <c r="G238" s="233">
        <v>291</v>
      </c>
      <c r="H238" s="233">
        <v>199536</v>
      </c>
      <c r="I238" s="233">
        <v>31720</v>
      </c>
      <c r="J238" s="233">
        <v>6891</v>
      </c>
      <c r="K238" s="233">
        <v>24829</v>
      </c>
      <c r="L238" s="233">
        <v>181002</v>
      </c>
      <c r="M238" s="233">
        <v>61031</v>
      </c>
      <c r="N238" s="233">
        <v>1772</v>
      </c>
      <c r="O238" s="233">
        <v>23187</v>
      </c>
      <c r="P238" s="233">
        <v>81337</v>
      </c>
      <c r="Q238" s="233">
        <v>289</v>
      </c>
      <c r="R238" s="235" t="s">
        <v>4020</v>
      </c>
      <c r="S238" s="235" t="s">
        <v>4020</v>
      </c>
      <c r="T238" s="235" t="s">
        <v>4020</v>
      </c>
      <c r="U238" s="235" t="s">
        <v>4020</v>
      </c>
      <c r="V238" s="235" t="s">
        <v>4020</v>
      </c>
      <c r="W238" s="235" t="s">
        <v>4020</v>
      </c>
      <c r="X238" s="235" t="s">
        <v>4020</v>
      </c>
      <c r="Y238" s="235" t="s">
        <v>4020</v>
      </c>
      <c r="Z238" s="235" t="s">
        <v>4020</v>
      </c>
      <c r="AA238" s="233">
        <v>2</v>
      </c>
      <c r="AB238" s="235" t="s">
        <v>4020</v>
      </c>
      <c r="AC238" s="235" t="s">
        <v>4020</v>
      </c>
      <c r="AD238" s="235" t="s">
        <v>4020</v>
      </c>
      <c r="AE238" s="235" t="s">
        <v>4020</v>
      </c>
      <c r="AF238" s="235" t="s">
        <v>4020</v>
      </c>
      <c r="AG238" s="235" t="s">
        <v>4020</v>
      </c>
      <c r="AH238" s="235" t="s">
        <v>4020</v>
      </c>
      <c r="AI238" s="235" t="s">
        <v>4020</v>
      </c>
      <c r="AJ238" s="235" t="s">
        <v>4020</v>
      </c>
    </row>
    <row r="239" spans="1:36">
      <c r="A239" s="240">
        <v>1</v>
      </c>
      <c r="B239" s="241" t="s">
        <v>3997</v>
      </c>
      <c r="C239" s="241" t="s">
        <v>3432</v>
      </c>
      <c r="D239" s="241" t="s">
        <v>4453</v>
      </c>
      <c r="E239" s="241">
        <v>6</v>
      </c>
      <c r="F239" s="242" t="s">
        <v>4454</v>
      </c>
      <c r="G239" s="233">
        <v>1694</v>
      </c>
      <c r="H239" s="233">
        <v>2239406</v>
      </c>
      <c r="I239" s="233">
        <v>107185</v>
      </c>
      <c r="J239" s="233">
        <v>95366</v>
      </c>
      <c r="K239" s="233">
        <v>11819</v>
      </c>
      <c r="L239" s="233">
        <v>1704369</v>
      </c>
      <c r="M239" s="233">
        <v>136362</v>
      </c>
      <c r="N239" s="233">
        <v>9766</v>
      </c>
      <c r="O239" s="233">
        <v>160493</v>
      </c>
      <c r="P239" s="233">
        <v>681165</v>
      </c>
      <c r="Q239" s="233">
        <v>1677</v>
      </c>
      <c r="R239" s="233">
        <v>2238934</v>
      </c>
      <c r="S239" s="233">
        <v>107099</v>
      </c>
      <c r="T239" s="233">
        <v>95353</v>
      </c>
      <c r="U239" s="233">
        <v>11746</v>
      </c>
      <c r="V239" s="233">
        <v>1703898</v>
      </c>
      <c r="W239" s="233">
        <v>136156</v>
      </c>
      <c r="X239" s="233">
        <v>9746</v>
      </c>
      <c r="Y239" s="233">
        <v>160431</v>
      </c>
      <c r="Z239" s="233">
        <v>680938</v>
      </c>
      <c r="AA239" s="233">
        <v>17</v>
      </c>
      <c r="AB239" s="233">
        <v>471</v>
      </c>
      <c r="AC239" s="233">
        <v>86</v>
      </c>
      <c r="AD239" s="233">
        <v>13</v>
      </c>
      <c r="AE239" s="233">
        <v>73</v>
      </c>
      <c r="AF239" s="233">
        <v>471</v>
      </c>
      <c r="AG239" s="233">
        <v>206</v>
      </c>
      <c r="AH239" s="233">
        <v>20</v>
      </c>
      <c r="AI239" s="233">
        <v>62</v>
      </c>
      <c r="AJ239" s="233">
        <v>226</v>
      </c>
    </row>
    <row r="240" spans="1:36">
      <c r="A240" s="240">
        <v>1</v>
      </c>
      <c r="B240" s="241" t="s">
        <v>3997</v>
      </c>
      <c r="C240" s="241" t="s">
        <v>4455</v>
      </c>
      <c r="D240" s="241" t="s">
        <v>4456</v>
      </c>
      <c r="E240" s="241">
        <v>7</v>
      </c>
      <c r="F240" s="242" t="s">
        <v>4457</v>
      </c>
      <c r="G240" s="233">
        <v>878</v>
      </c>
      <c r="H240" s="233">
        <v>1707895</v>
      </c>
      <c r="I240" s="233">
        <v>8547</v>
      </c>
      <c r="J240" s="233">
        <v>5784</v>
      </c>
      <c r="K240" s="233">
        <v>2763</v>
      </c>
      <c r="L240" s="233">
        <v>1234832</v>
      </c>
      <c r="M240" s="233">
        <v>58886</v>
      </c>
      <c r="N240" s="233">
        <v>3595</v>
      </c>
      <c r="O240" s="233">
        <v>91416</v>
      </c>
      <c r="P240" s="233">
        <v>535543</v>
      </c>
      <c r="Q240" s="233">
        <v>865</v>
      </c>
      <c r="R240" s="233">
        <v>1707501</v>
      </c>
      <c r="S240" s="233">
        <v>8462</v>
      </c>
      <c r="T240" s="233">
        <v>5771</v>
      </c>
      <c r="U240" s="233">
        <v>2690</v>
      </c>
      <c r="V240" s="233">
        <v>1234414</v>
      </c>
      <c r="W240" s="233">
        <v>58709</v>
      </c>
      <c r="X240" s="233">
        <v>3581</v>
      </c>
      <c r="Y240" s="233">
        <v>91353</v>
      </c>
      <c r="Z240" s="233">
        <v>535377</v>
      </c>
      <c r="AA240" s="233">
        <v>13</v>
      </c>
      <c r="AB240" s="233">
        <v>394</v>
      </c>
      <c r="AC240" s="233">
        <v>86</v>
      </c>
      <c r="AD240" s="233">
        <v>13</v>
      </c>
      <c r="AE240" s="233">
        <v>73</v>
      </c>
      <c r="AF240" s="233">
        <v>419</v>
      </c>
      <c r="AG240" s="233">
        <v>177</v>
      </c>
      <c r="AH240" s="233">
        <v>14</v>
      </c>
      <c r="AI240" s="233">
        <v>62</v>
      </c>
      <c r="AJ240" s="233">
        <v>166</v>
      </c>
    </row>
    <row r="241" spans="1:36">
      <c r="A241" s="240">
        <v>1</v>
      </c>
      <c r="B241" s="241" t="s">
        <v>3997</v>
      </c>
      <c r="C241" s="241" t="s">
        <v>4455</v>
      </c>
      <c r="D241" s="270" t="s">
        <v>4458</v>
      </c>
      <c r="E241" s="241">
        <v>7</v>
      </c>
      <c r="F241" s="242" t="s">
        <v>4459</v>
      </c>
      <c r="G241" s="271">
        <v>816</v>
      </c>
      <c r="H241" s="271">
        <v>531511</v>
      </c>
      <c r="I241" s="233">
        <v>98637</v>
      </c>
      <c r="J241" s="233">
        <v>89582</v>
      </c>
      <c r="K241" s="233">
        <v>9056</v>
      </c>
      <c r="L241" s="233">
        <v>469537</v>
      </c>
      <c r="M241" s="233">
        <v>77477</v>
      </c>
      <c r="N241" s="233">
        <v>6171</v>
      </c>
      <c r="O241" s="233">
        <v>69077</v>
      </c>
      <c r="P241" s="233">
        <v>145622</v>
      </c>
      <c r="Q241" s="233">
        <v>812</v>
      </c>
      <c r="R241" s="233">
        <v>531434</v>
      </c>
      <c r="S241" s="233">
        <v>98637</v>
      </c>
      <c r="T241" s="233">
        <v>89582</v>
      </c>
      <c r="U241" s="233">
        <v>9056</v>
      </c>
      <c r="V241" s="233">
        <v>469484</v>
      </c>
      <c r="W241" s="233">
        <v>77447</v>
      </c>
      <c r="X241" s="233">
        <v>6165</v>
      </c>
      <c r="Y241" s="233">
        <v>69077</v>
      </c>
      <c r="Z241" s="233">
        <v>145561</v>
      </c>
      <c r="AA241" s="233">
        <v>4</v>
      </c>
      <c r="AB241" s="233">
        <v>77</v>
      </c>
      <c r="AC241" s="233">
        <v>0</v>
      </c>
      <c r="AD241" s="233">
        <v>0</v>
      </c>
      <c r="AE241" s="233">
        <v>0</v>
      </c>
      <c r="AF241" s="233">
        <v>52</v>
      </c>
      <c r="AG241" s="233">
        <v>30</v>
      </c>
      <c r="AH241" s="233">
        <v>5</v>
      </c>
      <c r="AI241" s="233">
        <v>0</v>
      </c>
      <c r="AJ241" s="233">
        <v>60</v>
      </c>
    </row>
    <row r="242" spans="1:36">
      <c r="A242" s="240">
        <v>1</v>
      </c>
      <c r="B242" s="241" t="s">
        <v>3997</v>
      </c>
      <c r="C242" s="241" t="s">
        <v>3432</v>
      </c>
      <c r="D242" s="241" t="s">
        <v>4460</v>
      </c>
      <c r="E242" s="241">
        <v>6</v>
      </c>
      <c r="F242" s="242" t="s">
        <v>4461</v>
      </c>
      <c r="G242" s="233">
        <v>703</v>
      </c>
      <c r="H242" s="233">
        <v>443491</v>
      </c>
      <c r="I242" s="233">
        <v>24337</v>
      </c>
      <c r="J242" s="233">
        <v>20441</v>
      </c>
      <c r="K242" s="233">
        <v>3897</v>
      </c>
      <c r="L242" s="233">
        <v>386896</v>
      </c>
      <c r="M242" s="233">
        <v>64370</v>
      </c>
      <c r="N242" s="233">
        <v>4453</v>
      </c>
      <c r="O242" s="233">
        <v>18454</v>
      </c>
      <c r="P242" s="233">
        <v>125417</v>
      </c>
      <c r="Q242" s="233">
        <v>700</v>
      </c>
      <c r="R242" s="233">
        <v>443374</v>
      </c>
      <c r="S242" s="233">
        <v>24334</v>
      </c>
      <c r="T242" s="233">
        <v>20438</v>
      </c>
      <c r="U242" s="233">
        <v>3896</v>
      </c>
      <c r="V242" s="233">
        <v>386791</v>
      </c>
      <c r="W242" s="233">
        <v>64317</v>
      </c>
      <c r="X242" s="233">
        <v>4450</v>
      </c>
      <c r="Y242" s="233">
        <v>18454</v>
      </c>
      <c r="Z242" s="233">
        <v>125350</v>
      </c>
      <c r="AA242" s="233">
        <v>3</v>
      </c>
      <c r="AB242" s="233">
        <v>117</v>
      </c>
      <c r="AC242" s="233">
        <v>3</v>
      </c>
      <c r="AD242" s="233">
        <v>2</v>
      </c>
      <c r="AE242" s="233">
        <v>1</v>
      </c>
      <c r="AF242" s="233">
        <v>105</v>
      </c>
      <c r="AG242" s="233">
        <v>53</v>
      </c>
      <c r="AH242" s="233">
        <v>2</v>
      </c>
      <c r="AI242" s="233">
        <v>0</v>
      </c>
      <c r="AJ242" s="233">
        <v>67</v>
      </c>
    </row>
    <row r="243" spans="1:36">
      <c r="A243" s="240">
        <v>1</v>
      </c>
      <c r="B243" s="241" t="s">
        <v>3997</v>
      </c>
      <c r="C243" s="241" t="s">
        <v>3432</v>
      </c>
      <c r="D243" s="241" t="s">
        <v>4462</v>
      </c>
      <c r="E243" s="241">
        <v>6</v>
      </c>
      <c r="F243" s="242" t="s">
        <v>4463</v>
      </c>
      <c r="G243" s="233">
        <v>287</v>
      </c>
      <c r="H243" s="233">
        <v>18467</v>
      </c>
      <c r="I243" s="233">
        <v>1536</v>
      </c>
      <c r="J243" s="233">
        <v>1053</v>
      </c>
      <c r="K243" s="233">
        <v>482</v>
      </c>
      <c r="L243" s="233">
        <v>16395</v>
      </c>
      <c r="M243" s="233">
        <v>4871</v>
      </c>
      <c r="N243" s="233">
        <v>603</v>
      </c>
      <c r="O243" s="233">
        <v>668</v>
      </c>
      <c r="P243" s="233">
        <v>7547</v>
      </c>
      <c r="Q243" s="233">
        <v>279</v>
      </c>
      <c r="R243" s="233">
        <v>18376</v>
      </c>
      <c r="S243" s="233">
        <v>1523</v>
      </c>
      <c r="T243" s="233">
        <v>1053</v>
      </c>
      <c r="U243" s="233">
        <v>470</v>
      </c>
      <c r="V243" s="233">
        <v>16289</v>
      </c>
      <c r="W243" s="233">
        <v>4841</v>
      </c>
      <c r="X243" s="233">
        <v>601</v>
      </c>
      <c r="Y243" s="233">
        <v>668</v>
      </c>
      <c r="Z243" s="233">
        <v>7528</v>
      </c>
      <c r="AA243" s="233">
        <v>8</v>
      </c>
      <c r="AB243" s="233">
        <v>91</v>
      </c>
      <c r="AC243" s="233">
        <v>13</v>
      </c>
      <c r="AD243" s="233">
        <v>0</v>
      </c>
      <c r="AE243" s="233">
        <v>13</v>
      </c>
      <c r="AF243" s="233">
        <v>106</v>
      </c>
      <c r="AG243" s="233">
        <v>30</v>
      </c>
      <c r="AH243" s="233">
        <v>3</v>
      </c>
      <c r="AI243" s="233">
        <v>0</v>
      </c>
      <c r="AJ243" s="233">
        <v>19</v>
      </c>
    </row>
    <row r="244" spans="1:36">
      <c r="A244" s="240">
        <v>1</v>
      </c>
      <c r="B244" s="241" t="s">
        <v>3997</v>
      </c>
      <c r="C244" s="241" t="s">
        <v>3432</v>
      </c>
      <c r="D244" s="241" t="s">
        <v>4464</v>
      </c>
      <c r="E244" s="241">
        <v>6</v>
      </c>
      <c r="F244" s="242" t="s">
        <v>4465</v>
      </c>
      <c r="G244" s="233">
        <v>1589</v>
      </c>
      <c r="H244" s="233">
        <v>258464</v>
      </c>
      <c r="I244" s="233">
        <v>21938</v>
      </c>
      <c r="J244" s="233">
        <v>15711</v>
      </c>
      <c r="K244" s="233">
        <v>6227</v>
      </c>
      <c r="L244" s="233">
        <v>221274</v>
      </c>
      <c r="M244" s="233">
        <v>47734</v>
      </c>
      <c r="N244" s="233">
        <v>4821</v>
      </c>
      <c r="O244" s="233">
        <v>12039</v>
      </c>
      <c r="P244" s="233">
        <v>89745</v>
      </c>
      <c r="Q244" s="233">
        <v>1558</v>
      </c>
      <c r="R244" s="233">
        <v>257873</v>
      </c>
      <c r="S244" s="233">
        <v>21845</v>
      </c>
      <c r="T244" s="233">
        <v>15642</v>
      </c>
      <c r="U244" s="233">
        <v>6203</v>
      </c>
      <c r="V244" s="233">
        <v>220773</v>
      </c>
      <c r="W244" s="233">
        <v>47557</v>
      </c>
      <c r="X244" s="233">
        <v>4793</v>
      </c>
      <c r="Y244" s="233">
        <v>12039</v>
      </c>
      <c r="Z244" s="233">
        <v>89450</v>
      </c>
      <c r="AA244" s="233">
        <v>31</v>
      </c>
      <c r="AB244" s="233">
        <v>591</v>
      </c>
      <c r="AC244" s="233">
        <v>93</v>
      </c>
      <c r="AD244" s="233">
        <v>69</v>
      </c>
      <c r="AE244" s="233">
        <v>24</v>
      </c>
      <c r="AF244" s="233">
        <v>502</v>
      </c>
      <c r="AG244" s="233">
        <v>177</v>
      </c>
      <c r="AH244" s="233">
        <v>28</v>
      </c>
      <c r="AI244" s="233">
        <v>0</v>
      </c>
      <c r="AJ244" s="233">
        <v>294</v>
      </c>
    </row>
    <row r="245" spans="1:36">
      <c r="A245" s="240">
        <v>1</v>
      </c>
      <c r="B245" s="241" t="s">
        <v>3997</v>
      </c>
      <c r="C245" s="241" t="s">
        <v>3432</v>
      </c>
      <c r="D245" s="241" t="s">
        <v>4466</v>
      </c>
      <c r="E245" s="241">
        <v>6</v>
      </c>
      <c r="F245" s="242" t="s">
        <v>4467</v>
      </c>
      <c r="G245" s="233">
        <v>7774</v>
      </c>
      <c r="H245" s="233">
        <v>3821294</v>
      </c>
      <c r="I245" s="233">
        <v>127200</v>
      </c>
      <c r="J245" s="233">
        <v>108102</v>
      </c>
      <c r="K245" s="233">
        <v>19099</v>
      </c>
      <c r="L245" s="233">
        <v>3081111</v>
      </c>
      <c r="M245" s="233">
        <v>441853</v>
      </c>
      <c r="N245" s="233">
        <v>37740</v>
      </c>
      <c r="O245" s="233">
        <v>150305</v>
      </c>
      <c r="P245" s="233">
        <v>1219775</v>
      </c>
      <c r="Q245" s="233">
        <v>7718</v>
      </c>
      <c r="R245" s="233">
        <v>3816312</v>
      </c>
      <c r="S245" s="233">
        <v>127196</v>
      </c>
      <c r="T245" s="233">
        <v>108102</v>
      </c>
      <c r="U245" s="233">
        <v>19094</v>
      </c>
      <c r="V245" s="233">
        <v>3076937</v>
      </c>
      <c r="W245" s="233">
        <v>440616</v>
      </c>
      <c r="X245" s="233">
        <v>37585</v>
      </c>
      <c r="Y245" s="233">
        <v>150305</v>
      </c>
      <c r="Z245" s="233">
        <v>1217576</v>
      </c>
      <c r="AA245" s="233">
        <v>56</v>
      </c>
      <c r="AB245" s="233">
        <v>4982</v>
      </c>
      <c r="AC245" s="233">
        <v>4</v>
      </c>
      <c r="AD245" s="233">
        <v>0</v>
      </c>
      <c r="AE245" s="233">
        <v>4</v>
      </c>
      <c r="AF245" s="233">
        <v>4174</v>
      </c>
      <c r="AG245" s="233">
        <v>1237</v>
      </c>
      <c r="AH245" s="233">
        <v>154</v>
      </c>
      <c r="AI245" s="233">
        <v>0</v>
      </c>
      <c r="AJ245" s="233">
        <v>2199</v>
      </c>
    </row>
    <row r="246" spans="1:36">
      <c r="A246" s="240">
        <v>1</v>
      </c>
      <c r="B246" s="241" t="s">
        <v>3997</v>
      </c>
      <c r="C246" s="241" t="s">
        <v>4455</v>
      </c>
      <c r="D246" s="241" t="s">
        <v>4468</v>
      </c>
      <c r="E246" s="241">
        <v>7</v>
      </c>
      <c r="F246" s="242" t="s">
        <v>4469</v>
      </c>
      <c r="G246" s="233">
        <v>160</v>
      </c>
      <c r="H246" s="233">
        <v>1752278</v>
      </c>
      <c r="I246" s="233">
        <v>5967</v>
      </c>
      <c r="J246" s="233">
        <v>849</v>
      </c>
      <c r="K246" s="233">
        <v>5118</v>
      </c>
      <c r="L246" s="233">
        <v>1186155</v>
      </c>
      <c r="M246" s="233">
        <v>48838</v>
      </c>
      <c r="N246" s="233">
        <v>9194</v>
      </c>
      <c r="O246" s="233">
        <v>51239</v>
      </c>
      <c r="P246" s="233">
        <v>624156</v>
      </c>
      <c r="Q246" s="233">
        <v>158</v>
      </c>
      <c r="R246" s="235" t="s">
        <v>4020</v>
      </c>
      <c r="S246" s="235" t="s">
        <v>4020</v>
      </c>
      <c r="T246" s="235" t="s">
        <v>4020</v>
      </c>
      <c r="U246" s="235" t="s">
        <v>4020</v>
      </c>
      <c r="V246" s="235" t="s">
        <v>4020</v>
      </c>
      <c r="W246" s="235" t="s">
        <v>4020</v>
      </c>
      <c r="X246" s="235" t="s">
        <v>4020</v>
      </c>
      <c r="Y246" s="235" t="s">
        <v>4020</v>
      </c>
      <c r="Z246" s="235" t="s">
        <v>4020</v>
      </c>
      <c r="AA246" s="233">
        <v>2</v>
      </c>
      <c r="AB246" s="235" t="s">
        <v>4020</v>
      </c>
      <c r="AC246" s="235" t="s">
        <v>4020</v>
      </c>
      <c r="AD246" s="235" t="s">
        <v>4020</v>
      </c>
      <c r="AE246" s="235" t="s">
        <v>4020</v>
      </c>
      <c r="AF246" s="235" t="s">
        <v>4020</v>
      </c>
      <c r="AG246" s="235" t="s">
        <v>4020</v>
      </c>
      <c r="AH246" s="235" t="s">
        <v>4020</v>
      </c>
      <c r="AI246" s="235" t="s">
        <v>4020</v>
      </c>
      <c r="AJ246" s="235" t="s">
        <v>4020</v>
      </c>
    </row>
    <row r="247" spans="1:36">
      <c r="A247" s="240">
        <v>1</v>
      </c>
      <c r="B247" s="241" t="s">
        <v>3997</v>
      </c>
      <c r="C247" s="241" t="s">
        <v>4455</v>
      </c>
      <c r="D247" s="241" t="s">
        <v>4470</v>
      </c>
      <c r="E247" s="241">
        <v>7</v>
      </c>
      <c r="F247" s="242" t="s">
        <v>4471</v>
      </c>
      <c r="G247" s="233">
        <v>7614</v>
      </c>
      <c r="H247" s="233">
        <v>2069016</v>
      </c>
      <c r="I247" s="233">
        <v>121233</v>
      </c>
      <c r="J247" s="233">
        <v>107253</v>
      </c>
      <c r="K247" s="233">
        <v>13980</v>
      </c>
      <c r="L247" s="233">
        <v>1894956</v>
      </c>
      <c r="M247" s="233">
        <v>393014</v>
      </c>
      <c r="N247" s="233">
        <v>28545</v>
      </c>
      <c r="O247" s="233">
        <v>99067</v>
      </c>
      <c r="P247" s="233">
        <v>595619</v>
      </c>
      <c r="Q247" s="233">
        <v>7560</v>
      </c>
      <c r="R247" s="235" t="s">
        <v>4020</v>
      </c>
      <c r="S247" s="235" t="s">
        <v>4020</v>
      </c>
      <c r="T247" s="235" t="s">
        <v>4020</v>
      </c>
      <c r="U247" s="235" t="s">
        <v>4020</v>
      </c>
      <c r="V247" s="235" t="s">
        <v>4020</v>
      </c>
      <c r="W247" s="235" t="s">
        <v>4020</v>
      </c>
      <c r="X247" s="235" t="s">
        <v>4020</v>
      </c>
      <c r="Y247" s="235" t="s">
        <v>4020</v>
      </c>
      <c r="Z247" s="235" t="s">
        <v>4020</v>
      </c>
      <c r="AA247" s="233">
        <v>54</v>
      </c>
      <c r="AB247" s="235" t="s">
        <v>4020</v>
      </c>
      <c r="AC247" s="235" t="s">
        <v>4020</v>
      </c>
      <c r="AD247" s="235" t="s">
        <v>4020</v>
      </c>
      <c r="AE247" s="235" t="s">
        <v>4020</v>
      </c>
      <c r="AF247" s="235" t="s">
        <v>4020</v>
      </c>
      <c r="AG247" s="235" t="s">
        <v>4020</v>
      </c>
      <c r="AH247" s="235" t="s">
        <v>4020</v>
      </c>
      <c r="AI247" s="235" t="s">
        <v>4020</v>
      </c>
      <c r="AJ247" s="235" t="s">
        <v>4020</v>
      </c>
    </row>
    <row r="248" spans="1:36">
      <c r="A248" s="240">
        <v>1</v>
      </c>
      <c r="B248" s="241" t="s">
        <v>3997</v>
      </c>
      <c r="C248" s="241" t="s">
        <v>3459</v>
      </c>
      <c r="D248" s="241" t="s">
        <v>4472</v>
      </c>
      <c r="E248" s="241">
        <v>3</v>
      </c>
      <c r="F248" s="242" t="s">
        <v>4473</v>
      </c>
      <c r="G248" s="233">
        <v>5896</v>
      </c>
      <c r="H248" s="233">
        <v>36370010</v>
      </c>
      <c r="I248" s="233">
        <v>549107</v>
      </c>
      <c r="J248" s="233">
        <v>396849</v>
      </c>
      <c r="K248" s="233">
        <v>152258</v>
      </c>
      <c r="L248" s="233">
        <v>35846386</v>
      </c>
      <c r="M248" s="233">
        <v>1419215</v>
      </c>
      <c r="N248" s="233">
        <v>759674</v>
      </c>
      <c r="O248" s="233">
        <v>436372</v>
      </c>
      <c r="P248" s="233">
        <v>2702513</v>
      </c>
      <c r="Q248" s="233">
        <v>5723</v>
      </c>
      <c r="R248" s="233">
        <v>36265455</v>
      </c>
      <c r="S248" s="233">
        <v>549035</v>
      </c>
      <c r="T248" s="233">
        <v>396778</v>
      </c>
      <c r="U248" s="233">
        <v>152257</v>
      </c>
      <c r="V248" s="233">
        <v>35743272</v>
      </c>
      <c r="W248" s="233">
        <v>1412241</v>
      </c>
      <c r="X248" s="233">
        <v>758975</v>
      </c>
      <c r="Y248" s="233">
        <v>436370</v>
      </c>
      <c r="Z248" s="233">
        <v>2693398</v>
      </c>
      <c r="AA248" s="233">
        <v>173</v>
      </c>
      <c r="AB248" s="233">
        <v>104556</v>
      </c>
      <c r="AC248" s="233">
        <v>72</v>
      </c>
      <c r="AD248" s="233">
        <v>71</v>
      </c>
      <c r="AE248" s="233">
        <v>1</v>
      </c>
      <c r="AF248" s="233">
        <v>103114</v>
      </c>
      <c r="AG248" s="233">
        <v>6974</v>
      </c>
      <c r="AH248" s="233">
        <v>699</v>
      </c>
      <c r="AI248" s="233">
        <v>2</v>
      </c>
      <c r="AJ248" s="233">
        <v>9115</v>
      </c>
    </row>
    <row r="249" spans="1:36">
      <c r="A249" s="240">
        <v>1</v>
      </c>
      <c r="B249" s="241" t="s">
        <v>3997</v>
      </c>
      <c r="C249" s="241" t="s">
        <v>3172</v>
      </c>
      <c r="D249" s="241" t="s">
        <v>4474</v>
      </c>
      <c r="E249" s="241">
        <v>5</v>
      </c>
      <c r="F249" s="242" t="s">
        <v>4475</v>
      </c>
      <c r="G249" s="233">
        <v>5145</v>
      </c>
      <c r="H249" s="233">
        <v>30277090</v>
      </c>
      <c r="I249" s="233">
        <v>148273</v>
      </c>
      <c r="J249" s="233">
        <v>108555</v>
      </c>
      <c r="K249" s="233">
        <v>39718</v>
      </c>
      <c r="L249" s="233">
        <v>29981985</v>
      </c>
      <c r="M249" s="233">
        <v>1051756</v>
      </c>
      <c r="N249" s="233">
        <v>655633</v>
      </c>
      <c r="O249" s="233">
        <v>142455</v>
      </c>
      <c r="P249" s="233">
        <v>2002494</v>
      </c>
      <c r="Q249" s="233">
        <v>5061</v>
      </c>
      <c r="R249" s="233">
        <v>30272200</v>
      </c>
      <c r="S249" s="233">
        <v>148228</v>
      </c>
      <c r="T249" s="233">
        <v>108510</v>
      </c>
      <c r="U249" s="233">
        <v>39718</v>
      </c>
      <c r="V249" s="233">
        <v>29977553</v>
      </c>
      <c r="W249" s="233">
        <v>1051292</v>
      </c>
      <c r="X249" s="233">
        <v>655531</v>
      </c>
      <c r="Y249" s="233">
        <v>142455</v>
      </c>
      <c r="Z249" s="233">
        <v>2001470</v>
      </c>
      <c r="AA249" s="233">
        <v>84</v>
      </c>
      <c r="AB249" s="233">
        <v>4890</v>
      </c>
      <c r="AC249" s="233">
        <v>45</v>
      </c>
      <c r="AD249" s="233">
        <v>45</v>
      </c>
      <c r="AE249" s="233">
        <v>0</v>
      </c>
      <c r="AF249" s="233">
        <v>4432</v>
      </c>
      <c r="AG249" s="233">
        <v>464</v>
      </c>
      <c r="AH249" s="233">
        <v>102</v>
      </c>
      <c r="AI249" s="233">
        <v>0</v>
      </c>
      <c r="AJ249" s="233">
        <v>1023</v>
      </c>
    </row>
    <row r="250" spans="1:36">
      <c r="A250" s="240">
        <v>1</v>
      </c>
      <c r="B250" s="241" t="s">
        <v>3997</v>
      </c>
      <c r="C250" s="241" t="s">
        <v>3432</v>
      </c>
      <c r="D250" s="241" t="s">
        <v>4476</v>
      </c>
      <c r="E250" s="241">
        <v>6</v>
      </c>
      <c r="F250" s="242" t="s">
        <v>4477</v>
      </c>
      <c r="G250" s="233">
        <v>5145</v>
      </c>
      <c r="H250" s="233">
        <v>30277090</v>
      </c>
      <c r="I250" s="233">
        <v>148273</v>
      </c>
      <c r="J250" s="233">
        <v>108555</v>
      </c>
      <c r="K250" s="233">
        <v>39718</v>
      </c>
      <c r="L250" s="233">
        <v>29981985</v>
      </c>
      <c r="M250" s="233">
        <v>1051756</v>
      </c>
      <c r="N250" s="233">
        <v>655633</v>
      </c>
      <c r="O250" s="233">
        <v>142455</v>
      </c>
      <c r="P250" s="233">
        <v>2002494</v>
      </c>
      <c r="Q250" s="233">
        <v>5061</v>
      </c>
      <c r="R250" s="233">
        <v>30272200</v>
      </c>
      <c r="S250" s="233">
        <v>148228</v>
      </c>
      <c r="T250" s="233">
        <v>108510</v>
      </c>
      <c r="U250" s="233">
        <v>39718</v>
      </c>
      <c r="V250" s="233">
        <v>29977553</v>
      </c>
      <c r="W250" s="233">
        <v>1051292</v>
      </c>
      <c r="X250" s="233">
        <v>655531</v>
      </c>
      <c r="Y250" s="233">
        <v>142455</v>
      </c>
      <c r="Z250" s="233">
        <v>2001470</v>
      </c>
      <c r="AA250" s="233">
        <v>84</v>
      </c>
      <c r="AB250" s="233">
        <v>4890</v>
      </c>
      <c r="AC250" s="233">
        <v>45</v>
      </c>
      <c r="AD250" s="233">
        <v>45</v>
      </c>
      <c r="AE250" s="233">
        <v>0</v>
      </c>
      <c r="AF250" s="233">
        <v>4432</v>
      </c>
      <c r="AG250" s="233">
        <v>464</v>
      </c>
      <c r="AH250" s="233">
        <v>102</v>
      </c>
      <c r="AI250" s="233">
        <v>0</v>
      </c>
      <c r="AJ250" s="233">
        <v>1023</v>
      </c>
    </row>
    <row r="251" spans="1:36">
      <c r="A251" s="240">
        <v>1</v>
      </c>
      <c r="B251" s="241" t="s">
        <v>3997</v>
      </c>
      <c r="C251" s="241" t="s">
        <v>3172</v>
      </c>
      <c r="D251" s="241" t="s">
        <v>4478</v>
      </c>
      <c r="E251" s="241">
        <v>5</v>
      </c>
      <c r="F251" s="242" t="s">
        <v>4479</v>
      </c>
      <c r="G251" s="233">
        <v>194</v>
      </c>
      <c r="H251" s="233">
        <v>5161067</v>
      </c>
      <c r="I251" s="233">
        <v>382838</v>
      </c>
      <c r="J251" s="233">
        <v>271718</v>
      </c>
      <c r="K251" s="233">
        <v>111120</v>
      </c>
      <c r="L251" s="233">
        <v>5005180</v>
      </c>
      <c r="M251" s="233">
        <v>206456</v>
      </c>
      <c r="N251" s="233">
        <v>96723</v>
      </c>
      <c r="O251" s="233">
        <v>277790</v>
      </c>
      <c r="P251" s="233">
        <v>459066</v>
      </c>
      <c r="Q251" s="233">
        <v>189</v>
      </c>
      <c r="R251" s="233">
        <v>5160682</v>
      </c>
      <c r="S251" s="233">
        <v>382838</v>
      </c>
      <c r="T251" s="233">
        <v>271718</v>
      </c>
      <c r="U251" s="233">
        <v>111120</v>
      </c>
      <c r="V251" s="233">
        <v>5004810</v>
      </c>
      <c r="W251" s="233">
        <v>206398</v>
      </c>
      <c r="X251" s="233">
        <v>96720</v>
      </c>
      <c r="Y251" s="233">
        <v>277790</v>
      </c>
      <c r="Z251" s="233">
        <v>458990</v>
      </c>
      <c r="AA251" s="233">
        <v>5</v>
      </c>
      <c r="AB251" s="233">
        <v>385</v>
      </c>
      <c r="AC251" s="233">
        <v>0</v>
      </c>
      <c r="AD251" s="233">
        <v>0</v>
      </c>
      <c r="AE251" s="233">
        <v>0</v>
      </c>
      <c r="AF251" s="233">
        <v>371</v>
      </c>
      <c r="AG251" s="233">
        <v>58</v>
      </c>
      <c r="AH251" s="233">
        <v>3</v>
      </c>
      <c r="AI251" s="233">
        <v>0</v>
      </c>
      <c r="AJ251" s="233">
        <v>76</v>
      </c>
    </row>
    <row r="252" spans="1:36">
      <c r="A252" s="240">
        <v>1</v>
      </c>
      <c r="B252" s="241" t="s">
        <v>3997</v>
      </c>
      <c r="C252" s="241" t="s">
        <v>3432</v>
      </c>
      <c r="D252" s="241" t="s">
        <v>4480</v>
      </c>
      <c r="E252" s="241">
        <v>6</v>
      </c>
      <c r="F252" s="242" t="s">
        <v>4481</v>
      </c>
      <c r="G252" s="233">
        <v>194</v>
      </c>
      <c r="H252" s="233">
        <v>5161067</v>
      </c>
      <c r="I252" s="233">
        <v>382838</v>
      </c>
      <c r="J252" s="233">
        <v>271718</v>
      </c>
      <c r="K252" s="233">
        <v>111120</v>
      </c>
      <c r="L252" s="233">
        <v>5005180</v>
      </c>
      <c r="M252" s="233">
        <v>206456</v>
      </c>
      <c r="N252" s="233">
        <v>96723</v>
      </c>
      <c r="O252" s="233">
        <v>277790</v>
      </c>
      <c r="P252" s="233">
        <v>459066</v>
      </c>
      <c r="Q252" s="233">
        <v>189</v>
      </c>
      <c r="R252" s="233">
        <v>5160682</v>
      </c>
      <c r="S252" s="233">
        <v>382838</v>
      </c>
      <c r="T252" s="233">
        <v>271718</v>
      </c>
      <c r="U252" s="233">
        <v>111120</v>
      </c>
      <c r="V252" s="233">
        <v>5004810</v>
      </c>
      <c r="W252" s="233">
        <v>206398</v>
      </c>
      <c r="X252" s="233">
        <v>96720</v>
      </c>
      <c r="Y252" s="233">
        <v>277790</v>
      </c>
      <c r="Z252" s="233">
        <v>458990</v>
      </c>
      <c r="AA252" s="233">
        <v>5</v>
      </c>
      <c r="AB252" s="233">
        <v>385</v>
      </c>
      <c r="AC252" s="233">
        <v>0</v>
      </c>
      <c r="AD252" s="233">
        <v>0</v>
      </c>
      <c r="AE252" s="233">
        <v>0</v>
      </c>
      <c r="AF252" s="233">
        <v>371</v>
      </c>
      <c r="AG252" s="233">
        <v>58</v>
      </c>
      <c r="AH252" s="233">
        <v>3</v>
      </c>
      <c r="AI252" s="233">
        <v>0</v>
      </c>
      <c r="AJ252" s="233">
        <v>76</v>
      </c>
    </row>
    <row r="253" spans="1:36">
      <c r="A253" s="240">
        <v>1</v>
      </c>
      <c r="B253" s="241" t="s">
        <v>3997</v>
      </c>
      <c r="C253" s="241" t="s">
        <v>3172</v>
      </c>
      <c r="D253" s="241" t="s">
        <v>4482</v>
      </c>
      <c r="E253" s="241">
        <v>5</v>
      </c>
      <c r="F253" s="242" t="s">
        <v>4483</v>
      </c>
      <c r="G253" s="233">
        <v>88</v>
      </c>
      <c r="H253" s="233">
        <v>337044</v>
      </c>
      <c r="I253" s="233">
        <v>0</v>
      </c>
      <c r="J253" s="233">
        <v>0</v>
      </c>
      <c r="K253" s="233">
        <v>0</v>
      </c>
      <c r="L253" s="233">
        <v>318892</v>
      </c>
      <c r="M253" s="233">
        <v>16097</v>
      </c>
      <c r="N253" s="233">
        <v>4564</v>
      </c>
      <c r="O253" s="233">
        <v>0</v>
      </c>
      <c r="P253" s="233">
        <v>38814</v>
      </c>
      <c r="Q253" s="233">
        <v>85</v>
      </c>
      <c r="R253" s="233">
        <v>335234</v>
      </c>
      <c r="S253" s="233">
        <v>0</v>
      </c>
      <c r="T253" s="233">
        <v>0</v>
      </c>
      <c r="U253" s="233">
        <v>0</v>
      </c>
      <c r="V253" s="233">
        <v>317340</v>
      </c>
      <c r="W253" s="233">
        <v>15982</v>
      </c>
      <c r="X253" s="233">
        <v>4557</v>
      </c>
      <c r="Y253" s="233">
        <v>0</v>
      </c>
      <c r="Z253" s="233">
        <v>38433</v>
      </c>
      <c r="AA253" s="233">
        <v>3</v>
      </c>
      <c r="AB253" s="233">
        <v>1810</v>
      </c>
      <c r="AC253" s="233">
        <v>0</v>
      </c>
      <c r="AD253" s="233">
        <v>0</v>
      </c>
      <c r="AE253" s="233">
        <v>0</v>
      </c>
      <c r="AF253" s="233">
        <v>1552</v>
      </c>
      <c r="AG253" s="233">
        <v>115</v>
      </c>
      <c r="AH253" s="233">
        <v>8</v>
      </c>
      <c r="AI253" s="233">
        <v>0</v>
      </c>
      <c r="AJ253" s="233">
        <v>381</v>
      </c>
    </row>
    <row r="254" spans="1:36">
      <c r="A254" s="240">
        <v>1</v>
      </c>
      <c r="B254" s="241" t="s">
        <v>3997</v>
      </c>
      <c r="C254" s="241" t="s">
        <v>3432</v>
      </c>
      <c r="D254" s="241" t="s">
        <v>4484</v>
      </c>
      <c r="E254" s="241">
        <v>6</v>
      </c>
      <c r="F254" s="242" t="s">
        <v>4485</v>
      </c>
      <c r="G254" s="233">
        <v>88</v>
      </c>
      <c r="H254" s="233">
        <v>337044</v>
      </c>
      <c r="I254" s="233">
        <v>0</v>
      </c>
      <c r="J254" s="233">
        <v>0</v>
      </c>
      <c r="K254" s="233">
        <v>0</v>
      </c>
      <c r="L254" s="233">
        <v>318892</v>
      </c>
      <c r="M254" s="233">
        <v>16097</v>
      </c>
      <c r="N254" s="233">
        <v>4564</v>
      </c>
      <c r="O254" s="233">
        <v>0</v>
      </c>
      <c r="P254" s="233">
        <v>38814</v>
      </c>
      <c r="Q254" s="233">
        <v>85</v>
      </c>
      <c r="R254" s="233">
        <v>335234</v>
      </c>
      <c r="S254" s="233">
        <v>0</v>
      </c>
      <c r="T254" s="233">
        <v>0</v>
      </c>
      <c r="U254" s="233">
        <v>0</v>
      </c>
      <c r="V254" s="233">
        <v>317340</v>
      </c>
      <c r="W254" s="233">
        <v>15982</v>
      </c>
      <c r="X254" s="233">
        <v>4557</v>
      </c>
      <c r="Y254" s="233">
        <v>0</v>
      </c>
      <c r="Z254" s="233">
        <v>38433</v>
      </c>
      <c r="AA254" s="233">
        <v>3</v>
      </c>
      <c r="AB254" s="233">
        <v>1810</v>
      </c>
      <c r="AC254" s="233">
        <v>0</v>
      </c>
      <c r="AD254" s="233">
        <v>0</v>
      </c>
      <c r="AE254" s="233">
        <v>0</v>
      </c>
      <c r="AF254" s="233">
        <v>1552</v>
      </c>
      <c r="AG254" s="233">
        <v>115</v>
      </c>
      <c r="AH254" s="233">
        <v>8</v>
      </c>
      <c r="AI254" s="233">
        <v>0</v>
      </c>
      <c r="AJ254" s="233">
        <v>381</v>
      </c>
    </row>
    <row r="255" spans="1:36">
      <c r="A255" s="240">
        <v>1</v>
      </c>
      <c r="B255" s="241" t="s">
        <v>3997</v>
      </c>
      <c r="C255" s="241" t="s">
        <v>3172</v>
      </c>
      <c r="D255" s="241" t="s">
        <v>4486</v>
      </c>
      <c r="E255" s="241">
        <v>5</v>
      </c>
      <c r="F255" s="242" t="s">
        <v>4487</v>
      </c>
      <c r="G255" s="233">
        <v>468</v>
      </c>
      <c r="H255" s="233">
        <v>594609</v>
      </c>
      <c r="I255" s="233">
        <v>17996</v>
      </c>
      <c r="J255" s="233">
        <v>16576</v>
      </c>
      <c r="K255" s="233">
        <v>1421</v>
      </c>
      <c r="L255" s="233">
        <v>540146</v>
      </c>
      <c r="M255" s="233">
        <v>144831</v>
      </c>
      <c r="N255" s="233">
        <v>2753</v>
      </c>
      <c r="O255" s="233">
        <v>16127</v>
      </c>
      <c r="P255" s="233">
        <v>202046</v>
      </c>
      <c r="Q255" s="233">
        <v>387</v>
      </c>
      <c r="R255" s="233">
        <v>497138</v>
      </c>
      <c r="S255" s="233">
        <v>17970</v>
      </c>
      <c r="T255" s="233">
        <v>16550</v>
      </c>
      <c r="U255" s="233">
        <v>1420</v>
      </c>
      <c r="V255" s="233">
        <v>443387</v>
      </c>
      <c r="W255" s="233">
        <v>138494</v>
      </c>
      <c r="X255" s="233">
        <v>2166</v>
      </c>
      <c r="Y255" s="233">
        <v>16125</v>
      </c>
      <c r="Z255" s="233">
        <v>194411</v>
      </c>
      <c r="AA255" s="233">
        <v>81</v>
      </c>
      <c r="AB255" s="233">
        <v>97471</v>
      </c>
      <c r="AC255" s="233">
        <v>27</v>
      </c>
      <c r="AD255" s="233">
        <v>25</v>
      </c>
      <c r="AE255" s="233">
        <v>1</v>
      </c>
      <c r="AF255" s="233">
        <v>96759</v>
      </c>
      <c r="AG255" s="233">
        <v>6337</v>
      </c>
      <c r="AH255" s="233">
        <v>586</v>
      </c>
      <c r="AI255" s="233">
        <v>2</v>
      </c>
      <c r="AJ255" s="233">
        <v>7635</v>
      </c>
    </row>
    <row r="256" spans="1:36">
      <c r="A256" s="240">
        <v>1</v>
      </c>
      <c r="B256" s="241" t="s">
        <v>3997</v>
      </c>
      <c r="C256" s="241" t="s">
        <v>3432</v>
      </c>
      <c r="D256" s="241" t="s">
        <v>4488</v>
      </c>
      <c r="E256" s="241">
        <v>6</v>
      </c>
      <c r="F256" s="242" t="s">
        <v>4489</v>
      </c>
      <c r="G256" s="233">
        <v>88</v>
      </c>
      <c r="H256" s="233">
        <v>98459</v>
      </c>
      <c r="I256" s="233">
        <v>104</v>
      </c>
      <c r="J256" s="233">
        <v>52</v>
      </c>
      <c r="K256" s="233">
        <v>52</v>
      </c>
      <c r="L256" s="233">
        <v>89217</v>
      </c>
      <c r="M256" s="233">
        <v>29226</v>
      </c>
      <c r="N256" s="233">
        <v>333</v>
      </c>
      <c r="O256" s="233">
        <v>72</v>
      </c>
      <c r="P256" s="233">
        <v>38801</v>
      </c>
      <c r="Q256" s="233">
        <v>72</v>
      </c>
      <c r="R256" s="235" t="s">
        <v>4020</v>
      </c>
      <c r="S256" s="235" t="s">
        <v>4020</v>
      </c>
      <c r="T256" s="235" t="s">
        <v>4020</v>
      </c>
      <c r="U256" s="235" t="s">
        <v>4020</v>
      </c>
      <c r="V256" s="235" t="s">
        <v>4020</v>
      </c>
      <c r="W256" s="235" t="s">
        <v>4020</v>
      </c>
      <c r="X256" s="235" t="s">
        <v>4020</v>
      </c>
      <c r="Y256" s="235" t="s">
        <v>4020</v>
      </c>
      <c r="Z256" s="235" t="s">
        <v>4020</v>
      </c>
      <c r="AA256" s="233">
        <v>16</v>
      </c>
      <c r="AB256" s="235" t="s">
        <v>4020</v>
      </c>
      <c r="AC256" s="235" t="s">
        <v>4020</v>
      </c>
      <c r="AD256" s="235" t="s">
        <v>4020</v>
      </c>
      <c r="AE256" s="235" t="s">
        <v>4020</v>
      </c>
      <c r="AF256" s="235" t="s">
        <v>4020</v>
      </c>
      <c r="AG256" s="235" t="s">
        <v>4020</v>
      </c>
      <c r="AH256" s="235" t="s">
        <v>4020</v>
      </c>
      <c r="AI256" s="235" t="s">
        <v>4020</v>
      </c>
      <c r="AJ256" s="235" t="s">
        <v>4020</v>
      </c>
    </row>
    <row r="257" spans="1:36">
      <c r="A257" s="240">
        <v>1</v>
      </c>
      <c r="B257" s="241" t="s">
        <v>3997</v>
      </c>
      <c r="C257" s="241" t="s">
        <v>3432</v>
      </c>
      <c r="D257" s="241" t="s">
        <v>4490</v>
      </c>
      <c r="E257" s="241">
        <v>6</v>
      </c>
      <c r="F257" s="242" t="s">
        <v>4491</v>
      </c>
      <c r="G257" s="233">
        <v>6</v>
      </c>
      <c r="H257" s="233">
        <v>1272</v>
      </c>
      <c r="I257" s="233">
        <v>0</v>
      </c>
      <c r="J257" s="233">
        <v>0</v>
      </c>
      <c r="K257" s="233">
        <v>0</v>
      </c>
      <c r="L257" s="233">
        <v>999</v>
      </c>
      <c r="M257" s="233">
        <v>268</v>
      </c>
      <c r="N257" s="233">
        <v>55</v>
      </c>
      <c r="O257" s="233">
        <v>1</v>
      </c>
      <c r="P257" s="233">
        <v>596</v>
      </c>
      <c r="Q257" s="233">
        <v>4</v>
      </c>
      <c r="R257" s="235" t="s">
        <v>4020</v>
      </c>
      <c r="S257" s="235" t="s">
        <v>4020</v>
      </c>
      <c r="T257" s="235" t="s">
        <v>4020</v>
      </c>
      <c r="U257" s="235" t="s">
        <v>4020</v>
      </c>
      <c r="V257" s="235" t="s">
        <v>4020</v>
      </c>
      <c r="W257" s="235" t="s">
        <v>4020</v>
      </c>
      <c r="X257" s="235" t="s">
        <v>4020</v>
      </c>
      <c r="Y257" s="235" t="s">
        <v>4020</v>
      </c>
      <c r="Z257" s="235" t="s">
        <v>4020</v>
      </c>
      <c r="AA257" s="233">
        <v>2</v>
      </c>
      <c r="AB257" s="235" t="s">
        <v>4020</v>
      </c>
      <c r="AC257" s="235" t="s">
        <v>4020</v>
      </c>
      <c r="AD257" s="235" t="s">
        <v>4020</v>
      </c>
      <c r="AE257" s="235" t="s">
        <v>4020</v>
      </c>
      <c r="AF257" s="235" t="s">
        <v>4020</v>
      </c>
      <c r="AG257" s="235" t="s">
        <v>4020</v>
      </c>
      <c r="AH257" s="235" t="s">
        <v>4020</v>
      </c>
      <c r="AI257" s="235" t="s">
        <v>4020</v>
      </c>
      <c r="AJ257" s="235" t="s">
        <v>4020</v>
      </c>
    </row>
    <row r="258" spans="1:36">
      <c r="A258" s="240">
        <v>1</v>
      </c>
      <c r="B258" s="241" t="s">
        <v>3997</v>
      </c>
      <c r="C258" s="241" t="s">
        <v>3432</v>
      </c>
      <c r="D258" s="241" t="s">
        <v>4492</v>
      </c>
      <c r="E258" s="241">
        <v>6</v>
      </c>
      <c r="F258" s="242" t="s">
        <v>4493</v>
      </c>
      <c r="G258" s="233">
        <v>374</v>
      </c>
      <c r="H258" s="233">
        <v>494877</v>
      </c>
      <c r="I258" s="233">
        <v>17893</v>
      </c>
      <c r="J258" s="233">
        <v>16524</v>
      </c>
      <c r="K258" s="233">
        <v>1369</v>
      </c>
      <c r="L258" s="233">
        <v>449930</v>
      </c>
      <c r="M258" s="233">
        <v>115338</v>
      </c>
      <c r="N258" s="233">
        <v>2365</v>
      </c>
      <c r="O258" s="233">
        <v>16054</v>
      </c>
      <c r="P258" s="233">
        <v>162649</v>
      </c>
      <c r="Q258" s="233">
        <v>311</v>
      </c>
      <c r="R258" s="233">
        <v>399689</v>
      </c>
      <c r="S258" s="233">
        <v>17890</v>
      </c>
      <c r="T258" s="233">
        <v>16522</v>
      </c>
      <c r="U258" s="233">
        <v>1368</v>
      </c>
      <c r="V258" s="233">
        <v>355369</v>
      </c>
      <c r="W258" s="233">
        <v>109597</v>
      </c>
      <c r="X258" s="233">
        <v>1850</v>
      </c>
      <c r="Y258" s="233">
        <v>16051</v>
      </c>
      <c r="Z258" s="233">
        <v>155767</v>
      </c>
      <c r="AA258" s="233">
        <v>63</v>
      </c>
      <c r="AB258" s="233">
        <v>95188</v>
      </c>
      <c r="AC258" s="233">
        <v>3</v>
      </c>
      <c r="AD258" s="233">
        <v>2</v>
      </c>
      <c r="AE258" s="233">
        <v>1</v>
      </c>
      <c r="AF258" s="233">
        <v>94561</v>
      </c>
      <c r="AG258" s="233">
        <v>5741</v>
      </c>
      <c r="AH258" s="233">
        <v>515</v>
      </c>
      <c r="AI258" s="233">
        <v>2</v>
      </c>
      <c r="AJ258" s="233">
        <v>6883</v>
      </c>
    </row>
    <row r="259" spans="1:36">
      <c r="A259" s="240">
        <v>1</v>
      </c>
      <c r="B259" s="241" t="s">
        <v>3997</v>
      </c>
      <c r="C259" s="241" t="s">
        <v>3459</v>
      </c>
      <c r="D259" s="241" t="s">
        <v>4494</v>
      </c>
      <c r="E259" s="241">
        <v>3</v>
      </c>
      <c r="F259" s="242" t="s">
        <v>4495</v>
      </c>
      <c r="G259" s="233">
        <v>58179</v>
      </c>
      <c r="H259" s="233">
        <v>76142329</v>
      </c>
      <c r="I259" s="233">
        <v>2194068</v>
      </c>
      <c r="J259" s="233">
        <v>1877591</v>
      </c>
      <c r="K259" s="233">
        <v>316477</v>
      </c>
      <c r="L259" s="233">
        <v>67689069</v>
      </c>
      <c r="M259" s="233">
        <v>11099205</v>
      </c>
      <c r="N259" s="233">
        <v>570605</v>
      </c>
      <c r="O259" s="233">
        <v>1831368</v>
      </c>
      <c r="P259" s="233">
        <v>20123070</v>
      </c>
      <c r="Q259" s="233">
        <v>57321</v>
      </c>
      <c r="R259" s="233">
        <v>74972672</v>
      </c>
      <c r="S259" s="233">
        <v>2192091</v>
      </c>
      <c r="T259" s="233">
        <v>1877101</v>
      </c>
      <c r="U259" s="233">
        <v>314990</v>
      </c>
      <c r="V259" s="233">
        <v>66587174</v>
      </c>
      <c r="W259" s="233">
        <v>10911148</v>
      </c>
      <c r="X259" s="233">
        <v>561062</v>
      </c>
      <c r="Y259" s="233">
        <v>1830320</v>
      </c>
      <c r="Z259" s="233">
        <v>19857709</v>
      </c>
      <c r="AA259" s="233">
        <v>858</v>
      </c>
      <c r="AB259" s="233">
        <v>1169657</v>
      </c>
      <c r="AC259" s="233">
        <v>1977</v>
      </c>
      <c r="AD259" s="233">
        <v>490</v>
      </c>
      <c r="AE259" s="233">
        <v>1487</v>
      </c>
      <c r="AF259" s="233">
        <v>1101895</v>
      </c>
      <c r="AG259" s="233">
        <v>188057</v>
      </c>
      <c r="AH259" s="233">
        <v>9543</v>
      </c>
      <c r="AI259" s="233">
        <v>1049</v>
      </c>
      <c r="AJ259" s="233">
        <v>265362</v>
      </c>
    </row>
    <row r="260" spans="1:36">
      <c r="A260" s="240">
        <v>1</v>
      </c>
      <c r="B260" s="241" t="s">
        <v>3997</v>
      </c>
      <c r="C260" s="241" t="s">
        <v>3170</v>
      </c>
      <c r="D260" s="241" t="s">
        <v>4496</v>
      </c>
      <c r="E260" s="241">
        <v>4</v>
      </c>
      <c r="F260" s="242" t="s">
        <v>4497</v>
      </c>
      <c r="G260" s="233">
        <v>16871</v>
      </c>
      <c r="H260" s="233">
        <v>33233692</v>
      </c>
      <c r="I260" s="233">
        <v>1090845</v>
      </c>
      <c r="J260" s="233">
        <v>1005167</v>
      </c>
      <c r="K260" s="233">
        <v>85678</v>
      </c>
      <c r="L260" s="233">
        <v>29038462</v>
      </c>
      <c r="M260" s="233">
        <v>2745946</v>
      </c>
      <c r="N260" s="233">
        <v>373556</v>
      </c>
      <c r="O260" s="233">
        <v>842803</v>
      </c>
      <c r="P260" s="233">
        <v>7314732</v>
      </c>
      <c r="Q260" s="233">
        <v>16464</v>
      </c>
      <c r="R260" s="233">
        <v>32299890</v>
      </c>
      <c r="S260" s="233">
        <v>1088886</v>
      </c>
      <c r="T260" s="233">
        <v>1004682</v>
      </c>
      <c r="U260" s="233">
        <v>84204</v>
      </c>
      <c r="V260" s="233">
        <v>28157216</v>
      </c>
      <c r="W260" s="233">
        <v>2597376</v>
      </c>
      <c r="X260" s="233">
        <v>365659</v>
      </c>
      <c r="Y260" s="233">
        <v>841770</v>
      </c>
      <c r="Z260" s="233">
        <v>7105709</v>
      </c>
      <c r="AA260" s="233">
        <v>407</v>
      </c>
      <c r="AB260" s="233">
        <v>933802</v>
      </c>
      <c r="AC260" s="233">
        <v>1959</v>
      </c>
      <c r="AD260" s="233">
        <v>485</v>
      </c>
      <c r="AE260" s="233">
        <v>1475</v>
      </c>
      <c r="AF260" s="233">
        <v>881246</v>
      </c>
      <c r="AG260" s="233">
        <v>148570</v>
      </c>
      <c r="AH260" s="233">
        <v>7897</v>
      </c>
      <c r="AI260" s="233">
        <v>1033</v>
      </c>
      <c r="AJ260" s="233">
        <v>209023</v>
      </c>
    </row>
    <row r="261" spans="1:36">
      <c r="A261" s="240">
        <v>1</v>
      </c>
      <c r="B261" s="241" t="s">
        <v>3997</v>
      </c>
      <c r="C261" s="241" t="s">
        <v>3172</v>
      </c>
      <c r="D261" s="241" t="s">
        <v>4498</v>
      </c>
      <c r="E261" s="241">
        <v>5</v>
      </c>
      <c r="F261" s="242" t="s">
        <v>4499</v>
      </c>
      <c r="G261" s="233">
        <v>1182</v>
      </c>
      <c r="H261" s="233">
        <v>21005106</v>
      </c>
      <c r="I261" s="233">
        <v>978062</v>
      </c>
      <c r="J261" s="233">
        <v>949366</v>
      </c>
      <c r="K261" s="233">
        <v>28696</v>
      </c>
      <c r="L261" s="233">
        <v>17862715</v>
      </c>
      <c r="M261" s="233">
        <v>880021</v>
      </c>
      <c r="N261" s="233">
        <v>287888</v>
      </c>
      <c r="O261" s="233">
        <v>772288</v>
      </c>
      <c r="P261" s="233">
        <v>4310301</v>
      </c>
      <c r="Q261" s="233">
        <v>1118</v>
      </c>
      <c r="R261" s="233">
        <v>20946473</v>
      </c>
      <c r="S261" s="233">
        <v>978062</v>
      </c>
      <c r="T261" s="233">
        <v>949366</v>
      </c>
      <c r="U261" s="233">
        <v>28696</v>
      </c>
      <c r="V261" s="233">
        <v>17801260</v>
      </c>
      <c r="W261" s="233">
        <v>876796</v>
      </c>
      <c r="X261" s="233">
        <v>286210</v>
      </c>
      <c r="Y261" s="233">
        <v>772288</v>
      </c>
      <c r="Z261" s="233">
        <v>4308218</v>
      </c>
      <c r="AA261" s="233">
        <v>64</v>
      </c>
      <c r="AB261" s="233">
        <v>58634</v>
      </c>
      <c r="AC261" s="233">
        <v>0</v>
      </c>
      <c r="AD261" s="233">
        <v>0</v>
      </c>
      <c r="AE261" s="233">
        <v>0</v>
      </c>
      <c r="AF261" s="233">
        <v>61455</v>
      </c>
      <c r="AG261" s="233">
        <v>3225</v>
      </c>
      <c r="AH261" s="233">
        <v>1678</v>
      </c>
      <c r="AI261" s="233">
        <v>0</v>
      </c>
      <c r="AJ261" s="233">
        <v>2082</v>
      </c>
    </row>
    <row r="262" spans="1:36">
      <c r="A262" s="240">
        <v>1</v>
      </c>
      <c r="B262" s="241" t="s">
        <v>3997</v>
      </c>
      <c r="C262" s="241" t="s">
        <v>3432</v>
      </c>
      <c r="D262" s="241" t="s">
        <v>4500</v>
      </c>
      <c r="E262" s="241">
        <v>6</v>
      </c>
      <c r="F262" s="242" t="s">
        <v>4501</v>
      </c>
      <c r="G262" s="233">
        <v>651</v>
      </c>
      <c r="H262" s="233">
        <v>6449735</v>
      </c>
      <c r="I262" s="233">
        <v>8352</v>
      </c>
      <c r="J262" s="233">
        <v>2238</v>
      </c>
      <c r="K262" s="233">
        <v>6113</v>
      </c>
      <c r="L262" s="233">
        <v>5538151</v>
      </c>
      <c r="M262" s="233">
        <v>321901</v>
      </c>
      <c r="N262" s="233">
        <v>166650</v>
      </c>
      <c r="O262" s="233">
        <v>5563</v>
      </c>
      <c r="P262" s="233">
        <v>1400135</v>
      </c>
      <c r="Q262" s="233">
        <v>619</v>
      </c>
      <c r="R262" s="233">
        <v>6447711</v>
      </c>
      <c r="S262" s="233">
        <v>8352</v>
      </c>
      <c r="T262" s="233">
        <v>2238</v>
      </c>
      <c r="U262" s="233">
        <v>6113</v>
      </c>
      <c r="V262" s="233">
        <v>5536369</v>
      </c>
      <c r="W262" s="233">
        <v>321421</v>
      </c>
      <c r="X262" s="233">
        <v>166552</v>
      </c>
      <c r="Y262" s="233">
        <v>5563</v>
      </c>
      <c r="Z262" s="233">
        <v>1399316</v>
      </c>
      <c r="AA262" s="233">
        <v>32</v>
      </c>
      <c r="AB262" s="233">
        <v>2024</v>
      </c>
      <c r="AC262" s="233">
        <v>0</v>
      </c>
      <c r="AD262" s="233">
        <v>0</v>
      </c>
      <c r="AE262" s="233">
        <v>0</v>
      </c>
      <c r="AF262" s="233">
        <v>1782</v>
      </c>
      <c r="AG262" s="233">
        <v>480</v>
      </c>
      <c r="AH262" s="233">
        <v>98</v>
      </c>
      <c r="AI262" s="233">
        <v>0</v>
      </c>
      <c r="AJ262" s="233">
        <v>819</v>
      </c>
    </row>
    <row r="263" spans="1:36">
      <c r="A263" s="240">
        <v>1</v>
      </c>
      <c r="B263" s="241" t="s">
        <v>3997</v>
      </c>
      <c r="C263" s="241" t="s">
        <v>3432</v>
      </c>
      <c r="D263" s="241" t="s">
        <v>4502</v>
      </c>
      <c r="E263" s="241">
        <v>6</v>
      </c>
      <c r="F263" s="242" t="s">
        <v>4503</v>
      </c>
      <c r="G263" s="233">
        <v>44</v>
      </c>
      <c r="H263" s="233">
        <v>13652399</v>
      </c>
      <c r="I263" s="233">
        <v>897524</v>
      </c>
      <c r="J263" s="233">
        <v>897424</v>
      </c>
      <c r="K263" s="233">
        <v>100</v>
      </c>
      <c r="L263" s="233">
        <v>11476595</v>
      </c>
      <c r="M263" s="233">
        <v>369419</v>
      </c>
      <c r="N263" s="233">
        <v>117457</v>
      </c>
      <c r="O263" s="233">
        <v>757787</v>
      </c>
      <c r="P263" s="233">
        <v>2662681</v>
      </c>
      <c r="Q263" s="233">
        <v>44</v>
      </c>
      <c r="R263" s="233">
        <v>13652399</v>
      </c>
      <c r="S263" s="233">
        <v>897524</v>
      </c>
      <c r="T263" s="233">
        <v>897424</v>
      </c>
      <c r="U263" s="233">
        <v>100</v>
      </c>
      <c r="V263" s="233">
        <v>11476595</v>
      </c>
      <c r="W263" s="233">
        <v>369419</v>
      </c>
      <c r="X263" s="233">
        <v>117457</v>
      </c>
      <c r="Y263" s="233">
        <v>757787</v>
      </c>
      <c r="Z263" s="233">
        <v>2662681</v>
      </c>
      <c r="AA263" s="235" t="s">
        <v>5298</v>
      </c>
      <c r="AB263" s="235" t="s">
        <v>5298</v>
      </c>
      <c r="AC263" s="235" t="s">
        <v>5298</v>
      </c>
      <c r="AD263" s="235" t="s">
        <v>5298</v>
      </c>
      <c r="AE263" s="235" t="s">
        <v>5298</v>
      </c>
      <c r="AF263" s="235" t="s">
        <v>5298</v>
      </c>
      <c r="AG263" s="235" t="s">
        <v>5298</v>
      </c>
      <c r="AH263" s="235" t="s">
        <v>5298</v>
      </c>
      <c r="AI263" s="235" t="s">
        <v>5298</v>
      </c>
      <c r="AJ263" s="235" t="s">
        <v>5298</v>
      </c>
    </row>
    <row r="264" spans="1:36">
      <c r="A264" s="240">
        <v>1</v>
      </c>
      <c r="B264" s="241" t="s">
        <v>3997</v>
      </c>
      <c r="C264" s="241" t="s">
        <v>3432</v>
      </c>
      <c r="D264" s="241" t="s">
        <v>4504</v>
      </c>
      <c r="E264" s="241">
        <v>6</v>
      </c>
      <c r="F264" s="242" t="s">
        <v>4505</v>
      </c>
      <c r="G264" s="233">
        <v>487</v>
      </c>
      <c r="H264" s="233">
        <v>902972</v>
      </c>
      <c r="I264" s="233">
        <v>72186</v>
      </c>
      <c r="J264" s="233">
        <v>49704</v>
      </c>
      <c r="K264" s="233">
        <v>22483</v>
      </c>
      <c r="L264" s="233">
        <v>847969</v>
      </c>
      <c r="M264" s="233">
        <v>188701</v>
      </c>
      <c r="N264" s="233">
        <v>3780</v>
      </c>
      <c r="O264" s="233">
        <v>8938</v>
      </c>
      <c r="P264" s="233">
        <v>247485</v>
      </c>
      <c r="Q264" s="233">
        <v>455</v>
      </c>
      <c r="R264" s="233">
        <v>846362</v>
      </c>
      <c r="S264" s="233">
        <v>72186</v>
      </c>
      <c r="T264" s="233">
        <v>49704</v>
      </c>
      <c r="U264" s="233">
        <v>22483</v>
      </c>
      <c r="V264" s="233">
        <v>788297</v>
      </c>
      <c r="W264" s="233">
        <v>185956</v>
      </c>
      <c r="X264" s="233">
        <v>2200</v>
      </c>
      <c r="Y264" s="233">
        <v>8938</v>
      </c>
      <c r="Z264" s="233">
        <v>246222</v>
      </c>
      <c r="AA264" s="233">
        <v>32</v>
      </c>
      <c r="AB264" s="233">
        <v>56610</v>
      </c>
      <c r="AC264" s="233">
        <v>0</v>
      </c>
      <c r="AD264" s="233">
        <v>0</v>
      </c>
      <c r="AE264" s="233">
        <v>0</v>
      </c>
      <c r="AF264" s="233">
        <v>59672</v>
      </c>
      <c r="AG264" s="233">
        <v>2745</v>
      </c>
      <c r="AH264" s="233">
        <v>1580</v>
      </c>
      <c r="AI264" s="233">
        <v>0</v>
      </c>
      <c r="AJ264" s="233">
        <v>1263</v>
      </c>
    </row>
    <row r="265" spans="1:36">
      <c r="A265" s="240">
        <v>1</v>
      </c>
      <c r="B265" s="241" t="s">
        <v>3997</v>
      </c>
      <c r="C265" s="241" t="s">
        <v>3172</v>
      </c>
      <c r="D265" s="241" t="s">
        <v>4506</v>
      </c>
      <c r="E265" s="241">
        <v>5</v>
      </c>
      <c r="F265" s="242" t="s">
        <v>4507</v>
      </c>
      <c r="G265" s="233">
        <v>839</v>
      </c>
      <c r="H265" s="233">
        <v>4970879</v>
      </c>
      <c r="I265" s="233">
        <v>9853</v>
      </c>
      <c r="J265" s="233">
        <v>3839</v>
      </c>
      <c r="K265" s="233">
        <v>6015</v>
      </c>
      <c r="L265" s="233">
        <v>4491812</v>
      </c>
      <c r="M265" s="233">
        <v>543266</v>
      </c>
      <c r="N265" s="233">
        <v>34243</v>
      </c>
      <c r="O265" s="233">
        <v>13053</v>
      </c>
      <c r="P265" s="233">
        <v>1056576</v>
      </c>
      <c r="Q265" s="233">
        <v>797</v>
      </c>
      <c r="R265" s="233">
        <v>4184122</v>
      </c>
      <c r="S265" s="233">
        <v>9851</v>
      </c>
      <c r="T265" s="233">
        <v>3839</v>
      </c>
      <c r="U265" s="233">
        <v>6012</v>
      </c>
      <c r="V265" s="233">
        <v>3759122</v>
      </c>
      <c r="W265" s="233">
        <v>429981</v>
      </c>
      <c r="X265" s="233">
        <v>30396</v>
      </c>
      <c r="Y265" s="233">
        <v>13053</v>
      </c>
      <c r="Z265" s="233">
        <v>885377</v>
      </c>
      <c r="AA265" s="233">
        <v>42</v>
      </c>
      <c r="AB265" s="233">
        <v>786757</v>
      </c>
      <c r="AC265" s="233">
        <v>3</v>
      </c>
      <c r="AD265" s="233">
        <v>0</v>
      </c>
      <c r="AE265" s="233">
        <v>3</v>
      </c>
      <c r="AF265" s="233">
        <v>732690</v>
      </c>
      <c r="AG265" s="233">
        <v>113284</v>
      </c>
      <c r="AH265" s="233">
        <v>3848</v>
      </c>
      <c r="AI265" s="233">
        <v>0</v>
      </c>
      <c r="AJ265" s="233">
        <v>171198</v>
      </c>
    </row>
    <row r="266" spans="1:36">
      <c r="A266" s="240">
        <v>1</v>
      </c>
      <c r="B266" s="241" t="s">
        <v>3997</v>
      </c>
      <c r="C266" s="241" t="s">
        <v>3432</v>
      </c>
      <c r="D266" s="241" t="s">
        <v>4508</v>
      </c>
      <c r="E266" s="241">
        <v>6</v>
      </c>
      <c r="F266" s="242" t="s">
        <v>4509</v>
      </c>
      <c r="G266" s="233">
        <v>515</v>
      </c>
      <c r="H266" s="233">
        <v>3486873</v>
      </c>
      <c r="I266" s="233">
        <v>9246</v>
      </c>
      <c r="J266" s="233">
        <v>3763</v>
      </c>
      <c r="K266" s="233">
        <v>5482</v>
      </c>
      <c r="L266" s="233">
        <v>3188943</v>
      </c>
      <c r="M266" s="233">
        <v>432124</v>
      </c>
      <c r="N266" s="233">
        <v>25588</v>
      </c>
      <c r="O266" s="233">
        <v>12658</v>
      </c>
      <c r="P266" s="233">
        <v>755641</v>
      </c>
      <c r="Q266" s="233">
        <v>490</v>
      </c>
      <c r="R266" s="233">
        <v>2705697</v>
      </c>
      <c r="S266" s="233">
        <v>9243</v>
      </c>
      <c r="T266" s="233">
        <v>3763</v>
      </c>
      <c r="U266" s="233">
        <v>5480</v>
      </c>
      <c r="V266" s="233">
        <v>2462250</v>
      </c>
      <c r="W266" s="233">
        <v>320146</v>
      </c>
      <c r="X266" s="233">
        <v>21953</v>
      </c>
      <c r="Y266" s="233">
        <v>12658</v>
      </c>
      <c r="Z266" s="233">
        <v>585546</v>
      </c>
      <c r="AA266" s="233">
        <v>25</v>
      </c>
      <c r="AB266" s="233">
        <v>781176</v>
      </c>
      <c r="AC266" s="233">
        <v>2</v>
      </c>
      <c r="AD266" s="233">
        <v>0</v>
      </c>
      <c r="AE266" s="233">
        <v>2</v>
      </c>
      <c r="AF266" s="233">
        <v>726693</v>
      </c>
      <c r="AG266" s="233">
        <v>111977</v>
      </c>
      <c r="AH266" s="233">
        <v>3635</v>
      </c>
      <c r="AI266" s="233">
        <v>0</v>
      </c>
      <c r="AJ266" s="233">
        <v>170095</v>
      </c>
    </row>
    <row r="267" spans="1:36">
      <c r="A267" s="240">
        <v>1</v>
      </c>
      <c r="B267" s="241" t="s">
        <v>3997</v>
      </c>
      <c r="C267" s="241" t="s">
        <v>3432</v>
      </c>
      <c r="D267" s="241" t="s">
        <v>4510</v>
      </c>
      <c r="E267" s="241">
        <v>6</v>
      </c>
      <c r="F267" s="242" t="s">
        <v>4511</v>
      </c>
      <c r="G267" s="233">
        <v>324</v>
      </c>
      <c r="H267" s="233">
        <v>1484005</v>
      </c>
      <c r="I267" s="233">
        <v>608</v>
      </c>
      <c r="J267" s="233">
        <v>75</v>
      </c>
      <c r="K267" s="233">
        <v>532</v>
      </c>
      <c r="L267" s="233">
        <v>1302869</v>
      </c>
      <c r="M267" s="233">
        <v>111142</v>
      </c>
      <c r="N267" s="233">
        <v>8656</v>
      </c>
      <c r="O267" s="233">
        <v>395</v>
      </c>
      <c r="P267" s="233">
        <v>300934</v>
      </c>
      <c r="Q267" s="233">
        <v>307</v>
      </c>
      <c r="R267" s="233">
        <v>1478425</v>
      </c>
      <c r="S267" s="233">
        <v>608</v>
      </c>
      <c r="T267" s="233">
        <v>75</v>
      </c>
      <c r="U267" s="233">
        <v>532</v>
      </c>
      <c r="V267" s="233">
        <v>1296871</v>
      </c>
      <c r="W267" s="233">
        <v>109835</v>
      </c>
      <c r="X267" s="233">
        <v>8443</v>
      </c>
      <c r="Y267" s="233">
        <v>395</v>
      </c>
      <c r="Z267" s="233">
        <v>299832</v>
      </c>
      <c r="AA267" s="233">
        <v>17</v>
      </c>
      <c r="AB267" s="233">
        <v>5580</v>
      </c>
      <c r="AC267" s="233">
        <v>0</v>
      </c>
      <c r="AD267" s="233">
        <v>0</v>
      </c>
      <c r="AE267" s="233">
        <v>0</v>
      </c>
      <c r="AF267" s="233">
        <v>5997</v>
      </c>
      <c r="AG267" s="233">
        <v>1307</v>
      </c>
      <c r="AH267" s="233">
        <v>213</v>
      </c>
      <c r="AI267" s="233">
        <v>0</v>
      </c>
      <c r="AJ267" s="233">
        <v>1103</v>
      </c>
    </row>
    <row r="268" spans="1:36">
      <c r="A268" s="240">
        <v>1</v>
      </c>
      <c r="B268" s="241" t="s">
        <v>3997</v>
      </c>
      <c r="C268" s="241" t="s">
        <v>3172</v>
      </c>
      <c r="D268" s="241" t="s">
        <v>4512</v>
      </c>
      <c r="E268" s="241">
        <v>5</v>
      </c>
      <c r="F268" s="242" t="s">
        <v>4513</v>
      </c>
      <c r="G268" s="233">
        <v>14841</v>
      </c>
      <c r="H268" s="233">
        <v>7257352</v>
      </c>
      <c r="I268" s="233">
        <v>102914</v>
      </c>
      <c r="J268" s="233">
        <v>51962</v>
      </c>
      <c r="K268" s="233">
        <v>50952</v>
      </c>
      <c r="L268" s="233">
        <v>6683602</v>
      </c>
      <c r="M268" s="233">
        <v>1322568</v>
      </c>
      <c r="N268" s="233">
        <v>51424</v>
      </c>
      <c r="O268" s="233">
        <v>57462</v>
      </c>
      <c r="P268" s="233">
        <v>1947742</v>
      </c>
      <c r="Q268" s="233">
        <v>14541</v>
      </c>
      <c r="R268" s="233">
        <v>7168971</v>
      </c>
      <c r="S268" s="233">
        <v>100957</v>
      </c>
      <c r="T268" s="233">
        <v>51477</v>
      </c>
      <c r="U268" s="233">
        <v>49480</v>
      </c>
      <c r="V268" s="233">
        <v>6596529</v>
      </c>
      <c r="W268" s="233">
        <v>1290515</v>
      </c>
      <c r="X268" s="233">
        <v>49053</v>
      </c>
      <c r="Y268" s="233">
        <v>56429</v>
      </c>
      <c r="Z268" s="233">
        <v>1912010</v>
      </c>
      <c r="AA268" s="233">
        <v>300</v>
      </c>
      <c r="AB268" s="233">
        <v>88381</v>
      </c>
      <c r="AC268" s="233">
        <v>1957</v>
      </c>
      <c r="AD268" s="233">
        <v>485</v>
      </c>
      <c r="AE268" s="233">
        <v>1472</v>
      </c>
      <c r="AF268" s="233">
        <v>87072</v>
      </c>
      <c r="AG268" s="233">
        <v>32053</v>
      </c>
      <c r="AH268" s="233">
        <v>2371</v>
      </c>
      <c r="AI268" s="233">
        <v>1033</v>
      </c>
      <c r="AJ268" s="233">
        <v>35732</v>
      </c>
    </row>
    <row r="269" spans="1:36">
      <c r="A269" s="240">
        <v>1</v>
      </c>
      <c r="B269" s="241" t="s">
        <v>3997</v>
      </c>
      <c r="C269" s="241" t="s">
        <v>3432</v>
      </c>
      <c r="D269" s="241" t="s">
        <v>4514</v>
      </c>
      <c r="E269" s="241">
        <v>6</v>
      </c>
      <c r="F269" s="242" t="s">
        <v>4515</v>
      </c>
      <c r="G269" s="233">
        <v>5398</v>
      </c>
      <c r="H269" s="233">
        <v>2116463</v>
      </c>
      <c r="I269" s="233">
        <v>52373</v>
      </c>
      <c r="J269" s="233">
        <v>28503</v>
      </c>
      <c r="K269" s="233">
        <v>23871</v>
      </c>
      <c r="L269" s="233">
        <v>1911963</v>
      </c>
      <c r="M269" s="233">
        <v>352538</v>
      </c>
      <c r="N269" s="233">
        <v>9846</v>
      </c>
      <c r="O269" s="233">
        <v>23344</v>
      </c>
      <c r="P269" s="233">
        <v>566884</v>
      </c>
      <c r="Q269" s="233">
        <v>5342</v>
      </c>
      <c r="R269" s="233">
        <v>2115032</v>
      </c>
      <c r="S269" s="233">
        <v>52373</v>
      </c>
      <c r="T269" s="233">
        <v>28503</v>
      </c>
      <c r="U269" s="233">
        <v>23871</v>
      </c>
      <c r="V269" s="233">
        <v>1910342</v>
      </c>
      <c r="W269" s="233">
        <v>352137</v>
      </c>
      <c r="X269" s="233">
        <v>9823</v>
      </c>
      <c r="Y269" s="233">
        <v>23344</v>
      </c>
      <c r="Z269" s="233">
        <v>566650</v>
      </c>
      <c r="AA269" s="233">
        <v>56</v>
      </c>
      <c r="AB269" s="233">
        <v>1432</v>
      </c>
      <c r="AC269" s="233">
        <v>0</v>
      </c>
      <c r="AD269" s="233">
        <v>0</v>
      </c>
      <c r="AE269" s="233">
        <v>0</v>
      </c>
      <c r="AF269" s="233">
        <v>1621</v>
      </c>
      <c r="AG269" s="233">
        <v>401</v>
      </c>
      <c r="AH269" s="233">
        <v>22</v>
      </c>
      <c r="AI269" s="233">
        <v>0</v>
      </c>
      <c r="AJ269" s="233">
        <v>234</v>
      </c>
    </row>
    <row r="270" spans="1:36">
      <c r="A270" s="240">
        <v>1</v>
      </c>
      <c r="B270" s="241" t="s">
        <v>3997</v>
      </c>
      <c r="C270" s="241" t="s">
        <v>3432</v>
      </c>
      <c r="D270" s="241" t="s">
        <v>4516</v>
      </c>
      <c r="E270" s="241">
        <v>6</v>
      </c>
      <c r="F270" s="242" t="s">
        <v>4517</v>
      </c>
      <c r="G270" s="233">
        <v>751</v>
      </c>
      <c r="H270" s="233">
        <v>311894</v>
      </c>
      <c r="I270" s="233">
        <v>3978</v>
      </c>
      <c r="J270" s="233">
        <v>3121</v>
      </c>
      <c r="K270" s="233">
        <v>857</v>
      </c>
      <c r="L270" s="233">
        <v>272274</v>
      </c>
      <c r="M270" s="233">
        <v>31573</v>
      </c>
      <c r="N270" s="233">
        <v>672</v>
      </c>
      <c r="O270" s="233">
        <v>1140</v>
      </c>
      <c r="P270" s="233">
        <v>71865</v>
      </c>
      <c r="Q270" s="233">
        <v>745</v>
      </c>
      <c r="R270" s="233">
        <v>311834</v>
      </c>
      <c r="S270" s="233">
        <v>3978</v>
      </c>
      <c r="T270" s="233">
        <v>3121</v>
      </c>
      <c r="U270" s="233">
        <v>857</v>
      </c>
      <c r="V270" s="233">
        <v>272213</v>
      </c>
      <c r="W270" s="233">
        <v>31553</v>
      </c>
      <c r="X270" s="233">
        <v>672</v>
      </c>
      <c r="Y270" s="233">
        <v>1140</v>
      </c>
      <c r="Z270" s="233">
        <v>71845</v>
      </c>
      <c r="AA270" s="233">
        <v>6</v>
      </c>
      <c r="AB270" s="233">
        <v>60</v>
      </c>
      <c r="AC270" s="233">
        <v>0</v>
      </c>
      <c r="AD270" s="233">
        <v>0</v>
      </c>
      <c r="AE270" s="233">
        <v>0</v>
      </c>
      <c r="AF270" s="233">
        <v>61</v>
      </c>
      <c r="AG270" s="233">
        <v>20</v>
      </c>
      <c r="AH270" s="233">
        <v>0</v>
      </c>
      <c r="AI270" s="233">
        <v>0</v>
      </c>
      <c r="AJ270" s="233">
        <v>19</v>
      </c>
    </row>
    <row r="271" spans="1:36">
      <c r="A271" s="240">
        <v>1</v>
      </c>
      <c r="B271" s="241" t="s">
        <v>3997</v>
      </c>
      <c r="C271" s="241" t="s">
        <v>3432</v>
      </c>
      <c r="D271" s="241" t="s">
        <v>4518</v>
      </c>
      <c r="E271" s="241">
        <v>6</v>
      </c>
      <c r="F271" s="242" t="s">
        <v>4519</v>
      </c>
      <c r="G271" s="233">
        <v>747</v>
      </c>
      <c r="H271" s="233">
        <v>1574707</v>
      </c>
      <c r="I271" s="233">
        <v>2115</v>
      </c>
      <c r="J271" s="233">
        <v>655</v>
      </c>
      <c r="K271" s="233">
        <v>1461</v>
      </c>
      <c r="L271" s="233">
        <v>1485293</v>
      </c>
      <c r="M271" s="233">
        <v>353144</v>
      </c>
      <c r="N271" s="233">
        <v>21757</v>
      </c>
      <c r="O271" s="233">
        <v>911</v>
      </c>
      <c r="P271" s="233">
        <v>464315</v>
      </c>
      <c r="Q271" s="233">
        <v>731</v>
      </c>
      <c r="R271" s="233">
        <v>1560933</v>
      </c>
      <c r="S271" s="233">
        <v>2110</v>
      </c>
      <c r="T271" s="233">
        <v>652</v>
      </c>
      <c r="U271" s="233">
        <v>1458</v>
      </c>
      <c r="V271" s="233">
        <v>1473157</v>
      </c>
      <c r="W271" s="233">
        <v>349147</v>
      </c>
      <c r="X271" s="233">
        <v>21126</v>
      </c>
      <c r="Y271" s="233">
        <v>909</v>
      </c>
      <c r="Z271" s="233">
        <v>458049</v>
      </c>
      <c r="AA271" s="233">
        <v>16</v>
      </c>
      <c r="AB271" s="233">
        <v>13774</v>
      </c>
      <c r="AC271" s="233">
        <v>6</v>
      </c>
      <c r="AD271" s="233">
        <v>3</v>
      </c>
      <c r="AE271" s="233">
        <v>3</v>
      </c>
      <c r="AF271" s="233">
        <v>12136</v>
      </c>
      <c r="AG271" s="233">
        <v>3997</v>
      </c>
      <c r="AH271" s="233">
        <v>631</v>
      </c>
      <c r="AI271" s="233">
        <v>2</v>
      </c>
      <c r="AJ271" s="233">
        <v>6266</v>
      </c>
    </row>
    <row r="272" spans="1:36">
      <c r="A272" s="240">
        <v>1</v>
      </c>
      <c r="B272" s="241" t="s">
        <v>3997</v>
      </c>
      <c r="C272" s="241" t="s">
        <v>3432</v>
      </c>
      <c r="D272" s="241" t="s">
        <v>4520</v>
      </c>
      <c r="E272" s="241">
        <v>6</v>
      </c>
      <c r="F272" s="242" t="s">
        <v>4521</v>
      </c>
      <c r="G272" s="233">
        <v>3971</v>
      </c>
      <c r="H272" s="233">
        <v>2304473</v>
      </c>
      <c r="I272" s="233">
        <v>40998</v>
      </c>
      <c r="J272" s="233">
        <v>19319</v>
      </c>
      <c r="K272" s="233">
        <v>21679</v>
      </c>
      <c r="L272" s="233">
        <v>2121183</v>
      </c>
      <c r="M272" s="233">
        <v>378692</v>
      </c>
      <c r="N272" s="233">
        <v>13595</v>
      </c>
      <c r="O272" s="233">
        <v>29677</v>
      </c>
      <c r="P272" s="233">
        <v>575577</v>
      </c>
      <c r="Q272" s="233">
        <v>3783</v>
      </c>
      <c r="R272" s="233">
        <v>2276711</v>
      </c>
      <c r="S272" s="233">
        <v>39048</v>
      </c>
      <c r="T272" s="233">
        <v>18838</v>
      </c>
      <c r="U272" s="233">
        <v>20211</v>
      </c>
      <c r="V272" s="233">
        <v>2093931</v>
      </c>
      <c r="W272" s="233">
        <v>371753</v>
      </c>
      <c r="X272" s="233">
        <v>12890</v>
      </c>
      <c r="Y272" s="233">
        <v>28646</v>
      </c>
      <c r="Z272" s="233">
        <v>567423</v>
      </c>
      <c r="AA272" s="233">
        <v>188</v>
      </c>
      <c r="AB272" s="233">
        <v>27762</v>
      </c>
      <c r="AC272" s="233">
        <v>1950</v>
      </c>
      <c r="AD272" s="233">
        <v>482</v>
      </c>
      <c r="AE272" s="233">
        <v>1469</v>
      </c>
      <c r="AF272" s="233">
        <v>27252</v>
      </c>
      <c r="AG272" s="233">
        <v>6939</v>
      </c>
      <c r="AH272" s="233">
        <v>704</v>
      </c>
      <c r="AI272" s="233">
        <v>1031</v>
      </c>
      <c r="AJ272" s="233">
        <v>8154</v>
      </c>
    </row>
    <row r="273" spans="1:36">
      <c r="A273" s="240">
        <v>1</v>
      </c>
      <c r="B273" s="241" t="s">
        <v>3997</v>
      </c>
      <c r="C273" s="241" t="s">
        <v>3432</v>
      </c>
      <c r="D273" s="241" t="s">
        <v>4522</v>
      </c>
      <c r="E273" s="241">
        <v>6</v>
      </c>
      <c r="F273" s="242" t="s">
        <v>4523</v>
      </c>
      <c r="G273" s="233">
        <v>2033</v>
      </c>
      <c r="H273" s="233">
        <v>586299</v>
      </c>
      <c r="I273" s="233">
        <v>3042</v>
      </c>
      <c r="J273" s="233">
        <v>284</v>
      </c>
      <c r="K273" s="233">
        <v>2759</v>
      </c>
      <c r="L273" s="233">
        <v>545626</v>
      </c>
      <c r="M273" s="233">
        <v>100940</v>
      </c>
      <c r="N273" s="233">
        <v>2386</v>
      </c>
      <c r="O273" s="233">
        <v>2135</v>
      </c>
      <c r="P273" s="233">
        <v>143999</v>
      </c>
      <c r="Q273" s="233">
        <v>2023</v>
      </c>
      <c r="R273" s="233">
        <v>585851</v>
      </c>
      <c r="S273" s="233">
        <v>3042</v>
      </c>
      <c r="T273" s="233">
        <v>284</v>
      </c>
      <c r="U273" s="233">
        <v>2758</v>
      </c>
      <c r="V273" s="233">
        <v>545208</v>
      </c>
      <c r="W273" s="233">
        <v>100690</v>
      </c>
      <c r="X273" s="233">
        <v>2385</v>
      </c>
      <c r="Y273" s="233">
        <v>2135</v>
      </c>
      <c r="Z273" s="233">
        <v>143718</v>
      </c>
      <c r="AA273" s="233">
        <v>10</v>
      </c>
      <c r="AB273" s="233">
        <v>448</v>
      </c>
      <c r="AC273" s="233">
        <v>1</v>
      </c>
      <c r="AD273" s="233">
        <v>0</v>
      </c>
      <c r="AE273" s="233">
        <v>1</v>
      </c>
      <c r="AF273" s="233">
        <v>418</v>
      </c>
      <c r="AG273" s="233">
        <v>250</v>
      </c>
      <c r="AH273" s="233">
        <v>1</v>
      </c>
      <c r="AI273" s="233">
        <v>0</v>
      </c>
      <c r="AJ273" s="233">
        <v>281</v>
      </c>
    </row>
    <row r="274" spans="1:36">
      <c r="A274" s="240">
        <v>1</v>
      </c>
      <c r="B274" s="241" t="s">
        <v>3997</v>
      </c>
      <c r="C274" s="241" t="s">
        <v>3432</v>
      </c>
      <c r="D274" s="241" t="s">
        <v>4524</v>
      </c>
      <c r="E274" s="241">
        <v>6</v>
      </c>
      <c r="F274" s="242" t="s">
        <v>4525</v>
      </c>
      <c r="G274" s="233">
        <v>1941</v>
      </c>
      <c r="H274" s="233">
        <v>363515</v>
      </c>
      <c r="I274" s="233">
        <v>406</v>
      </c>
      <c r="J274" s="233">
        <v>81</v>
      </c>
      <c r="K274" s="233">
        <v>325</v>
      </c>
      <c r="L274" s="233">
        <v>347263</v>
      </c>
      <c r="M274" s="233">
        <v>105681</v>
      </c>
      <c r="N274" s="233">
        <v>3169</v>
      </c>
      <c r="O274" s="233">
        <v>256</v>
      </c>
      <c r="P274" s="233">
        <v>125102</v>
      </c>
      <c r="Q274" s="233">
        <v>1917</v>
      </c>
      <c r="R274" s="233">
        <v>318611</v>
      </c>
      <c r="S274" s="233">
        <v>406</v>
      </c>
      <c r="T274" s="233">
        <v>81</v>
      </c>
      <c r="U274" s="233">
        <v>325</v>
      </c>
      <c r="V274" s="233">
        <v>301678</v>
      </c>
      <c r="W274" s="233">
        <v>85235</v>
      </c>
      <c r="X274" s="233">
        <v>2157</v>
      </c>
      <c r="Y274" s="233">
        <v>256</v>
      </c>
      <c r="Z274" s="233">
        <v>104324</v>
      </c>
      <c r="AA274" s="233">
        <v>24</v>
      </c>
      <c r="AB274" s="233">
        <v>44904</v>
      </c>
      <c r="AC274" s="233">
        <v>0</v>
      </c>
      <c r="AD274" s="233">
        <v>0</v>
      </c>
      <c r="AE274" s="233">
        <v>0</v>
      </c>
      <c r="AF274" s="233">
        <v>45585</v>
      </c>
      <c r="AG274" s="233">
        <v>20446</v>
      </c>
      <c r="AH274" s="233">
        <v>1012</v>
      </c>
      <c r="AI274" s="233">
        <v>0</v>
      </c>
      <c r="AJ274" s="233">
        <v>20778</v>
      </c>
    </row>
    <row r="275" spans="1:36">
      <c r="A275" s="240">
        <v>1</v>
      </c>
      <c r="B275" s="241" t="s">
        <v>3997</v>
      </c>
      <c r="C275" s="241" t="s">
        <v>3170</v>
      </c>
      <c r="D275" s="241" t="s">
        <v>4526</v>
      </c>
      <c r="E275" s="241">
        <v>4</v>
      </c>
      <c r="F275" s="242" t="s">
        <v>4527</v>
      </c>
      <c r="G275" s="233">
        <v>41308</v>
      </c>
      <c r="H275" s="233">
        <v>42908638</v>
      </c>
      <c r="I275" s="233">
        <v>1103223</v>
      </c>
      <c r="J275" s="233">
        <v>872424</v>
      </c>
      <c r="K275" s="233">
        <v>230799</v>
      </c>
      <c r="L275" s="233">
        <v>38650606</v>
      </c>
      <c r="M275" s="233">
        <v>8353259</v>
      </c>
      <c r="N275" s="233">
        <v>197049</v>
      </c>
      <c r="O275" s="233">
        <v>988565</v>
      </c>
      <c r="P275" s="233">
        <v>12808338</v>
      </c>
      <c r="Q275" s="233">
        <v>40857</v>
      </c>
      <c r="R275" s="233">
        <v>42672782</v>
      </c>
      <c r="S275" s="233">
        <v>1103205</v>
      </c>
      <c r="T275" s="233">
        <v>872418</v>
      </c>
      <c r="U275" s="233">
        <v>230787</v>
      </c>
      <c r="V275" s="233">
        <v>38429958</v>
      </c>
      <c r="W275" s="233">
        <v>8313772</v>
      </c>
      <c r="X275" s="233">
        <v>195403</v>
      </c>
      <c r="Y275" s="233">
        <v>988550</v>
      </c>
      <c r="Z275" s="233">
        <v>12752000</v>
      </c>
      <c r="AA275" s="233">
        <v>451</v>
      </c>
      <c r="AB275" s="233">
        <v>235856</v>
      </c>
      <c r="AC275" s="233">
        <v>18</v>
      </c>
      <c r="AD275" s="233">
        <v>6</v>
      </c>
      <c r="AE275" s="233">
        <v>13</v>
      </c>
      <c r="AF275" s="233">
        <v>220649</v>
      </c>
      <c r="AG275" s="233">
        <v>39487</v>
      </c>
      <c r="AH275" s="233">
        <v>1645</v>
      </c>
      <c r="AI275" s="233">
        <v>16</v>
      </c>
      <c r="AJ275" s="233">
        <v>56339</v>
      </c>
    </row>
    <row r="276" spans="1:36">
      <c r="A276" s="240">
        <v>1</v>
      </c>
      <c r="B276" s="241" t="s">
        <v>3997</v>
      </c>
      <c r="C276" s="241" t="s">
        <v>3172</v>
      </c>
      <c r="D276" s="241" t="s">
        <v>4528</v>
      </c>
      <c r="E276" s="241">
        <v>5</v>
      </c>
      <c r="F276" s="242" t="s">
        <v>4529</v>
      </c>
      <c r="G276" s="233">
        <v>33402</v>
      </c>
      <c r="H276" s="233">
        <v>33437536</v>
      </c>
      <c r="I276" s="233">
        <v>1035967</v>
      </c>
      <c r="J276" s="233">
        <v>846208</v>
      </c>
      <c r="K276" s="233">
        <v>189759</v>
      </c>
      <c r="L276" s="233">
        <v>29924760</v>
      </c>
      <c r="M276" s="233">
        <v>6683323</v>
      </c>
      <c r="N276" s="233">
        <v>160652</v>
      </c>
      <c r="O276" s="233">
        <v>950126</v>
      </c>
      <c r="P276" s="233">
        <v>10356752</v>
      </c>
      <c r="Q276" s="233">
        <v>33088</v>
      </c>
      <c r="R276" s="233">
        <v>33213039</v>
      </c>
      <c r="S276" s="233">
        <v>1035951</v>
      </c>
      <c r="T276" s="233">
        <v>846202</v>
      </c>
      <c r="U276" s="233">
        <v>189749</v>
      </c>
      <c r="V276" s="233">
        <v>29715181</v>
      </c>
      <c r="W276" s="233">
        <v>6645586</v>
      </c>
      <c r="X276" s="233">
        <v>159142</v>
      </c>
      <c r="Y276" s="233">
        <v>950110</v>
      </c>
      <c r="Z276" s="233">
        <v>10302587</v>
      </c>
      <c r="AA276" s="233">
        <v>314</v>
      </c>
      <c r="AB276" s="233">
        <v>224497</v>
      </c>
      <c r="AC276" s="233">
        <v>16</v>
      </c>
      <c r="AD276" s="233">
        <v>6</v>
      </c>
      <c r="AE276" s="233">
        <v>10</v>
      </c>
      <c r="AF276" s="233">
        <v>209579</v>
      </c>
      <c r="AG276" s="233">
        <v>37737</v>
      </c>
      <c r="AH276" s="233">
        <v>1510</v>
      </c>
      <c r="AI276" s="233">
        <v>16</v>
      </c>
      <c r="AJ276" s="233">
        <v>54165</v>
      </c>
    </row>
    <row r="277" spans="1:36">
      <c r="A277" s="240">
        <v>1</v>
      </c>
      <c r="B277" s="241" t="s">
        <v>3997</v>
      </c>
      <c r="C277" s="241" t="s">
        <v>3432</v>
      </c>
      <c r="D277" s="241" t="s">
        <v>4530</v>
      </c>
      <c r="E277" s="241">
        <v>6</v>
      </c>
      <c r="F277" s="242" t="s">
        <v>4531</v>
      </c>
      <c r="G277" s="233">
        <v>28608</v>
      </c>
      <c r="H277" s="233">
        <v>31111033</v>
      </c>
      <c r="I277" s="233">
        <v>978732</v>
      </c>
      <c r="J277" s="233">
        <v>820994</v>
      </c>
      <c r="K277" s="233">
        <v>157738</v>
      </c>
      <c r="L277" s="233">
        <v>27810320</v>
      </c>
      <c r="M277" s="233">
        <v>6140737</v>
      </c>
      <c r="N277" s="233">
        <v>146421</v>
      </c>
      <c r="O277" s="233">
        <v>863335</v>
      </c>
      <c r="P277" s="233">
        <v>9587872</v>
      </c>
      <c r="Q277" s="233">
        <v>28493</v>
      </c>
      <c r="R277" s="233">
        <v>31064201</v>
      </c>
      <c r="S277" s="233">
        <v>978730</v>
      </c>
      <c r="T277" s="233">
        <v>820994</v>
      </c>
      <c r="U277" s="233">
        <v>157736</v>
      </c>
      <c r="V277" s="233">
        <v>27764379</v>
      </c>
      <c r="W277" s="233">
        <v>6136971</v>
      </c>
      <c r="X277" s="233">
        <v>146304</v>
      </c>
      <c r="Y277" s="233">
        <v>863335</v>
      </c>
      <c r="Z277" s="233">
        <v>9583098</v>
      </c>
      <c r="AA277" s="233">
        <v>115</v>
      </c>
      <c r="AB277" s="233">
        <v>46832</v>
      </c>
      <c r="AC277" s="233">
        <v>2</v>
      </c>
      <c r="AD277" s="233">
        <v>0</v>
      </c>
      <c r="AE277" s="233">
        <v>2</v>
      </c>
      <c r="AF277" s="233">
        <v>45941</v>
      </c>
      <c r="AG277" s="233">
        <v>3766</v>
      </c>
      <c r="AH277" s="233">
        <v>117</v>
      </c>
      <c r="AI277" s="233">
        <v>0</v>
      </c>
      <c r="AJ277" s="233">
        <v>4773</v>
      </c>
    </row>
    <row r="278" spans="1:36">
      <c r="A278" s="240">
        <v>1</v>
      </c>
      <c r="B278" s="241" t="s">
        <v>3997</v>
      </c>
      <c r="C278" s="241" t="s">
        <v>3432</v>
      </c>
      <c r="D278" s="241" t="s">
        <v>4532</v>
      </c>
      <c r="E278" s="241">
        <v>6</v>
      </c>
      <c r="F278" s="242" t="s">
        <v>4533</v>
      </c>
      <c r="G278" s="233">
        <v>4794</v>
      </c>
      <c r="H278" s="233">
        <v>2326503</v>
      </c>
      <c r="I278" s="233">
        <v>57235</v>
      </c>
      <c r="J278" s="233">
        <v>25214</v>
      </c>
      <c r="K278" s="233">
        <v>32021</v>
      </c>
      <c r="L278" s="233">
        <v>2114440</v>
      </c>
      <c r="M278" s="233">
        <v>542586</v>
      </c>
      <c r="N278" s="233">
        <v>14231</v>
      </c>
      <c r="O278" s="233">
        <v>86791</v>
      </c>
      <c r="P278" s="233">
        <v>768880</v>
      </c>
      <c r="Q278" s="233">
        <v>4595</v>
      </c>
      <c r="R278" s="233">
        <v>2148838</v>
      </c>
      <c r="S278" s="233">
        <v>57221</v>
      </c>
      <c r="T278" s="233">
        <v>25208</v>
      </c>
      <c r="U278" s="233">
        <v>32013</v>
      </c>
      <c r="V278" s="233">
        <v>1950802</v>
      </c>
      <c r="W278" s="233">
        <v>508615</v>
      </c>
      <c r="X278" s="233">
        <v>12838</v>
      </c>
      <c r="Y278" s="233">
        <v>86775</v>
      </c>
      <c r="Z278" s="233">
        <v>719488</v>
      </c>
      <c r="AA278" s="233">
        <v>199</v>
      </c>
      <c r="AB278" s="233">
        <v>177665</v>
      </c>
      <c r="AC278" s="233">
        <v>14</v>
      </c>
      <c r="AD278" s="233">
        <v>6</v>
      </c>
      <c r="AE278" s="233">
        <v>8</v>
      </c>
      <c r="AF278" s="233">
        <v>163638</v>
      </c>
      <c r="AG278" s="233">
        <v>33972</v>
      </c>
      <c r="AH278" s="233">
        <v>1393</v>
      </c>
      <c r="AI278" s="233">
        <v>16</v>
      </c>
      <c r="AJ278" s="233">
        <v>49392</v>
      </c>
    </row>
    <row r="279" spans="1:36">
      <c r="A279" s="240">
        <v>1</v>
      </c>
      <c r="B279" s="241" t="s">
        <v>3997</v>
      </c>
      <c r="C279" s="241" t="s">
        <v>4455</v>
      </c>
      <c r="D279" s="241" t="s">
        <v>4534</v>
      </c>
      <c r="E279" s="241">
        <v>7</v>
      </c>
      <c r="F279" s="242" t="s">
        <v>4535</v>
      </c>
      <c r="G279" s="233">
        <v>2620</v>
      </c>
      <c r="H279" s="233">
        <v>1298679</v>
      </c>
      <c r="I279" s="233">
        <v>47365</v>
      </c>
      <c r="J279" s="233">
        <v>20728</v>
      </c>
      <c r="K279" s="233">
        <v>26637</v>
      </c>
      <c r="L279" s="233">
        <v>1181192</v>
      </c>
      <c r="M279" s="233">
        <v>328464</v>
      </c>
      <c r="N279" s="233">
        <v>8098</v>
      </c>
      <c r="O279" s="233">
        <v>78627</v>
      </c>
      <c r="P279" s="233">
        <v>454048</v>
      </c>
      <c r="Q279" s="233">
        <v>2584</v>
      </c>
      <c r="R279" s="233">
        <v>1276971</v>
      </c>
      <c r="S279" s="233">
        <v>47360</v>
      </c>
      <c r="T279" s="233">
        <v>20723</v>
      </c>
      <c r="U279" s="233">
        <v>26637</v>
      </c>
      <c r="V279" s="233">
        <v>1160952</v>
      </c>
      <c r="W279" s="233">
        <v>320367</v>
      </c>
      <c r="X279" s="233">
        <v>7745</v>
      </c>
      <c r="Y279" s="233">
        <v>78627</v>
      </c>
      <c r="Z279" s="233">
        <v>444132</v>
      </c>
      <c r="AA279" s="233">
        <v>36</v>
      </c>
      <c r="AB279" s="233">
        <v>21707</v>
      </c>
      <c r="AC279" s="233">
        <v>6</v>
      </c>
      <c r="AD279" s="233">
        <v>6</v>
      </c>
      <c r="AE279" s="233">
        <v>0</v>
      </c>
      <c r="AF279" s="233">
        <v>20240</v>
      </c>
      <c r="AG279" s="233">
        <v>8096</v>
      </c>
      <c r="AH279" s="233">
        <v>353</v>
      </c>
      <c r="AI279" s="233">
        <v>0</v>
      </c>
      <c r="AJ279" s="233">
        <v>9916</v>
      </c>
    </row>
    <row r="280" spans="1:36">
      <c r="A280" s="240">
        <v>1</v>
      </c>
      <c r="B280" s="241" t="s">
        <v>3997</v>
      </c>
      <c r="C280" s="241" t="s">
        <v>4455</v>
      </c>
      <c r="D280" s="241" t="s">
        <v>4536</v>
      </c>
      <c r="E280" s="241">
        <v>7</v>
      </c>
      <c r="F280" s="242" t="s">
        <v>4537</v>
      </c>
      <c r="G280" s="233">
        <v>905</v>
      </c>
      <c r="H280" s="233">
        <v>613864</v>
      </c>
      <c r="I280" s="233">
        <v>5664</v>
      </c>
      <c r="J280" s="233">
        <v>4277</v>
      </c>
      <c r="K280" s="233">
        <v>1387</v>
      </c>
      <c r="L280" s="233">
        <v>554553</v>
      </c>
      <c r="M280" s="233">
        <v>118564</v>
      </c>
      <c r="N280" s="233">
        <v>3031</v>
      </c>
      <c r="O280" s="233">
        <v>4657</v>
      </c>
      <c r="P280" s="233">
        <v>180906</v>
      </c>
      <c r="Q280" s="233">
        <v>797</v>
      </c>
      <c r="R280" s="233">
        <v>488996</v>
      </c>
      <c r="S280" s="233">
        <v>5656</v>
      </c>
      <c r="T280" s="233">
        <v>4277</v>
      </c>
      <c r="U280" s="233">
        <v>1379</v>
      </c>
      <c r="V280" s="233">
        <v>439530</v>
      </c>
      <c r="W280" s="233">
        <v>99690</v>
      </c>
      <c r="X280" s="233">
        <v>2171</v>
      </c>
      <c r="Y280" s="233">
        <v>4641</v>
      </c>
      <c r="Z280" s="233">
        <v>151327</v>
      </c>
      <c r="AA280" s="233">
        <v>108</v>
      </c>
      <c r="AB280" s="233">
        <v>124868</v>
      </c>
      <c r="AC280" s="233">
        <v>8</v>
      </c>
      <c r="AD280" s="233">
        <v>0</v>
      </c>
      <c r="AE280" s="233">
        <v>8</v>
      </c>
      <c r="AF280" s="233">
        <v>115024</v>
      </c>
      <c r="AG280" s="233">
        <v>18874</v>
      </c>
      <c r="AH280" s="233">
        <v>860</v>
      </c>
      <c r="AI280" s="233">
        <v>16</v>
      </c>
      <c r="AJ280" s="233">
        <v>29578</v>
      </c>
    </row>
    <row r="281" spans="1:36">
      <c r="A281" s="240">
        <v>1</v>
      </c>
      <c r="B281" s="241" t="s">
        <v>3997</v>
      </c>
      <c r="C281" s="241" t="s">
        <v>4455</v>
      </c>
      <c r="D281" s="241" t="s">
        <v>4538</v>
      </c>
      <c r="E281" s="241">
        <v>7</v>
      </c>
      <c r="F281" s="242" t="s">
        <v>4539</v>
      </c>
      <c r="G281" s="233">
        <v>1267</v>
      </c>
      <c r="H281" s="233">
        <v>408888</v>
      </c>
      <c r="I281" s="233">
        <v>337</v>
      </c>
      <c r="J281" s="233">
        <v>208</v>
      </c>
      <c r="K281" s="233">
        <v>129</v>
      </c>
      <c r="L281" s="233">
        <v>373882</v>
      </c>
      <c r="M281" s="233">
        <v>94791</v>
      </c>
      <c r="N281" s="233">
        <v>3094</v>
      </c>
      <c r="O281" s="233">
        <v>1</v>
      </c>
      <c r="P281" s="233">
        <v>132892</v>
      </c>
      <c r="Q281" s="233">
        <v>1212</v>
      </c>
      <c r="R281" s="233">
        <v>377798</v>
      </c>
      <c r="S281" s="233">
        <v>337</v>
      </c>
      <c r="T281" s="233">
        <v>208</v>
      </c>
      <c r="U281" s="233">
        <v>129</v>
      </c>
      <c r="V281" s="233">
        <v>345508</v>
      </c>
      <c r="W281" s="233">
        <v>87790</v>
      </c>
      <c r="X281" s="233">
        <v>2914</v>
      </c>
      <c r="Y281" s="233">
        <v>1</v>
      </c>
      <c r="Z281" s="233">
        <v>122995</v>
      </c>
      <c r="AA281" s="233">
        <v>55</v>
      </c>
      <c r="AB281" s="233">
        <v>31090</v>
      </c>
      <c r="AC281" s="233">
        <v>0</v>
      </c>
      <c r="AD281" s="233">
        <v>0</v>
      </c>
      <c r="AE281" s="233">
        <v>0</v>
      </c>
      <c r="AF281" s="233">
        <v>28374</v>
      </c>
      <c r="AG281" s="233">
        <v>7001</v>
      </c>
      <c r="AH281" s="233">
        <v>180</v>
      </c>
      <c r="AI281" s="233">
        <v>0</v>
      </c>
      <c r="AJ281" s="233">
        <v>9897</v>
      </c>
    </row>
    <row r="282" spans="1:36">
      <c r="A282" s="240">
        <v>1</v>
      </c>
      <c r="B282" s="241" t="s">
        <v>3997</v>
      </c>
      <c r="C282" s="241" t="s">
        <v>3172</v>
      </c>
      <c r="D282" s="241" t="s">
        <v>4540</v>
      </c>
      <c r="E282" s="241">
        <v>5</v>
      </c>
      <c r="F282" s="242" t="s">
        <v>4541</v>
      </c>
      <c r="G282" s="233">
        <v>7896</v>
      </c>
      <c r="H282" s="233">
        <v>9468122</v>
      </c>
      <c r="I282" s="233">
        <v>67256</v>
      </c>
      <c r="J282" s="233">
        <v>26216</v>
      </c>
      <c r="K282" s="233">
        <v>41040</v>
      </c>
      <c r="L282" s="233">
        <v>8722990</v>
      </c>
      <c r="M282" s="233">
        <v>1668955</v>
      </c>
      <c r="N282" s="233">
        <v>36390</v>
      </c>
      <c r="O282" s="233">
        <v>38440</v>
      </c>
      <c r="P282" s="233">
        <v>2450477</v>
      </c>
      <c r="Q282" s="233">
        <v>7760</v>
      </c>
      <c r="R282" s="233">
        <v>9456827</v>
      </c>
      <c r="S282" s="233">
        <v>67254</v>
      </c>
      <c r="T282" s="233">
        <v>26216</v>
      </c>
      <c r="U282" s="233">
        <v>41038</v>
      </c>
      <c r="V282" s="233">
        <v>8711982</v>
      </c>
      <c r="W282" s="233">
        <v>1667231</v>
      </c>
      <c r="X282" s="233">
        <v>36260</v>
      </c>
      <c r="Y282" s="233">
        <v>38440</v>
      </c>
      <c r="Z282" s="233">
        <v>2448335</v>
      </c>
      <c r="AA282" s="233">
        <v>136</v>
      </c>
      <c r="AB282" s="233">
        <v>11294</v>
      </c>
      <c r="AC282" s="233">
        <v>2</v>
      </c>
      <c r="AD282" s="233">
        <v>0</v>
      </c>
      <c r="AE282" s="233">
        <v>2</v>
      </c>
      <c r="AF282" s="233">
        <v>11008</v>
      </c>
      <c r="AG282" s="233">
        <v>1724</v>
      </c>
      <c r="AH282" s="233">
        <v>130</v>
      </c>
      <c r="AI282" s="233">
        <v>0</v>
      </c>
      <c r="AJ282" s="233">
        <v>2141</v>
      </c>
    </row>
    <row r="283" spans="1:36">
      <c r="A283" s="240">
        <v>1</v>
      </c>
      <c r="B283" s="241" t="s">
        <v>3997</v>
      </c>
      <c r="C283" s="241" t="s">
        <v>3432</v>
      </c>
      <c r="D283" s="241" t="s">
        <v>4542</v>
      </c>
      <c r="E283" s="241">
        <v>6</v>
      </c>
      <c r="F283" s="242" t="s">
        <v>4543</v>
      </c>
      <c r="G283" s="233">
        <v>7896</v>
      </c>
      <c r="H283" s="233">
        <v>9468122</v>
      </c>
      <c r="I283" s="233">
        <v>67256</v>
      </c>
      <c r="J283" s="233">
        <v>26216</v>
      </c>
      <c r="K283" s="233">
        <v>41040</v>
      </c>
      <c r="L283" s="233">
        <v>8722990</v>
      </c>
      <c r="M283" s="233">
        <v>1668955</v>
      </c>
      <c r="N283" s="233">
        <v>36390</v>
      </c>
      <c r="O283" s="233">
        <v>38440</v>
      </c>
      <c r="P283" s="233">
        <v>2450477</v>
      </c>
      <c r="Q283" s="233">
        <v>7760</v>
      </c>
      <c r="R283" s="233">
        <v>9456827</v>
      </c>
      <c r="S283" s="233">
        <v>67254</v>
      </c>
      <c r="T283" s="233">
        <v>26216</v>
      </c>
      <c r="U283" s="233">
        <v>41038</v>
      </c>
      <c r="V283" s="233">
        <v>8711982</v>
      </c>
      <c r="W283" s="233">
        <v>1667231</v>
      </c>
      <c r="X283" s="233">
        <v>36260</v>
      </c>
      <c r="Y283" s="233">
        <v>38440</v>
      </c>
      <c r="Z283" s="233">
        <v>2448335</v>
      </c>
      <c r="AA283" s="233">
        <v>136</v>
      </c>
      <c r="AB283" s="233">
        <v>11294</v>
      </c>
      <c r="AC283" s="233">
        <v>2</v>
      </c>
      <c r="AD283" s="233">
        <v>0</v>
      </c>
      <c r="AE283" s="233">
        <v>2</v>
      </c>
      <c r="AF283" s="233">
        <v>11008</v>
      </c>
      <c r="AG283" s="233">
        <v>1724</v>
      </c>
      <c r="AH283" s="233">
        <v>130</v>
      </c>
      <c r="AI283" s="233">
        <v>0</v>
      </c>
      <c r="AJ283" s="233">
        <v>2141</v>
      </c>
    </row>
    <row r="284" spans="1:36">
      <c r="A284" s="240">
        <v>1</v>
      </c>
      <c r="B284" s="241" t="s">
        <v>3997</v>
      </c>
      <c r="C284" s="241" t="s">
        <v>3459</v>
      </c>
      <c r="D284" s="241" t="s">
        <v>4544</v>
      </c>
      <c r="E284" s="241">
        <v>3</v>
      </c>
      <c r="F284" s="242" t="s">
        <v>4545</v>
      </c>
      <c r="G284" s="233">
        <v>58059</v>
      </c>
      <c r="H284" s="233">
        <v>66309240</v>
      </c>
      <c r="I284" s="233">
        <v>509971</v>
      </c>
      <c r="J284" s="233">
        <v>326819</v>
      </c>
      <c r="K284" s="233">
        <v>183152</v>
      </c>
      <c r="L284" s="233">
        <v>64432958</v>
      </c>
      <c r="M284" s="233">
        <v>11863532</v>
      </c>
      <c r="N284" s="233">
        <v>775209</v>
      </c>
      <c r="O284" s="233">
        <v>353538</v>
      </c>
      <c r="P284" s="233">
        <v>14515022</v>
      </c>
      <c r="Q284" s="233">
        <v>56336</v>
      </c>
      <c r="R284" s="233">
        <v>63291844</v>
      </c>
      <c r="S284" s="233">
        <v>504191</v>
      </c>
      <c r="T284" s="233">
        <v>324897</v>
      </c>
      <c r="U284" s="233">
        <v>179294</v>
      </c>
      <c r="V284" s="233">
        <v>61813119</v>
      </c>
      <c r="W284" s="233">
        <v>11780829</v>
      </c>
      <c r="X284" s="233">
        <v>759794</v>
      </c>
      <c r="Y284" s="233">
        <v>350864</v>
      </c>
      <c r="Z284" s="233">
        <v>14019347</v>
      </c>
      <c r="AA284" s="233">
        <v>1723</v>
      </c>
      <c r="AB284" s="233">
        <v>3017396</v>
      </c>
      <c r="AC284" s="233">
        <v>5780</v>
      </c>
      <c r="AD284" s="233">
        <v>1923</v>
      </c>
      <c r="AE284" s="233">
        <v>3858</v>
      </c>
      <c r="AF284" s="233">
        <v>2619838</v>
      </c>
      <c r="AG284" s="233">
        <v>82703</v>
      </c>
      <c r="AH284" s="233">
        <v>15415</v>
      </c>
      <c r="AI284" s="233">
        <v>2673</v>
      </c>
      <c r="AJ284" s="233">
        <v>495675</v>
      </c>
    </row>
    <row r="285" spans="1:36">
      <c r="A285" s="240">
        <v>1</v>
      </c>
      <c r="B285" s="241" t="s">
        <v>3997</v>
      </c>
      <c r="C285" s="241" t="s">
        <v>3172</v>
      </c>
      <c r="D285" s="241" t="s">
        <v>4546</v>
      </c>
      <c r="E285" s="241">
        <v>5</v>
      </c>
      <c r="F285" s="242" t="s">
        <v>4547</v>
      </c>
      <c r="G285" s="233">
        <v>304</v>
      </c>
      <c r="H285" s="233">
        <v>5812172</v>
      </c>
      <c r="I285" s="233">
        <v>14781</v>
      </c>
      <c r="J285" s="233">
        <v>731</v>
      </c>
      <c r="K285" s="233">
        <v>14051</v>
      </c>
      <c r="L285" s="233">
        <v>6031255</v>
      </c>
      <c r="M285" s="233">
        <v>1240486</v>
      </c>
      <c r="N285" s="233">
        <v>305361</v>
      </c>
      <c r="O285" s="233">
        <v>17646</v>
      </c>
      <c r="P285" s="233">
        <v>1326764</v>
      </c>
      <c r="Q285" s="233">
        <v>292</v>
      </c>
      <c r="R285" s="235" t="s">
        <v>4020</v>
      </c>
      <c r="S285" s="235" t="s">
        <v>4020</v>
      </c>
      <c r="T285" s="235" t="s">
        <v>4020</v>
      </c>
      <c r="U285" s="235" t="s">
        <v>4020</v>
      </c>
      <c r="V285" s="235" t="s">
        <v>4020</v>
      </c>
      <c r="W285" s="235" t="s">
        <v>4020</v>
      </c>
      <c r="X285" s="235" t="s">
        <v>4020</v>
      </c>
      <c r="Y285" s="235" t="s">
        <v>4020</v>
      </c>
      <c r="Z285" s="235" t="s">
        <v>4020</v>
      </c>
      <c r="AA285" s="233">
        <v>12</v>
      </c>
      <c r="AB285" s="235" t="s">
        <v>4020</v>
      </c>
      <c r="AC285" s="235" t="s">
        <v>4020</v>
      </c>
      <c r="AD285" s="235" t="s">
        <v>4020</v>
      </c>
      <c r="AE285" s="235" t="s">
        <v>4020</v>
      </c>
      <c r="AF285" s="235" t="s">
        <v>4020</v>
      </c>
      <c r="AG285" s="235" t="s">
        <v>4020</v>
      </c>
      <c r="AH285" s="235" t="s">
        <v>4020</v>
      </c>
      <c r="AI285" s="235" t="s">
        <v>4020</v>
      </c>
      <c r="AJ285" s="235" t="s">
        <v>4020</v>
      </c>
    </row>
    <row r="286" spans="1:36">
      <c r="A286" s="240">
        <v>1</v>
      </c>
      <c r="B286" s="241" t="s">
        <v>3997</v>
      </c>
      <c r="C286" s="241" t="s">
        <v>3432</v>
      </c>
      <c r="D286" s="241" t="s">
        <v>4548</v>
      </c>
      <c r="E286" s="241">
        <v>6</v>
      </c>
      <c r="F286" s="242" t="s">
        <v>4549</v>
      </c>
      <c r="G286" s="233">
        <v>304</v>
      </c>
      <c r="H286" s="233">
        <v>5812172</v>
      </c>
      <c r="I286" s="233">
        <v>14781</v>
      </c>
      <c r="J286" s="233">
        <v>731</v>
      </c>
      <c r="K286" s="233">
        <v>14051</v>
      </c>
      <c r="L286" s="233">
        <v>6031255</v>
      </c>
      <c r="M286" s="233">
        <v>1240486</v>
      </c>
      <c r="N286" s="233">
        <v>305361</v>
      </c>
      <c r="O286" s="233">
        <v>17646</v>
      </c>
      <c r="P286" s="233">
        <v>1326764</v>
      </c>
      <c r="Q286" s="233">
        <v>292</v>
      </c>
      <c r="R286" s="235" t="s">
        <v>4020</v>
      </c>
      <c r="S286" s="235" t="s">
        <v>4020</v>
      </c>
      <c r="T286" s="235" t="s">
        <v>4020</v>
      </c>
      <c r="U286" s="235" t="s">
        <v>4020</v>
      </c>
      <c r="V286" s="235" t="s">
        <v>4020</v>
      </c>
      <c r="W286" s="235" t="s">
        <v>4020</v>
      </c>
      <c r="X286" s="235" t="s">
        <v>4020</v>
      </c>
      <c r="Y286" s="235" t="s">
        <v>4020</v>
      </c>
      <c r="Z286" s="235" t="s">
        <v>4020</v>
      </c>
      <c r="AA286" s="233">
        <v>12</v>
      </c>
      <c r="AB286" s="235" t="s">
        <v>4020</v>
      </c>
      <c r="AC286" s="235" t="s">
        <v>4020</v>
      </c>
      <c r="AD286" s="235" t="s">
        <v>4020</v>
      </c>
      <c r="AE286" s="235" t="s">
        <v>4020</v>
      </c>
      <c r="AF286" s="235" t="s">
        <v>4020</v>
      </c>
      <c r="AG286" s="235" t="s">
        <v>4020</v>
      </c>
      <c r="AH286" s="235" t="s">
        <v>4020</v>
      </c>
      <c r="AI286" s="235" t="s">
        <v>4020</v>
      </c>
      <c r="AJ286" s="235" t="s">
        <v>4020</v>
      </c>
    </row>
    <row r="287" spans="1:36">
      <c r="A287" s="240">
        <v>1</v>
      </c>
      <c r="B287" s="241" t="s">
        <v>3997</v>
      </c>
      <c r="C287" s="241" t="s">
        <v>3172</v>
      </c>
      <c r="D287" s="241" t="s">
        <v>4550</v>
      </c>
      <c r="E287" s="241">
        <v>5</v>
      </c>
      <c r="F287" s="242" t="s">
        <v>4551</v>
      </c>
      <c r="G287" s="233">
        <v>8059</v>
      </c>
      <c r="H287" s="233">
        <v>2221540</v>
      </c>
      <c r="I287" s="233">
        <v>30878</v>
      </c>
      <c r="J287" s="233">
        <v>11001</v>
      </c>
      <c r="K287" s="233">
        <v>19877</v>
      </c>
      <c r="L287" s="233">
        <v>2386502</v>
      </c>
      <c r="M287" s="233">
        <v>1198288</v>
      </c>
      <c r="N287" s="233">
        <v>32790</v>
      </c>
      <c r="O287" s="233">
        <v>23712</v>
      </c>
      <c r="P287" s="233">
        <v>1066117</v>
      </c>
      <c r="Q287" s="233">
        <v>7739</v>
      </c>
      <c r="R287" s="233">
        <v>2210145</v>
      </c>
      <c r="S287" s="233">
        <v>30875</v>
      </c>
      <c r="T287" s="233">
        <v>11001</v>
      </c>
      <c r="U287" s="233">
        <v>19874</v>
      </c>
      <c r="V287" s="233">
        <v>2375459</v>
      </c>
      <c r="W287" s="233">
        <v>1195325</v>
      </c>
      <c r="X287" s="233">
        <v>32678</v>
      </c>
      <c r="Y287" s="233">
        <v>23712</v>
      </c>
      <c r="Z287" s="233">
        <v>1062689</v>
      </c>
      <c r="AA287" s="233">
        <v>320</v>
      </c>
      <c r="AB287" s="233">
        <v>11395</v>
      </c>
      <c r="AC287" s="233">
        <v>3</v>
      </c>
      <c r="AD287" s="233">
        <v>0</v>
      </c>
      <c r="AE287" s="233">
        <v>3</v>
      </c>
      <c r="AF287" s="233">
        <v>11043</v>
      </c>
      <c r="AG287" s="233">
        <v>2963</v>
      </c>
      <c r="AH287" s="233">
        <v>112</v>
      </c>
      <c r="AI287" s="233">
        <v>0</v>
      </c>
      <c r="AJ287" s="233">
        <v>3427</v>
      </c>
    </row>
    <row r="288" spans="1:36">
      <c r="A288" s="240">
        <v>1</v>
      </c>
      <c r="B288" s="241" t="s">
        <v>3997</v>
      </c>
      <c r="C288" s="241" t="s">
        <v>3432</v>
      </c>
      <c r="D288" s="241" t="s">
        <v>4552</v>
      </c>
      <c r="E288" s="241">
        <v>6</v>
      </c>
      <c r="F288" s="242" t="s">
        <v>4553</v>
      </c>
      <c r="G288" s="233">
        <v>476</v>
      </c>
      <c r="H288" s="233">
        <v>917730</v>
      </c>
      <c r="I288" s="233">
        <v>23851</v>
      </c>
      <c r="J288" s="233">
        <v>8943</v>
      </c>
      <c r="K288" s="233">
        <v>14908</v>
      </c>
      <c r="L288" s="233">
        <v>991530</v>
      </c>
      <c r="M288" s="233">
        <v>434837</v>
      </c>
      <c r="N288" s="233">
        <v>14253</v>
      </c>
      <c r="O288" s="233">
        <v>18708</v>
      </c>
      <c r="P288" s="233">
        <v>375289</v>
      </c>
      <c r="Q288" s="233">
        <v>447</v>
      </c>
      <c r="R288" s="233">
        <v>916979</v>
      </c>
      <c r="S288" s="233">
        <v>23851</v>
      </c>
      <c r="T288" s="233">
        <v>8943</v>
      </c>
      <c r="U288" s="233">
        <v>14908</v>
      </c>
      <c r="V288" s="233">
        <v>990828</v>
      </c>
      <c r="W288" s="233">
        <v>434595</v>
      </c>
      <c r="X288" s="233">
        <v>14235</v>
      </c>
      <c r="Y288" s="233">
        <v>18708</v>
      </c>
      <c r="Z288" s="233">
        <v>374981</v>
      </c>
      <c r="AA288" s="233">
        <v>29</v>
      </c>
      <c r="AB288" s="233">
        <v>751</v>
      </c>
      <c r="AC288" s="233">
        <v>0</v>
      </c>
      <c r="AD288" s="233">
        <v>0</v>
      </c>
      <c r="AE288" s="233">
        <v>0</v>
      </c>
      <c r="AF288" s="233">
        <v>703</v>
      </c>
      <c r="AG288" s="233">
        <v>242</v>
      </c>
      <c r="AH288" s="233">
        <v>18</v>
      </c>
      <c r="AI288" s="233">
        <v>0</v>
      </c>
      <c r="AJ288" s="233">
        <v>308</v>
      </c>
    </row>
    <row r="289" spans="1:36">
      <c r="A289" s="240">
        <v>1</v>
      </c>
      <c r="B289" s="241" t="s">
        <v>3997</v>
      </c>
      <c r="C289" s="241" t="s">
        <v>3432</v>
      </c>
      <c r="D289" s="241" t="s">
        <v>4554</v>
      </c>
      <c r="E289" s="241">
        <v>6</v>
      </c>
      <c r="F289" s="242" t="s">
        <v>4555</v>
      </c>
      <c r="G289" s="233">
        <v>5604</v>
      </c>
      <c r="H289" s="233">
        <v>1019857</v>
      </c>
      <c r="I289" s="233">
        <v>3275</v>
      </c>
      <c r="J289" s="233">
        <v>97</v>
      </c>
      <c r="K289" s="233">
        <v>3178</v>
      </c>
      <c r="L289" s="233">
        <v>1063599</v>
      </c>
      <c r="M289" s="233">
        <v>629348</v>
      </c>
      <c r="N289" s="233">
        <v>12148</v>
      </c>
      <c r="O289" s="233">
        <v>2334</v>
      </c>
      <c r="P289" s="233">
        <v>597754</v>
      </c>
      <c r="Q289" s="233">
        <v>5336</v>
      </c>
      <c r="R289" s="233">
        <v>1009624</v>
      </c>
      <c r="S289" s="233">
        <v>3272</v>
      </c>
      <c r="T289" s="233">
        <v>97</v>
      </c>
      <c r="U289" s="233">
        <v>3175</v>
      </c>
      <c r="V289" s="233">
        <v>1053515</v>
      </c>
      <c r="W289" s="233">
        <v>626754</v>
      </c>
      <c r="X289" s="233">
        <v>12059</v>
      </c>
      <c r="Y289" s="233">
        <v>2334</v>
      </c>
      <c r="Z289" s="233">
        <v>594922</v>
      </c>
      <c r="AA289" s="233">
        <v>268</v>
      </c>
      <c r="AB289" s="233">
        <v>10233</v>
      </c>
      <c r="AC289" s="233">
        <v>3</v>
      </c>
      <c r="AD289" s="233">
        <v>0</v>
      </c>
      <c r="AE289" s="233">
        <v>3</v>
      </c>
      <c r="AF289" s="233">
        <v>10084</v>
      </c>
      <c r="AG289" s="233">
        <v>2594</v>
      </c>
      <c r="AH289" s="233">
        <v>89</v>
      </c>
      <c r="AI289" s="233">
        <v>0</v>
      </c>
      <c r="AJ289" s="233">
        <v>2832</v>
      </c>
    </row>
    <row r="290" spans="1:36">
      <c r="A290" s="240">
        <v>1</v>
      </c>
      <c r="B290" s="241" t="s">
        <v>3997</v>
      </c>
      <c r="C290" s="241" t="s">
        <v>3432</v>
      </c>
      <c r="D290" s="241" t="s">
        <v>4556</v>
      </c>
      <c r="E290" s="241">
        <v>6</v>
      </c>
      <c r="F290" s="242" t="s">
        <v>4557</v>
      </c>
      <c r="G290" s="233">
        <v>1818</v>
      </c>
      <c r="H290" s="233">
        <v>247094</v>
      </c>
      <c r="I290" s="233">
        <v>3333</v>
      </c>
      <c r="J290" s="233">
        <v>1688</v>
      </c>
      <c r="K290" s="233">
        <v>1645</v>
      </c>
      <c r="L290" s="233">
        <v>295218</v>
      </c>
      <c r="M290" s="233">
        <v>116861</v>
      </c>
      <c r="N290" s="233">
        <v>5213</v>
      </c>
      <c r="O290" s="233">
        <v>2371</v>
      </c>
      <c r="P290" s="233">
        <v>73950</v>
      </c>
      <c r="Q290" s="233">
        <v>1812</v>
      </c>
      <c r="R290" s="233">
        <v>246823</v>
      </c>
      <c r="S290" s="233">
        <v>3333</v>
      </c>
      <c r="T290" s="233">
        <v>1688</v>
      </c>
      <c r="U290" s="233">
        <v>1645</v>
      </c>
      <c r="V290" s="233">
        <v>295110</v>
      </c>
      <c r="W290" s="233">
        <v>116815</v>
      </c>
      <c r="X290" s="233">
        <v>5212</v>
      </c>
      <c r="Y290" s="233">
        <v>2371</v>
      </c>
      <c r="Z290" s="233">
        <v>73739</v>
      </c>
      <c r="AA290" s="233">
        <v>6</v>
      </c>
      <c r="AB290" s="233">
        <v>271</v>
      </c>
      <c r="AC290" s="233">
        <v>0</v>
      </c>
      <c r="AD290" s="233">
        <v>0</v>
      </c>
      <c r="AE290" s="233">
        <v>0</v>
      </c>
      <c r="AF290" s="233">
        <v>107</v>
      </c>
      <c r="AG290" s="233">
        <v>46</v>
      </c>
      <c r="AH290" s="233">
        <v>1</v>
      </c>
      <c r="AI290" s="233">
        <v>0</v>
      </c>
      <c r="AJ290" s="233">
        <v>211</v>
      </c>
    </row>
    <row r="291" spans="1:36">
      <c r="A291" s="240">
        <v>1</v>
      </c>
      <c r="B291" s="241" t="s">
        <v>3997</v>
      </c>
      <c r="C291" s="241" t="s">
        <v>3432</v>
      </c>
      <c r="D291" s="241" t="s">
        <v>4558</v>
      </c>
      <c r="E291" s="241">
        <v>6</v>
      </c>
      <c r="F291" s="242" t="s">
        <v>4559</v>
      </c>
      <c r="G291" s="233">
        <v>161</v>
      </c>
      <c r="H291" s="233">
        <v>36860</v>
      </c>
      <c r="I291" s="233">
        <v>419</v>
      </c>
      <c r="J291" s="233">
        <v>273</v>
      </c>
      <c r="K291" s="233">
        <v>146</v>
      </c>
      <c r="L291" s="233">
        <v>36155</v>
      </c>
      <c r="M291" s="233">
        <v>17243</v>
      </c>
      <c r="N291" s="233">
        <v>1176</v>
      </c>
      <c r="O291" s="233">
        <v>300</v>
      </c>
      <c r="P291" s="233">
        <v>19123</v>
      </c>
      <c r="Q291" s="233">
        <v>144</v>
      </c>
      <c r="R291" s="233">
        <v>36720</v>
      </c>
      <c r="S291" s="233">
        <v>419</v>
      </c>
      <c r="T291" s="233">
        <v>273</v>
      </c>
      <c r="U291" s="233">
        <v>146</v>
      </c>
      <c r="V291" s="233">
        <v>36006</v>
      </c>
      <c r="W291" s="233">
        <v>17162</v>
      </c>
      <c r="X291" s="233">
        <v>1172</v>
      </c>
      <c r="Y291" s="233">
        <v>300</v>
      </c>
      <c r="Z291" s="233">
        <v>19047</v>
      </c>
      <c r="AA291" s="233">
        <v>17</v>
      </c>
      <c r="AB291" s="233">
        <v>140</v>
      </c>
      <c r="AC291" s="233">
        <v>0</v>
      </c>
      <c r="AD291" s="233">
        <v>0</v>
      </c>
      <c r="AE291" s="233">
        <v>0</v>
      </c>
      <c r="AF291" s="233">
        <v>148</v>
      </c>
      <c r="AG291" s="233">
        <v>81</v>
      </c>
      <c r="AH291" s="233">
        <v>4</v>
      </c>
      <c r="AI291" s="233">
        <v>0</v>
      </c>
      <c r="AJ291" s="233">
        <v>76</v>
      </c>
    </row>
    <row r="292" spans="1:36">
      <c r="A292" s="240">
        <v>1</v>
      </c>
      <c r="B292" s="241" t="s">
        <v>3997</v>
      </c>
      <c r="C292" s="241" t="s">
        <v>3172</v>
      </c>
      <c r="D292" s="241" t="s">
        <v>4560</v>
      </c>
      <c r="E292" s="241">
        <v>5</v>
      </c>
      <c r="F292" s="242" t="s">
        <v>4561</v>
      </c>
      <c r="G292" s="233">
        <v>37680</v>
      </c>
      <c r="H292" s="233">
        <v>28349074</v>
      </c>
      <c r="I292" s="233">
        <v>217153</v>
      </c>
      <c r="J292" s="233">
        <v>120598</v>
      </c>
      <c r="K292" s="233">
        <v>96555</v>
      </c>
      <c r="L292" s="233">
        <v>26766816</v>
      </c>
      <c r="M292" s="233">
        <v>6633824</v>
      </c>
      <c r="N292" s="233">
        <v>262535</v>
      </c>
      <c r="O292" s="233">
        <v>170608</v>
      </c>
      <c r="P292" s="233">
        <v>8478617</v>
      </c>
      <c r="Q292" s="233">
        <v>37451</v>
      </c>
      <c r="R292" s="233">
        <v>28297455</v>
      </c>
      <c r="S292" s="233">
        <v>216542</v>
      </c>
      <c r="T292" s="233">
        <v>119998</v>
      </c>
      <c r="U292" s="233">
        <v>96545</v>
      </c>
      <c r="V292" s="233">
        <v>26719069</v>
      </c>
      <c r="W292" s="233">
        <v>6627466</v>
      </c>
      <c r="X292" s="233">
        <v>262211</v>
      </c>
      <c r="Y292" s="233">
        <v>170604</v>
      </c>
      <c r="Z292" s="233">
        <v>8468063</v>
      </c>
      <c r="AA292" s="233">
        <v>229</v>
      </c>
      <c r="AB292" s="233">
        <v>51619</v>
      </c>
      <c r="AC292" s="233">
        <v>610</v>
      </c>
      <c r="AD292" s="233">
        <v>600</v>
      </c>
      <c r="AE292" s="233">
        <v>10</v>
      </c>
      <c r="AF292" s="233">
        <v>47748</v>
      </c>
      <c r="AG292" s="233">
        <v>6358</v>
      </c>
      <c r="AH292" s="233">
        <v>324</v>
      </c>
      <c r="AI292" s="233">
        <v>4</v>
      </c>
      <c r="AJ292" s="233">
        <v>10554</v>
      </c>
    </row>
    <row r="293" spans="1:36">
      <c r="A293" s="240">
        <v>1</v>
      </c>
      <c r="B293" s="241" t="s">
        <v>3997</v>
      </c>
      <c r="C293" s="241" t="s">
        <v>3432</v>
      </c>
      <c r="D293" s="241" t="s">
        <v>4562</v>
      </c>
      <c r="E293" s="241">
        <v>6</v>
      </c>
      <c r="F293" s="242" t="s">
        <v>4563</v>
      </c>
      <c r="G293" s="233">
        <v>34500</v>
      </c>
      <c r="H293" s="233">
        <v>26265185</v>
      </c>
      <c r="I293" s="233">
        <v>197186</v>
      </c>
      <c r="J293" s="233">
        <v>105427</v>
      </c>
      <c r="K293" s="233">
        <v>91760</v>
      </c>
      <c r="L293" s="233">
        <v>24786594</v>
      </c>
      <c r="M293" s="233">
        <v>6373653</v>
      </c>
      <c r="N293" s="233">
        <v>253256</v>
      </c>
      <c r="O293" s="233">
        <v>153187</v>
      </c>
      <c r="P293" s="233">
        <v>8105501</v>
      </c>
      <c r="Q293" s="233">
        <v>34343</v>
      </c>
      <c r="R293" s="233">
        <v>26226350</v>
      </c>
      <c r="S293" s="233">
        <v>196594</v>
      </c>
      <c r="T293" s="233">
        <v>104842</v>
      </c>
      <c r="U293" s="233">
        <v>91752</v>
      </c>
      <c r="V293" s="233">
        <v>24751001</v>
      </c>
      <c r="W293" s="233">
        <v>6368649</v>
      </c>
      <c r="X293" s="233">
        <v>252990</v>
      </c>
      <c r="Y293" s="233">
        <v>153184</v>
      </c>
      <c r="Z293" s="233">
        <v>8096988</v>
      </c>
      <c r="AA293" s="233">
        <v>157</v>
      </c>
      <c r="AB293" s="233">
        <v>38835</v>
      </c>
      <c r="AC293" s="233">
        <v>592</v>
      </c>
      <c r="AD293" s="233">
        <v>585</v>
      </c>
      <c r="AE293" s="233">
        <v>8</v>
      </c>
      <c r="AF293" s="233">
        <v>35593</v>
      </c>
      <c r="AG293" s="233">
        <v>5004</v>
      </c>
      <c r="AH293" s="233">
        <v>266</v>
      </c>
      <c r="AI293" s="233">
        <v>3</v>
      </c>
      <c r="AJ293" s="233">
        <v>8513</v>
      </c>
    </row>
    <row r="294" spans="1:36">
      <c r="A294" s="240">
        <v>1</v>
      </c>
      <c r="B294" s="241" t="s">
        <v>3997</v>
      </c>
      <c r="C294" s="241" t="s">
        <v>3432</v>
      </c>
      <c r="D294" s="241" t="s">
        <v>4564</v>
      </c>
      <c r="E294" s="241">
        <v>6</v>
      </c>
      <c r="F294" s="242" t="s">
        <v>4565</v>
      </c>
      <c r="G294" s="233">
        <v>904</v>
      </c>
      <c r="H294" s="233">
        <v>356054</v>
      </c>
      <c r="I294" s="233">
        <v>11130</v>
      </c>
      <c r="J294" s="233">
        <v>9419</v>
      </c>
      <c r="K294" s="233">
        <v>1711</v>
      </c>
      <c r="L294" s="233">
        <v>336808</v>
      </c>
      <c r="M294" s="233">
        <v>81524</v>
      </c>
      <c r="N294" s="233">
        <v>3809</v>
      </c>
      <c r="O294" s="233">
        <v>9488</v>
      </c>
      <c r="P294" s="233">
        <v>104579</v>
      </c>
      <c r="Q294" s="233">
        <v>891</v>
      </c>
      <c r="R294" s="233">
        <v>354839</v>
      </c>
      <c r="S294" s="233">
        <v>11130</v>
      </c>
      <c r="T294" s="233">
        <v>9419</v>
      </c>
      <c r="U294" s="233">
        <v>1711</v>
      </c>
      <c r="V294" s="233">
        <v>335687</v>
      </c>
      <c r="W294" s="233">
        <v>81244</v>
      </c>
      <c r="X294" s="233">
        <v>3780</v>
      </c>
      <c r="Y294" s="233">
        <v>9488</v>
      </c>
      <c r="Z294" s="233">
        <v>104177</v>
      </c>
      <c r="AA294" s="233">
        <v>13</v>
      </c>
      <c r="AB294" s="233">
        <v>1215</v>
      </c>
      <c r="AC294" s="233">
        <v>0</v>
      </c>
      <c r="AD294" s="233">
        <v>0</v>
      </c>
      <c r="AE294" s="233">
        <v>0</v>
      </c>
      <c r="AF294" s="233">
        <v>1121</v>
      </c>
      <c r="AG294" s="233">
        <v>279</v>
      </c>
      <c r="AH294" s="233">
        <v>29</v>
      </c>
      <c r="AI294" s="233">
        <v>0</v>
      </c>
      <c r="AJ294" s="233">
        <v>403</v>
      </c>
    </row>
    <row r="295" spans="1:36">
      <c r="A295" s="240">
        <v>1</v>
      </c>
      <c r="B295" s="241" t="s">
        <v>3997</v>
      </c>
      <c r="C295" s="241" t="s">
        <v>3432</v>
      </c>
      <c r="D295" s="241" t="s">
        <v>4566</v>
      </c>
      <c r="E295" s="241">
        <v>6</v>
      </c>
      <c r="F295" s="242" t="s">
        <v>4567</v>
      </c>
      <c r="G295" s="233">
        <v>2013</v>
      </c>
      <c r="H295" s="233">
        <v>304404</v>
      </c>
      <c r="I295" s="233">
        <v>1924</v>
      </c>
      <c r="J295" s="233">
        <v>249</v>
      </c>
      <c r="K295" s="233">
        <v>1674</v>
      </c>
      <c r="L295" s="233">
        <v>291442</v>
      </c>
      <c r="M295" s="233">
        <v>40611</v>
      </c>
      <c r="N295" s="233">
        <v>1858</v>
      </c>
      <c r="O295" s="233">
        <v>1426</v>
      </c>
      <c r="P295" s="233">
        <v>55431</v>
      </c>
      <c r="Q295" s="233">
        <v>1957</v>
      </c>
      <c r="R295" s="233">
        <v>292899</v>
      </c>
      <c r="S295" s="233">
        <v>1906</v>
      </c>
      <c r="T295" s="233">
        <v>234</v>
      </c>
      <c r="U295" s="233">
        <v>1672</v>
      </c>
      <c r="V295" s="233">
        <v>280473</v>
      </c>
      <c r="W295" s="233">
        <v>39583</v>
      </c>
      <c r="X295" s="233">
        <v>1832</v>
      </c>
      <c r="Y295" s="233">
        <v>1424</v>
      </c>
      <c r="Z295" s="233">
        <v>53841</v>
      </c>
      <c r="AA295" s="233">
        <v>56</v>
      </c>
      <c r="AB295" s="233">
        <v>11505</v>
      </c>
      <c r="AC295" s="233">
        <v>18</v>
      </c>
      <c r="AD295" s="233">
        <v>16</v>
      </c>
      <c r="AE295" s="233">
        <v>2</v>
      </c>
      <c r="AF295" s="233">
        <v>10969</v>
      </c>
      <c r="AG295" s="233">
        <v>1028</v>
      </c>
      <c r="AH295" s="233">
        <v>26</v>
      </c>
      <c r="AI295" s="233">
        <v>2</v>
      </c>
      <c r="AJ295" s="233">
        <v>1590</v>
      </c>
    </row>
    <row r="296" spans="1:36">
      <c r="A296" s="240">
        <v>1</v>
      </c>
      <c r="B296" s="241" t="s">
        <v>3997</v>
      </c>
      <c r="C296" s="241" t="s">
        <v>3432</v>
      </c>
      <c r="D296" s="241" t="s">
        <v>4568</v>
      </c>
      <c r="E296" s="241">
        <v>6</v>
      </c>
      <c r="F296" s="242" t="s">
        <v>4569</v>
      </c>
      <c r="G296" s="233">
        <v>228</v>
      </c>
      <c r="H296" s="233">
        <v>1413475</v>
      </c>
      <c r="I296" s="233">
        <v>6909</v>
      </c>
      <c r="J296" s="233">
        <v>5499</v>
      </c>
      <c r="K296" s="233">
        <v>1410</v>
      </c>
      <c r="L296" s="233">
        <v>1342406</v>
      </c>
      <c r="M296" s="233">
        <v>135575</v>
      </c>
      <c r="N296" s="233">
        <v>3507</v>
      </c>
      <c r="O296" s="233">
        <v>6509</v>
      </c>
      <c r="P296" s="233">
        <v>210151</v>
      </c>
      <c r="Q296" s="233">
        <v>227</v>
      </c>
      <c r="R296" s="235" t="s">
        <v>4020</v>
      </c>
      <c r="S296" s="235" t="s">
        <v>4020</v>
      </c>
      <c r="T296" s="235" t="s">
        <v>4020</v>
      </c>
      <c r="U296" s="235" t="s">
        <v>4020</v>
      </c>
      <c r="V296" s="235" t="s">
        <v>4020</v>
      </c>
      <c r="W296" s="235" t="s">
        <v>4020</v>
      </c>
      <c r="X296" s="235" t="s">
        <v>4020</v>
      </c>
      <c r="Y296" s="235" t="s">
        <v>4020</v>
      </c>
      <c r="Z296" s="235" t="s">
        <v>4020</v>
      </c>
      <c r="AA296" s="233">
        <v>1</v>
      </c>
      <c r="AB296" s="235" t="s">
        <v>4020</v>
      </c>
      <c r="AC296" s="235" t="s">
        <v>4020</v>
      </c>
      <c r="AD296" s="235" t="s">
        <v>4020</v>
      </c>
      <c r="AE296" s="235" t="s">
        <v>4020</v>
      </c>
      <c r="AF296" s="235" t="s">
        <v>4020</v>
      </c>
      <c r="AG296" s="235" t="s">
        <v>4020</v>
      </c>
      <c r="AH296" s="235" t="s">
        <v>4020</v>
      </c>
      <c r="AI296" s="235" t="s">
        <v>4020</v>
      </c>
      <c r="AJ296" s="235" t="s">
        <v>4020</v>
      </c>
    </row>
    <row r="297" spans="1:36">
      <c r="A297" s="240">
        <v>1</v>
      </c>
      <c r="B297" s="241" t="s">
        <v>3997</v>
      </c>
      <c r="C297" s="241" t="s">
        <v>3432</v>
      </c>
      <c r="D297" s="241" t="s">
        <v>4570</v>
      </c>
      <c r="E297" s="241">
        <v>6</v>
      </c>
      <c r="F297" s="242" t="s">
        <v>4571</v>
      </c>
      <c r="G297" s="233">
        <v>35</v>
      </c>
      <c r="H297" s="233">
        <v>9955</v>
      </c>
      <c r="I297" s="233">
        <v>4</v>
      </c>
      <c r="J297" s="233">
        <v>4</v>
      </c>
      <c r="K297" s="233">
        <v>0</v>
      </c>
      <c r="L297" s="233">
        <v>9566</v>
      </c>
      <c r="M297" s="233">
        <v>2460</v>
      </c>
      <c r="N297" s="233">
        <v>105</v>
      </c>
      <c r="O297" s="233">
        <v>0</v>
      </c>
      <c r="P297" s="233">
        <v>2954</v>
      </c>
      <c r="Q297" s="233">
        <v>33</v>
      </c>
      <c r="R297" s="235" t="s">
        <v>4020</v>
      </c>
      <c r="S297" s="235" t="s">
        <v>4020</v>
      </c>
      <c r="T297" s="235" t="s">
        <v>4020</v>
      </c>
      <c r="U297" s="235" t="s">
        <v>4020</v>
      </c>
      <c r="V297" s="235" t="s">
        <v>4020</v>
      </c>
      <c r="W297" s="235" t="s">
        <v>4020</v>
      </c>
      <c r="X297" s="235" t="s">
        <v>4020</v>
      </c>
      <c r="Y297" s="235" t="s">
        <v>4020</v>
      </c>
      <c r="Z297" s="235" t="s">
        <v>4020</v>
      </c>
      <c r="AA297" s="233">
        <v>2</v>
      </c>
      <c r="AB297" s="235" t="s">
        <v>4020</v>
      </c>
      <c r="AC297" s="235" t="s">
        <v>4020</v>
      </c>
      <c r="AD297" s="235" t="s">
        <v>4020</v>
      </c>
      <c r="AE297" s="235" t="s">
        <v>4020</v>
      </c>
      <c r="AF297" s="235" t="s">
        <v>4020</v>
      </c>
      <c r="AG297" s="235" t="s">
        <v>4020</v>
      </c>
      <c r="AH297" s="235" t="s">
        <v>4020</v>
      </c>
      <c r="AI297" s="235" t="s">
        <v>4020</v>
      </c>
      <c r="AJ297" s="235" t="s">
        <v>4020</v>
      </c>
    </row>
    <row r="298" spans="1:36">
      <c r="A298" s="240">
        <v>1</v>
      </c>
      <c r="B298" s="241" t="s">
        <v>3997</v>
      </c>
      <c r="C298" s="241" t="s">
        <v>3172</v>
      </c>
      <c r="D298" s="241" t="s">
        <v>4572</v>
      </c>
      <c r="E298" s="241">
        <v>5</v>
      </c>
      <c r="F298" s="242" t="s">
        <v>4573</v>
      </c>
      <c r="G298" s="233">
        <v>2093</v>
      </c>
      <c r="H298" s="233">
        <v>5611741</v>
      </c>
      <c r="I298" s="233">
        <v>13237</v>
      </c>
      <c r="J298" s="233">
        <v>10097</v>
      </c>
      <c r="K298" s="233">
        <v>3140</v>
      </c>
      <c r="L298" s="233">
        <v>5633883</v>
      </c>
      <c r="M298" s="233">
        <v>312910</v>
      </c>
      <c r="N298" s="233">
        <v>16579</v>
      </c>
      <c r="O298" s="233">
        <v>10184</v>
      </c>
      <c r="P298" s="233">
        <v>307346</v>
      </c>
      <c r="Q298" s="233">
        <v>2051</v>
      </c>
      <c r="R298" s="233">
        <v>5605103</v>
      </c>
      <c r="S298" s="233">
        <v>13226</v>
      </c>
      <c r="T298" s="233">
        <v>10097</v>
      </c>
      <c r="U298" s="233">
        <v>3129</v>
      </c>
      <c r="V298" s="233">
        <v>5627148</v>
      </c>
      <c r="W298" s="233">
        <v>312108</v>
      </c>
      <c r="X298" s="233">
        <v>16538</v>
      </c>
      <c r="Y298" s="233">
        <v>10168</v>
      </c>
      <c r="Z298" s="233">
        <v>306600</v>
      </c>
      <c r="AA298" s="233">
        <v>42</v>
      </c>
      <c r="AB298" s="233">
        <v>6638</v>
      </c>
      <c r="AC298" s="233">
        <v>11</v>
      </c>
      <c r="AD298" s="233">
        <v>0</v>
      </c>
      <c r="AE298" s="233">
        <v>11</v>
      </c>
      <c r="AF298" s="233">
        <v>6735</v>
      </c>
      <c r="AG298" s="233">
        <v>802</v>
      </c>
      <c r="AH298" s="233">
        <v>41</v>
      </c>
      <c r="AI298" s="233">
        <v>16</v>
      </c>
      <c r="AJ298" s="233">
        <v>746</v>
      </c>
    </row>
    <row r="299" spans="1:36">
      <c r="A299" s="240">
        <v>1</v>
      </c>
      <c r="B299" s="241" t="s">
        <v>3997</v>
      </c>
      <c r="C299" s="241" t="s">
        <v>3432</v>
      </c>
      <c r="D299" s="241" t="s">
        <v>4574</v>
      </c>
      <c r="E299" s="241">
        <v>6</v>
      </c>
      <c r="F299" s="242" t="s">
        <v>4575</v>
      </c>
      <c r="G299" s="233">
        <v>154</v>
      </c>
      <c r="H299" s="233">
        <v>3325719</v>
      </c>
      <c r="I299" s="233">
        <v>223</v>
      </c>
      <c r="J299" s="233">
        <v>223</v>
      </c>
      <c r="K299" s="233">
        <v>0</v>
      </c>
      <c r="L299" s="233">
        <v>3409861</v>
      </c>
      <c r="M299" s="233">
        <v>76605</v>
      </c>
      <c r="N299" s="233">
        <v>3765</v>
      </c>
      <c r="O299" s="233">
        <v>167</v>
      </c>
      <c r="P299" s="233">
        <v>3773</v>
      </c>
      <c r="Q299" s="233">
        <v>154</v>
      </c>
      <c r="R299" s="233">
        <v>3325719</v>
      </c>
      <c r="S299" s="233">
        <v>223</v>
      </c>
      <c r="T299" s="233">
        <v>223</v>
      </c>
      <c r="U299" s="233">
        <v>0</v>
      </c>
      <c r="V299" s="233">
        <v>3409861</v>
      </c>
      <c r="W299" s="233">
        <v>76605</v>
      </c>
      <c r="X299" s="233">
        <v>3765</v>
      </c>
      <c r="Y299" s="233">
        <v>167</v>
      </c>
      <c r="Z299" s="233">
        <v>3773</v>
      </c>
      <c r="AA299" s="235" t="s">
        <v>5298</v>
      </c>
      <c r="AB299" s="235" t="s">
        <v>5298</v>
      </c>
      <c r="AC299" s="235" t="s">
        <v>5298</v>
      </c>
      <c r="AD299" s="235" t="s">
        <v>5298</v>
      </c>
      <c r="AE299" s="235" t="s">
        <v>5298</v>
      </c>
      <c r="AF299" s="235" t="s">
        <v>5298</v>
      </c>
      <c r="AG299" s="235" t="s">
        <v>5298</v>
      </c>
      <c r="AH299" s="235" t="s">
        <v>5298</v>
      </c>
      <c r="AI299" s="235" t="s">
        <v>5298</v>
      </c>
      <c r="AJ299" s="235" t="s">
        <v>5298</v>
      </c>
    </row>
    <row r="300" spans="1:36">
      <c r="A300" s="240">
        <v>1</v>
      </c>
      <c r="B300" s="241" t="s">
        <v>3997</v>
      </c>
      <c r="C300" s="241" t="s">
        <v>3432</v>
      </c>
      <c r="D300" s="241" t="s">
        <v>4576</v>
      </c>
      <c r="E300" s="241">
        <v>6</v>
      </c>
      <c r="F300" s="242" t="s">
        <v>4577</v>
      </c>
      <c r="G300" s="233">
        <v>1021</v>
      </c>
      <c r="H300" s="233">
        <v>1686667</v>
      </c>
      <c r="I300" s="233">
        <v>9802</v>
      </c>
      <c r="J300" s="233">
        <v>7340</v>
      </c>
      <c r="K300" s="233">
        <v>2463</v>
      </c>
      <c r="L300" s="233">
        <v>1627902</v>
      </c>
      <c r="M300" s="233">
        <v>158233</v>
      </c>
      <c r="N300" s="233">
        <v>9202</v>
      </c>
      <c r="O300" s="233">
        <v>7422</v>
      </c>
      <c r="P300" s="233">
        <v>226201</v>
      </c>
      <c r="Q300" s="233">
        <v>1004</v>
      </c>
      <c r="R300" s="233">
        <v>1682563</v>
      </c>
      <c r="S300" s="233">
        <v>9802</v>
      </c>
      <c r="T300" s="233">
        <v>7340</v>
      </c>
      <c r="U300" s="233">
        <v>2463</v>
      </c>
      <c r="V300" s="233">
        <v>1623836</v>
      </c>
      <c r="W300" s="233">
        <v>158061</v>
      </c>
      <c r="X300" s="233">
        <v>9194</v>
      </c>
      <c r="Y300" s="233">
        <v>7422</v>
      </c>
      <c r="Z300" s="233">
        <v>225982</v>
      </c>
      <c r="AA300" s="233">
        <v>17</v>
      </c>
      <c r="AB300" s="233">
        <v>4104</v>
      </c>
      <c r="AC300" s="233">
        <v>0</v>
      </c>
      <c r="AD300" s="233">
        <v>0</v>
      </c>
      <c r="AE300" s="233">
        <v>0</v>
      </c>
      <c r="AF300" s="233">
        <v>4066</v>
      </c>
      <c r="AG300" s="233">
        <v>172</v>
      </c>
      <c r="AH300" s="233">
        <v>8</v>
      </c>
      <c r="AI300" s="233">
        <v>0</v>
      </c>
      <c r="AJ300" s="233">
        <v>219</v>
      </c>
    </row>
    <row r="301" spans="1:36">
      <c r="A301" s="240">
        <v>1</v>
      </c>
      <c r="B301" s="241" t="s">
        <v>3997</v>
      </c>
      <c r="C301" s="241" t="s">
        <v>3432</v>
      </c>
      <c r="D301" s="241" t="s">
        <v>4578</v>
      </c>
      <c r="E301" s="241">
        <v>6</v>
      </c>
      <c r="F301" s="242" t="s">
        <v>4579</v>
      </c>
      <c r="G301" s="233">
        <v>234</v>
      </c>
      <c r="H301" s="233">
        <v>29231</v>
      </c>
      <c r="I301" s="233">
        <v>567</v>
      </c>
      <c r="J301" s="233">
        <v>21</v>
      </c>
      <c r="K301" s="233">
        <v>546</v>
      </c>
      <c r="L301" s="233">
        <v>34263</v>
      </c>
      <c r="M301" s="233">
        <v>11267</v>
      </c>
      <c r="N301" s="233">
        <v>430</v>
      </c>
      <c r="O301" s="233">
        <v>293</v>
      </c>
      <c r="P301" s="233">
        <v>6666</v>
      </c>
      <c r="Q301" s="233">
        <v>216</v>
      </c>
      <c r="R301" s="233">
        <v>28229</v>
      </c>
      <c r="S301" s="233">
        <v>556</v>
      </c>
      <c r="T301" s="233">
        <v>21</v>
      </c>
      <c r="U301" s="233">
        <v>535</v>
      </c>
      <c r="V301" s="233">
        <v>33106</v>
      </c>
      <c r="W301" s="233">
        <v>10710</v>
      </c>
      <c r="X301" s="233">
        <v>404</v>
      </c>
      <c r="Y301" s="233">
        <v>277</v>
      </c>
      <c r="Z301" s="233">
        <v>6237</v>
      </c>
      <c r="AA301" s="233">
        <v>18</v>
      </c>
      <c r="AB301" s="233">
        <v>1002</v>
      </c>
      <c r="AC301" s="233">
        <v>11</v>
      </c>
      <c r="AD301" s="233">
        <v>0</v>
      </c>
      <c r="AE301" s="233">
        <v>11</v>
      </c>
      <c r="AF301" s="233">
        <v>1157</v>
      </c>
      <c r="AG301" s="233">
        <v>558</v>
      </c>
      <c r="AH301" s="233">
        <v>26</v>
      </c>
      <c r="AI301" s="233">
        <v>16</v>
      </c>
      <c r="AJ301" s="233">
        <v>429</v>
      </c>
    </row>
    <row r="302" spans="1:36">
      <c r="A302" s="240">
        <v>1</v>
      </c>
      <c r="B302" s="241" t="s">
        <v>3997</v>
      </c>
      <c r="C302" s="241" t="s">
        <v>3432</v>
      </c>
      <c r="D302" s="241" t="s">
        <v>4580</v>
      </c>
      <c r="E302" s="241">
        <v>6</v>
      </c>
      <c r="F302" s="242" t="s">
        <v>4581</v>
      </c>
      <c r="G302" s="233">
        <v>684</v>
      </c>
      <c r="H302" s="233">
        <v>570124</v>
      </c>
      <c r="I302" s="233">
        <v>2645</v>
      </c>
      <c r="J302" s="233">
        <v>2514</v>
      </c>
      <c r="K302" s="233">
        <v>131</v>
      </c>
      <c r="L302" s="233">
        <v>561857</v>
      </c>
      <c r="M302" s="233">
        <v>66804</v>
      </c>
      <c r="N302" s="233">
        <v>3181</v>
      </c>
      <c r="O302" s="233">
        <v>2302</v>
      </c>
      <c r="P302" s="233">
        <v>78253</v>
      </c>
      <c r="Q302" s="233">
        <v>677</v>
      </c>
      <c r="R302" s="233">
        <v>568593</v>
      </c>
      <c r="S302" s="233">
        <v>2645</v>
      </c>
      <c r="T302" s="233">
        <v>2514</v>
      </c>
      <c r="U302" s="233">
        <v>131</v>
      </c>
      <c r="V302" s="233">
        <v>560345</v>
      </c>
      <c r="W302" s="233">
        <v>66732</v>
      </c>
      <c r="X302" s="233">
        <v>3175</v>
      </c>
      <c r="Y302" s="233">
        <v>2302</v>
      </c>
      <c r="Z302" s="233">
        <v>78155</v>
      </c>
      <c r="AA302" s="233">
        <v>7</v>
      </c>
      <c r="AB302" s="233">
        <v>1531</v>
      </c>
      <c r="AC302" s="233">
        <v>0</v>
      </c>
      <c r="AD302" s="233">
        <v>0</v>
      </c>
      <c r="AE302" s="233">
        <v>0</v>
      </c>
      <c r="AF302" s="233">
        <v>1512</v>
      </c>
      <c r="AG302" s="233">
        <v>73</v>
      </c>
      <c r="AH302" s="233">
        <v>6</v>
      </c>
      <c r="AI302" s="233">
        <v>0</v>
      </c>
      <c r="AJ302" s="233">
        <v>98</v>
      </c>
    </row>
    <row r="303" spans="1:36">
      <c r="A303" s="240">
        <v>1</v>
      </c>
      <c r="B303" s="241" t="s">
        <v>3997</v>
      </c>
      <c r="C303" s="241" t="s">
        <v>3172</v>
      </c>
      <c r="D303" s="241" t="s">
        <v>4582</v>
      </c>
      <c r="E303" s="241">
        <v>5</v>
      </c>
      <c r="F303" s="242" t="s">
        <v>4583</v>
      </c>
      <c r="G303" s="233">
        <v>90</v>
      </c>
      <c r="H303" s="233">
        <v>2327188</v>
      </c>
      <c r="I303" s="233">
        <v>3688</v>
      </c>
      <c r="J303" s="233">
        <v>454</v>
      </c>
      <c r="K303" s="233">
        <v>3234</v>
      </c>
      <c r="L303" s="233">
        <v>2922277</v>
      </c>
      <c r="M303" s="233">
        <v>233177</v>
      </c>
      <c r="N303" s="233">
        <v>13708</v>
      </c>
      <c r="O303" s="233">
        <v>64</v>
      </c>
      <c r="P303" s="233">
        <v>348204</v>
      </c>
      <c r="Q303" s="233">
        <v>90</v>
      </c>
      <c r="R303" s="233">
        <v>2327188</v>
      </c>
      <c r="S303" s="233">
        <v>3688</v>
      </c>
      <c r="T303" s="233">
        <v>454</v>
      </c>
      <c r="U303" s="233">
        <v>3234</v>
      </c>
      <c r="V303" s="233">
        <v>2922277</v>
      </c>
      <c r="W303" s="233">
        <v>233177</v>
      </c>
      <c r="X303" s="233">
        <v>13708</v>
      </c>
      <c r="Y303" s="233">
        <v>64</v>
      </c>
      <c r="Z303" s="233">
        <v>348204</v>
      </c>
      <c r="AA303" s="235" t="s">
        <v>5298</v>
      </c>
      <c r="AB303" s="235" t="s">
        <v>5298</v>
      </c>
      <c r="AC303" s="235" t="s">
        <v>5298</v>
      </c>
      <c r="AD303" s="235" t="s">
        <v>5298</v>
      </c>
      <c r="AE303" s="235" t="s">
        <v>5298</v>
      </c>
      <c r="AF303" s="235" t="s">
        <v>5298</v>
      </c>
      <c r="AG303" s="235" t="s">
        <v>5298</v>
      </c>
      <c r="AH303" s="235" t="s">
        <v>5298</v>
      </c>
      <c r="AI303" s="235" t="s">
        <v>5298</v>
      </c>
      <c r="AJ303" s="235" t="s">
        <v>5298</v>
      </c>
    </row>
    <row r="304" spans="1:36">
      <c r="A304" s="240">
        <v>1</v>
      </c>
      <c r="B304" s="241" t="s">
        <v>3997</v>
      </c>
      <c r="C304" s="241" t="s">
        <v>3432</v>
      </c>
      <c r="D304" s="241" t="s">
        <v>4584</v>
      </c>
      <c r="E304" s="241">
        <v>6</v>
      </c>
      <c r="F304" s="242" t="s">
        <v>4585</v>
      </c>
      <c r="G304" s="233">
        <v>59</v>
      </c>
      <c r="H304" s="233">
        <v>2290894</v>
      </c>
      <c r="I304" s="233">
        <v>3685</v>
      </c>
      <c r="J304" s="233">
        <v>451</v>
      </c>
      <c r="K304" s="233">
        <v>3234</v>
      </c>
      <c r="L304" s="233">
        <v>2889679</v>
      </c>
      <c r="M304" s="233">
        <v>224126</v>
      </c>
      <c r="N304" s="233">
        <v>13393</v>
      </c>
      <c r="O304" s="233">
        <v>64</v>
      </c>
      <c r="P304" s="233">
        <v>361266</v>
      </c>
      <c r="Q304" s="233">
        <v>59</v>
      </c>
      <c r="R304" s="233">
        <v>2290894</v>
      </c>
      <c r="S304" s="233">
        <v>3685</v>
      </c>
      <c r="T304" s="233">
        <v>451</v>
      </c>
      <c r="U304" s="233">
        <v>3234</v>
      </c>
      <c r="V304" s="233">
        <v>2889679</v>
      </c>
      <c r="W304" s="233">
        <v>224126</v>
      </c>
      <c r="X304" s="233">
        <v>13393</v>
      </c>
      <c r="Y304" s="233">
        <v>64</v>
      </c>
      <c r="Z304" s="233">
        <v>361266</v>
      </c>
      <c r="AA304" s="235" t="s">
        <v>5298</v>
      </c>
      <c r="AB304" s="235" t="s">
        <v>5298</v>
      </c>
      <c r="AC304" s="235" t="s">
        <v>5298</v>
      </c>
      <c r="AD304" s="235" t="s">
        <v>5298</v>
      </c>
      <c r="AE304" s="235" t="s">
        <v>5298</v>
      </c>
      <c r="AF304" s="235" t="s">
        <v>5298</v>
      </c>
      <c r="AG304" s="235" t="s">
        <v>5298</v>
      </c>
      <c r="AH304" s="235" t="s">
        <v>5298</v>
      </c>
      <c r="AI304" s="235" t="s">
        <v>5298</v>
      </c>
      <c r="AJ304" s="235" t="s">
        <v>5298</v>
      </c>
    </row>
    <row r="305" spans="1:36">
      <c r="A305" s="240">
        <v>1</v>
      </c>
      <c r="B305" s="241" t="s">
        <v>3997</v>
      </c>
      <c r="C305" s="241" t="s">
        <v>3432</v>
      </c>
      <c r="D305" s="241" t="s">
        <v>4586</v>
      </c>
      <c r="E305" s="241">
        <v>6</v>
      </c>
      <c r="F305" s="242" t="s">
        <v>4587</v>
      </c>
      <c r="G305" s="233">
        <v>31</v>
      </c>
      <c r="H305" s="233">
        <v>36293</v>
      </c>
      <c r="I305" s="233">
        <v>3</v>
      </c>
      <c r="J305" s="233">
        <v>3</v>
      </c>
      <c r="K305" s="233">
        <v>0</v>
      </c>
      <c r="L305" s="233">
        <v>32597</v>
      </c>
      <c r="M305" s="233">
        <v>9051</v>
      </c>
      <c r="N305" s="233">
        <v>315</v>
      </c>
      <c r="O305" s="233">
        <v>0</v>
      </c>
      <c r="P305" s="233">
        <v>13062</v>
      </c>
      <c r="Q305" s="233">
        <v>31</v>
      </c>
      <c r="R305" s="233">
        <v>36293</v>
      </c>
      <c r="S305" s="233">
        <v>3</v>
      </c>
      <c r="T305" s="233">
        <v>3</v>
      </c>
      <c r="U305" s="233">
        <v>0</v>
      </c>
      <c r="V305" s="233">
        <v>32597</v>
      </c>
      <c r="W305" s="233">
        <v>9051</v>
      </c>
      <c r="X305" s="233">
        <v>315</v>
      </c>
      <c r="Y305" s="233">
        <v>0</v>
      </c>
      <c r="Z305" s="233">
        <v>13062</v>
      </c>
      <c r="AA305" s="235" t="s">
        <v>5298</v>
      </c>
      <c r="AB305" s="235" t="s">
        <v>5298</v>
      </c>
      <c r="AC305" s="235" t="s">
        <v>5298</v>
      </c>
      <c r="AD305" s="235" t="s">
        <v>5298</v>
      </c>
      <c r="AE305" s="235" t="s">
        <v>5298</v>
      </c>
      <c r="AF305" s="235" t="s">
        <v>5298</v>
      </c>
      <c r="AG305" s="235" t="s">
        <v>5298</v>
      </c>
      <c r="AH305" s="235" t="s">
        <v>5298</v>
      </c>
      <c r="AI305" s="235" t="s">
        <v>5298</v>
      </c>
      <c r="AJ305" s="235" t="s">
        <v>5298</v>
      </c>
    </row>
    <row r="306" spans="1:36">
      <c r="A306" s="240">
        <v>1</v>
      </c>
      <c r="B306" s="241" t="s">
        <v>3997</v>
      </c>
      <c r="C306" s="241" t="s">
        <v>3172</v>
      </c>
      <c r="D306" s="241" t="s">
        <v>4588</v>
      </c>
      <c r="E306" s="241">
        <v>5</v>
      </c>
      <c r="F306" s="242" t="s">
        <v>4589</v>
      </c>
      <c r="G306" s="233">
        <v>2832</v>
      </c>
      <c r="H306" s="233">
        <v>3598253</v>
      </c>
      <c r="I306" s="233">
        <v>49345</v>
      </c>
      <c r="J306" s="233">
        <v>44458</v>
      </c>
      <c r="K306" s="233">
        <v>4887</v>
      </c>
      <c r="L306" s="233">
        <v>3307160</v>
      </c>
      <c r="M306" s="233">
        <v>557305</v>
      </c>
      <c r="N306" s="233">
        <v>41036</v>
      </c>
      <c r="O306" s="233">
        <v>39837</v>
      </c>
      <c r="P306" s="233">
        <v>889433</v>
      </c>
      <c r="Q306" s="233">
        <v>2717</v>
      </c>
      <c r="R306" s="233">
        <v>3584279</v>
      </c>
      <c r="S306" s="233">
        <v>48337</v>
      </c>
      <c r="T306" s="233">
        <v>43533</v>
      </c>
      <c r="U306" s="233">
        <v>4804</v>
      </c>
      <c r="V306" s="233">
        <v>3294678</v>
      </c>
      <c r="W306" s="233">
        <v>555234</v>
      </c>
      <c r="X306" s="233">
        <v>40695</v>
      </c>
      <c r="Y306" s="233">
        <v>39134</v>
      </c>
      <c r="Z306" s="233">
        <v>885531</v>
      </c>
      <c r="AA306" s="233">
        <v>115</v>
      </c>
      <c r="AB306" s="233">
        <v>13974</v>
      </c>
      <c r="AC306" s="233">
        <v>1008</v>
      </c>
      <c r="AD306" s="233">
        <v>925</v>
      </c>
      <c r="AE306" s="233">
        <v>83</v>
      </c>
      <c r="AF306" s="233">
        <v>12482</v>
      </c>
      <c r="AG306" s="233">
        <v>2070</v>
      </c>
      <c r="AH306" s="233">
        <v>341</v>
      </c>
      <c r="AI306" s="233">
        <v>703</v>
      </c>
      <c r="AJ306" s="233">
        <v>3903</v>
      </c>
    </row>
    <row r="307" spans="1:36">
      <c r="A307" s="240">
        <v>1</v>
      </c>
      <c r="B307" s="241" t="s">
        <v>3997</v>
      </c>
      <c r="C307" s="241" t="s">
        <v>3432</v>
      </c>
      <c r="D307" s="241" t="s">
        <v>4590</v>
      </c>
      <c r="E307" s="241">
        <v>6</v>
      </c>
      <c r="F307" s="242" t="s">
        <v>4591</v>
      </c>
      <c r="G307" s="233">
        <v>2360</v>
      </c>
      <c r="H307" s="233">
        <v>3052505</v>
      </c>
      <c r="I307" s="233">
        <v>32792</v>
      </c>
      <c r="J307" s="233">
        <v>30099</v>
      </c>
      <c r="K307" s="233">
        <v>2694</v>
      </c>
      <c r="L307" s="233">
        <v>2818917</v>
      </c>
      <c r="M307" s="233">
        <v>463112</v>
      </c>
      <c r="N307" s="233">
        <v>34667</v>
      </c>
      <c r="O307" s="233">
        <v>26379</v>
      </c>
      <c r="P307" s="233">
        <v>731367</v>
      </c>
      <c r="Q307" s="233">
        <v>2306</v>
      </c>
      <c r="R307" s="233">
        <v>3046120</v>
      </c>
      <c r="S307" s="233">
        <v>32752</v>
      </c>
      <c r="T307" s="233">
        <v>30065</v>
      </c>
      <c r="U307" s="233">
        <v>2687</v>
      </c>
      <c r="V307" s="233">
        <v>2813208</v>
      </c>
      <c r="W307" s="233">
        <v>462196</v>
      </c>
      <c r="X307" s="233">
        <v>34524</v>
      </c>
      <c r="Y307" s="233">
        <v>26379</v>
      </c>
      <c r="Z307" s="233">
        <v>729633</v>
      </c>
      <c r="AA307" s="233">
        <v>54</v>
      </c>
      <c r="AB307" s="233">
        <v>6386</v>
      </c>
      <c r="AC307" s="233">
        <v>40</v>
      </c>
      <c r="AD307" s="233">
        <v>33</v>
      </c>
      <c r="AE307" s="233">
        <v>7</v>
      </c>
      <c r="AF307" s="233">
        <v>5709</v>
      </c>
      <c r="AG307" s="233">
        <v>915</v>
      </c>
      <c r="AH307" s="233">
        <v>143</v>
      </c>
      <c r="AI307" s="233">
        <v>0</v>
      </c>
      <c r="AJ307" s="233">
        <v>1735</v>
      </c>
    </row>
    <row r="308" spans="1:36">
      <c r="A308" s="240">
        <v>1</v>
      </c>
      <c r="B308" s="241" t="s">
        <v>3997</v>
      </c>
      <c r="C308" s="241" t="s">
        <v>3432</v>
      </c>
      <c r="D308" s="241" t="s">
        <v>4592</v>
      </c>
      <c r="E308" s="241">
        <v>6</v>
      </c>
      <c r="F308" s="242" t="s">
        <v>4593</v>
      </c>
      <c r="G308" s="233">
        <v>472</v>
      </c>
      <c r="H308" s="233">
        <v>545747</v>
      </c>
      <c r="I308" s="233">
        <v>16553</v>
      </c>
      <c r="J308" s="233">
        <v>14359</v>
      </c>
      <c r="K308" s="233">
        <v>2193</v>
      </c>
      <c r="L308" s="233">
        <v>488243</v>
      </c>
      <c r="M308" s="233">
        <v>94193</v>
      </c>
      <c r="N308" s="233">
        <v>6369</v>
      </c>
      <c r="O308" s="233">
        <v>13458</v>
      </c>
      <c r="P308" s="233">
        <v>158066</v>
      </c>
      <c r="Q308" s="233">
        <v>411</v>
      </c>
      <c r="R308" s="233">
        <v>538159</v>
      </c>
      <c r="S308" s="233">
        <v>15585</v>
      </c>
      <c r="T308" s="233">
        <v>13468</v>
      </c>
      <c r="U308" s="233">
        <v>2117</v>
      </c>
      <c r="V308" s="233">
        <v>481471</v>
      </c>
      <c r="W308" s="233">
        <v>93038</v>
      </c>
      <c r="X308" s="233">
        <v>6171</v>
      </c>
      <c r="Y308" s="233">
        <v>12755</v>
      </c>
      <c r="Z308" s="233">
        <v>155898</v>
      </c>
      <c r="AA308" s="233">
        <v>61</v>
      </c>
      <c r="AB308" s="233">
        <v>7588</v>
      </c>
      <c r="AC308" s="233">
        <v>968</v>
      </c>
      <c r="AD308" s="233">
        <v>891</v>
      </c>
      <c r="AE308" s="233">
        <v>76</v>
      </c>
      <c r="AF308" s="233">
        <v>6772</v>
      </c>
      <c r="AG308" s="233">
        <v>1155</v>
      </c>
      <c r="AH308" s="233">
        <v>197</v>
      </c>
      <c r="AI308" s="233">
        <v>703</v>
      </c>
      <c r="AJ308" s="233">
        <v>2168</v>
      </c>
    </row>
    <row r="309" spans="1:36">
      <c r="A309" s="240">
        <v>1</v>
      </c>
      <c r="B309" s="241" t="s">
        <v>3997</v>
      </c>
      <c r="C309" s="241" t="s">
        <v>3172</v>
      </c>
      <c r="D309" s="241" t="s">
        <v>4594</v>
      </c>
      <c r="E309" s="241">
        <v>5</v>
      </c>
      <c r="F309" s="242" t="s">
        <v>4595</v>
      </c>
      <c r="G309" s="233">
        <v>6964</v>
      </c>
      <c r="H309" s="233">
        <v>18382865</v>
      </c>
      <c r="I309" s="233">
        <v>180890</v>
      </c>
      <c r="J309" s="233">
        <v>139482</v>
      </c>
      <c r="K309" s="233">
        <v>41408</v>
      </c>
      <c r="L309" s="233">
        <v>17379033</v>
      </c>
      <c r="M309" s="233">
        <v>1685617</v>
      </c>
      <c r="N309" s="233">
        <v>103099</v>
      </c>
      <c r="O309" s="233">
        <v>91485</v>
      </c>
      <c r="P309" s="233">
        <v>2792547</v>
      </c>
      <c r="Q309" s="233">
        <v>5961</v>
      </c>
      <c r="R309" s="233">
        <v>15451555</v>
      </c>
      <c r="S309" s="233">
        <v>176768</v>
      </c>
      <c r="T309" s="233">
        <v>139084</v>
      </c>
      <c r="U309" s="233">
        <v>37684</v>
      </c>
      <c r="V309" s="233">
        <v>14839322</v>
      </c>
      <c r="W309" s="233">
        <v>1615824</v>
      </c>
      <c r="X309" s="233">
        <v>88524</v>
      </c>
      <c r="Y309" s="233">
        <v>89535</v>
      </c>
      <c r="Z309" s="233">
        <v>2316580</v>
      </c>
      <c r="AA309" s="233">
        <v>1003</v>
      </c>
      <c r="AB309" s="233">
        <v>2931310</v>
      </c>
      <c r="AC309" s="233">
        <v>4122</v>
      </c>
      <c r="AD309" s="233">
        <v>398</v>
      </c>
      <c r="AE309" s="233">
        <v>3724</v>
      </c>
      <c r="AF309" s="233">
        <v>2539711</v>
      </c>
      <c r="AG309" s="233">
        <v>69793</v>
      </c>
      <c r="AH309" s="233">
        <v>14575</v>
      </c>
      <c r="AI309" s="233">
        <v>1950</v>
      </c>
      <c r="AJ309" s="233">
        <v>475967</v>
      </c>
    </row>
    <row r="310" spans="1:36">
      <c r="A310" s="240">
        <v>1</v>
      </c>
      <c r="B310" s="241" t="s">
        <v>3997</v>
      </c>
      <c r="C310" s="241" t="s">
        <v>3432</v>
      </c>
      <c r="D310" s="241" t="s">
        <v>4596</v>
      </c>
      <c r="E310" s="241">
        <v>6</v>
      </c>
      <c r="F310" s="242" t="s">
        <v>4597</v>
      </c>
      <c r="G310" s="233">
        <v>749</v>
      </c>
      <c r="H310" s="233">
        <v>2007319</v>
      </c>
      <c r="I310" s="233">
        <v>12300</v>
      </c>
      <c r="J310" s="233">
        <v>3906</v>
      </c>
      <c r="K310" s="233">
        <v>8393</v>
      </c>
      <c r="L310" s="233">
        <v>1870231</v>
      </c>
      <c r="M310" s="233">
        <v>356447</v>
      </c>
      <c r="N310" s="233">
        <v>14563</v>
      </c>
      <c r="O310" s="233">
        <v>8638</v>
      </c>
      <c r="P310" s="233">
        <v>508099</v>
      </c>
      <c r="Q310" s="233">
        <v>734</v>
      </c>
      <c r="R310" s="233">
        <v>2004134</v>
      </c>
      <c r="S310" s="233">
        <v>12300</v>
      </c>
      <c r="T310" s="233">
        <v>3906</v>
      </c>
      <c r="U310" s="233">
        <v>8393</v>
      </c>
      <c r="V310" s="233">
        <v>1867971</v>
      </c>
      <c r="W310" s="233">
        <v>356018</v>
      </c>
      <c r="X310" s="233">
        <v>14551</v>
      </c>
      <c r="Y310" s="233">
        <v>8638</v>
      </c>
      <c r="Z310" s="233">
        <v>506732</v>
      </c>
      <c r="AA310" s="233">
        <v>15</v>
      </c>
      <c r="AB310" s="233">
        <v>3185</v>
      </c>
      <c r="AC310" s="233">
        <v>0</v>
      </c>
      <c r="AD310" s="233">
        <v>0</v>
      </c>
      <c r="AE310" s="233">
        <v>0</v>
      </c>
      <c r="AF310" s="233">
        <v>2260</v>
      </c>
      <c r="AG310" s="233">
        <v>429</v>
      </c>
      <c r="AH310" s="233">
        <v>12</v>
      </c>
      <c r="AI310" s="233">
        <v>0</v>
      </c>
      <c r="AJ310" s="233">
        <v>1366</v>
      </c>
    </row>
    <row r="311" spans="1:36">
      <c r="A311" s="240">
        <v>1</v>
      </c>
      <c r="B311" s="241" t="s">
        <v>3997</v>
      </c>
      <c r="C311" s="241" t="s">
        <v>3432</v>
      </c>
      <c r="D311" s="241" t="s">
        <v>4598</v>
      </c>
      <c r="E311" s="241">
        <v>6</v>
      </c>
      <c r="F311" s="242" t="s">
        <v>4599</v>
      </c>
      <c r="G311" s="233">
        <v>1829</v>
      </c>
      <c r="H311" s="233">
        <v>5314263</v>
      </c>
      <c r="I311" s="233">
        <v>112601</v>
      </c>
      <c r="J311" s="233">
        <v>102267</v>
      </c>
      <c r="K311" s="233">
        <v>10334</v>
      </c>
      <c r="L311" s="233">
        <v>5096854</v>
      </c>
      <c r="M311" s="233">
        <v>435400</v>
      </c>
      <c r="N311" s="233">
        <v>21859</v>
      </c>
      <c r="O311" s="233">
        <v>41339</v>
      </c>
      <c r="P311" s="233">
        <v>674668</v>
      </c>
      <c r="Q311" s="233">
        <v>1784</v>
      </c>
      <c r="R311" s="233">
        <v>5295977</v>
      </c>
      <c r="S311" s="233">
        <v>112489</v>
      </c>
      <c r="T311" s="233">
        <v>102208</v>
      </c>
      <c r="U311" s="233">
        <v>10281</v>
      </c>
      <c r="V311" s="233">
        <v>5079435</v>
      </c>
      <c r="W311" s="233">
        <v>434408</v>
      </c>
      <c r="X311" s="233">
        <v>21821</v>
      </c>
      <c r="Y311" s="233">
        <v>41330</v>
      </c>
      <c r="Z311" s="233">
        <v>672770</v>
      </c>
      <c r="AA311" s="233">
        <v>45</v>
      </c>
      <c r="AB311" s="233">
        <v>18286</v>
      </c>
      <c r="AC311" s="233">
        <v>112</v>
      </c>
      <c r="AD311" s="233">
        <v>59</v>
      </c>
      <c r="AE311" s="233">
        <v>53</v>
      </c>
      <c r="AF311" s="233">
        <v>17420</v>
      </c>
      <c r="AG311" s="233">
        <v>993</v>
      </c>
      <c r="AH311" s="233">
        <v>39</v>
      </c>
      <c r="AI311" s="233">
        <v>9</v>
      </c>
      <c r="AJ311" s="233">
        <v>1898</v>
      </c>
    </row>
    <row r="312" spans="1:36">
      <c r="A312" s="240">
        <v>1</v>
      </c>
      <c r="B312" s="241" t="s">
        <v>3997</v>
      </c>
      <c r="C312" s="241" t="s">
        <v>3432</v>
      </c>
      <c r="D312" s="241" t="s">
        <v>4600</v>
      </c>
      <c r="E312" s="241">
        <v>6</v>
      </c>
      <c r="F312" s="242" t="s">
        <v>4601</v>
      </c>
      <c r="G312" s="233">
        <v>406</v>
      </c>
      <c r="H312" s="233">
        <v>532885</v>
      </c>
      <c r="I312" s="233">
        <v>932</v>
      </c>
      <c r="J312" s="233">
        <v>369</v>
      </c>
      <c r="K312" s="233">
        <v>563</v>
      </c>
      <c r="L312" s="233">
        <v>400865</v>
      </c>
      <c r="M312" s="233">
        <v>41845</v>
      </c>
      <c r="N312" s="233">
        <v>1412</v>
      </c>
      <c r="O312" s="233">
        <v>386</v>
      </c>
      <c r="P312" s="233">
        <v>175277</v>
      </c>
      <c r="Q312" s="233">
        <v>405</v>
      </c>
      <c r="R312" s="235" t="s">
        <v>4020</v>
      </c>
      <c r="S312" s="235" t="s">
        <v>4020</v>
      </c>
      <c r="T312" s="235" t="s">
        <v>4020</v>
      </c>
      <c r="U312" s="235" t="s">
        <v>4020</v>
      </c>
      <c r="V312" s="235" t="s">
        <v>4020</v>
      </c>
      <c r="W312" s="235" t="s">
        <v>4020</v>
      </c>
      <c r="X312" s="235" t="s">
        <v>4020</v>
      </c>
      <c r="Y312" s="235" t="s">
        <v>4020</v>
      </c>
      <c r="Z312" s="235" t="s">
        <v>4020</v>
      </c>
      <c r="AA312" s="233">
        <v>1</v>
      </c>
      <c r="AB312" s="235" t="s">
        <v>4020</v>
      </c>
      <c r="AC312" s="235" t="s">
        <v>4020</v>
      </c>
      <c r="AD312" s="235" t="s">
        <v>4020</v>
      </c>
      <c r="AE312" s="235" t="s">
        <v>4020</v>
      </c>
      <c r="AF312" s="235" t="s">
        <v>4020</v>
      </c>
      <c r="AG312" s="235" t="s">
        <v>4020</v>
      </c>
      <c r="AH312" s="235" t="s">
        <v>4020</v>
      </c>
      <c r="AI312" s="235" t="s">
        <v>4020</v>
      </c>
      <c r="AJ312" s="235" t="s">
        <v>4020</v>
      </c>
    </row>
    <row r="313" spans="1:36">
      <c r="A313" s="240">
        <v>1</v>
      </c>
      <c r="B313" s="241" t="s">
        <v>3997</v>
      </c>
      <c r="C313" s="241" t="s">
        <v>3432</v>
      </c>
      <c r="D313" s="241" t="s">
        <v>4602</v>
      </c>
      <c r="E313" s="241">
        <v>6</v>
      </c>
      <c r="F313" s="242" t="s">
        <v>4603</v>
      </c>
      <c r="G313" s="233">
        <v>1345</v>
      </c>
      <c r="H313" s="233">
        <v>705560</v>
      </c>
      <c r="I313" s="233">
        <v>15263</v>
      </c>
      <c r="J313" s="233">
        <v>13897</v>
      </c>
      <c r="K313" s="233">
        <v>1365</v>
      </c>
      <c r="L313" s="233">
        <v>651961</v>
      </c>
      <c r="M313" s="233">
        <v>181681</v>
      </c>
      <c r="N313" s="233">
        <v>5352</v>
      </c>
      <c r="O313" s="233">
        <v>13298</v>
      </c>
      <c r="P313" s="233">
        <v>240632</v>
      </c>
      <c r="Q313" s="233">
        <v>1339</v>
      </c>
      <c r="R313" s="233">
        <v>704684</v>
      </c>
      <c r="S313" s="233">
        <v>15263</v>
      </c>
      <c r="T313" s="233">
        <v>13897</v>
      </c>
      <c r="U313" s="233">
        <v>1365</v>
      </c>
      <c r="V313" s="233">
        <v>651518</v>
      </c>
      <c r="W313" s="233">
        <v>181400</v>
      </c>
      <c r="X313" s="233">
        <v>5343</v>
      </c>
      <c r="Y313" s="233">
        <v>13298</v>
      </c>
      <c r="Z313" s="233">
        <v>239908</v>
      </c>
      <c r="AA313" s="233">
        <v>6</v>
      </c>
      <c r="AB313" s="233">
        <v>876</v>
      </c>
      <c r="AC313" s="233">
        <v>0</v>
      </c>
      <c r="AD313" s="233">
        <v>0</v>
      </c>
      <c r="AE313" s="233">
        <v>0</v>
      </c>
      <c r="AF313" s="233">
        <v>442</v>
      </c>
      <c r="AG313" s="233">
        <v>281</v>
      </c>
      <c r="AH313" s="233">
        <v>9</v>
      </c>
      <c r="AI313" s="233">
        <v>0</v>
      </c>
      <c r="AJ313" s="233">
        <v>724</v>
      </c>
    </row>
    <row r="314" spans="1:36">
      <c r="A314" s="240">
        <v>1</v>
      </c>
      <c r="B314" s="241" t="s">
        <v>3997</v>
      </c>
      <c r="C314" s="241" t="s">
        <v>3432</v>
      </c>
      <c r="D314" s="241" t="s">
        <v>4604</v>
      </c>
      <c r="E314" s="241">
        <v>6</v>
      </c>
      <c r="F314" s="242" t="s">
        <v>4605</v>
      </c>
      <c r="G314" s="233">
        <v>188</v>
      </c>
      <c r="H314" s="233">
        <v>7496672</v>
      </c>
      <c r="I314" s="233">
        <v>2160</v>
      </c>
      <c r="J314" s="233">
        <v>0</v>
      </c>
      <c r="K314" s="233">
        <v>2160</v>
      </c>
      <c r="L314" s="233">
        <v>7148594</v>
      </c>
      <c r="M314" s="233">
        <v>88970</v>
      </c>
      <c r="N314" s="233">
        <v>47931</v>
      </c>
      <c r="O314" s="233">
        <v>787</v>
      </c>
      <c r="P314" s="233">
        <v>484979</v>
      </c>
      <c r="Q314" s="233">
        <v>133</v>
      </c>
      <c r="R314" s="233">
        <v>4818090</v>
      </c>
      <c r="S314" s="233">
        <v>2160</v>
      </c>
      <c r="T314" s="233">
        <v>0</v>
      </c>
      <c r="U314" s="233">
        <v>2160</v>
      </c>
      <c r="V314" s="233">
        <v>4847036</v>
      </c>
      <c r="W314" s="233">
        <v>79063</v>
      </c>
      <c r="X314" s="233">
        <v>35896</v>
      </c>
      <c r="Y314" s="233">
        <v>787</v>
      </c>
      <c r="Z314" s="233">
        <v>86013</v>
      </c>
      <c r="AA314" s="233">
        <v>55</v>
      </c>
      <c r="AB314" s="233">
        <v>2678582</v>
      </c>
      <c r="AC314" s="233">
        <v>0</v>
      </c>
      <c r="AD314" s="233">
        <v>0</v>
      </c>
      <c r="AE314" s="233">
        <v>0</v>
      </c>
      <c r="AF314" s="233">
        <v>2301558</v>
      </c>
      <c r="AG314" s="233">
        <v>9907</v>
      </c>
      <c r="AH314" s="233">
        <v>12034</v>
      </c>
      <c r="AI314" s="233">
        <v>0</v>
      </c>
      <c r="AJ314" s="233">
        <v>398965</v>
      </c>
    </row>
    <row r="315" spans="1:36">
      <c r="A315" s="240">
        <v>1</v>
      </c>
      <c r="B315" s="241" t="s">
        <v>3997</v>
      </c>
      <c r="C315" s="241" t="s">
        <v>3432</v>
      </c>
      <c r="D315" s="241" t="s">
        <v>4606</v>
      </c>
      <c r="E315" s="241">
        <v>6</v>
      </c>
      <c r="F315" s="242" t="s">
        <v>4607</v>
      </c>
      <c r="G315" s="233">
        <v>2445</v>
      </c>
      <c r="H315" s="233">
        <v>2326123</v>
      </c>
      <c r="I315" s="233">
        <v>37634</v>
      </c>
      <c r="J315" s="233">
        <v>19042</v>
      </c>
      <c r="K315" s="233">
        <v>18593</v>
      </c>
      <c r="L315" s="233">
        <v>2210488</v>
      </c>
      <c r="M315" s="233">
        <v>581266</v>
      </c>
      <c r="N315" s="233">
        <v>11982</v>
      </c>
      <c r="O315" s="233">
        <v>27038</v>
      </c>
      <c r="P315" s="233">
        <v>708882</v>
      </c>
      <c r="Q315" s="233">
        <v>1564</v>
      </c>
      <c r="R315" s="235" t="s">
        <v>4020</v>
      </c>
      <c r="S315" s="235" t="s">
        <v>4020</v>
      </c>
      <c r="T315" s="235" t="s">
        <v>4020</v>
      </c>
      <c r="U315" s="235" t="s">
        <v>4020</v>
      </c>
      <c r="V315" s="235" t="s">
        <v>4020</v>
      </c>
      <c r="W315" s="235" t="s">
        <v>4020</v>
      </c>
      <c r="X315" s="235" t="s">
        <v>4020</v>
      </c>
      <c r="Y315" s="235" t="s">
        <v>4020</v>
      </c>
      <c r="Z315" s="235" t="s">
        <v>4020</v>
      </c>
      <c r="AA315" s="233">
        <v>881</v>
      </c>
      <c r="AB315" s="235" t="s">
        <v>4020</v>
      </c>
      <c r="AC315" s="235" t="s">
        <v>4020</v>
      </c>
      <c r="AD315" s="235" t="s">
        <v>4020</v>
      </c>
      <c r="AE315" s="235" t="s">
        <v>4020</v>
      </c>
      <c r="AF315" s="235" t="s">
        <v>4020</v>
      </c>
      <c r="AG315" s="235" t="s">
        <v>4020</v>
      </c>
      <c r="AH315" s="235" t="s">
        <v>4020</v>
      </c>
      <c r="AI315" s="235" t="s">
        <v>4020</v>
      </c>
      <c r="AJ315" s="235" t="s">
        <v>4020</v>
      </c>
    </row>
    <row r="316" spans="1:36">
      <c r="A316" s="240">
        <v>1</v>
      </c>
      <c r="B316" s="241" t="s">
        <v>3997</v>
      </c>
      <c r="C316" s="241" t="s">
        <v>3172</v>
      </c>
      <c r="D316" s="241" t="s">
        <v>4608</v>
      </c>
      <c r="E316" s="241">
        <v>5</v>
      </c>
      <c r="F316" s="242" t="s">
        <v>4609</v>
      </c>
      <c r="G316" s="233">
        <v>28</v>
      </c>
      <c r="H316" s="233">
        <v>4357</v>
      </c>
      <c r="I316" s="233">
        <v>0</v>
      </c>
      <c r="J316" s="233">
        <v>0</v>
      </c>
      <c r="K316" s="233">
        <v>0</v>
      </c>
      <c r="L316" s="233">
        <v>4123</v>
      </c>
      <c r="M316" s="233">
        <v>1415</v>
      </c>
      <c r="N316" s="233">
        <v>88</v>
      </c>
      <c r="O316" s="233">
        <v>0</v>
      </c>
      <c r="P316" s="233">
        <v>1737</v>
      </c>
      <c r="Q316" s="233">
        <v>26</v>
      </c>
      <c r="R316" s="235" t="s">
        <v>4020</v>
      </c>
      <c r="S316" s="235" t="s">
        <v>4020</v>
      </c>
      <c r="T316" s="235" t="s">
        <v>4020</v>
      </c>
      <c r="U316" s="235" t="s">
        <v>4020</v>
      </c>
      <c r="V316" s="235" t="s">
        <v>4020</v>
      </c>
      <c r="W316" s="235" t="s">
        <v>4020</v>
      </c>
      <c r="X316" s="235" t="s">
        <v>4020</v>
      </c>
      <c r="Y316" s="235" t="s">
        <v>4020</v>
      </c>
      <c r="Z316" s="235" t="s">
        <v>4020</v>
      </c>
      <c r="AA316" s="233">
        <v>2</v>
      </c>
      <c r="AB316" s="235" t="s">
        <v>4020</v>
      </c>
      <c r="AC316" s="235" t="s">
        <v>4020</v>
      </c>
      <c r="AD316" s="235" t="s">
        <v>4020</v>
      </c>
      <c r="AE316" s="235" t="s">
        <v>4020</v>
      </c>
      <c r="AF316" s="235" t="s">
        <v>4020</v>
      </c>
      <c r="AG316" s="235" t="s">
        <v>4020</v>
      </c>
      <c r="AH316" s="235" t="s">
        <v>4020</v>
      </c>
      <c r="AI316" s="235" t="s">
        <v>4020</v>
      </c>
      <c r="AJ316" s="235" t="s">
        <v>4020</v>
      </c>
    </row>
    <row r="317" spans="1:36">
      <c r="A317" s="240">
        <v>1</v>
      </c>
      <c r="B317" s="241" t="s">
        <v>3997</v>
      </c>
      <c r="C317" s="241" t="s">
        <v>3432</v>
      </c>
      <c r="D317" s="241" t="s">
        <v>4610</v>
      </c>
      <c r="E317" s="241">
        <v>6</v>
      </c>
      <c r="F317" s="242" t="s">
        <v>4611</v>
      </c>
      <c r="G317" s="233">
        <v>28</v>
      </c>
      <c r="H317" s="233">
        <v>4357</v>
      </c>
      <c r="I317" s="233">
        <v>0</v>
      </c>
      <c r="J317" s="233">
        <v>0</v>
      </c>
      <c r="K317" s="233">
        <v>0</v>
      </c>
      <c r="L317" s="233">
        <v>4123</v>
      </c>
      <c r="M317" s="233">
        <v>1415</v>
      </c>
      <c r="N317" s="233">
        <v>88</v>
      </c>
      <c r="O317" s="233">
        <v>0</v>
      </c>
      <c r="P317" s="233">
        <v>1737</v>
      </c>
      <c r="Q317" s="233">
        <v>26</v>
      </c>
      <c r="R317" s="235" t="s">
        <v>4020</v>
      </c>
      <c r="S317" s="235" t="s">
        <v>4020</v>
      </c>
      <c r="T317" s="235" t="s">
        <v>4020</v>
      </c>
      <c r="U317" s="235" t="s">
        <v>4020</v>
      </c>
      <c r="V317" s="235" t="s">
        <v>4020</v>
      </c>
      <c r="W317" s="235" t="s">
        <v>4020</v>
      </c>
      <c r="X317" s="235" t="s">
        <v>4020</v>
      </c>
      <c r="Y317" s="235" t="s">
        <v>4020</v>
      </c>
      <c r="Z317" s="235" t="s">
        <v>4020</v>
      </c>
      <c r="AA317" s="233">
        <v>2</v>
      </c>
      <c r="AB317" s="235" t="s">
        <v>4020</v>
      </c>
      <c r="AC317" s="235" t="s">
        <v>4020</v>
      </c>
      <c r="AD317" s="235" t="s">
        <v>4020</v>
      </c>
      <c r="AE317" s="235" t="s">
        <v>4020</v>
      </c>
      <c r="AF317" s="235" t="s">
        <v>4020</v>
      </c>
      <c r="AG317" s="235" t="s">
        <v>4020</v>
      </c>
      <c r="AH317" s="235" t="s">
        <v>4020</v>
      </c>
      <c r="AI317" s="235" t="s">
        <v>4020</v>
      </c>
      <c r="AJ317" s="235" t="s">
        <v>4020</v>
      </c>
    </row>
    <row r="318" spans="1:36">
      <c r="A318" s="240">
        <v>1</v>
      </c>
      <c r="B318" s="241" t="s">
        <v>3997</v>
      </c>
      <c r="C318" s="241" t="s">
        <v>3459</v>
      </c>
      <c r="D318" s="241" t="s">
        <v>4612</v>
      </c>
      <c r="E318" s="241">
        <v>3</v>
      </c>
      <c r="F318" s="242" t="s">
        <v>4613</v>
      </c>
      <c r="G318" s="233">
        <v>422146</v>
      </c>
      <c r="H318" s="233">
        <v>477452093</v>
      </c>
      <c r="I318" s="233">
        <v>448729284</v>
      </c>
      <c r="J318" s="233">
        <v>305786193</v>
      </c>
      <c r="K318" s="233">
        <v>142943091</v>
      </c>
      <c r="L318" s="233">
        <v>465403616</v>
      </c>
      <c r="M318" s="233">
        <v>31737541</v>
      </c>
      <c r="N318" s="233">
        <v>1412071</v>
      </c>
      <c r="O318" s="233">
        <v>356797963</v>
      </c>
      <c r="P318" s="233">
        <v>45198089</v>
      </c>
      <c r="Q318" s="233">
        <v>413954</v>
      </c>
      <c r="R318" s="233">
        <v>460236311</v>
      </c>
      <c r="S318" s="233">
        <v>433352096</v>
      </c>
      <c r="T318" s="233">
        <v>294255036</v>
      </c>
      <c r="U318" s="233">
        <v>139097061</v>
      </c>
      <c r="V318" s="233">
        <v>448261214</v>
      </c>
      <c r="W318" s="233">
        <v>31109246</v>
      </c>
      <c r="X318" s="233">
        <v>1384665</v>
      </c>
      <c r="Y318" s="233">
        <v>343635676</v>
      </c>
      <c r="Z318" s="233">
        <v>44469008</v>
      </c>
      <c r="AA318" s="233">
        <v>8192</v>
      </c>
      <c r="AB318" s="233">
        <v>17215782</v>
      </c>
      <c r="AC318" s="233">
        <v>15377188</v>
      </c>
      <c r="AD318" s="233">
        <v>11531158</v>
      </c>
      <c r="AE318" s="233">
        <v>3846030</v>
      </c>
      <c r="AF318" s="233">
        <v>17142402</v>
      </c>
      <c r="AG318" s="233">
        <v>628296</v>
      </c>
      <c r="AH318" s="233">
        <v>27406</v>
      </c>
      <c r="AI318" s="233">
        <v>13162286</v>
      </c>
      <c r="AJ318" s="233">
        <v>729081</v>
      </c>
    </row>
    <row r="319" spans="1:36">
      <c r="A319" s="240">
        <v>1</v>
      </c>
      <c r="B319" s="241" t="s">
        <v>3997</v>
      </c>
      <c r="C319" s="241" t="s">
        <v>3170</v>
      </c>
      <c r="D319" s="241" t="s">
        <v>4614</v>
      </c>
      <c r="E319" s="241">
        <v>4</v>
      </c>
      <c r="F319" s="242" t="s">
        <v>4615</v>
      </c>
      <c r="G319" s="233">
        <v>181476</v>
      </c>
      <c r="H319" s="233">
        <v>323815259</v>
      </c>
      <c r="I319" s="233">
        <v>305708269</v>
      </c>
      <c r="J319" s="233">
        <v>300387072</v>
      </c>
      <c r="K319" s="233">
        <v>5321197</v>
      </c>
      <c r="L319" s="233">
        <v>316226719</v>
      </c>
      <c r="M319" s="233">
        <v>15779901</v>
      </c>
      <c r="N319" s="233">
        <v>713319</v>
      </c>
      <c r="O319" s="233">
        <v>257482195</v>
      </c>
      <c r="P319" s="233">
        <v>24081760</v>
      </c>
      <c r="Q319" s="233">
        <v>176989</v>
      </c>
      <c r="R319" s="233">
        <v>310603196</v>
      </c>
      <c r="S319" s="233">
        <v>294070257</v>
      </c>
      <c r="T319" s="233">
        <v>288872556</v>
      </c>
      <c r="U319" s="233">
        <v>5197701</v>
      </c>
      <c r="V319" s="233">
        <v>303012861</v>
      </c>
      <c r="W319" s="233">
        <v>15541219</v>
      </c>
      <c r="X319" s="233">
        <v>703049</v>
      </c>
      <c r="Y319" s="233">
        <v>247131047</v>
      </c>
      <c r="Z319" s="233">
        <v>23834603</v>
      </c>
      <c r="AA319" s="233">
        <v>4487</v>
      </c>
      <c r="AB319" s="233">
        <v>13212062</v>
      </c>
      <c r="AC319" s="233">
        <v>11638012</v>
      </c>
      <c r="AD319" s="233">
        <v>11514516</v>
      </c>
      <c r="AE319" s="233">
        <v>123496</v>
      </c>
      <c r="AF319" s="233">
        <v>13213858</v>
      </c>
      <c r="AG319" s="233">
        <v>238682</v>
      </c>
      <c r="AH319" s="233">
        <v>10271</v>
      </c>
      <c r="AI319" s="233">
        <v>10351148</v>
      </c>
      <c r="AJ319" s="233">
        <v>247157</v>
      </c>
    </row>
    <row r="320" spans="1:36">
      <c r="A320" s="240">
        <v>1</v>
      </c>
      <c r="B320" s="241" t="s">
        <v>3997</v>
      </c>
      <c r="C320" s="241" t="s">
        <v>3172</v>
      </c>
      <c r="D320" s="241" t="s">
        <v>4616</v>
      </c>
      <c r="E320" s="241">
        <v>5</v>
      </c>
      <c r="F320" s="242" t="s">
        <v>4617</v>
      </c>
      <c r="G320" s="233">
        <v>674</v>
      </c>
      <c r="H320" s="233">
        <v>15020202</v>
      </c>
      <c r="I320" s="233">
        <v>14850120</v>
      </c>
      <c r="J320" s="233">
        <v>14845066</v>
      </c>
      <c r="K320" s="233">
        <v>5054</v>
      </c>
      <c r="L320" s="233">
        <v>15385158</v>
      </c>
      <c r="M320" s="233">
        <v>375269</v>
      </c>
      <c r="N320" s="233">
        <v>25479</v>
      </c>
      <c r="O320" s="233">
        <v>14404436</v>
      </c>
      <c r="P320" s="233">
        <v>35792</v>
      </c>
      <c r="Q320" s="233">
        <v>658</v>
      </c>
      <c r="R320" s="233">
        <v>15013540</v>
      </c>
      <c r="S320" s="233">
        <v>14844844</v>
      </c>
      <c r="T320" s="233">
        <v>14839850</v>
      </c>
      <c r="U320" s="233">
        <v>4994</v>
      </c>
      <c r="V320" s="233">
        <v>15378797</v>
      </c>
      <c r="W320" s="233">
        <v>374724</v>
      </c>
      <c r="X320" s="233">
        <v>25378</v>
      </c>
      <c r="Y320" s="233">
        <v>14399311</v>
      </c>
      <c r="Z320" s="233">
        <v>34844</v>
      </c>
      <c r="AA320" s="233">
        <v>16</v>
      </c>
      <c r="AB320" s="233">
        <v>6663</v>
      </c>
      <c r="AC320" s="233">
        <v>5275</v>
      </c>
      <c r="AD320" s="233">
        <v>5216</v>
      </c>
      <c r="AE320" s="233">
        <v>59</v>
      </c>
      <c r="AF320" s="233">
        <v>6361</v>
      </c>
      <c r="AG320" s="233">
        <v>545</v>
      </c>
      <c r="AH320" s="233">
        <v>101</v>
      </c>
      <c r="AI320" s="233">
        <v>5125</v>
      </c>
      <c r="AJ320" s="233">
        <v>948</v>
      </c>
    </row>
    <row r="321" spans="1:36">
      <c r="A321" s="240">
        <v>1</v>
      </c>
      <c r="B321" s="241" t="s">
        <v>3997</v>
      </c>
      <c r="C321" s="241" t="s">
        <v>3432</v>
      </c>
      <c r="D321" s="241" t="s">
        <v>4618</v>
      </c>
      <c r="E321" s="241">
        <v>6</v>
      </c>
      <c r="F321" s="242" t="s">
        <v>4619</v>
      </c>
      <c r="G321" s="233">
        <v>674</v>
      </c>
      <c r="H321" s="233">
        <v>15020202</v>
      </c>
      <c r="I321" s="233">
        <v>14850120</v>
      </c>
      <c r="J321" s="233">
        <v>14845066</v>
      </c>
      <c r="K321" s="233">
        <v>5054</v>
      </c>
      <c r="L321" s="233">
        <v>15385158</v>
      </c>
      <c r="M321" s="233">
        <v>375269</v>
      </c>
      <c r="N321" s="233">
        <v>25479</v>
      </c>
      <c r="O321" s="233">
        <v>14404436</v>
      </c>
      <c r="P321" s="233">
        <v>35792</v>
      </c>
      <c r="Q321" s="233">
        <v>658</v>
      </c>
      <c r="R321" s="233">
        <v>15013540</v>
      </c>
      <c r="S321" s="233">
        <v>14844844</v>
      </c>
      <c r="T321" s="233">
        <v>14839850</v>
      </c>
      <c r="U321" s="233">
        <v>4994</v>
      </c>
      <c r="V321" s="233">
        <v>15378797</v>
      </c>
      <c r="W321" s="233">
        <v>374724</v>
      </c>
      <c r="X321" s="233">
        <v>25378</v>
      </c>
      <c r="Y321" s="233">
        <v>14399311</v>
      </c>
      <c r="Z321" s="233">
        <v>34844</v>
      </c>
      <c r="AA321" s="233">
        <v>16</v>
      </c>
      <c r="AB321" s="233">
        <v>6663</v>
      </c>
      <c r="AC321" s="233">
        <v>5275</v>
      </c>
      <c r="AD321" s="233">
        <v>5216</v>
      </c>
      <c r="AE321" s="233">
        <v>59</v>
      </c>
      <c r="AF321" s="233">
        <v>6361</v>
      </c>
      <c r="AG321" s="233">
        <v>545</v>
      </c>
      <c r="AH321" s="233">
        <v>101</v>
      </c>
      <c r="AI321" s="233">
        <v>5125</v>
      </c>
      <c r="AJ321" s="233">
        <v>948</v>
      </c>
    </row>
    <row r="322" spans="1:36">
      <c r="A322" s="240">
        <v>1</v>
      </c>
      <c r="B322" s="241" t="s">
        <v>3997</v>
      </c>
      <c r="C322" s="241" t="s">
        <v>4455</v>
      </c>
      <c r="D322" s="241" t="s">
        <v>4620</v>
      </c>
      <c r="E322" s="241">
        <v>7</v>
      </c>
      <c r="F322" s="242" t="s">
        <v>4621</v>
      </c>
      <c r="G322" s="233">
        <v>15</v>
      </c>
      <c r="H322" s="233">
        <v>14588587</v>
      </c>
      <c r="I322" s="233">
        <v>14444063</v>
      </c>
      <c r="J322" s="233">
        <v>14441673</v>
      </c>
      <c r="K322" s="233">
        <v>2390</v>
      </c>
      <c r="L322" s="233">
        <v>14963885</v>
      </c>
      <c r="M322" s="233">
        <v>344557</v>
      </c>
      <c r="N322" s="233">
        <v>24215</v>
      </c>
      <c r="O322" s="233">
        <v>14070508</v>
      </c>
      <c r="P322" s="233">
        <v>6526</v>
      </c>
      <c r="Q322" s="233">
        <v>15</v>
      </c>
      <c r="R322" s="233">
        <v>14588587</v>
      </c>
      <c r="S322" s="233">
        <v>14444063</v>
      </c>
      <c r="T322" s="233">
        <v>14441673</v>
      </c>
      <c r="U322" s="233">
        <v>2390</v>
      </c>
      <c r="V322" s="233">
        <v>14963885</v>
      </c>
      <c r="W322" s="233">
        <v>344557</v>
      </c>
      <c r="X322" s="233">
        <v>24215</v>
      </c>
      <c r="Y322" s="233">
        <v>14070508</v>
      </c>
      <c r="Z322" s="233">
        <v>6526</v>
      </c>
      <c r="AA322" s="235" t="s">
        <v>5298</v>
      </c>
      <c r="AB322" s="235" t="s">
        <v>5298</v>
      </c>
      <c r="AC322" s="235" t="s">
        <v>5298</v>
      </c>
      <c r="AD322" s="235" t="s">
        <v>5298</v>
      </c>
      <c r="AE322" s="235" t="s">
        <v>5298</v>
      </c>
      <c r="AF322" s="235" t="s">
        <v>5298</v>
      </c>
      <c r="AG322" s="235" t="s">
        <v>5298</v>
      </c>
      <c r="AH322" s="235" t="s">
        <v>5298</v>
      </c>
      <c r="AI322" s="235" t="s">
        <v>5298</v>
      </c>
      <c r="AJ322" s="235" t="s">
        <v>5298</v>
      </c>
    </row>
    <row r="323" spans="1:36">
      <c r="A323" s="240">
        <v>1</v>
      </c>
      <c r="B323" s="241" t="s">
        <v>3997</v>
      </c>
      <c r="C323" s="241" t="s">
        <v>4455</v>
      </c>
      <c r="D323" s="241" t="s">
        <v>4622</v>
      </c>
      <c r="E323" s="241">
        <v>7</v>
      </c>
      <c r="F323" s="242" t="s">
        <v>4623</v>
      </c>
      <c r="G323" s="233">
        <v>659</v>
      </c>
      <c r="H323" s="233">
        <v>431615</v>
      </c>
      <c r="I323" s="233">
        <v>406056</v>
      </c>
      <c r="J323" s="233">
        <v>403393</v>
      </c>
      <c r="K323" s="233">
        <v>2664</v>
      </c>
      <c r="L323" s="233">
        <v>421273</v>
      </c>
      <c r="M323" s="233">
        <v>30712</v>
      </c>
      <c r="N323" s="233">
        <v>1264</v>
      </c>
      <c r="O323" s="233">
        <v>333928</v>
      </c>
      <c r="P323" s="233">
        <v>42318</v>
      </c>
      <c r="Q323" s="233">
        <v>643</v>
      </c>
      <c r="R323" s="233">
        <v>424952</v>
      </c>
      <c r="S323" s="233">
        <v>400781</v>
      </c>
      <c r="T323" s="233">
        <v>398177</v>
      </c>
      <c r="U323" s="233">
        <v>2605</v>
      </c>
      <c r="V323" s="233">
        <v>414912</v>
      </c>
      <c r="W323" s="233">
        <v>30167</v>
      </c>
      <c r="X323" s="233">
        <v>1163</v>
      </c>
      <c r="Y323" s="233">
        <v>328803</v>
      </c>
      <c r="Z323" s="233">
        <v>41370</v>
      </c>
      <c r="AA323" s="233">
        <v>16</v>
      </c>
      <c r="AB323" s="233">
        <v>6663</v>
      </c>
      <c r="AC323" s="233">
        <v>5275</v>
      </c>
      <c r="AD323" s="233">
        <v>5216</v>
      </c>
      <c r="AE323" s="233">
        <v>59</v>
      </c>
      <c r="AF323" s="233">
        <v>6361</v>
      </c>
      <c r="AG323" s="233">
        <v>545</v>
      </c>
      <c r="AH323" s="233">
        <v>101</v>
      </c>
      <c r="AI323" s="233">
        <v>5125</v>
      </c>
      <c r="AJ323" s="233">
        <v>948</v>
      </c>
    </row>
    <row r="324" spans="1:36">
      <c r="A324" s="240">
        <v>1</v>
      </c>
      <c r="B324" s="241" t="s">
        <v>3997</v>
      </c>
      <c r="C324" s="241" t="s">
        <v>3172</v>
      </c>
      <c r="D324" s="241" t="s">
        <v>4624</v>
      </c>
      <c r="E324" s="241">
        <v>5</v>
      </c>
      <c r="F324" s="242" t="s">
        <v>4625</v>
      </c>
      <c r="G324" s="233">
        <v>13631</v>
      </c>
      <c r="H324" s="233">
        <v>8583736</v>
      </c>
      <c r="I324" s="233">
        <v>8239949</v>
      </c>
      <c r="J324" s="233">
        <v>7865984</v>
      </c>
      <c r="K324" s="233">
        <v>373965</v>
      </c>
      <c r="L324" s="233">
        <v>8332003</v>
      </c>
      <c r="M324" s="233">
        <v>724481</v>
      </c>
      <c r="N324" s="233">
        <v>34114</v>
      </c>
      <c r="O324" s="233">
        <v>6012334</v>
      </c>
      <c r="P324" s="233">
        <v>1010329</v>
      </c>
      <c r="Q324" s="233">
        <v>13523</v>
      </c>
      <c r="R324" s="233">
        <v>8576383</v>
      </c>
      <c r="S324" s="233">
        <v>8233471</v>
      </c>
      <c r="T324" s="233">
        <v>7859562</v>
      </c>
      <c r="U324" s="233">
        <v>373909</v>
      </c>
      <c r="V324" s="233">
        <v>8325109</v>
      </c>
      <c r="W324" s="233">
        <v>723888</v>
      </c>
      <c r="X324" s="233">
        <v>34066</v>
      </c>
      <c r="Y324" s="233">
        <v>6006945</v>
      </c>
      <c r="Z324" s="233">
        <v>1009228</v>
      </c>
      <c r="AA324" s="233">
        <v>108</v>
      </c>
      <c r="AB324" s="233">
        <v>7353</v>
      </c>
      <c r="AC324" s="233">
        <v>6478</v>
      </c>
      <c r="AD324" s="233">
        <v>6422</v>
      </c>
      <c r="AE324" s="233">
        <v>56</v>
      </c>
      <c r="AF324" s="233">
        <v>6893</v>
      </c>
      <c r="AG324" s="233">
        <v>593</v>
      </c>
      <c r="AH324" s="233">
        <v>47</v>
      </c>
      <c r="AI324" s="233">
        <v>5389</v>
      </c>
      <c r="AJ324" s="233">
        <v>1100</v>
      </c>
    </row>
    <row r="325" spans="1:36">
      <c r="A325" s="240">
        <v>1</v>
      </c>
      <c r="B325" s="241" t="s">
        <v>3997</v>
      </c>
      <c r="C325" s="241" t="s">
        <v>3432</v>
      </c>
      <c r="D325" s="241" t="s">
        <v>4626</v>
      </c>
      <c r="E325" s="241">
        <v>6</v>
      </c>
      <c r="F325" s="242" t="s">
        <v>4627</v>
      </c>
      <c r="G325" s="233">
        <v>2446</v>
      </c>
      <c r="H325" s="233">
        <v>1536185</v>
      </c>
      <c r="I325" s="233">
        <v>1490360</v>
      </c>
      <c r="J325" s="233">
        <v>1486507</v>
      </c>
      <c r="K325" s="233">
        <v>3853</v>
      </c>
      <c r="L325" s="233">
        <v>1501171</v>
      </c>
      <c r="M325" s="233">
        <v>96474</v>
      </c>
      <c r="N325" s="233">
        <v>5437</v>
      </c>
      <c r="O325" s="233">
        <v>1216732</v>
      </c>
      <c r="P325" s="233">
        <v>136924</v>
      </c>
      <c r="Q325" s="233">
        <v>2422</v>
      </c>
      <c r="R325" s="233">
        <v>1535398</v>
      </c>
      <c r="S325" s="233">
        <v>1489822</v>
      </c>
      <c r="T325" s="233">
        <v>1485989</v>
      </c>
      <c r="U325" s="233">
        <v>3834</v>
      </c>
      <c r="V325" s="233">
        <v>1500424</v>
      </c>
      <c r="W325" s="233">
        <v>96372</v>
      </c>
      <c r="X325" s="233">
        <v>5419</v>
      </c>
      <c r="Y325" s="233">
        <v>1216358</v>
      </c>
      <c r="Z325" s="233">
        <v>136765</v>
      </c>
      <c r="AA325" s="233">
        <v>24</v>
      </c>
      <c r="AB325" s="233">
        <v>788</v>
      </c>
      <c r="AC325" s="233">
        <v>537</v>
      </c>
      <c r="AD325" s="233">
        <v>518</v>
      </c>
      <c r="AE325" s="233">
        <v>19</v>
      </c>
      <c r="AF325" s="233">
        <v>747</v>
      </c>
      <c r="AG325" s="233">
        <v>102</v>
      </c>
      <c r="AH325" s="233">
        <v>18</v>
      </c>
      <c r="AI325" s="233">
        <v>374</v>
      </c>
      <c r="AJ325" s="233">
        <v>159</v>
      </c>
    </row>
    <row r="326" spans="1:36">
      <c r="A326" s="240">
        <v>1</v>
      </c>
      <c r="B326" s="241" t="s">
        <v>3997</v>
      </c>
      <c r="C326" s="241" t="s">
        <v>3432</v>
      </c>
      <c r="D326" s="298" t="s">
        <v>4628</v>
      </c>
      <c r="E326" s="241">
        <v>6</v>
      </c>
      <c r="F326" s="242" t="s">
        <v>4629</v>
      </c>
      <c r="G326" s="233">
        <v>5773</v>
      </c>
      <c r="H326" s="233">
        <v>4189835</v>
      </c>
      <c r="I326" s="233">
        <v>4023581</v>
      </c>
      <c r="J326" s="233">
        <v>3786136</v>
      </c>
      <c r="K326" s="233">
        <v>237445</v>
      </c>
      <c r="L326" s="233">
        <v>4062335</v>
      </c>
      <c r="M326" s="233">
        <v>365441</v>
      </c>
      <c r="N326" s="233">
        <v>15632</v>
      </c>
      <c r="O326" s="233">
        <v>2893478</v>
      </c>
      <c r="P326" s="233">
        <v>508574</v>
      </c>
      <c r="Q326" s="233">
        <v>5734</v>
      </c>
      <c r="R326" s="233">
        <v>4187785</v>
      </c>
      <c r="S326" s="233">
        <v>4021941</v>
      </c>
      <c r="T326" s="233">
        <v>3784530</v>
      </c>
      <c r="U326" s="233">
        <v>237411</v>
      </c>
      <c r="V326" s="233">
        <v>4060437</v>
      </c>
      <c r="W326" s="233">
        <v>365155</v>
      </c>
      <c r="X326" s="233">
        <v>15614</v>
      </c>
      <c r="Y326" s="233">
        <v>2892095</v>
      </c>
      <c r="Z326" s="233">
        <v>508119</v>
      </c>
      <c r="AA326" s="233">
        <v>39</v>
      </c>
      <c r="AB326" s="233">
        <v>2049</v>
      </c>
      <c r="AC326" s="233">
        <v>1640</v>
      </c>
      <c r="AD326" s="233">
        <v>1606</v>
      </c>
      <c r="AE326" s="233">
        <v>34</v>
      </c>
      <c r="AF326" s="233">
        <v>1898</v>
      </c>
      <c r="AG326" s="233">
        <v>286</v>
      </c>
      <c r="AH326" s="233">
        <v>18</v>
      </c>
      <c r="AI326" s="233">
        <v>1383</v>
      </c>
      <c r="AJ326" s="233">
        <v>455</v>
      </c>
    </row>
    <row r="327" spans="1:36">
      <c r="A327" s="240">
        <v>1</v>
      </c>
      <c r="B327" s="241" t="s">
        <v>3997</v>
      </c>
      <c r="C327" s="241" t="s">
        <v>3432</v>
      </c>
      <c r="D327" s="241" t="s">
        <v>4630</v>
      </c>
      <c r="E327" s="241">
        <v>6</v>
      </c>
      <c r="F327" s="242" t="s">
        <v>4631</v>
      </c>
      <c r="G327" s="233">
        <v>5412</v>
      </c>
      <c r="H327" s="233">
        <v>2857717</v>
      </c>
      <c r="I327" s="233">
        <v>2726008</v>
      </c>
      <c r="J327" s="233">
        <v>2593341</v>
      </c>
      <c r="K327" s="233">
        <v>132666</v>
      </c>
      <c r="L327" s="233">
        <v>2768497</v>
      </c>
      <c r="M327" s="233">
        <v>262566</v>
      </c>
      <c r="N327" s="233">
        <v>13045</v>
      </c>
      <c r="O327" s="233">
        <v>1902124</v>
      </c>
      <c r="P327" s="233">
        <v>364830</v>
      </c>
      <c r="Q327" s="233">
        <v>5367</v>
      </c>
      <c r="R327" s="233">
        <v>2853200</v>
      </c>
      <c r="S327" s="233">
        <v>2721707</v>
      </c>
      <c r="T327" s="233">
        <v>2589043</v>
      </c>
      <c r="U327" s="233">
        <v>132664</v>
      </c>
      <c r="V327" s="233">
        <v>2764249</v>
      </c>
      <c r="W327" s="233">
        <v>262361</v>
      </c>
      <c r="X327" s="233">
        <v>13033</v>
      </c>
      <c r="Y327" s="233">
        <v>1898492</v>
      </c>
      <c r="Z327" s="233">
        <v>364345</v>
      </c>
      <c r="AA327" s="233">
        <v>45</v>
      </c>
      <c r="AB327" s="233">
        <v>4517</v>
      </c>
      <c r="AC327" s="233">
        <v>4301</v>
      </c>
      <c r="AD327" s="233">
        <v>4298</v>
      </c>
      <c r="AE327" s="233">
        <v>3</v>
      </c>
      <c r="AF327" s="233">
        <v>4248</v>
      </c>
      <c r="AG327" s="233">
        <v>205</v>
      </c>
      <c r="AH327" s="233">
        <v>12</v>
      </c>
      <c r="AI327" s="233">
        <v>3632</v>
      </c>
      <c r="AJ327" s="233">
        <v>486</v>
      </c>
    </row>
    <row r="328" spans="1:36">
      <c r="A328" s="240">
        <v>1</v>
      </c>
      <c r="B328" s="241" t="s">
        <v>3997</v>
      </c>
      <c r="C328" s="241" t="s">
        <v>3172</v>
      </c>
      <c r="D328" s="241" t="s">
        <v>4632</v>
      </c>
      <c r="E328" s="241">
        <v>5</v>
      </c>
      <c r="F328" s="242" t="s">
        <v>4633</v>
      </c>
      <c r="G328" s="233">
        <v>36863</v>
      </c>
      <c r="H328" s="233">
        <v>69455437</v>
      </c>
      <c r="I328" s="233">
        <v>65824259</v>
      </c>
      <c r="J328" s="233">
        <v>65218382</v>
      </c>
      <c r="K328" s="233">
        <v>605877</v>
      </c>
      <c r="L328" s="233">
        <v>70171035</v>
      </c>
      <c r="M328" s="233">
        <v>2933603</v>
      </c>
      <c r="N328" s="233">
        <v>99271</v>
      </c>
      <c r="O328" s="233">
        <v>56431693</v>
      </c>
      <c r="P328" s="233">
        <v>2317276</v>
      </c>
      <c r="Q328" s="233">
        <v>35573</v>
      </c>
      <c r="R328" s="233">
        <v>58632294</v>
      </c>
      <c r="S328" s="233">
        <v>56438159</v>
      </c>
      <c r="T328" s="233">
        <v>55950734</v>
      </c>
      <c r="U328" s="233">
        <v>487425</v>
      </c>
      <c r="V328" s="233">
        <v>59304414</v>
      </c>
      <c r="W328" s="233">
        <v>2761135</v>
      </c>
      <c r="X328" s="233">
        <v>92891</v>
      </c>
      <c r="Y328" s="233">
        <v>48146248</v>
      </c>
      <c r="Z328" s="233">
        <v>2181906</v>
      </c>
      <c r="AA328" s="233">
        <v>1290</v>
      </c>
      <c r="AB328" s="233">
        <v>10823142</v>
      </c>
      <c r="AC328" s="233">
        <v>9386101</v>
      </c>
      <c r="AD328" s="233">
        <v>9267648</v>
      </c>
      <c r="AE328" s="233">
        <v>118452</v>
      </c>
      <c r="AF328" s="233">
        <v>10866621</v>
      </c>
      <c r="AG328" s="233">
        <v>172469</v>
      </c>
      <c r="AH328" s="233">
        <v>6380</v>
      </c>
      <c r="AI328" s="233">
        <v>8285445</v>
      </c>
      <c r="AJ328" s="233">
        <v>135370</v>
      </c>
    </row>
    <row r="329" spans="1:36">
      <c r="A329" s="240">
        <v>1</v>
      </c>
      <c r="B329" s="241" t="s">
        <v>3997</v>
      </c>
      <c r="C329" s="241" t="s">
        <v>3432</v>
      </c>
      <c r="D329" s="241" t="s">
        <v>4634</v>
      </c>
      <c r="E329" s="241">
        <v>6</v>
      </c>
      <c r="F329" s="242" t="s">
        <v>4635</v>
      </c>
      <c r="G329" s="233">
        <v>20410</v>
      </c>
      <c r="H329" s="233">
        <v>30294886</v>
      </c>
      <c r="I329" s="233">
        <v>28357625</v>
      </c>
      <c r="J329" s="233">
        <v>28078181</v>
      </c>
      <c r="K329" s="233">
        <v>279444</v>
      </c>
      <c r="L329" s="233">
        <v>30373344</v>
      </c>
      <c r="M329" s="233">
        <v>1080164</v>
      </c>
      <c r="N329" s="233">
        <v>43116</v>
      </c>
      <c r="O329" s="233">
        <v>24358752</v>
      </c>
      <c r="P329" s="233">
        <v>1044821</v>
      </c>
      <c r="Q329" s="233">
        <v>19594</v>
      </c>
      <c r="R329" s="233">
        <v>22649063</v>
      </c>
      <c r="S329" s="233">
        <v>21909597</v>
      </c>
      <c r="T329" s="233">
        <v>21729869</v>
      </c>
      <c r="U329" s="233">
        <v>179728</v>
      </c>
      <c r="V329" s="233">
        <v>22712686</v>
      </c>
      <c r="W329" s="233">
        <v>953907</v>
      </c>
      <c r="X329" s="233">
        <v>38396</v>
      </c>
      <c r="Y329" s="233">
        <v>18745398</v>
      </c>
      <c r="Z329" s="233">
        <v>928680</v>
      </c>
      <c r="AA329" s="233">
        <v>816</v>
      </c>
      <c r="AB329" s="233">
        <v>7645823</v>
      </c>
      <c r="AC329" s="233">
        <v>6448028</v>
      </c>
      <c r="AD329" s="233">
        <v>6348312</v>
      </c>
      <c r="AE329" s="233">
        <v>99716</v>
      </c>
      <c r="AF329" s="233">
        <v>7660659</v>
      </c>
      <c r="AG329" s="233">
        <v>126257</v>
      </c>
      <c r="AH329" s="233">
        <v>4720</v>
      </c>
      <c r="AI329" s="233">
        <v>5613355</v>
      </c>
      <c r="AJ329" s="233">
        <v>116141</v>
      </c>
    </row>
    <row r="330" spans="1:36">
      <c r="A330" s="240">
        <v>1</v>
      </c>
      <c r="B330" s="241" t="s">
        <v>3997</v>
      </c>
      <c r="C330" s="241" t="s">
        <v>4455</v>
      </c>
      <c r="D330" s="241" t="s">
        <v>4636</v>
      </c>
      <c r="E330" s="241">
        <v>7</v>
      </c>
      <c r="F330" s="242" t="s">
        <v>4637</v>
      </c>
      <c r="G330" s="233">
        <v>2414</v>
      </c>
      <c r="H330" s="233">
        <v>7669325</v>
      </c>
      <c r="I330" s="233">
        <v>6472099</v>
      </c>
      <c r="J330" s="233">
        <v>6366059</v>
      </c>
      <c r="K330" s="233">
        <v>106040</v>
      </c>
      <c r="L330" s="233">
        <v>7752376</v>
      </c>
      <c r="M330" s="233">
        <v>167643</v>
      </c>
      <c r="N330" s="233">
        <v>6726</v>
      </c>
      <c r="O330" s="233">
        <v>5533366</v>
      </c>
      <c r="P330" s="233">
        <v>91318</v>
      </c>
      <c r="Q330" s="233">
        <v>2215</v>
      </c>
      <c r="R330" s="233">
        <v>2404042</v>
      </c>
      <c r="S330" s="233">
        <v>2226532</v>
      </c>
      <c r="T330" s="233">
        <v>2191236</v>
      </c>
      <c r="U330" s="233">
        <v>35296</v>
      </c>
      <c r="V330" s="233">
        <v>2417558</v>
      </c>
      <c r="W330" s="233">
        <v>86492</v>
      </c>
      <c r="X330" s="233">
        <v>4471</v>
      </c>
      <c r="Y330" s="233">
        <v>1966841</v>
      </c>
      <c r="Z330" s="233">
        <v>77447</v>
      </c>
      <c r="AA330" s="233">
        <v>199</v>
      </c>
      <c r="AB330" s="233">
        <v>5265283</v>
      </c>
      <c r="AC330" s="233">
        <v>4245567</v>
      </c>
      <c r="AD330" s="233">
        <v>4174823</v>
      </c>
      <c r="AE330" s="233">
        <v>70744</v>
      </c>
      <c r="AF330" s="233">
        <v>5334818</v>
      </c>
      <c r="AG330" s="233">
        <v>81151</v>
      </c>
      <c r="AH330" s="233">
        <v>2255</v>
      </c>
      <c r="AI330" s="233">
        <v>3566525</v>
      </c>
      <c r="AJ330" s="233">
        <v>13870</v>
      </c>
    </row>
    <row r="331" spans="1:36">
      <c r="A331" s="240">
        <v>1</v>
      </c>
      <c r="B331" s="241" t="s">
        <v>3997</v>
      </c>
      <c r="C331" s="241" t="s">
        <v>4455</v>
      </c>
      <c r="D331" s="241" t="s">
        <v>4638</v>
      </c>
      <c r="E331" s="241">
        <v>7</v>
      </c>
      <c r="F331" s="242" t="s">
        <v>4639</v>
      </c>
      <c r="G331" s="233">
        <v>6786</v>
      </c>
      <c r="H331" s="233">
        <v>8381217</v>
      </c>
      <c r="I331" s="233">
        <v>8104954</v>
      </c>
      <c r="J331" s="233">
        <v>8075324</v>
      </c>
      <c r="K331" s="233">
        <v>29630</v>
      </c>
      <c r="L331" s="233">
        <v>8348598</v>
      </c>
      <c r="M331" s="233">
        <v>366253</v>
      </c>
      <c r="N331" s="233">
        <v>14238</v>
      </c>
      <c r="O331" s="233">
        <v>6845998</v>
      </c>
      <c r="P331" s="233">
        <v>413109</v>
      </c>
      <c r="Q331" s="233">
        <v>6577</v>
      </c>
      <c r="R331" s="233">
        <v>7526309</v>
      </c>
      <c r="S331" s="233">
        <v>7341009</v>
      </c>
      <c r="T331" s="233">
        <v>7312147</v>
      </c>
      <c r="U331" s="233">
        <v>28862</v>
      </c>
      <c r="V331" s="233">
        <v>7529504</v>
      </c>
      <c r="W331" s="233">
        <v>346562</v>
      </c>
      <c r="X331" s="233">
        <v>13336</v>
      </c>
      <c r="Y331" s="233">
        <v>6133525</v>
      </c>
      <c r="Z331" s="233">
        <v>356703</v>
      </c>
      <c r="AA331" s="233">
        <v>209</v>
      </c>
      <c r="AB331" s="233">
        <v>854908</v>
      </c>
      <c r="AC331" s="233">
        <v>763945</v>
      </c>
      <c r="AD331" s="233">
        <v>763177</v>
      </c>
      <c r="AE331" s="233">
        <v>768</v>
      </c>
      <c r="AF331" s="233">
        <v>819095</v>
      </c>
      <c r="AG331" s="233">
        <v>19691</v>
      </c>
      <c r="AH331" s="233">
        <v>901</v>
      </c>
      <c r="AI331" s="233">
        <v>712473</v>
      </c>
      <c r="AJ331" s="233">
        <v>56406</v>
      </c>
    </row>
    <row r="332" spans="1:36">
      <c r="A332" s="240">
        <v>1</v>
      </c>
      <c r="B332" s="241" t="s">
        <v>3997</v>
      </c>
      <c r="C332" s="241" t="s">
        <v>4455</v>
      </c>
      <c r="D332" s="241" t="s">
        <v>4640</v>
      </c>
      <c r="E332" s="241">
        <v>7</v>
      </c>
      <c r="F332" s="242" t="s">
        <v>4641</v>
      </c>
      <c r="G332" s="233">
        <v>3510</v>
      </c>
      <c r="H332" s="233">
        <v>5307871</v>
      </c>
      <c r="I332" s="233">
        <v>5127970</v>
      </c>
      <c r="J332" s="233">
        <v>5071246</v>
      </c>
      <c r="K332" s="233">
        <v>56724</v>
      </c>
      <c r="L332" s="233">
        <v>5357612</v>
      </c>
      <c r="M332" s="233">
        <v>205311</v>
      </c>
      <c r="N332" s="233">
        <v>8595</v>
      </c>
      <c r="O332" s="233">
        <v>4493551</v>
      </c>
      <c r="P332" s="233">
        <v>164165</v>
      </c>
      <c r="Q332" s="233">
        <v>3435</v>
      </c>
      <c r="R332" s="233">
        <v>4881590</v>
      </c>
      <c r="S332" s="233">
        <v>4741745</v>
      </c>
      <c r="T332" s="233">
        <v>4687065</v>
      </c>
      <c r="U332" s="233">
        <v>54680</v>
      </c>
      <c r="V332" s="233">
        <v>4931846</v>
      </c>
      <c r="W332" s="233">
        <v>199497</v>
      </c>
      <c r="X332" s="233">
        <v>8479</v>
      </c>
      <c r="Y332" s="233">
        <v>4107641</v>
      </c>
      <c r="Z332" s="233">
        <v>157721</v>
      </c>
      <c r="AA332" s="233">
        <v>75</v>
      </c>
      <c r="AB332" s="233">
        <v>426280</v>
      </c>
      <c r="AC332" s="233">
        <v>386225</v>
      </c>
      <c r="AD332" s="233">
        <v>384181</v>
      </c>
      <c r="AE332" s="233">
        <v>2044</v>
      </c>
      <c r="AF332" s="233">
        <v>425766</v>
      </c>
      <c r="AG332" s="233">
        <v>5814</v>
      </c>
      <c r="AH332" s="233">
        <v>115</v>
      </c>
      <c r="AI332" s="233">
        <v>385910</v>
      </c>
      <c r="AJ332" s="233">
        <v>6443</v>
      </c>
    </row>
    <row r="333" spans="1:36">
      <c r="A333" s="240">
        <v>1</v>
      </c>
      <c r="B333" s="241" t="s">
        <v>3997</v>
      </c>
      <c r="C333" s="241" t="s">
        <v>4455</v>
      </c>
      <c r="D333" s="241" t="s">
        <v>4642</v>
      </c>
      <c r="E333" s="241">
        <v>7</v>
      </c>
      <c r="F333" s="242" t="s">
        <v>4643</v>
      </c>
      <c r="G333" s="233">
        <v>6326</v>
      </c>
      <c r="H333" s="233">
        <v>7325329</v>
      </c>
      <c r="I333" s="233">
        <v>7092571</v>
      </c>
      <c r="J333" s="233">
        <v>7044991</v>
      </c>
      <c r="K333" s="233">
        <v>47580</v>
      </c>
      <c r="L333" s="233">
        <v>7291478</v>
      </c>
      <c r="M333" s="233">
        <v>288412</v>
      </c>
      <c r="N333" s="233">
        <v>10717</v>
      </c>
      <c r="O333" s="233">
        <v>6128638</v>
      </c>
      <c r="P333" s="233">
        <v>332980</v>
      </c>
      <c r="Q333" s="233">
        <v>6110</v>
      </c>
      <c r="R333" s="233">
        <v>6996581</v>
      </c>
      <c r="S333" s="233">
        <v>6792039</v>
      </c>
      <c r="T333" s="233">
        <v>6751595</v>
      </c>
      <c r="U333" s="233">
        <v>40444</v>
      </c>
      <c r="V333" s="233">
        <v>6986706</v>
      </c>
      <c r="W333" s="233">
        <v>275489</v>
      </c>
      <c r="X333" s="233">
        <v>9818</v>
      </c>
      <c r="Y333" s="233">
        <v>5912436</v>
      </c>
      <c r="Z333" s="233">
        <v>295182</v>
      </c>
      <c r="AA333" s="233">
        <v>216</v>
      </c>
      <c r="AB333" s="233">
        <v>328747</v>
      </c>
      <c r="AC333" s="233">
        <v>300532</v>
      </c>
      <c r="AD333" s="233">
        <v>293396</v>
      </c>
      <c r="AE333" s="233">
        <v>7136</v>
      </c>
      <c r="AF333" s="233">
        <v>304772</v>
      </c>
      <c r="AG333" s="233">
        <v>12923</v>
      </c>
      <c r="AH333" s="233">
        <v>900</v>
      </c>
      <c r="AI333" s="233">
        <v>216202</v>
      </c>
      <c r="AJ333" s="233">
        <v>37798</v>
      </c>
    </row>
    <row r="334" spans="1:36">
      <c r="A334" s="240">
        <v>1</v>
      </c>
      <c r="B334" s="241" t="s">
        <v>3997</v>
      </c>
      <c r="C334" s="241" t="s">
        <v>4455</v>
      </c>
      <c r="D334" s="241" t="s">
        <v>4644</v>
      </c>
      <c r="E334" s="241">
        <v>7</v>
      </c>
      <c r="F334" s="242" t="s">
        <v>4645</v>
      </c>
      <c r="G334" s="233">
        <v>1374</v>
      </c>
      <c r="H334" s="233">
        <v>1611145</v>
      </c>
      <c r="I334" s="233">
        <v>1560031</v>
      </c>
      <c r="J334" s="233">
        <v>1520562</v>
      </c>
      <c r="K334" s="233">
        <v>39469</v>
      </c>
      <c r="L334" s="233">
        <v>1623280</v>
      </c>
      <c r="M334" s="233">
        <v>52544</v>
      </c>
      <c r="N334" s="233">
        <v>2840</v>
      </c>
      <c r="O334" s="233">
        <v>1357200</v>
      </c>
      <c r="P334" s="233">
        <v>43249</v>
      </c>
      <c r="Q334" s="233">
        <v>1257</v>
      </c>
      <c r="R334" s="233">
        <v>840540</v>
      </c>
      <c r="S334" s="233">
        <v>808271</v>
      </c>
      <c r="T334" s="233">
        <v>787826</v>
      </c>
      <c r="U334" s="233">
        <v>20445</v>
      </c>
      <c r="V334" s="233">
        <v>847073</v>
      </c>
      <c r="W334" s="233">
        <v>45866</v>
      </c>
      <c r="X334" s="233">
        <v>2292</v>
      </c>
      <c r="Y334" s="233">
        <v>624955</v>
      </c>
      <c r="Z334" s="233">
        <v>41625</v>
      </c>
      <c r="AA334" s="233">
        <v>117</v>
      </c>
      <c r="AB334" s="233">
        <v>770605</v>
      </c>
      <c r="AC334" s="233">
        <v>751760</v>
      </c>
      <c r="AD334" s="233">
        <v>732736</v>
      </c>
      <c r="AE334" s="233">
        <v>19025</v>
      </c>
      <c r="AF334" s="233">
        <v>776207</v>
      </c>
      <c r="AG334" s="233">
        <v>6678</v>
      </c>
      <c r="AH334" s="233">
        <v>548</v>
      </c>
      <c r="AI334" s="233">
        <v>732244</v>
      </c>
      <c r="AJ334" s="233">
        <v>1624</v>
      </c>
    </row>
    <row r="335" spans="1:36">
      <c r="A335" s="240">
        <v>1</v>
      </c>
      <c r="B335" s="241" t="s">
        <v>3997</v>
      </c>
      <c r="C335" s="241" t="s">
        <v>3432</v>
      </c>
      <c r="D335" s="241" t="s">
        <v>4646</v>
      </c>
      <c r="E335" s="241">
        <v>6</v>
      </c>
      <c r="F335" s="242" t="s">
        <v>4647</v>
      </c>
      <c r="G335" s="233">
        <v>16453</v>
      </c>
      <c r="H335" s="233">
        <v>39160551</v>
      </c>
      <c r="I335" s="233">
        <v>37466634</v>
      </c>
      <c r="J335" s="233">
        <v>37140201</v>
      </c>
      <c r="K335" s="233">
        <v>326433</v>
      </c>
      <c r="L335" s="233">
        <v>39797690</v>
      </c>
      <c r="M335" s="233">
        <v>1853439</v>
      </c>
      <c r="N335" s="233">
        <v>56155</v>
      </c>
      <c r="O335" s="233">
        <v>32072941</v>
      </c>
      <c r="P335" s="233">
        <v>1272455</v>
      </c>
      <c r="Q335" s="233">
        <v>15979</v>
      </c>
      <c r="R335" s="233">
        <v>35983232</v>
      </c>
      <c r="S335" s="233">
        <v>34528562</v>
      </c>
      <c r="T335" s="233">
        <v>34220865</v>
      </c>
      <c r="U335" s="233">
        <v>307697</v>
      </c>
      <c r="V335" s="233">
        <v>36591728</v>
      </c>
      <c r="W335" s="233">
        <v>1807227</v>
      </c>
      <c r="X335" s="233">
        <v>54495</v>
      </c>
      <c r="Y335" s="233">
        <v>29400851</v>
      </c>
      <c r="Z335" s="233">
        <v>1253226</v>
      </c>
      <c r="AA335" s="233">
        <v>474</v>
      </c>
      <c r="AB335" s="233">
        <v>3177319</v>
      </c>
      <c r="AC335" s="233">
        <v>2938072</v>
      </c>
      <c r="AD335" s="233">
        <v>2919336</v>
      </c>
      <c r="AE335" s="233">
        <v>18736</v>
      </c>
      <c r="AF335" s="233">
        <v>3205962</v>
      </c>
      <c r="AG335" s="233">
        <v>46212</v>
      </c>
      <c r="AH335" s="233">
        <v>1660</v>
      </c>
      <c r="AI335" s="233">
        <v>2672090</v>
      </c>
      <c r="AJ335" s="233">
        <v>19229</v>
      </c>
    </row>
    <row r="336" spans="1:36">
      <c r="A336" s="240">
        <v>1</v>
      </c>
      <c r="B336" s="241" t="s">
        <v>3997</v>
      </c>
      <c r="C336" s="241" t="s">
        <v>3172</v>
      </c>
      <c r="D336" s="241" t="s">
        <v>4648</v>
      </c>
      <c r="E336" s="241">
        <v>5</v>
      </c>
      <c r="F336" s="242" t="s">
        <v>4649</v>
      </c>
      <c r="G336" s="233">
        <v>42716</v>
      </c>
      <c r="H336" s="233">
        <v>89336984</v>
      </c>
      <c r="I336" s="233">
        <v>84620801</v>
      </c>
      <c r="J336" s="233">
        <v>83318855</v>
      </c>
      <c r="K336" s="233">
        <v>1301945</v>
      </c>
      <c r="L336" s="233">
        <v>87045365</v>
      </c>
      <c r="M336" s="233">
        <v>3268607</v>
      </c>
      <c r="N336" s="233">
        <v>178579</v>
      </c>
      <c r="O336" s="233">
        <v>74943374</v>
      </c>
      <c r="P336" s="233">
        <v>5738805</v>
      </c>
      <c r="Q336" s="233">
        <v>41246</v>
      </c>
      <c r="R336" s="233">
        <v>87768829</v>
      </c>
      <c r="S336" s="233">
        <v>83133615</v>
      </c>
      <c r="T336" s="233">
        <v>81832231</v>
      </c>
      <c r="U336" s="233">
        <v>1301384</v>
      </c>
      <c r="V336" s="233">
        <v>85508341</v>
      </c>
      <c r="W336" s="233">
        <v>3234736</v>
      </c>
      <c r="X336" s="233">
        <v>176506</v>
      </c>
      <c r="Y336" s="233">
        <v>73572227</v>
      </c>
      <c r="Z336" s="233">
        <v>5671731</v>
      </c>
      <c r="AA336" s="233">
        <v>1470</v>
      </c>
      <c r="AB336" s="233">
        <v>1568155</v>
      </c>
      <c r="AC336" s="233">
        <v>1487186</v>
      </c>
      <c r="AD336" s="233">
        <v>1486624</v>
      </c>
      <c r="AE336" s="233">
        <v>561</v>
      </c>
      <c r="AF336" s="233">
        <v>1537024</v>
      </c>
      <c r="AG336" s="233">
        <v>33871</v>
      </c>
      <c r="AH336" s="233">
        <v>2073</v>
      </c>
      <c r="AI336" s="233">
        <v>1371146</v>
      </c>
      <c r="AJ336" s="233">
        <v>67074</v>
      </c>
    </row>
    <row r="337" spans="1:36">
      <c r="A337" s="240">
        <v>1</v>
      </c>
      <c r="B337" s="241" t="s">
        <v>3997</v>
      </c>
      <c r="C337" s="241" t="s">
        <v>3432</v>
      </c>
      <c r="D337" s="241" t="s">
        <v>4650</v>
      </c>
      <c r="E337" s="241">
        <v>6</v>
      </c>
      <c r="F337" s="242" t="s">
        <v>4651</v>
      </c>
      <c r="G337" s="233">
        <v>18602</v>
      </c>
      <c r="H337" s="233">
        <v>18214253</v>
      </c>
      <c r="I337" s="233">
        <v>16400733</v>
      </c>
      <c r="J337" s="233">
        <v>16321744</v>
      </c>
      <c r="K337" s="233">
        <v>78989</v>
      </c>
      <c r="L337" s="233">
        <v>17613254</v>
      </c>
      <c r="M337" s="233">
        <v>1035492</v>
      </c>
      <c r="N337" s="233">
        <v>58722</v>
      </c>
      <c r="O337" s="233">
        <v>13928567</v>
      </c>
      <c r="P337" s="233">
        <v>1695213</v>
      </c>
      <c r="Q337" s="233">
        <v>17779</v>
      </c>
      <c r="R337" s="233">
        <v>16974729</v>
      </c>
      <c r="S337" s="233">
        <v>15197410</v>
      </c>
      <c r="T337" s="233">
        <v>15118532</v>
      </c>
      <c r="U337" s="233">
        <v>78877</v>
      </c>
      <c r="V337" s="233">
        <v>16395300</v>
      </c>
      <c r="W337" s="233">
        <v>1017622</v>
      </c>
      <c r="X337" s="233">
        <v>57721</v>
      </c>
      <c r="Y337" s="233">
        <v>12799510</v>
      </c>
      <c r="Z337" s="233">
        <v>1654772</v>
      </c>
      <c r="AA337" s="233">
        <v>823</v>
      </c>
      <c r="AB337" s="233">
        <v>1239524</v>
      </c>
      <c r="AC337" s="233">
        <v>1203323</v>
      </c>
      <c r="AD337" s="233">
        <v>1203211</v>
      </c>
      <c r="AE337" s="233">
        <v>112</v>
      </c>
      <c r="AF337" s="233">
        <v>1217955</v>
      </c>
      <c r="AG337" s="233">
        <v>17870</v>
      </c>
      <c r="AH337" s="233">
        <v>1001</v>
      </c>
      <c r="AI337" s="233">
        <v>1129056</v>
      </c>
      <c r="AJ337" s="233">
        <v>40441</v>
      </c>
    </row>
    <row r="338" spans="1:36">
      <c r="A338" s="240">
        <v>1</v>
      </c>
      <c r="B338" s="241" t="s">
        <v>3997</v>
      </c>
      <c r="C338" s="241" t="s">
        <v>3432</v>
      </c>
      <c r="D338" s="241" t="s">
        <v>4652</v>
      </c>
      <c r="E338" s="241">
        <v>6</v>
      </c>
      <c r="F338" s="242" t="s">
        <v>4653</v>
      </c>
      <c r="G338" s="233">
        <v>8968</v>
      </c>
      <c r="H338" s="233">
        <v>16897351</v>
      </c>
      <c r="I338" s="233">
        <v>16204258</v>
      </c>
      <c r="J338" s="233">
        <v>16164025</v>
      </c>
      <c r="K338" s="233">
        <v>40234</v>
      </c>
      <c r="L338" s="233">
        <v>16354297</v>
      </c>
      <c r="M338" s="233">
        <v>734196</v>
      </c>
      <c r="N338" s="233">
        <v>28033</v>
      </c>
      <c r="O338" s="233">
        <v>13937347</v>
      </c>
      <c r="P338" s="233">
        <v>1305283</v>
      </c>
      <c r="Q338" s="233">
        <v>8893</v>
      </c>
      <c r="R338" s="233">
        <v>16890803</v>
      </c>
      <c r="S338" s="233">
        <v>16200443</v>
      </c>
      <c r="T338" s="233">
        <v>16160220</v>
      </c>
      <c r="U338" s="233">
        <v>40223</v>
      </c>
      <c r="V338" s="233">
        <v>16347968</v>
      </c>
      <c r="W338" s="233">
        <v>733685</v>
      </c>
      <c r="X338" s="233">
        <v>28004</v>
      </c>
      <c r="Y338" s="233">
        <v>13934416</v>
      </c>
      <c r="Z338" s="233">
        <v>1304524</v>
      </c>
      <c r="AA338" s="233">
        <v>75</v>
      </c>
      <c r="AB338" s="233">
        <v>6548</v>
      </c>
      <c r="AC338" s="233">
        <v>3815</v>
      </c>
      <c r="AD338" s="233">
        <v>3805</v>
      </c>
      <c r="AE338" s="233">
        <v>11</v>
      </c>
      <c r="AF338" s="233">
        <v>6329</v>
      </c>
      <c r="AG338" s="233">
        <v>511</v>
      </c>
      <c r="AH338" s="233">
        <v>29</v>
      </c>
      <c r="AI338" s="233">
        <v>2931</v>
      </c>
      <c r="AJ338" s="233">
        <v>759</v>
      </c>
    </row>
    <row r="339" spans="1:36">
      <c r="A339" s="240">
        <v>1</v>
      </c>
      <c r="B339" s="241" t="s">
        <v>3997</v>
      </c>
      <c r="C339" s="241" t="s">
        <v>3432</v>
      </c>
      <c r="D339" s="241" t="s">
        <v>4654</v>
      </c>
      <c r="E339" s="241">
        <v>6</v>
      </c>
      <c r="F339" s="242" t="s">
        <v>4655</v>
      </c>
      <c r="G339" s="233">
        <v>2719</v>
      </c>
      <c r="H339" s="233">
        <v>16502230</v>
      </c>
      <c r="I339" s="233">
        <v>15953248</v>
      </c>
      <c r="J339" s="233">
        <v>14802337</v>
      </c>
      <c r="K339" s="233">
        <v>1150911</v>
      </c>
      <c r="L339" s="233">
        <v>16168072</v>
      </c>
      <c r="M339" s="233">
        <v>371357</v>
      </c>
      <c r="N339" s="233">
        <v>25224</v>
      </c>
      <c r="O339" s="233">
        <v>14679277</v>
      </c>
      <c r="P339" s="233">
        <v>730739</v>
      </c>
      <c r="Q339" s="233">
        <v>2433</v>
      </c>
      <c r="R339" s="233">
        <v>16275005</v>
      </c>
      <c r="S339" s="233">
        <v>15748104</v>
      </c>
      <c r="T339" s="233">
        <v>14597631</v>
      </c>
      <c r="U339" s="233">
        <v>1150473</v>
      </c>
      <c r="V339" s="233">
        <v>15944009</v>
      </c>
      <c r="W339" s="233">
        <v>363610</v>
      </c>
      <c r="X339" s="233">
        <v>24504</v>
      </c>
      <c r="Y339" s="233">
        <v>14499220</v>
      </c>
      <c r="Z339" s="233">
        <v>719110</v>
      </c>
      <c r="AA339" s="233">
        <v>286</v>
      </c>
      <c r="AB339" s="233">
        <v>227226</v>
      </c>
      <c r="AC339" s="233">
        <v>205144</v>
      </c>
      <c r="AD339" s="233">
        <v>204706</v>
      </c>
      <c r="AE339" s="233">
        <v>438</v>
      </c>
      <c r="AF339" s="233">
        <v>224063</v>
      </c>
      <c r="AG339" s="233">
        <v>7747</v>
      </c>
      <c r="AH339" s="233">
        <v>720</v>
      </c>
      <c r="AI339" s="233">
        <v>180056</v>
      </c>
      <c r="AJ339" s="233">
        <v>11629</v>
      </c>
    </row>
    <row r="340" spans="1:36">
      <c r="A340" s="240">
        <v>1</v>
      </c>
      <c r="B340" s="241" t="s">
        <v>3997</v>
      </c>
      <c r="C340" s="241" t="s">
        <v>3432</v>
      </c>
      <c r="D340" s="241" t="s">
        <v>4656</v>
      </c>
      <c r="E340" s="241">
        <v>6</v>
      </c>
      <c r="F340" s="242" t="s">
        <v>4657</v>
      </c>
      <c r="G340" s="233">
        <v>4392</v>
      </c>
      <c r="H340" s="233">
        <v>24556890</v>
      </c>
      <c r="I340" s="233">
        <v>23605769</v>
      </c>
      <c r="J340" s="233">
        <v>23587162</v>
      </c>
      <c r="K340" s="233">
        <v>18606</v>
      </c>
      <c r="L340" s="233">
        <v>24174647</v>
      </c>
      <c r="M340" s="233">
        <v>613850</v>
      </c>
      <c r="N340" s="233">
        <v>31631</v>
      </c>
      <c r="O340" s="233">
        <v>21660071</v>
      </c>
      <c r="P340" s="233">
        <v>1027723</v>
      </c>
      <c r="Q340" s="233">
        <v>4351</v>
      </c>
      <c r="R340" s="233">
        <v>24535541</v>
      </c>
      <c r="S340" s="233">
        <v>23585742</v>
      </c>
      <c r="T340" s="233">
        <v>23567136</v>
      </c>
      <c r="U340" s="233">
        <v>18606</v>
      </c>
      <c r="V340" s="233">
        <v>24153704</v>
      </c>
      <c r="W340" s="233">
        <v>612926</v>
      </c>
      <c r="X340" s="233">
        <v>31596</v>
      </c>
      <c r="Y340" s="233">
        <v>21642727</v>
      </c>
      <c r="Z340" s="233">
        <v>1026358</v>
      </c>
      <c r="AA340" s="233">
        <v>41</v>
      </c>
      <c r="AB340" s="233">
        <v>21349</v>
      </c>
      <c r="AC340" s="233">
        <v>20026</v>
      </c>
      <c r="AD340" s="233">
        <v>20026</v>
      </c>
      <c r="AE340" s="233">
        <v>0</v>
      </c>
      <c r="AF340" s="233">
        <v>20943</v>
      </c>
      <c r="AG340" s="233">
        <v>925</v>
      </c>
      <c r="AH340" s="233">
        <v>34</v>
      </c>
      <c r="AI340" s="233">
        <v>17345</v>
      </c>
      <c r="AJ340" s="233">
        <v>1364</v>
      </c>
    </row>
    <row r="341" spans="1:36">
      <c r="A341" s="240">
        <v>1</v>
      </c>
      <c r="B341" s="241" t="s">
        <v>3997</v>
      </c>
      <c r="C341" s="241" t="s">
        <v>3432</v>
      </c>
      <c r="D341" s="241" t="s">
        <v>4658</v>
      </c>
      <c r="E341" s="241">
        <v>6</v>
      </c>
      <c r="F341" s="242" t="s">
        <v>4659</v>
      </c>
      <c r="G341" s="233">
        <v>1841</v>
      </c>
      <c r="H341" s="233">
        <v>7958244</v>
      </c>
      <c r="I341" s="233">
        <v>7710942</v>
      </c>
      <c r="J341" s="233">
        <v>7707427</v>
      </c>
      <c r="K341" s="233">
        <v>3515</v>
      </c>
      <c r="L341" s="233">
        <v>7776603</v>
      </c>
      <c r="M341" s="233">
        <v>147919</v>
      </c>
      <c r="N341" s="233">
        <v>7466</v>
      </c>
      <c r="O341" s="233">
        <v>7096934</v>
      </c>
      <c r="P341" s="233">
        <v>337027</v>
      </c>
      <c r="Q341" s="233">
        <v>1828</v>
      </c>
      <c r="R341" s="233">
        <v>7942627</v>
      </c>
      <c r="S341" s="233">
        <v>7695379</v>
      </c>
      <c r="T341" s="233">
        <v>7691864</v>
      </c>
      <c r="U341" s="233">
        <v>3515</v>
      </c>
      <c r="V341" s="233">
        <v>7761103</v>
      </c>
      <c r="W341" s="233">
        <v>147719</v>
      </c>
      <c r="X341" s="233">
        <v>7463</v>
      </c>
      <c r="Y341" s="233">
        <v>7081742</v>
      </c>
      <c r="Z341" s="233">
        <v>336707</v>
      </c>
      <c r="AA341" s="233">
        <v>13</v>
      </c>
      <c r="AB341" s="233">
        <v>15617</v>
      </c>
      <c r="AC341" s="233">
        <v>15563</v>
      </c>
      <c r="AD341" s="233">
        <v>15563</v>
      </c>
      <c r="AE341" s="233">
        <v>0</v>
      </c>
      <c r="AF341" s="233">
        <v>15500</v>
      </c>
      <c r="AG341" s="233">
        <v>200</v>
      </c>
      <c r="AH341" s="233">
        <v>3</v>
      </c>
      <c r="AI341" s="233">
        <v>15192</v>
      </c>
      <c r="AJ341" s="233">
        <v>320</v>
      </c>
    </row>
    <row r="342" spans="1:36">
      <c r="A342" s="240">
        <v>1</v>
      </c>
      <c r="B342" s="241" t="s">
        <v>3997</v>
      </c>
      <c r="C342" s="241" t="s">
        <v>3432</v>
      </c>
      <c r="D342" s="241" t="s">
        <v>4660</v>
      </c>
      <c r="E342" s="241">
        <v>6</v>
      </c>
      <c r="F342" s="242" t="s">
        <v>4661</v>
      </c>
      <c r="G342" s="233">
        <v>6194</v>
      </c>
      <c r="H342" s="233">
        <v>5208016</v>
      </c>
      <c r="I342" s="233">
        <v>4745852</v>
      </c>
      <c r="J342" s="233">
        <v>4736161</v>
      </c>
      <c r="K342" s="233">
        <v>9691</v>
      </c>
      <c r="L342" s="233">
        <v>4958491</v>
      </c>
      <c r="M342" s="233">
        <v>365793</v>
      </c>
      <c r="N342" s="233">
        <v>27503</v>
      </c>
      <c r="O342" s="233">
        <v>3641179</v>
      </c>
      <c r="P342" s="233">
        <v>642821</v>
      </c>
      <c r="Q342" s="233">
        <v>5962</v>
      </c>
      <c r="R342" s="233">
        <v>5150124</v>
      </c>
      <c r="S342" s="233">
        <v>4706537</v>
      </c>
      <c r="T342" s="233">
        <v>4696847</v>
      </c>
      <c r="U342" s="233">
        <v>9690</v>
      </c>
      <c r="V342" s="233">
        <v>4906257</v>
      </c>
      <c r="W342" s="233">
        <v>359173</v>
      </c>
      <c r="X342" s="233">
        <v>27219</v>
      </c>
      <c r="Y342" s="233">
        <v>3614613</v>
      </c>
      <c r="Z342" s="233">
        <v>630260</v>
      </c>
      <c r="AA342" s="233">
        <v>232</v>
      </c>
      <c r="AB342" s="233">
        <v>57892</v>
      </c>
      <c r="AC342" s="233">
        <v>39315</v>
      </c>
      <c r="AD342" s="233">
        <v>39314</v>
      </c>
      <c r="AE342" s="233">
        <v>1</v>
      </c>
      <c r="AF342" s="233">
        <v>52234</v>
      </c>
      <c r="AG342" s="233">
        <v>6619</v>
      </c>
      <c r="AH342" s="233">
        <v>284</v>
      </c>
      <c r="AI342" s="233">
        <v>26566</v>
      </c>
      <c r="AJ342" s="233">
        <v>12561</v>
      </c>
    </row>
    <row r="343" spans="1:36">
      <c r="A343" s="240">
        <v>1</v>
      </c>
      <c r="B343" s="241" t="s">
        <v>3997</v>
      </c>
      <c r="C343" s="241" t="s">
        <v>3172</v>
      </c>
      <c r="D343" s="241" t="s">
        <v>4662</v>
      </c>
      <c r="E343" s="241">
        <v>5</v>
      </c>
      <c r="F343" s="242" t="s">
        <v>4663</v>
      </c>
      <c r="G343" s="233">
        <v>42645</v>
      </c>
      <c r="H343" s="233">
        <v>82309514</v>
      </c>
      <c r="I343" s="233">
        <v>75518396</v>
      </c>
      <c r="J343" s="233">
        <v>73376314</v>
      </c>
      <c r="K343" s="233">
        <v>2142083</v>
      </c>
      <c r="L343" s="233">
        <v>78363355</v>
      </c>
      <c r="M343" s="233">
        <v>5371574</v>
      </c>
      <c r="N343" s="233">
        <v>191629</v>
      </c>
      <c r="O343" s="233">
        <v>60870621</v>
      </c>
      <c r="P343" s="233">
        <v>9509363</v>
      </c>
      <c r="Q343" s="233">
        <v>42363</v>
      </c>
      <c r="R343" s="233">
        <v>82128563</v>
      </c>
      <c r="S343" s="233">
        <v>75349911</v>
      </c>
      <c r="T343" s="233">
        <v>73208381</v>
      </c>
      <c r="U343" s="233">
        <v>2141529</v>
      </c>
      <c r="V343" s="233">
        <v>78179124</v>
      </c>
      <c r="W343" s="233">
        <v>5364840</v>
      </c>
      <c r="X343" s="233">
        <v>191310</v>
      </c>
      <c r="Y343" s="233">
        <v>60709508</v>
      </c>
      <c r="Z343" s="233">
        <v>9505589</v>
      </c>
      <c r="AA343" s="233">
        <v>282</v>
      </c>
      <c r="AB343" s="233">
        <v>180951</v>
      </c>
      <c r="AC343" s="233">
        <v>168486</v>
      </c>
      <c r="AD343" s="233">
        <v>167932</v>
      </c>
      <c r="AE343" s="233">
        <v>554</v>
      </c>
      <c r="AF343" s="233">
        <v>184231</v>
      </c>
      <c r="AG343" s="233">
        <v>6734</v>
      </c>
      <c r="AH343" s="233">
        <v>320</v>
      </c>
      <c r="AI343" s="233">
        <v>161113</v>
      </c>
      <c r="AJ343" s="233">
        <v>3774</v>
      </c>
    </row>
    <row r="344" spans="1:36">
      <c r="A344" s="240">
        <v>1</v>
      </c>
      <c r="B344" s="241" t="s">
        <v>3997</v>
      </c>
      <c r="C344" s="241" t="s">
        <v>3432</v>
      </c>
      <c r="D344" s="241" t="s">
        <v>4664</v>
      </c>
      <c r="E344" s="241">
        <v>6</v>
      </c>
      <c r="F344" s="242" t="s">
        <v>4665</v>
      </c>
      <c r="G344" s="233">
        <v>16973</v>
      </c>
      <c r="H344" s="233">
        <v>22080728</v>
      </c>
      <c r="I344" s="233">
        <v>19690329</v>
      </c>
      <c r="J344" s="233">
        <v>19438167</v>
      </c>
      <c r="K344" s="233">
        <v>252162</v>
      </c>
      <c r="L344" s="233">
        <v>20722398</v>
      </c>
      <c r="M344" s="233">
        <v>1746197</v>
      </c>
      <c r="N344" s="233">
        <v>76337</v>
      </c>
      <c r="O344" s="233">
        <v>14882128</v>
      </c>
      <c r="P344" s="233">
        <v>3180864</v>
      </c>
      <c r="Q344" s="233">
        <v>16863</v>
      </c>
      <c r="R344" s="233">
        <v>22065053</v>
      </c>
      <c r="S344" s="233">
        <v>19678356</v>
      </c>
      <c r="T344" s="233">
        <v>19426211</v>
      </c>
      <c r="U344" s="233">
        <v>252145</v>
      </c>
      <c r="V344" s="233">
        <v>20707818</v>
      </c>
      <c r="W344" s="233">
        <v>1744919</v>
      </c>
      <c r="X344" s="233">
        <v>76273</v>
      </c>
      <c r="Y344" s="233">
        <v>14872222</v>
      </c>
      <c r="Z344" s="233">
        <v>3178426</v>
      </c>
      <c r="AA344" s="233">
        <v>110</v>
      </c>
      <c r="AB344" s="233">
        <v>15675</v>
      </c>
      <c r="AC344" s="233">
        <v>11974</v>
      </c>
      <c r="AD344" s="233">
        <v>11957</v>
      </c>
      <c r="AE344" s="233">
        <v>17</v>
      </c>
      <c r="AF344" s="233">
        <v>14580</v>
      </c>
      <c r="AG344" s="233">
        <v>1278</v>
      </c>
      <c r="AH344" s="233">
        <v>65</v>
      </c>
      <c r="AI344" s="233">
        <v>9906</v>
      </c>
      <c r="AJ344" s="233">
        <v>2438</v>
      </c>
    </row>
    <row r="345" spans="1:36">
      <c r="A345" s="240">
        <v>1</v>
      </c>
      <c r="B345" s="241" t="s">
        <v>3997</v>
      </c>
      <c r="C345" s="241" t="s">
        <v>3432</v>
      </c>
      <c r="D345" s="241" t="s">
        <v>4666</v>
      </c>
      <c r="E345" s="241">
        <v>6</v>
      </c>
      <c r="F345" s="242" t="s">
        <v>4667</v>
      </c>
      <c r="G345" s="233">
        <v>8472</v>
      </c>
      <c r="H345" s="233">
        <v>13250541</v>
      </c>
      <c r="I345" s="233">
        <v>12407876</v>
      </c>
      <c r="J345" s="233">
        <v>11922259</v>
      </c>
      <c r="K345" s="233">
        <v>485617</v>
      </c>
      <c r="L345" s="233">
        <v>12741602</v>
      </c>
      <c r="M345" s="233">
        <v>761404</v>
      </c>
      <c r="N345" s="233">
        <v>33101</v>
      </c>
      <c r="O345" s="233">
        <v>10033234</v>
      </c>
      <c r="P345" s="233">
        <v>1303445</v>
      </c>
      <c r="Q345" s="233">
        <v>8424</v>
      </c>
      <c r="R345" s="233">
        <v>13240082</v>
      </c>
      <c r="S345" s="233">
        <v>12399651</v>
      </c>
      <c r="T345" s="233">
        <v>11914037</v>
      </c>
      <c r="U345" s="233">
        <v>485614</v>
      </c>
      <c r="V345" s="233">
        <v>12732327</v>
      </c>
      <c r="W345" s="233">
        <v>760149</v>
      </c>
      <c r="X345" s="233">
        <v>32991</v>
      </c>
      <c r="Y345" s="233">
        <v>10027659</v>
      </c>
      <c r="Z345" s="233">
        <v>1300894</v>
      </c>
      <c r="AA345" s="233">
        <v>48</v>
      </c>
      <c r="AB345" s="233">
        <v>10459</v>
      </c>
      <c r="AC345" s="233">
        <v>8225</v>
      </c>
      <c r="AD345" s="233">
        <v>8222</v>
      </c>
      <c r="AE345" s="233">
        <v>3</v>
      </c>
      <c r="AF345" s="233">
        <v>9275</v>
      </c>
      <c r="AG345" s="233">
        <v>1255</v>
      </c>
      <c r="AH345" s="233">
        <v>111</v>
      </c>
      <c r="AI345" s="233">
        <v>5575</v>
      </c>
      <c r="AJ345" s="233">
        <v>2550</v>
      </c>
    </row>
    <row r="346" spans="1:36">
      <c r="A346" s="240">
        <v>1</v>
      </c>
      <c r="B346" s="241" t="s">
        <v>3997</v>
      </c>
      <c r="C346" s="241" t="s">
        <v>3432</v>
      </c>
      <c r="D346" s="241" t="s">
        <v>4668</v>
      </c>
      <c r="E346" s="241">
        <v>6</v>
      </c>
      <c r="F346" s="242" t="s">
        <v>4669</v>
      </c>
      <c r="G346" s="233">
        <v>10866</v>
      </c>
      <c r="H346" s="233">
        <v>34576059</v>
      </c>
      <c r="I346" s="233">
        <v>31793650</v>
      </c>
      <c r="J346" s="233">
        <v>30527287</v>
      </c>
      <c r="K346" s="233">
        <v>1266363</v>
      </c>
      <c r="L346" s="233">
        <v>33093006</v>
      </c>
      <c r="M346" s="233">
        <v>1889242</v>
      </c>
      <c r="N346" s="233">
        <v>55176</v>
      </c>
      <c r="O346" s="233">
        <v>26871644</v>
      </c>
      <c r="P346" s="233">
        <v>3427472</v>
      </c>
      <c r="Q346" s="233">
        <v>10783</v>
      </c>
      <c r="R346" s="233">
        <v>34441332</v>
      </c>
      <c r="S346" s="233">
        <v>31662188</v>
      </c>
      <c r="T346" s="233">
        <v>30395825</v>
      </c>
      <c r="U346" s="233">
        <v>1266363</v>
      </c>
      <c r="V346" s="233">
        <v>32951560</v>
      </c>
      <c r="W346" s="233">
        <v>1886128</v>
      </c>
      <c r="X346" s="233">
        <v>55084</v>
      </c>
      <c r="Y346" s="233">
        <v>26741927</v>
      </c>
      <c r="Z346" s="233">
        <v>3430984</v>
      </c>
      <c r="AA346" s="233">
        <v>83</v>
      </c>
      <c r="AB346" s="233">
        <v>134727</v>
      </c>
      <c r="AC346" s="233">
        <v>131462</v>
      </c>
      <c r="AD346" s="233">
        <v>131462</v>
      </c>
      <c r="AE346" s="233">
        <v>0</v>
      </c>
      <c r="AF346" s="233">
        <v>141446</v>
      </c>
      <c r="AG346" s="233">
        <v>3114</v>
      </c>
      <c r="AH346" s="233">
        <v>92</v>
      </c>
      <c r="AI346" s="233">
        <v>129718</v>
      </c>
      <c r="AJ346" s="233">
        <v>3513</v>
      </c>
    </row>
    <row r="347" spans="1:36">
      <c r="A347" s="240">
        <v>1</v>
      </c>
      <c r="B347" s="241" t="s">
        <v>3997</v>
      </c>
      <c r="C347" s="241" t="s">
        <v>3432</v>
      </c>
      <c r="D347" s="241" t="s">
        <v>4670</v>
      </c>
      <c r="E347" s="241">
        <v>6</v>
      </c>
      <c r="F347" s="242" t="s">
        <v>4671</v>
      </c>
      <c r="G347" s="233">
        <v>6334</v>
      </c>
      <c r="H347" s="233">
        <v>12402186</v>
      </c>
      <c r="I347" s="233">
        <v>11626542</v>
      </c>
      <c r="J347" s="233">
        <v>11488600</v>
      </c>
      <c r="K347" s="233">
        <v>137941</v>
      </c>
      <c r="L347" s="233">
        <v>11806349</v>
      </c>
      <c r="M347" s="233">
        <v>974732</v>
      </c>
      <c r="N347" s="233">
        <v>27014</v>
      </c>
      <c r="O347" s="233">
        <v>9083614</v>
      </c>
      <c r="P347" s="233">
        <v>1597582</v>
      </c>
      <c r="Q347" s="233">
        <v>6293</v>
      </c>
      <c r="R347" s="233">
        <v>12382096</v>
      </c>
      <c r="S347" s="233">
        <v>11609716</v>
      </c>
      <c r="T347" s="233">
        <v>11472309</v>
      </c>
      <c r="U347" s="233">
        <v>137407</v>
      </c>
      <c r="V347" s="233">
        <v>11787419</v>
      </c>
      <c r="W347" s="233">
        <v>973644</v>
      </c>
      <c r="X347" s="233">
        <v>26963</v>
      </c>
      <c r="Y347" s="233">
        <v>9067700</v>
      </c>
      <c r="Z347" s="233">
        <v>1595284</v>
      </c>
      <c r="AA347" s="233">
        <v>41</v>
      </c>
      <c r="AB347" s="233">
        <v>20090</v>
      </c>
      <c r="AC347" s="233">
        <v>16825</v>
      </c>
      <c r="AD347" s="233">
        <v>16291</v>
      </c>
      <c r="AE347" s="233">
        <v>534</v>
      </c>
      <c r="AF347" s="233">
        <v>18930</v>
      </c>
      <c r="AG347" s="233">
        <v>1087</v>
      </c>
      <c r="AH347" s="233">
        <v>52</v>
      </c>
      <c r="AI347" s="233">
        <v>15914</v>
      </c>
      <c r="AJ347" s="233">
        <v>2299</v>
      </c>
    </row>
    <row r="348" spans="1:36">
      <c r="A348" s="240">
        <v>1</v>
      </c>
      <c r="B348" s="241" t="s">
        <v>3997</v>
      </c>
      <c r="C348" s="241" t="s">
        <v>3172</v>
      </c>
      <c r="D348" s="241" t="s">
        <v>4672</v>
      </c>
      <c r="E348" s="241">
        <v>5</v>
      </c>
      <c r="F348" s="242" t="s">
        <v>4673</v>
      </c>
      <c r="G348" s="233">
        <v>44149</v>
      </c>
      <c r="H348" s="233">
        <v>58843919</v>
      </c>
      <c r="I348" s="233">
        <v>56418133</v>
      </c>
      <c r="J348" s="233">
        <v>55528353</v>
      </c>
      <c r="K348" s="233">
        <v>889780</v>
      </c>
      <c r="L348" s="233">
        <v>56677175</v>
      </c>
      <c r="M348" s="233">
        <v>3082096</v>
      </c>
      <c r="N348" s="233">
        <v>183470</v>
      </c>
      <c r="O348" s="233">
        <v>44723366</v>
      </c>
      <c r="P348" s="233">
        <v>5432311</v>
      </c>
      <c r="Q348" s="233">
        <v>42833</v>
      </c>
      <c r="R348" s="233">
        <v>58218330</v>
      </c>
      <c r="S348" s="233">
        <v>55833770</v>
      </c>
      <c r="T348" s="233">
        <v>54947804</v>
      </c>
      <c r="U348" s="233">
        <v>885966</v>
      </c>
      <c r="V348" s="233">
        <v>56064652</v>
      </c>
      <c r="W348" s="233">
        <v>3057635</v>
      </c>
      <c r="X348" s="233">
        <v>182123</v>
      </c>
      <c r="Y348" s="233">
        <v>44200435</v>
      </c>
      <c r="Z348" s="233">
        <v>5393436</v>
      </c>
      <c r="AA348" s="233">
        <v>1316</v>
      </c>
      <c r="AB348" s="233">
        <v>625590</v>
      </c>
      <c r="AC348" s="233">
        <v>584363</v>
      </c>
      <c r="AD348" s="233">
        <v>580549</v>
      </c>
      <c r="AE348" s="233">
        <v>3814</v>
      </c>
      <c r="AF348" s="233">
        <v>612522</v>
      </c>
      <c r="AG348" s="233">
        <v>24461</v>
      </c>
      <c r="AH348" s="233">
        <v>1347</v>
      </c>
      <c r="AI348" s="233">
        <v>522930</v>
      </c>
      <c r="AJ348" s="233">
        <v>38875</v>
      </c>
    </row>
    <row r="349" spans="1:36">
      <c r="A349" s="240">
        <v>1</v>
      </c>
      <c r="B349" s="241" t="s">
        <v>3997</v>
      </c>
      <c r="C349" s="241" t="s">
        <v>3432</v>
      </c>
      <c r="D349" s="241" t="s">
        <v>4674</v>
      </c>
      <c r="E349" s="241">
        <v>6</v>
      </c>
      <c r="F349" s="242" t="s">
        <v>4675</v>
      </c>
      <c r="G349" s="233">
        <v>5994</v>
      </c>
      <c r="H349" s="233">
        <v>3997015</v>
      </c>
      <c r="I349" s="233">
        <v>3743540</v>
      </c>
      <c r="J349" s="233">
        <v>3648934</v>
      </c>
      <c r="K349" s="233">
        <v>94607</v>
      </c>
      <c r="L349" s="233">
        <v>3860316</v>
      </c>
      <c r="M349" s="233">
        <v>333727</v>
      </c>
      <c r="N349" s="233">
        <v>14806</v>
      </c>
      <c r="O349" s="233">
        <v>2761794</v>
      </c>
      <c r="P349" s="233">
        <v>485233</v>
      </c>
      <c r="Q349" s="233">
        <v>5926</v>
      </c>
      <c r="R349" s="233">
        <v>3960638</v>
      </c>
      <c r="S349" s="233">
        <v>3708902</v>
      </c>
      <c r="T349" s="233">
        <v>3614321</v>
      </c>
      <c r="U349" s="233">
        <v>94580</v>
      </c>
      <c r="V349" s="233">
        <v>3824005</v>
      </c>
      <c r="W349" s="233">
        <v>333043</v>
      </c>
      <c r="X349" s="233">
        <v>14761</v>
      </c>
      <c r="Y349" s="233">
        <v>2728065</v>
      </c>
      <c r="Z349" s="233">
        <v>484436</v>
      </c>
      <c r="AA349" s="233">
        <v>68</v>
      </c>
      <c r="AB349" s="233">
        <v>36376</v>
      </c>
      <c r="AC349" s="233">
        <v>34639</v>
      </c>
      <c r="AD349" s="233">
        <v>34612</v>
      </c>
      <c r="AE349" s="233">
        <v>26</v>
      </c>
      <c r="AF349" s="233">
        <v>36311</v>
      </c>
      <c r="AG349" s="233">
        <v>685</v>
      </c>
      <c r="AH349" s="233">
        <v>46</v>
      </c>
      <c r="AI349" s="233">
        <v>33729</v>
      </c>
      <c r="AJ349" s="233">
        <v>796</v>
      </c>
    </row>
    <row r="350" spans="1:36">
      <c r="A350" s="240">
        <v>1</v>
      </c>
      <c r="B350" s="241" t="s">
        <v>3997</v>
      </c>
      <c r="C350" s="241" t="s">
        <v>3432</v>
      </c>
      <c r="D350" s="241" t="s">
        <v>4676</v>
      </c>
      <c r="E350" s="241">
        <v>6</v>
      </c>
      <c r="F350" s="242" t="s">
        <v>4677</v>
      </c>
      <c r="G350" s="233">
        <v>8246</v>
      </c>
      <c r="H350" s="233">
        <v>25839857</v>
      </c>
      <c r="I350" s="233">
        <v>25375135</v>
      </c>
      <c r="J350" s="233">
        <v>25280620</v>
      </c>
      <c r="K350" s="233">
        <v>94514</v>
      </c>
      <c r="L350" s="233">
        <v>24759783</v>
      </c>
      <c r="M350" s="233">
        <v>1156539</v>
      </c>
      <c r="N350" s="233">
        <v>94451</v>
      </c>
      <c r="O350" s="233">
        <v>19695288</v>
      </c>
      <c r="P350" s="233">
        <v>2331064</v>
      </c>
      <c r="Q350" s="233">
        <v>8116</v>
      </c>
      <c r="R350" s="233">
        <v>25519357</v>
      </c>
      <c r="S350" s="233">
        <v>25071203</v>
      </c>
      <c r="T350" s="233">
        <v>24977787</v>
      </c>
      <c r="U350" s="233">
        <v>93416</v>
      </c>
      <c r="V350" s="233">
        <v>24444088</v>
      </c>
      <c r="W350" s="233">
        <v>1147014</v>
      </c>
      <c r="X350" s="233">
        <v>94299</v>
      </c>
      <c r="Y350" s="233">
        <v>19401218</v>
      </c>
      <c r="Z350" s="233">
        <v>2316582</v>
      </c>
      <c r="AA350" s="233">
        <v>130</v>
      </c>
      <c r="AB350" s="233">
        <v>320500</v>
      </c>
      <c r="AC350" s="233">
        <v>303932</v>
      </c>
      <c r="AD350" s="233">
        <v>302834</v>
      </c>
      <c r="AE350" s="233">
        <v>1098</v>
      </c>
      <c r="AF350" s="233">
        <v>315695</v>
      </c>
      <c r="AG350" s="233">
        <v>9525</v>
      </c>
      <c r="AH350" s="233">
        <v>153</v>
      </c>
      <c r="AI350" s="233">
        <v>294071</v>
      </c>
      <c r="AJ350" s="233">
        <v>14482</v>
      </c>
    </row>
    <row r="351" spans="1:36">
      <c r="A351" s="240">
        <v>1</v>
      </c>
      <c r="B351" s="241" t="s">
        <v>3997</v>
      </c>
      <c r="C351" s="241" t="s">
        <v>3432</v>
      </c>
      <c r="D351" s="241" t="s">
        <v>4678</v>
      </c>
      <c r="E351" s="241">
        <v>6</v>
      </c>
      <c r="F351" s="242" t="s">
        <v>4679</v>
      </c>
      <c r="G351" s="233">
        <v>3370</v>
      </c>
      <c r="H351" s="233">
        <v>6076625</v>
      </c>
      <c r="I351" s="233">
        <v>5675659</v>
      </c>
      <c r="J351" s="233">
        <v>5646394</v>
      </c>
      <c r="K351" s="233">
        <v>29265</v>
      </c>
      <c r="L351" s="233">
        <v>5899002</v>
      </c>
      <c r="M351" s="233">
        <v>241285</v>
      </c>
      <c r="N351" s="233">
        <v>13468</v>
      </c>
      <c r="O351" s="233">
        <v>4857204</v>
      </c>
      <c r="P351" s="233">
        <v>432377</v>
      </c>
      <c r="Q351" s="233">
        <v>3289</v>
      </c>
      <c r="R351" s="233">
        <v>6064344</v>
      </c>
      <c r="S351" s="233">
        <v>5664261</v>
      </c>
      <c r="T351" s="233">
        <v>5635089</v>
      </c>
      <c r="U351" s="233">
        <v>29171</v>
      </c>
      <c r="V351" s="233">
        <v>5886855</v>
      </c>
      <c r="W351" s="233">
        <v>240809</v>
      </c>
      <c r="X351" s="233">
        <v>13438</v>
      </c>
      <c r="Y351" s="233">
        <v>4854398</v>
      </c>
      <c r="Z351" s="233">
        <v>431736</v>
      </c>
      <c r="AA351" s="233">
        <v>81</v>
      </c>
      <c r="AB351" s="233">
        <v>12281</v>
      </c>
      <c r="AC351" s="233">
        <v>11399</v>
      </c>
      <c r="AD351" s="233">
        <v>11305</v>
      </c>
      <c r="AE351" s="233">
        <v>94</v>
      </c>
      <c r="AF351" s="233">
        <v>12146</v>
      </c>
      <c r="AG351" s="233">
        <v>476</v>
      </c>
      <c r="AH351" s="233">
        <v>30</v>
      </c>
      <c r="AI351" s="233">
        <v>2806</v>
      </c>
      <c r="AJ351" s="233">
        <v>641</v>
      </c>
    </row>
    <row r="352" spans="1:36">
      <c r="A352" s="240">
        <v>1</v>
      </c>
      <c r="B352" s="241" t="s">
        <v>3997</v>
      </c>
      <c r="C352" s="241" t="s">
        <v>3432</v>
      </c>
      <c r="D352" s="241" t="s">
        <v>4680</v>
      </c>
      <c r="E352" s="241">
        <v>6</v>
      </c>
      <c r="F352" s="242" t="s">
        <v>4681</v>
      </c>
      <c r="G352" s="233">
        <v>26539</v>
      </c>
      <c r="H352" s="233">
        <v>22930422</v>
      </c>
      <c r="I352" s="233">
        <v>21623798</v>
      </c>
      <c r="J352" s="233">
        <v>20952405</v>
      </c>
      <c r="K352" s="233">
        <v>671393</v>
      </c>
      <c r="L352" s="233">
        <v>22158074</v>
      </c>
      <c r="M352" s="233">
        <v>1350545</v>
      </c>
      <c r="N352" s="233">
        <v>60744</v>
      </c>
      <c r="O352" s="233">
        <v>17409079</v>
      </c>
      <c r="P352" s="233">
        <v>2183637</v>
      </c>
      <c r="Q352" s="233">
        <v>25502</v>
      </c>
      <c r="R352" s="233">
        <v>22673990</v>
      </c>
      <c r="S352" s="233">
        <v>21389405</v>
      </c>
      <c r="T352" s="233">
        <v>20720607</v>
      </c>
      <c r="U352" s="233">
        <v>668798</v>
      </c>
      <c r="V352" s="233">
        <v>21909704</v>
      </c>
      <c r="W352" s="233">
        <v>1336770</v>
      </c>
      <c r="X352" s="233">
        <v>59625</v>
      </c>
      <c r="Y352" s="233">
        <v>17216755</v>
      </c>
      <c r="Z352" s="233">
        <v>2160681</v>
      </c>
      <c r="AA352" s="233">
        <v>1037</v>
      </c>
      <c r="AB352" s="233">
        <v>256431</v>
      </c>
      <c r="AC352" s="233">
        <v>234393</v>
      </c>
      <c r="AD352" s="233">
        <v>231798</v>
      </c>
      <c r="AE352" s="233">
        <v>2595</v>
      </c>
      <c r="AF352" s="233">
        <v>248370</v>
      </c>
      <c r="AG352" s="233">
        <v>13776</v>
      </c>
      <c r="AH352" s="233">
        <v>1119</v>
      </c>
      <c r="AI352" s="233">
        <v>192324</v>
      </c>
      <c r="AJ352" s="233">
        <v>22956</v>
      </c>
    </row>
    <row r="353" spans="1:36">
      <c r="A353" s="240">
        <v>1</v>
      </c>
      <c r="B353" s="241" t="s">
        <v>3997</v>
      </c>
      <c r="C353" s="241" t="s">
        <v>4455</v>
      </c>
      <c r="D353" s="241" t="s">
        <v>4682</v>
      </c>
      <c r="E353" s="241">
        <v>7</v>
      </c>
      <c r="F353" s="242" t="s">
        <v>4683</v>
      </c>
      <c r="G353" s="233">
        <v>2456</v>
      </c>
      <c r="H353" s="233">
        <v>614768</v>
      </c>
      <c r="I353" s="233">
        <v>502038</v>
      </c>
      <c r="J353" s="233">
        <v>489451</v>
      </c>
      <c r="K353" s="233">
        <v>12587</v>
      </c>
      <c r="L353" s="233">
        <v>518059</v>
      </c>
      <c r="M353" s="233">
        <v>46066</v>
      </c>
      <c r="N353" s="233">
        <v>3272</v>
      </c>
      <c r="O353" s="233">
        <v>351058</v>
      </c>
      <c r="P353" s="233">
        <v>146047</v>
      </c>
      <c r="Q353" s="233">
        <v>2089</v>
      </c>
      <c r="R353" s="233">
        <v>577392</v>
      </c>
      <c r="S353" s="233">
        <v>472626</v>
      </c>
      <c r="T353" s="233">
        <v>460057</v>
      </c>
      <c r="U353" s="233">
        <v>12569</v>
      </c>
      <c r="V353" s="233">
        <v>482716</v>
      </c>
      <c r="W353" s="233">
        <v>42375</v>
      </c>
      <c r="X353" s="233">
        <v>2899</v>
      </c>
      <c r="Y353" s="233">
        <v>333418</v>
      </c>
      <c r="Z353" s="233">
        <v>139950</v>
      </c>
      <c r="AA353" s="233">
        <v>367</v>
      </c>
      <c r="AB353" s="233">
        <v>37376</v>
      </c>
      <c r="AC353" s="233">
        <v>29412</v>
      </c>
      <c r="AD353" s="233">
        <v>29394</v>
      </c>
      <c r="AE353" s="233">
        <v>18</v>
      </c>
      <c r="AF353" s="233">
        <v>35344</v>
      </c>
      <c r="AG353" s="233">
        <v>3692</v>
      </c>
      <c r="AH353" s="233">
        <v>373</v>
      </c>
      <c r="AI353" s="233">
        <v>17640</v>
      </c>
      <c r="AJ353" s="233">
        <v>6097</v>
      </c>
    </row>
    <row r="354" spans="1:36">
      <c r="A354" s="240">
        <v>1</v>
      </c>
      <c r="B354" s="241" t="s">
        <v>3997</v>
      </c>
      <c r="C354" s="241" t="s">
        <v>4455</v>
      </c>
      <c r="D354" s="241" t="s">
        <v>4684</v>
      </c>
      <c r="E354" s="241">
        <v>7</v>
      </c>
      <c r="F354" s="242" t="s">
        <v>4685</v>
      </c>
      <c r="G354" s="233">
        <v>24083</v>
      </c>
      <c r="H354" s="233">
        <v>22315653</v>
      </c>
      <c r="I354" s="233">
        <v>21121760</v>
      </c>
      <c r="J354" s="233">
        <v>20462954</v>
      </c>
      <c r="K354" s="233">
        <v>658806</v>
      </c>
      <c r="L354" s="233">
        <v>21640015</v>
      </c>
      <c r="M354" s="233">
        <v>1304479</v>
      </c>
      <c r="N354" s="233">
        <v>57472</v>
      </c>
      <c r="O354" s="233">
        <v>17058021</v>
      </c>
      <c r="P354" s="233">
        <v>2037590</v>
      </c>
      <c r="Q354" s="233">
        <v>23413</v>
      </c>
      <c r="R354" s="233">
        <v>22096598</v>
      </c>
      <c r="S354" s="233">
        <v>20916779</v>
      </c>
      <c r="T354" s="233">
        <v>20260550</v>
      </c>
      <c r="U354" s="233">
        <v>656229</v>
      </c>
      <c r="V354" s="233">
        <v>21426988</v>
      </c>
      <c r="W354" s="233">
        <v>1294395</v>
      </c>
      <c r="X354" s="233">
        <v>56726</v>
      </c>
      <c r="Y354" s="233">
        <v>16883337</v>
      </c>
      <c r="Z354" s="233">
        <v>2020731</v>
      </c>
      <c r="AA354" s="233">
        <v>670</v>
      </c>
      <c r="AB354" s="233">
        <v>219055</v>
      </c>
      <c r="AC354" s="233">
        <v>204981</v>
      </c>
      <c r="AD354" s="233">
        <v>202404</v>
      </c>
      <c r="AE354" s="233">
        <v>2577</v>
      </c>
      <c r="AF354" s="233">
        <v>213026</v>
      </c>
      <c r="AG354" s="233">
        <v>10084</v>
      </c>
      <c r="AH354" s="233">
        <v>746</v>
      </c>
      <c r="AI354" s="233">
        <v>174685</v>
      </c>
      <c r="AJ354" s="233">
        <v>16859</v>
      </c>
    </row>
    <row r="355" spans="1:36">
      <c r="A355" s="240">
        <v>1</v>
      </c>
      <c r="B355" s="241" t="s">
        <v>3997</v>
      </c>
      <c r="C355" s="241" t="s">
        <v>3170</v>
      </c>
      <c r="D355" s="241" t="s">
        <v>4686</v>
      </c>
      <c r="E355" s="241">
        <v>4</v>
      </c>
      <c r="F355" s="242" t="s">
        <v>4687</v>
      </c>
      <c r="G355" s="233">
        <v>240670</v>
      </c>
      <c r="H355" s="233">
        <v>153636834</v>
      </c>
      <c r="I355" s="233">
        <v>143021015</v>
      </c>
      <c r="J355" s="233">
        <v>5399121</v>
      </c>
      <c r="K355" s="233">
        <v>137621894</v>
      </c>
      <c r="L355" s="233">
        <v>149176897</v>
      </c>
      <c r="M355" s="233">
        <v>15957641</v>
      </c>
      <c r="N355" s="233">
        <v>698752</v>
      </c>
      <c r="O355" s="233">
        <v>99315767</v>
      </c>
      <c r="P355" s="233">
        <v>21116330</v>
      </c>
      <c r="Q355" s="233">
        <v>236965</v>
      </c>
      <c r="R355" s="233">
        <v>149633115</v>
      </c>
      <c r="S355" s="233">
        <v>139281839</v>
      </c>
      <c r="T355" s="233">
        <v>5382479</v>
      </c>
      <c r="U355" s="233">
        <v>133899360</v>
      </c>
      <c r="V355" s="233">
        <v>145248353</v>
      </c>
      <c r="W355" s="233">
        <v>15568027</v>
      </c>
      <c r="X355" s="233">
        <v>681616</v>
      </c>
      <c r="Y355" s="233">
        <v>96504629</v>
      </c>
      <c r="Z355" s="233">
        <v>20634405</v>
      </c>
      <c r="AA355" s="233">
        <v>3705</v>
      </c>
      <c r="AB355" s="233">
        <v>4003720</v>
      </c>
      <c r="AC355" s="233">
        <v>3739176</v>
      </c>
      <c r="AD355" s="233">
        <v>16642</v>
      </c>
      <c r="AE355" s="233">
        <v>3722534</v>
      </c>
      <c r="AF355" s="233">
        <v>3928545</v>
      </c>
      <c r="AG355" s="233">
        <v>389614</v>
      </c>
      <c r="AH355" s="233">
        <v>17135</v>
      </c>
      <c r="AI355" s="233">
        <v>2811138</v>
      </c>
      <c r="AJ355" s="233">
        <v>481924</v>
      </c>
    </row>
    <row r="356" spans="1:36">
      <c r="A356" s="240">
        <v>1</v>
      </c>
      <c r="B356" s="241" t="s">
        <v>3997</v>
      </c>
      <c r="C356" s="241" t="s">
        <v>3172</v>
      </c>
      <c r="D356" s="241" t="s">
        <v>4688</v>
      </c>
      <c r="E356" s="241">
        <v>5</v>
      </c>
      <c r="F356" s="242" t="s">
        <v>4689</v>
      </c>
      <c r="G356" s="233">
        <v>388</v>
      </c>
      <c r="H356" s="233">
        <v>12223753</v>
      </c>
      <c r="I356" s="233">
        <v>11708218</v>
      </c>
      <c r="J356" s="233">
        <v>214156</v>
      </c>
      <c r="K356" s="233">
        <v>11494062</v>
      </c>
      <c r="L356" s="233">
        <v>12277780</v>
      </c>
      <c r="M356" s="233">
        <v>1024961</v>
      </c>
      <c r="N356" s="233">
        <v>78538</v>
      </c>
      <c r="O356" s="233">
        <v>8830029</v>
      </c>
      <c r="P356" s="233">
        <v>1049472</v>
      </c>
      <c r="Q356" s="233">
        <v>372</v>
      </c>
      <c r="R356" s="233">
        <v>12174516</v>
      </c>
      <c r="S356" s="233">
        <v>11663287</v>
      </c>
      <c r="T356" s="233">
        <v>214013</v>
      </c>
      <c r="U356" s="233">
        <v>11449274</v>
      </c>
      <c r="V356" s="233">
        <v>12236417</v>
      </c>
      <c r="W356" s="233">
        <v>1020273</v>
      </c>
      <c r="X356" s="233">
        <v>78400</v>
      </c>
      <c r="Y356" s="233">
        <v>8795753</v>
      </c>
      <c r="Z356" s="233">
        <v>1036772</v>
      </c>
      <c r="AA356" s="233">
        <v>16</v>
      </c>
      <c r="AB356" s="233">
        <v>49236</v>
      </c>
      <c r="AC356" s="233">
        <v>44931</v>
      </c>
      <c r="AD356" s="233">
        <v>143</v>
      </c>
      <c r="AE356" s="233">
        <v>44788</v>
      </c>
      <c r="AF356" s="233">
        <v>41362</v>
      </c>
      <c r="AG356" s="233">
        <v>4688</v>
      </c>
      <c r="AH356" s="233">
        <v>138</v>
      </c>
      <c r="AI356" s="233">
        <v>34276</v>
      </c>
      <c r="AJ356" s="233">
        <v>12701</v>
      </c>
    </row>
    <row r="357" spans="1:36">
      <c r="A357" s="240">
        <v>1</v>
      </c>
      <c r="B357" s="241" t="s">
        <v>3997</v>
      </c>
      <c r="C357" s="241" t="s">
        <v>3432</v>
      </c>
      <c r="D357" s="241" t="s">
        <v>4690</v>
      </c>
      <c r="E357" s="241">
        <v>6</v>
      </c>
      <c r="F357" s="242" t="s">
        <v>4691</v>
      </c>
      <c r="G357" s="233">
        <v>113</v>
      </c>
      <c r="H357" s="233">
        <v>11698327</v>
      </c>
      <c r="I357" s="233">
        <v>11197974</v>
      </c>
      <c r="J357" s="233">
        <v>124495</v>
      </c>
      <c r="K357" s="233">
        <v>11073479</v>
      </c>
      <c r="L357" s="233">
        <v>11796794</v>
      </c>
      <c r="M357" s="233">
        <v>982314</v>
      </c>
      <c r="N357" s="233">
        <v>75916</v>
      </c>
      <c r="O357" s="233">
        <v>8511150</v>
      </c>
      <c r="P357" s="233">
        <v>959763</v>
      </c>
      <c r="Q357" s="233">
        <v>113</v>
      </c>
      <c r="R357" s="233">
        <v>11698327</v>
      </c>
      <c r="S357" s="233">
        <v>11197974</v>
      </c>
      <c r="T357" s="233">
        <v>124495</v>
      </c>
      <c r="U357" s="233">
        <v>11073479</v>
      </c>
      <c r="V357" s="233">
        <v>11796794</v>
      </c>
      <c r="W357" s="233">
        <v>982314</v>
      </c>
      <c r="X357" s="233">
        <v>75916</v>
      </c>
      <c r="Y357" s="233">
        <v>8511150</v>
      </c>
      <c r="Z357" s="233">
        <v>959763</v>
      </c>
      <c r="AA357" s="235" t="s">
        <v>5298</v>
      </c>
      <c r="AB357" s="235" t="s">
        <v>5298</v>
      </c>
      <c r="AC357" s="235" t="s">
        <v>5298</v>
      </c>
      <c r="AD357" s="235" t="s">
        <v>5298</v>
      </c>
      <c r="AE357" s="235" t="s">
        <v>5298</v>
      </c>
      <c r="AF357" s="235" t="s">
        <v>5298</v>
      </c>
      <c r="AG357" s="235" t="s">
        <v>5298</v>
      </c>
      <c r="AH357" s="235" t="s">
        <v>5298</v>
      </c>
      <c r="AI357" s="235" t="s">
        <v>5298</v>
      </c>
      <c r="AJ357" s="235" t="s">
        <v>5298</v>
      </c>
    </row>
    <row r="358" spans="1:36">
      <c r="A358" s="240">
        <v>1</v>
      </c>
      <c r="B358" s="241" t="s">
        <v>3997</v>
      </c>
      <c r="C358" s="241" t="s">
        <v>3432</v>
      </c>
      <c r="D358" s="241" t="s">
        <v>4692</v>
      </c>
      <c r="E358" s="241">
        <v>6</v>
      </c>
      <c r="F358" s="242" t="s">
        <v>4693</v>
      </c>
      <c r="G358" s="233">
        <v>275</v>
      </c>
      <c r="H358" s="233">
        <v>525426</v>
      </c>
      <c r="I358" s="233">
        <v>510244</v>
      </c>
      <c r="J358" s="233">
        <v>89662</v>
      </c>
      <c r="K358" s="233">
        <v>420582</v>
      </c>
      <c r="L358" s="233">
        <v>480985</v>
      </c>
      <c r="M358" s="233">
        <v>42647</v>
      </c>
      <c r="N358" s="233">
        <v>2622</v>
      </c>
      <c r="O358" s="233">
        <v>318878</v>
      </c>
      <c r="P358" s="233">
        <v>89709</v>
      </c>
      <c r="Q358" s="233">
        <v>259</v>
      </c>
      <c r="R358" s="233">
        <v>476189</v>
      </c>
      <c r="S358" s="233">
        <v>465313</v>
      </c>
      <c r="T358" s="233">
        <v>89518</v>
      </c>
      <c r="U358" s="233">
        <v>375795</v>
      </c>
      <c r="V358" s="233">
        <v>439623</v>
      </c>
      <c r="W358" s="233">
        <v>37958</v>
      </c>
      <c r="X358" s="233">
        <v>2484</v>
      </c>
      <c r="Y358" s="233">
        <v>284602</v>
      </c>
      <c r="Z358" s="233">
        <v>77008</v>
      </c>
      <c r="AA358" s="233">
        <v>16</v>
      </c>
      <c r="AB358" s="233">
        <v>49236</v>
      </c>
      <c r="AC358" s="233">
        <v>44931</v>
      </c>
      <c r="AD358" s="233">
        <v>143</v>
      </c>
      <c r="AE358" s="233">
        <v>44788</v>
      </c>
      <c r="AF358" s="233">
        <v>41362</v>
      </c>
      <c r="AG358" s="233">
        <v>4688</v>
      </c>
      <c r="AH358" s="233">
        <v>138</v>
      </c>
      <c r="AI358" s="233">
        <v>34276</v>
      </c>
      <c r="AJ358" s="233">
        <v>12701</v>
      </c>
    </row>
    <row r="359" spans="1:36">
      <c r="A359" s="240">
        <v>1</v>
      </c>
      <c r="B359" s="241" t="s">
        <v>3997</v>
      </c>
      <c r="C359" s="241" t="s">
        <v>3172</v>
      </c>
      <c r="D359" s="241" t="s">
        <v>4694</v>
      </c>
      <c r="E359" s="241">
        <v>5</v>
      </c>
      <c r="F359" s="242" t="s">
        <v>4695</v>
      </c>
      <c r="G359" s="233">
        <v>21015</v>
      </c>
      <c r="H359" s="233">
        <v>9413464</v>
      </c>
      <c r="I359" s="233">
        <v>9059797</v>
      </c>
      <c r="J359" s="233">
        <v>244125</v>
      </c>
      <c r="K359" s="233">
        <v>8815672</v>
      </c>
      <c r="L359" s="233">
        <v>8820373</v>
      </c>
      <c r="M359" s="233">
        <v>1259314</v>
      </c>
      <c r="N359" s="233">
        <v>37213</v>
      </c>
      <c r="O359" s="233">
        <v>4350811</v>
      </c>
      <c r="P359" s="233">
        <v>1889619</v>
      </c>
      <c r="Q359" s="233">
        <v>20879</v>
      </c>
      <c r="R359" s="233">
        <v>9406986</v>
      </c>
      <c r="S359" s="233">
        <v>9056023</v>
      </c>
      <c r="T359" s="233">
        <v>243756</v>
      </c>
      <c r="U359" s="233">
        <v>8812266</v>
      </c>
      <c r="V359" s="233">
        <v>8814189</v>
      </c>
      <c r="W359" s="233">
        <v>1257333</v>
      </c>
      <c r="X359" s="233">
        <v>37048</v>
      </c>
      <c r="Y359" s="233">
        <v>4348991</v>
      </c>
      <c r="Z359" s="233">
        <v>1887178</v>
      </c>
      <c r="AA359" s="233">
        <v>136</v>
      </c>
      <c r="AB359" s="233">
        <v>6478</v>
      </c>
      <c r="AC359" s="233">
        <v>3774</v>
      </c>
      <c r="AD359" s="233">
        <v>369</v>
      </c>
      <c r="AE359" s="233">
        <v>3406</v>
      </c>
      <c r="AF359" s="233">
        <v>6183</v>
      </c>
      <c r="AG359" s="233">
        <v>1981</v>
      </c>
      <c r="AH359" s="233">
        <v>165</v>
      </c>
      <c r="AI359" s="233">
        <v>1819</v>
      </c>
      <c r="AJ359" s="233">
        <v>2441</v>
      </c>
    </row>
    <row r="360" spans="1:36">
      <c r="A360" s="240">
        <v>1</v>
      </c>
      <c r="B360" s="241" t="s">
        <v>3997</v>
      </c>
      <c r="C360" s="241" t="s">
        <v>3432</v>
      </c>
      <c r="D360" s="241" t="s">
        <v>4696</v>
      </c>
      <c r="E360" s="241">
        <v>6</v>
      </c>
      <c r="F360" s="242" t="s">
        <v>4697</v>
      </c>
      <c r="G360" s="233">
        <v>3554</v>
      </c>
      <c r="H360" s="233">
        <v>375358</v>
      </c>
      <c r="I360" s="233">
        <v>350663</v>
      </c>
      <c r="J360" s="233">
        <v>2555</v>
      </c>
      <c r="K360" s="233">
        <v>348108</v>
      </c>
      <c r="L360" s="233">
        <v>360989</v>
      </c>
      <c r="M360" s="233">
        <v>77482</v>
      </c>
      <c r="N360" s="233">
        <v>3181</v>
      </c>
      <c r="O360" s="233">
        <v>157218</v>
      </c>
      <c r="P360" s="233">
        <v>95032</v>
      </c>
      <c r="Q360" s="233">
        <v>3543</v>
      </c>
      <c r="R360" s="233">
        <v>375241</v>
      </c>
      <c r="S360" s="233">
        <v>350558</v>
      </c>
      <c r="T360" s="233">
        <v>2552</v>
      </c>
      <c r="U360" s="233">
        <v>348006</v>
      </c>
      <c r="V360" s="233">
        <v>360882</v>
      </c>
      <c r="W360" s="233">
        <v>77464</v>
      </c>
      <c r="X360" s="233">
        <v>3180</v>
      </c>
      <c r="Y360" s="233">
        <v>157166</v>
      </c>
      <c r="Z360" s="233">
        <v>95003</v>
      </c>
      <c r="AA360" s="233">
        <v>11</v>
      </c>
      <c r="AB360" s="233">
        <v>117</v>
      </c>
      <c r="AC360" s="233">
        <v>105</v>
      </c>
      <c r="AD360" s="233">
        <v>3</v>
      </c>
      <c r="AE360" s="233">
        <v>101</v>
      </c>
      <c r="AF360" s="233">
        <v>107</v>
      </c>
      <c r="AG360" s="233">
        <v>18</v>
      </c>
      <c r="AH360" s="233">
        <v>1</v>
      </c>
      <c r="AI360" s="233">
        <v>52</v>
      </c>
      <c r="AJ360" s="233">
        <v>30</v>
      </c>
    </row>
    <row r="361" spans="1:36">
      <c r="A361" s="240">
        <v>1</v>
      </c>
      <c r="B361" s="241" t="s">
        <v>3997</v>
      </c>
      <c r="C361" s="241" t="s">
        <v>3432</v>
      </c>
      <c r="D361" s="241" t="s">
        <v>4698</v>
      </c>
      <c r="E361" s="241">
        <v>6</v>
      </c>
      <c r="F361" s="242" t="s">
        <v>4699</v>
      </c>
      <c r="G361" s="233">
        <v>3007</v>
      </c>
      <c r="H361" s="233">
        <v>2450024</v>
      </c>
      <c r="I361" s="233">
        <v>2411433</v>
      </c>
      <c r="J361" s="233">
        <v>69572</v>
      </c>
      <c r="K361" s="233">
        <v>2341861</v>
      </c>
      <c r="L361" s="233">
        <v>2225910</v>
      </c>
      <c r="M361" s="233">
        <v>290625</v>
      </c>
      <c r="N361" s="233">
        <v>5998</v>
      </c>
      <c r="O361" s="233">
        <v>1175654</v>
      </c>
      <c r="P361" s="233">
        <v>520736</v>
      </c>
      <c r="Q361" s="233">
        <v>2990</v>
      </c>
      <c r="R361" s="233">
        <v>2449089</v>
      </c>
      <c r="S361" s="233">
        <v>2410550</v>
      </c>
      <c r="T361" s="233">
        <v>69572</v>
      </c>
      <c r="U361" s="233">
        <v>2340979</v>
      </c>
      <c r="V361" s="233">
        <v>2225066</v>
      </c>
      <c r="W361" s="233">
        <v>290454</v>
      </c>
      <c r="X361" s="233">
        <v>5973</v>
      </c>
      <c r="Y361" s="233">
        <v>1175443</v>
      </c>
      <c r="Z361" s="233">
        <v>520449</v>
      </c>
      <c r="AA361" s="233">
        <v>17</v>
      </c>
      <c r="AB361" s="233">
        <v>935</v>
      </c>
      <c r="AC361" s="233">
        <v>883</v>
      </c>
      <c r="AD361" s="233">
        <v>0</v>
      </c>
      <c r="AE361" s="233">
        <v>883</v>
      </c>
      <c r="AF361" s="233">
        <v>844</v>
      </c>
      <c r="AG361" s="233">
        <v>171</v>
      </c>
      <c r="AH361" s="233">
        <v>25</v>
      </c>
      <c r="AI361" s="233">
        <v>211</v>
      </c>
      <c r="AJ361" s="233">
        <v>288</v>
      </c>
    </row>
    <row r="362" spans="1:36">
      <c r="A362" s="240">
        <v>1</v>
      </c>
      <c r="B362" s="241" t="s">
        <v>3997</v>
      </c>
      <c r="C362" s="241" t="s">
        <v>3432</v>
      </c>
      <c r="D362" s="241" t="s">
        <v>4700</v>
      </c>
      <c r="E362" s="241">
        <v>6</v>
      </c>
      <c r="F362" s="242" t="s">
        <v>4701</v>
      </c>
      <c r="G362" s="233">
        <v>8801</v>
      </c>
      <c r="H362" s="233">
        <v>3829487</v>
      </c>
      <c r="I362" s="233">
        <v>3643452</v>
      </c>
      <c r="J362" s="233">
        <v>112537</v>
      </c>
      <c r="K362" s="233">
        <v>3530915</v>
      </c>
      <c r="L362" s="233">
        <v>3689868</v>
      </c>
      <c r="M362" s="233">
        <v>521743</v>
      </c>
      <c r="N362" s="233">
        <v>15693</v>
      </c>
      <c r="O362" s="233">
        <v>1782528</v>
      </c>
      <c r="P362" s="233">
        <v>677055</v>
      </c>
      <c r="Q362" s="233">
        <v>8774</v>
      </c>
      <c r="R362" s="233">
        <v>3826766</v>
      </c>
      <c r="S362" s="233">
        <v>3642111</v>
      </c>
      <c r="T362" s="233">
        <v>112201</v>
      </c>
      <c r="U362" s="233">
        <v>3529910</v>
      </c>
      <c r="V362" s="233">
        <v>3687372</v>
      </c>
      <c r="W362" s="233">
        <v>520655</v>
      </c>
      <c r="X362" s="233">
        <v>15590</v>
      </c>
      <c r="Y362" s="233">
        <v>1781812</v>
      </c>
      <c r="Z362" s="233">
        <v>675640</v>
      </c>
      <c r="AA362" s="233">
        <v>27</v>
      </c>
      <c r="AB362" s="233">
        <v>2721</v>
      </c>
      <c r="AC362" s="233">
        <v>1342</v>
      </c>
      <c r="AD362" s="233">
        <v>337</v>
      </c>
      <c r="AE362" s="233">
        <v>1005</v>
      </c>
      <c r="AF362" s="233">
        <v>2497</v>
      </c>
      <c r="AG362" s="233">
        <v>1088</v>
      </c>
      <c r="AH362" s="233">
        <v>103</v>
      </c>
      <c r="AI362" s="233">
        <v>716</v>
      </c>
      <c r="AJ362" s="233">
        <v>1415</v>
      </c>
    </row>
    <row r="363" spans="1:36">
      <c r="A363" s="240">
        <v>1</v>
      </c>
      <c r="B363" s="241" t="s">
        <v>3997</v>
      </c>
      <c r="C363" s="241" t="s">
        <v>3432</v>
      </c>
      <c r="D363" s="241" t="s">
        <v>4702</v>
      </c>
      <c r="E363" s="241">
        <v>6</v>
      </c>
      <c r="F363" s="242" t="s">
        <v>4703</v>
      </c>
      <c r="G363" s="233">
        <v>1257</v>
      </c>
      <c r="H363" s="233">
        <v>610426</v>
      </c>
      <c r="I363" s="233">
        <v>599067</v>
      </c>
      <c r="J363" s="233">
        <v>5448</v>
      </c>
      <c r="K363" s="233">
        <v>593619</v>
      </c>
      <c r="L363" s="233">
        <v>593731</v>
      </c>
      <c r="M363" s="233">
        <v>87570</v>
      </c>
      <c r="N363" s="233">
        <v>3463</v>
      </c>
      <c r="O363" s="233">
        <v>305652</v>
      </c>
      <c r="P363" s="233">
        <v>107728</v>
      </c>
      <c r="Q363" s="233">
        <v>1248</v>
      </c>
      <c r="R363" s="233">
        <v>610191</v>
      </c>
      <c r="S363" s="233">
        <v>598833</v>
      </c>
      <c r="T363" s="233">
        <v>5441</v>
      </c>
      <c r="U363" s="233">
        <v>593391</v>
      </c>
      <c r="V363" s="233">
        <v>593513</v>
      </c>
      <c r="W363" s="233">
        <v>87544</v>
      </c>
      <c r="X363" s="233">
        <v>3461</v>
      </c>
      <c r="Y363" s="233">
        <v>305492</v>
      </c>
      <c r="Z363" s="233">
        <v>107683</v>
      </c>
      <c r="AA363" s="233">
        <v>9</v>
      </c>
      <c r="AB363" s="233">
        <v>235</v>
      </c>
      <c r="AC363" s="233">
        <v>234</v>
      </c>
      <c r="AD363" s="233">
        <v>6</v>
      </c>
      <c r="AE363" s="233">
        <v>228</v>
      </c>
      <c r="AF363" s="233">
        <v>218</v>
      </c>
      <c r="AG363" s="233">
        <v>27</v>
      </c>
      <c r="AH363" s="233">
        <v>2</v>
      </c>
      <c r="AI363" s="233">
        <v>161</v>
      </c>
      <c r="AJ363" s="233">
        <v>45</v>
      </c>
    </row>
    <row r="364" spans="1:36">
      <c r="A364" s="240">
        <v>1</v>
      </c>
      <c r="B364" s="241" t="s">
        <v>3997</v>
      </c>
      <c r="C364" s="241" t="s">
        <v>3432</v>
      </c>
      <c r="D364" s="241" t="s">
        <v>4704</v>
      </c>
      <c r="E364" s="241">
        <v>6</v>
      </c>
      <c r="F364" s="242" t="s">
        <v>4705</v>
      </c>
      <c r="G364" s="233">
        <v>4396</v>
      </c>
      <c r="H364" s="233">
        <v>2148169</v>
      </c>
      <c r="I364" s="233">
        <v>2055183</v>
      </c>
      <c r="J364" s="233">
        <v>54013</v>
      </c>
      <c r="K364" s="233">
        <v>2001169</v>
      </c>
      <c r="L364" s="233">
        <v>1949874</v>
      </c>
      <c r="M364" s="233">
        <v>281894</v>
      </c>
      <c r="N364" s="233">
        <v>8877</v>
      </c>
      <c r="O364" s="233">
        <v>929759</v>
      </c>
      <c r="P364" s="233">
        <v>489067</v>
      </c>
      <c r="Q364" s="233">
        <v>4324</v>
      </c>
      <c r="R364" s="233">
        <v>2145699</v>
      </c>
      <c r="S364" s="233">
        <v>2053971</v>
      </c>
      <c r="T364" s="233">
        <v>53991</v>
      </c>
      <c r="U364" s="233">
        <v>1999980</v>
      </c>
      <c r="V364" s="233">
        <v>1947357</v>
      </c>
      <c r="W364" s="233">
        <v>281217</v>
      </c>
      <c r="X364" s="233">
        <v>8844</v>
      </c>
      <c r="Y364" s="233">
        <v>929078</v>
      </c>
      <c r="Z364" s="233">
        <v>488403</v>
      </c>
      <c r="AA364" s="233">
        <v>72</v>
      </c>
      <c r="AB364" s="233">
        <v>2470</v>
      </c>
      <c r="AC364" s="233">
        <v>1211</v>
      </c>
      <c r="AD364" s="233">
        <v>22</v>
      </c>
      <c r="AE364" s="233">
        <v>1189</v>
      </c>
      <c r="AF364" s="233">
        <v>2517</v>
      </c>
      <c r="AG364" s="233">
        <v>677</v>
      </c>
      <c r="AH364" s="233">
        <v>33</v>
      </c>
      <c r="AI364" s="233">
        <v>680</v>
      </c>
      <c r="AJ364" s="233">
        <v>664</v>
      </c>
    </row>
    <row r="365" spans="1:36">
      <c r="A365" s="240">
        <v>1</v>
      </c>
      <c r="B365" s="241" t="s">
        <v>3997</v>
      </c>
      <c r="C365" s="241" t="s">
        <v>3172</v>
      </c>
      <c r="D365" s="241" t="s">
        <v>4706</v>
      </c>
      <c r="E365" s="241">
        <v>5</v>
      </c>
      <c r="F365" s="242" t="s">
        <v>4707</v>
      </c>
      <c r="G365" s="233">
        <v>54954</v>
      </c>
      <c r="H365" s="233">
        <v>38095332</v>
      </c>
      <c r="I365" s="233">
        <v>36320186</v>
      </c>
      <c r="J365" s="233">
        <v>458143</v>
      </c>
      <c r="K365" s="233">
        <v>35862043</v>
      </c>
      <c r="L365" s="233">
        <v>37525131</v>
      </c>
      <c r="M365" s="233">
        <v>4196745</v>
      </c>
      <c r="N365" s="233">
        <v>135315</v>
      </c>
      <c r="O365" s="233">
        <v>25604763</v>
      </c>
      <c r="P365" s="233">
        <v>4902260</v>
      </c>
      <c r="Q365" s="233">
        <v>53466</v>
      </c>
      <c r="R365" s="233">
        <v>35721053</v>
      </c>
      <c r="S365" s="233">
        <v>34079127</v>
      </c>
      <c r="T365" s="233">
        <v>449367</v>
      </c>
      <c r="U365" s="233">
        <v>33629760</v>
      </c>
      <c r="V365" s="233">
        <v>35187945</v>
      </c>
      <c r="W365" s="233">
        <v>3946765</v>
      </c>
      <c r="X365" s="233">
        <v>122543</v>
      </c>
      <c r="Y365" s="233">
        <v>23953525</v>
      </c>
      <c r="Z365" s="233">
        <v>4602415</v>
      </c>
      <c r="AA365" s="233">
        <v>1488</v>
      </c>
      <c r="AB365" s="233">
        <v>2374279</v>
      </c>
      <c r="AC365" s="233">
        <v>2241059</v>
      </c>
      <c r="AD365" s="233">
        <v>8776</v>
      </c>
      <c r="AE365" s="233">
        <v>2232284</v>
      </c>
      <c r="AF365" s="233">
        <v>2337186</v>
      </c>
      <c r="AG365" s="233">
        <v>249980</v>
      </c>
      <c r="AH365" s="233">
        <v>12772</v>
      </c>
      <c r="AI365" s="233">
        <v>1651238</v>
      </c>
      <c r="AJ365" s="233">
        <v>299845</v>
      </c>
    </row>
    <row r="366" spans="1:36">
      <c r="A366" s="240">
        <v>1</v>
      </c>
      <c r="B366" s="241" t="s">
        <v>3997</v>
      </c>
      <c r="C366" s="241" t="s">
        <v>3432</v>
      </c>
      <c r="D366" s="241" t="s">
        <v>4708</v>
      </c>
      <c r="E366" s="241">
        <v>6</v>
      </c>
      <c r="F366" s="242" t="s">
        <v>4709</v>
      </c>
      <c r="G366" s="233">
        <v>3426</v>
      </c>
      <c r="H366" s="233">
        <v>24736644</v>
      </c>
      <c r="I366" s="233">
        <v>24083659</v>
      </c>
      <c r="J366" s="233">
        <v>120234</v>
      </c>
      <c r="K366" s="233">
        <v>23963424</v>
      </c>
      <c r="L366" s="233">
        <v>24437184</v>
      </c>
      <c r="M366" s="233">
        <v>2351110</v>
      </c>
      <c r="N366" s="233">
        <v>80429</v>
      </c>
      <c r="O366" s="233">
        <v>17988945</v>
      </c>
      <c r="P366" s="233">
        <v>2730999</v>
      </c>
      <c r="Q366" s="233">
        <v>3234</v>
      </c>
      <c r="R366" s="233">
        <v>22531413</v>
      </c>
      <c r="S366" s="233">
        <v>21971863</v>
      </c>
      <c r="T366" s="233">
        <v>115262</v>
      </c>
      <c r="U366" s="233">
        <v>21856601</v>
      </c>
      <c r="V366" s="233">
        <v>22291937</v>
      </c>
      <c r="W366" s="233">
        <v>2153875</v>
      </c>
      <c r="X366" s="233">
        <v>68914</v>
      </c>
      <c r="Y366" s="233">
        <v>16428157</v>
      </c>
      <c r="Z366" s="233">
        <v>2462264</v>
      </c>
      <c r="AA366" s="233">
        <v>192</v>
      </c>
      <c r="AB366" s="233">
        <v>2205231</v>
      </c>
      <c r="AC366" s="233">
        <v>2111795</v>
      </c>
      <c r="AD366" s="233">
        <v>4972</v>
      </c>
      <c r="AE366" s="233">
        <v>2106823</v>
      </c>
      <c r="AF366" s="233">
        <v>2145247</v>
      </c>
      <c r="AG366" s="233">
        <v>197236</v>
      </c>
      <c r="AH366" s="233">
        <v>11515</v>
      </c>
      <c r="AI366" s="233">
        <v>1560788</v>
      </c>
      <c r="AJ366" s="233">
        <v>268735</v>
      </c>
    </row>
    <row r="367" spans="1:36">
      <c r="A367" s="240">
        <v>1</v>
      </c>
      <c r="B367" s="241" t="s">
        <v>3997</v>
      </c>
      <c r="C367" s="241" t="s">
        <v>3432</v>
      </c>
      <c r="D367" s="241" t="s">
        <v>4710</v>
      </c>
      <c r="E367" s="241">
        <v>6</v>
      </c>
      <c r="F367" s="242" t="s">
        <v>4711</v>
      </c>
      <c r="G367" s="233">
        <v>3708</v>
      </c>
      <c r="H367" s="233">
        <v>611902</v>
      </c>
      <c r="I367" s="233">
        <v>575025</v>
      </c>
      <c r="J367" s="233">
        <v>24743</v>
      </c>
      <c r="K367" s="233">
        <v>550282</v>
      </c>
      <c r="L367" s="233">
        <v>603300</v>
      </c>
      <c r="M367" s="233">
        <v>82705</v>
      </c>
      <c r="N367" s="233">
        <v>3167</v>
      </c>
      <c r="O367" s="233">
        <v>382192</v>
      </c>
      <c r="P367" s="233">
        <v>94473</v>
      </c>
      <c r="Q367" s="233">
        <v>3402</v>
      </c>
      <c r="R367" s="233">
        <v>587811</v>
      </c>
      <c r="S367" s="233">
        <v>555031</v>
      </c>
      <c r="T367" s="233">
        <v>23396</v>
      </c>
      <c r="U367" s="233">
        <v>531636</v>
      </c>
      <c r="V367" s="233">
        <v>579083</v>
      </c>
      <c r="W367" s="233">
        <v>79108</v>
      </c>
      <c r="X367" s="233">
        <v>2893</v>
      </c>
      <c r="Y367" s="233">
        <v>370934</v>
      </c>
      <c r="Z367" s="233">
        <v>90730</v>
      </c>
      <c r="AA367" s="233">
        <v>306</v>
      </c>
      <c r="AB367" s="233">
        <v>24090</v>
      </c>
      <c r="AC367" s="233">
        <v>19994</v>
      </c>
      <c r="AD367" s="233">
        <v>1347</v>
      </c>
      <c r="AE367" s="233">
        <v>18646</v>
      </c>
      <c r="AF367" s="233">
        <v>24217</v>
      </c>
      <c r="AG367" s="233">
        <v>3597</v>
      </c>
      <c r="AH367" s="233">
        <v>273</v>
      </c>
      <c r="AI367" s="233">
        <v>11258</v>
      </c>
      <c r="AJ367" s="233">
        <v>3743</v>
      </c>
    </row>
    <row r="368" spans="1:36">
      <c r="A368" s="240">
        <v>1</v>
      </c>
      <c r="B368" s="241" t="s">
        <v>3997</v>
      </c>
      <c r="C368" s="241" t="s">
        <v>3432</v>
      </c>
      <c r="D368" s="241" t="s">
        <v>4712</v>
      </c>
      <c r="E368" s="241">
        <v>6</v>
      </c>
      <c r="F368" s="242" t="s">
        <v>4713</v>
      </c>
      <c r="G368" s="233">
        <v>2302</v>
      </c>
      <c r="H368" s="233">
        <v>905645</v>
      </c>
      <c r="I368" s="233">
        <v>852062</v>
      </c>
      <c r="J368" s="233">
        <v>56803</v>
      </c>
      <c r="K368" s="233">
        <v>795258</v>
      </c>
      <c r="L368" s="233">
        <v>869040</v>
      </c>
      <c r="M368" s="233">
        <v>120055</v>
      </c>
      <c r="N368" s="233">
        <v>2783</v>
      </c>
      <c r="O368" s="233">
        <v>501772</v>
      </c>
      <c r="P368" s="233">
        <v>159444</v>
      </c>
      <c r="Q368" s="233">
        <v>2284</v>
      </c>
      <c r="R368" s="233">
        <v>901297</v>
      </c>
      <c r="S368" s="233">
        <v>849240</v>
      </c>
      <c r="T368" s="233">
        <v>56797</v>
      </c>
      <c r="U368" s="233">
        <v>792442</v>
      </c>
      <c r="V368" s="233">
        <v>864803</v>
      </c>
      <c r="W368" s="233">
        <v>119418</v>
      </c>
      <c r="X368" s="233">
        <v>2758</v>
      </c>
      <c r="Y368" s="233">
        <v>499878</v>
      </c>
      <c r="Z368" s="233">
        <v>158670</v>
      </c>
      <c r="AA368" s="233">
        <v>18</v>
      </c>
      <c r="AB368" s="233">
        <v>4349</v>
      </c>
      <c r="AC368" s="233">
        <v>2822</v>
      </c>
      <c r="AD368" s="233">
        <v>6</v>
      </c>
      <c r="AE368" s="233">
        <v>2816</v>
      </c>
      <c r="AF368" s="233">
        <v>4236</v>
      </c>
      <c r="AG368" s="233">
        <v>637</v>
      </c>
      <c r="AH368" s="233">
        <v>24</v>
      </c>
      <c r="AI368" s="233">
        <v>1894</v>
      </c>
      <c r="AJ368" s="233">
        <v>774</v>
      </c>
    </row>
    <row r="369" spans="1:36">
      <c r="A369" s="240">
        <v>1</v>
      </c>
      <c r="B369" s="241" t="s">
        <v>3997</v>
      </c>
      <c r="C369" s="241" t="s">
        <v>3432</v>
      </c>
      <c r="D369" s="241" t="s">
        <v>4714</v>
      </c>
      <c r="E369" s="241">
        <v>6</v>
      </c>
      <c r="F369" s="242" t="s">
        <v>4715</v>
      </c>
      <c r="G369" s="233">
        <v>2162</v>
      </c>
      <c r="H369" s="233">
        <v>614672</v>
      </c>
      <c r="I369" s="233">
        <v>573083</v>
      </c>
      <c r="J369" s="233">
        <v>32463</v>
      </c>
      <c r="K369" s="233">
        <v>540619</v>
      </c>
      <c r="L369" s="233">
        <v>603572</v>
      </c>
      <c r="M369" s="233">
        <v>92731</v>
      </c>
      <c r="N369" s="233">
        <v>2731</v>
      </c>
      <c r="O369" s="233">
        <v>361461</v>
      </c>
      <c r="P369" s="233">
        <v>106562</v>
      </c>
      <c r="Q369" s="233">
        <v>2098</v>
      </c>
      <c r="R369" s="233">
        <v>601163</v>
      </c>
      <c r="S369" s="233">
        <v>564926</v>
      </c>
      <c r="T369" s="233">
        <v>31496</v>
      </c>
      <c r="U369" s="233">
        <v>533430</v>
      </c>
      <c r="V369" s="233">
        <v>589801</v>
      </c>
      <c r="W369" s="233">
        <v>90808</v>
      </c>
      <c r="X369" s="233">
        <v>2570</v>
      </c>
      <c r="Y369" s="233">
        <v>354620</v>
      </c>
      <c r="Z369" s="233">
        <v>104740</v>
      </c>
      <c r="AA369" s="233">
        <v>64</v>
      </c>
      <c r="AB369" s="233">
        <v>13510</v>
      </c>
      <c r="AC369" s="233">
        <v>8157</v>
      </c>
      <c r="AD369" s="233">
        <v>968</v>
      </c>
      <c r="AE369" s="233">
        <v>7190</v>
      </c>
      <c r="AF369" s="233">
        <v>13771</v>
      </c>
      <c r="AG369" s="233">
        <v>1923</v>
      </c>
      <c r="AH369" s="233">
        <v>160</v>
      </c>
      <c r="AI369" s="233">
        <v>6841</v>
      </c>
      <c r="AJ369" s="233">
        <v>1822</v>
      </c>
    </row>
    <row r="370" spans="1:36">
      <c r="A370" s="240">
        <v>1</v>
      </c>
      <c r="B370" s="241" t="s">
        <v>3997</v>
      </c>
      <c r="C370" s="241" t="s">
        <v>3432</v>
      </c>
      <c r="D370" s="241" t="s">
        <v>4716</v>
      </c>
      <c r="E370" s="241">
        <v>6</v>
      </c>
      <c r="F370" s="242" t="s">
        <v>4717</v>
      </c>
      <c r="G370" s="233">
        <v>6769</v>
      </c>
      <c r="H370" s="233">
        <v>1038989</v>
      </c>
      <c r="I370" s="233">
        <v>997765</v>
      </c>
      <c r="J370" s="233">
        <v>33996</v>
      </c>
      <c r="K370" s="233">
        <v>963769</v>
      </c>
      <c r="L370" s="233">
        <v>1037860</v>
      </c>
      <c r="M370" s="233">
        <v>89975</v>
      </c>
      <c r="N370" s="233">
        <v>4219</v>
      </c>
      <c r="O370" s="233">
        <v>769736</v>
      </c>
      <c r="P370" s="233">
        <v>95324</v>
      </c>
      <c r="Q370" s="233">
        <v>6739</v>
      </c>
      <c r="R370" s="233">
        <v>1036602</v>
      </c>
      <c r="S370" s="233">
        <v>996802</v>
      </c>
      <c r="T370" s="233">
        <v>33996</v>
      </c>
      <c r="U370" s="233">
        <v>962807</v>
      </c>
      <c r="V370" s="233">
        <v>1035103</v>
      </c>
      <c r="W370" s="233">
        <v>89236</v>
      </c>
      <c r="X370" s="233">
        <v>4177</v>
      </c>
      <c r="Y370" s="233">
        <v>769150</v>
      </c>
      <c r="Z370" s="233">
        <v>94912</v>
      </c>
      <c r="AA370" s="233">
        <v>30</v>
      </c>
      <c r="AB370" s="233">
        <v>2387</v>
      </c>
      <c r="AC370" s="233">
        <v>963</v>
      </c>
      <c r="AD370" s="233">
        <v>0</v>
      </c>
      <c r="AE370" s="233">
        <v>963</v>
      </c>
      <c r="AF370" s="233">
        <v>2756</v>
      </c>
      <c r="AG370" s="233">
        <v>739</v>
      </c>
      <c r="AH370" s="233">
        <v>41</v>
      </c>
      <c r="AI370" s="233">
        <v>586</v>
      </c>
      <c r="AJ370" s="233">
        <v>411</v>
      </c>
    </row>
    <row r="371" spans="1:36">
      <c r="A371" s="240">
        <v>1</v>
      </c>
      <c r="B371" s="241" t="s">
        <v>3997</v>
      </c>
      <c r="C371" s="241" t="s">
        <v>3432</v>
      </c>
      <c r="D371" s="241" t="s">
        <v>4718</v>
      </c>
      <c r="E371" s="241">
        <v>6</v>
      </c>
      <c r="F371" s="242" t="s">
        <v>4719</v>
      </c>
      <c r="G371" s="233">
        <v>10724</v>
      </c>
      <c r="H371" s="233">
        <v>2111383</v>
      </c>
      <c r="I371" s="233">
        <v>1812511</v>
      </c>
      <c r="J371" s="233">
        <v>102737</v>
      </c>
      <c r="K371" s="233">
        <v>1709774</v>
      </c>
      <c r="L371" s="233">
        <v>2094588</v>
      </c>
      <c r="M371" s="233">
        <v>487655</v>
      </c>
      <c r="N371" s="233">
        <v>17878</v>
      </c>
      <c r="O371" s="233">
        <v>828995</v>
      </c>
      <c r="P371" s="233">
        <v>522328</v>
      </c>
      <c r="Q371" s="233">
        <v>10479</v>
      </c>
      <c r="R371" s="233">
        <v>2096957</v>
      </c>
      <c r="S371" s="233">
        <v>1803846</v>
      </c>
      <c r="T371" s="233">
        <v>101612</v>
      </c>
      <c r="U371" s="233">
        <v>1702235</v>
      </c>
      <c r="V371" s="233">
        <v>2080830</v>
      </c>
      <c r="W371" s="233">
        <v>483464</v>
      </c>
      <c r="X371" s="233">
        <v>17733</v>
      </c>
      <c r="Y371" s="233">
        <v>823821</v>
      </c>
      <c r="Z371" s="233">
        <v>517324</v>
      </c>
      <c r="AA371" s="233">
        <v>245</v>
      </c>
      <c r="AB371" s="233">
        <v>14426</v>
      </c>
      <c r="AC371" s="233">
        <v>8664</v>
      </c>
      <c r="AD371" s="233">
        <v>1125</v>
      </c>
      <c r="AE371" s="233">
        <v>7539</v>
      </c>
      <c r="AF371" s="233">
        <v>13758</v>
      </c>
      <c r="AG371" s="233">
        <v>4191</v>
      </c>
      <c r="AH371" s="233">
        <v>146</v>
      </c>
      <c r="AI371" s="233">
        <v>5174</v>
      </c>
      <c r="AJ371" s="233">
        <v>5004</v>
      </c>
    </row>
    <row r="372" spans="1:36">
      <c r="A372" s="240">
        <v>1</v>
      </c>
      <c r="B372" s="241" t="s">
        <v>3997</v>
      </c>
      <c r="C372" s="241" t="s">
        <v>3432</v>
      </c>
      <c r="D372" s="241" t="s">
        <v>4720</v>
      </c>
      <c r="E372" s="241">
        <v>6</v>
      </c>
      <c r="F372" s="242" t="s">
        <v>4721</v>
      </c>
      <c r="G372" s="233">
        <v>25863</v>
      </c>
      <c r="H372" s="233">
        <v>8076096</v>
      </c>
      <c r="I372" s="233">
        <v>7426083</v>
      </c>
      <c r="J372" s="233">
        <v>87167</v>
      </c>
      <c r="K372" s="233">
        <v>7338916</v>
      </c>
      <c r="L372" s="233">
        <v>7879588</v>
      </c>
      <c r="M372" s="233">
        <v>972513</v>
      </c>
      <c r="N372" s="233">
        <v>24109</v>
      </c>
      <c r="O372" s="233">
        <v>4771662</v>
      </c>
      <c r="P372" s="233">
        <v>1193131</v>
      </c>
      <c r="Q372" s="233">
        <v>25230</v>
      </c>
      <c r="R372" s="233">
        <v>7965810</v>
      </c>
      <c r="S372" s="233">
        <v>7337419</v>
      </c>
      <c r="T372" s="233">
        <v>86809</v>
      </c>
      <c r="U372" s="233">
        <v>7250609</v>
      </c>
      <c r="V372" s="233">
        <v>7746387</v>
      </c>
      <c r="W372" s="233">
        <v>930856</v>
      </c>
      <c r="X372" s="233">
        <v>23497</v>
      </c>
      <c r="Y372" s="233">
        <v>4706964</v>
      </c>
      <c r="Z372" s="233">
        <v>1173776</v>
      </c>
      <c r="AA372" s="233">
        <v>633</v>
      </c>
      <c r="AB372" s="233">
        <v>110286</v>
      </c>
      <c r="AC372" s="233">
        <v>88664</v>
      </c>
      <c r="AD372" s="233">
        <v>358</v>
      </c>
      <c r="AE372" s="233">
        <v>88307</v>
      </c>
      <c r="AF372" s="233">
        <v>133200</v>
      </c>
      <c r="AG372" s="233">
        <v>41657</v>
      </c>
      <c r="AH372" s="233">
        <v>612</v>
      </c>
      <c r="AI372" s="233">
        <v>64698</v>
      </c>
      <c r="AJ372" s="233">
        <v>19355</v>
      </c>
    </row>
    <row r="373" spans="1:36">
      <c r="A373" s="240">
        <v>1</v>
      </c>
      <c r="B373" s="241" t="s">
        <v>3997</v>
      </c>
      <c r="C373" s="241" t="s">
        <v>4455</v>
      </c>
      <c r="D373" s="241" t="s">
        <v>4722</v>
      </c>
      <c r="E373" s="241">
        <v>7</v>
      </c>
      <c r="F373" s="242" t="s">
        <v>4723</v>
      </c>
      <c r="G373" s="233">
        <v>2680</v>
      </c>
      <c r="H373" s="233">
        <v>692471</v>
      </c>
      <c r="I373" s="233">
        <v>636007</v>
      </c>
      <c r="J373" s="233">
        <v>5332</v>
      </c>
      <c r="K373" s="233">
        <v>630675</v>
      </c>
      <c r="L373" s="233">
        <v>667935</v>
      </c>
      <c r="M373" s="233">
        <v>134993</v>
      </c>
      <c r="N373" s="233">
        <v>3170</v>
      </c>
      <c r="O373" s="233">
        <v>348459</v>
      </c>
      <c r="P373" s="233">
        <v>162698</v>
      </c>
      <c r="Q373" s="233">
        <v>2532</v>
      </c>
      <c r="R373" s="233">
        <v>683069</v>
      </c>
      <c r="S373" s="233">
        <v>629014</v>
      </c>
      <c r="T373" s="233">
        <v>5321</v>
      </c>
      <c r="U373" s="233">
        <v>623694</v>
      </c>
      <c r="V373" s="233">
        <v>659045</v>
      </c>
      <c r="W373" s="233">
        <v>132600</v>
      </c>
      <c r="X373" s="233">
        <v>3065</v>
      </c>
      <c r="Y373" s="233">
        <v>343292</v>
      </c>
      <c r="Z373" s="233">
        <v>159689</v>
      </c>
      <c r="AA373" s="233">
        <v>148</v>
      </c>
      <c r="AB373" s="233">
        <v>9402</v>
      </c>
      <c r="AC373" s="233">
        <v>6993</v>
      </c>
      <c r="AD373" s="233">
        <v>12</v>
      </c>
      <c r="AE373" s="233">
        <v>6981</v>
      </c>
      <c r="AF373" s="233">
        <v>8890</v>
      </c>
      <c r="AG373" s="233">
        <v>2393</v>
      </c>
      <c r="AH373" s="233">
        <v>104</v>
      </c>
      <c r="AI373" s="233">
        <v>5167</v>
      </c>
      <c r="AJ373" s="233">
        <v>3009</v>
      </c>
    </row>
    <row r="374" spans="1:36">
      <c r="A374" s="240">
        <v>1</v>
      </c>
      <c r="B374" s="241" t="s">
        <v>3997</v>
      </c>
      <c r="C374" s="241" t="s">
        <v>4455</v>
      </c>
      <c r="D374" s="241" t="s">
        <v>4724</v>
      </c>
      <c r="E374" s="241">
        <v>7</v>
      </c>
      <c r="F374" s="242" t="s">
        <v>4725</v>
      </c>
      <c r="G374" s="233">
        <v>23183</v>
      </c>
      <c r="H374" s="233">
        <v>7383625</v>
      </c>
      <c r="I374" s="233">
        <v>6790076</v>
      </c>
      <c r="J374" s="233">
        <v>81834</v>
      </c>
      <c r="K374" s="233">
        <v>6708241</v>
      </c>
      <c r="L374" s="233">
        <v>7211652</v>
      </c>
      <c r="M374" s="233">
        <v>837521</v>
      </c>
      <c r="N374" s="233">
        <v>20939</v>
      </c>
      <c r="O374" s="233">
        <v>4423203</v>
      </c>
      <c r="P374" s="233">
        <v>1030433</v>
      </c>
      <c r="Q374" s="233">
        <v>22698</v>
      </c>
      <c r="R374" s="233">
        <v>7282741</v>
      </c>
      <c r="S374" s="233">
        <v>6708404</v>
      </c>
      <c r="T374" s="233">
        <v>81488</v>
      </c>
      <c r="U374" s="233">
        <v>6626916</v>
      </c>
      <c r="V374" s="233">
        <v>7087342</v>
      </c>
      <c r="W374" s="233">
        <v>798256</v>
      </c>
      <c r="X374" s="233">
        <v>20432</v>
      </c>
      <c r="Y374" s="233">
        <v>4363672</v>
      </c>
      <c r="Z374" s="233">
        <v>1014087</v>
      </c>
      <c r="AA374" s="233">
        <v>485</v>
      </c>
      <c r="AB374" s="233">
        <v>100884</v>
      </c>
      <c r="AC374" s="233">
        <v>81672</v>
      </c>
      <c r="AD374" s="233">
        <v>346</v>
      </c>
      <c r="AE374" s="233">
        <v>81326</v>
      </c>
      <c r="AF374" s="233">
        <v>124310</v>
      </c>
      <c r="AG374" s="233">
        <v>39265</v>
      </c>
      <c r="AH374" s="233">
        <v>508</v>
      </c>
      <c r="AI374" s="233">
        <v>59531</v>
      </c>
      <c r="AJ374" s="233">
        <v>16346</v>
      </c>
    </row>
    <row r="375" spans="1:36">
      <c r="A375" s="240">
        <v>1</v>
      </c>
      <c r="B375" s="241" t="s">
        <v>3997</v>
      </c>
      <c r="C375" s="241" t="s">
        <v>3172</v>
      </c>
      <c r="D375" s="241" t="s">
        <v>4726</v>
      </c>
      <c r="E375" s="241">
        <v>5</v>
      </c>
      <c r="F375" s="242" t="s">
        <v>4727</v>
      </c>
      <c r="G375" s="233">
        <v>48527</v>
      </c>
      <c r="H375" s="233">
        <v>35174004</v>
      </c>
      <c r="I375" s="233">
        <v>30459994</v>
      </c>
      <c r="J375" s="233">
        <v>2321290</v>
      </c>
      <c r="K375" s="233">
        <v>28138704</v>
      </c>
      <c r="L375" s="233">
        <v>33923404</v>
      </c>
      <c r="M375" s="233">
        <v>3196662</v>
      </c>
      <c r="N375" s="233">
        <v>143368</v>
      </c>
      <c r="O375" s="233">
        <v>23838614</v>
      </c>
      <c r="P375" s="233">
        <v>4590631</v>
      </c>
      <c r="Q375" s="233">
        <v>48414</v>
      </c>
      <c r="R375" s="233">
        <v>35121237</v>
      </c>
      <c r="S375" s="233">
        <v>30419631</v>
      </c>
      <c r="T375" s="233">
        <v>2321192</v>
      </c>
      <c r="U375" s="233">
        <v>28098439</v>
      </c>
      <c r="V375" s="233">
        <v>33872111</v>
      </c>
      <c r="W375" s="233">
        <v>3189263</v>
      </c>
      <c r="X375" s="233">
        <v>143200</v>
      </c>
      <c r="Y375" s="233">
        <v>23808510</v>
      </c>
      <c r="Z375" s="233">
        <v>4581588</v>
      </c>
      <c r="AA375" s="233">
        <v>113</v>
      </c>
      <c r="AB375" s="233">
        <v>52767</v>
      </c>
      <c r="AC375" s="233">
        <v>40363</v>
      </c>
      <c r="AD375" s="233">
        <v>98</v>
      </c>
      <c r="AE375" s="233">
        <v>40264</v>
      </c>
      <c r="AF375" s="233">
        <v>51293</v>
      </c>
      <c r="AG375" s="233">
        <v>7400</v>
      </c>
      <c r="AH375" s="233">
        <v>168</v>
      </c>
      <c r="AI375" s="233">
        <v>30103</v>
      </c>
      <c r="AJ375" s="233">
        <v>9042</v>
      </c>
    </row>
    <row r="376" spans="1:36">
      <c r="A376" s="240">
        <v>1</v>
      </c>
      <c r="B376" s="241" t="s">
        <v>3997</v>
      </c>
      <c r="C376" s="241" t="s">
        <v>3432</v>
      </c>
      <c r="D376" s="241" t="s">
        <v>4728</v>
      </c>
      <c r="E376" s="241">
        <v>6</v>
      </c>
      <c r="F376" s="242" t="s">
        <v>4729</v>
      </c>
      <c r="G376" s="233">
        <v>34221</v>
      </c>
      <c r="H376" s="233">
        <v>23875155</v>
      </c>
      <c r="I376" s="233">
        <v>19810759</v>
      </c>
      <c r="J376" s="233">
        <v>1238783</v>
      </c>
      <c r="K376" s="233">
        <v>18571976</v>
      </c>
      <c r="L376" s="233">
        <v>23041169</v>
      </c>
      <c r="M376" s="233">
        <v>2165500</v>
      </c>
      <c r="N376" s="233">
        <v>99601</v>
      </c>
      <c r="O376" s="233">
        <v>16156283</v>
      </c>
      <c r="P376" s="233">
        <v>3099087</v>
      </c>
      <c r="Q376" s="233">
        <v>34188</v>
      </c>
      <c r="R376" s="233">
        <v>23865156</v>
      </c>
      <c r="S376" s="233">
        <v>19802866</v>
      </c>
      <c r="T376" s="233">
        <v>1238783</v>
      </c>
      <c r="U376" s="233">
        <v>18564082</v>
      </c>
      <c r="V376" s="233">
        <v>23031751</v>
      </c>
      <c r="W376" s="233">
        <v>2163636</v>
      </c>
      <c r="X376" s="233">
        <v>99488</v>
      </c>
      <c r="Y376" s="233">
        <v>16152376</v>
      </c>
      <c r="Z376" s="233">
        <v>3096530</v>
      </c>
      <c r="AA376" s="233">
        <v>33</v>
      </c>
      <c r="AB376" s="233">
        <v>9999</v>
      </c>
      <c r="AC376" s="233">
        <v>7894</v>
      </c>
      <c r="AD376" s="233">
        <v>0</v>
      </c>
      <c r="AE376" s="233">
        <v>7894</v>
      </c>
      <c r="AF376" s="233">
        <v>9418</v>
      </c>
      <c r="AG376" s="233">
        <v>1864</v>
      </c>
      <c r="AH376" s="233">
        <v>112</v>
      </c>
      <c r="AI376" s="233">
        <v>3907</v>
      </c>
      <c r="AJ376" s="233">
        <v>2557</v>
      </c>
    </row>
    <row r="377" spans="1:36">
      <c r="A377" s="240">
        <v>1</v>
      </c>
      <c r="B377" s="241" t="s">
        <v>3997</v>
      </c>
      <c r="C377" s="241" t="s">
        <v>3432</v>
      </c>
      <c r="D377" s="241" t="s">
        <v>4730</v>
      </c>
      <c r="E377" s="241">
        <v>6</v>
      </c>
      <c r="F377" s="242" t="s">
        <v>4731</v>
      </c>
      <c r="G377" s="233">
        <v>1197</v>
      </c>
      <c r="H377" s="233">
        <v>243859</v>
      </c>
      <c r="I377" s="233">
        <v>225117</v>
      </c>
      <c r="J377" s="233">
        <v>5476</v>
      </c>
      <c r="K377" s="233">
        <v>219641</v>
      </c>
      <c r="L377" s="233">
        <v>243947</v>
      </c>
      <c r="M377" s="233">
        <v>37567</v>
      </c>
      <c r="N377" s="233">
        <v>1439</v>
      </c>
      <c r="O377" s="233">
        <v>135902</v>
      </c>
      <c r="P377" s="233">
        <v>38918</v>
      </c>
      <c r="Q377" s="233">
        <v>1193</v>
      </c>
      <c r="R377" s="233">
        <v>243649</v>
      </c>
      <c r="S377" s="233">
        <v>224907</v>
      </c>
      <c r="T377" s="233">
        <v>5476</v>
      </c>
      <c r="U377" s="233">
        <v>219431</v>
      </c>
      <c r="V377" s="233">
        <v>243745</v>
      </c>
      <c r="W377" s="233">
        <v>37485</v>
      </c>
      <c r="X377" s="233">
        <v>1438</v>
      </c>
      <c r="Y377" s="233">
        <v>135883</v>
      </c>
      <c r="Z377" s="233">
        <v>38827</v>
      </c>
      <c r="AA377" s="233">
        <v>4</v>
      </c>
      <c r="AB377" s="233">
        <v>210</v>
      </c>
      <c r="AC377" s="233">
        <v>210</v>
      </c>
      <c r="AD377" s="233">
        <v>0</v>
      </c>
      <c r="AE377" s="233">
        <v>210</v>
      </c>
      <c r="AF377" s="233">
        <v>203</v>
      </c>
      <c r="AG377" s="233">
        <v>83</v>
      </c>
      <c r="AH377" s="233">
        <v>1</v>
      </c>
      <c r="AI377" s="233">
        <v>20</v>
      </c>
      <c r="AJ377" s="233">
        <v>91</v>
      </c>
    </row>
    <row r="378" spans="1:36">
      <c r="A378" s="240">
        <v>1</v>
      </c>
      <c r="B378" s="241" t="s">
        <v>3997</v>
      </c>
      <c r="C378" s="241" t="s">
        <v>3432</v>
      </c>
      <c r="D378" s="241" t="s">
        <v>4732</v>
      </c>
      <c r="E378" s="241">
        <v>6</v>
      </c>
      <c r="F378" s="242" t="s">
        <v>4733</v>
      </c>
      <c r="G378" s="233">
        <v>13109</v>
      </c>
      <c r="H378" s="233">
        <v>11054990</v>
      </c>
      <c r="I378" s="233">
        <v>10424118</v>
      </c>
      <c r="J378" s="233">
        <v>1077031</v>
      </c>
      <c r="K378" s="233">
        <v>9347087</v>
      </c>
      <c r="L378" s="233">
        <v>10638287</v>
      </c>
      <c r="M378" s="233">
        <v>993595</v>
      </c>
      <c r="N378" s="233">
        <v>42329</v>
      </c>
      <c r="O378" s="233">
        <v>7546428</v>
      </c>
      <c r="P378" s="233">
        <v>1452626</v>
      </c>
      <c r="Q378" s="233">
        <v>13033</v>
      </c>
      <c r="R378" s="233">
        <v>11012431</v>
      </c>
      <c r="S378" s="233">
        <v>10391858</v>
      </c>
      <c r="T378" s="233">
        <v>1076933</v>
      </c>
      <c r="U378" s="233">
        <v>9314926</v>
      </c>
      <c r="V378" s="233">
        <v>10596615</v>
      </c>
      <c r="W378" s="233">
        <v>988141</v>
      </c>
      <c r="X378" s="233">
        <v>42274</v>
      </c>
      <c r="Y378" s="233">
        <v>7520252</v>
      </c>
      <c r="Z378" s="233">
        <v>1446231</v>
      </c>
      <c r="AA378" s="233">
        <v>76</v>
      </c>
      <c r="AB378" s="233">
        <v>42559</v>
      </c>
      <c r="AC378" s="233">
        <v>32259</v>
      </c>
      <c r="AD378" s="233">
        <v>98</v>
      </c>
      <c r="AE378" s="233">
        <v>32161</v>
      </c>
      <c r="AF378" s="233">
        <v>41672</v>
      </c>
      <c r="AG378" s="233">
        <v>5453</v>
      </c>
      <c r="AH378" s="233">
        <v>55</v>
      </c>
      <c r="AI378" s="233">
        <v>26177</v>
      </c>
      <c r="AJ378" s="233">
        <v>6395</v>
      </c>
    </row>
    <row r="379" spans="1:36">
      <c r="A379" s="240">
        <v>1</v>
      </c>
      <c r="B379" s="241" t="s">
        <v>3997</v>
      </c>
      <c r="C379" s="241" t="s">
        <v>3172</v>
      </c>
      <c r="D379" s="241" t="s">
        <v>4734</v>
      </c>
      <c r="E379" s="241">
        <v>5</v>
      </c>
      <c r="F379" s="242" t="s">
        <v>4735</v>
      </c>
      <c r="G379" s="233">
        <v>90852</v>
      </c>
      <c r="H379" s="233">
        <v>49405405</v>
      </c>
      <c r="I379" s="233">
        <v>46805193</v>
      </c>
      <c r="J379" s="233">
        <v>1785556</v>
      </c>
      <c r="K379" s="233">
        <v>45019637</v>
      </c>
      <c r="L379" s="233">
        <v>47690741</v>
      </c>
      <c r="M379" s="233">
        <v>5477393</v>
      </c>
      <c r="N379" s="233">
        <v>274827</v>
      </c>
      <c r="O379" s="233">
        <v>31701456</v>
      </c>
      <c r="P379" s="233">
        <v>7466883</v>
      </c>
      <c r="Q379" s="233">
        <v>89448</v>
      </c>
      <c r="R379" s="233">
        <v>49016070</v>
      </c>
      <c r="S379" s="233">
        <v>46487567</v>
      </c>
      <c r="T379" s="233">
        <v>1781860</v>
      </c>
      <c r="U379" s="233">
        <v>44705707</v>
      </c>
      <c r="V379" s="233">
        <v>47305328</v>
      </c>
      <c r="W379" s="233">
        <v>5423810</v>
      </c>
      <c r="X379" s="233">
        <v>272331</v>
      </c>
      <c r="Y379" s="233">
        <v>31454210</v>
      </c>
      <c r="Z379" s="233">
        <v>7406883</v>
      </c>
      <c r="AA379" s="233">
        <v>1404</v>
      </c>
      <c r="AB379" s="233">
        <v>389335</v>
      </c>
      <c r="AC379" s="233">
        <v>317626</v>
      </c>
      <c r="AD379" s="233">
        <v>3696</v>
      </c>
      <c r="AE379" s="233">
        <v>313930</v>
      </c>
      <c r="AF379" s="233">
        <v>385413</v>
      </c>
      <c r="AG379" s="233">
        <v>53582</v>
      </c>
      <c r="AH379" s="233">
        <v>2496</v>
      </c>
      <c r="AI379" s="233">
        <v>247246</v>
      </c>
      <c r="AJ379" s="233">
        <v>60000</v>
      </c>
    </row>
    <row r="380" spans="1:36">
      <c r="A380" s="240">
        <v>1</v>
      </c>
      <c r="B380" s="241" t="s">
        <v>3997</v>
      </c>
      <c r="C380" s="241" t="s">
        <v>3432</v>
      </c>
      <c r="D380" s="241" t="s">
        <v>4736</v>
      </c>
      <c r="E380" s="241">
        <v>6</v>
      </c>
      <c r="F380" s="242" t="s">
        <v>4737</v>
      </c>
      <c r="G380" s="233">
        <v>4680</v>
      </c>
      <c r="H380" s="233">
        <v>1706997</v>
      </c>
      <c r="I380" s="233">
        <v>1639275</v>
      </c>
      <c r="J380" s="233">
        <v>16475</v>
      </c>
      <c r="K380" s="233">
        <v>1622800</v>
      </c>
      <c r="L380" s="233">
        <v>1500860</v>
      </c>
      <c r="M380" s="233">
        <v>199313</v>
      </c>
      <c r="N380" s="233">
        <v>14737</v>
      </c>
      <c r="O380" s="233">
        <v>825573</v>
      </c>
      <c r="P380" s="233">
        <v>420187</v>
      </c>
      <c r="Q380" s="233">
        <v>4656</v>
      </c>
      <c r="R380" s="233">
        <v>1706419</v>
      </c>
      <c r="S380" s="233">
        <v>1638779</v>
      </c>
      <c r="T380" s="233">
        <v>16475</v>
      </c>
      <c r="U380" s="233">
        <v>1622304</v>
      </c>
      <c r="V380" s="233">
        <v>1500318</v>
      </c>
      <c r="W380" s="233">
        <v>199225</v>
      </c>
      <c r="X380" s="233">
        <v>14727</v>
      </c>
      <c r="Y380" s="233">
        <v>825292</v>
      </c>
      <c r="Z380" s="233">
        <v>420053</v>
      </c>
      <c r="AA380" s="233">
        <v>24</v>
      </c>
      <c r="AB380" s="233">
        <v>578</v>
      </c>
      <c r="AC380" s="233">
        <v>497</v>
      </c>
      <c r="AD380" s="233">
        <v>1</v>
      </c>
      <c r="AE380" s="233">
        <v>496</v>
      </c>
      <c r="AF380" s="233">
        <v>542</v>
      </c>
      <c r="AG380" s="233">
        <v>88</v>
      </c>
      <c r="AH380" s="233">
        <v>10</v>
      </c>
      <c r="AI380" s="233">
        <v>282</v>
      </c>
      <c r="AJ380" s="233">
        <v>135</v>
      </c>
    </row>
    <row r="381" spans="1:36">
      <c r="A381" s="240">
        <v>1</v>
      </c>
      <c r="B381" s="241" t="s">
        <v>3997</v>
      </c>
      <c r="C381" s="241" t="s">
        <v>3432</v>
      </c>
      <c r="D381" s="241" t="s">
        <v>4738</v>
      </c>
      <c r="E381" s="241">
        <v>6</v>
      </c>
      <c r="F381" s="242" t="s">
        <v>4739</v>
      </c>
      <c r="G381" s="233">
        <v>3452</v>
      </c>
      <c r="H381" s="233">
        <v>1220881</v>
      </c>
      <c r="I381" s="233">
        <v>1183327</v>
      </c>
      <c r="J381" s="233">
        <v>23143</v>
      </c>
      <c r="K381" s="233">
        <v>1160184</v>
      </c>
      <c r="L381" s="233">
        <v>1158597</v>
      </c>
      <c r="M381" s="233">
        <v>165601</v>
      </c>
      <c r="N381" s="233">
        <v>5322</v>
      </c>
      <c r="O381" s="233">
        <v>610905</v>
      </c>
      <c r="P381" s="233">
        <v>233207</v>
      </c>
      <c r="Q381" s="233">
        <v>3391</v>
      </c>
      <c r="R381" s="233">
        <v>1217903</v>
      </c>
      <c r="S381" s="233">
        <v>1181535</v>
      </c>
      <c r="T381" s="233">
        <v>23127</v>
      </c>
      <c r="U381" s="233">
        <v>1158408</v>
      </c>
      <c r="V381" s="233">
        <v>1155726</v>
      </c>
      <c r="W381" s="233">
        <v>165022</v>
      </c>
      <c r="X381" s="233">
        <v>5246</v>
      </c>
      <c r="Y381" s="233">
        <v>609647</v>
      </c>
      <c r="Z381" s="233">
        <v>232445</v>
      </c>
      <c r="AA381" s="233">
        <v>61</v>
      </c>
      <c r="AB381" s="233">
        <v>2978</v>
      </c>
      <c r="AC381" s="233">
        <v>1791</v>
      </c>
      <c r="AD381" s="233">
        <v>16</v>
      </c>
      <c r="AE381" s="233">
        <v>1775</v>
      </c>
      <c r="AF381" s="233">
        <v>2871</v>
      </c>
      <c r="AG381" s="233">
        <v>579</v>
      </c>
      <c r="AH381" s="233">
        <v>75</v>
      </c>
      <c r="AI381" s="233">
        <v>1258</v>
      </c>
      <c r="AJ381" s="233">
        <v>762</v>
      </c>
    </row>
    <row r="382" spans="1:36">
      <c r="A382" s="240">
        <v>1</v>
      </c>
      <c r="B382" s="241" t="s">
        <v>3997</v>
      </c>
      <c r="C382" s="241" t="s">
        <v>3432</v>
      </c>
      <c r="D382" s="241" t="s">
        <v>4740</v>
      </c>
      <c r="E382" s="241">
        <v>6</v>
      </c>
      <c r="F382" s="242" t="s">
        <v>4741</v>
      </c>
      <c r="G382" s="233">
        <v>21982</v>
      </c>
      <c r="H382" s="233">
        <v>16243856</v>
      </c>
      <c r="I382" s="233">
        <v>15773284</v>
      </c>
      <c r="J382" s="233">
        <v>190279</v>
      </c>
      <c r="K382" s="233">
        <v>15583004</v>
      </c>
      <c r="L382" s="233">
        <v>15799971</v>
      </c>
      <c r="M382" s="233">
        <v>2021637</v>
      </c>
      <c r="N382" s="233">
        <v>111911</v>
      </c>
      <c r="O382" s="233">
        <v>10519018</v>
      </c>
      <c r="P382" s="233">
        <v>2577433</v>
      </c>
      <c r="Q382" s="233">
        <v>21765</v>
      </c>
      <c r="R382" s="233">
        <v>16107371</v>
      </c>
      <c r="S382" s="233">
        <v>15654731</v>
      </c>
      <c r="T382" s="233">
        <v>190014</v>
      </c>
      <c r="U382" s="233">
        <v>15464717</v>
      </c>
      <c r="V382" s="233">
        <v>15662921</v>
      </c>
      <c r="W382" s="233">
        <v>1999910</v>
      </c>
      <c r="X382" s="233">
        <v>110997</v>
      </c>
      <c r="Y382" s="233">
        <v>10428615</v>
      </c>
      <c r="Z382" s="233">
        <v>2555357</v>
      </c>
      <c r="AA382" s="233">
        <v>217</v>
      </c>
      <c r="AB382" s="233">
        <v>136485</v>
      </c>
      <c r="AC382" s="233">
        <v>118553</v>
      </c>
      <c r="AD382" s="233">
        <v>266</v>
      </c>
      <c r="AE382" s="233">
        <v>118287</v>
      </c>
      <c r="AF382" s="233">
        <v>137050</v>
      </c>
      <c r="AG382" s="233">
        <v>21727</v>
      </c>
      <c r="AH382" s="233">
        <v>915</v>
      </c>
      <c r="AI382" s="233">
        <v>90403</v>
      </c>
      <c r="AJ382" s="233">
        <v>22076</v>
      </c>
    </row>
    <row r="383" spans="1:36">
      <c r="A383" s="240">
        <v>1</v>
      </c>
      <c r="B383" s="241" t="s">
        <v>3997</v>
      </c>
      <c r="C383" s="241" t="s">
        <v>3432</v>
      </c>
      <c r="D383" s="241" t="s">
        <v>4742</v>
      </c>
      <c r="E383" s="241">
        <v>6</v>
      </c>
      <c r="F383" s="242" t="s">
        <v>4743</v>
      </c>
      <c r="G383" s="233">
        <v>2856</v>
      </c>
      <c r="H383" s="233">
        <v>1144312</v>
      </c>
      <c r="I383" s="233">
        <v>1064254</v>
      </c>
      <c r="J383" s="233">
        <v>141980</v>
      </c>
      <c r="K383" s="233">
        <v>922273</v>
      </c>
      <c r="L383" s="233">
        <v>1098515</v>
      </c>
      <c r="M383" s="233">
        <v>130718</v>
      </c>
      <c r="N383" s="233">
        <v>4910</v>
      </c>
      <c r="O383" s="233">
        <v>798032</v>
      </c>
      <c r="P383" s="233">
        <v>181426</v>
      </c>
      <c r="Q383" s="233">
        <v>2815</v>
      </c>
      <c r="R383" s="233">
        <v>1122156</v>
      </c>
      <c r="S383" s="233">
        <v>1046983</v>
      </c>
      <c r="T383" s="233">
        <v>140430</v>
      </c>
      <c r="U383" s="233">
        <v>906553</v>
      </c>
      <c r="V383" s="233">
        <v>1077190</v>
      </c>
      <c r="W383" s="233">
        <v>128443</v>
      </c>
      <c r="X383" s="233">
        <v>4813</v>
      </c>
      <c r="Y383" s="233">
        <v>783218</v>
      </c>
      <c r="Z383" s="233">
        <v>178222</v>
      </c>
      <c r="AA383" s="233">
        <v>41</v>
      </c>
      <c r="AB383" s="233">
        <v>22157</v>
      </c>
      <c r="AC383" s="233">
        <v>17270</v>
      </c>
      <c r="AD383" s="233">
        <v>1550</v>
      </c>
      <c r="AE383" s="233">
        <v>15720</v>
      </c>
      <c r="AF383" s="233">
        <v>21325</v>
      </c>
      <c r="AG383" s="233">
        <v>2275</v>
      </c>
      <c r="AH383" s="233">
        <v>97</v>
      </c>
      <c r="AI383" s="233">
        <v>14814</v>
      </c>
      <c r="AJ383" s="233">
        <v>3204</v>
      </c>
    </row>
    <row r="384" spans="1:36">
      <c r="A384" s="240">
        <v>1</v>
      </c>
      <c r="B384" s="241" t="s">
        <v>3997</v>
      </c>
      <c r="C384" s="241" t="s">
        <v>3432</v>
      </c>
      <c r="D384" s="241" t="s">
        <v>4744</v>
      </c>
      <c r="E384" s="241">
        <v>6</v>
      </c>
      <c r="F384" s="242" t="s">
        <v>4745</v>
      </c>
      <c r="G384" s="233">
        <v>16456</v>
      </c>
      <c r="H384" s="233">
        <v>13749444</v>
      </c>
      <c r="I384" s="233">
        <v>12981874</v>
      </c>
      <c r="J384" s="233">
        <v>1032664</v>
      </c>
      <c r="K384" s="233">
        <v>11949210</v>
      </c>
      <c r="L384" s="233">
        <v>13363626</v>
      </c>
      <c r="M384" s="233">
        <v>990343</v>
      </c>
      <c r="N384" s="233">
        <v>55264</v>
      </c>
      <c r="O384" s="233">
        <v>10139595</v>
      </c>
      <c r="P384" s="233">
        <v>1431426</v>
      </c>
      <c r="Q384" s="233">
        <v>16052</v>
      </c>
      <c r="R384" s="233">
        <v>13654535</v>
      </c>
      <c r="S384" s="233">
        <v>12902283</v>
      </c>
      <c r="T384" s="233">
        <v>1032361</v>
      </c>
      <c r="U384" s="233">
        <v>11869922</v>
      </c>
      <c r="V384" s="233">
        <v>13270932</v>
      </c>
      <c r="W384" s="233">
        <v>982117</v>
      </c>
      <c r="X384" s="233">
        <v>54466</v>
      </c>
      <c r="Y384" s="233">
        <v>10079496</v>
      </c>
      <c r="Z384" s="233">
        <v>1420186</v>
      </c>
      <c r="AA384" s="233">
        <v>404</v>
      </c>
      <c r="AB384" s="233">
        <v>94909</v>
      </c>
      <c r="AC384" s="233">
        <v>79591</v>
      </c>
      <c r="AD384" s="233">
        <v>303</v>
      </c>
      <c r="AE384" s="233">
        <v>79288</v>
      </c>
      <c r="AF384" s="233">
        <v>92694</v>
      </c>
      <c r="AG384" s="233">
        <v>8226</v>
      </c>
      <c r="AH384" s="233">
        <v>798</v>
      </c>
      <c r="AI384" s="233">
        <v>60099</v>
      </c>
      <c r="AJ384" s="233">
        <v>11240</v>
      </c>
    </row>
    <row r="385" spans="1:36">
      <c r="A385" s="240">
        <v>1</v>
      </c>
      <c r="B385" s="241" t="s">
        <v>3997</v>
      </c>
      <c r="C385" s="241" t="s">
        <v>3432</v>
      </c>
      <c r="D385" s="241" t="s">
        <v>4746</v>
      </c>
      <c r="E385" s="241">
        <v>6</v>
      </c>
      <c r="F385" s="242" t="s">
        <v>4747</v>
      </c>
      <c r="G385" s="233">
        <v>10131</v>
      </c>
      <c r="H385" s="233">
        <v>2824264</v>
      </c>
      <c r="I385" s="233">
        <v>2545143</v>
      </c>
      <c r="J385" s="233">
        <v>29370</v>
      </c>
      <c r="K385" s="233">
        <v>2515773</v>
      </c>
      <c r="L385" s="233">
        <v>2800443</v>
      </c>
      <c r="M385" s="233">
        <v>442461</v>
      </c>
      <c r="N385" s="233">
        <v>15587</v>
      </c>
      <c r="O385" s="233">
        <v>1677040</v>
      </c>
      <c r="P385" s="233">
        <v>481868</v>
      </c>
      <c r="Q385" s="233">
        <v>9917</v>
      </c>
      <c r="R385" s="233">
        <v>2744734</v>
      </c>
      <c r="S385" s="233">
        <v>2485931</v>
      </c>
      <c r="T385" s="233">
        <v>29370</v>
      </c>
      <c r="U385" s="233">
        <v>2456560</v>
      </c>
      <c r="V385" s="233">
        <v>2722600</v>
      </c>
      <c r="W385" s="233">
        <v>429793</v>
      </c>
      <c r="X385" s="233">
        <v>15432</v>
      </c>
      <c r="Y385" s="233">
        <v>1629081</v>
      </c>
      <c r="Z385" s="233">
        <v>467359</v>
      </c>
      <c r="AA385" s="233">
        <v>214</v>
      </c>
      <c r="AB385" s="233">
        <v>79530</v>
      </c>
      <c r="AC385" s="233">
        <v>59213</v>
      </c>
      <c r="AD385" s="233">
        <v>0</v>
      </c>
      <c r="AE385" s="233">
        <v>59212</v>
      </c>
      <c r="AF385" s="233">
        <v>77843</v>
      </c>
      <c r="AG385" s="233">
        <v>12667</v>
      </c>
      <c r="AH385" s="233">
        <v>155</v>
      </c>
      <c r="AI385" s="233">
        <v>47959</v>
      </c>
      <c r="AJ385" s="233">
        <v>14510</v>
      </c>
    </row>
    <row r="386" spans="1:36">
      <c r="A386" s="240">
        <v>1</v>
      </c>
      <c r="B386" s="241" t="s">
        <v>3997</v>
      </c>
      <c r="C386" s="241" t="s">
        <v>3432</v>
      </c>
      <c r="D386" s="241" t="s">
        <v>4748</v>
      </c>
      <c r="E386" s="241">
        <v>6</v>
      </c>
      <c r="F386" s="242" t="s">
        <v>4749</v>
      </c>
      <c r="G386" s="273">
        <v>5657</v>
      </c>
      <c r="H386" s="273">
        <v>2174691</v>
      </c>
      <c r="I386" s="233">
        <v>2041625</v>
      </c>
      <c r="J386" s="233">
        <v>43318</v>
      </c>
      <c r="K386" s="233">
        <v>1998307</v>
      </c>
      <c r="L386" s="233">
        <v>2099853</v>
      </c>
      <c r="M386" s="233">
        <v>248447</v>
      </c>
      <c r="N386" s="233">
        <v>9738</v>
      </c>
      <c r="O386" s="233">
        <v>1285094</v>
      </c>
      <c r="P386" s="233">
        <v>333023</v>
      </c>
      <c r="Q386" s="233">
        <v>5630</v>
      </c>
      <c r="R386" s="233">
        <v>2174158</v>
      </c>
      <c r="S386" s="233">
        <v>2041442</v>
      </c>
      <c r="T386" s="233">
        <v>43317</v>
      </c>
      <c r="U386" s="233">
        <v>1998125</v>
      </c>
      <c r="V386" s="233">
        <v>2099294</v>
      </c>
      <c r="W386" s="233">
        <v>248236</v>
      </c>
      <c r="X386" s="233">
        <v>9733</v>
      </c>
      <c r="Y386" s="233">
        <v>1285053</v>
      </c>
      <c r="Z386" s="233">
        <v>332832</v>
      </c>
      <c r="AA386" s="233">
        <v>27</v>
      </c>
      <c r="AB386" s="233">
        <v>533</v>
      </c>
      <c r="AC386" s="233">
        <v>183</v>
      </c>
      <c r="AD386" s="233">
        <v>0</v>
      </c>
      <c r="AE386" s="233">
        <v>182</v>
      </c>
      <c r="AF386" s="233">
        <v>559</v>
      </c>
      <c r="AG386" s="233">
        <v>211</v>
      </c>
      <c r="AH386" s="233">
        <v>5</v>
      </c>
      <c r="AI386" s="233">
        <v>41</v>
      </c>
      <c r="AJ386" s="233">
        <v>191</v>
      </c>
    </row>
    <row r="387" spans="1:36">
      <c r="A387" s="240">
        <v>1</v>
      </c>
      <c r="B387" s="241" t="s">
        <v>3997</v>
      </c>
      <c r="C387" s="241" t="s">
        <v>4455</v>
      </c>
      <c r="D387" s="270" t="s">
        <v>4750</v>
      </c>
      <c r="E387" s="241">
        <v>7</v>
      </c>
      <c r="F387" s="242" t="s">
        <v>4751</v>
      </c>
      <c r="G387" s="271">
        <v>3501</v>
      </c>
      <c r="H387" s="271">
        <v>1466753</v>
      </c>
      <c r="I387" s="233">
        <v>1416385</v>
      </c>
      <c r="J387" s="233">
        <v>24436</v>
      </c>
      <c r="K387" s="233">
        <v>1391949</v>
      </c>
      <c r="L387" s="233">
        <v>1409388</v>
      </c>
      <c r="M387" s="233">
        <v>163939</v>
      </c>
      <c r="N387" s="233">
        <v>6746</v>
      </c>
      <c r="O387" s="233">
        <v>872615</v>
      </c>
      <c r="P387" s="233">
        <v>228050</v>
      </c>
      <c r="Q387" s="233">
        <v>3489</v>
      </c>
      <c r="R387" s="233">
        <v>1466515</v>
      </c>
      <c r="S387" s="233">
        <v>1416363</v>
      </c>
      <c r="T387" s="233">
        <v>24436</v>
      </c>
      <c r="U387" s="233">
        <v>1391926</v>
      </c>
      <c r="V387" s="233">
        <v>1409142</v>
      </c>
      <c r="W387" s="233">
        <v>163864</v>
      </c>
      <c r="X387" s="233">
        <v>6744</v>
      </c>
      <c r="Y387" s="233">
        <v>872607</v>
      </c>
      <c r="Z387" s="233">
        <v>227980</v>
      </c>
      <c r="AA387" s="233">
        <v>12</v>
      </c>
      <c r="AB387" s="233">
        <v>238</v>
      </c>
      <c r="AC387" s="233">
        <v>23</v>
      </c>
      <c r="AD387" s="233">
        <v>0</v>
      </c>
      <c r="AE387" s="233">
        <v>23</v>
      </c>
      <c r="AF387" s="233">
        <v>245</v>
      </c>
      <c r="AG387" s="233">
        <v>75</v>
      </c>
      <c r="AH387" s="233">
        <v>2</v>
      </c>
      <c r="AI387" s="233">
        <v>9</v>
      </c>
      <c r="AJ387" s="233">
        <v>69</v>
      </c>
    </row>
    <row r="388" spans="1:36">
      <c r="A388" s="240">
        <v>1</v>
      </c>
      <c r="B388" s="241" t="s">
        <v>3997</v>
      </c>
      <c r="C388" s="241" t="s">
        <v>4455</v>
      </c>
      <c r="D388" s="241" t="s">
        <v>4752</v>
      </c>
      <c r="E388" s="241">
        <v>7</v>
      </c>
      <c r="F388" s="242" t="s">
        <v>4753</v>
      </c>
      <c r="G388" s="233">
        <v>1229</v>
      </c>
      <c r="H388" s="233">
        <v>458052</v>
      </c>
      <c r="I388" s="233">
        <v>436016</v>
      </c>
      <c r="J388" s="233">
        <v>13217</v>
      </c>
      <c r="K388" s="233">
        <v>422799</v>
      </c>
      <c r="L388" s="233">
        <v>449721</v>
      </c>
      <c r="M388" s="233">
        <v>48038</v>
      </c>
      <c r="N388" s="233">
        <v>1605</v>
      </c>
      <c r="O388" s="233">
        <v>288383</v>
      </c>
      <c r="P388" s="233">
        <v>57973</v>
      </c>
      <c r="Q388" s="233">
        <v>1214</v>
      </c>
      <c r="R388" s="233">
        <v>457757</v>
      </c>
      <c r="S388" s="233">
        <v>435856</v>
      </c>
      <c r="T388" s="233">
        <v>13216</v>
      </c>
      <c r="U388" s="233">
        <v>422639</v>
      </c>
      <c r="V388" s="233">
        <v>449408</v>
      </c>
      <c r="W388" s="233">
        <v>47901</v>
      </c>
      <c r="X388" s="233">
        <v>1601</v>
      </c>
      <c r="Y388" s="233">
        <v>288351</v>
      </c>
      <c r="Z388" s="233">
        <v>57852</v>
      </c>
      <c r="AA388" s="233">
        <v>15</v>
      </c>
      <c r="AB388" s="233">
        <v>295</v>
      </c>
      <c r="AC388" s="233">
        <v>160</v>
      </c>
      <c r="AD388" s="233">
        <v>0</v>
      </c>
      <c r="AE388" s="233">
        <v>160</v>
      </c>
      <c r="AF388" s="233">
        <v>313</v>
      </c>
      <c r="AG388" s="233">
        <v>136</v>
      </c>
      <c r="AH388" s="233">
        <v>4</v>
      </c>
      <c r="AI388" s="233">
        <v>32</v>
      </c>
      <c r="AJ388" s="233">
        <v>122</v>
      </c>
    </row>
    <row r="389" spans="1:36">
      <c r="A389" s="240">
        <v>1</v>
      </c>
      <c r="B389" s="241" t="s">
        <v>3997</v>
      </c>
      <c r="C389" s="241" t="s">
        <v>4455</v>
      </c>
      <c r="D389" s="241" t="s">
        <v>4754</v>
      </c>
      <c r="E389" s="241">
        <v>7</v>
      </c>
      <c r="F389" s="242" t="s">
        <v>4755</v>
      </c>
      <c r="G389" s="233">
        <v>927</v>
      </c>
      <c r="H389" s="233">
        <v>249886</v>
      </c>
      <c r="I389" s="233">
        <v>189223</v>
      </c>
      <c r="J389" s="233">
        <v>5664</v>
      </c>
      <c r="K389" s="233">
        <v>183559</v>
      </c>
      <c r="L389" s="233">
        <v>240743</v>
      </c>
      <c r="M389" s="233">
        <v>36471</v>
      </c>
      <c r="N389" s="233">
        <v>1387</v>
      </c>
      <c r="O389" s="233">
        <v>124096</v>
      </c>
      <c r="P389" s="233">
        <v>47000</v>
      </c>
      <c r="Q389" s="233">
        <v>927</v>
      </c>
      <c r="R389" s="233">
        <v>249886</v>
      </c>
      <c r="S389" s="233">
        <v>189223</v>
      </c>
      <c r="T389" s="233">
        <v>5664</v>
      </c>
      <c r="U389" s="233">
        <v>183559</v>
      </c>
      <c r="V389" s="233">
        <v>240743</v>
      </c>
      <c r="W389" s="233">
        <v>36471</v>
      </c>
      <c r="X389" s="233">
        <v>1387</v>
      </c>
      <c r="Y389" s="233">
        <v>124096</v>
      </c>
      <c r="Z389" s="233">
        <v>47000</v>
      </c>
      <c r="AA389" s="235" t="s">
        <v>5298</v>
      </c>
      <c r="AB389" s="235" t="s">
        <v>5298</v>
      </c>
      <c r="AC389" s="235" t="s">
        <v>5298</v>
      </c>
      <c r="AD389" s="235" t="s">
        <v>5298</v>
      </c>
      <c r="AE389" s="235" t="s">
        <v>5298</v>
      </c>
      <c r="AF389" s="235" t="s">
        <v>5298</v>
      </c>
      <c r="AG389" s="235" t="s">
        <v>5298</v>
      </c>
      <c r="AH389" s="235" t="s">
        <v>5298</v>
      </c>
      <c r="AI389" s="235" t="s">
        <v>5298</v>
      </c>
      <c r="AJ389" s="235" t="s">
        <v>5298</v>
      </c>
    </row>
    <row r="390" spans="1:36">
      <c r="A390" s="240">
        <v>1</v>
      </c>
      <c r="B390" s="241" t="s">
        <v>3997</v>
      </c>
      <c r="C390" s="241" t="s">
        <v>3432</v>
      </c>
      <c r="D390" s="241" t="s">
        <v>4756</v>
      </c>
      <c r="E390" s="241">
        <v>6</v>
      </c>
      <c r="F390" s="242" t="s">
        <v>4757</v>
      </c>
      <c r="G390" s="233">
        <v>4920</v>
      </c>
      <c r="H390" s="233">
        <v>1487827</v>
      </c>
      <c r="I390" s="233">
        <v>1328289</v>
      </c>
      <c r="J390" s="233">
        <v>50816</v>
      </c>
      <c r="K390" s="233">
        <v>1277473</v>
      </c>
      <c r="L390" s="233">
        <v>1383060</v>
      </c>
      <c r="M390" s="233">
        <v>238013</v>
      </c>
      <c r="N390" s="233">
        <v>6352</v>
      </c>
      <c r="O390" s="233">
        <v>675318</v>
      </c>
      <c r="P390" s="233">
        <v>349132</v>
      </c>
      <c r="Q390" s="233">
        <v>4912</v>
      </c>
      <c r="R390" s="233">
        <v>1487414</v>
      </c>
      <c r="S390" s="233">
        <v>1327936</v>
      </c>
      <c r="T390" s="233">
        <v>50816</v>
      </c>
      <c r="U390" s="233">
        <v>1277120</v>
      </c>
      <c r="V390" s="233">
        <v>1382614</v>
      </c>
      <c r="W390" s="233">
        <v>237930</v>
      </c>
      <c r="X390" s="233">
        <v>6339</v>
      </c>
      <c r="Y390" s="233">
        <v>675264</v>
      </c>
      <c r="Z390" s="233">
        <v>349069</v>
      </c>
      <c r="AA390" s="233">
        <v>8</v>
      </c>
      <c r="AB390" s="233">
        <v>412</v>
      </c>
      <c r="AC390" s="233">
        <v>353</v>
      </c>
      <c r="AD390" s="233">
        <v>0</v>
      </c>
      <c r="AE390" s="233">
        <v>353</v>
      </c>
      <c r="AF390" s="233">
        <v>446</v>
      </c>
      <c r="AG390" s="233">
        <v>84</v>
      </c>
      <c r="AH390" s="233">
        <v>13</v>
      </c>
      <c r="AI390" s="233">
        <v>54</v>
      </c>
      <c r="AJ390" s="233">
        <v>63</v>
      </c>
    </row>
    <row r="391" spans="1:36">
      <c r="A391" s="240">
        <v>1</v>
      </c>
      <c r="B391" s="241" t="s">
        <v>3997</v>
      </c>
      <c r="C391" s="241" t="s">
        <v>3432</v>
      </c>
      <c r="D391" s="241" t="s">
        <v>4758</v>
      </c>
      <c r="E391" s="241">
        <v>6</v>
      </c>
      <c r="F391" s="242" t="s">
        <v>4759</v>
      </c>
      <c r="G391" s="233">
        <v>20718</v>
      </c>
      <c r="H391" s="233">
        <v>8853133</v>
      </c>
      <c r="I391" s="233">
        <v>8248123</v>
      </c>
      <c r="J391" s="233">
        <v>257509</v>
      </c>
      <c r="K391" s="233">
        <v>7990614</v>
      </c>
      <c r="L391" s="233">
        <v>8485817</v>
      </c>
      <c r="M391" s="233">
        <v>1040858</v>
      </c>
      <c r="N391" s="233">
        <v>51006</v>
      </c>
      <c r="O391" s="233">
        <v>5170880</v>
      </c>
      <c r="P391" s="233">
        <v>1459180</v>
      </c>
      <c r="Q391" s="233">
        <v>20310</v>
      </c>
      <c r="R391" s="233">
        <v>8801380</v>
      </c>
      <c r="S391" s="233">
        <v>8207947</v>
      </c>
      <c r="T391" s="233">
        <v>255949</v>
      </c>
      <c r="U391" s="233">
        <v>7951998</v>
      </c>
      <c r="V391" s="233">
        <v>8433733</v>
      </c>
      <c r="W391" s="233">
        <v>1033134</v>
      </c>
      <c r="X391" s="233">
        <v>50580</v>
      </c>
      <c r="Y391" s="233">
        <v>5138545</v>
      </c>
      <c r="Z391" s="233">
        <v>1451361</v>
      </c>
      <c r="AA391" s="233">
        <v>408</v>
      </c>
      <c r="AB391" s="233">
        <v>51752</v>
      </c>
      <c r="AC391" s="233">
        <v>40175</v>
      </c>
      <c r="AD391" s="233">
        <v>1559</v>
      </c>
      <c r="AE391" s="233">
        <v>38616</v>
      </c>
      <c r="AF391" s="233">
        <v>52084</v>
      </c>
      <c r="AG391" s="233">
        <v>7724</v>
      </c>
      <c r="AH391" s="233">
        <v>427</v>
      </c>
      <c r="AI391" s="233">
        <v>32335</v>
      </c>
      <c r="AJ391" s="233">
        <v>7819</v>
      </c>
    </row>
    <row r="392" spans="1:36">
      <c r="A392" s="240">
        <v>1</v>
      </c>
      <c r="B392" s="241" t="s">
        <v>3997</v>
      </c>
      <c r="C392" s="241" t="s">
        <v>4455</v>
      </c>
      <c r="D392" s="241" t="s">
        <v>4760</v>
      </c>
      <c r="E392" s="241">
        <v>7</v>
      </c>
      <c r="F392" s="242" t="s">
        <v>4761</v>
      </c>
      <c r="G392" s="233">
        <v>4227</v>
      </c>
      <c r="H392" s="233">
        <v>349328</v>
      </c>
      <c r="I392" s="233">
        <v>321036</v>
      </c>
      <c r="J392" s="233">
        <v>14697</v>
      </c>
      <c r="K392" s="233">
        <v>306339</v>
      </c>
      <c r="L392" s="233">
        <v>335868</v>
      </c>
      <c r="M392" s="233">
        <v>79721</v>
      </c>
      <c r="N392" s="233">
        <v>3777</v>
      </c>
      <c r="O392" s="233">
        <v>155131</v>
      </c>
      <c r="P392" s="233">
        <v>96960</v>
      </c>
      <c r="Q392" s="233">
        <v>4187</v>
      </c>
      <c r="R392" s="233">
        <v>346945</v>
      </c>
      <c r="S392" s="233">
        <v>319062</v>
      </c>
      <c r="T392" s="233">
        <v>14392</v>
      </c>
      <c r="U392" s="233">
        <v>304670</v>
      </c>
      <c r="V392" s="233">
        <v>333468</v>
      </c>
      <c r="W392" s="233">
        <v>79158</v>
      </c>
      <c r="X392" s="233">
        <v>3722</v>
      </c>
      <c r="Y392" s="233">
        <v>153945</v>
      </c>
      <c r="Z392" s="233">
        <v>96357</v>
      </c>
      <c r="AA392" s="233">
        <v>40</v>
      </c>
      <c r="AB392" s="233">
        <v>2383</v>
      </c>
      <c r="AC392" s="233">
        <v>1974</v>
      </c>
      <c r="AD392" s="233">
        <v>305</v>
      </c>
      <c r="AE392" s="233">
        <v>1668</v>
      </c>
      <c r="AF392" s="233">
        <v>2399</v>
      </c>
      <c r="AG392" s="233">
        <v>563</v>
      </c>
      <c r="AH392" s="233">
        <v>55</v>
      </c>
      <c r="AI392" s="233">
        <v>1186</v>
      </c>
      <c r="AJ392" s="233">
        <v>603</v>
      </c>
    </row>
    <row r="393" spans="1:36">
      <c r="A393" s="240">
        <v>1</v>
      </c>
      <c r="B393" s="241" t="s">
        <v>3997</v>
      </c>
      <c r="C393" s="241" t="s">
        <v>4455</v>
      </c>
      <c r="D393" s="241" t="s">
        <v>4762</v>
      </c>
      <c r="E393" s="241">
        <v>7</v>
      </c>
      <c r="F393" s="242" t="s">
        <v>4763</v>
      </c>
      <c r="G393" s="233">
        <v>891</v>
      </c>
      <c r="H393" s="233">
        <v>354126</v>
      </c>
      <c r="I393" s="233">
        <v>321173</v>
      </c>
      <c r="J393" s="233">
        <v>1936</v>
      </c>
      <c r="K393" s="233">
        <v>319237</v>
      </c>
      <c r="L393" s="233">
        <v>333209</v>
      </c>
      <c r="M393" s="233">
        <v>60725</v>
      </c>
      <c r="N393" s="233">
        <v>1758</v>
      </c>
      <c r="O393" s="233">
        <v>168895</v>
      </c>
      <c r="P393" s="233">
        <v>83400</v>
      </c>
      <c r="Q393" s="233">
        <v>888</v>
      </c>
      <c r="R393" s="233">
        <v>354042</v>
      </c>
      <c r="S393" s="233">
        <v>321138</v>
      </c>
      <c r="T393" s="233">
        <v>1936</v>
      </c>
      <c r="U393" s="233">
        <v>319202</v>
      </c>
      <c r="V393" s="233">
        <v>333131</v>
      </c>
      <c r="W393" s="233">
        <v>60702</v>
      </c>
      <c r="X393" s="233">
        <v>1758</v>
      </c>
      <c r="Y393" s="233">
        <v>168892</v>
      </c>
      <c r="Z393" s="233">
        <v>83371</v>
      </c>
      <c r="AA393" s="233">
        <v>3</v>
      </c>
      <c r="AB393" s="233">
        <v>84</v>
      </c>
      <c r="AC393" s="233">
        <v>35</v>
      </c>
      <c r="AD393" s="233">
        <v>0</v>
      </c>
      <c r="AE393" s="233">
        <v>35</v>
      </c>
      <c r="AF393" s="233">
        <v>79</v>
      </c>
      <c r="AG393" s="233">
        <v>23</v>
      </c>
      <c r="AH393" s="233">
        <v>0</v>
      </c>
      <c r="AI393" s="233">
        <v>4</v>
      </c>
      <c r="AJ393" s="233">
        <v>29</v>
      </c>
    </row>
    <row r="394" spans="1:36">
      <c r="A394" s="240">
        <v>1</v>
      </c>
      <c r="B394" s="241" t="s">
        <v>3997</v>
      </c>
      <c r="C394" s="241" t="s">
        <v>4455</v>
      </c>
      <c r="D394" s="241" t="s">
        <v>4764</v>
      </c>
      <c r="E394" s="241">
        <v>7</v>
      </c>
      <c r="F394" s="242" t="s">
        <v>4765</v>
      </c>
      <c r="G394" s="233">
        <v>1901</v>
      </c>
      <c r="H394" s="233">
        <v>780183</v>
      </c>
      <c r="I394" s="233">
        <v>721385</v>
      </c>
      <c r="J394" s="233">
        <v>48679</v>
      </c>
      <c r="K394" s="233">
        <v>672706</v>
      </c>
      <c r="L394" s="233">
        <v>730201</v>
      </c>
      <c r="M394" s="233">
        <v>110089</v>
      </c>
      <c r="N394" s="233">
        <v>3495</v>
      </c>
      <c r="O394" s="233">
        <v>389827</v>
      </c>
      <c r="P394" s="233">
        <v>163566</v>
      </c>
      <c r="Q394" s="233">
        <v>1860</v>
      </c>
      <c r="R394" s="233">
        <v>778644</v>
      </c>
      <c r="S394" s="233">
        <v>720306</v>
      </c>
      <c r="T394" s="233">
        <v>48679</v>
      </c>
      <c r="U394" s="233">
        <v>671627</v>
      </c>
      <c r="V394" s="233">
        <v>728687</v>
      </c>
      <c r="W394" s="233">
        <v>109576</v>
      </c>
      <c r="X394" s="233">
        <v>3481</v>
      </c>
      <c r="Y394" s="233">
        <v>389277</v>
      </c>
      <c r="Z394" s="233">
        <v>163014</v>
      </c>
      <c r="AA394" s="233">
        <v>41</v>
      </c>
      <c r="AB394" s="233">
        <v>1539</v>
      </c>
      <c r="AC394" s="233">
        <v>1079</v>
      </c>
      <c r="AD394" s="233">
        <v>0</v>
      </c>
      <c r="AE394" s="233">
        <v>1079</v>
      </c>
      <c r="AF394" s="233">
        <v>1514</v>
      </c>
      <c r="AG394" s="233">
        <v>513</v>
      </c>
      <c r="AH394" s="233">
        <v>14</v>
      </c>
      <c r="AI394" s="233">
        <v>550</v>
      </c>
      <c r="AJ394" s="233">
        <v>552</v>
      </c>
    </row>
    <row r="395" spans="1:36">
      <c r="A395" s="240">
        <v>1</v>
      </c>
      <c r="B395" s="241" t="s">
        <v>3997</v>
      </c>
      <c r="C395" s="241" t="s">
        <v>4455</v>
      </c>
      <c r="D395" s="241" t="s">
        <v>4766</v>
      </c>
      <c r="E395" s="241">
        <v>7</v>
      </c>
      <c r="F395" s="242" t="s">
        <v>4767</v>
      </c>
      <c r="G395" s="233">
        <v>13699</v>
      </c>
      <c r="H395" s="233">
        <v>7369495</v>
      </c>
      <c r="I395" s="233">
        <v>6884529</v>
      </c>
      <c r="J395" s="233">
        <v>192196</v>
      </c>
      <c r="K395" s="233">
        <v>6692333</v>
      </c>
      <c r="L395" s="233">
        <v>7086538</v>
      </c>
      <c r="M395" s="233">
        <v>790323</v>
      </c>
      <c r="N395" s="233">
        <v>41976</v>
      </c>
      <c r="O395" s="233">
        <v>4457026</v>
      </c>
      <c r="P395" s="233">
        <v>1115255</v>
      </c>
      <c r="Q395" s="233">
        <v>13375</v>
      </c>
      <c r="R395" s="233">
        <v>7321749</v>
      </c>
      <c r="S395" s="233">
        <v>6847441</v>
      </c>
      <c r="T395" s="233">
        <v>190942</v>
      </c>
      <c r="U395" s="233">
        <v>6656499</v>
      </c>
      <c r="V395" s="233">
        <v>7038446</v>
      </c>
      <c r="W395" s="233">
        <v>783699</v>
      </c>
      <c r="X395" s="233">
        <v>41618</v>
      </c>
      <c r="Y395" s="233">
        <v>4426430</v>
      </c>
      <c r="Z395" s="233">
        <v>1108619</v>
      </c>
      <c r="AA395" s="233">
        <v>324</v>
      </c>
      <c r="AB395" s="233">
        <v>47746</v>
      </c>
      <c r="AC395" s="233">
        <v>37087</v>
      </c>
      <c r="AD395" s="233">
        <v>1254</v>
      </c>
      <c r="AE395" s="233">
        <v>35833</v>
      </c>
      <c r="AF395" s="233">
        <v>48092</v>
      </c>
      <c r="AG395" s="233">
        <v>6624</v>
      </c>
      <c r="AH395" s="233">
        <v>357</v>
      </c>
      <c r="AI395" s="233">
        <v>30596</v>
      </c>
      <c r="AJ395" s="233">
        <v>6636</v>
      </c>
    </row>
    <row r="396" spans="1:36">
      <c r="A396" s="240">
        <v>1</v>
      </c>
      <c r="B396" s="241" t="s">
        <v>3997</v>
      </c>
      <c r="C396" s="241" t="s">
        <v>3172</v>
      </c>
      <c r="D396" s="241" t="s">
        <v>4768</v>
      </c>
      <c r="E396" s="241">
        <v>5</v>
      </c>
      <c r="F396" s="242" t="s">
        <v>4769</v>
      </c>
      <c r="G396" s="233">
        <v>23725</v>
      </c>
      <c r="H396" s="233">
        <v>9207716</v>
      </c>
      <c r="I396" s="233">
        <v>8569662</v>
      </c>
      <c r="J396" s="233">
        <v>373671</v>
      </c>
      <c r="K396" s="233">
        <v>8195991</v>
      </c>
      <c r="L396" s="233">
        <v>8828125</v>
      </c>
      <c r="M396" s="233">
        <v>785359</v>
      </c>
      <c r="N396" s="233">
        <v>28805</v>
      </c>
      <c r="O396" s="233">
        <v>4943751</v>
      </c>
      <c r="P396" s="233">
        <v>1193754</v>
      </c>
      <c r="Q396" s="233">
        <v>23189</v>
      </c>
      <c r="R396" s="233">
        <v>8078008</v>
      </c>
      <c r="S396" s="233">
        <v>7479910</v>
      </c>
      <c r="T396" s="233">
        <v>370153</v>
      </c>
      <c r="U396" s="233">
        <v>7109756</v>
      </c>
      <c r="V396" s="233">
        <v>7722926</v>
      </c>
      <c r="W396" s="233">
        <v>713516</v>
      </c>
      <c r="X396" s="233">
        <v>27419</v>
      </c>
      <c r="Y396" s="233">
        <v>4098347</v>
      </c>
      <c r="Z396" s="233">
        <v>1096017</v>
      </c>
      <c r="AA396" s="233">
        <v>536</v>
      </c>
      <c r="AB396" s="233">
        <v>1129708</v>
      </c>
      <c r="AC396" s="233">
        <v>1089752</v>
      </c>
      <c r="AD396" s="233">
        <v>3518</v>
      </c>
      <c r="AE396" s="233">
        <v>1086234</v>
      </c>
      <c r="AF396" s="233">
        <v>1105200</v>
      </c>
      <c r="AG396" s="233">
        <v>71843</v>
      </c>
      <c r="AH396" s="233">
        <v>1386</v>
      </c>
      <c r="AI396" s="233">
        <v>845403</v>
      </c>
      <c r="AJ396" s="233">
        <v>97737</v>
      </c>
    </row>
    <row r="397" spans="1:36">
      <c r="A397" s="240">
        <v>1</v>
      </c>
      <c r="B397" s="241" t="s">
        <v>3997</v>
      </c>
      <c r="C397" s="241" t="s">
        <v>3432</v>
      </c>
      <c r="D397" s="241" t="s">
        <v>4770</v>
      </c>
      <c r="E397" s="241">
        <v>6</v>
      </c>
      <c r="F397" s="242" t="s">
        <v>4771</v>
      </c>
      <c r="G397" s="233">
        <v>18219</v>
      </c>
      <c r="H397" s="233">
        <v>6717640</v>
      </c>
      <c r="I397" s="233">
        <v>6212436</v>
      </c>
      <c r="J397" s="233">
        <v>276203</v>
      </c>
      <c r="K397" s="233">
        <v>5936233</v>
      </c>
      <c r="L397" s="233">
        <v>6334655</v>
      </c>
      <c r="M397" s="233">
        <v>512401</v>
      </c>
      <c r="N397" s="233">
        <v>21541</v>
      </c>
      <c r="O397" s="233">
        <v>3310187</v>
      </c>
      <c r="P397" s="233">
        <v>916928</v>
      </c>
      <c r="Q397" s="233">
        <v>18002</v>
      </c>
      <c r="R397" s="233">
        <v>6625781</v>
      </c>
      <c r="S397" s="233">
        <v>6123985</v>
      </c>
      <c r="T397" s="233">
        <v>275634</v>
      </c>
      <c r="U397" s="233">
        <v>5848351</v>
      </c>
      <c r="V397" s="233">
        <v>6247643</v>
      </c>
      <c r="W397" s="233">
        <v>504861</v>
      </c>
      <c r="X397" s="233">
        <v>21399</v>
      </c>
      <c r="Y397" s="233">
        <v>3246147</v>
      </c>
      <c r="Z397" s="233">
        <v>904398</v>
      </c>
      <c r="AA397" s="233">
        <v>217</v>
      </c>
      <c r="AB397" s="233">
        <v>91859</v>
      </c>
      <c r="AC397" s="233">
        <v>88450</v>
      </c>
      <c r="AD397" s="233">
        <v>569</v>
      </c>
      <c r="AE397" s="233">
        <v>87882</v>
      </c>
      <c r="AF397" s="233">
        <v>87012</v>
      </c>
      <c r="AG397" s="233">
        <v>7540</v>
      </c>
      <c r="AH397" s="233">
        <v>142</v>
      </c>
      <c r="AI397" s="233">
        <v>64040</v>
      </c>
      <c r="AJ397" s="233">
        <v>12530</v>
      </c>
    </row>
    <row r="398" spans="1:36">
      <c r="A398" s="240">
        <v>1</v>
      </c>
      <c r="B398" s="241" t="s">
        <v>3997</v>
      </c>
      <c r="C398" s="241" t="s">
        <v>3432</v>
      </c>
      <c r="D398" s="241" t="s">
        <v>4772</v>
      </c>
      <c r="E398" s="241">
        <v>6</v>
      </c>
      <c r="F398" s="242" t="s">
        <v>4773</v>
      </c>
      <c r="G398" s="233">
        <v>638</v>
      </c>
      <c r="H398" s="233">
        <v>707262</v>
      </c>
      <c r="I398" s="233">
        <v>694213</v>
      </c>
      <c r="J398" s="233">
        <v>31816</v>
      </c>
      <c r="K398" s="233">
        <v>662397</v>
      </c>
      <c r="L398" s="233">
        <v>702738</v>
      </c>
      <c r="M398" s="233">
        <v>102179</v>
      </c>
      <c r="N398" s="233">
        <v>1181</v>
      </c>
      <c r="O398" s="233">
        <v>416449</v>
      </c>
      <c r="P398" s="233">
        <v>107884</v>
      </c>
      <c r="Q398" s="233">
        <v>615</v>
      </c>
      <c r="R398" s="233">
        <v>706550</v>
      </c>
      <c r="S398" s="233">
        <v>694086</v>
      </c>
      <c r="T398" s="233">
        <v>31789</v>
      </c>
      <c r="U398" s="233">
        <v>662297</v>
      </c>
      <c r="V398" s="233">
        <v>702214</v>
      </c>
      <c r="W398" s="233">
        <v>101848</v>
      </c>
      <c r="X398" s="233">
        <v>1145</v>
      </c>
      <c r="Y398" s="233">
        <v>416379</v>
      </c>
      <c r="Z398" s="233">
        <v>107329</v>
      </c>
      <c r="AA398" s="233">
        <v>23</v>
      </c>
      <c r="AB398" s="233">
        <v>712</v>
      </c>
      <c r="AC398" s="233">
        <v>126</v>
      </c>
      <c r="AD398" s="233">
        <v>27</v>
      </c>
      <c r="AE398" s="233">
        <v>99</v>
      </c>
      <c r="AF398" s="233">
        <v>523</v>
      </c>
      <c r="AG398" s="233">
        <v>331</v>
      </c>
      <c r="AH398" s="233">
        <v>35</v>
      </c>
      <c r="AI398" s="233">
        <v>71</v>
      </c>
      <c r="AJ398" s="233">
        <v>555</v>
      </c>
    </row>
    <row r="399" spans="1:36">
      <c r="A399" s="240">
        <v>1</v>
      </c>
      <c r="B399" s="241" t="s">
        <v>3997</v>
      </c>
      <c r="C399" s="241" t="s">
        <v>3432</v>
      </c>
      <c r="D399" s="241" t="s">
        <v>4774</v>
      </c>
      <c r="E399" s="241">
        <v>6</v>
      </c>
      <c r="F399" s="242" t="s">
        <v>4775</v>
      </c>
      <c r="G399" s="233">
        <v>4868</v>
      </c>
      <c r="H399" s="233">
        <v>1782813</v>
      </c>
      <c r="I399" s="233">
        <v>1663013</v>
      </c>
      <c r="J399" s="233">
        <v>65653</v>
      </c>
      <c r="K399" s="233">
        <v>1597361</v>
      </c>
      <c r="L399" s="233">
        <v>1790733</v>
      </c>
      <c r="M399" s="233">
        <v>170779</v>
      </c>
      <c r="N399" s="233">
        <v>6083</v>
      </c>
      <c r="O399" s="233">
        <v>1217114</v>
      </c>
      <c r="P399" s="233">
        <v>168942</v>
      </c>
      <c r="Q399" s="233">
        <v>4572</v>
      </c>
      <c r="R399" s="233">
        <v>745677</v>
      </c>
      <c r="S399" s="233">
        <v>661838</v>
      </c>
      <c r="T399" s="233">
        <v>62730</v>
      </c>
      <c r="U399" s="233">
        <v>599108</v>
      </c>
      <c r="V399" s="233">
        <v>773068</v>
      </c>
      <c r="W399" s="233">
        <v>106807</v>
      </c>
      <c r="X399" s="233">
        <v>4874</v>
      </c>
      <c r="Y399" s="233">
        <v>435822</v>
      </c>
      <c r="Z399" s="233">
        <v>84290</v>
      </c>
      <c r="AA399" s="233">
        <v>296</v>
      </c>
      <c r="AB399" s="233">
        <v>1037136</v>
      </c>
      <c r="AC399" s="233">
        <v>1001175</v>
      </c>
      <c r="AD399" s="233">
        <v>2922</v>
      </c>
      <c r="AE399" s="233">
        <v>998253</v>
      </c>
      <c r="AF399" s="233">
        <v>1017664</v>
      </c>
      <c r="AG399" s="233">
        <v>63972</v>
      </c>
      <c r="AH399" s="233">
        <v>1208</v>
      </c>
      <c r="AI399" s="233">
        <v>781292</v>
      </c>
      <c r="AJ399" s="233">
        <v>84652</v>
      </c>
    </row>
    <row r="400" spans="1:36">
      <c r="A400" s="240">
        <v>1</v>
      </c>
      <c r="B400" s="241" t="s">
        <v>3997</v>
      </c>
      <c r="C400" s="241" t="s">
        <v>3459</v>
      </c>
      <c r="D400" s="241" t="s">
        <v>4776</v>
      </c>
      <c r="E400" s="241">
        <v>3</v>
      </c>
      <c r="F400" s="242" t="s">
        <v>4777</v>
      </c>
      <c r="G400" s="233">
        <v>28044</v>
      </c>
      <c r="H400" s="233">
        <v>121019645</v>
      </c>
      <c r="I400" s="233">
        <v>50409</v>
      </c>
      <c r="J400" s="233">
        <v>20733</v>
      </c>
      <c r="K400" s="233">
        <v>29676</v>
      </c>
      <c r="L400" s="233">
        <v>112499474</v>
      </c>
      <c r="M400" s="233">
        <v>8809168</v>
      </c>
      <c r="N400" s="233">
        <v>1369453</v>
      </c>
      <c r="O400" s="233">
        <v>34860</v>
      </c>
      <c r="P400" s="233">
        <v>18698791</v>
      </c>
      <c r="Q400" s="233">
        <v>25890</v>
      </c>
      <c r="R400" s="233">
        <v>94027801</v>
      </c>
      <c r="S400" s="233">
        <v>48549</v>
      </c>
      <c r="T400" s="233">
        <v>20233</v>
      </c>
      <c r="U400" s="233">
        <v>28316</v>
      </c>
      <c r="V400" s="233">
        <v>89697819</v>
      </c>
      <c r="W400" s="233">
        <v>7510380</v>
      </c>
      <c r="X400" s="233">
        <v>1186006</v>
      </c>
      <c r="Y400" s="233">
        <v>34045</v>
      </c>
      <c r="Z400" s="233">
        <v>13026367</v>
      </c>
      <c r="AA400" s="233">
        <v>2154</v>
      </c>
      <c r="AB400" s="233">
        <v>26991844</v>
      </c>
      <c r="AC400" s="233">
        <v>1860</v>
      </c>
      <c r="AD400" s="233">
        <v>500</v>
      </c>
      <c r="AE400" s="233">
        <v>1360</v>
      </c>
      <c r="AF400" s="233">
        <v>22801655</v>
      </c>
      <c r="AG400" s="233">
        <v>1298788</v>
      </c>
      <c r="AH400" s="233">
        <v>183448</v>
      </c>
      <c r="AI400" s="233">
        <v>815</v>
      </c>
      <c r="AJ400" s="233">
        <v>5672424</v>
      </c>
    </row>
    <row r="401" spans="1:36">
      <c r="A401" s="240">
        <v>1</v>
      </c>
      <c r="B401" s="241" t="s">
        <v>3997</v>
      </c>
      <c r="C401" s="241" t="s">
        <v>3172</v>
      </c>
      <c r="D401" s="241" t="s">
        <v>4778</v>
      </c>
      <c r="E401" s="241">
        <v>5</v>
      </c>
      <c r="F401" s="242" t="s">
        <v>4779</v>
      </c>
      <c r="G401" s="233">
        <v>135</v>
      </c>
      <c r="H401" s="233">
        <v>20981087</v>
      </c>
      <c r="I401" s="233">
        <v>0</v>
      </c>
      <c r="J401" s="233">
        <v>0</v>
      </c>
      <c r="K401" s="233">
        <v>0</v>
      </c>
      <c r="L401" s="233">
        <v>15824849</v>
      </c>
      <c r="M401" s="233">
        <v>2625273</v>
      </c>
      <c r="N401" s="233">
        <v>459650</v>
      </c>
      <c r="O401" s="233">
        <v>0</v>
      </c>
      <c r="P401" s="233">
        <v>8241161</v>
      </c>
      <c r="Q401" s="233">
        <v>134</v>
      </c>
      <c r="R401" s="235" t="s">
        <v>4020</v>
      </c>
      <c r="S401" s="235" t="s">
        <v>4020</v>
      </c>
      <c r="T401" s="235" t="s">
        <v>4020</v>
      </c>
      <c r="U401" s="235" t="s">
        <v>4020</v>
      </c>
      <c r="V401" s="235" t="s">
        <v>4020</v>
      </c>
      <c r="W401" s="235" t="s">
        <v>4020</v>
      </c>
      <c r="X401" s="235" t="s">
        <v>4020</v>
      </c>
      <c r="Y401" s="235" t="s">
        <v>4020</v>
      </c>
      <c r="Z401" s="235" t="s">
        <v>4020</v>
      </c>
      <c r="AA401" s="233">
        <v>1</v>
      </c>
      <c r="AB401" s="235" t="s">
        <v>4020</v>
      </c>
      <c r="AC401" s="235" t="s">
        <v>4020</v>
      </c>
      <c r="AD401" s="235" t="s">
        <v>4020</v>
      </c>
      <c r="AE401" s="235" t="s">
        <v>4020</v>
      </c>
      <c r="AF401" s="235" t="s">
        <v>4020</v>
      </c>
      <c r="AG401" s="235" t="s">
        <v>4020</v>
      </c>
      <c r="AH401" s="235" t="s">
        <v>4020</v>
      </c>
      <c r="AI401" s="235" t="s">
        <v>4020</v>
      </c>
      <c r="AJ401" s="235" t="s">
        <v>4020</v>
      </c>
    </row>
    <row r="402" spans="1:36">
      <c r="A402" s="240">
        <v>1</v>
      </c>
      <c r="B402" s="241" t="s">
        <v>3997</v>
      </c>
      <c r="C402" s="241" t="s">
        <v>3432</v>
      </c>
      <c r="D402" s="241" t="s">
        <v>4780</v>
      </c>
      <c r="E402" s="241">
        <v>6</v>
      </c>
      <c r="F402" s="242" t="s">
        <v>4781</v>
      </c>
      <c r="G402" s="233">
        <v>135</v>
      </c>
      <c r="H402" s="233">
        <v>20981087</v>
      </c>
      <c r="I402" s="233">
        <v>0</v>
      </c>
      <c r="J402" s="233">
        <v>0</v>
      </c>
      <c r="K402" s="233">
        <v>0</v>
      </c>
      <c r="L402" s="233">
        <v>15824849</v>
      </c>
      <c r="M402" s="233">
        <v>2625273</v>
      </c>
      <c r="N402" s="233">
        <v>459650</v>
      </c>
      <c r="O402" s="233">
        <v>0</v>
      </c>
      <c r="P402" s="233">
        <v>8241161</v>
      </c>
      <c r="Q402" s="233">
        <v>134</v>
      </c>
      <c r="R402" s="235" t="s">
        <v>4020</v>
      </c>
      <c r="S402" s="235" t="s">
        <v>4020</v>
      </c>
      <c r="T402" s="235" t="s">
        <v>4020</v>
      </c>
      <c r="U402" s="235" t="s">
        <v>4020</v>
      </c>
      <c r="V402" s="235" t="s">
        <v>4020</v>
      </c>
      <c r="W402" s="235" t="s">
        <v>4020</v>
      </c>
      <c r="X402" s="235" t="s">
        <v>4020</v>
      </c>
      <c r="Y402" s="235" t="s">
        <v>4020</v>
      </c>
      <c r="Z402" s="235" t="s">
        <v>4020</v>
      </c>
      <c r="AA402" s="233">
        <v>1</v>
      </c>
      <c r="AB402" s="235" t="s">
        <v>4020</v>
      </c>
      <c r="AC402" s="235" t="s">
        <v>4020</v>
      </c>
      <c r="AD402" s="235" t="s">
        <v>4020</v>
      </c>
      <c r="AE402" s="235" t="s">
        <v>4020</v>
      </c>
      <c r="AF402" s="235" t="s">
        <v>4020</v>
      </c>
      <c r="AG402" s="235" t="s">
        <v>4020</v>
      </c>
      <c r="AH402" s="235" t="s">
        <v>4020</v>
      </c>
      <c r="AI402" s="235" t="s">
        <v>4020</v>
      </c>
      <c r="AJ402" s="235" t="s">
        <v>4020</v>
      </c>
    </row>
    <row r="403" spans="1:36">
      <c r="A403" s="240">
        <v>1</v>
      </c>
      <c r="B403" s="241" t="s">
        <v>3997</v>
      </c>
      <c r="C403" s="241" t="s">
        <v>3172</v>
      </c>
      <c r="D403" s="241" t="s">
        <v>4782</v>
      </c>
      <c r="E403" s="241">
        <v>5</v>
      </c>
      <c r="F403" s="242" t="s">
        <v>4783</v>
      </c>
      <c r="G403" s="233">
        <v>540</v>
      </c>
      <c r="H403" s="233">
        <v>5050990</v>
      </c>
      <c r="I403" s="233">
        <v>1</v>
      </c>
      <c r="J403" s="233">
        <v>1</v>
      </c>
      <c r="K403" s="233">
        <v>0</v>
      </c>
      <c r="L403" s="233">
        <v>4293646</v>
      </c>
      <c r="M403" s="233">
        <v>940811</v>
      </c>
      <c r="N403" s="233">
        <v>68854</v>
      </c>
      <c r="O403" s="233">
        <v>0</v>
      </c>
      <c r="P403" s="233">
        <v>1767010</v>
      </c>
      <c r="Q403" s="233">
        <v>6</v>
      </c>
      <c r="R403" s="233">
        <v>131379</v>
      </c>
      <c r="S403" s="233">
        <v>0</v>
      </c>
      <c r="T403" s="233">
        <v>0</v>
      </c>
      <c r="U403" s="233">
        <v>0</v>
      </c>
      <c r="V403" s="233">
        <v>100519</v>
      </c>
      <c r="W403" s="233">
        <v>29397</v>
      </c>
      <c r="X403" s="233">
        <v>5617</v>
      </c>
      <c r="Y403" s="233">
        <v>0</v>
      </c>
      <c r="Z403" s="233">
        <v>65875</v>
      </c>
      <c r="AA403" s="233">
        <v>534</v>
      </c>
      <c r="AB403" s="233">
        <v>4919611</v>
      </c>
      <c r="AC403" s="233">
        <v>1</v>
      </c>
      <c r="AD403" s="233">
        <v>1</v>
      </c>
      <c r="AE403" s="233">
        <v>0</v>
      </c>
      <c r="AF403" s="233">
        <v>4193127</v>
      </c>
      <c r="AG403" s="233">
        <v>911414</v>
      </c>
      <c r="AH403" s="233">
        <v>63237</v>
      </c>
      <c r="AI403" s="233">
        <v>0</v>
      </c>
      <c r="AJ403" s="233">
        <v>1701134</v>
      </c>
    </row>
    <row r="404" spans="1:36">
      <c r="A404" s="240">
        <v>1</v>
      </c>
      <c r="B404" s="241" t="s">
        <v>3997</v>
      </c>
      <c r="C404" s="241" t="s">
        <v>3432</v>
      </c>
      <c r="D404" s="241" t="s">
        <v>4784</v>
      </c>
      <c r="E404" s="241">
        <v>6</v>
      </c>
      <c r="F404" s="242" t="s">
        <v>4785</v>
      </c>
      <c r="G404" s="233">
        <v>484</v>
      </c>
      <c r="H404" s="233">
        <v>3116478</v>
      </c>
      <c r="I404" s="233">
        <v>1</v>
      </c>
      <c r="J404" s="233">
        <v>1</v>
      </c>
      <c r="K404" s="233">
        <v>0</v>
      </c>
      <c r="L404" s="233">
        <v>2603423</v>
      </c>
      <c r="M404" s="233">
        <v>867076</v>
      </c>
      <c r="N404" s="233">
        <v>62056</v>
      </c>
      <c r="O404" s="233">
        <v>0</v>
      </c>
      <c r="P404" s="233">
        <v>1442187</v>
      </c>
      <c r="Q404" s="233">
        <v>6</v>
      </c>
      <c r="R404" s="233">
        <v>131379</v>
      </c>
      <c r="S404" s="233">
        <v>0</v>
      </c>
      <c r="T404" s="233">
        <v>0</v>
      </c>
      <c r="U404" s="233">
        <v>0</v>
      </c>
      <c r="V404" s="233">
        <v>100519</v>
      </c>
      <c r="W404" s="233">
        <v>29397</v>
      </c>
      <c r="X404" s="233">
        <v>5617</v>
      </c>
      <c r="Y404" s="233">
        <v>0</v>
      </c>
      <c r="Z404" s="233">
        <v>65875</v>
      </c>
      <c r="AA404" s="233">
        <v>478</v>
      </c>
      <c r="AB404" s="233">
        <v>2985098</v>
      </c>
      <c r="AC404" s="233">
        <v>1</v>
      </c>
      <c r="AD404" s="233">
        <v>1</v>
      </c>
      <c r="AE404" s="233">
        <v>0</v>
      </c>
      <c r="AF404" s="233">
        <v>2502904</v>
      </c>
      <c r="AG404" s="233">
        <v>837679</v>
      </c>
      <c r="AH404" s="233">
        <v>56439</v>
      </c>
      <c r="AI404" s="233">
        <v>0</v>
      </c>
      <c r="AJ404" s="233">
        <v>1376312</v>
      </c>
    </row>
    <row r="405" spans="1:36">
      <c r="A405" s="240">
        <v>1</v>
      </c>
      <c r="B405" s="241" t="s">
        <v>3997</v>
      </c>
      <c r="C405" s="241" t="s">
        <v>3432</v>
      </c>
      <c r="D405" s="241" t="s">
        <v>4786</v>
      </c>
      <c r="E405" s="241">
        <v>6</v>
      </c>
      <c r="F405" s="242" t="s">
        <v>4787</v>
      </c>
      <c r="G405" s="233">
        <v>56</v>
      </c>
      <c r="H405" s="233">
        <v>1934513</v>
      </c>
      <c r="I405" s="233">
        <v>0</v>
      </c>
      <c r="J405" s="233">
        <v>0</v>
      </c>
      <c r="K405" s="233">
        <v>0</v>
      </c>
      <c r="L405" s="233">
        <v>1690223</v>
      </c>
      <c r="M405" s="233">
        <v>73735</v>
      </c>
      <c r="N405" s="233">
        <v>6797</v>
      </c>
      <c r="O405" s="233">
        <v>0</v>
      </c>
      <c r="P405" s="233">
        <v>324823</v>
      </c>
      <c r="Q405" s="235" t="s">
        <v>5298</v>
      </c>
      <c r="R405" s="235" t="s">
        <v>5298</v>
      </c>
      <c r="S405" s="235" t="s">
        <v>5298</v>
      </c>
      <c r="T405" s="235" t="s">
        <v>5298</v>
      </c>
      <c r="U405" s="235" t="s">
        <v>5298</v>
      </c>
      <c r="V405" s="235" t="s">
        <v>5298</v>
      </c>
      <c r="W405" s="235" t="s">
        <v>5298</v>
      </c>
      <c r="X405" s="235" t="s">
        <v>5298</v>
      </c>
      <c r="Y405" s="235" t="s">
        <v>5298</v>
      </c>
      <c r="Z405" s="235" t="s">
        <v>5298</v>
      </c>
      <c r="AA405" s="233">
        <v>56</v>
      </c>
      <c r="AB405" s="233">
        <v>1934513</v>
      </c>
      <c r="AC405" s="233">
        <v>0</v>
      </c>
      <c r="AD405" s="233">
        <v>0</v>
      </c>
      <c r="AE405" s="233">
        <v>0</v>
      </c>
      <c r="AF405" s="233">
        <v>1690223</v>
      </c>
      <c r="AG405" s="233">
        <v>73735</v>
      </c>
      <c r="AH405" s="233">
        <v>6797</v>
      </c>
      <c r="AI405" s="233">
        <v>0</v>
      </c>
      <c r="AJ405" s="233">
        <v>324823</v>
      </c>
    </row>
    <row r="406" spans="1:36">
      <c r="A406" s="240">
        <v>1</v>
      </c>
      <c r="B406" s="241" t="s">
        <v>3997</v>
      </c>
      <c r="C406" s="241" t="s">
        <v>3172</v>
      </c>
      <c r="D406" s="241" t="s">
        <v>4788</v>
      </c>
      <c r="E406" s="241">
        <v>5</v>
      </c>
      <c r="F406" s="242" t="s">
        <v>4789</v>
      </c>
      <c r="G406" s="233">
        <v>2940</v>
      </c>
      <c r="H406" s="233">
        <v>13152287</v>
      </c>
      <c r="I406" s="233">
        <v>25952</v>
      </c>
      <c r="J406" s="233">
        <v>10393</v>
      </c>
      <c r="K406" s="233">
        <v>15558</v>
      </c>
      <c r="L406" s="233">
        <v>12743458</v>
      </c>
      <c r="M406" s="233">
        <v>619639</v>
      </c>
      <c r="N406" s="233">
        <v>179670</v>
      </c>
      <c r="O406" s="233">
        <v>17970</v>
      </c>
      <c r="P406" s="233">
        <v>1208138</v>
      </c>
      <c r="Q406" s="233">
        <v>2477</v>
      </c>
      <c r="R406" s="233">
        <v>6527186</v>
      </c>
      <c r="S406" s="233">
        <v>25708</v>
      </c>
      <c r="T406" s="233">
        <v>10152</v>
      </c>
      <c r="U406" s="233">
        <v>15555</v>
      </c>
      <c r="V406" s="233">
        <v>6605101</v>
      </c>
      <c r="W406" s="233">
        <v>589410</v>
      </c>
      <c r="X406" s="233">
        <v>152602</v>
      </c>
      <c r="Y406" s="233">
        <v>17970</v>
      </c>
      <c r="Z406" s="233">
        <v>664096</v>
      </c>
      <c r="AA406" s="233">
        <v>463</v>
      </c>
      <c r="AB406" s="233">
        <v>6625101</v>
      </c>
      <c r="AC406" s="233">
        <v>244</v>
      </c>
      <c r="AD406" s="233">
        <v>241</v>
      </c>
      <c r="AE406" s="233">
        <v>3</v>
      </c>
      <c r="AF406" s="233">
        <v>6138357</v>
      </c>
      <c r="AG406" s="233">
        <v>30229</v>
      </c>
      <c r="AH406" s="233">
        <v>27068</v>
      </c>
      <c r="AI406" s="233">
        <v>0</v>
      </c>
      <c r="AJ406" s="233">
        <v>544042</v>
      </c>
    </row>
    <row r="407" spans="1:36">
      <c r="A407" s="240">
        <v>1</v>
      </c>
      <c r="B407" s="241" t="s">
        <v>3997</v>
      </c>
      <c r="C407" s="241" t="s">
        <v>3432</v>
      </c>
      <c r="D407" s="241" t="s">
        <v>4790</v>
      </c>
      <c r="E407" s="241">
        <v>6</v>
      </c>
      <c r="F407" s="242" t="s">
        <v>4791</v>
      </c>
      <c r="G407" s="233">
        <v>701</v>
      </c>
      <c r="H407" s="233">
        <v>956295</v>
      </c>
      <c r="I407" s="233">
        <v>17</v>
      </c>
      <c r="J407" s="233">
        <v>0</v>
      </c>
      <c r="K407" s="233">
        <v>17</v>
      </c>
      <c r="L407" s="233">
        <v>904529</v>
      </c>
      <c r="M407" s="233">
        <v>96405</v>
      </c>
      <c r="N407" s="233">
        <v>22767</v>
      </c>
      <c r="O407" s="233">
        <v>0</v>
      </c>
      <c r="P407" s="233">
        <v>170937</v>
      </c>
      <c r="Q407" s="233">
        <v>668</v>
      </c>
      <c r="R407" s="233">
        <v>954830</v>
      </c>
      <c r="S407" s="233">
        <v>17</v>
      </c>
      <c r="T407" s="233">
        <v>0</v>
      </c>
      <c r="U407" s="233">
        <v>17</v>
      </c>
      <c r="V407" s="233">
        <v>902740</v>
      </c>
      <c r="W407" s="233">
        <v>95988</v>
      </c>
      <c r="X407" s="233">
        <v>22765</v>
      </c>
      <c r="Y407" s="233">
        <v>0</v>
      </c>
      <c r="Z407" s="233">
        <v>170843</v>
      </c>
      <c r="AA407" s="233">
        <v>33</v>
      </c>
      <c r="AB407" s="233">
        <v>1465</v>
      </c>
      <c r="AC407" s="233">
        <v>0</v>
      </c>
      <c r="AD407" s="233">
        <v>0</v>
      </c>
      <c r="AE407" s="233">
        <v>0</v>
      </c>
      <c r="AF407" s="233">
        <v>1789</v>
      </c>
      <c r="AG407" s="233">
        <v>417</v>
      </c>
      <c r="AH407" s="233">
        <v>2</v>
      </c>
      <c r="AI407" s="233">
        <v>0</v>
      </c>
      <c r="AJ407" s="233">
        <v>94</v>
      </c>
    </row>
    <row r="408" spans="1:36">
      <c r="A408" s="240">
        <v>1</v>
      </c>
      <c r="B408" s="241" t="s">
        <v>3997</v>
      </c>
      <c r="C408" s="241" t="s">
        <v>3432</v>
      </c>
      <c r="D408" s="241" t="s">
        <v>4792</v>
      </c>
      <c r="E408" s="241">
        <v>6</v>
      </c>
      <c r="F408" s="242" t="s">
        <v>4793</v>
      </c>
      <c r="G408" s="233">
        <v>777</v>
      </c>
      <c r="H408" s="233">
        <v>67673</v>
      </c>
      <c r="I408" s="233">
        <v>21684</v>
      </c>
      <c r="J408" s="233">
        <v>7665</v>
      </c>
      <c r="K408" s="233">
        <v>14019</v>
      </c>
      <c r="L408" s="233">
        <v>65191</v>
      </c>
      <c r="M408" s="233">
        <v>9767</v>
      </c>
      <c r="N408" s="233">
        <v>635</v>
      </c>
      <c r="O408" s="233">
        <v>11521</v>
      </c>
      <c r="P408" s="233">
        <v>12884</v>
      </c>
      <c r="Q408" s="233">
        <v>776</v>
      </c>
      <c r="R408" s="235" t="s">
        <v>4020</v>
      </c>
      <c r="S408" s="235" t="s">
        <v>4020</v>
      </c>
      <c r="T408" s="235" t="s">
        <v>4020</v>
      </c>
      <c r="U408" s="235" t="s">
        <v>4020</v>
      </c>
      <c r="V408" s="235" t="s">
        <v>4020</v>
      </c>
      <c r="W408" s="235" t="s">
        <v>4020</v>
      </c>
      <c r="X408" s="235" t="s">
        <v>4020</v>
      </c>
      <c r="Y408" s="235" t="s">
        <v>4020</v>
      </c>
      <c r="Z408" s="235" t="s">
        <v>4020</v>
      </c>
      <c r="AA408" s="233">
        <v>1</v>
      </c>
      <c r="AB408" s="235" t="s">
        <v>4020</v>
      </c>
      <c r="AC408" s="235" t="s">
        <v>4020</v>
      </c>
      <c r="AD408" s="235" t="s">
        <v>4020</v>
      </c>
      <c r="AE408" s="235" t="s">
        <v>4020</v>
      </c>
      <c r="AF408" s="235" t="s">
        <v>4020</v>
      </c>
      <c r="AG408" s="235" t="s">
        <v>4020</v>
      </c>
      <c r="AH408" s="235" t="s">
        <v>4020</v>
      </c>
      <c r="AI408" s="235" t="s">
        <v>4020</v>
      </c>
      <c r="AJ408" s="235" t="s">
        <v>4020</v>
      </c>
    </row>
    <row r="409" spans="1:36">
      <c r="A409" s="240">
        <v>1</v>
      </c>
      <c r="B409" s="241" t="s">
        <v>3997</v>
      </c>
      <c r="C409" s="241" t="s">
        <v>3432</v>
      </c>
      <c r="D409" s="241" t="s">
        <v>4794</v>
      </c>
      <c r="E409" s="241">
        <v>6</v>
      </c>
      <c r="F409" s="242" t="s">
        <v>4795</v>
      </c>
      <c r="G409" s="233">
        <v>363</v>
      </c>
      <c r="H409" s="233">
        <v>4198272</v>
      </c>
      <c r="I409" s="233">
        <v>4009</v>
      </c>
      <c r="J409" s="233">
        <v>2504</v>
      </c>
      <c r="K409" s="233">
        <v>1505</v>
      </c>
      <c r="L409" s="233">
        <v>3970494</v>
      </c>
      <c r="M409" s="233">
        <v>374021</v>
      </c>
      <c r="N409" s="233">
        <v>109375</v>
      </c>
      <c r="O409" s="233">
        <v>6428</v>
      </c>
      <c r="P409" s="233">
        <v>711173</v>
      </c>
      <c r="Q409" s="233">
        <v>309</v>
      </c>
      <c r="R409" s="233">
        <v>4193958</v>
      </c>
      <c r="S409" s="233">
        <v>3987</v>
      </c>
      <c r="T409" s="233">
        <v>2484</v>
      </c>
      <c r="U409" s="233">
        <v>1503</v>
      </c>
      <c r="V409" s="233">
        <v>3966302</v>
      </c>
      <c r="W409" s="233">
        <v>373172</v>
      </c>
      <c r="X409" s="233">
        <v>109323</v>
      </c>
      <c r="Y409" s="233">
        <v>6428</v>
      </c>
      <c r="Z409" s="233">
        <v>710152</v>
      </c>
      <c r="AA409" s="233">
        <v>54</v>
      </c>
      <c r="AB409" s="233">
        <v>4314</v>
      </c>
      <c r="AC409" s="233">
        <v>22</v>
      </c>
      <c r="AD409" s="233">
        <v>20</v>
      </c>
      <c r="AE409" s="233">
        <v>2</v>
      </c>
      <c r="AF409" s="233">
        <v>4192</v>
      </c>
      <c r="AG409" s="233">
        <v>849</v>
      </c>
      <c r="AH409" s="233">
        <v>51</v>
      </c>
      <c r="AI409" s="233">
        <v>0</v>
      </c>
      <c r="AJ409" s="233">
        <v>1022</v>
      </c>
    </row>
    <row r="410" spans="1:36">
      <c r="A410" s="240">
        <v>1</v>
      </c>
      <c r="B410" s="241" t="s">
        <v>3997</v>
      </c>
      <c r="C410" s="241" t="s">
        <v>3432</v>
      </c>
      <c r="D410" s="241" t="s">
        <v>4796</v>
      </c>
      <c r="E410" s="241">
        <v>6</v>
      </c>
      <c r="F410" s="242" t="s">
        <v>4797</v>
      </c>
      <c r="G410" s="233">
        <v>1099</v>
      </c>
      <c r="H410" s="233">
        <v>7930047</v>
      </c>
      <c r="I410" s="233">
        <v>242</v>
      </c>
      <c r="J410" s="233">
        <v>224</v>
      </c>
      <c r="K410" s="233">
        <v>18</v>
      </c>
      <c r="L410" s="233">
        <v>7803243</v>
      </c>
      <c r="M410" s="233">
        <v>139447</v>
      </c>
      <c r="N410" s="233">
        <v>46893</v>
      </c>
      <c r="O410" s="233">
        <v>22</v>
      </c>
      <c r="P410" s="233">
        <v>313144</v>
      </c>
      <c r="Q410" s="233">
        <v>724</v>
      </c>
      <c r="R410" s="235" t="s">
        <v>4020</v>
      </c>
      <c r="S410" s="235" t="s">
        <v>4020</v>
      </c>
      <c r="T410" s="235" t="s">
        <v>4020</v>
      </c>
      <c r="U410" s="235" t="s">
        <v>4020</v>
      </c>
      <c r="V410" s="235" t="s">
        <v>4020</v>
      </c>
      <c r="W410" s="235" t="s">
        <v>4020</v>
      </c>
      <c r="X410" s="235" t="s">
        <v>4020</v>
      </c>
      <c r="Y410" s="235" t="s">
        <v>4020</v>
      </c>
      <c r="Z410" s="235" t="s">
        <v>4020</v>
      </c>
      <c r="AA410" s="233">
        <v>375</v>
      </c>
      <c r="AB410" s="235" t="s">
        <v>4020</v>
      </c>
      <c r="AC410" s="235" t="s">
        <v>4020</v>
      </c>
      <c r="AD410" s="235" t="s">
        <v>4020</v>
      </c>
      <c r="AE410" s="235" t="s">
        <v>4020</v>
      </c>
      <c r="AF410" s="235" t="s">
        <v>4020</v>
      </c>
      <c r="AG410" s="235" t="s">
        <v>4020</v>
      </c>
      <c r="AH410" s="235" t="s">
        <v>4020</v>
      </c>
      <c r="AI410" s="235" t="s">
        <v>4020</v>
      </c>
      <c r="AJ410" s="235" t="s">
        <v>4020</v>
      </c>
    </row>
    <row r="411" spans="1:36">
      <c r="A411" s="240">
        <v>1</v>
      </c>
      <c r="B411" s="241" t="s">
        <v>3997</v>
      </c>
      <c r="C411" s="241" t="s">
        <v>3172</v>
      </c>
      <c r="D411" s="241" t="s">
        <v>4798</v>
      </c>
      <c r="E411" s="241">
        <v>5</v>
      </c>
      <c r="F411" s="242" t="s">
        <v>4799</v>
      </c>
      <c r="G411" s="233">
        <v>4042</v>
      </c>
      <c r="H411" s="233">
        <v>6721106</v>
      </c>
      <c r="I411" s="233">
        <v>62</v>
      </c>
      <c r="J411" s="233">
        <v>0</v>
      </c>
      <c r="K411" s="233">
        <v>62</v>
      </c>
      <c r="L411" s="233">
        <v>5306633</v>
      </c>
      <c r="M411" s="233">
        <v>1175504</v>
      </c>
      <c r="N411" s="233">
        <v>132301</v>
      </c>
      <c r="O411" s="233">
        <v>0</v>
      </c>
      <c r="P411" s="233">
        <v>2722277</v>
      </c>
      <c r="Q411" s="233">
        <v>3872</v>
      </c>
      <c r="R411" s="235" t="s">
        <v>4020</v>
      </c>
      <c r="S411" s="235" t="s">
        <v>4020</v>
      </c>
      <c r="T411" s="235" t="s">
        <v>4020</v>
      </c>
      <c r="U411" s="235" t="s">
        <v>4020</v>
      </c>
      <c r="V411" s="235" t="s">
        <v>4020</v>
      </c>
      <c r="W411" s="235" t="s">
        <v>4020</v>
      </c>
      <c r="X411" s="235" t="s">
        <v>4020</v>
      </c>
      <c r="Y411" s="235" t="s">
        <v>4020</v>
      </c>
      <c r="Z411" s="235" t="s">
        <v>4020</v>
      </c>
      <c r="AA411" s="233">
        <v>170</v>
      </c>
      <c r="AB411" s="235" t="s">
        <v>4020</v>
      </c>
      <c r="AC411" s="235" t="s">
        <v>4020</v>
      </c>
      <c r="AD411" s="235" t="s">
        <v>4020</v>
      </c>
      <c r="AE411" s="235" t="s">
        <v>4020</v>
      </c>
      <c r="AF411" s="235" t="s">
        <v>4020</v>
      </c>
      <c r="AG411" s="235" t="s">
        <v>4020</v>
      </c>
      <c r="AH411" s="235" t="s">
        <v>4020</v>
      </c>
      <c r="AI411" s="235" t="s">
        <v>4020</v>
      </c>
      <c r="AJ411" s="235" t="s">
        <v>4020</v>
      </c>
    </row>
    <row r="412" spans="1:36">
      <c r="A412" s="240">
        <v>1</v>
      </c>
      <c r="B412" s="241" t="s">
        <v>3997</v>
      </c>
      <c r="C412" s="241" t="s">
        <v>3432</v>
      </c>
      <c r="D412" s="241" t="s">
        <v>4800</v>
      </c>
      <c r="E412" s="241">
        <v>6</v>
      </c>
      <c r="F412" s="242" t="s">
        <v>4801</v>
      </c>
      <c r="G412" s="233">
        <v>3964</v>
      </c>
      <c r="H412" s="233">
        <v>6666282</v>
      </c>
      <c r="I412" s="233">
        <v>62</v>
      </c>
      <c r="J412" s="233">
        <v>0</v>
      </c>
      <c r="K412" s="233">
        <v>62</v>
      </c>
      <c r="L412" s="233">
        <v>5272552</v>
      </c>
      <c r="M412" s="233">
        <v>1169169</v>
      </c>
      <c r="N412" s="233">
        <v>131294</v>
      </c>
      <c r="O412" s="233">
        <v>0</v>
      </c>
      <c r="P412" s="233">
        <v>2694192</v>
      </c>
      <c r="Q412" s="233">
        <v>3795</v>
      </c>
      <c r="R412" s="235" t="s">
        <v>4020</v>
      </c>
      <c r="S412" s="235" t="s">
        <v>4020</v>
      </c>
      <c r="T412" s="235" t="s">
        <v>4020</v>
      </c>
      <c r="U412" s="235" t="s">
        <v>4020</v>
      </c>
      <c r="V412" s="235" t="s">
        <v>4020</v>
      </c>
      <c r="W412" s="235" t="s">
        <v>4020</v>
      </c>
      <c r="X412" s="235" t="s">
        <v>4020</v>
      </c>
      <c r="Y412" s="235" t="s">
        <v>4020</v>
      </c>
      <c r="Z412" s="235" t="s">
        <v>4020</v>
      </c>
      <c r="AA412" s="233">
        <v>169</v>
      </c>
      <c r="AB412" s="235" t="s">
        <v>4020</v>
      </c>
      <c r="AC412" s="235" t="s">
        <v>4020</v>
      </c>
      <c r="AD412" s="235" t="s">
        <v>4020</v>
      </c>
      <c r="AE412" s="235" t="s">
        <v>4020</v>
      </c>
      <c r="AF412" s="235" t="s">
        <v>4020</v>
      </c>
      <c r="AG412" s="235" t="s">
        <v>4020</v>
      </c>
      <c r="AH412" s="235" t="s">
        <v>4020</v>
      </c>
      <c r="AI412" s="235" t="s">
        <v>4020</v>
      </c>
      <c r="AJ412" s="235" t="s">
        <v>4020</v>
      </c>
    </row>
    <row r="413" spans="1:36">
      <c r="A413" s="240">
        <v>1</v>
      </c>
      <c r="B413" s="241" t="s">
        <v>3997</v>
      </c>
      <c r="C413" s="241" t="s">
        <v>3432</v>
      </c>
      <c r="D413" s="241" t="s">
        <v>4802</v>
      </c>
      <c r="E413" s="241">
        <v>6</v>
      </c>
      <c r="F413" s="242" t="s">
        <v>4803</v>
      </c>
      <c r="G413" s="233">
        <v>78</v>
      </c>
      <c r="H413" s="233">
        <v>54824</v>
      </c>
      <c r="I413" s="233">
        <v>0</v>
      </c>
      <c r="J413" s="233">
        <v>0</v>
      </c>
      <c r="K413" s="233">
        <v>0</v>
      </c>
      <c r="L413" s="233">
        <v>34081</v>
      </c>
      <c r="M413" s="233">
        <v>6335</v>
      </c>
      <c r="N413" s="233">
        <v>1007</v>
      </c>
      <c r="O413" s="233">
        <v>0</v>
      </c>
      <c r="P413" s="233">
        <v>28085</v>
      </c>
      <c r="Q413" s="233">
        <v>77</v>
      </c>
      <c r="R413" s="235" t="s">
        <v>4020</v>
      </c>
      <c r="S413" s="235" t="s">
        <v>4020</v>
      </c>
      <c r="T413" s="235" t="s">
        <v>4020</v>
      </c>
      <c r="U413" s="235" t="s">
        <v>4020</v>
      </c>
      <c r="V413" s="235" t="s">
        <v>4020</v>
      </c>
      <c r="W413" s="235" t="s">
        <v>4020</v>
      </c>
      <c r="X413" s="235" t="s">
        <v>4020</v>
      </c>
      <c r="Y413" s="235" t="s">
        <v>4020</v>
      </c>
      <c r="Z413" s="235" t="s">
        <v>4020</v>
      </c>
      <c r="AA413" s="233">
        <v>1</v>
      </c>
      <c r="AB413" s="235" t="s">
        <v>4020</v>
      </c>
      <c r="AC413" s="235" t="s">
        <v>4020</v>
      </c>
      <c r="AD413" s="235" t="s">
        <v>4020</v>
      </c>
      <c r="AE413" s="235" t="s">
        <v>4020</v>
      </c>
      <c r="AF413" s="235" t="s">
        <v>4020</v>
      </c>
      <c r="AG413" s="235" t="s">
        <v>4020</v>
      </c>
      <c r="AH413" s="235" t="s">
        <v>4020</v>
      </c>
      <c r="AI413" s="235" t="s">
        <v>4020</v>
      </c>
      <c r="AJ413" s="235" t="s">
        <v>4020</v>
      </c>
    </row>
    <row r="414" spans="1:36">
      <c r="A414" s="240">
        <v>1</v>
      </c>
      <c r="B414" s="241" t="s">
        <v>3997</v>
      </c>
      <c r="C414" s="241" t="s">
        <v>3172</v>
      </c>
      <c r="D414" s="241" t="s">
        <v>4804</v>
      </c>
      <c r="E414" s="241">
        <v>5</v>
      </c>
      <c r="F414" s="242" t="s">
        <v>4805</v>
      </c>
      <c r="G414" s="233">
        <v>972</v>
      </c>
      <c r="H414" s="233">
        <v>2758453</v>
      </c>
      <c r="I414" s="233">
        <v>3691</v>
      </c>
      <c r="J414" s="233">
        <v>1374</v>
      </c>
      <c r="K414" s="233">
        <v>2316</v>
      </c>
      <c r="L414" s="233">
        <v>2023207</v>
      </c>
      <c r="M414" s="233">
        <v>222685</v>
      </c>
      <c r="N414" s="233">
        <v>19138</v>
      </c>
      <c r="O414" s="233">
        <v>2577</v>
      </c>
      <c r="P414" s="233">
        <v>977069</v>
      </c>
      <c r="Q414" s="233">
        <v>759</v>
      </c>
      <c r="R414" s="233">
        <v>1148143</v>
      </c>
      <c r="S414" s="233">
        <v>3683</v>
      </c>
      <c r="T414" s="233">
        <v>1374</v>
      </c>
      <c r="U414" s="233">
        <v>2308</v>
      </c>
      <c r="V414" s="233">
        <v>891709</v>
      </c>
      <c r="W414" s="233">
        <v>161204</v>
      </c>
      <c r="X414" s="233">
        <v>16817</v>
      </c>
      <c r="Y414" s="233">
        <v>2577</v>
      </c>
      <c r="Z414" s="233">
        <v>434455</v>
      </c>
      <c r="AA414" s="233">
        <v>213</v>
      </c>
      <c r="AB414" s="233">
        <v>1610310</v>
      </c>
      <c r="AC414" s="233">
        <v>8</v>
      </c>
      <c r="AD414" s="233">
        <v>0</v>
      </c>
      <c r="AE414" s="233">
        <v>8</v>
      </c>
      <c r="AF414" s="233">
        <v>1131498</v>
      </c>
      <c r="AG414" s="233">
        <v>61481</v>
      </c>
      <c r="AH414" s="233">
        <v>2321</v>
      </c>
      <c r="AI414" s="233">
        <v>0</v>
      </c>
      <c r="AJ414" s="233">
        <v>542614</v>
      </c>
    </row>
    <row r="415" spans="1:36">
      <c r="A415" s="240">
        <v>1</v>
      </c>
      <c r="B415" s="241" t="s">
        <v>3997</v>
      </c>
      <c r="C415" s="241" t="s">
        <v>3432</v>
      </c>
      <c r="D415" s="241" t="s">
        <v>4806</v>
      </c>
      <c r="E415" s="241">
        <v>6</v>
      </c>
      <c r="F415" s="242" t="s">
        <v>4807</v>
      </c>
      <c r="G415" s="233">
        <v>714</v>
      </c>
      <c r="H415" s="233">
        <v>2630151</v>
      </c>
      <c r="I415" s="233">
        <v>3666</v>
      </c>
      <c r="J415" s="233">
        <v>1374</v>
      </c>
      <c r="K415" s="233">
        <v>2292</v>
      </c>
      <c r="L415" s="233">
        <v>1914964</v>
      </c>
      <c r="M415" s="233">
        <v>181329</v>
      </c>
      <c r="N415" s="233">
        <v>18256</v>
      </c>
      <c r="O415" s="233">
        <v>2577</v>
      </c>
      <c r="P415" s="233">
        <v>914773</v>
      </c>
      <c r="Q415" s="233">
        <v>502</v>
      </c>
      <c r="R415" s="235" t="s">
        <v>4020</v>
      </c>
      <c r="S415" s="235" t="s">
        <v>4020</v>
      </c>
      <c r="T415" s="235" t="s">
        <v>4020</v>
      </c>
      <c r="U415" s="235" t="s">
        <v>4020</v>
      </c>
      <c r="V415" s="235" t="s">
        <v>4020</v>
      </c>
      <c r="W415" s="235" t="s">
        <v>4020</v>
      </c>
      <c r="X415" s="235" t="s">
        <v>4020</v>
      </c>
      <c r="Y415" s="235" t="s">
        <v>4020</v>
      </c>
      <c r="Z415" s="235" t="s">
        <v>4020</v>
      </c>
      <c r="AA415" s="233">
        <v>212</v>
      </c>
      <c r="AB415" s="235" t="s">
        <v>4020</v>
      </c>
      <c r="AC415" s="235" t="s">
        <v>4020</v>
      </c>
      <c r="AD415" s="235" t="s">
        <v>4020</v>
      </c>
      <c r="AE415" s="235" t="s">
        <v>4020</v>
      </c>
      <c r="AF415" s="235" t="s">
        <v>4020</v>
      </c>
      <c r="AG415" s="235" t="s">
        <v>4020</v>
      </c>
      <c r="AH415" s="235" t="s">
        <v>4020</v>
      </c>
      <c r="AI415" s="235" t="s">
        <v>4020</v>
      </c>
      <c r="AJ415" s="235" t="s">
        <v>4020</v>
      </c>
    </row>
    <row r="416" spans="1:36">
      <c r="A416" s="240">
        <v>1</v>
      </c>
      <c r="B416" s="241" t="s">
        <v>3997</v>
      </c>
      <c r="C416" s="241" t="s">
        <v>3432</v>
      </c>
      <c r="D416" s="241" t="s">
        <v>4808</v>
      </c>
      <c r="E416" s="241">
        <v>6</v>
      </c>
      <c r="F416" s="242" t="s">
        <v>4809</v>
      </c>
      <c r="G416" s="233">
        <v>20</v>
      </c>
      <c r="H416" s="233">
        <v>8261</v>
      </c>
      <c r="I416" s="233">
        <v>0</v>
      </c>
      <c r="J416" s="233">
        <v>0</v>
      </c>
      <c r="K416" s="233">
        <v>0</v>
      </c>
      <c r="L416" s="233">
        <v>7240</v>
      </c>
      <c r="M416" s="233">
        <v>3076</v>
      </c>
      <c r="N416" s="233">
        <v>180</v>
      </c>
      <c r="O416" s="233">
        <v>0</v>
      </c>
      <c r="P416" s="233">
        <v>4276</v>
      </c>
      <c r="Q416" s="233">
        <v>20</v>
      </c>
      <c r="R416" s="233">
        <v>8261</v>
      </c>
      <c r="S416" s="233">
        <v>0</v>
      </c>
      <c r="T416" s="233">
        <v>0</v>
      </c>
      <c r="U416" s="233">
        <v>0</v>
      </c>
      <c r="V416" s="233">
        <v>7240</v>
      </c>
      <c r="W416" s="233">
        <v>3076</v>
      </c>
      <c r="X416" s="233">
        <v>180</v>
      </c>
      <c r="Y416" s="233">
        <v>0</v>
      </c>
      <c r="Z416" s="233">
        <v>4276</v>
      </c>
      <c r="AA416" s="235" t="s">
        <v>5298</v>
      </c>
      <c r="AB416" s="235" t="s">
        <v>5298</v>
      </c>
      <c r="AC416" s="235" t="s">
        <v>5298</v>
      </c>
      <c r="AD416" s="235" t="s">
        <v>5298</v>
      </c>
      <c r="AE416" s="235" t="s">
        <v>5298</v>
      </c>
      <c r="AF416" s="235" t="s">
        <v>5298</v>
      </c>
      <c r="AG416" s="235" t="s">
        <v>5298</v>
      </c>
      <c r="AH416" s="235" t="s">
        <v>5298</v>
      </c>
      <c r="AI416" s="235" t="s">
        <v>5298</v>
      </c>
      <c r="AJ416" s="235" t="s">
        <v>5298</v>
      </c>
    </row>
    <row r="417" spans="1:36">
      <c r="A417" s="240">
        <v>1</v>
      </c>
      <c r="B417" s="241" t="s">
        <v>3997</v>
      </c>
      <c r="C417" s="241" t="s">
        <v>3432</v>
      </c>
      <c r="D417" s="241" t="s">
        <v>4810</v>
      </c>
      <c r="E417" s="241">
        <v>6</v>
      </c>
      <c r="F417" s="242" t="s">
        <v>4811</v>
      </c>
      <c r="G417" s="233">
        <v>238</v>
      </c>
      <c r="H417" s="233">
        <v>120041</v>
      </c>
      <c r="I417" s="233">
        <v>25</v>
      </c>
      <c r="J417" s="233">
        <v>1</v>
      </c>
      <c r="K417" s="233">
        <v>24</v>
      </c>
      <c r="L417" s="233">
        <v>101002</v>
      </c>
      <c r="M417" s="233">
        <v>38279</v>
      </c>
      <c r="N417" s="233">
        <v>702</v>
      </c>
      <c r="O417" s="233">
        <v>0</v>
      </c>
      <c r="P417" s="233">
        <v>58020</v>
      </c>
      <c r="Q417" s="233">
        <v>237</v>
      </c>
      <c r="R417" s="235" t="s">
        <v>4020</v>
      </c>
      <c r="S417" s="235" t="s">
        <v>4020</v>
      </c>
      <c r="T417" s="235" t="s">
        <v>4020</v>
      </c>
      <c r="U417" s="235" t="s">
        <v>4020</v>
      </c>
      <c r="V417" s="235" t="s">
        <v>4020</v>
      </c>
      <c r="W417" s="235" t="s">
        <v>4020</v>
      </c>
      <c r="X417" s="235" t="s">
        <v>4020</v>
      </c>
      <c r="Y417" s="235" t="s">
        <v>4020</v>
      </c>
      <c r="Z417" s="235" t="s">
        <v>4020</v>
      </c>
      <c r="AA417" s="233">
        <v>1</v>
      </c>
      <c r="AB417" s="235" t="s">
        <v>4020</v>
      </c>
      <c r="AC417" s="235" t="s">
        <v>4020</v>
      </c>
      <c r="AD417" s="235" t="s">
        <v>4020</v>
      </c>
      <c r="AE417" s="235" t="s">
        <v>4020</v>
      </c>
      <c r="AF417" s="235" t="s">
        <v>4020</v>
      </c>
      <c r="AG417" s="235" t="s">
        <v>4020</v>
      </c>
      <c r="AH417" s="235" t="s">
        <v>4020</v>
      </c>
      <c r="AI417" s="235" t="s">
        <v>4020</v>
      </c>
      <c r="AJ417" s="235" t="s">
        <v>4020</v>
      </c>
    </row>
    <row r="418" spans="1:36">
      <c r="A418" s="240">
        <v>1</v>
      </c>
      <c r="B418" s="241" t="s">
        <v>3997</v>
      </c>
      <c r="C418" s="241" t="s">
        <v>3172</v>
      </c>
      <c r="D418" s="241" t="s">
        <v>4812</v>
      </c>
      <c r="E418" s="241">
        <v>5</v>
      </c>
      <c r="F418" s="242" t="s">
        <v>4813</v>
      </c>
      <c r="G418" s="233">
        <v>19413</v>
      </c>
      <c r="H418" s="233">
        <v>72355650</v>
      </c>
      <c r="I418" s="233">
        <v>20704</v>
      </c>
      <c r="J418" s="233">
        <v>8965</v>
      </c>
      <c r="K418" s="233">
        <v>11739</v>
      </c>
      <c r="L418" s="233">
        <v>72307611</v>
      </c>
      <c r="M418" s="233">
        <v>3225248</v>
      </c>
      <c r="N418" s="233">
        <v>509839</v>
      </c>
      <c r="O418" s="233">
        <v>14312</v>
      </c>
      <c r="P418" s="233">
        <v>3783126</v>
      </c>
      <c r="Q418" s="233">
        <v>18640</v>
      </c>
      <c r="R418" s="233">
        <v>62256836</v>
      </c>
      <c r="S418" s="233">
        <v>19096</v>
      </c>
      <c r="T418" s="233">
        <v>8706</v>
      </c>
      <c r="U418" s="233">
        <v>10390</v>
      </c>
      <c r="V418" s="233">
        <v>62059135</v>
      </c>
      <c r="W418" s="233">
        <v>2972247</v>
      </c>
      <c r="X418" s="233">
        <v>484356</v>
      </c>
      <c r="Y418" s="233">
        <v>13497</v>
      </c>
      <c r="Z418" s="233">
        <v>3654304</v>
      </c>
      <c r="AA418" s="233">
        <v>773</v>
      </c>
      <c r="AB418" s="233">
        <v>10098815</v>
      </c>
      <c r="AC418" s="233">
        <v>1607</v>
      </c>
      <c r="AD418" s="233">
        <v>259</v>
      </c>
      <c r="AE418" s="233">
        <v>1349</v>
      </c>
      <c r="AF418" s="233">
        <v>10248476</v>
      </c>
      <c r="AG418" s="233">
        <v>253001</v>
      </c>
      <c r="AH418" s="233">
        <v>25483</v>
      </c>
      <c r="AI418" s="233">
        <v>815</v>
      </c>
      <c r="AJ418" s="233">
        <v>128823</v>
      </c>
    </row>
    <row r="419" spans="1:36">
      <c r="A419" s="240">
        <v>1</v>
      </c>
      <c r="B419" s="241" t="s">
        <v>3997</v>
      </c>
      <c r="C419" s="241" t="s">
        <v>3432</v>
      </c>
      <c r="D419" s="241" t="s">
        <v>4814</v>
      </c>
      <c r="E419" s="241">
        <v>6</v>
      </c>
      <c r="F419" s="242" t="s">
        <v>4815</v>
      </c>
      <c r="G419" s="233">
        <v>42</v>
      </c>
      <c r="H419" s="233">
        <v>50323406</v>
      </c>
      <c r="I419" s="233">
        <v>0</v>
      </c>
      <c r="J419" s="233">
        <v>0</v>
      </c>
      <c r="K419" s="233">
        <v>0</v>
      </c>
      <c r="L419" s="233">
        <v>50904452</v>
      </c>
      <c r="M419" s="233">
        <v>1766583</v>
      </c>
      <c r="N419" s="233">
        <v>390422</v>
      </c>
      <c r="O419" s="233">
        <v>0</v>
      </c>
      <c r="P419" s="233">
        <v>1575959</v>
      </c>
      <c r="Q419" s="233">
        <v>42</v>
      </c>
      <c r="R419" s="233">
        <v>50323406</v>
      </c>
      <c r="S419" s="233">
        <v>0</v>
      </c>
      <c r="T419" s="233">
        <v>0</v>
      </c>
      <c r="U419" s="233">
        <v>0</v>
      </c>
      <c r="V419" s="233">
        <v>50904452</v>
      </c>
      <c r="W419" s="233">
        <v>1766583</v>
      </c>
      <c r="X419" s="233">
        <v>390422</v>
      </c>
      <c r="Y419" s="233">
        <v>0</v>
      </c>
      <c r="Z419" s="233">
        <v>1575959</v>
      </c>
      <c r="AA419" s="235" t="s">
        <v>5298</v>
      </c>
      <c r="AB419" s="235" t="s">
        <v>5298</v>
      </c>
      <c r="AC419" s="235" t="s">
        <v>5298</v>
      </c>
      <c r="AD419" s="235" t="s">
        <v>5298</v>
      </c>
      <c r="AE419" s="235" t="s">
        <v>5298</v>
      </c>
      <c r="AF419" s="235" t="s">
        <v>5298</v>
      </c>
      <c r="AG419" s="235" t="s">
        <v>5298</v>
      </c>
      <c r="AH419" s="235" t="s">
        <v>5298</v>
      </c>
      <c r="AI419" s="235" t="s">
        <v>5298</v>
      </c>
      <c r="AJ419" s="235" t="s">
        <v>5298</v>
      </c>
    </row>
    <row r="420" spans="1:36">
      <c r="A420" s="240">
        <v>1</v>
      </c>
      <c r="B420" s="241" t="s">
        <v>3997</v>
      </c>
      <c r="C420" s="241" t="s">
        <v>3432</v>
      </c>
      <c r="D420" s="241" t="s">
        <v>4816</v>
      </c>
      <c r="E420" s="241">
        <v>6</v>
      </c>
      <c r="F420" s="242" t="s">
        <v>4817</v>
      </c>
      <c r="G420" s="233">
        <v>50</v>
      </c>
      <c r="H420" s="233">
        <v>10347826</v>
      </c>
      <c r="I420" s="233">
        <v>12</v>
      </c>
      <c r="J420" s="233">
        <v>0</v>
      </c>
      <c r="K420" s="233">
        <v>12</v>
      </c>
      <c r="L420" s="233">
        <v>9683207</v>
      </c>
      <c r="M420" s="233">
        <v>604179</v>
      </c>
      <c r="N420" s="233">
        <v>67821</v>
      </c>
      <c r="O420" s="233">
        <v>27</v>
      </c>
      <c r="P420" s="233">
        <v>1336620</v>
      </c>
      <c r="Q420" s="233">
        <v>46</v>
      </c>
      <c r="R420" s="233">
        <v>10262957</v>
      </c>
      <c r="S420" s="233">
        <v>12</v>
      </c>
      <c r="T420" s="233">
        <v>0</v>
      </c>
      <c r="U420" s="233">
        <v>12</v>
      </c>
      <c r="V420" s="233">
        <v>9611463</v>
      </c>
      <c r="W420" s="233">
        <v>597834</v>
      </c>
      <c r="X420" s="233">
        <v>67787</v>
      </c>
      <c r="Y420" s="233">
        <v>27</v>
      </c>
      <c r="Z420" s="233">
        <v>1317115</v>
      </c>
      <c r="AA420" s="233">
        <v>4</v>
      </c>
      <c r="AB420" s="233">
        <v>84869</v>
      </c>
      <c r="AC420" s="233">
        <v>0</v>
      </c>
      <c r="AD420" s="233">
        <v>0</v>
      </c>
      <c r="AE420" s="233">
        <v>0</v>
      </c>
      <c r="AF420" s="233">
        <v>71744</v>
      </c>
      <c r="AG420" s="233">
        <v>6346</v>
      </c>
      <c r="AH420" s="233">
        <v>34</v>
      </c>
      <c r="AI420" s="233">
        <v>0</v>
      </c>
      <c r="AJ420" s="233">
        <v>19505</v>
      </c>
    </row>
    <row r="421" spans="1:36">
      <c r="A421" s="240">
        <v>1</v>
      </c>
      <c r="B421" s="241" t="s">
        <v>3997</v>
      </c>
      <c r="C421" s="241" t="s">
        <v>3432</v>
      </c>
      <c r="D421" s="241" t="s">
        <v>4818</v>
      </c>
      <c r="E421" s="241">
        <v>6</v>
      </c>
      <c r="F421" s="242" t="s">
        <v>4819</v>
      </c>
      <c r="G421" s="233">
        <v>734</v>
      </c>
      <c r="H421" s="233">
        <v>10108861</v>
      </c>
      <c r="I421" s="233">
        <v>613</v>
      </c>
      <c r="J421" s="233">
        <v>0</v>
      </c>
      <c r="K421" s="233">
        <v>613</v>
      </c>
      <c r="L421" s="233">
        <v>10270725</v>
      </c>
      <c r="M421" s="233">
        <v>235082</v>
      </c>
      <c r="N421" s="233">
        <v>26421</v>
      </c>
      <c r="O421" s="233">
        <v>138</v>
      </c>
      <c r="P421" s="233">
        <v>99639</v>
      </c>
      <c r="Q421" s="233">
        <v>105</v>
      </c>
      <c r="R421" s="233">
        <v>159985</v>
      </c>
      <c r="S421" s="233">
        <v>0</v>
      </c>
      <c r="T421" s="233">
        <v>0</v>
      </c>
      <c r="U421" s="233">
        <v>0</v>
      </c>
      <c r="V421" s="233">
        <v>154011</v>
      </c>
      <c r="W421" s="233">
        <v>7370</v>
      </c>
      <c r="X421" s="233">
        <v>1291</v>
      </c>
      <c r="Y421" s="233">
        <v>0</v>
      </c>
      <c r="Z421" s="233">
        <v>14635</v>
      </c>
      <c r="AA421" s="233">
        <v>629</v>
      </c>
      <c r="AB421" s="233">
        <v>9948876</v>
      </c>
      <c r="AC421" s="233">
        <v>613</v>
      </c>
      <c r="AD421" s="233">
        <v>0</v>
      </c>
      <c r="AE421" s="233">
        <v>613</v>
      </c>
      <c r="AF421" s="233">
        <v>10116714</v>
      </c>
      <c r="AG421" s="233">
        <v>227713</v>
      </c>
      <c r="AH421" s="233">
        <v>25130</v>
      </c>
      <c r="AI421" s="233">
        <v>138</v>
      </c>
      <c r="AJ421" s="233">
        <v>85004</v>
      </c>
    </row>
    <row r="422" spans="1:36">
      <c r="A422" s="240">
        <v>1</v>
      </c>
      <c r="B422" s="241" t="s">
        <v>3997</v>
      </c>
      <c r="C422" s="241" t="s">
        <v>3432</v>
      </c>
      <c r="D422" s="241" t="s">
        <v>4820</v>
      </c>
      <c r="E422" s="241">
        <v>6</v>
      </c>
      <c r="F422" s="242" t="s">
        <v>4821</v>
      </c>
      <c r="G422" s="233">
        <v>18198</v>
      </c>
      <c r="H422" s="233">
        <v>1429643</v>
      </c>
      <c r="I422" s="233">
        <v>20053</v>
      </c>
      <c r="J422" s="233">
        <v>8944</v>
      </c>
      <c r="K422" s="233">
        <v>11109</v>
      </c>
      <c r="L422" s="233">
        <v>1310989</v>
      </c>
      <c r="M422" s="233">
        <v>557373</v>
      </c>
      <c r="N422" s="233">
        <v>24434</v>
      </c>
      <c r="O422" s="233">
        <v>14147</v>
      </c>
      <c r="P422" s="233">
        <v>700461</v>
      </c>
      <c r="Q422" s="233">
        <v>18069</v>
      </c>
      <c r="R422" s="233">
        <v>1390640</v>
      </c>
      <c r="S422" s="233">
        <v>19058</v>
      </c>
      <c r="T422" s="233">
        <v>8685</v>
      </c>
      <c r="U422" s="233">
        <v>10373</v>
      </c>
      <c r="V422" s="233">
        <v>1276598</v>
      </c>
      <c r="W422" s="233">
        <v>552577</v>
      </c>
      <c r="X422" s="233">
        <v>24170</v>
      </c>
      <c r="Y422" s="233">
        <v>13470</v>
      </c>
      <c r="Z422" s="233">
        <v>690789</v>
      </c>
      <c r="AA422" s="233">
        <v>129</v>
      </c>
      <c r="AB422" s="233">
        <v>39003</v>
      </c>
      <c r="AC422" s="233">
        <v>995</v>
      </c>
      <c r="AD422" s="233">
        <v>259</v>
      </c>
      <c r="AE422" s="233">
        <v>736</v>
      </c>
      <c r="AF422" s="233">
        <v>34392</v>
      </c>
      <c r="AG422" s="233">
        <v>4795</v>
      </c>
      <c r="AH422" s="233">
        <v>265</v>
      </c>
      <c r="AI422" s="233">
        <v>677</v>
      </c>
      <c r="AJ422" s="233">
        <v>9671</v>
      </c>
    </row>
    <row r="423" spans="1:36">
      <c r="A423" s="240">
        <v>1</v>
      </c>
      <c r="B423" s="241" t="s">
        <v>3997</v>
      </c>
      <c r="C423" s="241" t="s">
        <v>3432</v>
      </c>
      <c r="D423" s="241" t="s">
        <v>4822</v>
      </c>
      <c r="E423" s="241">
        <v>6</v>
      </c>
      <c r="F423" s="242" t="s">
        <v>4823</v>
      </c>
      <c r="G423" s="233">
        <v>389</v>
      </c>
      <c r="H423" s="233">
        <v>145913</v>
      </c>
      <c r="I423" s="233">
        <v>26</v>
      </c>
      <c r="J423" s="233">
        <v>21</v>
      </c>
      <c r="K423" s="233">
        <v>4</v>
      </c>
      <c r="L423" s="233">
        <v>138237</v>
      </c>
      <c r="M423" s="233">
        <v>62031</v>
      </c>
      <c r="N423" s="233">
        <v>740</v>
      </c>
      <c r="O423" s="233">
        <v>0</v>
      </c>
      <c r="P423" s="233">
        <v>70448</v>
      </c>
      <c r="Q423" s="233">
        <v>378</v>
      </c>
      <c r="R423" s="233">
        <v>119847</v>
      </c>
      <c r="S423" s="233">
        <v>26</v>
      </c>
      <c r="T423" s="233">
        <v>21</v>
      </c>
      <c r="U423" s="233">
        <v>4</v>
      </c>
      <c r="V423" s="233">
        <v>112611</v>
      </c>
      <c r="W423" s="233">
        <v>47884</v>
      </c>
      <c r="X423" s="233">
        <v>685</v>
      </c>
      <c r="Y423" s="233">
        <v>0</v>
      </c>
      <c r="Z423" s="233">
        <v>55806</v>
      </c>
      <c r="AA423" s="233">
        <v>11</v>
      </c>
      <c r="AB423" s="233">
        <v>26066</v>
      </c>
      <c r="AC423" s="233">
        <v>0</v>
      </c>
      <c r="AD423" s="233">
        <v>0</v>
      </c>
      <c r="AE423" s="233">
        <v>0</v>
      </c>
      <c r="AF423" s="233">
        <v>25626</v>
      </c>
      <c r="AG423" s="233">
        <v>14147</v>
      </c>
      <c r="AH423" s="233">
        <v>55</v>
      </c>
      <c r="AI423" s="233">
        <v>0</v>
      </c>
      <c r="AJ423" s="233">
        <v>14642</v>
      </c>
    </row>
    <row r="424" spans="1:36">
      <c r="A424" s="240">
        <v>1</v>
      </c>
      <c r="B424" s="241" t="s">
        <v>3997</v>
      </c>
      <c r="C424" s="241" t="s">
        <v>3459</v>
      </c>
      <c r="D424" s="241" t="s">
        <v>4824</v>
      </c>
      <c r="E424" s="241">
        <v>3</v>
      </c>
      <c r="F424" s="242" t="s">
        <v>4825</v>
      </c>
      <c r="G424" s="233">
        <v>229175</v>
      </c>
      <c r="H424" s="233">
        <v>60399148</v>
      </c>
      <c r="I424" s="233">
        <v>1013953</v>
      </c>
      <c r="J424" s="233">
        <v>629401</v>
      </c>
      <c r="K424" s="233">
        <v>384553</v>
      </c>
      <c r="L424" s="233">
        <v>53999005</v>
      </c>
      <c r="M424" s="233">
        <v>5103127</v>
      </c>
      <c r="N424" s="233">
        <v>1280767</v>
      </c>
      <c r="O424" s="233">
        <v>659026</v>
      </c>
      <c r="P424" s="233">
        <v>12784037</v>
      </c>
      <c r="Q424" s="233">
        <v>225456</v>
      </c>
      <c r="R424" s="233">
        <v>58217614</v>
      </c>
      <c r="S424" s="233">
        <v>1011796</v>
      </c>
      <c r="T424" s="233">
        <v>629069</v>
      </c>
      <c r="U424" s="233">
        <v>382727</v>
      </c>
      <c r="V424" s="233">
        <v>52199437</v>
      </c>
      <c r="W424" s="233">
        <v>5002990</v>
      </c>
      <c r="X424" s="233">
        <v>1168793</v>
      </c>
      <c r="Y424" s="233">
        <v>658062</v>
      </c>
      <c r="Z424" s="233">
        <v>12189960</v>
      </c>
      <c r="AA424" s="233">
        <v>3719</v>
      </c>
      <c r="AB424" s="233">
        <v>2181534</v>
      </c>
      <c r="AC424" s="233">
        <v>2157</v>
      </c>
      <c r="AD424" s="233">
        <v>332</v>
      </c>
      <c r="AE424" s="233">
        <v>1825</v>
      </c>
      <c r="AF424" s="233">
        <v>1799568</v>
      </c>
      <c r="AG424" s="233">
        <v>100138</v>
      </c>
      <c r="AH424" s="233">
        <v>111974</v>
      </c>
      <c r="AI424" s="233">
        <v>965</v>
      </c>
      <c r="AJ424" s="233">
        <v>594077</v>
      </c>
    </row>
    <row r="425" spans="1:36">
      <c r="A425" s="240">
        <v>1</v>
      </c>
      <c r="B425" s="241" t="s">
        <v>3997</v>
      </c>
      <c r="C425" s="241" t="s">
        <v>3170</v>
      </c>
      <c r="D425" s="241" t="s">
        <v>4826</v>
      </c>
      <c r="E425" s="241">
        <v>4</v>
      </c>
      <c r="F425" s="242" t="s">
        <v>4827</v>
      </c>
      <c r="G425" s="233">
        <v>217138</v>
      </c>
      <c r="H425" s="233">
        <v>43694022</v>
      </c>
      <c r="I425" s="233">
        <v>205285</v>
      </c>
      <c r="J425" s="233">
        <v>79198</v>
      </c>
      <c r="K425" s="233">
        <v>126087</v>
      </c>
      <c r="L425" s="233">
        <v>38375755</v>
      </c>
      <c r="M425" s="233">
        <v>3927801</v>
      </c>
      <c r="N425" s="233">
        <v>1170725</v>
      </c>
      <c r="O425" s="233">
        <v>109902</v>
      </c>
      <c r="P425" s="233">
        <v>10416793</v>
      </c>
      <c r="Q425" s="233">
        <v>213582</v>
      </c>
      <c r="R425" s="233">
        <v>41551940</v>
      </c>
      <c r="S425" s="233">
        <v>203307</v>
      </c>
      <c r="T425" s="233">
        <v>78936</v>
      </c>
      <c r="U425" s="233">
        <v>124371</v>
      </c>
      <c r="V425" s="233">
        <v>36615390</v>
      </c>
      <c r="W425" s="233">
        <v>3830253</v>
      </c>
      <c r="X425" s="233">
        <v>1059215</v>
      </c>
      <c r="Y425" s="233">
        <v>108943</v>
      </c>
      <c r="Z425" s="233">
        <v>9826019</v>
      </c>
      <c r="AA425" s="233">
        <v>3556</v>
      </c>
      <c r="AB425" s="233">
        <v>2142082</v>
      </c>
      <c r="AC425" s="233">
        <v>1979</v>
      </c>
      <c r="AD425" s="233">
        <v>262</v>
      </c>
      <c r="AE425" s="233">
        <v>1716</v>
      </c>
      <c r="AF425" s="233">
        <v>1760365</v>
      </c>
      <c r="AG425" s="233">
        <v>97548</v>
      </c>
      <c r="AH425" s="233">
        <v>111510</v>
      </c>
      <c r="AI425" s="233">
        <v>958</v>
      </c>
      <c r="AJ425" s="233">
        <v>590774</v>
      </c>
    </row>
    <row r="426" spans="1:36">
      <c r="A426" s="240">
        <v>1</v>
      </c>
      <c r="B426" s="241" t="s">
        <v>3997</v>
      </c>
      <c r="C426" s="241" t="s">
        <v>3172</v>
      </c>
      <c r="D426" s="241" t="s">
        <v>4828</v>
      </c>
      <c r="E426" s="241">
        <v>5</v>
      </c>
      <c r="F426" s="242" t="s">
        <v>4829</v>
      </c>
      <c r="G426" s="233">
        <v>49879</v>
      </c>
      <c r="H426" s="233">
        <v>17864688</v>
      </c>
      <c r="I426" s="233">
        <v>32135</v>
      </c>
      <c r="J426" s="233">
        <v>16186</v>
      </c>
      <c r="K426" s="233">
        <v>15949</v>
      </c>
      <c r="L426" s="233">
        <v>15978201</v>
      </c>
      <c r="M426" s="233">
        <v>1441623</v>
      </c>
      <c r="N426" s="233">
        <v>282483</v>
      </c>
      <c r="O426" s="233">
        <v>19389</v>
      </c>
      <c r="P426" s="233">
        <v>3610591</v>
      </c>
      <c r="Q426" s="233">
        <v>49259</v>
      </c>
      <c r="R426" s="233">
        <v>17614247</v>
      </c>
      <c r="S426" s="233">
        <v>32117</v>
      </c>
      <c r="T426" s="233">
        <v>16182</v>
      </c>
      <c r="U426" s="233">
        <v>15935</v>
      </c>
      <c r="V426" s="233">
        <v>15745015</v>
      </c>
      <c r="W426" s="233">
        <v>1430102</v>
      </c>
      <c r="X426" s="233">
        <v>280186</v>
      </c>
      <c r="Y426" s="233">
        <v>19389</v>
      </c>
      <c r="Z426" s="233">
        <v>3579521</v>
      </c>
      <c r="AA426" s="233">
        <v>620</v>
      </c>
      <c r="AB426" s="233">
        <v>250440</v>
      </c>
      <c r="AC426" s="233">
        <v>18</v>
      </c>
      <c r="AD426" s="233">
        <v>4</v>
      </c>
      <c r="AE426" s="233">
        <v>14</v>
      </c>
      <c r="AF426" s="233">
        <v>233187</v>
      </c>
      <c r="AG426" s="233">
        <v>11521</v>
      </c>
      <c r="AH426" s="233">
        <v>2297</v>
      </c>
      <c r="AI426" s="233">
        <v>0</v>
      </c>
      <c r="AJ426" s="233">
        <v>31071</v>
      </c>
    </row>
    <row r="427" spans="1:36">
      <c r="A427" s="240">
        <v>1</v>
      </c>
      <c r="B427" s="241" t="s">
        <v>3997</v>
      </c>
      <c r="C427" s="241" t="s">
        <v>3432</v>
      </c>
      <c r="D427" s="241" t="s">
        <v>4830</v>
      </c>
      <c r="E427" s="241">
        <v>6</v>
      </c>
      <c r="F427" s="242" t="s">
        <v>4831</v>
      </c>
      <c r="G427" s="233">
        <v>16332</v>
      </c>
      <c r="H427" s="233">
        <v>13415434</v>
      </c>
      <c r="I427" s="233">
        <v>17391</v>
      </c>
      <c r="J427" s="233">
        <v>10893</v>
      </c>
      <c r="K427" s="233">
        <v>6498</v>
      </c>
      <c r="L427" s="233">
        <v>12095261</v>
      </c>
      <c r="M427" s="233">
        <v>688118</v>
      </c>
      <c r="N427" s="233">
        <v>198293</v>
      </c>
      <c r="O427" s="233">
        <v>11614</v>
      </c>
      <c r="P427" s="233">
        <v>2206584</v>
      </c>
      <c r="Q427" s="233">
        <v>15787</v>
      </c>
      <c r="R427" s="233">
        <v>13171030</v>
      </c>
      <c r="S427" s="233">
        <v>17373</v>
      </c>
      <c r="T427" s="233">
        <v>10889</v>
      </c>
      <c r="U427" s="233">
        <v>6485</v>
      </c>
      <c r="V427" s="233">
        <v>11867469</v>
      </c>
      <c r="W427" s="233">
        <v>677516</v>
      </c>
      <c r="X427" s="233">
        <v>196237</v>
      </c>
      <c r="Y427" s="233">
        <v>11614</v>
      </c>
      <c r="Z427" s="233">
        <v>2177314</v>
      </c>
      <c r="AA427" s="233">
        <v>545</v>
      </c>
      <c r="AB427" s="233">
        <v>244404</v>
      </c>
      <c r="AC427" s="233">
        <v>18</v>
      </c>
      <c r="AD427" s="233">
        <v>4</v>
      </c>
      <c r="AE427" s="233">
        <v>13</v>
      </c>
      <c r="AF427" s="233">
        <v>227791</v>
      </c>
      <c r="AG427" s="233">
        <v>10601</v>
      </c>
      <c r="AH427" s="233">
        <v>2057</v>
      </c>
      <c r="AI427" s="233">
        <v>0</v>
      </c>
      <c r="AJ427" s="233">
        <v>29270</v>
      </c>
    </row>
    <row r="428" spans="1:36">
      <c r="A428" s="240">
        <v>1</v>
      </c>
      <c r="B428" s="241" t="s">
        <v>3997</v>
      </c>
      <c r="C428" s="241" t="s">
        <v>3432</v>
      </c>
      <c r="D428" s="241" t="s">
        <v>4832</v>
      </c>
      <c r="E428" s="241">
        <v>6</v>
      </c>
      <c r="F428" s="242" t="s">
        <v>4833</v>
      </c>
      <c r="G428" s="233">
        <v>33546</v>
      </c>
      <c r="H428" s="233">
        <v>4447905</v>
      </c>
      <c r="I428" s="233">
        <v>14744</v>
      </c>
      <c r="J428" s="233">
        <v>5293</v>
      </c>
      <c r="K428" s="233">
        <v>9451</v>
      </c>
      <c r="L428" s="233">
        <v>3881668</v>
      </c>
      <c r="M428" s="233">
        <v>753310</v>
      </c>
      <c r="N428" s="233">
        <v>84189</v>
      </c>
      <c r="O428" s="233">
        <v>7774</v>
      </c>
      <c r="P428" s="233">
        <v>1403736</v>
      </c>
      <c r="Q428" s="233">
        <v>33471</v>
      </c>
      <c r="R428" s="233">
        <v>4441869</v>
      </c>
      <c r="S428" s="233">
        <v>14744</v>
      </c>
      <c r="T428" s="233">
        <v>5293</v>
      </c>
      <c r="U428" s="233">
        <v>9451</v>
      </c>
      <c r="V428" s="233">
        <v>3876272</v>
      </c>
      <c r="W428" s="233">
        <v>752391</v>
      </c>
      <c r="X428" s="233">
        <v>83949</v>
      </c>
      <c r="Y428" s="233">
        <v>7774</v>
      </c>
      <c r="Z428" s="233">
        <v>1401936</v>
      </c>
      <c r="AA428" s="233">
        <v>75</v>
      </c>
      <c r="AB428" s="233">
        <v>6036</v>
      </c>
      <c r="AC428" s="233">
        <v>0</v>
      </c>
      <c r="AD428" s="233">
        <v>0</v>
      </c>
      <c r="AE428" s="233">
        <v>0</v>
      </c>
      <c r="AF428" s="233">
        <v>5396</v>
      </c>
      <c r="AG428" s="233">
        <v>919</v>
      </c>
      <c r="AH428" s="233">
        <v>240</v>
      </c>
      <c r="AI428" s="233">
        <v>0</v>
      </c>
      <c r="AJ428" s="233">
        <v>1800</v>
      </c>
    </row>
    <row r="429" spans="1:36">
      <c r="A429" s="240">
        <v>1</v>
      </c>
      <c r="B429" s="241" t="s">
        <v>3997</v>
      </c>
      <c r="C429" s="241" t="s">
        <v>3172</v>
      </c>
      <c r="D429" s="241" t="s">
        <v>4834</v>
      </c>
      <c r="E429" s="241">
        <v>5</v>
      </c>
      <c r="F429" s="242" t="s">
        <v>4835</v>
      </c>
      <c r="G429" s="233">
        <v>166984</v>
      </c>
      <c r="H429" s="233">
        <v>25807357</v>
      </c>
      <c r="I429" s="233">
        <v>173005</v>
      </c>
      <c r="J429" s="233">
        <v>62973</v>
      </c>
      <c r="K429" s="233">
        <v>110032</v>
      </c>
      <c r="L429" s="233">
        <v>22378352</v>
      </c>
      <c r="M429" s="233">
        <v>2482495</v>
      </c>
      <c r="N429" s="233">
        <v>887668</v>
      </c>
      <c r="O429" s="233">
        <v>90315</v>
      </c>
      <c r="P429" s="233">
        <v>6799168</v>
      </c>
      <c r="Q429" s="233">
        <v>164073</v>
      </c>
      <c r="R429" s="233">
        <v>23916806</v>
      </c>
      <c r="S429" s="233">
        <v>171045</v>
      </c>
      <c r="T429" s="233">
        <v>62715</v>
      </c>
      <c r="U429" s="233">
        <v>108330</v>
      </c>
      <c r="V429" s="233">
        <v>20852238</v>
      </c>
      <c r="W429" s="233">
        <v>2396728</v>
      </c>
      <c r="X429" s="233">
        <v>778510</v>
      </c>
      <c r="Y429" s="233">
        <v>89356</v>
      </c>
      <c r="Z429" s="233">
        <v>6239806</v>
      </c>
      <c r="AA429" s="233">
        <v>2911</v>
      </c>
      <c r="AB429" s="233">
        <v>1890552</v>
      </c>
      <c r="AC429" s="233">
        <v>1961</v>
      </c>
      <c r="AD429" s="233">
        <v>258</v>
      </c>
      <c r="AE429" s="233">
        <v>1702</v>
      </c>
      <c r="AF429" s="233">
        <v>1526114</v>
      </c>
      <c r="AG429" s="233">
        <v>85767</v>
      </c>
      <c r="AH429" s="233">
        <v>109158</v>
      </c>
      <c r="AI429" s="233">
        <v>958</v>
      </c>
      <c r="AJ429" s="233">
        <v>559362</v>
      </c>
    </row>
    <row r="430" spans="1:36">
      <c r="A430" s="240">
        <v>1</v>
      </c>
      <c r="B430" s="241" t="s">
        <v>3997</v>
      </c>
      <c r="C430" s="241" t="s">
        <v>3432</v>
      </c>
      <c r="D430" s="241" t="s">
        <v>4836</v>
      </c>
      <c r="E430" s="241">
        <v>6</v>
      </c>
      <c r="F430" s="242" t="s">
        <v>4837</v>
      </c>
      <c r="G430" s="233">
        <v>46753</v>
      </c>
      <c r="H430" s="233">
        <v>12940507</v>
      </c>
      <c r="I430" s="233">
        <v>91777</v>
      </c>
      <c r="J430" s="233">
        <v>29899</v>
      </c>
      <c r="K430" s="233">
        <v>61877</v>
      </c>
      <c r="L430" s="233">
        <v>10590713</v>
      </c>
      <c r="M430" s="233">
        <v>1033135</v>
      </c>
      <c r="N430" s="233">
        <v>538223</v>
      </c>
      <c r="O430" s="233">
        <v>49564</v>
      </c>
      <c r="P430" s="233">
        <v>3921152</v>
      </c>
      <c r="Q430" s="233">
        <v>45588</v>
      </c>
      <c r="R430" s="233">
        <v>12411840</v>
      </c>
      <c r="S430" s="233">
        <v>90804</v>
      </c>
      <c r="T430" s="233">
        <v>29740</v>
      </c>
      <c r="U430" s="233">
        <v>61065</v>
      </c>
      <c r="V430" s="233">
        <v>10262995</v>
      </c>
      <c r="W430" s="233">
        <v>1018270</v>
      </c>
      <c r="X430" s="233">
        <v>499857</v>
      </c>
      <c r="Y430" s="233">
        <v>49257</v>
      </c>
      <c r="Z430" s="233">
        <v>3666972</v>
      </c>
      <c r="AA430" s="233">
        <v>1165</v>
      </c>
      <c r="AB430" s="233">
        <v>528667</v>
      </c>
      <c r="AC430" s="233">
        <v>972</v>
      </c>
      <c r="AD430" s="233">
        <v>160</v>
      </c>
      <c r="AE430" s="233">
        <v>813</v>
      </c>
      <c r="AF430" s="233">
        <v>327718</v>
      </c>
      <c r="AG430" s="233">
        <v>14866</v>
      </c>
      <c r="AH430" s="233">
        <v>38366</v>
      </c>
      <c r="AI430" s="233">
        <v>307</v>
      </c>
      <c r="AJ430" s="233">
        <v>254180</v>
      </c>
    </row>
    <row r="431" spans="1:36">
      <c r="A431" s="240">
        <v>1</v>
      </c>
      <c r="B431" s="241" t="s">
        <v>3997</v>
      </c>
      <c r="C431" s="241" t="s">
        <v>3432</v>
      </c>
      <c r="D431" s="241" t="s">
        <v>4838</v>
      </c>
      <c r="E431" s="241">
        <v>6</v>
      </c>
      <c r="F431" s="242" t="s">
        <v>4839</v>
      </c>
      <c r="G431" s="233">
        <v>79193</v>
      </c>
      <c r="H431" s="233">
        <v>6344621</v>
      </c>
      <c r="I431" s="233">
        <v>35855</v>
      </c>
      <c r="J431" s="233">
        <v>15888</v>
      </c>
      <c r="K431" s="233">
        <v>19967</v>
      </c>
      <c r="L431" s="233">
        <v>5662355</v>
      </c>
      <c r="M431" s="233">
        <v>642072</v>
      </c>
      <c r="N431" s="233">
        <v>263668</v>
      </c>
      <c r="O431" s="233">
        <v>13319</v>
      </c>
      <c r="P431" s="233">
        <v>1588006</v>
      </c>
      <c r="Q431" s="233">
        <v>78576</v>
      </c>
      <c r="R431" s="233">
        <v>5197647</v>
      </c>
      <c r="S431" s="233">
        <v>35789</v>
      </c>
      <c r="T431" s="233">
        <v>15861</v>
      </c>
      <c r="U431" s="233">
        <v>19928</v>
      </c>
      <c r="V431" s="233">
        <v>4668858</v>
      </c>
      <c r="W431" s="233">
        <v>601464</v>
      </c>
      <c r="X431" s="233">
        <v>199374</v>
      </c>
      <c r="Y431" s="233">
        <v>13314</v>
      </c>
      <c r="Z431" s="233">
        <v>1329627</v>
      </c>
      <c r="AA431" s="233">
        <v>617</v>
      </c>
      <c r="AB431" s="233">
        <v>1146974</v>
      </c>
      <c r="AC431" s="233">
        <v>66</v>
      </c>
      <c r="AD431" s="233">
        <v>26</v>
      </c>
      <c r="AE431" s="233">
        <v>39</v>
      </c>
      <c r="AF431" s="233">
        <v>993497</v>
      </c>
      <c r="AG431" s="233">
        <v>40607</v>
      </c>
      <c r="AH431" s="233">
        <v>64295</v>
      </c>
      <c r="AI431" s="233">
        <v>5</v>
      </c>
      <c r="AJ431" s="233">
        <v>258379</v>
      </c>
    </row>
    <row r="432" spans="1:36">
      <c r="A432" s="240">
        <v>1</v>
      </c>
      <c r="B432" s="241" t="s">
        <v>3997</v>
      </c>
      <c r="C432" s="241" t="s">
        <v>3432</v>
      </c>
      <c r="D432" s="241" t="s">
        <v>4840</v>
      </c>
      <c r="E432" s="241">
        <v>6</v>
      </c>
      <c r="F432" s="242" t="s">
        <v>4841</v>
      </c>
      <c r="G432" s="233">
        <v>8258</v>
      </c>
      <c r="H432" s="233">
        <v>752420</v>
      </c>
      <c r="I432" s="233">
        <v>14711</v>
      </c>
      <c r="J432" s="233">
        <v>5887</v>
      </c>
      <c r="K432" s="233">
        <v>8823</v>
      </c>
      <c r="L432" s="233">
        <v>665916</v>
      </c>
      <c r="M432" s="233">
        <v>88756</v>
      </c>
      <c r="N432" s="233">
        <v>13513</v>
      </c>
      <c r="O432" s="233">
        <v>9188</v>
      </c>
      <c r="P432" s="233">
        <v>188773</v>
      </c>
      <c r="Q432" s="233">
        <v>7681</v>
      </c>
      <c r="R432" s="233">
        <v>722972</v>
      </c>
      <c r="S432" s="233">
        <v>14088</v>
      </c>
      <c r="T432" s="233">
        <v>5822</v>
      </c>
      <c r="U432" s="233">
        <v>8266</v>
      </c>
      <c r="V432" s="233">
        <v>637160</v>
      </c>
      <c r="W432" s="233">
        <v>81576</v>
      </c>
      <c r="X432" s="233">
        <v>11931</v>
      </c>
      <c r="Y432" s="233">
        <v>8898</v>
      </c>
      <c r="Z432" s="233">
        <v>179319</v>
      </c>
      <c r="AA432" s="233">
        <v>577</v>
      </c>
      <c r="AB432" s="233">
        <v>29448</v>
      </c>
      <c r="AC432" s="233">
        <v>623</v>
      </c>
      <c r="AD432" s="233">
        <v>66</v>
      </c>
      <c r="AE432" s="233">
        <v>557</v>
      </c>
      <c r="AF432" s="233">
        <v>28756</v>
      </c>
      <c r="AG432" s="233">
        <v>7179</v>
      </c>
      <c r="AH432" s="233">
        <v>1583</v>
      </c>
      <c r="AI432" s="233">
        <v>290</v>
      </c>
      <c r="AJ432" s="233">
        <v>9454</v>
      </c>
    </row>
    <row r="433" spans="1:36">
      <c r="A433" s="240">
        <v>1</v>
      </c>
      <c r="B433" s="241" t="s">
        <v>3997</v>
      </c>
      <c r="C433" s="241" t="s">
        <v>3432</v>
      </c>
      <c r="D433" s="241" t="s">
        <v>4842</v>
      </c>
      <c r="E433" s="241">
        <v>6</v>
      </c>
      <c r="F433" s="242" t="s">
        <v>4843</v>
      </c>
      <c r="G433" s="233">
        <v>32775</v>
      </c>
      <c r="H433" s="233">
        <v>5769416</v>
      </c>
      <c r="I433" s="233">
        <v>30663</v>
      </c>
      <c r="J433" s="233">
        <v>11299</v>
      </c>
      <c r="K433" s="233">
        <v>19364</v>
      </c>
      <c r="L433" s="233">
        <v>5458954</v>
      </c>
      <c r="M433" s="233">
        <v>718407</v>
      </c>
      <c r="N433" s="233">
        <v>72239</v>
      </c>
      <c r="O433" s="233">
        <v>18244</v>
      </c>
      <c r="P433" s="233">
        <v>1101109</v>
      </c>
      <c r="Q433" s="233">
        <v>32223</v>
      </c>
      <c r="R433" s="233">
        <v>5583954</v>
      </c>
      <c r="S433" s="233">
        <v>30363</v>
      </c>
      <c r="T433" s="233">
        <v>11293</v>
      </c>
      <c r="U433" s="233">
        <v>19071</v>
      </c>
      <c r="V433" s="233">
        <v>5282810</v>
      </c>
      <c r="W433" s="233">
        <v>695293</v>
      </c>
      <c r="X433" s="233">
        <v>67324</v>
      </c>
      <c r="Y433" s="233">
        <v>17888</v>
      </c>
      <c r="Z433" s="233">
        <v>1063760</v>
      </c>
      <c r="AA433" s="233">
        <v>552</v>
      </c>
      <c r="AB433" s="233">
        <v>185463</v>
      </c>
      <c r="AC433" s="233">
        <v>300</v>
      </c>
      <c r="AD433" s="233">
        <v>6</v>
      </c>
      <c r="AE433" s="233">
        <v>294</v>
      </c>
      <c r="AF433" s="233">
        <v>176143</v>
      </c>
      <c r="AG433" s="233">
        <v>23115</v>
      </c>
      <c r="AH433" s="233">
        <v>4915</v>
      </c>
      <c r="AI433" s="233">
        <v>356</v>
      </c>
      <c r="AJ433" s="233">
        <v>37349</v>
      </c>
    </row>
    <row r="434" spans="1:36">
      <c r="A434" s="240">
        <v>1</v>
      </c>
      <c r="B434" s="241" t="s">
        <v>3997</v>
      </c>
      <c r="C434" s="241" t="s">
        <v>3170</v>
      </c>
      <c r="D434" s="241" t="s">
        <v>4844</v>
      </c>
      <c r="E434" s="241">
        <v>4</v>
      </c>
      <c r="F434" s="242" t="s">
        <v>4845</v>
      </c>
      <c r="G434" s="233">
        <v>12037</v>
      </c>
      <c r="H434" s="233">
        <v>16705126</v>
      </c>
      <c r="I434" s="233">
        <v>808668</v>
      </c>
      <c r="J434" s="233">
        <v>550202</v>
      </c>
      <c r="K434" s="233">
        <v>258465</v>
      </c>
      <c r="L434" s="233">
        <v>15623251</v>
      </c>
      <c r="M434" s="233">
        <v>1175327</v>
      </c>
      <c r="N434" s="233">
        <v>110042</v>
      </c>
      <c r="O434" s="233">
        <v>549125</v>
      </c>
      <c r="P434" s="233">
        <v>2367244</v>
      </c>
      <c r="Q434" s="233">
        <v>11874</v>
      </c>
      <c r="R434" s="233">
        <v>16665674</v>
      </c>
      <c r="S434" s="233">
        <v>808489</v>
      </c>
      <c r="T434" s="233">
        <v>550133</v>
      </c>
      <c r="U434" s="233">
        <v>258356</v>
      </c>
      <c r="V434" s="233">
        <v>15584047</v>
      </c>
      <c r="W434" s="233">
        <v>1172737</v>
      </c>
      <c r="X434" s="233">
        <v>109578</v>
      </c>
      <c r="Y434" s="233">
        <v>549118</v>
      </c>
      <c r="Z434" s="233">
        <v>2363941</v>
      </c>
      <c r="AA434" s="233">
        <v>163</v>
      </c>
      <c r="AB434" s="233">
        <v>39452</v>
      </c>
      <c r="AC434" s="233">
        <v>178</v>
      </c>
      <c r="AD434" s="233">
        <v>69</v>
      </c>
      <c r="AE434" s="233">
        <v>109</v>
      </c>
      <c r="AF434" s="233">
        <v>39203</v>
      </c>
      <c r="AG434" s="233">
        <v>2590</v>
      </c>
      <c r="AH434" s="233">
        <v>464</v>
      </c>
      <c r="AI434" s="233">
        <v>6</v>
      </c>
      <c r="AJ434" s="233">
        <v>3303</v>
      </c>
    </row>
    <row r="435" spans="1:36">
      <c r="A435" s="240">
        <v>1</v>
      </c>
      <c r="B435" s="241" t="s">
        <v>3997</v>
      </c>
      <c r="C435" s="241" t="s">
        <v>3172</v>
      </c>
      <c r="D435" s="241" t="s">
        <v>4846</v>
      </c>
      <c r="E435" s="241">
        <v>5</v>
      </c>
      <c r="F435" s="242" t="s">
        <v>4847</v>
      </c>
      <c r="G435" s="233">
        <v>12037</v>
      </c>
      <c r="H435" s="233">
        <v>16705126</v>
      </c>
      <c r="I435" s="233">
        <v>808668</v>
      </c>
      <c r="J435" s="233">
        <v>550202</v>
      </c>
      <c r="K435" s="233">
        <v>258465</v>
      </c>
      <c r="L435" s="233">
        <v>15623251</v>
      </c>
      <c r="M435" s="233">
        <v>1175327</v>
      </c>
      <c r="N435" s="233">
        <v>110042</v>
      </c>
      <c r="O435" s="233">
        <v>549125</v>
      </c>
      <c r="P435" s="233">
        <v>2367244</v>
      </c>
      <c r="Q435" s="233">
        <v>11874</v>
      </c>
      <c r="R435" s="233">
        <v>16665674</v>
      </c>
      <c r="S435" s="233">
        <v>808489</v>
      </c>
      <c r="T435" s="233">
        <v>550133</v>
      </c>
      <c r="U435" s="233">
        <v>258356</v>
      </c>
      <c r="V435" s="233">
        <v>15584047</v>
      </c>
      <c r="W435" s="233">
        <v>1172737</v>
      </c>
      <c r="X435" s="233">
        <v>109578</v>
      </c>
      <c r="Y435" s="233">
        <v>549118</v>
      </c>
      <c r="Z435" s="233">
        <v>2363941</v>
      </c>
      <c r="AA435" s="233">
        <v>163</v>
      </c>
      <c r="AB435" s="233">
        <v>39452</v>
      </c>
      <c r="AC435" s="233">
        <v>178</v>
      </c>
      <c r="AD435" s="233">
        <v>69</v>
      </c>
      <c r="AE435" s="233">
        <v>109</v>
      </c>
      <c r="AF435" s="233">
        <v>39203</v>
      </c>
      <c r="AG435" s="233">
        <v>2590</v>
      </c>
      <c r="AH435" s="233">
        <v>464</v>
      </c>
      <c r="AI435" s="233">
        <v>6</v>
      </c>
      <c r="AJ435" s="233">
        <v>3303</v>
      </c>
    </row>
    <row r="436" spans="1:36">
      <c r="A436" s="240">
        <v>1</v>
      </c>
      <c r="B436" s="241" t="s">
        <v>3997</v>
      </c>
      <c r="C436" s="241" t="s">
        <v>3432</v>
      </c>
      <c r="D436" s="241" t="s">
        <v>4848</v>
      </c>
      <c r="E436" s="241">
        <v>6</v>
      </c>
      <c r="F436" s="242" t="s">
        <v>4849</v>
      </c>
      <c r="G436" s="233">
        <v>344</v>
      </c>
      <c r="H436" s="233">
        <v>6657708</v>
      </c>
      <c r="I436" s="233">
        <v>28721</v>
      </c>
      <c r="J436" s="233">
        <v>22408</v>
      </c>
      <c r="K436" s="233">
        <v>6312</v>
      </c>
      <c r="L436" s="233">
        <v>6209062</v>
      </c>
      <c r="M436" s="233">
        <v>181883</v>
      </c>
      <c r="N436" s="233">
        <v>34548</v>
      </c>
      <c r="O436" s="233">
        <v>17937</v>
      </c>
      <c r="P436" s="233">
        <v>665077</v>
      </c>
      <c r="Q436" s="233">
        <v>342</v>
      </c>
      <c r="R436" s="235" t="s">
        <v>4020</v>
      </c>
      <c r="S436" s="235" t="s">
        <v>4020</v>
      </c>
      <c r="T436" s="235" t="s">
        <v>4020</v>
      </c>
      <c r="U436" s="235" t="s">
        <v>4020</v>
      </c>
      <c r="V436" s="235" t="s">
        <v>4020</v>
      </c>
      <c r="W436" s="235" t="s">
        <v>4020</v>
      </c>
      <c r="X436" s="235" t="s">
        <v>4020</v>
      </c>
      <c r="Y436" s="235" t="s">
        <v>4020</v>
      </c>
      <c r="Z436" s="235" t="s">
        <v>4020</v>
      </c>
      <c r="AA436" s="233">
        <v>2</v>
      </c>
      <c r="AB436" s="235" t="s">
        <v>4020</v>
      </c>
      <c r="AC436" s="235" t="s">
        <v>4020</v>
      </c>
      <c r="AD436" s="235" t="s">
        <v>4020</v>
      </c>
      <c r="AE436" s="235" t="s">
        <v>4020</v>
      </c>
      <c r="AF436" s="235" t="s">
        <v>4020</v>
      </c>
      <c r="AG436" s="235" t="s">
        <v>4020</v>
      </c>
      <c r="AH436" s="235" t="s">
        <v>4020</v>
      </c>
      <c r="AI436" s="235" t="s">
        <v>4020</v>
      </c>
      <c r="AJ436" s="235" t="s">
        <v>4020</v>
      </c>
    </row>
    <row r="437" spans="1:36">
      <c r="A437" s="240">
        <v>1</v>
      </c>
      <c r="B437" s="241" t="s">
        <v>3997</v>
      </c>
      <c r="C437" s="241" t="s">
        <v>4455</v>
      </c>
      <c r="D437" s="241" t="s">
        <v>4850</v>
      </c>
      <c r="E437" s="241">
        <v>7</v>
      </c>
      <c r="F437" s="242" t="s">
        <v>4851</v>
      </c>
      <c r="G437" s="233">
        <v>220</v>
      </c>
      <c r="H437" s="233">
        <v>6501780</v>
      </c>
      <c r="I437" s="233">
        <v>14065</v>
      </c>
      <c r="J437" s="233">
        <v>8146</v>
      </c>
      <c r="K437" s="233">
        <v>5919</v>
      </c>
      <c r="L437" s="233">
        <v>6065001</v>
      </c>
      <c r="M437" s="233">
        <v>168824</v>
      </c>
      <c r="N437" s="233">
        <v>33328</v>
      </c>
      <c r="O437" s="233">
        <v>9691</v>
      </c>
      <c r="P437" s="233">
        <v>638932</v>
      </c>
      <c r="Q437" s="233">
        <v>220</v>
      </c>
      <c r="R437" s="233">
        <v>6501780</v>
      </c>
      <c r="S437" s="233">
        <v>14065</v>
      </c>
      <c r="T437" s="233">
        <v>8146</v>
      </c>
      <c r="U437" s="233">
        <v>5919</v>
      </c>
      <c r="V437" s="233">
        <v>6065001</v>
      </c>
      <c r="W437" s="233">
        <v>168824</v>
      </c>
      <c r="X437" s="233">
        <v>33328</v>
      </c>
      <c r="Y437" s="233">
        <v>9691</v>
      </c>
      <c r="Z437" s="233">
        <v>638932</v>
      </c>
      <c r="AA437" s="235" t="s">
        <v>5298</v>
      </c>
      <c r="AB437" s="235" t="s">
        <v>5298</v>
      </c>
      <c r="AC437" s="235" t="s">
        <v>5298</v>
      </c>
      <c r="AD437" s="235" t="s">
        <v>5298</v>
      </c>
      <c r="AE437" s="235" t="s">
        <v>5298</v>
      </c>
      <c r="AF437" s="235" t="s">
        <v>5298</v>
      </c>
      <c r="AG437" s="235" t="s">
        <v>5298</v>
      </c>
      <c r="AH437" s="235" t="s">
        <v>5298</v>
      </c>
      <c r="AI437" s="235" t="s">
        <v>5298</v>
      </c>
      <c r="AJ437" s="235" t="s">
        <v>5298</v>
      </c>
    </row>
    <row r="438" spans="1:36">
      <c r="A438" s="240">
        <v>1</v>
      </c>
      <c r="B438" s="241" t="s">
        <v>3997</v>
      </c>
      <c r="C438" s="241" t="s">
        <v>4455</v>
      </c>
      <c r="D438" s="241" t="s">
        <v>4852</v>
      </c>
      <c r="E438" s="241">
        <v>7</v>
      </c>
      <c r="F438" s="242" t="s">
        <v>4853</v>
      </c>
      <c r="G438" s="233">
        <v>124</v>
      </c>
      <c r="H438" s="233">
        <v>155928</v>
      </c>
      <c r="I438" s="233">
        <v>14656</v>
      </c>
      <c r="J438" s="233">
        <v>14262</v>
      </c>
      <c r="K438" s="233">
        <v>393</v>
      </c>
      <c r="L438" s="233">
        <v>144062</v>
      </c>
      <c r="M438" s="233">
        <v>13059</v>
      </c>
      <c r="N438" s="233">
        <v>1220</v>
      </c>
      <c r="O438" s="233">
        <v>8246</v>
      </c>
      <c r="P438" s="233">
        <v>26146</v>
      </c>
      <c r="Q438" s="233">
        <v>122</v>
      </c>
      <c r="R438" s="235" t="s">
        <v>4020</v>
      </c>
      <c r="S438" s="235" t="s">
        <v>4020</v>
      </c>
      <c r="T438" s="235" t="s">
        <v>4020</v>
      </c>
      <c r="U438" s="235" t="s">
        <v>4020</v>
      </c>
      <c r="V438" s="235" t="s">
        <v>4020</v>
      </c>
      <c r="W438" s="235" t="s">
        <v>4020</v>
      </c>
      <c r="X438" s="235" t="s">
        <v>4020</v>
      </c>
      <c r="Y438" s="235" t="s">
        <v>4020</v>
      </c>
      <c r="Z438" s="235" t="s">
        <v>4020</v>
      </c>
      <c r="AA438" s="233">
        <v>2</v>
      </c>
      <c r="AB438" s="235" t="s">
        <v>4020</v>
      </c>
      <c r="AC438" s="235" t="s">
        <v>4020</v>
      </c>
      <c r="AD438" s="235" t="s">
        <v>4020</v>
      </c>
      <c r="AE438" s="235" t="s">
        <v>4020</v>
      </c>
      <c r="AF438" s="235" t="s">
        <v>4020</v>
      </c>
      <c r="AG438" s="235" t="s">
        <v>4020</v>
      </c>
      <c r="AH438" s="235" t="s">
        <v>4020</v>
      </c>
      <c r="AI438" s="235" t="s">
        <v>4020</v>
      </c>
      <c r="AJ438" s="235" t="s">
        <v>4020</v>
      </c>
    </row>
    <row r="439" spans="1:36">
      <c r="A439" s="240">
        <v>1</v>
      </c>
      <c r="B439" s="241" t="s">
        <v>3997</v>
      </c>
      <c r="C439" s="241" t="s">
        <v>3432</v>
      </c>
      <c r="D439" s="241" t="s">
        <v>4854</v>
      </c>
      <c r="E439" s="241">
        <v>6</v>
      </c>
      <c r="F439" s="242" t="s">
        <v>4855</v>
      </c>
      <c r="G439" s="233">
        <v>4830</v>
      </c>
      <c r="H439" s="233">
        <v>4556716</v>
      </c>
      <c r="I439" s="233">
        <v>400911</v>
      </c>
      <c r="J439" s="233">
        <v>328901</v>
      </c>
      <c r="K439" s="233">
        <v>72009</v>
      </c>
      <c r="L439" s="233">
        <v>4264447</v>
      </c>
      <c r="M439" s="233">
        <v>513930</v>
      </c>
      <c r="N439" s="233">
        <v>35968</v>
      </c>
      <c r="O439" s="233">
        <v>305002</v>
      </c>
      <c r="P439" s="233">
        <v>842167</v>
      </c>
      <c r="Q439" s="233">
        <v>4762</v>
      </c>
      <c r="R439" s="233">
        <v>4526391</v>
      </c>
      <c r="S439" s="233">
        <v>400868</v>
      </c>
      <c r="T439" s="233">
        <v>328859</v>
      </c>
      <c r="U439" s="233">
        <v>72009</v>
      </c>
      <c r="V439" s="233">
        <v>4233789</v>
      </c>
      <c r="W439" s="233">
        <v>512363</v>
      </c>
      <c r="X439" s="233">
        <v>35672</v>
      </c>
      <c r="Y439" s="233">
        <v>304996</v>
      </c>
      <c r="Z439" s="233">
        <v>840638</v>
      </c>
      <c r="AA439" s="233">
        <v>68</v>
      </c>
      <c r="AB439" s="233">
        <v>30325</v>
      </c>
      <c r="AC439" s="233">
        <v>43</v>
      </c>
      <c r="AD439" s="233">
        <v>43</v>
      </c>
      <c r="AE439" s="233">
        <v>0</v>
      </c>
      <c r="AF439" s="233">
        <v>30658</v>
      </c>
      <c r="AG439" s="233">
        <v>1567</v>
      </c>
      <c r="AH439" s="233">
        <v>296</v>
      </c>
      <c r="AI439" s="233">
        <v>6</v>
      </c>
      <c r="AJ439" s="233">
        <v>1529</v>
      </c>
    </row>
    <row r="440" spans="1:36">
      <c r="A440" s="240">
        <v>1</v>
      </c>
      <c r="B440" s="241" t="s">
        <v>3997</v>
      </c>
      <c r="C440" s="241" t="s">
        <v>3432</v>
      </c>
      <c r="D440" s="241" t="s">
        <v>4856</v>
      </c>
      <c r="E440" s="241">
        <v>6</v>
      </c>
      <c r="F440" s="242" t="s">
        <v>4857</v>
      </c>
      <c r="G440" s="233">
        <v>395</v>
      </c>
      <c r="H440" s="233">
        <v>1306335</v>
      </c>
      <c r="I440" s="233">
        <v>55614</v>
      </c>
      <c r="J440" s="233">
        <v>53998</v>
      </c>
      <c r="K440" s="233">
        <v>1616</v>
      </c>
      <c r="L440" s="233">
        <v>1240763</v>
      </c>
      <c r="M440" s="233">
        <v>50659</v>
      </c>
      <c r="N440" s="233">
        <v>2334</v>
      </c>
      <c r="O440" s="233">
        <v>35900</v>
      </c>
      <c r="P440" s="233">
        <v>118565</v>
      </c>
      <c r="Q440" s="233">
        <v>393</v>
      </c>
      <c r="R440" s="235" t="s">
        <v>4020</v>
      </c>
      <c r="S440" s="235" t="s">
        <v>4020</v>
      </c>
      <c r="T440" s="235" t="s">
        <v>4020</v>
      </c>
      <c r="U440" s="235" t="s">
        <v>4020</v>
      </c>
      <c r="V440" s="235" t="s">
        <v>4020</v>
      </c>
      <c r="W440" s="235" t="s">
        <v>4020</v>
      </c>
      <c r="X440" s="235" t="s">
        <v>4020</v>
      </c>
      <c r="Y440" s="235" t="s">
        <v>4020</v>
      </c>
      <c r="Z440" s="235" t="s">
        <v>4020</v>
      </c>
      <c r="AA440" s="233">
        <v>2</v>
      </c>
      <c r="AB440" s="235" t="s">
        <v>4020</v>
      </c>
      <c r="AC440" s="235" t="s">
        <v>4020</v>
      </c>
      <c r="AD440" s="235" t="s">
        <v>4020</v>
      </c>
      <c r="AE440" s="235" t="s">
        <v>4020</v>
      </c>
      <c r="AF440" s="235" t="s">
        <v>4020</v>
      </c>
      <c r="AG440" s="235" t="s">
        <v>4020</v>
      </c>
      <c r="AH440" s="235" t="s">
        <v>4020</v>
      </c>
      <c r="AI440" s="235" t="s">
        <v>4020</v>
      </c>
      <c r="AJ440" s="235" t="s">
        <v>4020</v>
      </c>
    </row>
    <row r="441" spans="1:36">
      <c r="A441" s="240">
        <v>1</v>
      </c>
      <c r="B441" s="241" t="s">
        <v>3997</v>
      </c>
      <c r="C441" s="241" t="s">
        <v>3432</v>
      </c>
      <c r="D441" s="241" t="s">
        <v>4858</v>
      </c>
      <c r="E441" s="241">
        <v>6</v>
      </c>
      <c r="F441" s="242" t="s">
        <v>4859</v>
      </c>
      <c r="G441" s="233">
        <v>1923</v>
      </c>
      <c r="H441" s="233">
        <v>3010339</v>
      </c>
      <c r="I441" s="233">
        <v>212928</v>
      </c>
      <c r="J441" s="233">
        <v>106500</v>
      </c>
      <c r="K441" s="233">
        <v>106428</v>
      </c>
      <c r="L441" s="233">
        <v>2826431</v>
      </c>
      <c r="M441" s="233">
        <v>186511</v>
      </c>
      <c r="N441" s="233">
        <v>26360</v>
      </c>
      <c r="O441" s="233">
        <v>112403</v>
      </c>
      <c r="P441" s="233">
        <v>396778</v>
      </c>
      <c r="Q441" s="233">
        <v>1910</v>
      </c>
      <c r="R441" s="233">
        <v>3003927</v>
      </c>
      <c r="S441" s="233">
        <v>212928</v>
      </c>
      <c r="T441" s="233">
        <v>106500</v>
      </c>
      <c r="U441" s="233">
        <v>106428</v>
      </c>
      <c r="V441" s="233">
        <v>2820470</v>
      </c>
      <c r="W441" s="233">
        <v>186231</v>
      </c>
      <c r="X441" s="233">
        <v>26238</v>
      </c>
      <c r="Y441" s="233">
        <v>112403</v>
      </c>
      <c r="Z441" s="233">
        <v>395926</v>
      </c>
      <c r="AA441" s="233">
        <v>13</v>
      </c>
      <c r="AB441" s="233">
        <v>6412</v>
      </c>
      <c r="AC441" s="233">
        <v>0</v>
      </c>
      <c r="AD441" s="233">
        <v>0</v>
      </c>
      <c r="AE441" s="233">
        <v>0</v>
      </c>
      <c r="AF441" s="233">
        <v>5961</v>
      </c>
      <c r="AG441" s="233">
        <v>280</v>
      </c>
      <c r="AH441" s="233">
        <v>122</v>
      </c>
      <c r="AI441" s="233">
        <v>0</v>
      </c>
      <c r="AJ441" s="233">
        <v>853</v>
      </c>
    </row>
    <row r="442" spans="1:36">
      <c r="A442" s="240">
        <v>1</v>
      </c>
      <c r="B442" s="241" t="s">
        <v>3997</v>
      </c>
      <c r="C442" s="241" t="s">
        <v>3432</v>
      </c>
      <c r="D442" s="270" t="s">
        <v>4860</v>
      </c>
      <c r="E442" s="241">
        <v>6</v>
      </c>
      <c r="F442" s="242" t="s">
        <v>4861</v>
      </c>
      <c r="G442" s="271">
        <v>300</v>
      </c>
      <c r="H442" s="271">
        <v>19109</v>
      </c>
      <c r="I442" s="233">
        <v>1816</v>
      </c>
      <c r="J442" s="233">
        <v>726</v>
      </c>
      <c r="K442" s="233">
        <v>1090</v>
      </c>
      <c r="L442" s="233">
        <v>19121</v>
      </c>
      <c r="M442" s="233">
        <v>6199</v>
      </c>
      <c r="N442" s="233">
        <v>448</v>
      </c>
      <c r="O442" s="233">
        <v>1070</v>
      </c>
      <c r="P442" s="233">
        <v>6635</v>
      </c>
      <c r="Q442" s="233">
        <v>282</v>
      </c>
      <c r="R442" s="233">
        <v>18676</v>
      </c>
      <c r="S442" s="233">
        <v>1813</v>
      </c>
      <c r="T442" s="233">
        <v>726</v>
      </c>
      <c r="U442" s="233">
        <v>1087</v>
      </c>
      <c r="V442" s="233">
        <v>18706</v>
      </c>
      <c r="W442" s="233">
        <v>6062</v>
      </c>
      <c r="X442" s="233">
        <v>440</v>
      </c>
      <c r="Y442" s="233">
        <v>1070</v>
      </c>
      <c r="Z442" s="233">
        <v>6472</v>
      </c>
      <c r="AA442" s="233">
        <v>18</v>
      </c>
      <c r="AB442" s="233">
        <v>432</v>
      </c>
      <c r="AC442" s="233">
        <v>3</v>
      </c>
      <c r="AD442" s="233">
        <v>0</v>
      </c>
      <c r="AE442" s="233">
        <v>3</v>
      </c>
      <c r="AF442" s="233">
        <v>415</v>
      </c>
      <c r="AG442" s="233">
        <v>137</v>
      </c>
      <c r="AH442" s="233">
        <v>8</v>
      </c>
      <c r="AI442" s="233">
        <v>0</v>
      </c>
      <c r="AJ442" s="233">
        <v>163</v>
      </c>
    </row>
    <row r="443" spans="1:36">
      <c r="A443" s="240">
        <v>1</v>
      </c>
      <c r="B443" s="241" t="s">
        <v>3997</v>
      </c>
      <c r="C443" s="241" t="s">
        <v>3432</v>
      </c>
      <c r="D443" s="241" t="s">
        <v>4862</v>
      </c>
      <c r="E443" s="241">
        <v>6</v>
      </c>
      <c r="F443" s="242" t="s">
        <v>4863</v>
      </c>
      <c r="G443" s="233">
        <v>4227</v>
      </c>
      <c r="H443" s="233">
        <v>1151956</v>
      </c>
      <c r="I443" s="233">
        <v>108657</v>
      </c>
      <c r="J443" s="233">
        <v>37663</v>
      </c>
      <c r="K443" s="233">
        <v>70994</v>
      </c>
      <c r="L443" s="233">
        <v>1060723</v>
      </c>
      <c r="M443" s="233">
        <v>235486</v>
      </c>
      <c r="N443" s="233">
        <v>10355</v>
      </c>
      <c r="O443" s="233">
        <v>76802</v>
      </c>
      <c r="P443" s="233">
        <v>337073</v>
      </c>
      <c r="Q443" s="233">
        <v>4167</v>
      </c>
      <c r="R443" s="233">
        <v>1150199</v>
      </c>
      <c r="S443" s="233">
        <v>108527</v>
      </c>
      <c r="T443" s="233">
        <v>37636</v>
      </c>
      <c r="U443" s="233">
        <v>70891</v>
      </c>
      <c r="V443" s="233">
        <v>1059060</v>
      </c>
      <c r="W443" s="233">
        <v>235004</v>
      </c>
      <c r="X443" s="233">
        <v>10318</v>
      </c>
      <c r="Y443" s="233">
        <v>76802</v>
      </c>
      <c r="Z443" s="233">
        <v>336461</v>
      </c>
      <c r="AA443" s="233">
        <v>60</v>
      </c>
      <c r="AB443" s="233">
        <v>1757</v>
      </c>
      <c r="AC443" s="233">
        <v>130</v>
      </c>
      <c r="AD443" s="233">
        <v>27</v>
      </c>
      <c r="AE443" s="233">
        <v>103</v>
      </c>
      <c r="AF443" s="233">
        <v>1663</v>
      </c>
      <c r="AG443" s="233">
        <v>482</v>
      </c>
      <c r="AH443" s="233">
        <v>36</v>
      </c>
      <c r="AI443" s="233">
        <v>0</v>
      </c>
      <c r="AJ443" s="233">
        <v>612</v>
      </c>
    </row>
    <row r="444" spans="1:36">
      <c r="A444" s="240">
        <v>1</v>
      </c>
      <c r="B444" s="241" t="s">
        <v>3997</v>
      </c>
      <c r="C444" s="241" t="s">
        <v>4455</v>
      </c>
      <c r="D444" s="241" t="s">
        <v>4864</v>
      </c>
      <c r="E444" s="241">
        <v>7</v>
      </c>
      <c r="F444" s="242" t="s">
        <v>4865</v>
      </c>
      <c r="G444" s="233">
        <v>138</v>
      </c>
      <c r="H444" s="233">
        <v>66023</v>
      </c>
      <c r="I444" s="233">
        <v>17199</v>
      </c>
      <c r="J444" s="233">
        <v>99</v>
      </c>
      <c r="K444" s="233">
        <v>17100</v>
      </c>
      <c r="L444" s="233">
        <v>65124</v>
      </c>
      <c r="M444" s="233">
        <v>8962</v>
      </c>
      <c r="N444" s="233">
        <v>277</v>
      </c>
      <c r="O444" s="233">
        <v>11760</v>
      </c>
      <c r="P444" s="233">
        <v>10137</v>
      </c>
      <c r="Q444" s="233">
        <v>138</v>
      </c>
      <c r="R444" s="233">
        <v>66023</v>
      </c>
      <c r="S444" s="233">
        <v>17199</v>
      </c>
      <c r="T444" s="233">
        <v>99</v>
      </c>
      <c r="U444" s="233">
        <v>17100</v>
      </c>
      <c r="V444" s="233">
        <v>65124</v>
      </c>
      <c r="W444" s="233">
        <v>8962</v>
      </c>
      <c r="X444" s="233">
        <v>277</v>
      </c>
      <c r="Y444" s="233">
        <v>11760</v>
      </c>
      <c r="Z444" s="233">
        <v>10137</v>
      </c>
      <c r="AA444" s="235" t="s">
        <v>5298</v>
      </c>
      <c r="AB444" s="235" t="s">
        <v>5298</v>
      </c>
      <c r="AC444" s="235" t="s">
        <v>5298</v>
      </c>
      <c r="AD444" s="235" t="s">
        <v>5298</v>
      </c>
      <c r="AE444" s="235" t="s">
        <v>5298</v>
      </c>
      <c r="AF444" s="235" t="s">
        <v>5298</v>
      </c>
      <c r="AG444" s="235" t="s">
        <v>5298</v>
      </c>
      <c r="AH444" s="235" t="s">
        <v>5298</v>
      </c>
      <c r="AI444" s="235" t="s">
        <v>5298</v>
      </c>
      <c r="AJ444" s="235" t="s">
        <v>5298</v>
      </c>
    </row>
    <row r="445" spans="1:36">
      <c r="A445" s="240">
        <v>1</v>
      </c>
      <c r="B445" s="241" t="s">
        <v>3997</v>
      </c>
      <c r="C445" s="241" t="s">
        <v>4455</v>
      </c>
      <c r="D445" s="241" t="s">
        <v>4866</v>
      </c>
      <c r="E445" s="241">
        <v>7</v>
      </c>
      <c r="F445" s="242" t="s">
        <v>4867</v>
      </c>
      <c r="G445" s="233">
        <v>4088</v>
      </c>
      <c r="H445" s="233">
        <v>1085751</v>
      </c>
      <c r="I445" s="233">
        <v>91458</v>
      </c>
      <c r="J445" s="233">
        <v>37564</v>
      </c>
      <c r="K445" s="233">
        <v>53894</v>
      </c>
      <c r="L445" s="233">
        <v>995416</v>
      </c>
      <c r="M445" s="233">
        <v>226467</v>
      </c>
      <c r="N445" s="233">
        <v>10071</v>
      </c>
      <c r="O445" s="233">
        <v>65042</v>
      </c>
      <c r="P445" s="233">
        <v>326873</v>
      </c>
      <c r="Q445" s="233">
        <v>4028</v>
      </c>
      <c r="R445" s="233">
        <v>1083994</v>
      </c>
      <c r="S445" s="233">
        <v>91328</v>
      </c>
      <c r="T445" s="233">
        <v>37537</v>
      </c>
      <c r="U445" s="233">
        <v>53791</v>
      </c>
      <c r="V445" s="233">
        <v>993753</v>
      </c>
      <c r="W445" s="233">
        <v>225985</v>
      </c>
      <c r="X445" s="233">
        <v>10035</v>
      </c>
      <c r="Y445" s="233">
        <v>65042</v>
      </c>
      <c r="Z445" s="233">
        <v>326261</v>
      </c>
      <c r="AA445" s="233">
        <v>60</v>
      </c>
      <c r="AB445" s="233">
        <v>1757</v>
      </c>
      <c r="AC445" s="233">
        <v>130</v>
      </c>
      <c r="AD445" s="233">
        <v>27</v>
      </c>
      <c r="AE445" s="233">
        <v>103</v>
      </c>
      <c r="AF445" s="233">
        <v>1663</v>
      </c>
      <c r="AG445" s="233">
        <v>482</v>
      </c>
      <c r="AH445" s="233">
        <v>36</v>
      </c>
      <c r="AI445" s="233">
        <v>0</v>
      </c>
      <c r="AJ445" s="233">
        <v>612</v>
      </c>
    </row>
    <row r="446" spans="1:36">
      <c r="A446" s="240">
        <v>1</v>
      </c>
      <c r="B446" s="241" t="s">
        <v>3997</v>
      </c>
      <c r="C446" s="241" t="s">
        <v>3459</v>
      </c>
      <c r="D446" s="241" t="s">
        <v>4868</v>
      </c>
      <c r="E446" s="241">
        <v>3</v>
      </c>
      <c r="F446" s="242" t="s">
        <v>4869</v>
      </c>
      <c r="G446" s="233">
        <v>124867</v>
      </c>
      <c r="H446" s="233">
        <v>48891066</v>
      </c>
      <c r="I446" s="233">
        <v>803817</v>
      </c>
      <c r="J446" s="233">
        <v>386636</v>
      </c>
      <c r="K446" s="233">
        <v>417182</v>
      </c>
      <c r="L446" s="233">
        <v>38076694</v>
      </c>
      <c r="M446" s="233">
        <v>8589336</v>
      </c>
      <c r="N446" s="233">
        <v>377905</v>
      </c>
      <c r="O446" s="233">
        <v>623731</v>
      </c>
      <c r="P446" s="233">
        <v>19781614</v>
      </c>
      <c r="Q446" s="233">
        <v>113484</v>
      </c>
      <c r="R446" s="233">
        <v>43825072</v>
      </c>
      <c r="S446" s="233">
        <v>802978</v>
      </c>
      <c r="T446" s="233">
        <v>386073</v>
      </c>
      <c r="U446" s="233">
        <v>416905</v>
      </c>
      <c r="V446" s="233">
        <v>33196666</v>
      </c>
      <c r="W446" s="233">
        <v>7056687</v>
      </c>
      <c r="X446" s="233">
        <v>317784</v>
      </c>
      <c r="Y446" s="233">
        <v>623507</v>
      </c>
      <c r="Z446" s="233">
        <v>18002878</v>
      </c>
      <c r="AA446" s="233">
        <v>11383</v>
      </c>
      <c r="AB446" s="233">
        <v>5065994</v>
      </c>
      <c r="AC446" s="233">
        <v>839</v>
      </c>
      <c r="AD446" s="233">
        <v>563</v>
      </c>
      <c r="AE446" s="233">
        <v>277</v>
      </c>
      <c r="AF446" s="233">
        <v>4880027</v>
      </c>
      <c r="AG446" s="233">
        <v>1532649</v>
      </c>
      <c r="AH446" s="233">
        <v>60121</v>
      </c>
      <c r="AI446" s="233">
        <v>224</v>
      </c>
      <c r="AJ446" s="233">
        <v>1778737</v>
      </c>
    </row>
    <row r="447" spans="1:36">
      <c r="A447" s="240">
        <v>1</v>
      </c>
      <c r="B447" s="241" t="s">
        <v>3997</v>
      </c>
      <c r="C447" s="241" t="s">
        <v>3172</v>
      </c>
      <c r="D447" s="241" t="s">
        <v>4870</v>
      </c>
      <c r="E447" s="241">
        <v>5</v>
      </c>
      <c r="F447" s="242" t="s">
        <v>4871</v>
      </c>
      <c r="G447" s="233">
        <v>2338</v>
      </c>
      <c r="H447" s="233">
        <v>3508152</v>
      </c>
      <c r="I447" s="233">
        <v>3337</v>
      </c>
      <c r="J447" s="233">
        <v>3077</v>
      </c>
      <c r="K447" s="233">
        <v>259</v>
      </c>
      <c r="L447" s="233">
        <v>3006659</v>
      </c>
      <c r="M447" s="233">
        <v>665339</v>
      </c>
      <c r="N447" s="233">
        <v>33164</v>
      </c>
      <c r="O447" s="233">
        <v>2079</v>
      </c>
      <c r="P447" s="233">
        <v>1199996</v>
      </c>
      <c r="Q447" s="233">
        <v>1457</v>
      </c>
      <c r="R447" s="233">
        <v>1505149</v>
      </c>
      <c r="S447" s="233">
        <v>3158</v>
      </c>
      <c r="T447" s="233">
        <v>2935</v>
      </c>
      <c r="U447" s="233">
        <v>223</v>
      </c>
      <c r="V447" s="233">
        <v>967699</v>
      </c>
      <c r="W447" s="233">
        <v>248648</v>
      </c>
      <c r="X447" s="233">
        <v>10319</v>
      </c>
      <c r="Y447" s="233">
        <v>1991</v>
      </c>
      <c r="Z447" s="233">
        <v>796417</v>
      </c>
      <c r="AA447" s="233">
        <v>881</v>
      </c>
      <c r="AB447" s="233">
        <v>2003003</v>
      </c>
      <c r="AC447" s="233">
        <v>178</v>
      </c>
      <c r="AD447" s="233">
        <v>142</v>
      </c>
      <c r="AE447" s="233">
        <v>36</v>
      </c>
      <c r="AF447" s="233">
        <v>2038960</v>
      </c>
      <c r="AG447" s="233">
        <v>416691</v>
      </c>
      <c r="AH447" s="233">
        <v>22845</v>
      </c>
      <c r="AI447" s="233">
        <v>88</v>
      </c>
      <c r="AJ447" s="233">
        <v>403579</v>
      </c>
    </row>
    <row r="448" spans="1:36">
      <c r="A448" s="240">
        <v>1</v>
      </c>
      <c r="B448" s="241" t="s">
        <v>3997</v>
      </c>
      <c r="C448" s="241" t="s">
        <v>3432</v>
      </c>
      <c r="D448" s="241" t="s">
        <v>4872</v>
      </c>
      <c r="E448" s="241">
        <v>6</v>
      </c>
      <c r="F448" s="242" t="s">
        <v>4873</v>
      </c>
      <c r="G448" s="233">
        <v>1926</v>
      </c>
      <c r="H448" s="233">
        <v>3433266</v>
      </c>
      <c r="I448" s="233">
        <v>3337</v>
      </c>
      <c r="J448" s="233">
        <v>3077</v>
      </c>
      <c r="K448" s="233">
        <v>259</v>
      </c>
      <c r="L448" s="233">
        <v>2933834</v>
      </c>
      <c r="M448" s="233">
        <v>635370</v>
      </c>
      <c r="N448" s="233">
        <v>32124</v>
      </c>
      <c r="O448" s="233">
        <v>2079</v>
      </c>
      <c r="P448" s="233">
        <v>1166927</v>
      </c>
      <c r="Q448" s="233">
        <v>1299</v>
      </c>
      <c r="R448" s="233">
        <v>1484509</v>
      </c>
      <c r="S448" s="233">
        <v>3158</v>
      </c>
      <c r="T448" s="233">
        <v>2935</v>
      </c>
      <c r="U448" s="233">
        <v>223</v>
      </c>
      <c r="V448" s="233">
        <v>949058</v>
      </c>
      <c r="W448" s="233">
        <v>240162</v>
      </c>
      <c r="X448" s="233">
        <v>10151</v>
      </c>
      <c r="Y448" s="233">
        <v>1991</v>
      </c>
      <c r="Z448" s="233">
        <v>785765</v>
      </c>
      <c r="AA448" s="233">
        <v>627</v>
      </c>
      <c r="AB448" s="233">
        <v>1948757</v>
      </c>
      <c r="AC448" s="233">
        <v>178</v>
      </c>
      <c r="AD448" s="233">
        <v>142</v>
      </c>
      <c r="AE448" s="233">
        <v>36</v>
      </c>
      <c r="AF448" s="233">
        <v>1984776</v>
      </c>
      <c r="AG448" s="233">
        <v>395208</v>
      </c>
      <c r="AH448" s="233">
        <v>21973</v>
      </c>
      <c r="AI448" s="233">
        <v>88</v>
      </c>
      <c r="AJ448" s="233">
        <v>381162</v>
      </c>
    </row>
    <row r="449" spans="1:36">
      <c r="A449" s="240">
        <v>1</v>
      </c>
      <c r="B449" s="241" t="s">
        <v>3997</v>
      </c>
      <c r="C449" s="241" t="s">
        <v>3432</v>
      </c>
      <c r="D449" s="241" t="s">
        <v>4874</v>
      </c>
      <c r="E449" s="241">
        <v>6</v>
      </c>
      <c r="F449" s="242" t="s">
        <v>4875</v>
      </c>
      <c r="G449" s="233">
        <v>412</v>
      </c>
      <c r="H449" s="233">
        <v>74886</v>
      </c>
      <c r="I449" s="233">
        <v>0</v>
      </c>
      <c r="J449" s="233">
        <v>0</v>
      </c>
      <c r="K449" s="233">
        <v>0</v>
      </c>
      <c r="L449" s="233">
        <v>72825</v>
      </c>
      <c r="M449" s="233">
        <v>29969</v>
      </c>
      <c r="N449" s="233">
        <v>1040</v>
      </c>
      <c r="O449" s="233">
        <v>0</v>
      </c>
      <c r="P449" s="233">
        <v>33070</v>
      </c>
      <c r="Q449" s="233">
        <v>158</v>
      </c>
      <c r="R449" s="233">
        <v>20640</v>
      </c>
      <c r="S449" s="233">
        <v>0</v>
      </c>
      <c r="T449" s="233">
        <v>0</v>
      </c>
      <c r="U449" s="233">
        <v>0</v>
      </c>
      <c r="V449" s="233">
        <v>18642</v>
      </c>
      <c r="W449" s="233">
        <v>8486</v>
      </c>
      <c r="X449" s="233">
        <v>167</v>
      </c>
      <c r="Y449" s="233">
        <v>0</v>
      </c>
      <c r="Z449" s="233">
        <v>10652</v>
      </c>
      <c r="AA449" s="233">
        <v>254</v>
      </c>
      <c r="AB449" s="233">
        <v>54246</v>
      </c>
      <c r="AC449" s="233">
        <v>0</v>
      </c>
      <c r="AD449" s="233">
        <v>0</v>
      </c>
      <c r="AE449" s="233">
        <v>0</v>
      </c>
      <c r="AF449" s="233">
        <v>54184</v>
      </c>
      <c r="AG449" s="233">
        <v>21483</v>
      </c>
      <c r="AH449" s="233">
        <v>872</v>
      </c>
      <c r="AI449" s="233">
        <v>0</v>
      </c>
      <c r="AJ449" s="233">
        <v>22418</v>
      </c>
    </row>
    <row r="450" spans="1:36">
      <c r="A450" s="240">
        <v>1</v>
      </c>
      <c r="B450" s="241" t="s">
        <v>3997</v>
      </c>
      <c r="C450" s="241" t="s">
        <v>3172</v>
      </c>
      <c r="D450" s="241" t="s">
        <v>4876</v>
      </c>
      <c r="E450" s="241">
        <v>5</v>
      </c>
      <c r="F450" s="242" t="s">
        <v>4877</v>
      </c>
      <c r="G450" s="233">
        <v>61582</v>
      </c>
      <c r="H450" s="233">
        <v>22583912</v>
      </c>
      <c r="I450" s="233">
        <v>617992</v>
      </c>
      <c r="J450" s="233">
        <v>290631</v>
      </c>
      <c r="K450" s="233">
        <v>327361</v>
      </c>
      <c r="L450" s="233">
        <v>13851551</v>
      </c>
      <c r="M450" s="233">
        <v>3537354</v>
      </c>
      <c r="N450" s="233">
        <v>196701</v>
      </c>
      <c r="O450" s="233">
        <v>489228</v>
      </c>
      <c r="P450" s="233">
        <v>12466416</v>
      </c>
      <c r="Q450" s="233">
        <v>52223</v>
      </c>
      <c r="R450" s="233">
        <v>20515387</v>
      </c>
      <c r="S450" s="233">
        <v>617617</v>
      </c>
      <c r="T450" s="233">
        <v>290356</v>
      </c>
      <c r="U450" s="233">
        <v>327261</v>
      </c>
      <c r="V450" s="233">
        <v>11964208</v>
      </c>
      <c r="W450" s="233">
        <v>2670430</v>
      </c>
      <c r="X450" s="233">
        <v>171537</v>
      </c>
      <c r="Y450" s="233">
        <v>489135</v>
      </c>
      <c r="Z450" s="233">
        <v>11393146</v>
      </c>
      <c r="AA450" s="233">
        <v>9359</v>
      </c>
      <c r="AB450" s="233">
        <v>2068525</v>
      </c>
      <c r="AC450" s="233">
        <v>375</v>
      </c>
      <c r="AD450" s="233">
        <v>275</v>
      </c>
      <c r="AE450" s="233">
        <v>100</v>
      </c>
      <c r="AF450" s="233">
        <v>1887343</v>
      </c>
      <c r="AG450" s="233">
        <v>866924</v>
      </c>
      <c r="AH450" s="233">
        <v>25164</v>
      </c>
      <c r="AI450" s="233">
        <v>93</v>
      </c>
      <c r="AJ450" s="233">
        <v>1073270</v>
      </c>
    </row>
    <row r="451" spans="1:36">
      <c r="A451" s="240">
        <v>1</v>
      </c>
      <c r="B451" s="241" t="s">
        <v>3997</v>
      </c>
      <c r="C451" s="241" t="s">
        <v>3432</v>
      </c>
      <c r="D451" s="241" t="s">
        <v>4878</v>
      </c>
      <c r="E451" s="241">
        <v>6</v>
      </c>
      <c r="F451" s="242" t="s">
        <v>4879</v>
      </c>
      <c r="G451" s="233">
        <v>1238</v>
      </c>
      <c r="H451" s="233">
        <v>329768</v>
      </c>
      <c r="I451" s="233">
        <v>0</v>
      </c>
      <c r="J451" s="233">
        <v>0</v>
      </c>
      <c r="K451" s="233">
        <v>0</v>
      </c>
      <c r="L451" s="233">
        <v>294238</v>
      </c>
      <c r="M451" s="233">
        <v>121045</v>
      </c>
      <c r="N451" s="233">
        <v>4857</v>
      </c>
      <c r="O451" s="233">
        <v>0</v>
      </c>
      <c r="P451" s="233">
        <v>161432</v>
      </c>
      <c r="Q451" s="235" t="s">
        <v>5298</v>
      </c>
      <c r="R451" s="235" t="s">
        <v>5298</v>
      </c>
      <c r="S451" s="235" t="s">
        <v>5298</v>
      </c>
      <c r="T451" s="235" t="s">
        <v>5298</v>
      </c>
      <c r="U451" s="235" t="s">
        <v>5298</v>
      </c>
      <c r="V451" s="235" t="s">
        <v>5298</v>
      </c>
      <c r="W451" s="235" t="s">
        <v>5298</v>
      </c>
      <c r="X451" s="235" t="s">
        <v>5298</v>
      </c>
      <c r="Y451" s="235" t="s">
        <v>5298</v>
      </c>
      <c r="Z451" s="235" t="s">
        <v>5298</v>
      </c>
      <c r="AA451" s="233">
        <v>1238</v>
      </c>
      <c r="AB451" s="233">
        <v>329768</v>
      </c>
      <c r="AC451" s="233">
        <v>0</v>
      </c>
      <c r="AD451" s="233">
        <v>0</v>
      </c>
      <c r="AE451" s="233">
        <v>0</v>
      </c>
      <c r="AF451" s="233">
        <v>294238</v>
      </c>
      <c r="AG451" s="233">
        <v>121045</v>
      </c>
      <c r="AH451" s="233">
        <v>4857</v>
      </c>
      <c r="AI451" s="233">
        <v>0</v>
      </c>
      <c r="AJ451" s="233">
        <v>161432</v>
      </c>
    </row>
    <row r="452" spans="1:36">
      <c r="A452" s="240">
        <v>1</v>
      </c>
      <c r="B452" s="241" t="s">
        <v>3997</v>
      </c>
      <c r="C452" s="241" t="s">
        <v>4455</v>
      </c>
      <c r="D452" s="241" t="s">
        <v>4880</v>
      </c>
      <c r="E452" s="241">
        <v>7</v>
      </c>
      <c r="F452" s="242" t="s">
        <v>4881</v>
      </c>
      <c r="G452" s="233">
        <v>1007</v>
      </c>
      <c r="H452" s="233">
        <v>234123</v>
      </c>
      <c r="I452" s="233">
        <v>0</v>
      </c>
      <c r="J452" s="233">
        <v>0</v>
      </c>
      <c r="K452" s="233">
        <v>0</v>
      </c>
      <c r="L452" s="233">
        <v>207690</v>
      </c>
      <c r="M452" s="233">
        <v>85337</v>
      </c>
      <c r="N452" s="233">
        <v>3917</v>
      </c>
      <c r="O452" s="233">
        <v>0</v>
      </c>
      <c r="P452" s="233">
        <v>115686</v>
      </c>
      <c r="Q452" s="235" t="s">
        <v>5298</v>
      </c>
      <c r="R452" s="235" t="s">
        <v>5298</v>
      </c>
      <c r="S452" s="235" t="s">
        <v>5298</v>
      </c>
      <c r="T452" s="235" t="s">
        <v>5298</v>
      </c>
      <c r="U452" s="235" t="s">
        <v>5298</v>
      </c>
      <c r="V452" s="235" t="s">
        <v>5298</v>
      </c>
      <c r="W452" s="235" t="s">
        <v>5298</v>
      </c>
      <c r="X452" s="235" t="s">
        <v>5298</v>
      </c>
      <c r="Y452" s="235" t="s">
        <v>5298</v>
      </c>
      <c r="Z452" s="235" t="s">
        <v>5298</v>
      </c>
      <c r="AA452" s="233">
        <v>1007</v>
      </c>
      <c r="AB452" s="233">
        <v>234123</v>
      </c>
      <c r="AC452" s="233">
        <v>0</v>
      </c>
      <c r="AD452" s="233">
        <v>0</v>
      </c>
      <c r="AE452" s="233">
        <v>0</v>
      </c>
      <c r="AF452" s="233">
        <v>207690</v>
      </c>
      <c r="AG452" s="233">
        <v>85337</v>
      </c>
      <c r="AH452" s="233">
        <v>3917</v>
      </c>
      <c r="AI452" s="233">
        <v>0</v>
      </c>
      <c r="AJ452" s="233">
        <v>115686</v>
      </c>
    </row>
    <row r="453" spans="1:36">
      <c r="A453" s="240">
        <v>1</v>
      </c>
      <c r="B453" s="241" t="s">
        <v>3997</v>
      </c>
      <c r="C453" s="241" t="s">
        <v>4455</v>
      </c>
      <c r="D453" s="241" t="s">
        <v>4882</v>
      </c>
      <c r="E453" s="241">
        <v>7</v>
      </c>
      <c r="F453" s="242" t="s">
        <v>4883</v>
      </c>
      <c r="G453" s="233">
        <v>231</v>
      </c>
      <c r="H453" s="233">
        <v>95645</v>
      </c>
      <c r="I453" s="233">
        <v>0</v>
      </c>
      <c r="J453" s="233">
        <v>0</v>
      </c>
      <c r="K453" s="233">
        <v>0</v>
      </c>
      <c r="L453" s="233">
        <v>86548</v>
      </c>
      <c r="M453" s="233">
        <v>35708</v>
      </c>
      <c r="N453" s="233">
        <v>940</v>
      </c>
      <c r="O453" s="233">
        <v>0</v>
      </c>
      <c r="P453" s="233">
        <v>45745</v>
      </c>
      <c r="Q453" s="235" t="s">
        <v>5298</v>
      </c>
      <c r="R453" s="235" t="s">
        <v>5298</v>
      </c>
      <c r="S453" s="235" t="s">
        <v>5298</v>
      </c>
      <c r="T453" s="235" t="s">
        <v>5298</v>
      </c>
      <c r="U453" s="235" t="s">
        <v>5298</v>
      </c>
      <c r="V453" s="235" t="s">
        <v>5298</v>
      </c>
      <c r="W453" s="235" t="s">
        <v>5298</v>
      </c>
      <c r="X453" s="235" t="s">
        <v>5298</v>
      </c>
      <c r="Y453" s="235" t="s">
        <v>5298</v>
      </c>
      <c r="Z453" s="235" t="s">
        <v>5298</v>
      </c>
      <c r="AA453" s="233">
        <v>231</v>
      </c>
      <c r="AB453" s="233">
        <v>95645</v>
      </c>
      <c r="AC453" s="233">
        <v>0</v>
      </c>
      <c r="AD453" s="233">
        <v>0</v>
      </c>
      <c r="AE453" s="233">
        <v>0</v>
      </c>
      <c r="AF453" s="233">
        <v>86548</v>
      </c>
      <c r="AG453" s="233">
        <v>35708</v>
      </c>
      <c r="AH453" s="233">
        <v>940</v>
      </c>
      <c r="AI453" s="233">
        <v>0</v>
      </c>
      <c r="AJ453" s="233">
        <v>45745</v>
      </c>
    </row>
    <row r="454" spans="1:36">
      <c r="A454" s="240">
        <v>1</v>
      </c>
      <c r="B454" s="241" t="s">
        <v>3997</v>
      </c>
      <c r="C454" s="241" t="s">
        <v>3432</v>
      </c>
      <c r="D454" s="241" t="s">
        <v>4884</v>
      </c>
      <c r="E454" s="241">
        <v>6</v>
      </c>
      <c r="F454" s="242" t="s">
        <v>4885</v>
      </c>
      <c r="G454" s="233">
        <v>884</v>
      </c>
      <c r="H454" s="233">
        <v>103449</v>
      </c>
      <c r="I454" s="233">
        <v>5</v>
      </c>
      <c r="J454" s="233">
        <v>0</v>
      </c>
      <c r="K454" s="233">
        <v>5</v>
      </c>
      <c r="L454" s="233">
        <v>96230</v>
      </c>
      <c r="M454" s="233">
        <v>35649</v>
      </c>
      <c r="N454" s="233">
        <v>2264</v>
      </c>
      <c r="O454" s="233">
        <v>0</v>
      </c>
      <c r="P454" s="233">
        <v>45132</v>
      </c>
      <c r="Q454" s="235" t="s">
        <v>5298</v>
      </c>
      <c r="R454" s="235" t="s">
        <v>5298</v>
      </c>
      <c r="S454" s="235" t="s">
        <v>5298</v>
      </c>
      <c r="T454" s="235" t="s">
        <v>5298</v>
      </c>
      <c r="U454" s="235" t="s">
        <v>5298</v>
      </c>
      <c r="V454" s="235" t="s">
        <v>5298</v>
      </c>
      <c r="W454" s="235" t="s">
        <v>5298</v>
      </c>
      <c r="X454" s="235" t="s">
        <v>5298</v>
      </c>
      <c r="Y454" s="235" t="s">
        <v>5298</v>
      </c>
      <c r="Z454" s="235" t="s">
        <v>5298</v>
      </c>
      <c r="AA454" s="233">
        <v>884</v>
      </c>
      <c r="AB454" s="233">
        <v>103449</v>
      </c>
      <c r="AC454" s="233">
        <v>5</v>
      </c>
      <c r="AD454" s="233">
        <v>0</v>
      </c>
      <c r="AE454" s="233">
        <v>5</v>
      </c>
      <c r="AF454" s="233">
        <v>96230</v>
      </c>
      <c r="AG454" s="233">
        <v>35649</v>
      </c>
      <c r="AH454" s="233">
        <v>2264</v>
      </c>
      <c r="AI454" s="233">
        <v>0</v>
      </c>
      <c r="AJ454" s="233">
        <v>45132</v>
      </c>
    </row>
    <row r="455" spans="1:36">
      <c r="A455" s="240">
        <v>1</v>
      </c>
      <c r="B455" s="241" t="s">
        <v>3997</v>
      </c>
      <c r="C455" s="241" t="s">
        <v>4455</v>
      </c>
      <c r="D455" s="241" t="s">
        <v>4886</v>
      </c>
      <c r="E455" s="241">
        <v>7</v>
      </c>
      <c r="F455" s="242" t="s">
        <v>4887</v>
      </c>
      <c r="G455" s="233">
        <v>616</v>
      </c>
      <c r="H455" s="233">
        <v>81644</v>
      </c>
      <c r="I455" s="233">
        <v>0</v>
      </c>
      <c r="J455" s="233">
        <v>0</v>
      </c>
      <c r="K455" s="233">
        <v>0</v>
      </c>
      <c r="L455" s="233">
        <v>75729</v>
      </c>
      <c r="M455" s="233">
        <v>28480</v>
      </c>
      <c r="N455" s="233">
        <v>1724</v>
      </c>
      <c r="O455" s="233">
        <v>0</v>
      </c>
      <c r="P455" s="233">
        <v>36120</v>
      </c>
      <c r="Q455" s="235" t="s">
        <v>5298</v>
      </c>
      <c r="R455" s="235" t="s">
        <v>5298</v>
      </c>
      <c r="S455" s="235" t="s">
        <v>5298</v>
      </c>
      <c r="T455" s="235" t="s">
        <v>5298</v>
      </c>
      <c r="U455" s="235" t="s">
        <v>5298</v>
      </c>
      <c r="V455" s="235" t="s">
        <v>5298</v>
      </c>
      <c r="W455" s="235" t="s">
        <v>5298</v>
      </c>
      <c r="X455" s="235" t="s">
        <v>5298</v>
      </c>
      <c r="Y455" s="235" t="s">
        <v>5298</v>
      </c>
      <c r="Z455" s="235" t="s">
        <v>5298</v>
      </c>
      <c r="AA455" s="233">
        <v>616</v>
      </c>
      <c r="AB455" s="233">
        <v>81644</v>
      </c>
      <c r="AC455" s="233">
        <v>0</v>
      </c>
      <c r="AD455" s="233">
        <v>0</v>
      </c>
      <c r="AE455" s="233">
        <v>0</v>
      </c>
      <c r="AF455" s="233">
        <v>75729</v>
      </c>
      <c r="AG455" s="233">
        <v>28480</v>
      </c>
      <c r="AH455" s="233">
        <v>1724</v>
      </c>
      <c r="AI455" s="233">
        <v>0</v>
      </c>
      <c r="AJ455" s="233">
        <v>36120</v>
      </c>
    </row>
    <row r="456" spans="1:36">
      <c r="A456" s="240">
        <v>1</v>
      </c>
      <c r="B456" s="241" t="s">
        <v>3997</v>
      </c>
      <c r="C456" s="241" t="s">
        <v>4455</v>
      </c>
      <c r="D456" s="241" t="s">
        <v>4888</v>
      </c>
      <c r="E456" s="241">
        <v>7</v>
      </c>
      <c r="F456" s="242" t="s">
        <v>4889</v>
      </c>
      <c r="G456" s="233">
        <v>268</v>
      </c>
      <c r="H456" s="233">
        <v>21805</v>
      </c>
      <c r="I456" s="233">
        <v>5</v>
      </c>
      <c r="J456" s="233">
        <v>0</v>
      </c>
      <c r="K456" s="233">
        <v>5</v>
      </c>
      <c r="L456" s="233">
        <v>20502</v>
      </c>
      <c r="M456" s="233">
        <v>7170</v>
      </c>
      <c r="N456" s="233">
        <v>540</v>
      </c>
      <c r="O456" s="233">
        <v>0</v>
      </c>
      <c r="P456" s="233">
        <v>9013</v>
      </c>
      <c r="Q456" s="235" t="s">
        <v>5298</v>
      </c>
      <c r="R456" s="235" t="s">
        <v>5298</v>
      </c>
      <c r="S456" s="235" t="s">
        <v>5298</v>
      </c>
      <c r="T456" s="235" t="s">
        <v>5298</v>
      </c>
      <c r="U456" s="235" t="s">
        <v>5298</v>
      </c>
      <c r="V456" s="235" t="s">
        <v>5298</v>
      </c>
      <c r="W456" s="235" t="s">
        <v>5298</v>
      </c>
      <c r="X456" s="235" t="s">
        <v>5298</v>
      </c>
      <c r="Y456" s="235" t="s">
        <v>5298</v>
      </c>
      <c r="Z456" s="235" t="s">
        <v>5298</v>
      </c>
      <c r="AA456" s="233">
        <v>268</v>
      </c>
      <c r="AB456" s="233">
        <v>21805</v>
      </c>
      <c r="AC456" s="233">
        <v>5</v>
      </c>
      <c r="AD456" s="233">
        <v>0</v>
      </c>
      <c r="AE456" s="233">
        <v>5</v>
      </c>
      <c r="AF456" s="233">
        <v>20502</v>
      </c>
      <c r="AG456" s="233">
        <v>7170</v>
      </c>
      <c r="AH456" s="233">
        <v>540</v>
      </c>
      <c r="AI456" s="233">
        <v>0</v>
      </c>
      <c r="AJ456" s="233">
        <v>9013</v>
      </c>
    </row>
    <row r="457" spans="1:36">
      <c r="A457" s="240">
        <v>1</v>
      </c>
      <c r="B457" s="241" t="s">
        <v>3997</v>
      </c>
      <c r="C457" s="241" t="s">
        <v>3432</v>
      </c>
      <c r="D457" s="241" t="s">
        <v>4890</v>
      </c>
      <c r="E457" s="241">
        <v>6</v>
      </c>
      <c r="F457" s="242" t="s">
        <v>4891</v>
      </c>
      <c r="G457" s="233">
        <v>404</v>
      </c>
      <c r="H457" s="233">
        <v>22413</v>
      </c>
      <c r="I457" s="233">
        <v>0</v>
      </c>
      <c r="J457" s="233">
        <v>0</v>
      </c>
      <c r="K457" s="233">
        <v>0</v>
      </c>
      <c r="L457" s="233">
        <v>21747</v>
      </c>
      <c r="M457" s="233">
        <v>8952</v>
      </c>
      <c r="N457" s="233">
        <v>389</v>
      </c>
      <c r="O457" s="233">
        <v>0</v>
      </c>
      <c r="P457" s="233">
        <v>10007</v>
      </c>
      <c r="Q457" s="235" t="s">
        <v>5298</v>
      </c>
      <c r="R457" s="235" t="s">
        <v>5298</v>
      </c>
      <c r="S457" s="235" t="s">
        <v>5298</v>
      </c>
      <c r="T457" s="235" t="s">
        <v>5298</v>
      </c>
      <c r="U457" s="235" t="s">
        <v>5298</v>
      </c>
      <c r="V457" s="235" t="s">
        <v>5298</v>
      </c>
      <c r="W457" s="235" t="s">
        <v>5298</v>
      </c>
      <c r="X457" s="235" t="s">
        <v>5298</v>
      </c>
      <c r="Y457" s="235" t="s">
        <v>5298</v>
      </c>
      <c r="Z457" s="235" t="s">
        <v>5298</v>
      </c>
      <c r="AA457" s="233">
        <v>404</v>
      </c>
      <c r="AB457" s="233">
        <v>22413</v>
      </c>
      <c r="AC457" s="233">
        <v>0</v>
      </c>
      <c r="AD457" s="233">
        <v>0</v>
      </c>
      <c r="AE457" s="233">
        <v>0</v>
      </c>
      <c r="AF457" s="233">
        <v>21747</v>
      </c>
      <c r="AG457" s="233">
        <v>8952</v>
      </c>
      <c r="AH457" s="233">
        <v>389</v>
      </c>
      <c r="AI457" s="233">
        <v>0</v>
      </c>
      <c r="AJ457" s="233">
        <v>10007</v>
      </c>
    </row>
    <row r="458" spans="1:36">
      <c r="A458" s="240">
        <v>1</v>
      </c>
      <c r="B458" s="241" t="s">
        <v>3997</v>
      </c>
      <c r="C458" s="241" t="s">
        <v>3432</v>
      </c>
      <c r="D458" s="241" t="s">
        <v>4892</v>
      </c>
      <c r="E458" s="241">
        <v>6</v>
      </c>
      <c r="F458" s="242" t="s">
        <v>4893</v>
      </c>
      <c r="G458" s="233">
        <v>3828</v>
      </c>
      <c r="H458" s="233">
        <v>1191593</v>
      </c>
      <c r="I458" s="233">
        <v>102</v>
      </c>
      <c r="J458" s="233">
        <v>82</v>
      </c>
      <c r="K458" s="233">
        <v>20</v>
      </c>
      <c r="L458" s="233">
        <v>1084978</v>
      </c>
      <c r="M458" s="233">
        <v>589137</v>
      </c>
      <c r="N458" s="233">
        <v>11210</v>
      </c>
      <c r="O458" s="233">
        <v>65</v>
      </c>
      <c r="P458" s="233">
        <v>706962</v>
      </c>
      <c r="Q458" s="235" t="s">
        <v>5298</v>
      </c>
      <c r="R458" s="235" t="s">
        <v>5298</v>
      </c>
      <c r="S458" s="235" t="s">
        <v>5298</v>
      </c>
      <c r="T458" s="235" t="s">
        <v>5298</v>
      </c>
      <c r="U458" s="235" t="s">
        <v>5298</v>
      </c>
      <c r="V458" s="235" t="s">
        <v>5298</v>
      </c>
      <c r="W458" s="235" t="s">
        <v>5298</v>
      </c>
      <c r="X458" s="235" t="s">
        <v>5298</v>
      </c>
      <c r="Y458" s="235" t="s">
        <v>5298</v>
      </c>
      <c r="Z458" s="235" t="s">
        <v>5298</v>
      </c>
      <c r="AA458" s="233">
        <v>3828</v>
      </c>
      <c r="AB458" s="233">
        <v>1191593</v>
      </c>
      <c r="AC458" s="233">
        <v>102</v>
      </c>
      <c r="AD458" s="233">
        <v>82</v>
      </c>
      <c r="AE458" s="233">
        <v>20</v>
      </c>
      <c r="AF458" s="233">
        <v>1084978</v>
      </c>
      <c r="AG458" s="233">
        <v>589137</v>
      </c>
      <c r="AH458" s="233">
        <v>11210</v>
      </c>
      <c r="AI458" s="233">
        <v>65</v>
      </c>
      <c r="AJ458" s="233">
        <v>706962</v>
      </c>
    </row>
    <row r="459" spans="1:36">
      <c r="A459" s="240">
        <v>1</v>
      </c>
      <c r="B459" s="241" t="s">
        <v>3997</v>
      </c>
      <c r="C459" s="241" t="s">
        <v>4455</v>
      </c>
      <c r="D459" s="241" t="s">
        <v>4894</v>
      </c>
      <c r="E459" s="241">
        <v>7</v>
      </c>
      <c r="F459" s="242" t="s">
        <v>4895</v>
      </c>
      <c r="G459" s="233">
        <v>217</v>
      </c>
      <c r="H459" s="233">
        <v>528952</v>
      </c>
      <c r="I459" s="233">
        <v>0</v>
      </c>
      <c r="J459" s="233">
        <v>0</v>
      </c>
      <c r="K459" s="233">
        <v>0</v>
      </c>
      <c r="L459" s="233">
        <v>487953</v>
      </c>
      <c r="M459" s="233">
        <v>268475</v>
      </c>
      <c r="N459" s="233">
        <v>3227</v>
      </c>
      <c r="O459" s="233">
        <v>0</v>
      </c>
      <c r="P459" s="233">
        <v>312701</v>
      </c>
      <c r="Q459" s="235" t="s">
        <v>5298</v>
      </c>
      <c r="R459" s="235" t="s">
        <v>5298</v>
      </c>
      <c r="S459" s="235" t="s">
        <v>5298</v>
      </c>
      <c r="T459" s="235" t="s">
        <v>5298</v>
      </c>
      <c r="U459" s="235" t="s">
        <v>5298</v>
      </c>
      <c r="V459" s="235" t="s">
        <v>5298</v>
      </c>
      <c r="W459" s="235" t="s">
        <v>5298</v>
      </c>
      <c r="X459" s="235" t="s">
        <v>5298</v>
      </c>
      <c r="Y459" s="235" t="s">
        <v>5298</v>
      </c>
      <c r="Z459" s="235" t="s">
        <v>5298</v>
      </c>
      <c r="AA459" s="233">
        <v>217</v>
      </c>
      <c r="AB459" s="233">
        <v>528952</v>
      </c>
      <c r="AC459" s="233">
        <v>0</v>
      </c>
      <c r="AD459" s="233">
        <v>0</v>
      </c>
      <c r="AE459" s="233">
        <v>0</v>
      </c>
      <c r="AF459" s="233">
        <v>487953</v>
      </c>
      <c r="AG459" s="233">
        <v>268475</v>
      </c>
      <c r="AH459" s="233">
        <v>3227</v>
      </c>
      <c r="AI459" s="233">
        <v>0</v>
      </c>
      <c r="AJ459" s="233">
        <v>312701</v>
      </c>
    </row>
    <row r="460" spans="1:36">
      <c r="A460" s="240">
        <v>1</v>
      </c>
      <c r="B460" s="241" t="s">
        <v>3997</v>
      </c>
      <c r="C460" s="241" t="s">
        <v>4455</v>
      </c>
      <c r="D460" s="241" t="s">
        <v>4896</v>
      </c>
      <c r="E460" s="241">
        <v>7</v>
      </c>
      <c r="F460" s="242" t="s">
        <v>4897</v>
      </c>
      <c r="G460" s="233">
        <v>3611</v>
      </c>
      <c r="H460" s="233">
        <v>662641</v>
      </c>
      <c r="I460" s="233">
        <v>102</v>
      </c>
      <c r="J460" s="233">
        <v>82</v>
      </c>
      <c r="K460" s="233">
        <v>20</v>
      </c>
      <c r="L460" s="233">
        <v>597025</v>
      </c>
      <c r="M460" s="233">
        <v>320663</v>
      </c>
      <c r="N460" s="233">
        <v>7983</v>
      </c>
      <c r="O460" s="233">
        <v>65</v>
      </c>
      <c r="P460" s="233">
        <v>394261</v>
      </c>
      <c r="Q460" s="235" t="s">
        <v>5298</v>
      </c>
      <c r="R460" s="235" t="s">
        <v>5298</v>
      </c>
      <c r="S460" s="235" t="s">
        <v>5298</v>
      </c>
      <c r="T460" s="235" t="s">
        <v>5298</v>
      </c>
      <c r="U460" s="235" t="s">
        <v>5298</v>
      </c>
      <c r="V460" s="235" t="s">
        <v>5298</v>
      </c>
      <c r="W460" s="235" t="s">
        <v>5298</v>
      </c>
      <c r="X460" s="235" t="s">
        <v>5298</v>
      </c>
      <c r="Y460" s="235" t="s">
        <v>5298</v>
      </c>
      <c r="Z460" s="235" t="s">
        <v>5298</v>
      </c>
      <c r="AA460" s="233">
        <v>3611</v>
      </c>
      <c r="AB460" s="233">
        <v>662641</v>
      </c>
      <c r="AC460" s="233">
        <v>102</v>
      </c>
      <c r="AD460" s="233">
        <v>82</v>
      </c>
      <c r="AE460" s="233">
        <v>20</v>
      </c>
      <c r="AF460" s="233">
        <v>597025</v>
      </c>
      <c r="AG460" s="233">
        <v>320663</v>
      </c>
      <c r="AH460" s="233">
        <v>7983</v>
      </c>
      <c r="AI460" s="233">
        <v>65</v>
      </c>
      <c r="AJ460" s="233">
        <v>394261</v>
      </c>
    </row>
    <row r="461" spans="1:36">
      <c r="A461" s="240">
        <v>1</v>
      </c>
      <c r="B461" s="241" t="s">
        <v>3997</v>
      </c>
      <c r="C461" s="241" t="s">
        <v>3432</v>
      </c>
      <c r="D461" s="241" t="s">
        <v>4898</v>
      </c>
      <c r="E461" s="241">
        <v>6</v>
      </c>
      <c r="F461" s="242" t="s">
        <v>4899</v>
      </c>
      <c r="G461" s="233">
        <v>1234</v>
      </c>
      <c r="H461" s="233">
        <v>94662</v>
      </c>
      <c r="I461" s="233">
        <v>2</v>
      </c>
      <c r="J461" s="233">
        <v>1</v>
      </c>
      <c r="K461" s="233">
        <v>1</v>
      </c>
      <c r="L461" s="233">
        <v>82575</v>
      </c>
      <c r="M461" s="233">
        <v>40352</v>
      </c>
      <c r="N461" s="233">
        <v>2000</v>
      </c>
      <c r="O461" s="233">
        <v>2</v>
      </c>
      <c r="P461" s="233">
        <v>54439</v>
      </c>
      <c r="Q461" s="235" t="s">
        <v>5298</v>
      </c>
      <c r="R461" s="235" t="s">
        <v>5298</v>
      </c>
      <c r="S461" s="235" t="s">
        <v>5298</v>
      </c>
      <c r="T461" s="235" t="s">
        <v>5298</v>
      </c>
      <c r="U461" s="235" t="s">
        <v>5298</v>
      </c>
      <c r="V461" s="235" t="s">
        <v>5298</v>
      </c>
      <c r="W461" s="235" t="s">
        <v>5298</v>
      </c>
      <c r="X461" s="235" t="s">
        <v>5298</v>
      </c>
      <c r="Y461" s="235" t="s">
        <v>5298</v>
      </c>
      <c r="Z461" s="235" t="s">
        <v>5298</v>
      </c>
      <c r="AA461" s="233">
        <v>1234</v>
      </c>
      <c r="AB461" s="233">
        <v>94662</v>
      </c>
      <c r="AC461" s="233">
        <v>2</v>
      </c>
      <c r="AD461" s="233">
        <v>1</v>
      </c>
      <c r="AE461" s="233">
        <v>1</v>
      </c>
      <c r="AF461" s="233">
        <v>82575</v>
      </c>
      <c r="AG461" s="233">
        <v>40352</v>
      </c>
      <c r="AH461" s="233">
        <v>2000</v>
      </c>
      <c r="AI461" s="233">
        <v>2</v>
      </c>
      <c r="AJ461" s="233">
        <v>54439</v>
      </c>
    </row>
    <row r="462" spans="1:36">
      <c r="A462" s="240">
        <v>1</v>
      </c>
      <c r="B462" s="241" t="s">
        <v>3997</v>
      </c>
      <c r="C462" s="241" t="s">
        <v>3432</v>
      </c>
      <c r="D462" s="241" t="s">
        <v>4900</v>
      </c>
      <c r="E462" s="241">
        <v>6</v>
      </c>
      <c r="F462" s="242" t="s">
        <v>4901</v>
      </c>
      <c r="G462" s="233">
        <v>7289</v>
      </c>
      <c r="H462" s="233">
        <v>474216</v>
      </c>
      <c r="I462" s="233">
        <v>7759</v>
      </c>
      <c r="J462" s="233">
        <v>4251</v>
      </c>
      <c r="K462" s="233">
        <v>3508</v>
      </c>
      <c r="L462" s="233">
        <v>442702</v>
      </c>
      <c r="M462" s="233">
        <v>134934</v>
      </c>
      <c r="N462" s="233">
        <v>4652</v>
      </c>
      <c r="O462" s="233">
        <v>4798</v>
      </c>
      <c r="P462" s="233">
        <v>171100</v>
      </c>
      <c r="Q462" s="233">
        <v>7262</v>
      </c>
      <c r="R462" s="233">
        <v>473709</v>
      </c>
      <c r="S462" s="233">
        <v>7757</v>
      </c>
      <c r="T462" s="233">
        <v>4249</v>
      </c>
      <c r="U462" s="233">
        <v>3508</v>
      </c>
      <c r="V462" s="233">
        <v>442117</v>
      </c>
      <c r="W462" s="233">
        <v>134721</v>
      </c>
      <c r="X462" s="233">
        <v>4638</v>
      </c>
      <c r="Y462" s="233">
        <v>4798</v>
      </c>
      <c r="Z462" s="233">
        <v>170951</v>
      </c>
      <c r="AA462" s="233">
        <v>27</v>
      </c>
      <c r="AB462" s="233">
        <v>507</v>
      </c>
      <c r="AC462" s="233">
        <v>1</v>
      </c>
      <c r="AD462" s="233">
        <v>1</v>
      </c>
      <c r="AE462" s="233">
        <v>0</v>
      </c>
      <c r="AF462" s="233">
        <v>586</v>
      </c>
      <c r="AG462" s="233">
        <v>213</v>
      </c>
      <c r="AH462" s="233">
        <v>14</v>
      </c>
      <c r="AI462" s="233">
        <v>0</v>
      </c>
      <c r="AJ462" s="233">
        <v>149</v>
      </c>
    </row>
    <row r="463" spans="1:36">
      <c r="A463" s="240">
        <v>1</v>
      </c>
      <c r="B463" s="241" t="s">
        <v>3997</v>
      </c>
      <c r="C463" s="241" t="s">
        <v>3432</v>
      </c>
      <c r="D463" s="241" t="s">
        <v>4902</v>
      </c>
      <c r="E463" s="241">
        <v>6</v>
      </c>
      <c r="F463" s="242" t="s">
        <v>4903</v>
      </c>
      <c r="G463" s="233">
        <v>20498</v>
      </c>
      <c r="H463" s="233">
        <v>18103815</v>
      </c>
      <c r="I463" s="233">
        <v>595078</v>
      </c>
      <c r="J463" s="233">
        <v>277153</v>
      </c>
      <c r="K463" s="233">
        <v>317925</v>
      </c>
      <c r="L463" s="233">
        <v>9839471</v>
      </c>
      <c r="M463" s="233">
        <v>1912262</v>
      </c>
      <c r="N463" s="233">
        <v>145299</v>
      </c>
      <c r="O463" s="233">
        <v>477440</v>
      </c>
      <c r="P463" s="233">
        <v>10321905</v>
      </c>
      <c r="Q463" s="233">
        <v>19947</v>
      </c>
      <c r="R463" s="233">
        <v>17991622</v>
      </c>
      <c r="S463" s="233">
        <v>594884</v>
      </c>
      <c r="T463" s="233">
        <v>276963</v>
      </c>
      <c r="U463" s="233">
        <v>317921</v>
      </c>
      <c r="V463" s="233">
        <v>9731925</v>
      </c>
      <c r="W463" s="233">
        <v>1898290</v>
      </c>
      <c r="X463" s="233">
        <v>144673</v>
      </c>
      <c r="Y463" s="233">
        <v>477440</v>
      </c>
      <c r="Z463" s="233">
        <v>10302661</v>
      </c>
      <c r="AA463" s="233">
        <v>551</v>
      </c>
      <c r="AB463" s="233">
        <v>112192</v>
      </c>
      <c r="AC463" s="233">
        <v>194</v>
      </c>
      <c r="AD463" s="233">
        <v>190</v>
      </c>
      <c r="AE463" s="233">
        <v>4</v>
      </c>
      <c r="AF463" s="233">
        <v>107546</v>
      </c>
      <c r="AG463" s="233">
        <v>13972</v>
      </c>
      <c r="AH463" s="233">
        <v>626</v>
      </c>
      <c r="AI463" s="233">
        <v>0</v>
      </c>
      <c r="AJ463" s="233">
        <v>19244</v>
      </c>
    </row>
    <row r="464" spans="1:36">
      <c r="A464" s="240">
        <v>1</v>
      </c>
      <c r="B464" s="241" t="s">
        <v>3997</v>
      </c>
      <c r="C464" s="241" t="s">
        <v>4455</v>
      </c>
      <c r="D464" s="241" t="s">
        <v>4904</v>
      </c>
      <c r="E464" s="241">
        <v>7</v>
      </c>
      <c r="F464" s="242" t="s">
        <v>4905</v>
      </c>
      <c r="G464" s="233">
        <v>18321</v>
      </c>
      <c r="H464" s="233">
        <v>5780388</v>
      </c>
      <c r="I464" s="233">
        <v>341078</v>
      </c>
      <c r="J464" s="233">
        <v>64213</v>
      </c>
      <c r="K464" s="233">
        <v>276864</v>
      </c>
      <c r="L464" s="233">
        <v>4730640</v>
      </c>
      <c r="M464" s="233">
        <v>1048448</v>
      </c>
      <c r="N464" s="233">
        <v>43422</v>
      </c>
      <c r="O464" s="233">
        <v>247113</v>
      </c>
      <c r="P464" s="233">
        <v>2141619</v>
      </c>
      <c r="Q464" s="233">
        <v>17770</v>
      </c>
      <c r="R464" s="233">
        <v>5668196</v>
      </c>
      <c r="S464" s="233">
        <v>340884</v>
      </c>
      <c r="T464" s="233">
        <v>64024</v>
      </c>
      <c r="U464" s="233">
        <v>276860</v>
      </c>
      <c r="V464" s="233">
        <v>4623094</v>
      </c>
      <c r="W464" s="233">
        <v>1034476</v>
      </c>
      <c r="X464" s="233">
        <v>42796</v>
      </c>
      <c r="Y464" s="233">
        <v>247113</v>
      </c>
      <c r="Z464" s="233">
        <v>2122375</v>
      </c>
      <c r="AA464" s="233">
        <v>551</v>
      </c>
      <c r="AB464" s="233">
        <v>112192</v>
      </c>
      <c r="AC464" s="233">
        <v>194</v>
      </c>
      <c r="AD464" s="233">
        <v>190</v>
      </c>
      <c r="AE464" s="233">
        <v>4</v>
      </c>
      <c r="AF464" s="233">
        <v>107546</v>
      </c>
      <c r="AG464" s="233">
        <v>13972</v>
      </c>
      <c r="AH464" s="233">
        <v>626</v>
      </c>
      <c r="AI464" s="233">
        <v>0</v>
      </c>
      <c r="AJ464" s="233">
        <v>19244</v>
      </c>
    </row>
    <row r="465" spans="1:36">
      <c r="A465" s="240">
        <v>1</v>
      </c>
      <c r="B465" s="241" t="s">
        <v>3997</v>
      </c>
      <c r="C465" s="241" t="s">
        <v>4455</v>
      </c>
      <c r="D465" s="241" t="s">
        <v>4906</v>
      </c>
      <c r="E465" s="241">
        <v>7</v>
      </c>
      <c r="F465" s="242" t="s">
        <v>4907</v>
      </c>
      <c r="G465" s="233">
        <v>2177</v>
      </c>
      <c r="H465" s="233">
        <v>12323426</v>
      </c>
      <c r="I465" s="233">
        <v>254000</v>
      </c>
      <c r="J465" s="233">
        <v>212940</v>
      </c>
      <c r="K465" s="233">
        <v>41061</v>
      </c>
      <c r="L465" s="233">
        <v>5108831</v>
      </c>
      <c r="M465" s="233">
        <v>863814</v>
      </c>
      <c r="N465" s="233">
        <v>101877</v>
      </c>
      <c r="O465" s="233">
        <v>230327</v>
      </c>
      <c r="P465" s="233">
        <v>8180285</v>
      </c>
      <c r="Q465" s="233">
        <v>2177</v>
      </c>
      <c r="R465" s="233">
        <v>12323426</v>
      </c>
      <c r="S465" s="233">
        <v>254000</v>
      </c>
      <c r="T465" s="233">
        <v>212940</v>
      </c>
      <c r="U465" s="233">
        <v>41061</v>
      </c>
      <c r="V465" s="233">
        <v>5108831</v>
      </c>
      <c r="W465" s="233">
        <v>863814</v>
      </c>
      <c r="X465" s="233">
        <v>101877</v>
      </c>
      <c r="Y465" s="233">
        <v>230327</v>
      </c>
      <c r="Z465" s="233">
        <v>8180285</v>
      </c>
      <c r="AA465" s="235" t="s">
        <v>5298</v>
      </c>
      <c r="AB465" s="235" t="s">
        <v>5298</v>
      </c>
      <c r="AC465" s="235" t="s">
        <v>5298</v>
      </c>
      <c r="AD465" s="235" t="s">
        <v>5298</v>
      </c>
      <c r="AE465" s="235" t="s">
        <v>5298</v>
      </c>
      <c r="AF465" s="235" t="s">
        <v>5298</v>
      </c>
      <c r="AG465" s="235" t="s">
        <v>5298</v>
      </c>
      <c r="AH465" s="235" t="s">
        <v>5298</v>
      </c>
      <c r="AI465" s="235" t="s">
        <v>5298</v>
      </c>
      <c r="AJ465" s="235" t="s">
        <v>5298</v>
      </c>
    </row>
    <row r="466" spans="1:36">
      <c r="A466" s="240">
        <v>1</v>
      </c>
      <c r="B466" s="241" t="s">
        <v>3997</v>
      </c>
      <c r="C466" s="241" t="s">
        <v>3432</v>
      </c>
      <c r="D466" s="241" t="s">
        <v>4908</v>
      </c>
      <c r="E466" s="241">
        <v>6</v>
      </c>
      <c r="F466" s="242" t="s">
        <v>4909</v>
      </c>
      <c r="G466" s="233">
        <v>26205</v>
      </c>
      <c r="H466" s="233">
        <v>2263951</v>
      </c>
      <c r="I466" s="233">
        <v>15047</v>
      </c>
      <c r="J466" s="233">
        <v>9145</v>
      </c>
      <c r="K466" s="233">
        <v>5902</v>
      </c>
      <c r="L466" s="233">
        <v>1989563</v>
      </c>
      <c r="M466" s="233">
        <v>694993</v>
      </c>
      <c r="N466" s="233">
        <v>26030</v>
      </c>
      <c r="O466" s="233">
        <v>6922</v>
      </c>
      <c r="P466" s="233">
        <v>995412</v>
      </c>
      <c r="Q466" s="233">
        <v>25012</v>
      </c>
      <c r="R466" s="233">
        <v>2050010</v>
      </c>
      <c r="S466" s="233">
        <v>14975</v>
      </c>
      <c r="T466" s="233">
        <v>9143</v>
      </c>
      <c r="U466" s="233">
        <v>5832</v>
      </c>
      <c r="V466" s="233">
        <v>1790121</v>
      </c>
      <c r="W466" s="233">
        <v>637391</v>
      </c>
      <c r="X466" s="233">
        <v>22225</v>
      </c>
      <c r="Y466" s="233">
        <v>6896</v>
      </c>
      <c r="Z466" s="233">
        <v>919506</v>
      </c>
      <c r="AA466" s="233">
        <v>1193</v>
      </c>
      <c r="AB466" s="233">
        <v>213941</v>
      </c>
      <c r="AC466" s="233">
        <v>72</v>
      </c>
      <c r="AD466" s="233">
        <v>1</v>
      </c>
      <c r="AE466" s="233">
        <v>70</v>
      </c>
      <c r="AF466" s="233">
        <v>199442</v>
      </c>
      <c r="AG466" s="233">
        <v>57602</v>
      </c>
      <c r="AH466" s="233">
        <v>3804</v>
      </c>
      <c r="AI466" s="233">
        <v>27</v>
      </c>
      <c r="AJ466" s="233">
        <v>75906</v>
      </c>
    </row>
    <row r="467" spans="1:36">
      <c r="A467" s="240">
        <v>1</v>
      </c>
      <c r="B467" s="241" t="s">
        <v>3997</v>
      </c>
      <c r="C467" s="241" t="s">
        <v>4455</v>
      </c>
      <c r="D467" s="241" t="s">
        <v>4910</v>
      </c>
      <c r="E467" s="241">
        <v>7</v>
      </c>
      <c r="F467" s="242" t="s">
        <v>4911</v>
      </c>
      <c r="G467" s="233">
        <v>228</v>
      </c>
      <c r="H467" s="233">
        <v>105055</v>
      </c>
      <c r="I467" s="233">
        <v>63</v>
      </c>
      <c r="J467" s="233">
        <v>63</v>
      </c>
      <c r="K467" s="233">
        <v>0</v>
      </c>
      <c r="L467" s="233">
        <v>84089</v>
      </c>
      <c r="M467" s="233">
        <v>30042</v>
      </c>
      <c r="N467" s="233">
        <v>1548</v>
      </c>
      <c r="O467" s="233">
        <v>49</v>
      </c>
      <c r="P467" s="233">
        <v>52555</v>
      </c>
      <c r="Q467" s="233">
        <v>225</v>
      </c>
      <c r="R467" s="233">
        <v>105052</v>
      </c>
      <c r="S467" s="233">
        <v>63</v>
      </c>
      <c r="T467" s="233">
        <v>63</v>
      </c>
      <c r="U467" s="233">
        <v>0</v>
      </c>
      <c r="V467" s="233">
        <v>84086</v>
      </c>
      <c r="W467" s="233">
        <v>30042</v>
      </c>
      <c r="X467" s="233">
        <v>1548</v>
      </c>
      <c r="Y467" s="233">
        <v>49</v>
      </c>
      <c r="Z467" s="233">
        <v>52555</v>
      </c>
      <c r="AA467" s="233">
        <v>3</v>
      </c>
      <c r="AB467" s="233">
        <v>3</v>
      </c>
      <c r="AC467" s="233">
        <v>0</v>
      </c>
      <c r="AD467" s="233">
        <v>0</v>
      </c>
      <c r="AE467" s="233">
        <v>0</v>
      </c>
      <c r="AF467" s="233">
        <v>3</v>
      </c>
      <c r="AG467" s="233">
        <v>0</v>
      </c>
      <c r="AH467" s="233">
        <v>0</v>
      </c>
      <c r="AI467" s="233">
        <v>0</v>
      </c>
      <c r="AJ467" s="233">
        <v>0</v>
      </c>
    </row>
    <row r="468" spans="1:36">
      <c r="A468" s="240">
        <v>1</v>
      </c>
      <c r="B468" s="241" t="s">
        <v>3997</v>
      </c>
      <c r="C468" s="241" t="s">
        <v>4455</v>
      </c>
      <c r="D468" s="241" t="s">
        <v>4912</v>
      </c>
      <c r="E468" s="241">
        <v>7</v>
      </c>
      <c r="F468" s="242" t="s">
        <v>4913</v>
      </c>
      <c r="G468" s="233">
        <v>25977</v>
      </c>
      <c r="H468" s="233">
        <v>2158897</v>
      </c>
      <c r="I468" s="233">
        <v>14984</v>
      </c>
      <c r="J468" s="233">
        <v>9081</v>
      </c>
      <c r="K468" s="233">
        <v>5902</v>
      </c>
      <c r="L468" s="233">
        <v>1905474</v>
      </c>
      <c r="M468" s="233">
        <v>664952</v>
      </c>
      <c r="N468" s="233">
        <v>24482</v>
      </c>
      <c r="O468" s="233">
        <v>6873</v>
      </c>
      <c r="P468" s="233">
        <v>942857</v>
      </c>
      <c r="Q468" s="233">
        <v>24787</v>
      </c>
      <c r="R468" s="233">
        <v>1944958</v>
      </c>
      <c r="S468" s="233">
        <v>14912</v>
      </c>
      <c r="T468" s="233">
        <v>9080</v>
      </c>
      <c r="U468" s="233">
        <v>5832</v>
      </c>
      <c r="V468" s="233">
        <v>1706034</v>
      </c>
      <c r="W468" s="233">
        <v>607349</v>
      </c>
      <c r="X468" s="233">
        <v>20677</v>
      </c>
      <c r="Y468" s="233">
        <v>6847</v>
      </c>
      <c r="Z468" s="233">
        <v>866950</v>
      </c>
      <c r="AA468" s="233">
        <v>1190</v>
      </c>
      <c r="AB468" s="233">
        <v>213939</v>
      </c>
      <c r="AC468" s="233">
        <v>72</v>
      </c>
      <c r="AD468" s="233">
        <v>1</v>
      </c>
      <c r="AE468" s="233">
        <v>70</v>
      </c>
      <c r="AF468" s="233">
        <v>199439</v>
      </c>
      <c r="AG468" s="233">
        <v>57602</v>
      </c>
      <c r="AH468" s="233">
        <v>3804</v>
      </c>
      <c r="AI468" s="233">
        <v>27</v>
      </c>
      <c r="AJ468" s="233">
        <v>75906</v>
      </c>
    </row>
    <row r="469" spans="1:36">
      <c r="A469" s="240">
        <v>1</v>
      </c>
      <c r="B469" s="241" t="s">
        <v>3997</v>
      </c>
      <c r="C469" s="241" t="s">
        <v>3172</v>
      </c>
      <c r="D469" s="241" t="s">
        <v>4914</v>
      </c>
      <c r="E469" s="241">
        <v>5</v>
      </c>
      <c r="F469" s="242" t="s">
        <v>4915</v>
      </c>
      <c r="G469" s="233">
        <v>8359</v>
      </c>
      <c r="H469" s="233">
        <v>9053289</v>
      </c>
      <c r="I469" s="233">
        <v>88778</v>
      </c>
      <c r="J469" s="233">
        <v>17756</v>
      </c>
      <c r="K469" s="233">
        <v>71022</v>
      </c>
      <c r="L469" s="233">
        <v>8714340</v>
      </c>
      <c r="M469" s="233">
        <v>793217</v>
      </c>
      <c r="N469" s="233">
        <v>20575</v>
      </c>
      <c r="O469" s="233">
        <v>62528</v>
      </c>
      <c r="P469" s="233">
        <v>1152741</v>
      </c>
      <c r="Q469" s="233">
        <v>8333</v>
      </c>
      <c r="R469" s="233">
        <v>9049636</v>
      </c>
      <c r="S469" s="233">
        <v>88760</v>
      </c>
      <c r="T469" s="233">
        <v>17756</v>
      </c>
      <c r="U469" s="233">
        <v>71004</v>
      </c>
      <c r="V469" s="233">
        <v>8710772</v>
      </c>
      <c r="W469" s="233">
        <v>792825</v>
      </c>
      <c r="X469" s="233">
        <v>20569</v>
      </c>
      <c r="Y469" s="233">
        <v>62520</v>
      </c>
      <c r="Z469" s="233">
        <v>1152258</v>
      </c>
      <c r="AA469" s="233">
        <v>26</v>
      </c>
      <c r="AB469" s="233">
        <v>3654</v>
      </c>
      <c r="AC469" s="233">
        <v>18</v>
      </c>
      <c r="AD469" s="233">
        <v>0</v>
      </c>
      <c r="AE469" s="233">
        <v>18</v>
      </c>
      <c r="AF469" s="233">
        <v>3568</v>
      </c>
      <c r="AG469" s="233">
        <v>392</v>
      </c>
      <c r="AH469" s="233">
        <v>6</v>
      </c>
      <c r="AI469" s="233">
        <v>8</v>
      </c>
      <c r="AJ469" s="233">
        <v>484</v>
      </c>
    </row>
    <row r="470" spans="1:36">
      <c r="A470" s="240">
        <v>1</v>
      </c>
      <c r="B470" s="241" t="s">
        <v>3997</v>
      </c>
      <c r="C470" s="241" t="s">
        <v>3432</v>
      </c>
      <c r="D470" s="241" t="s">
        <v>4916</v>
      </c>
      <c r="E470" s="241">
        <v>6</v>
      </c>
      <c r="F470" s="242" t="s">
        <v>4917</v>
      </c>
      <c r="G470" s="233">
        <v>8359</v>
      </c>
      <c r="H470" s="233">
        <v>9053289</v>
      </c>
      <c r="I470" s="233">
        <v>88778</v>
      </c>
      <c r="J470" s="233">
        <v>17756</v>
      </c>
      <c r="K470" s="233">
        <v>71022</v>
      </c>
      <c r="L470" s="233">
        <v>8714340</v>
      </c>
      <c r="M470" s="233">
        <v>793217</v>
      </c>
      <c r="N470" s="233">
        <v>20575</v>
      </c>
      <c r="O470" s="233">
        <v>62528</v>
      </c>
      <c r="P470" s="233">
        <v>1152741</v>
      </c>
      <c r="Q470" s="233">
        <v>8333</v>
      </c>
      <c r="R470" s="233">
        <v>9049636</v>
      </c>
      <c r="S470" s="233">
        <v>88760</v>
      </c>
      <c r="T470" s="233">
        <v>17756</v>
      </c>
      <c r="U470" s="233">
        <v>71004</v>
      </c>
      <c r="V470" s="233">
        <v>8710772</v>
      </c>
      <c r="W470" s="233">
        <v>792825</v>
      </c>
      <c r="X470" s="233">
        <v>20569</v>
      </c>
      <c r="Y470" s="233">
        <v>62520</v>
      </c>
      <c r="Z470" s="233">
        <v>1152258</v>
      </c>
      <c r="AA470" s="233">
        <v>26</v>
      </c>
      <c r="AB470" s="233">
        <v>3654</v>
      </c>
      <c r="AC470" s="233">
        <v>18</v>
      </c>
      <c r="AD470" s="233">
        <v>0</v>
      </c>
      <c r="AE470" s="233">
        <v>18</v>
      </c>
      <c r="AF470" s="233">
        <v>3568</v>
      </c>
      <c r="AG470" s="233">
        <v>392</v>
      </c>
      <c r="AH470" s="233">
        <v>6</v>
      </c>
      <c r="AI470" s="233">
        <v>8</v>
      </c>
      <c r="AJ470" s="233">
        <v>484</v>
      </c>
    </row>
    <row r="471" spans="1:36">
      <c r="A471" s="240">
        <v>1</v>
      </c>
      <c r="B471" s="241" t="s">
        <v>3997</v>
      </c>
      <c r="C471" s="241" t="s">
        <v>3172</v>
      </c>
      <c r="D471" s="241" t="s">
        <v>4918</v>
      </c>
      <c r="E471" s="241">
        <v>5</v>
      </c>
      <c r="F471" s="242" t="s">
        <v>4919</v>
      </c>
      <c r="G471" s="233">
        <v>52546</v>
      </c>
      <c r="H471" s="233">
        <v>13743282</v>
      </c>
      <c r="I471" s="233">
        <v>93710</v>
      </c>
      <c r="J471" s="233">
        <v>75171</v>
      </c>
      <c r="K471" s="233">
        <v>18538</v>
      </c>
      <c r="L471" s="233">
        <v>12501875</v>
      </c>
      <c r="M471" s="233">
        <v>3593024</v>
      </c>
      <c r="N471" s="233">
        <v>127457</v>
      </c>
      <c r="O471" s="233">
        <v>69896</v>
      </c>
      <c r="P471" s="233">
        <v>4961888</v>
      </c>
      <c r="Q471" s="233">
        <v>51432</v>
      </c>
      <c r="R471" s="233">
        <v>12752495</v>
      </c>
      <c r="S471" s="233">
        <v>93442</v>
      </c>
      <c r="T471" s="233">
        <v>75026</v>
      </c>
      <c r="U471" s="233">
        <v>18416</v>
      </c>
      <c r="V471" s="233">
        <v>11551742</v>
      </c>
      <c r="W471" s="233">
        <v>3344383</v>
      </c>
      <c r="X471" s="233">
        <v>115351</v>
      </c>
      <c r="Y471" s="233">
        <v>69861</v>
      </c>
      <c r="Z471" s="233">
        <v>4660487</v>
      </c>
      <c r="AA471" s="233">
        <v>1114</v>
      </c>
      <c r="AB471" s="233">
        <v>990786</v>
      </c>
      <c r="AC471" s="233">
        <v>268</v>
      </c>
      <c r="AD471" s="233">
        <v>145</v>
      </c>
      <c r="AE471" s="233">
        <v>122</v>
      </c>
      <c r="AF471" s="233">
        <v>950133</v>
      </c>
      <c r="AG471" s="233">
        <v>248641</v>
      </c>
      <c r="AH471" s="233">
        <v>12106</v>
      </c>
      <c r="AI471" s="233">
        <v>35</v>
      </c>
      <c r="AJ471" s="233">
        <v>301401</v>
      </c>
    </row>
    <row r="472" spans="1:36">
      <c r="A472" s="240">
        <v>1</v>
      </c>
      <c r="B472" s="241" t="s">
        <v>3997</v>
      </c>
      <c r="C472" s="241" t="s">
        <v>3432</v>
      </c>
      <c r="D472" s="241" t="s">
        <v>4920</v>
      </c>
      <c r="E472" s="241">
        <v>6</v>
      </c>
      <c r="F472" s="242" t="s">
        <v>4921</v>
      </c>
      <c r="G472" s="233">
        <v>4130</v>
      </c>
      <c r="H472" s="233">
        <v>419332</v>
      </c>
      <c r="I472" s="233">
        <v>3738</v>
      </c>
      <c r="J472" s="233">
        <v>890</v>
      </c>
      <c r="K472" s="233">
        <v>2848</v>
      </c>
      <c r="L472" s="233">
        <v>365631</v>
      </c>
      <c r="M472" s="233">
        <v>142232</v>
      </c>
      <c r="N472" s="233">
        <v>9371</v>
      </c>
      <c r="O472" s="233">
        <v>1803</v>
      </c>
      <c r="P472" s="233">
        <v>205303</v>
      </c>
      <c r="Q472" s="233">
        <v>4108</v>
      </c>
      <c r="R472" s="233">
        <v>415222</v>
      </c>
      <c r="S472" s="233">
        <v>3738</v>
      </c>
      <c r="T472" s="233">
        <v>890</v>
      </c>
      <c r="U472" s="233">
        <v>2848</v>
      </c>
      <c r="V472" s="233">
        <v>362065</v>
      </c>
      <c r="W472" s="233">
        <v>140791</v>
      </c>
      <c r="X472" s="233">
        <v>9244</v>
      </c>
      <c r="Y472" s="233">
        <v>1803</v>
      </c>
      <c r="Z472" s="233">
        <v>203192</v>
      </c>
      <c r="AA472" s="233">
        <v>22</v>
      </c>
      <c r="AB472" s="233">
        <v>4109</v>
      </c>
      <c r="AC472" s="233">
        <v>0</v>
      </c>
      <c r="AD472" s="233">
        <v>0</v>
      </c>
      <c r="AE472" s="233">
        <v>0</v>
      </c>
      <c r="AF472" s="233">
        <v>3566</v>
      </c>
      <c r="AG472" s="233">
        <v>1441</v>
      </c>
      <c r="AH472" s="233">
        <v>127</v>
      </c>
      <c r="AI472" s="233">
        <v>0</v>
      </c>
      <c r="AJ472" s="233">
        <v>2111</v>
      </c>
    </row>
    <row r="473" spans="1:36">
      <c r="A473" s="240">
        <v>1</v>
      </c>
      <c r="B473" s="241" t="s">
        <v>3997</v>
      </c>
      <c r="C473" s="241" t="s">
        <v>3432</v>
      </c>
      <c r="D473" s="241" t="s">
        <v>4922</v>
      </c>
      <c r="E473" s="241">
        <v>6</v>
      </c>
      <c r="F473" s="242" t="s">
        <v>4923</v>
      </c>
      <c r="G473" s="233">
        <v>32368</v>
      </c>
      <c r="H473" s="233">
        <v>5535199</v>
      </c>
      <c r="I473" s="233">
        <v>12995</v>
      </c>
      <c r="J473" s="233">
        <v>8376</v>
      </c>
      <c r="K473" s="233">
        <v>4620</v>
      </c>
      <c r="L473" s="233">
        <v>4947018</v>
      </c>
      <c r="M473" s="233">
        <v>1676270</v>
      </c>
      <c r="N473" s="233">
        <v>61056</v>
      </c>
      <c r="O473" s="233">
        <v>7083</v>
      </c>
      <c r="P473" s="233">
        <v>2325507</v>
      </c>
      <c r="Q473" s="233">
        <v>31941</v>
      </c>
      <c r="R473" s="233">
        <v>5008102</v>
      </c>
      <c r="S473" s="233">
        <v>12968</v>
      </c>
      <c r="T473" s="233">
        <v>8361</v>
      </c>
      <c r="U473" s="233">
        <v>4607</v>
      </c>
      <c r="V473" s="233">
        <v>4422852</v>
      </c>
      <c r="W473" s="233">
        <v>1619379</v>
      </c>
      <c r="X473" s="233">
        <v>56382</v>
      </c>
      <c r="Y473" s="233">
        <v>7081</v>
      </c>
      <c r="Z473" s="233">
        <v>2261012</v>
      </c>
      <c r="AA473" s="233">
        <v>427</v>
      </c>
      <c r="AB473" s="233">
        <v>527097</v>
      </c>
      <c r="AC473" s="233">
        <v>27</v>
      </c>
      <c r="AD473" s="233">
        <v>15</v>
      </c>
      <c r="AE473" s="233">
        <v>13</v>
      </c>
      <c r="AF473" s="233">
        <v>524166</v>
      </c>
      <c r="AG473" s="233">
        <v>56891</v>
      </c>
      <c r="AH473" s="233">
        <v>4674</v>
      </c>
      <c r="AI473" s="233">
        <v>2</v>
      </c>
      <c r="AJ473" s="233">
        <v>64495</v>
      </c>
    </row>
    <row r="474" spans="1:36">
      <c r="A474" s="240">
        <v>1</v>
      </c>
      <c r="B474" s="241" t="s">
        <v>3997</v>
      </c>
      <c r="C474" s="241" t="s">
        <v>4455</v>
      </c>
      <c r="D474" s="241" t="s">
        <v>4924</v>
      </c>
      <c r="E474" s="241">
        <v>7</v>
      </c>
      <c r="F474" s="242" t="s">
        <v>4925</v>
      </c>
      <c r="G474" s="233">
        <v>23363</v>
      </c>
      <c r="H474" s="233">
        <v>4367984</v>
      </c>
      <c r="I474" s="233">
        <v>8962</v>
      </c>
      <c r="J474" s="233">
        <v>5223</v>
      </c>
      <c r="K474" s="233">
        <v>3739</v>
      </c>
      <c r="L474" s="233">
        <v>3910097</v>
      </c>
      <c r="M474" s="233">
        <v>1285062</v>
      </c>
      <c r="N474" s="233">
        <v>43750</v>
      </c>
      <c r="O474" s="233">
        <v>5364</v>
      </c>
      <c r="P474" s="233">
        <v>1786698</v>
      </c>
      <c r="Q474" s="233">
        <v>23049</v>
      </c>
      <c r="R474" s="233">
        <v>3900410</v>
      </c>
      <c r="S474" s="233">
        <v>8956</v>
      </c>
      <c r="T474" s="233">
        <v>5221</v>
      </c>
      <c r="U474" s="233">
        <v>3735</v>
      </c>
      <c r="V474" s="233">
        <v>3439026</v>
      </c>
      <c r="W474" s="233">
        <v>1245757</v>
      </c>
      <c r="X474" s="233">
        <v>40322</v>
      </c>
      <c r="Y474" s="233">
        <v>5362</v>
      </c>
      <c r="Z474" s="233">
        <v>1747463</v>
      </c>
      <c r="AA474" s="233">
        <v>314</v>
      </c>
      <c r="AB474" s="233">
        <v>467574</v>
      </c>
      <c r="AC474" s="233">
        <v>5</v>
      </c>
      <c r="AD474" s="233">
        <v>2</v>
      </c>
      <c r="AE474" s="233">
        <v>4</v>
      </c>
      <c r="AF474" s="233">
        <v>471071</v>
      </c>
      <c r="AG474" s="233">
        <v>39305</v>
      </c>
      <c r="AH474" s="233">
        <v>3427</v>
      </c>
      <c r="AI474" s="233">
        <v>2</v>
      </c>
      <c r="AJ474" s="233">
        <v>39236</v>
      </c>
    </row>
    <row r="475" spans="1:36">
      <c r="A475" s="240">
        <v>1</v>
      </c>
      <c r="B475" s="241" t="s">
        <v>3997</v>
      </c>
      <c r="C475" s="241" t="s">
        <v>4455</v>
      </c>
      <c r="D475" s="241" t="s">
        <v>4926</v>
      </c>
      <c r="E475" s="241">
        <v>7</v>
      </c>
      <c r="F475" s="242" t="s">
        <v>4927</v>
      </c>
      <c r="G475" s="233">
        <v>6746</v>
      </c>
      <c r="H475" s="233">
        <v>670864</v>
      </c>
      <c r="I475" s="233">
        <v>794</v>
      </c>
      <c r="J475" s="233">
        <v>329</v>
      </c>
      <c r="K475" s="233">
        <v>465</v>
      </c>
      <c r="L475" s="233">
        <v>594172</v>
      </c>
      <c r="M475" s="233">
        <v>242812</v>
      </c>
      <c r="N475" s="233">
        <v>11775</v>
      </c>
      <c r="O475" s="233">
        <v>400</v>
      </c>
      <c r="P475" s="233">
        <v>331279</v>
      </c>
      <c r="Q475" s="233">
        <v>6696</v>
      </c>
      <c r="R475" s="233">
        <v>665250</v>
      </c>
      <c r="S475" s="233">
        <v>774</v>
      </c>
      <c r="T475" s="233">
        <v>317</v>
      </c>
      <c r="U475" s="233">
        <v>457</v>
      </c>
      <c r="V475" s="233">
        <v>589282</v>
      </c>
      <c r="W475" s="233">
        <v>241414</v>
      </c>
      <c r="X475" s="233">
        <v>11669</v>
      </c>
      <c r="Y475" s="233">
        <v>400</v>
      </c>
      <c r="Z475" s="233">
        <v>329052</v>
      </c>
      <c r="AA475" s="233">
        <v>50</v>
      </c>
      <c r="AB475" s="233">
        <v>5614</v>
      </c>
      <c r="AC475" s="233">
        <v>20</v>
      </c>
      <c r="AD475" s="233">
        <v>12</v>
      </c>
      <c r="AE475" s="233">
        <v>8</v>
      </c>
      <c r="AF475" s="233">
        <v>4891</v>
      </c>
      <c r="AG475" s="233">
        <v>1398</v>
      </c>
      <c r="AH475" s="233">
        <v>106</v>
      </c>
      <c r="AI475" s="233">
        <v>0</v>
      </c>
      <c r="AJ475" s="233">
        <v>2227</v>
      </c>
    </row>
    <row r="476" spans="1:36">
      <c r="A476" s="240">
        <v>1</v>
      </c>
      <c r="B476" s="241" t="s">
        <v>3997</v>
      </c>
      <c r="C476" s="241" t="s">
        <v>4455</v>
      </c>
      <c r="D476" s="241" t="s">
        <v>4928</v>
      </c>
      <c r="E476" s="241">
        <v>7</v>
      </c>
      <c r="F476" s="242" t="s">
        <v>4929</v>
      </c>
      <c r="G476" s="233">
        <v>2251</v>
      </c>
      <c r="H476" s="233">
        <v>494998</v>
      </c>
      <c r="I476" s="233">
        <v>3239</v>
      </c>
      <c r="J476" s="233">
        <v>2823</v>
      </c>
      <c r="K476" s="233">
        <v>416</v>
      </c>
      <c r="L476" s="233">
        <v>441502</v>
      </c>
      <c r="M476" s="233">
        <v>147825</v>
      </c>
      <c r="N476" s="233">
        <v>5523</v>
      </c>
      <c r="O476" s="233">
        <v>1320</v>
      </c>
      <c r="P476" s="233">
        <v>206844</v>
      </c>
      <c r="Q476" s="233">
        <v>2190</v>
      </c>
      <c r="R476" s="233">
        <v>441133</v>
      </c>
      <c r="S476" s="233">
        <v>3238</v>
      </c>
      <c r="T476" s="233">
        <v>2822</v>
      </c>
      <c r="U476" s="233">
        <v>415</v>
      </c>
      <c r="V476" s="233">
        <v>393339</v>
      </c>
      <c r="W476" s="233">
        <v>131645</v>
      </c>
      <c r="X476" s="233">
        <v>4382</v>
      </c>
      <c r="Y476" s="233">
        <v>1320</v>
      </c>
      <c r="Z476" s="233">
        <v>183820</v>
      </c>
      <c r="AA476" s="233">
        <v>61</v>
      </c>
      <c r="AB476" s="233">
        <v>53865</v>
      </c>
      <c r="AC476" s="233">
        <v>2</v>
      </c>
      <c r="AD476" s="233">
        <v>1</v>
      </c>
      <c r="AE476" s="233">
        <v>1</v>
      </c>
      <c r="AF476" s="233">
        <v>48162</v>
      </c>
      <c r="AG476" s="233">
        <v>16180</v>
      </c>
      <c r="AH476" s="233">
        <v>1141</v>
      </c>
      <c r="AI476" s="233">
        <v>0</v>
      </c>
      <c r="AJ476" s="233">
        <v>23024</v>
      </c>
    </row>
    <row r="477" spans="1:36">
      <c r="A477" s="240">
        <v>1</v>
      </c>
      <c r="B477" s="241" t="s">
        <v>3997</v>
      </c>
      <c r="C477" s="241" t="s">
        <v>3432</v>
      </c>
      <c r="D477" s="241" t="s">
        <v>4930</v>
      </c>
      <c r="E477" s="241">
        <v>6</v>
      </c>
      <c r="F477" s="242" t="s">
        <v>4931</v>
      </c>
      <c r="G477" s="233">
        <v>4981</v>
      </c>
      <c r="H477" s="233">
        <v>1448255</v>
      </c>
      <c r="I477" s="233">
        <v>19121</v>
      </c>
      <c r="J477" s="233">
        <v>17260</v>
      </c>
      <c r="K477" s="233">
        <v>1861</v>
      </c>
      <c r="L477" s="233">
        <v>1304590</v>
      </c>
      <c r="M477" s="233">
        <v>489576</v>
      </c>
      <c r="N477" s="233">
        <v>8449</v>
      </c>
      <c r="O477" s="233">
        <v>13133</v>
      </c>
      <c r="P477" s="233">
        <v>641690</v>
      </c>
      <c r="Q477" s="233">
        <v>4965</v>
      </c>
      <c r="R477" s="233">
        <v>1447927</v>
      </c>
      <c r="S477" s="233">
        <v>19118</v>
      </c>
      <c r="T477" s="233">
        <v>17258</v>
      </c>
      <c r="U477" s="233">
        <v>1860</v>
      </c>
      <c r="V477" s="233">
        <v>1304202</v>
      </c>
      <c r="W477" s="233">
        <v>489443</v>
      </c>
      <c r="X477" s="233">
        <v>8438</v>
      </c>
      <c r="Y477" s="233">
        <v>13133</v>
      </c>
      <c r="Z477" s="233">
        <v>641606</v>
      </c>
      <c r="AA477" s="233">
        <v>16</v>
      </c>
      <c r="AB477" s="233">
        <v>328</v>
      </c>
      <c r="AC477" s="233">
        <v>2</v>
      </c>
      <c r="AD477" s="233">
        <v>2</v>
      </c>
      <c r="AE477" s="233">
        <v>1</v>
      </c>
      <c r="AF477" s="233">
        <v>388</v>
      </c>
      <c r="AG477" s="233">
        <v>133</v>
      </c>
      <c r="AH477" s="233">
        <v>11</v>
      </c>
      <c r="AI477" s="233">
        <v>0</v>
      </c>
      <c r="AJ477" s="233">
        <v>84</v>
      </c>
    </row>
    <row r="478" spans="1:36">
      <c r="A478" s="240">
        <v>1</v>
      </c>
      <c r="B478" s="241" t="s">
        <v>3997</v>
      </c>
      <c r="C478" s="241" t="s">
        <v>3432</v>
      </c>
      <c r="D478" s="241" t="s">
        <v>4932</v>
      </c>
      <c r="E478" s="241">
        <v>6</v>
      </c>
      <c r="F478" s="242" t="s">
        <v>4933</v>
      </c>
      <c r="G478" s="233">
        <v>1660</v>
      </c>
      <c r="H478" s="233">
        <v>717208</v>
      </c>
      <c r="I478" s="233">
        <v>3072</v>
      </c>
      <c r="J478" s="233">
        <v>2498</v>
      </c>
      <c r="K478" s="233">
        <v>575</v>
      </c>
      <c r="L478" s="233">
        <v>641027</v>
      </c>
      <c r="M478" s="233">
        <v>260251</v>
      </c>
      <c r="N478" s="233">
        <v>9126</v>
      </c>
      <c r="O478" s="233">
        <v>1545</v>
      </c>
      <c r="P478" s="233">
        <v>345558</v>
      </c>
      <c r="Q478" s="233">
        <v>1495</v>
      </c>
      <c r="R478" s="233">
        <v>516147</v>
      </c>
      <c r="S478" s="233">
        <v>2981</v>
      </c>
      <c r="T478" s="233">
        <v>2458</v>
      </c>
      <c r="U478" s="233">
        <v>522</v>
      </c>
      <c r="V478" s="233">
        <v>454026</v>
      </c>
      <c r="W478" s="233">
        <v>179535</v>
      </c>
      <c r="X478" s="233">
        <v>5133</v>
      </c>
      <c r="Y478" s="233">
        <v>1521</v>
      </c>
      <c r="Z478" s="233">
        <v>246789</v>
      </c>
      <c r="AA478" s="233">
        <v>165</v>
      </c>
      <c r="AB478" s="233">
        <v>201061</v>
      </c>
      <c r="AC478" s="233">
        <v>92</v>
      </c>
      <c r="AD478" s="233">
        <v>39</v>
      </c>
      <c r="AE478" s="233">
        <v>52</v>
      </c>
      <c r="AF478" s="233">
        <v>187002</v>
      </c>
      <c r="AG478" s="233">
        <v>80716</v>
      </c>
      <c r="AH478" s="233">
        <v>3993</v>
      </c>
      <c r="AI478" s="233">
        <v>24</v>
      </c>
      <c r="AJ478" s="233">
        <v>98769</v>
      </c>
    </row>
    <row r="479" spans="1:36">
      <c r="A479" s="240">
        <v>1</v>
      </c>
      <c r="B479" s="241" t="s">
        <v>3997</v>
      </c>
      <c r="C479" s="241" t="s">
        <v>3432</v>
      </c>
      <c r="D479" s="241" t="s">
        <v>4934</v>
      </c>
      <c r="E479" s="241">
        <v>6</v>
      </c>
      <c r="F479" s="242" t="s">
        <v>4935</v>
      </c>
      <c r="G479" s="233">
        <v>887</v>
      </c>
      <c r="H479" s="233">
        <v>355780</v>
      </c>
      <c r="I479" s="233">
        <v>5850</v>
      </c>
      <c r="J479" s="233">
        <v>4749</v>
      </c>
      <c r="K479" s="233">
        <v>1101</v>
      </c>
      <c r="L479" s="233">
        <v>308959</v>
      </c>
      <c r="M479" s="233">
        <v>123215</v>
      </c>
      <c r="N479" s="233">
        <v>3433</v>
      </c>
      <c r="O479" s="233">
        <v>3673</v>
      </c>
      <c r="P479" s="233">
        <v>173469</v>
      </c>
      <c r="Q479" s="233">
        <v>815</v>
      </c>
      <c r="R479" s="233">
        <v>321426</v>
      </c>
      <c r="S479" s="233">
        <v>5845</v>
      </c>
      <c r="T479" s="233">
        <v>4749</v>
      </c>
      <c r="U479" s="233">
        <v>1096</v>
      </c>
      <c r="V479" s="233">
        <v>278457</v>
      </c>
      <c r="W479" s="233">
        <v>111295</v>
      </c>
      <c r="X479" s="233">
        <v>2490</v>
      </c>
      <c r="Y479" s="233">
        <v>3671</v>
      </c>
      <c r="Z479" s="233">
        <v>156754</v>
      </c>
      <c r="AA479" s="233">
        <v>72</v>
      </c>
      <c r="AB479" s="233">
        <v>34354</v>
      </c>
      <c r="AC479" s="233">
        <v>4</v>
      </c>
      <c r="AD479" s="233">
        <v>0</v>
      </c>
      <c r="AE479" s="233">
        <v>4</v>
      </c>
      <c r="AF479" s="233">
        <v>30502</v>
      </c>
      <c r="AG479" s="233">
        <v>11920</v>
      </c>
      <c r="AH479" s="233">
        <v>943</v>
      </c>
      <c r="AI479" s="233">
        <v>1</v>
      </c>
      <c r="AJ479" s="233">
        <v>16715</v>
      </c>
    </row>
    <row r="480" spans="1:36">
      <c r="A480" s="240">
        <v>1</v>
      </c>
      <c r="B480" s="241" t="s">
        <v>3997</v>
      </c>
      <c r="C480" s="241" t="s">
        <v>3432</v>
      </c>
      <c r="D480" s="241" t="s">
        <v>4936</v>
      </c>
      <c r="E480" s="241">
        <v>6</v>
      </c>
      <c r="F480" s="242" t="s">
        <v>4937</v>
      </c>
      <c r="G480" s="233">
        <v>3716</v>
      </c>
      <c r="H480" s="233">
        <v>240203</v>
      </c>
      <c r="I480" s="233">
        <v>3227</v>
      </c>
      <c r="J480" s="233">
        <v>995</v>
      </c>
      <c r="K480" s="233">
        <v>2231</v>
      </c>
      <c r="L480" s="233">
        <v>221487</v>
      </c>
      <c r="M480" s="233">
        <v>73726</v>
      </c>
      <c r="N480" s="233">
        <v>3097</v>
      </c>
      <c r="O480" s="233">
        <v>2163</v>
      </c>
      <c r="P480" s="233">
        <v>95539</v>
      </c>
      <c r="Q480" s="233">
        <v>3709</v>
      </c>
      <c r="R480" s="233">
        <v>240138</v>
      </c>
      <c r="S480" s="233">
        <v>3227</v>
      </c>
      <c r="T480" s="233">
        <v>995</v>
      </c>
      <c r="U480" s="233">
        <v>2231</v>
      </c>
      <c r="V480" s="233">
        <v>221412</v>
      </c>
      <c r="W480" s="233">
        <v>73701</v>
      </c>
      <c r="X480" s="233">
        <v>3096</v>
      </c>
      <c r="Y480" s="233">
        <v>2163</v>
      </c>
      <c r="Z480" s="233">
        <v>95523</v>
      </c>
      <c r="AA480" s="233">
        <v>7</v>
      </c>
      <c r="AB480" s="233">
        <v>65</v>
      </c>
      <c r="AC480" s="233">
        <v>0</v>
      </c>
      <c r="AD480" s="233">
        <v>0</v>
      </c>
      <c r="AE480" s="233">
        <v>0</v>
      </c>
      <c r="AF480" s="233">
        <v>75</v>
      </c>
      <c r="AG480" s="233">
        <v>25</v>
      </c>
      <c r="AH480" s="233">
        <v>1</v>
      </c>
      <c r="AI480" s="233">
        <v>0</v>
      </c>
      <c r="AJ480" s="233">
        <v>16</v>
      </c>
    </row>
    <row r="481" spans="1:36">
      <c r="A481" s="240">
        <v>1</v>
      </c>
      <c r="B481" s="241" t="s">
        <v>3997</v>
      </c>
      <c r="C481" s="241" t="s">
        <v>4455</v>
      </c>
      <c r="D481" s="241" t="s">
        <v>4938</v>
      </c>
      <c r="E481" s="241">
        <v>7</v>
      </c>
      <c r="F481" s="242" t="s">
        <v>4939</v>
      </c>
      <c r="G481" s="233">
        <v>2526</v>
      </c>
      <c r="H481" s="233">
        <v>199091</v>
      </c>
      <c r="I481" s="233">
        <v>2633</v>
      </c>
      <c r="J481" s="233">
        <v>547</v>
      </c>
      <c r="K481" s="233">
        <v>2086</v>
      </c>
      <c r="L481" s="233">
        <v>180984</v>
      </c>
      <c r="M481" s="233">
        <v>60370</v>
      </c>
      <c r="N481" s="233">
        <v>2464</v>
      </c>
      <c r="O481" s="233">
        <v>1657</v>
      </c>
      <c r="P481" s="233">
        <v>80941</v>
      </c>
      <c r="Q481" s="233">
        <v>2520</v>
      </c>
      <c r="R481" s="235" t="s">
        <v>4020</v>
      </c>
      <c r="S481" s="235" t="s">
        <v>4020</v>
      </c>
      <c r="T481" s="235" t="s">
        <v>4020</v>
      </c>
      <c r="U481" s="235" t="s">
        <v>4020</v>
      </c>
      <c r="V481" s="235" t="s">
        <v>4020</v>
      </c>
      <c r="W481" s="235" t="s">
        <v>4020</v>
      </c>
      <c r="X481" s="235" t="s">
        <v>4020</v>
      </c>
      <c r="Y481" s="235" t="s">
        <v>4020</v>
      </c>
      <c r="Z481" s="235" t="s">
        <v>4020</v>
      </c>
      <c r="AA481" s="233">
        <v>6</v>
      </c>
      <c r="AB481" s="235" t="s">
        <v>4020</v>
      </c>
      <c r="AC481" s="235" t="s">
        <v>4020</v>
      </c>
      <c r="AD481" s="235" t="s">
        <v>4020</v>
      </c>
      <c r="AE481" s="235" t="s">
        <v>4020</v>
      </c>
      <c r="AF481" s="235" t="s">
        <v>4020</v>
      </c>
      <c r="AG481" s="235" t="s">
        <v>4020</v>
      </c>
      <c r="AH481" s="235" t="s">
        <v>4020</v>
      </c>
      <c r="AI481" s="235" t="s">
        <v>4020</v>
      </c>
      <c r="AJ481" s="235" t="s">
        <v>4020</v>
      </c>
    </row>
    <row r="482" spans="1:36">
      <c r="A482" s="240">
        <v>1</v>
      </c>
      <c r="B482" s="241" t="s">
        <v>3997</v>
      </c>
      <c r="C482" s="241" t="s">
        <v>4455</v>
      </c>
      <c r="D482" s="241" t="s">
        <v>4940</v>
      </c>
      <c r="E482" s="241">
        <v>7</v>
      </c>
      <c r="F482" s="242" t="s">
        <v>4941</v>
      </c>
      <c r="G482" s="233">
        <v>1190</v>
      </c>
      <c r="H482" s="233">
        <v>41112</v>
      </c>
      <c r="I482" s="233">
        <v>594</v>
      </c>
      <c r="J482" s="233">
        <v>448</v>
      </c>
      <c r="K482" s="233">
        <v>146</v>
      </c>
      <c r="L482" s="233">
        <v>40502</v>
      </c>
      <c r="M482" s="233">
        <v>13356</v>
      </c>
      <c r="N482" s="233">
        <v>632</v>
      </c>
      <c r="O482" s="233">
        <v>506</v>
      </c>
      <c r="P482" s="233">
        <v>14598</v>
      </c>
      <c r="Q482" s="233">
        <v>1189</v>
      </c>
      <c r="R482" s="235" t="s">
        <v>4020</v>
      </c>
      <c r="S482" s="235" t="s">
        <v>4020</v>
      </c>
      <c r="T482" s="235" t="s">
        <v>4020</v>
      </c>
      <c r="U482" s="235" t="s">
        <v>4020</v>
      </c>
      <c r="V482" s="235" t="s">
        <v>4020</v>
      </c>
      <c r="W482" s="235" t="s">
        <v>4020</v>
      </c>
      <c r="X482" s="235" t="s">
        <v>4020</v>
      </c>
      <c r="Y482" s="235" t="s">
        <v>4020</v>
      </c>
      <c r="Z482" s="235" t="s">
        <v>4020</v>
      </c>
      <c r="AA482" s="233">
        <v>1</v>
      </c>
      <c r="AB482" s="235" t="s">
        <v>4020</v>
      </c>
      <c r="AC482" s="235" t="s">
        <v>4020</v>
      </c>
      <c r="AD482" s="235" t="s">
        <v>4020</v>
      </c>
      <c r="AE482" s="235" t="s">
        <v>4020</v>
      </c>
      <c r="AF482" s="235" t="s">
        <v>4020</v>
      </c>
      <c r="AG482" s="235" t="s">
        <v>4020</v>
      </c>
      <c r="AH482" s="235" t="s">
        <v>4020</v>
      </c>
      <c r="AI482" s="235" t="s">
        <v>4020</v>
      </c>
      <c r="AJ482" s="235" t="s">
        <v>4020</v>
      </c>
    </row>
    <row r="483" spans="1:36">
      <c r="A483" s="240">
        <v>1</v>
      </c>
      <c r="B483" s="241" t="s">
        <v>3997</v>
      </c>
      <c r="C483" s="241" t="s">
        <v>3432</v>
      </c>
      <c r="D483" s="241" t="s">
        <v>4942</v>
      </c>
      <c r="E483" s="241">
        <v>6</v>
      </c>
      <c r="F483" s="242" t="s">
        <v>4943</v>
      </c>
      <c r="G483" s="233">
        <v>4803</v>
      </c>
      <c r="H483" s="233">
        <v>5027206</v>
      </c>
      <c r="I483" s="233">
        <v>45707</v>
      </c>
      <c r="J483" s="233">
        <v>40404</v>
      </c>
      <c r="K483" s="233">
        <v>5303</v>
      </c>
      <c r="L483" s="233">
        <v>4713083</v>
      </c>
      <c r="M483" s="233">
        <v>827737</v>
      </c>
      <c r="N483" s="233">
        <v>32926</v>
      </c>
      <c r="O483" s="233">
        <v>40496</v>
      </c>
      <c r="P483" s="233">
        <v>1174785</v>
      </c>
      <c r="Q483" s="233">
        <v>4398</v>
      </c>
      <c r="R483" s="233">
        <v>4803433</v>
      </c>
      <c r="S483" s="233">
        <v>45565</v>
      </c>
      <c r="T483" s="233">
        <v>40314</v>
      </c>
      <c r="U483" s="233">
        <v>5251</v>
      </c>
      <c r="V483" s="233">
        <v>4508648</v>
      </c>
      <c r="W483" s="233">
        <v>730221</v>
      </c>
      <c r="X483" s="233">
        <v>30569</v>
      </c>
      <c r="Y483" s="233">
        <v>40489</v>
      </c>
      <c r="Z483" s="233">
        <v>1055575</v>
      </c>
      <c r="AA483" s="233">
        <v>405</v>
      </c>
      <c r="AB483" s="233">
        <v>223773</v>
      </c>
      <c r="AC483" s="233">
        <v>142</v>
      </c>
      <c r="AD483" s="233">
        <v>90</v>
      </c>
      <c r="AE483" s="233">
        <v>52</v>
      </c>
      <c r="AF483" s="233">
        <v>204435</v>
      </c>
      <c r="AG483" s="233">
        <v>97515</v>
      </c>
      <c r="AH483" s="233">
        <v>2357</v>
      </c>
      <c r="AI483" s="233">
        <v>8</v>
      </c>
      <c r="AJ483" s="233">
        <v>119211</v>
      </c>
    </row>
    <row r="484" spans="1:36">
      <c r="A484" s="240">
        <v>1</v>
      </c>
      <c r="B484" s="241" t="s">
        <v>3997</v>
      </c>
      <c r="C484" s="241" t="s">
        <v>3459</v>
      </c>
      <c r="D484" s="241" t="s">
        <v>4944</v>
      </c>
      <c r="E484" s="241">
        <v>3</v>
      </c>
      <c r="F484" s="242" t="s">
        <v>4945</v>
      </c>
      <c r="G484" s="233">
        <v>95230</v>
      </c>
      <c r="H484" s="233">
        <v>18013080</v>
      </c>
      <c r="I484" s="233">
        <v>705959</v>
      </c>
      <c r="J484" s="233">
        <v>248519</v>
      </c>
      <c r="K484" s="233">
        <v>457440</v>
      </c>
      <c r="L484" s="233">
        <v>18475974</v>
      </c>
      <c r="M484" s="233">
        <v>5402812</v>
      </c>
      <c r="N484" s="233">
        <v>194250</v>
      </c>
      <c r="O484" s="233">
        <v>491793</v>
      </c>
      <c r="P484" s="233">
        <v>5134168</v>
      </c>
      <c r="Q484" s="233">
        <v>93724</v>
      </c>
      <c r="R484" s="233">
        <v>17872791</v>
      </c>
      <c r="S484" s="233">
        <v>697473</v>
      </c>
      <c r="T484" s="233">
        <v>248128</v>
      </c>
      <c r="U484" s="233">
        <v>449345</v>
      </c>
      <c r="V484" s="233">
        <v>18330068</v>
      </c>
      <c r="W484" s="233">
        <v>5356114</v>
      </c>
      <c r="X484" s="233">
        <v>191607</v>
      </c>
      <c r="Y484" s="233">
        <v>485729</v>
      </c>
      <c r="Z484" s="233">
        <v>5090444</v>
      </c>
      <c r="AA484" s="233">
        <v>1506</v>
      </c>
      <c r="AB484" s="233">
        <v>140289</v>
      </c>
      <c r="AC484" s="233">
        <v>8487</v>
      </c>
      <c r="AD484" s="233">
        <v>392</v>
      </c>
      <c r="AE484" s="233">
        <v>8095</v>
      </c>
      <c r="AF484" s="233">
        <v>145906</v>
      </c>
      <c r="AG484" s="233">
        <v>46698</v>
      </c>
      <c r="AH484" s="233">
        <v>2643</v>
      </c>
      <c r="AI484" s="233">
        <v>6063</v>
      </c>
      <c r="AJ484" s="233">
        <v>43724</v>
      </c>
    </row>
    <row r="485" spans="1:36">
      <c r="A485" s="240">
        <v>1</v>
      </c>
      <c r="B485" s="241" t="s">
        <v>3997</v>
      </c>
      <c r="C485" s="241" t="s">
        <v>3170</v>
      </c>
      <c r="D485" s="241" t="s">
        <v>4946</v>
      </c>
      <c r="E485" s="241">
        <v>4</v>
      </c>
      <c r="F485" s="242" t="s">
        <v>4947</v>
      </c>
      <c r="G485" s="233">
        <v>16611</v>
      </c>
      <c r="H485" s="233">
        <v>3930030</v>
      </c>
      <c r="I485" s="233">
        <v>53316</v>
      </c>
      <c r="J485" s="233">
        <v>7720</v>
      </c>
      <c r="K485" s="233">
        <v>45595</v>
      </c>
      <c r="L485" s="233">
        <v>4453667</v>
      </c>
      <c r="M485" s="233">
        <v>1135078</v>
      </c>
      <c r="N485" s="233">
        <v>77613</v>
      </c>
      <c r="O485" s="233">
        <v>31693</v>
      </c>
      <c r="P485" s="233">
        <v>689054</v>
      </c>
      <c r="Q485" s="233">
        <v>16085</v>
      </c>
      <c r="R485" s="233">
        <v>3872401</v>
      </c>
      <c r="S485" s="233">
        <v>52219</v>
      </c>
      <c r="T485" s="233">
        <v>7604</v>
      </c>
      <c r="U485" s="233">
        <v>44615</v>
      </c>
      <c r="V485" s="233">
        <v>4391175</v>
      </c>
      <c r="W485" s="233">
        <v>1115315</v>
      </c>
      <c r="X485" s="233">
        <v>76218</v>
      </c>
      <c r="Y485" s="233">
        <v>30967</v>
      </c>
      <c r="Z485" s="233">
        <v>672759</v>
      </c>
      <c r="AA485" s="233">
        <v>526</v>
      </c>
      <c r="AB485" s="233">
        <v>57629</v>
      </c>
      <c r="AC485" s="233">
        <v>1097</v>
      </c>
      <c r="AD485" s="233">
        <v>117</v>
      </c>
      <c r="AE485" s="233">
        <v>980</v>
      </c>
      <c r="AF485" s="233">
        <v>62493</v>
      </c>
      <c r="AG485" s="233">
        <v>19763</v>
      </c>
      <c r="AH485" s="233">
        <v>1395</v>
      </c>
      <c r="AI485" s="233">
        <v>726</v>
      </c>
      <c r="AJ485" s="233">
        <v>16295</v>
      </c>
    </row>
    <row r="486" spans="1:36">
      <c r="A486" s="240">
        <v>1</v>
      </c>
      <c r="B486" s="241" t="s">
        <v>3997</v>
      </c>
      <c r="C486" s="241" t="s">
        <v>3172</v>
      </c>
      <c r="D486" s="241" t="s">
        <v>4948</v>
      </c>
      <c r="E486" s="241">
        <v>5</v>
      </c>
      <c r="F486" s="242" t="s">
        <v>4949</v>
      </c>
      <c r="G486" s="233">
        <v>16611</v>
      </c>
      <c r="H486" s="233">
        <v>3930030</v>
      </c>
      <c r="I486" s="233">
        <v>53316</v>
      </c>
      <c r="J486" s="233">
        <v>7720</v>
      </c>
      <c r="K486" s="233">
        <v>45595</v>
      </c>
      <c r="L486" s="233">
        <v>4453667</v>
      </c>
      <c r="M486" s="233">
        <v>1135078</v>
      </c>
      <c r="N486" s="233">
        <v>77613</v>
      </c>
      <c r="O486" s="233">
        <v>31693</v>
      </c>
      <c r="P486" s="233">
        <v>689054</v>
      </c>
      <c r="Q486" s="233">
        <v>16085</v>
      </c>
      <c r="R486" s="233">
        <v>3872401</v>
      </c>
      <c r="S486" s="233">
        <v>52219</v>
      </c>
      <c r="T486" s="233">
        <v>7604</v>
      </c>
      <c r="U486" s="233">
        <v>44615</v>
      </c>
      <c r="V486" s="233">
        <v>4391175</v>
      </c>
      <c r="W486" s="233">
        <v>1115315</v>
      </c>
      <c r="X486" s="233">
        <v>76218</v>
      </c>
      <c r="Y486" s="233">
        <v>30967</v>
      </c>
      <c r="Z486" s="233">
        <v>672759</v>
      </c>
      <c r="AA486" s="233">
        <v>526</v>
      </c>
      <c r="AB486" s="233">
        <v>57629</v>
      </c>
      <c r="AC486" s="233">
        <v>1097</v>
      </c>
      <c r="AD486" s="233">
        <v>117</v>
      </c>
      <c r="AE486" s="233">
        <v>980</v>
      </c>
      <c r="AF486" s="233">
        <v>62493</v>
      </c>
      <c r="AG486" s="233">
        <v>19763</v>
      </c>
      <c r="AH486" s="233">
        <v>1395</v>
      </c>
      <c r="AI486" s="233">
        <v>726</v>
      </c>
      <c r="AJ486" s="233">
        <v>16295</v>
      </c>
    </row>
    <row r="487" spans="1:36">
      <c r="A487" s="240">
        <v>1</v>
      </c>
      <c r="B487" s="241" t="s">
        <v>3997</v>
      </c>
      <c r="C487" s="241" t="s">
        <v>3432</v>
      </c>
      <c r="D487" s="241" t="s">
        <v>4950</v>
      </c>
      <c r="E487" s="241">
        <v>6</v>
      </c>
      <c r="F487" s="242" t="s">
        <v>4951</v>
      </c>
      <c r="G487" s="233">
        <v>14644</v>
      </c>
      <c r="H487" s="233">
        <v>3706313</v>
      </c>
      <c r="I487" s="233">
        <v>50190</v>
      </c>
      <c r="J487" s="233">
        <v>7078</v>
      </c>
      <c r="K487" s="233">
        <v>43112</v>
      </c>
      <c r="L487" s="233">
        <v>4230888</v>
      </c>
      <c r="M487" s="233">
        <v>1068532</v>
      </c>
      <c r="N487" s="233">
        <v>72972</v>
      </c>
      <c r="O487" s="233">
        <v>30554</v>
      </c>
      <c r="P487" s="233">
        <v>616929</v>
      </c>
      <c r="Q487" s="233">
        <v>14459</v>
      </c>
      <c r="R487" s="233">
        <v>3664135</v>
      </c>
      <c r="S487" s="233">
        <v>49168</v>
      </c>
      <c r="T487" s="233">
        <v>6974</v>
      </c>
      <c r="U487" s="233">
        <v>42194</v>
      </c>
      <c r="V487" s="233">
        <v>4185204</v>
      </c>
      <c r="W487" s="233">
        <v>1052996</v>
      </c>
      <c r="X487" s="233">
        <v>71923</v>
      </c>
      <c r="Y487" s="233">
        <v>29844</v>
      </c>
      <c r="Z487" s="233">
        <v>603849</v>
      </c>
      <c r="AA487" s="233">
        <v>185</v>
      </c>
      <c r="AB487" s="233">
        <v>42178</v>
      </c>
      <c r="AC487" s="233">
        <v>1022</v>
      </c>
      <c r="AD487" s="233">
        <v>104</v>
      </c>
      <c r="AE487" s="233">
        <v>918</v>
      </c>
      <c r="AF487" s="233">
        <v>45684</v>
      </c>
      <c r="AG487" s="233">
        <v>15536</v>
      </c>
      <c r="AH487" s="233">
        <v>1049</v>
      </c>
      <c r="AI487" s="233">
        <v>710</v>
      </c>
      <c r="AJ487" s="233">
        <v>13080</v>
      </c>
    </row>
    <row r="488" spans="1:36">
      <c r="A488" s="240">
        <v>1</v>
      </c>
      <c r="B488" s="241" t="s">
        <v>3997</v>
      </c>
      <c r="C488" s="241" t="s">
        <v>3432</v>
      </c>
      <c r="D488" s="241" t="s">
        <v>4952</v>
      </c>
      <c r="E488" s="241">
        <v>6</v>
      </c>
      <c r="F488" s="242" t="s">
        <v>4953</v>
      </c>
      <c r="G488" s="233">
        <v>980</v>
      </c>
      <c r="H488" s="233">
        <v>32172</v>
      </c>
      <c r="I488" s="233">
        <v>367</v>
      </c>
      <c r="J488" s="233">
        <v>30</v>
      </c>
      <c r="K488" s="233">
        <v>337</v>
      </c>
      <c r="L488" s="233">
        <v>35635</v>
      </c>
      <c r="M488" s="233">
        <v>10743</v>
      </c>
      <c r="N488" s="233">
        <v>886</v>
      </c>
      <c r="O488" s="233">
        <v>91</v>
      </c>
      <c r="P488" s="233">
        <v>8166</v>
      </c>
      <c r="Q488" s="233">
        <v>886</v>
      </c>
      <c r="R488" s="233">
        <v>29691</v>
      </c>
      <c r="S488" s="233">
        <v>327</v>
      </c>
      <c r="T488" s="233">
        <v>18</v>
      </c>
      <c r="U488" s="233">
        <v>309</v>
      </c>
      <c r="V488" s="233">
        <v>33038</v>
      </c>
      <c r="W488" s="233">
        <v>9964</v>
      </c>
      <c r="X488" s="233">
        <v>821</v>
      </c>
      <c r="Y488" s="233">
        <v>83</v>
      </c>
      <c r="Z488" s="233">
        <v>7438</v>
      </c>
      <c r="AA488" s="233">
        <v>94</v>
      </c>
      <c r="AB488" s="233">
        <v>2481</v>
      </c>
      <c r="AC488" s="233">
        <v>41</v>
      </c>
      <c r="AD488" s="233">
        <v>12</v>
      </c>
      <c r="AE488" s="233">
        <v>28</v>
      </c>
      <c r="AF488" s="233">
        <v>2597</v>
      </c>
      <c r="AG488" s="233">
        <v>779</v>
      </c>
      <c r="AH488" s="233">
        <v>65</v>
      </c>
      <c r="AI488" s="233">
        <v>8</v>
      </c>
      <c r="AJ488" s="233">
        <v>728</v>
      </c>
    </row>
    <row r="489" spans="1:36">
      <c r="A489" s="240">
        <v>1</v>
      </c>
      <c r="B489" s="241" t="s">
        <v>3997</v>
      </c>
      <c r="C489" s="241" t="s">
        <v>3432</v>
      </c>
      <c r="D489" s="241" t="s">
        <v>4954</v>
      </c>
      <c r="E489" s="241">
        <v>6</v>
      </c>
      <c r="F489" s="242" t="s">
        <v>4955</v>
      </c>
      <c r="G489" s="233">
        <v>136</v>
      </c>
      <c r="H489" s="233">
        <v>6275</v>
      </c>
      <c r="I489" s="233">
        <v>0</v>
      </c>
      <c r="J489" s="233">
        <v>0</v>
      </c>
      <c r="K489" s="233">
        <v>0</v>
      </c>
      <c r="L489" s="233">
        <v>5638</v>
      </c>
      <c r="M489" s="233">
        <v>1524</v>
      </c>
      <c r="N489" s="233">
        <v>227</v>
      </c>
      <c r="O489" s="233">
        <v>0</v>
      </c>
      <c r="P489" s="233">
        <v>2387</v>
      </c>
      <c r="Q489" s="233">
        <v>135</v>
      </c>
      <c r="R489" s="235" t="s">
        <v>4020</v>
      </c>
      <c r="S489" s="235" t="s">
        <v>4020</v>
      </c>
      <c r="T489" s="235" t="s">
        <v>4020</v>
      </c>
      <c r="U489" s="235" t="s">
        <v>4020</v>
      </c>
      <c r="V489" s="235" t="s">
        <v>4020</v>
      </c>
      <c r="W489" s="235" t="s">
        <v>4020</v>
      </c>
      <c r="X489" s="235" t="s">
        <v>4020</v>
      </c>
      <c r="Y489" s="235" t="s">
        <v>4020</v>
      </c>
      <c r="Z489" s="235" t="s">
        <v>4020</v>
      </c>
      <c r="AA489" s="233">
        <v>1</v>
      </c>
      <c r="AB489" s="235" t="s">
        <v>4020</v>
      </c>
      <c r="AC489" s="235" t="s">
        <v>4020</v>
      </c>
      <c r="AD489" s="235" t="s">
        <v>4020</v>
      </c>
      <c r="AE489" s="235" t="s">
        <v>4020</v>
      </c>
      <c r="AF489" s="235" t="s">
        <v>4020</v>
      </c>
      <c r="AG489" s="235" t="s">
        <v>4020</v>
      </c>
      <c r="AH489" s="235" t="s">
        <v>4020</v>
      </c>
      <c r="AI489" s="235" t="s">
        <v>4020</v>
      </c>
      <c r="AJ489" s="235" t="s">
        <v>4020</v>
      </c>
    </row>
    <row r="490" spans="1:36">
      <c r="A490" s="240">
        <v>1</v>
      </c>
      <c r="B490" s="241" t="s">
        <v>3997</v>
      </c>
      <c r="C490" s="241" t="s">
        <v>3432</v>
      </c>
      <c r="D490" s="241" t="s">
        <v>4956</v>
      </c>
      <c r="E490" s="241">
        <v>6</v>
      </c>
      <c r="F490" s="242" t="s">
        <v>4957</v>
      </c>
      <c r="G490" s="233">
        <v>848</v>
      </c>
      <c r="H490" s="233">
        <v>185165</v>
      </c>
      <c r="I490" s="233">
        <v>2758</v>
      </c>
      <c r="J490" s="233">
        <v>612</v>
      </c>
      <c r="K490" s="233">
        <v>2146</v>
      </c>
      <c r="L490" s="233">
        <v>181401</v>
      </c>
      <c r="M490" s="233">
        <v>54246</v>
      </c>
      <c r="N490" s="233">
        <v>3524</v>
      </c>
      <c r="O490" s="233">
        <v>1048</v>
      </c>
      <c r="P490" s="233">
        <v>61535</v>
      </c>
      <c r="Q490" s="233">
        <v>603</v>
      </c>
      <c r="R490" s="233">
        <v>172211</v>
      </c>
      <c r="S490" s="233">
        <v>2724</v>
      </c>
      <c r="T490" s="233">
        <v>612</v>
      </c>
      <c r="U490" s="233">
        <v>2113</v>
      </c>
      <c r="V490" s="233">
        <v>167205</v>
      </c>
      <c r="W490" s="233">
        <v>50800</v>
      </c>
      <c r="X490" s="233">
        <v>3244</v>
      </c>
      <c r="Y490" s="233">
        <v>1040</v>
      </c>
      <c r="Z490" s="233">
        <v>59050</v>
      </c>
      <c r="AA490" s="233">
        <v>245</v>
      </c>
      <c r="AB490" s="233">
        <v>12954</v>
      </c>
      <c r="AC490" s="233">
        <v>34</v>
      </c>
      <c r="AD490" s="233">
        <v>0</v>
      </c>
      <c r="AE490" s="233">
        <v>34</v>
      </c>
      <c r="AF490" s="233">
        <v>14196</v>
      </c>
      <c r="AG490" s="233">
        <v>3446</v>
      </c>
      <c r="AH490" s="233">
        <v>280</v>
      </c>
      <c r="AI490" s="233">
        <v>8</v>
      </c>
      <c r="AJ490" s="233">
        <v>2485</v>
      </c>
    </row>
    <row r="491" spans="1:36">
      <c r="A491" s="240">
        <v>1</v>
      </c>
      <c r="B491" s="241" t="s">
        <v>3997</v>
      </c>
      <c r="C491" s="241" t="s">
        <v>4455</v>
      </c>
      <c r="D491" s="241" t="s">
        <v>4958</v>
      </c>
      <c r="E491" s="241">
        <v>7</v>
      </c>
      <c r="F491" s="242" t="s">
        <v>4959</v>
      </c>
      <c r="G491" s="233">
        <v>119</v>
      </c>
      <c r="H491" s="233">
        <v>17508</v>
      </c>
      <c r="I491" s="233">
        <v>577</v>
      </c>
      <c r="J491" s="233">
        <v>1</v>
      </c>
      <c r="K491" s="233">
        <v>575</v>
      </c>
      <c r="L491" s="233">
        <v>19669</v>
      </c>
      <c r="M491" s="233">
        <v>5703</v>
      </c>
      <c r="N491" s="233">
        <v>372</v>
      </c>
      <c r="O491" s="233">
        <v>323</v>
      </c>
      <c r="P491" s="233">
        <v>3914</v>
      </c>
      <c r="Q491" s="233">
        <v>82</v>
      </c>
      <c r="R491" s="233">
        <v>12724</v>
      </c>
      <c r="S491" s="233">
        <v>575</v>
      </c>
      <c r="T491" s="233">
        <v>1</v>
      </c>
      <c r="U491" s="233">
        <v>574</v>
      </c>
      <c r="V491" s="233">
        <v>13919</v>
      </c>
      <c r="W491" s="233">
        <v>4571</v>
      </c>
      <c r="X491" s="233">
        <v>282</v>
      </c>
      <c r="Y491" s="233">
        <v>323</v>
      </c>
      <c r="Z491" s="233">
        <v>3657</v>
      </c>
      <c r="AA491" s="233">
        <v>37</v>
      </c>
      <c r="AB491" s="233">
        <v>4785</v>
      </c>
      <c r="AC491" s="233">
        <v>1</v>
      </c>
      <c r="AD491" s="233">
        <v>0</v>
      </c>
      <c r="AE491" s="233">
        <v>1</v>
      </c>
      <c r="AF491" s="233">
        <v>5750</v>
      </c>
      <c r="AG491" s="233">
        <v>1132</v>
      </c>
      <c r="AH491" s="233">
        <v>90</v>
      </c>
      <c r="AI491" s="233">
        <v>1</v>
      </c>
      <c r="AJ491" s="233">
        <v>257</v>
      </c>
    </row>
    <row r="492" spans="1:36">
      <c r="A492" s="240">
        <v>1</v>
      </c>
      <c r="B492" s="241" t="s">
        <v>3997</v>
      </c>
      <c r="C492" s="241" t="s">
        <v>4455</v>
      </c>
      <c r="D492" s="241" t="s">
        <v>4960</v>
      </c>
      <c r="E492" s="241">
        <v>7</v>
      </c>
      <c r="F492" s="242" t="s">
        <v>4961</v>
      </c>
      <c r="G492" s="233">
        <v>729</v>
      </c>
      <c r="H492" s="233">
        <v>167657</v>
      </c>
      <c r="I492" s="233">
        <v>2181</v>
      </c>
      <c r="J492" s="233">
        <v>610</v>
      </c>
      <c r="K492" s="233">
        <v>1571</v>
      </c>
      <c r="L492" s="233">
        <v>161731</v>
      </c>
      <c r="M492" s="233">
        <v>48543</v>
      </c>
      <c r="N492" s="233">
        <v>3152</v>
      </c>
      <c r="O492" s="233">
        <v>725</v>
      </c>
      <c r="P492" s="233">
        <v>57621</v>
      </c>
      <c r="Q492" s="233">
        <v>521</v>
      </c>
      <c r="R492" s="233">
        <v>159488</v>
      </c>
      <c r="S492" s="233">
        <v>2149</v>
      </c>
      <c r="T492" s="233">
        <v>610</v>
      </c>
      <c r="U492" s="233">
        <v>1539</v>
      </c>
      <c r="V492" s="233">
        <v>153285</v>
      </c>
      <c r="W492" s="233">
        <v>46229</v>
      </c>
      <c r="X492" s="233">
        <v>2962</v>
      </c>
      <c r="Y492" s="233">
        <v>717</v>
      </c>
      <c r="Z492" s="233">
        <v>55393</v>
      </c>
      <c r="AA492" s="233">
        <v>208</v>
      </c>
      <c r="AB492" s="233">
        <v>8169</v>
      </c>
      <c r="AC492" s="233">
        <v>32</v>
      </c>
      <c r="AD492" s="233">
        <v>0</v>
      </c>
      <c r="AE492" s="233">
        <v>32</v>
      </c>
      <c r="AF492" s="233">
        <v>8446</v>
      </c>
      <c r="AG492" s="233">
        <v>2315</v>
      </c>
      <c r="AH492" s="233">
        <v>190</v>
      </c>
      <c r="AI492" s="233">
        <v>7</v>
      </c>
      <c r="AJ492" s="233">
        <v>2228</v>
      </c>
    </row>
    <row r="493" spans="1:36">
      <c r="A493" s="240">
        <v>1</v>
      </c>
      <c r="B493" s="241" t="s">
        <v>3997</v>
      </c>
      <c r="C493" s="241" t="s">
        <v>3170</v>
      </c>
      <c r="D493" s="241" t="s">
        <v>4962</v>
      </c>
      <c r="E493" s="241">
        <v>4</v>
      </c>
      <c r="F493" s="242" t="s">
        <v>4963</v>
      </c>
      <c r="G493" s="233">
        <v>78619</v>
      </c>
      <c r="H493" s="233">
        <v>14083050</v>
      </c>
      <c r="I493" s="233">
        <v>652643</v>
      </c>
      <c r="J493" s="233">
        <v>240799</v>
      </c>
      <c r="K493" s="233">
        <v>411845</v>
      </c>
      <c r="L493" s="233">
        <v>14022307</v>
      </c>
      <c r="M493" s="233">
        <v>4267734</v>
      </c>
      <c r="N493" s="233">
        <v>116637</v>
      </c>
      <c r="O493" s="233">
        <v>460100</v>
      </c>
      <c r="P493" s="233">
        <v>4445115</v>
      </c>
      <c r="Q493" s="233">
        <v>77639</v>
      </c>
      <c r="R493" s="233">
        <v>14000390</v>
      </c>
      <c r="S493" s="233">
        <v>645254</v>
      </c>
      <c r="T493" s="233">
        <v>240524</v>
      </c>
      <c r="U493" s="233">
        <v>404730</v>
      </c>
      <c r="V493" s="233">
        <v>13938893</v>
      </c>
      <c r="W493" s="233">
        <v>4240799</v>
      </c>
      <c r="X493" s="233">
        <v>115389</v>
      </c>
      <c r="Y493" s="233">
        <v>454763</v>
      </c>
      <c r="Z493" s="233">
        <v>4417685</v>
      </c>
      <c r="AA493" s="233">
        <v>980</v>
      </c>
      <c r="AB493" s="233">
        <v>82660</v>
      </c>
      <c r="AC493" s="233">
        <v>7390</v>
      </c>
      <c r="AD493" s="233">
        <v>275</v>
      </c>
      <c r="AE493" s="233">
        <v>7115</v>
      </c>
      <c r="AF493" s="233">
        <v>83414</v>
      </c>
      <c r="AG493" s="233">
        <v>26935</v>
      </c>
      <c r="AH493" s="233">
        <v>1248</v>
      </c>
      <c r="AI493" s="233">
        <v>5337</v>
      </c>
      <c r="AJ493" s="233">
        <v>27430</v>
      </c>
    </row>
    <row r="494" spans="1:36">
      <c r="A494" s="240">
        <v>1</v>
      </c>
      <c r="B494" s="241" t="s">
        <v>3997</v>
      </c>
      <c r="C494" s="241" t="s">
        <v>3172</v>
      </c>
      <c r="D494" s="241" t="s">
        <v>4964</v>
      </c>
      <c r="E494" s="241">
        <v>5</v>
      </c>
      <c r="F494" s="242" t="s">
        <v>4965</v>
      </c>
      <c r="G494" s="233">
        <v>72231</v>
      </c>
      <c r="H494" s="233">
        <v>10998967</v>
      </c>
      <c r="I494" s="233">
        <v>503174</v>
      </c>
      <c r="J494" s="233">
        <v>144628</v>
      </c>
      <c r="K494" s="233">
        <v>358546</v>
      </c>
      <c r="L494" s="233">
        <v>11094331</v>
      </c>
      <c r="M494" s="233">
        <v>3209059</v>
      </c>
      <c r="N494" s="233">
        <v>102275</v>
      </c>
      <c r="O494" s="233">
        <v>327537</v>
      </c>
      <c r="P494" s="233">
        <v>3215970</v>
      </c>
      <c r="Q494" s="233">
        <v>71504</v>
      </c>
      <c r="R494" s="233">
        <v>10975705</v>
      </c>
      <c r="S494" s="233">
        <v>496770</v>
      </c>
      <c r="T494" s="233">
        <v>144578</v>
      </c>
      <c r="U494" s="233">
        <v>352192</v>
      </c>
      <c r="V494" s="233">
        <v>11069839</v>
      </c>
      <c r="W494" s="233">
        <v>3201422</v>
      </c>
      <c r="X494" s="233">
        <v>101851</v>
      </c>
      <c r="Y494" s="233">
        <v>323106</v>
      </c>
      <c r="Z494" s="233">
        <v>3209140</v>
      </c>
      <c r="AA494" s="233">
        <v>727</v>
      </c>
      <c r="AB494" s="233">
        <v>23262</v>
      </c>
      <c r="AC494" s="233">
        <v>6404</v>
      </c>
      <c r="AD494" s="233">
        <v>50</v>
      </c>
      <c r="AE494" s="233">
        <v>6354</v>
      </c>
      <c r="AF494" s="233">
        <v>24492</v>
      </c>
      <c r="AG494" s="233">
        <v>7636</v>
      </c>
      <c r="AH494" s="233">
        <v>424</v>
      </c>
      <c r="AI494" s="233">
        <v>4431</v>
      </c>
      <c r="AJ494" s="233">
        <v>6830</v>
      </c>
    </row>
    <row r="495" spans="1:36">
      <c r="A495" s="240">
        <v>1</v>
      </c>
      <c r="B495" s="241" t="s">
        <v>3997</v>
      </c>
      <c r="C495" s="241" t="s">
        <v>3432</v>
      </c>
      <c r="D495" s="241" t="s">
        <v>4966</v>
      </c>
      <c r="E495" s="241">
        <v>6</v>
      </c>
      <c r="F495" s="242" t="s">
        <v>4967</v>
      </c>
      <c r="G495" s="233">
        <v>5013</v>
      </c>
      <c r="H495" s="233">
        <v>1104015</v>
      </c>
      <c r="I495" s="233">
        <v>52346</v>
      </c>
      <c r="J495" s="233">
        <v>10854</v>
      </c>
      <c r="K495" s="233">
        <v>41492</v>
      </c>
      <c r="L495" s="233">
        <v>1118724</v>
      </c>
      <c r="M495" s="233">
        <v>314566</v>
      </c>
      <c r="N495" s="233">
        <v>6395</v>
      </c>
      <c r="O495" s="233">
        <v>37251</v>
      </c>
      <c r="P495" s="233">
        <v>306253</v>
      </c>
      <c r="Q495" s="233">
        <v>4824</v>
      </c>
      <c r="R495" s="233">
        <v>1090805</v>
      </c>
      <c r="S495" s="233">
        <v>46496</v>
      </c>
      <c r="T495" s="233">
        <v>10854</v>
      </c>
      <c r="U495" s="233">
        <v>35643</v>
      </c>
      <c r="V495" s="233">
        <v>1105005</v>
      </c>
      <c r="W495" s="233">
        <v>310889</v>
      </c>
      <c r="X495" s="233">
        <v>6215</v>
      </c>
      <c r="Y495" s="233">
        <v>33077</v>
      </c>
      <c r="Z495" s="233">
        <v>302904</v>
      </c>
      <c r="AA495" s="233">
        <v>189</v>
      </c>
      <c r="AB495" s="233">
        <v>13210</v>
      </c>
      <c r="AC495" s="233">
        <v>5850</v>
      </c>
      <c r="AD495" s="233">
        <v>0</v>
      </c>
      <c r="AE495" s="233">
        <v>5849</v>
      </c>
      <c r="AF495" s="233">
        <v>13719</v>
      </c>
      <c r="AG495" s="233">
        <v>3677</v>
      </c>
      <c r="AH495" s="233">
        <v>181</v>
      </c>
      <c r="AI495" s="233">
        <v>4174</v>
      </c>
      <c r="AJ495" s="233">
        <v>3349</v>
      </c>
    </row>
    <row r="496" spans="1:36">
      <c r="A496" s="240">
        <v>1</v>
      </c>
      <c r="B496" s="241" t="s">
        <v>3997</v>
      </c>
      <c r="C496" s="241" t="s">
        <v>3432</v>
      </c>
      <c r="D496" s="241" t="s">
        <v>4968</v>
      </c>
      <c r="E496" s="241">
        <v>6</v>
      </c>
      <c r="F496" s="242" t="s">
        <v>4969</v>
      </c>
      <c r="G496" s="233">
        <v>32231</v>
      </c>
      <c r="H496" s="233">
        <v>4831961</v>
      </c>
      <c r="I496" s="233">
        <v>174239</v>
      </c>
      <c r="J496" s="233">
        <v>71605</v>
      </c>
      <c r="K496" s="233">
        <v>102634</v>
      </c>
      <c r="L496" s="233">
        <v>4895518</v>
      </c>
      <c r="M496" s="233">
        <v>1471173</v>
      </c>
      <c r="N496" s="233">
        <v>40592</v>
      </c>
      <c r="O496" s="233">
        <v>144411</v>
      </c>
      <c r="P496" s="233">
        <v>1448209</v>
      </c>
      <c r="Q496" s="233">
        <v>32120</v>
      </c>
      <c r="R496" s="233">
        <v>4828280</v>
      </c>
      <c r="S496" s="233">
        <v>173840</v>
      </c>
      <c r="T496" s="233">
        <v>71563</v>
      </c>
      <c r="U496" s="233">
        <v>102277</v>
      </c>
      <c r="V496" s="233">
        <v>4891126</v>
      </c>
      <c r="W496" s="233">
        <v>1469681</v>
      </c>
      <c r="X496" s="233">
        <v>40458</v>
      </c>
      <c r="Y496" s="233">
        <v>144178</v>
      </c>
      <c r="Z496" s="233">
        <v>1447293</v>
      </c>
      <c r="AA496" s="233">
        <v>111</v>
      </c>
      <c r="AB496" s="233">
        <v>3681</v>
      </c>
      <c r="AC496" s="233">
        <v>399</v>
      </c>
      <c r="AD496" s="233">
        <v>42</v>
      </c>
      <c r="AE496" s="233">
        <v>357</v>
      </c>
      <c r="AF496" s="233">
        <v>4392</v>
      </c>
      <c r="AG496" s="233">
        <v>1492</v>
      </c>
      <c r="AH496" s="233">
        <v>134</v>
      </c>
      <c r="AI496" s="233">
        <v>233</v>
      </c>
      <c r="AJ496" s="233">
        <v>915</v>
      </c>
    </row>
    <row r="497" spans="1:36">
      <c r="A497" s="240">
        <v>1</v>
      </c>
      <c r="B497" s="241" t="s">
        <v>3997</v>
      </c>
      <c r="C497" s="241" t="s">
        <v>4455</v>
      </c>
      <c r="D497" s="241" t="s">
        <v>4970</v>
      </c>
      <c r="E497" s="241">
        <v>7</v>
      </c>
      <c r="F497" s="242" t="s">
        <v>4971</v>
      </c>
      <c r="G497" s="233">
        <v>9648</v>
      </c>
      <c r="H497" s="233">
        <v>1714374</v>
      </c>
      <c r="I497" s="233">
        <v>59720</v>
      </c>
      <c r="J497" s="233">
        <v>5480</v>
      </c>
      <c r="K497" s="233">
        <v>54239</v>
      </c>
      <c r="L497" s="233">
        <v>1786886</v>
      </c>
      <c r="M497" s="233">
        <v>528020</v>
      </c>
      <c r="N497" s="233">
        <v>11857</v>
      </c>
      <c r="O497" s="233">
        <v>61353</v>
      </c>
      <c r="P497" s="233">
        <v>467366</v>
      </c>
      <c r="Q497" s="233">
        <v>9602</v>
      </c>
      <c r="R497" s="233">
        <v>1713592</v>
      </c>
      <c r="S497" s="233">
        <v>59714</v>
      </c>
      <c r="T497" s="233">
        <v>5480</v>
      </c>
      <c r="U497" s="233">
        <v>54233</v>
      </c>
      <c r="V497" s="233">
        <v>1786108</v>
      </c>
      <c r="W497" s="233">
        <v>527676</v>
      </c>
      <c r="X497" s="233">
        <v>11847</v>
      </c>
      <c r="Y497" s="233">
        <v>61353</v>
      </c>
      <c r="Z497" s="233">
        <v>467007</v>
      </c>
      <c r="AA497" s="233">
        <v>46</v>
      </c>
      <c r="AB497" s="233">
        <v>783</v>
      </c>
      <c r="AC497" s="233">
        <v>6</v>
      </c>
      <c r="AD497" s="233">
        <v>0</v>
      </c>
      <c r="AE497" s="233">
        <v>6</v>
      </c>
      <c r="AF497" s="233">
        <v>778</v>
      </c>
      <c r="AG497" s="233">
        <v>344</v>
      </c>
      <c r="AH497" s="233">
        <v>10</v>
      </c>
      <c r="AI497" s="233">
        <v>0</v>
      </c>
      <c r="AJ497" s="233">
        <v>360</v>
      </c>
    </row>
    <row r="498" spans="1:36">
      <c r="A498" s="240">
        <v>1</v>
      </c>
      <c r="B498" s="241" t="s">
        <v>3997</v>
      </c>
      <c r="C498" s="241" t="s">
        <v>4455</v>
      </c>
      <c r="D498" s="241" t="s">
        <v>4972</v>
      </c>
      <c r="E498" s="241">
        <v>7</v>
      </c>
      <c r="F498" s="242" t="s">
        <v>4973</v>
      </c>
      <c r="G498" s="233">
        <v>9288</v>
      </c>
      <c r="H498" s="233">
        <v>1084692</v>
      </c>
      <c r="I498" s="233">
        <v>35377</v>
      </c>
      <c r="J498" s="233">
        <v>15862</v>
      </c>
      <c r="K498" s="233">
        <v>19515</v>
      </c>
      <c r="L498" s="233">
        <v>1063347</v>
      </c>
      <c r="M498" s="233">
        <v>348093</v>
      </c>
      <c r="N498" s="233">
        <v>10672</v>
      </c>
      <c r="O498" s="233">
        <v>22541</v>
      </c>
      <c r="P498" s="233">
        <v>380112</v>
      </c>
      <c r="Q498" s="233">
        <v>9269</v>
      </c>
      <c r="R498" s="233">
        <v>1083541</v>
      </c>
      <c r="S498" s="233">
        <v>35021</v>
      </c>
      <c r="T498" s="233">
        <v>15848</v>
      </c>
      <c r="U498" s="233">
        <v>19173</v>
      </c>
      <c r="V498" s="233">
        <v>1062260</v>
      </c>
      <c r="W498" s="233">
        <v>347793</v>
      </c>
      <c r="X498" s="233">
        <v>10667</v>
      </c>
      <c r="Y498" s="233">
        <v>22308</v>
      </c>
      <c r="Z498" s="233">
        <v>379741</v>
      </c>
      <c r="AA498" s="233">
        <v>19</v>
      </c>
      <c r="AB498" s="233">
        <v>1151</v>
      </c>
      <c r="AC498" s="233">
        <v>356</v>
      </c>
      <c r="AD498" s="233">
        <v>14</v>
      </c>
      <c r="AE498" s="233">
        <v>342</v>
      </c>
      <c r="AF498" s="233">
        <v>1087</v>
      </c>
      <c r="AG498" s="233">
        <v>300</v>
      </c>
      <c r="AH498" s="233">
        <v>6</v>
      </c>
      <c r="AI498" s="233">
        <v>233</v>
      </c>
      <c r="AJ498" s="233">
        <v>371</v>
      </c>
    </row>
    <row r="499" spans="1:36">
      <c r="A499" s="240">
        <v>1</v>
      </c>
      <c r="B499" s="241" t="s">
        <v>3997</v>
      </c>
      <c r="C499" s="241" t="s">
        <v>4455</v>
      </c>
      <c r="D499" s="241" t="s">
        <v>4974</v>
      </c>
      <c r="E499" s="241">
        <v>7</v>
      </c>
      <c r="F499" s="242" t="s">
        <v>4975</v>
      </c>
      <c r="G499" s="233">
        <v>3736</v>
      </c>
      <c r="H499" s="233">
        <v>714905</v>
      </c>
      <c r="I499" s="233">
        <v>19120</v>
      </c>
      <c r="J499" s="233">
        <v>9646</v>
      </c>
      <c r="K499" s="233">
        <v>9473</v>
      </c>
      <c r="L499" s="233">
        <v>714928</v>
      </c>
      <c r="M499" s="233">
        <v>201601</v>
      </c>
      <c r="N499" s="233">
        <v>7128</v>
      </c>
      <c r="O499" s="233">
        <v>14368</v>
      </c>
      <c r="P499" s="233">
        <v>208705</v>
      </c>
      <c r="Q499" s="233">
        <v>3733</v>
      </c>
      <c r="R499" s="233">
        <v>714859</v>
      </c>
      <c r="S499" s="233">
        <v>19120</v>
      </c>
      <c r="T499" s="233">
        <v>9646</v>
      </c>
      <c r="U499" s="233">
        <v>9473</v>
      </c>
      <c r="V499" s="233">
        <v>714880</v>
      </c>
      <c r="W499" s="233">
        <v>201592</v>
      </c>
      <c r="X499" s="233">
        <v>7128</v>
      </c>
      <c r="Y499" s="233">
        <v>14368</v>
      </c>
      <c r="Z499" s="233">
        <v>208699</v>
      </c>
      <c r="AA499" s="233">
        <v>3</v>
      </c>
      <c r="AB499" s="233">
        <v>46</v>
      </c>
      <c r="AC499" s="233">
        <v>0</v>
      </c>
      <c r="AD499" s="233">
        <v>0</v>
      </c>
      <c r="AE499" s="233">
        <v>0</v>
      </c>
      <c r="AF499" s="233">
        <v>48</v>
      </c>
      <c r="AG499" s="233">
        <v>8</v>
      </c>
      <c r="AH499" s="233">
        <v>0</v>
      </c>
      <c r="AI499" s="233">
        <v>0</v>
      </c>
      <c r="AJ499" s="233">
        <v>6</v>
      </c>
    </row>
    <row r="500" spans="1:36">
      <c r="A500" s="240">
        <v>1</v>
      </c>
      <c r="B500" s="241" t="s">
        <v>3997</v>
      </c>
      <c r="C500" s="241" t="s">
        <v>4455</v>
      </c>
      <c r="D500" s="241" t="s">
        <v>4976</v>
      </c>
      <c r="E500" s="241">
        <v>7</v>
      </c>
      <c r="F500" s="242" t="s">
        <v>4977</v>
      </c>
      <c r="G500" s="233">
        <v>9559</v>
      </c>
      <c r="H500" s="233">
        <v>1317990</v>
      </c>
      <c r="I500" s="233">
        <v>60022</v>
      </c>
      <c r="J500" s="233">
        <v>40617</v>
      </c>
      <c r="K500" s="233">
        <v>19405</v>
      </c>
      <c r="L500" s="233">
        <v>1330357</v>
      </c>
      <c r="M500" s="233">
        <v>393459</v>
      </c>
      <c r="N500" s="233">
        <v>10934</v>
      </c>
      <c r="O500" s="233">
        <v>46148</v>
      </c>
      <c r="P500" s="233">
        <v>392025</v>
      </c>
      <c r="Q500" s="233">
        <v>9516</v>
      </c>
      <c r="R500" s="233">
        <v>1316289</v>
      </c>
      <c r="S500" s="233">
        <v>59985</v>
      </c>
      <c r="T500" s="233">
        <v>40589</v>
      </c>
      <c r="U500" s="233">
        <v>19397</v>
      </c>
      <c r="V500" s="233">
        <v>1327877</v>
      </c>
      <c r="W500" s="233">
        <v>392620</v>
      </c>
      <c r="X500" s="233">
        <v>10816</v>
      </c>
      <c r="Y500" s="233">
        <v>46148</v>
      </c>
      <c r="Z500" s="233">
        <v>391847</v>
      </c>
      <c r="AA500" s="233">
        <v>43</v>
      </c>
      <c r="AB500" s="233">
        <v>1701</v>
      </c>
      <c r="AC500" s="233">
        <v>37</v>
      </c>
      <c r="AD500" s="233">
        <v>28</v>
      </c>
      <c r="AE500" s="233">
        <v>9</v>
      </c>
      <c r="AF500" s="233">
        <v>2480</v>
      </c>
      <c r="AG500" s="233">
        <v>839</v>
      </c>
      <c r="AH500" s="233">
        <v>118</v>
      </c>
      <c r="AI500" s="233">
        <v>0</v>
      </c>
      <c r="AJ500" s="233">
        <v>179</v>
      </c>
    </row>
    <row r="501" spans="1:36">
      <c r="A501" s="240">
        <v>1</v>
      </c>
      <c r="B501" s="241" t="s">
        <v>3997</v>
      </c>
      <c r="C501" s="241" t="s">
        <v>3432</v>
      </c>
      <c r="D501" s="241" t="s">
        <v>4978</v>
      </c>
      <c r="E501" s="241">
        <v>6</v>
      </c>
      <c r="F501" s="242" t="s">
        <v>4979</v>
      </c>
      <c r="G501" s="233">
        <v>4674</v>
      </c>
      <c r="H501" s="233">
        <v>494846</v>
      </c>
      <c r="I501" s="233">
        <v>8726</v>
      </c>
      <c r="J501" s="233">
        <v>2952</v>
      </c>
      <c r="K501" s="233">
        <v>5774</v>
      </c>
      <c r="L501" s="233">
        <v>489935</v>
      </c>
      <c r="M501" s="233">
        <v>161784</v>
      </c>
      <c r="N501" s="233">
        <v>4651</v>
      </c>
      <c r="O501" s="233">
        <v>7449</v>
      </c>
      <c r="P501" s="233">
        <v>171347</v>
      </c>
      <c r="Q501" s="233">
        <v>4579</v>
      </c>
      <c r="R501" s="233">
        <v>492990</v>
      </c>
      <c r="S501" s="233">
        <v>8642</v>
      </c>
      <c r="T501" s="233">
        <v>2950</v>
      </c>
      <c r="U501" s="233">
        <v>5692</v>
      </c>
      <c r="V501" s="233">
        <v>488041</v>
      </c>
      <c r="W501" s="233">
        <v>160958</v>
      </c>
      <c r="X501" s="233">
        <v>4605</v>
      </c>
      <c r="Y501" s="233">
        <v>7438</v>
      </c>
      <c r="Z501" s="233">
        <v>170512</v>
      </c>
      <c r="AA501" s="233">
        <v>95</v>
      </c>
      <c r="AB501" s="233">
        <v>1856</v>
      </c>
      <c r="AC501" s="233">
        <v>83</v>
      </c>
      <c r="AD501" s="233">
        <v>2</v>
      </c>
      <c r="AE501" s="233">
        <v>82</v>
      </c>
      <c r="AF501" s="233">
        <v>1893</v>
      </c>
      <c r="AG501" s="233">
        <v>826</v>
      </c>
      <c r="AH501" s="233">
        <v>47</v>
      </c>
      <c r="AI501" s="233">
        <v>11</v>
      </c>
      <c r="AJ501" s="233">
        <v>836</v>
      </c>
    </row>
    <row r="502" spans="1:36">
      <c r="A502" s="240">
        <v>1</v>
      </c>
      <c r="B502" s="241" t="s">
        <v>3997</v>
      </c>
      <c r="C502" s="241" t="s">
        <v>3432</v>
      </c>
      <c r="D502" s="241" t="s">
        <v>4980</v>
      </c>
      <c r="E502" s="241">
        <v>6</v>
      </c>
      <c r="F502" s="242" t="s">
        <v>4981</v>
      </c>
      <c r="G502" s="233">
        <v>3790</v>
      </c>
      <c r="H502" s="233">
        <v>1099437</v>
      </c>
      <c r="I502" s="233">
        <v>12506</v>
      </c>
      <c r="J502" s="233">
        <v>8335</v>
      </c>
      <c r="K502" s="233">
        <v>4171</v>
      </c>
      <c r="L502" s="233">
        <v>1076947</v>
      </c>
      <c r="M502" s="233">
        <v>301229</v>
      </c>
      <c r="N502" s="233">
        <v>6335</v>
      </c>
      <c r="O502" s="233">
        <v>8841</v>
      </c>
      <c r="P502" s="233">
        <v>330054</v>
      </c>
      <c r="Q502" s="233">
        <v>3785</v>
      </c>
      <c r="R502" s="233">
        <v>1099234</v>
      </c>
      <c r="S502" s="233">
        <v>12506</v>
      </c>
      <c r="T502" s="233">
        <v>8335</v>
      </c>
      <c r="U502" s="233">
        <v>4171</v>
      </c>
      <c r="V502" s="233">
        <v>1076691</v>
      </c>
      <c r="W502" s="233">
        <v>301181</v>
      </c>
      <c r="X502" s="233">
        <v>6331</v>
      </c>
      <c r="Y502" s="233">
        <v>8841</v>
      </c>
      <c r="Z502" s="233">
        <v>330055</v>
      </c>
      <c r="AA502" s="233">
        <v>5</v>
      </c>
      <c r="AB502" s="233">
        <v>203</v>
      </c>
      <c r="AC502" s="233">
        <v>0</v>
      </c>
      <c r="AD502" s="233">
        <v>0</v>
      </c>
      <c r="AE502" s="233">
        <v>0</v>
      </c>
      <c r="AF502" s="233">
        <v>256</v>
      </c>
      <c r="AG502" s="233">
        <v>48</v>
      </c>
      <c r="AH502" s="233">
        <v>3</v>
      </c>
      <c r="AI502" s="233">
        <v>0</v>
      </c>
      <c r="AJ502" s="233">
        <v>1</v>
      </c>
    </row>
    <row r="503" spans="1:36">
      <c r="A503" s="240">
        <v>1</v>
      </c>
      <c r="B503" s="241" t="s">
        <v>3997</v>
      </c>
      <c r="C503" s="241" t="s">
        <v>3432</v>
      </c>
      <c r="D503" s="241" t="s">
        <v>4982</v>
      </c>
      <c r="E503" s="241">
        <v>6</v>
      </c>
      <c r="F503" s="242" t="s">
        <v>4983</v>
      </c>
      <c r="G503" s="233">
        <v>12612</v>
      </c>
      <c r="H503" s="233">
        <v>1056540</v>
      </c>
      <c r="I503" s="233">
        <v>26945</v>
      </c>
      <c r="J503" s="233">
        <v>16295</v>
      </c>
      <c r="K503" s="233">
        <v>10650</v>
      </c>
      <c r="L503" s="233">
        <v>1235146</v>
      </c>
      <c r="M503" s="233">
        <v>375002</v>
      </c>
      <c r="N503" s="233">
        <v>12334</v>
      </c>
      <c r="O503" s="233">
        <v>28329</v>
      </c>
      <c r="P503" s="233">
        <v>208730</v>
      </c>
      <c r="Q503" s="233">
        <v>12594</v>
      </c>
      <c r="R503" s="233">
        <v>1056375</v>
      </c>
      <c r="S503" s="233">
        <v>26945</v>
      </c>
      <c r="T503" s="233">
        <v>16295</v>
      </c>
      <c r="U503" s="233">
        <v>10650</v>
      </c>
      <c r="V503" s="233">
        <v>1234974</v>
      </c>
      <c r="W503" s="233">
        <v>374943</v>
      </c>
      <c r="X503" s="233">
        <v>12333</v>
      </c>
      <c r="Y503" s="233">
        <v>28329</v>
      </c>
      <c r="Z503" s="233">
        <v>208677</v>
      </c>
      <c r="AA503" s="233">
        <v>18</v>
      </c>
      <c r="AB503" s="233">
        <v>165</v>
      </c>
      <c r="AC503" s="233">
        <v>0</v>
      </c>
      <c r="AD503" s="233">
        <v>0</v>
      </c>
      <c r="AE503" s="233">
        <v>0</v>
      </c>
      <c r="AF503" s="233">
        <v>173</v>
      </c>
      <c r="AG503" s="233">
        <v>59</v>
      </c>
      <c r="AH503" s="233">
        <v>1</v>
      </c>
      <c r="AI503" s="233">
        <v>0</v>
      </c>
      <c r="AJ503" s="233">
        <v>53</v>
      </c>
    </row>
    <row r="504" spans="1:36">
      <c r="A504" s="240">
        <v>1</v>
      </c>
      <c r="B504" s="241" t="s">
        <v>3997</v>
      </c>
      <c r="C504" s="241" t="s">
        <v>3432</v>
      </c>
      <c r="D504" s="241" t="s">
        <v>4984</v>
      </c>
      <c r="E504" s="241">
        <v>6</v>
      </c>
      <c r="F504" s="242" t="s">
        <v>4985</v>
      </c>
      <c r="G504" s="233">
        <v>5764</v>
      </c>
      <c r="H504" s="233">
        <v>298416</v>
      </c>
      <c r="I504" s="233">
        <v>1420</v>
      </c>
      <c r="J504" s="233">
        <v>230</v>
      </c>
      <c r="K504" s="233">
        <v>1190</v>
      </c>
      <c r="L504" s="233">
        <v>317254</v>
      </c>
      <c r="M504" s="233">
        <v>89897</v>
      </c>
      <c r="N504" s="233">
        <v>3756</v>
      </c>
      <c r="O504" s="233">
        <v>690</v>
      </c>
      <c r="P504" s="233">
        <v>74815</v>
      </c>
      <c r="Q504" s="233">
        <v>5753</v>
      </c>
      <c r="R504" s="233">
        <v>298331</v>
      </c>
      <c r="S504" s="233">
        <v>1420</v>
      </c>
      <c r="T504" s="233">
        <v>230</v>
      </c>
      <c r="U504" s="233">
        <v>1190</v>
      </c>
      <c r="V504" s="233">
        <v>317174</v>
      </c>
      <c r="W504" s="233">
        <v>89876</v>
      </c>
      <c r="X504" s="233">
        <v>3755</v>
      </c>
      <c r="Y504" s="233">
        <v>690</v>
      </c>
      <c r="Z504" s="233">
        <v>74788</v>
      </c>
      <c r="AA504" s="233">
        <v>11</v>
      </c>
      <c r="AB504" s="233">
        <v>86</v>
      </c>
      <c r="AC504" s="233">
        <v>0</v>
      </c>
      <c r="AD504" s="233">
        <v>0</v>
      </c>
      <c r="AE504" s="233">
        <v>0</v>
      </c>
      <c r="AF504" s="233">
        <v>80</v>
      </c>
      <c r="AG504" s="233">
        <v>21</v>
      </c>
      <c r="AH504" s="233">
        <v>0</v>
      </c>
      <c r="AI504" s="233">
        <v>0</v>
      </c>
      <c r="AJ504" s="233">
        <v>27</v>
      </c>
    </row>
    <row r="505" spans="1:36">
      <c r="A505" s="240">
        <v>1</v>
      </c>
      <c r="B505" s="241" t="s">
        <v>3997</v>
      </c>
      <c r="C505" s="241" t="s">
        <v>3432</v>
      </c>
      <c r="D505" s="241" t="s">
        <v>4986</v>
      </c>
      <c r="E505" s="241">
        <v>6</v>
      </c>
      <c r="F505" s="242" t="s">
        <v>4987</v>
      </c>
      <c r="G505" s="233">
        <v>5490</v>
      </c>
      <c r="H505" s="233">
        <v>695559</v>
      </c>
      <c r="I505" s="233">
        <v>210681</v>
      </c>
      <c r="J505" s="233">
        <v>33482</v>
      </c>
      <c r="K505" s="233">
        <v>177199</v>
      </c>
      <c r="L505" s="233">
        <v>682600</v>
      </c>
      <c r="M505" s="233">
        <v>188044</v>
      </c>
      <c r="N505" s="233">
        <v>5020</v>
      </c>
      <c r="O505" s="233">
        <v>87817</v>
      </c>
      <c r="P505" s="233">
        <v>206023</v>
      </c>
      <c r="Q505" s="233">
        <v>5203</v>
      </c>
      <c r="R505" s="233">
        <v>691804</v>
      </c>
      <c r="S505" s="233">
        <v>210614</v>
      </c>
      <c r="T505" s="233">
        <v>33475</v>
      </c>
      <c r="U505" s="233">
        <v>177139</v>
      </c>
      <c r="V505" s="233">
        <v>678944</v>
      </c>
      <c r="W505" s="233">
        <v>186625</v>
      </c>
      <c r="X505" s="233">
        <v>4969</v>
      </c>
      <c r="Y505" s="233">
        <v>87806</v>
      </c>
      <c r="Z505" s="233">
        <v>204453</v>
      </c>
      <c r="AA505" s="233">
        <v>287</v>
      </c>
      <c r="AB505" s="233">
        <v>3755</v>
      </c>
      <c r="AC505" s="233">
        <v>67</v>
      </c>
      <c r="AD505" s="233">
        <v>6</v>
      </c>
      <c r="AE505" s="233">
        <v>60</v>
      </c>
      <c r="AF505" s="233">
        <v>3656</v>
      </c>
      <c r="AG505" s="233">
        <v>1419</v>
      </c>
      <c r="AH505" s="233">
        <v>52</v>
      </c>
      <c r="AI505" s="233">
        <v>12</v>
      </c>
      <c r="AJ505" s="233">
        <v>1570</v>
      </c>
    </row>
    <row r="506" spans="1:36">
      <c r="A506" s="240">
        <v>1</v>
      </c>
      <c r="B506" s="241" t="s">
        <v>3997</v>
      </c>
      <c r="C506" s="241" t="s">
        <v>3432</v>
      </c>
      <c r="D506" s="241" t="s">
        <v>4988</v>
      </c>
      <c r="E506" s="241">
        <v>6</v>
      </c>
      <c r="F506" s="242" t="s">
        <v>4989</v>
      </c>
      <c r="G506" s="233">
        <v>2639</v>
      </c>
      <c r="H506" s="233">
        <v>1415947</v>
      </c>
      <c r="I506" s="233">
        <v>16312</v>
      </c>
      <c r="J506" s="233">
        <v>875</v>
      </c>
      <c r="K506" s="233">
        <v>15437</v>
      </c>
      <c r="L506" s="233">
        <v>1276090</v>
      </c>
      <c r="M506" s="233">
        <v>306661</v>
      </c>
      <c r="N506" s="233">
        <v>23166</v>
      </c>
      <c r="O506" s="233">
        <v>12748</v>
      </c>
      <c r="P506" s="233">
        <v>469684</v>
      </c>
      <c r="Q506" s="233">
        <v>2628</v>
      </c>
      <c r="R506" s="233">
        <v>1415641</v>
      </c>
      <c r="S506" s="233">
        <v>16307</v>
      </c>
      <c r="T506" s="233">
        <v>875</v>
      </c>
      <c r="U506" s="233">
        <v>15431</v>
      </c>
      <c r="V506" s="233">
        <v>1275768</v>
      </c>
      <c r="W506" s="233">
        <v>306569</v>
      </c>
      <c r="X506" s="233">
        <v>23161</v>
      </c>
      <c r="Y506" s="233">
        <v>12748</v>
      </c>
      <c r="Z506" s="233">
        <v>469602</v>
      </c>
      <c r="AA506" s="233">
        <v>11</v>
      </c>
      <c r="AB506" s="233">
        <v>306</v>
      </c>
      <c r="AC506" s="233">
        <v>5</v>
      </c>
      <c r="AD506" s="233">
        <v>0</v>
      </c>
      <c r="AE506" s="233">
        <v>5</v>
      </c>
      <c r="AF506" s="233">
        <v>322</v>
      </c>
      <c r="AG506" s="233">
        <v>92</v>
      </c>
      <c r="AH506" s="233">
        <v>6</v>
      </c>
      <c r="AI506" s="233">
        <v>0</v>
      </c>
      <c r="AJ506" s="233">
        <v>82</v>
      </c>
    </row>
    <row r="507" spans="1:36">
      <c r="A507" s="240">
        <v>1</v>
      </c>
      <c r="B507" s="241" t="s">
        <v>3997</v>
      </c>
      <c r="C507" s="241" t="s">
        <v>4455</v>
      </c>
      <c r="D507" s="241" t="s">
        <v>4990</v>
      </c>
      <c r="E507" s="241">
        <v>7</v>
      </c>
      <c r="F507" s="242" t="s">
        <v>4991</v>
      </c>
      <c r="G507" s="233">
        <v>746</v>
      </c>
      <c r="H507" s="233">
        <v>970711</v>
      </c>
      <c r="I507" s="233">
        <v>777</v>
      </c>
      <c r="J507" s="233">
        <v>378</v>
      </c>
      <c r="K507" s="233">
        <v>398</v>
      </c>
      <c r="L507" s="233">
        <v>842749</v>
      </c>
      <c r="M507" s="233">
        <v>201665</v>
      </c>
      <c r="N507" s="233">
        <v>14031</v>
      </c>
      <c r="O507" s="233">
        <v>1165</v>
      </c>
      <c r="P507" s="233">
        <v>343659</v>
      </c>
      <c r="Q507" s="233">
        <v>745</v>
      </c>
      <c r="R507" s="235" t="s">
        <v>4020</v>
      </c>
      <c r="S507" s="235" t="s">
        <v>4020</v>
      </c>
      <c r="T507" s="235" t="s">
        <v>4020</v>
      </c>
      <c r="U507" s="235" t="s">
        <v>4020</v>
      </c>
      <c r="V507" s="235" t="s">
        <v>4020</v>
      </c>
      <c r="W507" s="235" t="s">
        <v>4020</v>
      </c>
      <c r="X507" s="235" t="s">
        <v>4020</v>
      </c>
      <c r="Y507" s="235" t="s">
        <v>4020</v>
      </c>
      <c r="Z507" s="235" t="s">
        <v>4020</v>
      </c>
      <c r="AA507" s="233">
        <v>1</v>
      </c>
      <c r="AB507" s="235" t="s">
        <v>4020</v>
      </c>
      <c r="AC507" s="235" t="s">
        <v>4020</v>
      </c>
      <c r="AD507" s="235" t="s">
        <v>4020</v>
      </c>
      <c r="AE507" s="235" t="s">
        <v>4020</v>
      </c>
      <c r="AF507" s="235" t="s">
        <v>4020</v>
      </c>
      <c r="AG507" s="235" t="s">
        <v>4020</v>
      </c>
      <c r="AH507" s="235" t="s">
        <v>4020</v>
      </c>
      <c r="AI507" s="235" t="s">
        <v>4020</v>
      </c>
      <c r="AJ507" s="235" t="s">
        <v>4020</v>
      </c>
    </row>
    <row r="508" spans="1:36">
      <c r="A508" s="240">
        <v>1</v>
      </c>
      <c r="B508" s="241" t="s">
        <v>3997</v>
      </c>
      <c r="C508" s="241" t="s">
        <v>4455</v>
      </c>
      <c r="D508" s="241" t="s">
        <v>4992</v>
      </c>
      <c r="E508" s="241">
        <v>7</v>
      </c>
      <c r="F508" s="242" t="s">
        <v>4993</v>
      </c>
      <c r="G508" s="233">
        <v>1178</v>
      </c>
      <c r="H508" s="233">
        <v>116464</v>
      </c>
      <c r="I508" s="233">
        <v>6066</v>
      </c>
      <c r="J508" s="233">
        <v>240</v>
      </c>
      <c r="K508" s="233">
        <v>5826</v>
      </c>
      <c r="L508" s="233">
        <v>126889</v>
      </c>
      <c r="M508" s="233">
        <v>32922</v>
      </c>
      <c r="N508" s="233">
        <v>7733</v>
      </c>
      <c r="O508" s="233">
        <v>3127</v>
      </c>
      <c r="P508" s="233">
        <v>30231</v>
      </c>
      <c r="Q508" s="233">
        <v>1178</v>
      </c>
      <c r="R508" s="233">
        <v>116464</v>
      </c>
      <c r="S508" s="233">
        <v>6066</v>
      </c>
      <c r="T508" s="233">
        <v>240</v>
      </c>
      <c r="U508" s="233">
        <v>5826</v>
      </c>
      <c r="V508" s="233">
        <v>126889</v>
      </c>
      <c r="W508" s="233">
        <v>32922</v>
      </c>
      <c r="X508" s="233">
        <v>7733</v>
      </c>
      <c r="Y508" s="233">
        <v>3127</v>
      </c>
      <c r="Z508" s="233">
        <v>30231</v>
      </c>
      <c r="AA508" s="235" t="s">
        <v>5298</v>
      </c>
      <c r="AB508" s="235" t="s">
        <v>5298</v>
      </c>
      <c r="AC508" s="235" t="s">
        <v>5298</v>
      </c>
      <c r="AD508" s="235" t="s">
        <v>5298</v>
      </c>
      <c r="AE508" s="235" t="s">
        <v>5298</v>
      </c>
      <c r="AF508" s="235" t="s">
        <v>5298</v>
      </c>
      <c r="AG508" s="235" t="s">
        <v>5298</v>
      </c>
      <c r="AH508" s="235" t="s">
        <v>5298</v>
      </c>
      <c r="AI508" s="235" t="s">
        <v>5298</v>
      </c>
      <c r="AJ508" s="235" t="s">
        <v>5298</v>
      </c>
    </row>
    <row r="509" spans="1:36">
      <c r="A509" s="240">
        <v>1</v>
      </c>
      <c r="B509" s="241" t="s">
        <v>3997</v>
      </c>
      <c r="C509" s="241" t="s">
        <v>4455</v>
      </c>
      <c r="D509" s="241" t="s">
        <v>4994</v>
      </c>
      <c r="E509" s="241">
        <v>7</v>
      </c>
      <c r="F509" s="242" t="s">
        <v>4995</v>
      </c>
      <c r="G509" s="233">
        <v>715</v>
      </c>
      <c r="H509" s="233">
        <v>328771</v>
      </c>
      <c r="I509" s="233">
        <v>9470</v>
      </c>
      <c r="J509" s="233">
        <v>257</v>
      </c>
      <c r="K509" s="233">
        <v>9213</v>
      </c>
      <c r="L509" s="233">
        <v>306452</v>
      </c>
      <c r="M509" s="233">
        <v>72074</v>
      </c>
      <c r="N509" s="233">
        <v>1402</v>
      </c>
      <c r="O509" s="233">
        <v>8455</v>
      </c>
      <c r="P509" s="233">
        <v>95795</v>
      </c>
      <c r="Q509" s="233">
        <v>705</v>
      </c>
      <c r="R509" s="235" t="s">
        <v>4020</v>
      </c>
      <c r="S509" s="235" t="s">
        <v>4020</v>
      </c>
      <c r="T509" s="235" t="s">
        <v>4020</v>
      </c>
      <c r="U509" s="235" t="s">
        <v>4020</v>
      </c>
      <c r="V509" s="235" t="s">
        <v>4020</v>
      </c>
      <c r="W509" s="235" t="s">
        <v>4020</v>
      </c>
      <c r="X509" s="235" t="s">
        <v>4020</v>
      </c>
      <c r="Y509" s="235" t="s">
        <v>4020</v>
      </c>
      <c r="Z509" s="235" t="s">
        <v>4020</v>
      </c>
      <c r="AA509" s="233">
        <v>10</v>
      </c>
      <c r="AB509" s="235" t="s">
        <v>4020</v>
      </c>
      <c r="AC509" s="235" t="s">
        <v>4020</v>
      </c>
      <c r="AD509" s="235" t="s">
        <v>4020</v>
      </c>
      <c r="AE509" s="235" t="s">
        <v>4020</v>
      </c>
      <c r="AF509" s="235" t="s">
        <v>4020</v>
      </c>
      <c r="AG509" s="235" t="s">
        <v>4020</v>
      </c>
      <c r="AH509" s="235" t="s">
        <v>4020</v>
      </c>
      <c r="AI509" s="235" t="s">
        <v>4020</v>
      </c>
      <c r="AJ509" s="235" t="s">
        <v>4020</v>
      </c>
    </row>
    <row r="510" spans="1:36">
      <c r="A510" s="240">
        <v>1</v>
      </c>
      <c r="B510" s="241" t="s">
        <v>3997</v>
      </c>
      <c r="C510" s="241" t="s">
        <v>3172</v>
      </c>
      <c r="D510" s="241" t="s">
        <v>4996</v>
      </c>
      <c r="E510" s="241">
        <v>5</v>
      </c>
      <c r="F510" s="242" t="s">
        <v>4997</v>
      </c>
      <c r="G510" s="233">
        <v>6209</v>
      </c>
      <c r="H510" s="233">
        <v>3071867</v>
      </c>
      <c r="I510" s="233">
        <v>149282</v>
      </c>
      <c r="J510" s="233">
        <v>96120</v>
      </c>
      <c r="K510" s="233">
        <v>53162</v>
      </c>
      <c r="L510" s="233">
        <v>2915938</v>
      </c>
      <c r="M510" s="233">
        <v>1054981</v>
      </c>
      <c r="N510" s="233">
        <v>14277</v>
      </c>
      <c r="O510" s="233">
        <v>132436</v>
      </c>
      <c r="P510" s="233">
        <v>1225187</v>
      </c>
      <c r="Q510" s="233">
        <v>5957</v>
      </c>
      <c r="R510" s="233">
        <v>3012582</v>
      </c>
      <c r="S510" s="233">
        <v>148296</v>
      </c>
      <c r="T510" s="233">
        <v>95895</v>
      </c>
      <c r="U510" s="233">
        <v>52401</v>
      </c>
      <c r="V510" s="233">
        <v>2857141</v>
      </c>
      <c r="W510" s="233">
        <v>1035730</v>
      </c>
      <c r="X510" s="233">
        <v>13453</v>
      </c>
      <c r="Y510" s="233">
        <v>131529</v>
      </c>
      <c r="Z510" s="233">
        <v>1204624</v>
      </c>
      <c r="AA510" s="233">
        <v>252</v>
      </c>
      <c r="AB510" s="233">
        <v>59284</v>
      </c>
      <c r="AC510" s="233">
        <v>986</v>
      </c>
      <c r="AD510" s="233">
        <v>225</v>
      </c>
      <c r="AE510" s="233">
        <v>761</v>
      </c>
      <c r="AF510" s="233">
        <v>58797</v>
      </c>
      <c r="AG510" s="233">
        <v>19251</v>
      </c>
      <c r="AH510" s="233">
        <v>825</v>
      </c>
      <c r="AI510" s="233">
        <v>906</v>
      </c>
      <c r="AJ510" s="233">
        <v>20563</v>
      </c>
    </row>
    <row r="511" spans="1:36">
      <c r="A511" s="240">
        <v>1</v>
      </c>
      <c r="B511" s="241" t="s">
        <v>3997</v>
      </c>
      <c r="C511" s="241" t="s">
        <v>3432</v>
      </c>
      <c r="D511" s="241" t="s">
        <v>4998</v>
      </c>
      <c r="E511" s="241">
        <v>6</v>
      </c>
      <c r="F511" s="242" t="s">
        <v>4999</v>
      </c>
      <c r="G511" s="233">
        <v>1881</v>
      </c>
      <c r="H511" s="233">
        <v>425195</v>
      </c>
      <c r="I511" s="233">
        <v>93952</v>
      </c>
      <c r="J511" s="233">
        <v>71545</v>
      </c>
      <c r="K511" s="233">
        <v>22406</v>
      </c>
      <c r="L511" s="233">
        <v>407322</v>
      </c>
      <c r="M511" s="233">
        <v>93700</v>
      </c>
      <c r="N511" s="233">
        <v>2048</v>
      </c>
      <c r="O511" s="233">
        <v>96415</v>
      </c>
      <c r="P511" s="233">
        <v>113621</v>
      </c>
      <c r="Q511" s="233">
        <v>1856</v>
      </c>
      <c r="R511" s="233">
        <v>424700</v>
      </c>
      <c r="S511" s="233">
        <v>93946</v>
      </c>
      <c r="T511" s="233">
        <v>71541</v>
      </c>
      <c r="U511" s="233">
        <v>22406</v>
      </c>
      <c r="V511" s="233">
        <v>406814</v>
      </c>
      <c r="W511" s="233">
        <v>93549</v>
      </c>
      <c r="X511" s="233">
        <v>2044</v>
      </c>
      <c r="Y511" s="233">
        <v>96412</v>
      </c>
      <c r="Z511" s="233">
        <v>113478</v>
      </c>
      <c r="AA511" s="233">
        <v>25</v>
      </c>
      <c r="AB511" s="233">
        <v>495</v>
      </c>
      <c r="AC511" s="233">
        <v>5</v>
      </c>
      <c r="AD511" s="233">
        <v>5</v>
      </c>
      <c r="AE511" s="233">
        <v>1</v>
      </c>
      <c r="AF511" s="233">
        <v>507</v>
      </c>
      <c r="AG511" s="233">
        <v>151</v>
      </c>
      <c r="AH511" s="233">
        <v>4</v>
      </c>
      <c r="AI511" s="233">
        <v>3</v>
      </c>
      <c r="AJ511" s="233">
        <v>143</v>
      </c>
    </row>
    <row r="512" spans="1:36">
      <c r="A512" s="240">
        <v>1</v>
      </c>
      <c r="B512" s="241" t="s">
        <v>3997</v>
      </c>
      <c r="C512" s="241" t="s">
        <v>3432</v>
      </c>
      <c r="D512" s="241" t="s">
        <v>5000</v>
      </c>
      <c r="E512" s="241">
        <v>6</v>
      </c>
      <c r="F512" s="242" t="s">
        <v>5001</v>
      </c>
      <c r="G512" s="233">
        <v>4328</v>
      </c>
      <c r="H512" s="233">
        <v>2646672</v>
      </c>
      <c r="I512" s="233">
        <v>55331</v>
      </c>
      <c r="J512" s="233">
        <v>24575</v>
      </c>
      <c r="K512" s="233">
        <v>30756</v>
      </c>
      <c r="L512" s="233">
        <v>2508616</v>
      </c>
      <c r="M512" s="233">
        <v>961282</v>
      </c>
      <c r="N512" s="233">
        <v>12229</v>
      </c>
      <c r="O512" s="233">
        <v>36021</v>
      </c>
      <c r="P512" s="233">
        <v>1111567</v>
      </c>
      <c r="Q512" s="233">
        <v>4101</v>
      </c>
      <c r="R512" s="233">
        <v>2587883</v>
      </c>
      <c r="S512" s="233">
        <v>54350</v>
      </c>
      <c r="T512" s="233">
        <v>24355</v>
      </c>
      <c r="U512" s="233">
        <v>29995</v>
      </c>
      <c r="V512" s="233">
        <v>2450326</v>
      </c>
      <c r="W512" s="233">
        <v>942181</v>
      </c>
      <c r="X512" s="233">
        <v>11409</v>
      </c>
      <c r="Y512" s="233">
        <v>35117</v>
      </c>
      <c r="Z512" s="233">
        <v>1091146</v>
      </c>
      <c r="AA512" s="233">
        <v>227</v>
      </c>
      <c r="AB512" s="233">
        <v>58789</v>
      </c>
      <c r="AC512" s="233">
        <v>981</v>
      </c>
      <c r="AD512" s="233">
        <v>220</v>
      </c>
      <c r="AE512" s="233">
        <v>761</v>
      </c>
      <c r="AF512" s="233">
        <v>58290</v>
      </c>
      <c r="AG512" s="233">
        <v>19100</v>
      </c>
      <c r="AH512" s="233">
        <v>820</v>
      </c>
      <c r="AI512" s="233">
        <v>904</v>
      </c>
      <c r="AJ512" s="233">
        <v>20420</v>
      </c>
    </row>
    <row r="513" spans="1:36">
      <c r="A513" s="240">
        <v>1</v>
      </c>
      <c r="B513" s="241" t="s">
        <v>3997</v>
      </c>
      <c r="C513" s="241" t="s">
        <v>3459</v>
      </c>
      <c r="D513" s="241" t="s">
        <v>5002</v>
      </c>
      <c r="E513" s="241">
        <v>3</v>
      </c>
      <c r="F513" s="242" t="s">
        <v>5003</v>
      </c>
      <c r="G513" s="233">
        <v>68285</v>
      </c>
      <c r="H513" s="233">
        <v>29654242</v>
      </c>
      <c r="I513" s="233">
        <v>551061</v>
      </c>
      <c r="J513" s="233">
        <v>131047</v>
      </c>
      <c r="K513" s="233">
        <v>420014</v>
      </c>
      <c r="L513" s="233">
        <v>28719362</v>
      </c>
      <c r="M513" s="233">
        <v>3718303</v>
      </c>
      <c r="N513" s="233">
        <v>232391</v>
      </c>
      <c r="O513" s="233">
        <v>354191</v>
      </c>
      <c r="P513" s="233">
        <v>4885575</v>
      </c>
      <c r="Q513" s="233">
        <v>64488</v>
      </c>
      <c r="R513" s="233">
        <v>25691033</v>
      </c>
      <c r="S513" s="233">
        <v>544570</v>
      </c>
      <c r="T513" s="233">
        <v>130754</v>
      </c>
      <c r="U513" s="233">
        <v>413816</v>
      </c>
      <c r="V513" s="233">
        <v>24878479</v>
      </c>
      <c r="W513" s="233">
        <v>3530391</v>
      </c>
      <c r="X513" s="233">
        <v>207511</v>
      </c>
      <c r="Y513" s="233">
        <v>351393</v>
      </c>
      <c r="Z513" s="233">
        <v>4550456</v>
      </c>
      <c r="AA513" s="233">
        <v>3797</v>
      </c>
      <c r="AB513" s="233">
        <v>3963210</v>
      </c>
      <c r="AC513" s="233">
        <v>6491</v>
      </c>
      <c r="AD513" s="233">
        <v>293</v>
      </c>
      <c r="AE513" s="233">
        <v>6198</v>
      </c>
      <c r="AF513" s="233">
        <v>3840883</v>
      </c>
      <c r="AG513" s="233">
        <v>187912</v>
      </c>
      <c r="AH513" s="233">
        <v>24880</v>
      </c>
      <c r="AI513" s="233">
        <v>2798</v>
      </c>
      <c r="AJ513" s="233">
        <v>335119</v>
      </c>
    </row>
    <row r="514" spans="1:36">
      <c r="A514" s="240">
        <v>1</v>
      </c>
      <c r="B514" s="241" t="s">
        <v>3997</v>
      </c>
      <c r="C514" s="241" t="s">
        <v>3172</v>
      </c>
      <c r="D514" s="241" t="s">
        <v>5004</v>
      </c>
      <c r="E514" s="241">
        <v>5</v>
      </c>
      <c r="F514" s="242" t="s">
        <v>5005</v>
      </c>
      <c r="G514" s="233">
        <v>33842</v>
      </c>
      <c r="H514" s="233">
        <v>3708886</v>
      </c>
      <c r="I514" s="233">
        <v>206463</v>
      </c>
      <c r="J514" s="233">
        <v>86459</v>
      </c>
      <c r="K514" s="233">
        <v>120004</v>
      </c>
      <c r="L514" s="233">
        <v>3532375</v>
      </c>
      <c r="M514" s="233">
        <v>1120489</v>
      </c>
      <c r="N514" s="233">
        <v>42057</v>
      </c>
      <c r="O514" s="233">
        <v>104623</v>
      </c>
      <c r="P514" s="233">
        <v>1339058</v>
      </c>
      <c r="Q514" s="233">
        <v>33566</v>
      </c>
      <c r="R514" s="233">
        <v>3691587</v>
      </c>
      <c r="S514" s="233">
        <v>205380</v>
      </c>
      <c r="T514" s="233">
        <v>86452</v>
      </c>
      <c r="U514" s="233">
        <v>118928</v>
      </c>
      <c r="V514" s="233">
        <v>3515866</v>
      </c>
      <c r="W514" s="233">
        <v>1113821</v>
      </c>
      <c r="X514" s="233">
        <v>41679</v>
      </c>
      <c r="Y514" s="233">
        <v>103971</v>
      </c>
      <c r="Z514" s="233">
        <v>1331222</v>
      </c>
      <c r="AA514" s="233">
        <v>276</v>
      </c>
      <c r="AB514" s="233">
        <v>17299</v>
      </c>
      <c r="AC514" s="233">
        <v>1083</v>
      </c>
      <c r="AD514" s="233">
        <v>7</v>
      </c>
      <c r="AE514" s="233">
        <v>1076</v>
      </c>
      <c r="AF514" s="233">
        <v>16509</v>
      </c>
      <c r="AG514" s="233">
        <v>6668</v>
      </c>
      <c r="AH514" s="233">
        <v>378</v>
      </c>
      <c r="AI514" s="233">
        <v>653</v>
      </c>
      <c r="AJ514" s="233">
        <v>7836</v>
      </c>
    </row>
    <row r="515" spans="1:36">
      <c r="A515" s="240">
        <v>1</v>
      </c>
      <c r="B515" s="241" t="s">
        <v>3997</v>
      </c>
      <c r="C515" s="241" t="s">
        <v>3432</v>
      </c>
      <c r="D515" s="241" t="s">
        <v>5006</v>
      </c>
      <c r="E515" s="241">
        <v>6</v>
      </c>
      <c r="F515" s="242" t="s">
        <v>5007</v>
      </c>
      <c r="G515" s="233">
        <v>7077</v>
      </c>
      <c r="H515" s="233">
        <v>1712454</v>
      </c>
      <c r="I515" s="233">
        <v>121614</v>
      </c>
      <c r="J515" s="233">
        <v>72129</v>
      </c>
      <c r="K515" s="233">
        <v>49485</v>
      </c>
      <c r="L515" s="233">
        <v>1620858</v>
      </c>
      <c r="M515" s="233">
        <v>441770</v>
      </c>
      <c r="N515" s="233">
        <v>14541</v>
      </c>
      <c r="O515" s="233">
        <v>70929</v>
      </c>
      <c r="P515" s="233">
        <v>547907</v>
      </c>
      <c r="Q515" s="233">
        <v>7004</v>
      </c>
      <c r="R515" s="233">
        <v>1704026</v>
      </c>
      <c r="S515" s="233">
        <v>121208</v>
      </c>
      <c r="T515" s="233">
        <v>72129</v>
      </c>
      <c r="U515" s="233">
        <v>49079</v>
      </c>
      <c r="V515" s="233">
        <v>1612719</v>
      </c>
      <c r="W515" s="233">
        <v>438062</v>
      </c>
      <c r="X515" s="233">
        <v>14407</v>
      </c>
      <c r="Y515" s="233">
        <v>70593</v>
      </c>
      <c r="Z515" s="233">
        <v>543776</v>
      </c>
      <c r="AA515" s="233">
        <v>73</v>
      </c>
      <c r="AB515" s="233">
        <v>8427</v>
      </c>
      <c r="AC515" s="233">
        <v>405</v>
      </c>
      <c r="AD515" s="233">
        <v>0</v>
      </c>
      <c r="AE515" s="233">
        <v>405</v>
      </c>
      <c r="AF515" s="233">
        <v>8139</v>
      </c>
      <c r="AG515" s="233">
        <v>3709</v>
      </c>
      <c r="AH515" s="233">
        <v>134</v>
      </c>
      <c r="AI515" s="233">
        <v>336</v>
      </c>
      <c r="AJ515" s="233">
        <v>4131</v>
      </c>
    </row>
    <row r="516" spans="1:36">
      <c r="A516" s="240">
        <v>1</v>
      </c>
      <c r="B516" s="241" t="s">
        <v>3997</v>
      </c>
      <c r="C516" s="241" t="s">
        <v>4455</v>
      </c>
      <c r="D516" s="241" t="s">
        <v>5008</v>
      </c>
      <c r="E516" s="241">
        <v>7</v>
      </c>
      <c r="F516" s="242" t="s">
        <v>5009</v>
      </c>
      <c r="G516" s="233">
        <v>4859</v>
      </c>
      <c r="H516" s="233">
        <v>498313</v>
      </c>
      <c r="I516" s="233">
        <v>3240</v>
      </c>
      <c r="J516" s="233">
        <v>1648</v>
      </c>
      <c r="K516" s="233">
        <v>1592</v>
      </c>
      <c r="L516" s="233">
        <v>493022</v>
      </c>
      <c r="M516" s="233">
        <v>187960</v>
      </c>
      <c r="N516" s="233">
        <v>6525</v>
      </c>
      <c r="O516" s="233">
        <v>2078</v>
      </c>
      <c r="P516" s="233">
        <v>199775</v>
      </c>
      <c r="Q516" s="233">
        <v>4806</v>
      </c>
      <c r="R516" s="233">
        <v>493504</v>
      </c>
      <c r="S516" s="233">
        <v>3240</v>
      </c>
      <c r="T516" s="233">
        <v>1648</v>
      </c>
      <c r="U516" s="233">
        <v>1592</v>
      </c>
      <c r="V516" s="233">
        <v>488338</v>
      </c>
      <c r="W516" s="233">
        <v>185320</v>
      </c>
      <c r="X516" s="233">
        <v>6447</v>
      </c>
      <c r="Y516" s="233">
        <v>2078</v>
      </c>
      <c r="Z516" s="233">
        <v>196933</v>
      </c>
      <c r="AA516" s="233">
        <v>53</v>
      </c>
      <c r="AB516" s="233">
        <v>4808</v>
      </c>
      <c r="AC516" s="233">
        <v>0</v>
      </c>
      <c r="AD516" s="233">
        <v>0</v>
      </c>
      <c r="AE516" s="233">
        <v>0</v>
      </c>
      <c r="AF516" s="233">
        <v>4684</v>
      </c>
      <c r="AG516" s="233">
        <v>2641</v>
      </c>
      <c r="AH516" s="233">
        <v>77</v>
      </c>
      <c r="AI516" s="233">
        <v>0</v>
      </c>
      <c r="AJ516" s="233">
        <v>2842</v>
      </c>
    </row>
    <row r="517" spans="1:36">
      <c r="A517" s="240">
        <v>1</v>
      </c>
      <c r="B517" s="241" t="s">
        <v>3997</v>
      </c>
      <c r="C517" s="241" t="s">
        <v>4455</v>
      </c>
      <c r="D517" s="241" t="s">
        <v>5010</v>
      </c>
      <c r="E517" s="241">
        <v>7</v>
      </c>
      <c r="F517" s="242" t="s">
        <v>5011</v>
      </c>
      <c r="G517" s="233">
        <v>2218</v>
      </c>
      <c r="H517" s="233">
        <v>1214141</v>
      </c>
      <c r="I517" s="233">
        <v>118374</v>
      </c>
      <c r="J517" s="233">
        <v>70481</v>
      </c>
      <c r="K517" s="233">
        <v>47892</v>
      </c>
      <c r="L517" s="233">
        <v>1127836</v>
      </c>
      <c r="M517" s="233">
        <v>253810</v>
      </c>
      <c r="N517" s="233">
        <v>8016</v>
      </c>
      <c r="O517" s="233">
        <v>68850</v>
      </c>
      <c r="P517" s="233">
        <v>348131</v>
      </c>
      <c r="Q517" s="233">
        <v>2198</v>
      </c>
      <c r="R517" s="233">
        <v>1210522</v>
      </c>
      <c r="S517" s="233">
        <v>117968</v>
      </c>
      <c r="T517" s="233">
        <v>70481</v>
      </c>
      <c r="U517" s="233">
        <v>47487</v>
      </c>
      <c r="V517" s="233">
        <v>1124381</v>
      </c>
      <c r="W517" s="233">
        <v>252742</v>
      </c>
      <c r="X517" s="233">
        <v>7959</v>
      </c>
      <c r="Y517" s="233">
        <v>68514</v>
      </c>
      <c r="Z517" s="233">
        <v>346842</v>
      </c>
      <c r="AA517" s="233">
        <v>20</v>
      </c>
      <c r="AB517" s="233">
        <v>3619</v>
      </c>
      <c r="AC517" s="233">
        <v>405</v>
      </c>
      <c r="AD517" s="233">
        <v>0</v>
      </c>
      <c r="AE517" s="233">
        <v>405</v>
      </c>
      <c r="AF517" s="233">
        <v>3455</v>
      </c>
      <c r="AG517" s="233">
        <v>1068</v>
      </c>
      <c r="AH517" s="233">
        <v>57</v>
      </c>
      <c r="AI517" s="233">
        <v>336</v>
      </c>
      <c r="AJ517" s="233">
        <v>1289</v>
      </c>
    </row>
    <row r="518" spans="1:36">
      <c r="A518" s="240">
        <v>1</v>
      </c>
      <c r="B518" s="241" t="s">
        <v>3997</v>
      </c>
      <c r="C518" s="241" t="s">
        <v>3432</v>
      </c>
      <c r="D518" s="241" t="s">
        <v>5012</v>
      </c>
      <c r="E518" s="241">
        <v>6</v>
      </c>
      <c r="F518" s="242" t="s">
        <v>5013</v>
      </c>
      <c r="G518" s="233">
        <v>3091</v>
      </c>
      <c r="H518" s="233">
        <v>175485</v>
      </c>
      <c r="I518" s="233">
        <v>1597</v>
      </c>
      <c r="J518" s="233">
        <v>603</v>
      </c>
      <c r="K518" s="233">
        <v>994</v>
      </c>
      <c r="L518" s="233">
        <v>165419</v>
      </c>
      <c r="M518" s="233">
        <v>76088</v>
      </c>
      <c r="N518" s="233">
        <v>2713</v>
      </c>
      <c r="O518" s="233">
        <v>697</v>
      </c>
      <c r="P518" s="233">
        <v>88866</v>
      </c>
      <c r="Q518" s="233">
        <v>3061</v>
      </c>
      <c r="R518" s="233">
        <v>175179</v>
      </c>
      <c r="S518" s="233">
        <v>1597</v>
      </c>
      <c r="T518" s="233">
        <v>603</v>
      </c>
      <c r="U518" s="233">
        <v>994</v>
      </c>
      <c r="V518" s="233">
        <v>165146</v>
      </c>
      <c r="W518" s="233">
        <v>75994</v>
      </c>
      <c r="X518" s="233">
        <v>2709</v>
      </c>
      <c r="Y518" s="233">
        <v>697</v>
      </c>
      <c r="Z518" s="233">
        <v>88735</v>
      </c>
      <c r="AA518" s="233">
        <v>30</v>
      </c>
      <c r="AB518" s="233">
        <v>306</v>
      </c>
      <c r="AC518" s="233">
        <v>0</v>
      </c>
      <c r="AD518" s="233">
        <v>0</v>
      </c>
      <c r="AE518" s="233">
        <v>0</v>
      </c>
      <c r="AF518" s="233">
        <v>273</v>
      </c>
      <c r="AG518" s="233">
        <v>94</v>
      </c>
      <c r="AH518" s="233">
        <v>4</v>
      </c>
      <c r="AI518" s="233">
        <v>0</v>
      </c>
      <c r="AJ518" s="233">
        <v>131</v>
      </c>
    </row>
    <row r="519" spans="1:36">
      <c r="A519" s="240">
        <v>1</v>
      </c>
      <c r="B519" s="241" t="s">
        <v>3997</v>
      </c>
      <c r="C519" s="241" t="s">
        <v>3432</v>
      </c>
      <c r="D519" s="241" t="s">
        <v>5014</v>
      </c>
      <c r="E519" s="241">
        <v>6</v>
      </c>
      <c r="F519" s="242" t="s">
        <v>5015</v>
      </c>
      <c r="G519" s="233">
        <v>16614</v>
      </c>
      <c r="H519" s="233">
        <v>1093757</v>
      </c>
      <c r="I519" s="233">
        <v>32401</v>
      </c>
      <c r="J519" s="233">
        <v>4371</v>
      </c>
      <c r="K519" s="233">
        <v>28030</v>
      </c>
      <c r="L519" s="233">
        <v>1034026</v>
      </c>
      <c r="M519" s="233">
        <v>411135</v>
      </c>
      <c r="N519" s="233">
        <v>15500</v>
      </c>
      <c r="O519" s="233">
        <v>18272</v>
      </c>
      <c r="P519" s="233">
        <v>486366</v>
      </c>
      <c r="Q519" s="233">
        <v>16582</v>
      </c>
      <c r="R519" s="233">
        <v>1093352</v>
      </c>
      <c r="S519" s="233">
        <v>32401</v>
      </c>
      <c r="T519" s="233">
        <v>4371</v>
      </c>
      <c r="U519" s="233">
        <v>28030</v>
      </c>
      <c r="V519" s="233">
        <v>1033652</v>
      </c>
      <c r="W519" s="233">
        <v>410970</v>
      </c>
      <c r="X519" s="233">
        <v>15495</v>
      </c>
      <c r="Y519" s="233">
        <v>18272</v>
      </c>
      <c r="Z519" s="233">
        <v>486165</v>
      </c>
      <c r="AA519" s="233">
        <v>32</v>
      </c>
      <c r="AB519" s="233">
        <v>405</v>
      </c>
      <c r="AC519" s="233">
        <v>0</v>
      </c>
      <c r="AD519" s="233">
        <v>0</v>
      </c>
      <c r="AE519" s="233">
        <v>0</v>
      </c>
      <c r="AF519" s="233">
        <v>374</v>
      </c>
      <c r="AG519" s="233">
        <v>165</v>
      </c>
      <c r="AH519" s="233">
        <v>5</v>
      </c>
      <c r="AI519" s="233">
        <v>0</v>
      </c>
      <c r="AJ519" s="233">
        <v>201</v>
      </c>
    </row>
    <row r="520" spans="1:36">
      <c r="A520" s="240">
        <v>1</v>
      </c>
      <c r="B520" s="241" t="s">
        <v>3997</v>
      </c>
      <c r="C520" s="241" t="s">
        <v>3432</v>
      </c>
      <c r="D520" s="241" t="s">
        <v>5016</v>
      </c>
      <c r="E520" s="241">
        <v>6</v>
      </c>
      <c r="F520" s="242" t="s">
        <v>5017</v>
      </c>
      <c r="G520" s="233">
        <v>846</v>
      </c>
      <c r="H520" s="233">
        <v>38011</v>
      </c>
      <c r="I520" s="233">
        <v>1584</v>
      </c>
      <c r="J520" s="233">
        <v>415</v>
      </c>
      <c r="K520" s="233">
        <v>1169</v>
      </c>
      <c r="L520" s="233">
        <v>37152</v>
      </c>
      <c r="M520" s="233">
        <v>10906</v>
      </c>
      <c r="N520" s="233">
        <v>1029</v>
      </c>
      <c r="O520" s="233">
        <v>410</v>
      </c>
      <c r="P520" s="233">
        <v>12795</v>
      </c>
      <c r="Q520" s="233">
        <v>805</v>
      </c>
      <c r="R520" s="233">
        <v>36323</v>
      </c>
      <c r="S520" s="233">
        <v>1527</v>
      </c>
      <c r="T520" s="233">
        <v>415</v>
      </c>
      <c r="U520" s="233">
        <v>1113</v>
      </c>
      <c r="V520" s="233">
        <v>36255</v>
      </c>
      <c r="W520" s="233">
        <v>10603</v>
      </c>
      <c r="X520" s="233">
        <v>1007</v>
      </c>
      <c r="Y520" s="233">
        <v>374</v>
      </c>
      <c r="Z520" s="233">
        <v>11679</v>
      </c>
      <c r="AA520" s="233">
        <v>41</v>
      </c>
      <c r="AB520" s="233">
        <v>1688</v>
      </c>
      <c r="AC520" s="233">
        <v>57</v>
      </c>
      <c r="AD520" s="233">
        <v>0</v>
      </c>
      <c r="AE520" s="233">
        <v>57</v>
      </c>
      <c r="AF520" s="233">
        <v>897</v>
      </c>
      <c r="AG520" s="233">
        <v>303</v>
      </c>
      <c r="AH520" s="233">
        <v>22</v>
      </c>
      <c r="AI520" s="233">
        <v>36</v>
      </c>
      <c r="AJ520" s="233">
        <v>1116</v>
      </c>
    </row>
    <row r="521" spans="1:36">
      <c r="A521" s="240">
        <v>1</v>
      </c>
      <c r="B521" s="241" t="s">
        <v>3997</v>
      </c>
      <c r="C521" s="241" t="s">
        <v>3432</v>
      </c>
      <c r="D521" s="241" t="s">
        <v>5018</v>
      </c>
      <c r="E521" s="241">
        <v>6</v>
      </c>
      <c r="F521" s="242" t="s">
        <v>5019</v>
      </c>
      <c r="G521" s="233">
        <v>980</v>
      </c>
      <c r="H521" s="233">
        <v>172854</v>
      </c>
      <c r="I521" s="233">
        <v>4631</v>
      </c>
      <c r="J521" s="233">
        <v>304</v>
      </c>
      <c r="K521" s="233">
        <v>4327</v>
      </c>
      <c r="L521" s="233">
        <v>171897</v>
      </c>
      <c r="M521" s="233">
        <v>42273</v>
      </c>
      <c r="N521" s="233">
        <v>3265</v>
      </c>
      <c r="O521" s="233">
        <v>2026</v>
      </c>
      <c r="P521" s="233">
        <v>46495</v>
      </c>
      <c r="Q521" s="233">
        <v>897</v>
      </c>
      <c r="R521" s="233">
        <v>166525</v>
      </c>
      <c r="S521" s="233">
        <v>4010</v>
      </c>
      <c r="T521" s="233">
        <v>297</v>
      </c>
      <c r="U521" s="233">
        <v>3714</v>
      </c>
      <c r="V521" s="233">
        <v>165210</v>
      </c>
      <c r="W521" s="233">
        <v>39908</v>
      </c>
      <c r="X521" s="233">
        <v>3053</v>
      </c>
      <c r="Y521" s="233">
        <v>1745</v>
      </c>
      <c r="Z521" s="233">
        <v>44276</v>
      </c>
      <c r="AA521" s="233">
        <v>83</v>
      </c>
      <c r="AB521" s="233">
        <v>6329</v>
      </c>
      <c r="AC521" s="233">
        <v>621</v>
      </c>
      <c r="AD521" s="233">
        <v>7</v>
      </c>
      <c r="AE521" s="233">
        <v>614</v>
      </c>
      <c r="AF521" s="233">
        <v>6687</v>
      </c>
      <c r="AG521" s="233">
        <v>2366</v>
      </c>
      <c r="AH521" s="233">
        <v>212</v>
      </c>
      <c r="AI521" s="233">
        <v>281</v>
      </c>
      <c r="AJ521" s="233">
        <v>2220</v>
      </c>
    </row>
    <row r="522" spans="1:36">
      <c r="A522" s="240">
        <v>1</v>
      </c>
      <c r="B522" s="241" t="s">
        <v>3997</v>
      </c>
      <c r="C522" s="241" t="s">
        <v>3432</v>
      </c>
      <c r="D522" s="241" t="s">
        <v>5020</v>
      </c>
      <c r="E522" s="241">
        <v>6</v>
      </c>
      <c r="F522" s="242" t="s">
        <v>5021</v>
      </c>
      <c r="G522" s="233">
        <v>5234</v>
      </c>
      <c r="H522" s="233">
        <v>516326</v>
      </c>
      <c r="I522" s="233">
        <v>44636</v>
      </c>
      <c r="J522" s="233">
        <v>8638</v>
      </c>
      <c r="K522" s="233">
        <v>35999</v>
      </c>
      <c r="L522" s="233">
        <v>503023</v>
      </c>
      <c r="M522" s="233">
        <v>138316</v>
      </c>
      <c r="N522" s="233">
        <v>5009</v>
      </c>
      <c r="O522" s="233">
        <v>12289</v>
      </c>
      <c r="P522" s="233">
        <v>156629</v>
      </c>
      <c r="Q522" s="233">
        <v>5217</v>
      </c>
      <c r="R522" s="233">
        <v>516182</v>
      </c>
      <c r="S522" s="233">
        <v>44636</v>
      </c>
      <c r="T522" s="233">
        <v>8638</v>
      </c>
      <c r="U522" s="233">
        <v>35999</v>
      </c>
      <c r="V522" s="233">
        <v>502884</v>
      </c>
      <c r="W522" s="233">
        <v>138285</v>
      </c>
      <c r="X522" s="233">
        <v>5008</v>
      </c>
      <c r="Y522" s="233">
        <v>12289</v>
      </c>
      <c r="Z522" s="233">
        <v>156592</v>
      </c>
      <c r="AA522" s="233">
        <v>17</v>
      </c>
      <c r="AB522" s="233">
        <v>144</v>
      </c>
      <c r="AC522" s="233">
        <v>0</v>
      </c>
      <c r="AD522" s="233">
        <v>0</v>
      </c>
      <c r="AE522" s="233">
        <v>0</v>
      </c>
      <c r="AF522" s="233">
        <v>139</v>
      </c>
      <c r="AG522" s="233">
        <v>31</v>
      </c>
      <c r="AH522" s="233">
        <v>1</v>
      </c>
      <c r="AI522" s="233">
        <v>0</v>
      </c>
      <c r="AJ522" s="233">
        <v>37</v>
      </c>
    </row>
    <row r="523" spans="1:36">
      <c r="A523" s="240">
        <v>1</v>
      </c>
      <c r="B523" s="241" t="s">
        <v>3997</v>
      </c>
      <c r="C523" s="241" t="s">
        <v>4455</v>
      </c>
      <c r="D523" s="241" t="s">
        <v>5022</v>
      </c>
      <c r="E523" s="241">
        <v>7</v>
      </c>
      <c r="F523" s="242" t="s">
        <v>5023</v>
      </c>
      <c r="G523" s="233">
        <v>75</v>
      </c>
      <c r="H523" s="233">
        <v>4636</v>
      </c>
      <c r="I523" s="233">
        <v>2</v>
      </c>
      <c r="J523" s="233">
        <v>0</v>
      </c>
      <c r="K523" s="233">
        <v>2</v>
      </c>
      <c r="L523" s="233">
        <v>4594</v>
      </c>
      <c r="M523" s="233">
        <v>1532</v>
      </c>
      <c r="N523" s="233">
        <v>52</v>
      </c>
      <c r="O523" s="233">
        <v>1</v>
      </c>
      <c r="P523" s="233">
        <v>1627</v>
      </c>
      <c r="Q523" s="233">
        <v>75</v>
      </c>
      <c r="R523" s="233">
        <v>4636</v>
      </c>
      <c r="S523" s="233">
        <v>2</v>
      </c>
      <c r="T523" s="233">
        <v>0</v>
      </c>
      <c r="U523" s="233">
        <v>2</v>
      </c>
      <c r="V523" s="233">
        <v>4594</v>
      </c>
      <c r="W523" s="233">
        <v>1532</v>
      </c>
      <c r="X523" s="233">
        <v>52</v>
      </c>
      <c r="Y523" s="233">
        <v>1</v>
      </c>
      <c r="Z523" s="233">
        <v>1627</v>
      </c>
      <c r="AA523" s="235" t="s">
        <v>5298</v>
      </c>
      <c r="AB523" s="235" t="s">
        <v>5298</v>
      </c>
      <c r="AC523" s="235" t="s">
        <v>5298</v>
      </c>
      <c r="AD523" s="235" t="s">
        <v>5298</v>
      </c>
      <c r="AE523" s="235" t="s">
        <v>5298</v>
      </c>
      <c r="AF523" s="235" t="s">
        <v>5298</v>
      </c>
      <c r="AG523" s="235" t="s">
        <v>5298</v>
      </c>
      <c r="AH523" s="235" t="s">
        <v>5298</v>
      </c>
      <c r="AI523" s="235" t="s">
        <v>5298</v>
      </c>
      <c r="AJ523" s="235" t="s">
        <v>5298</v>
      </c>
    </row>
    <row r="524" spans="1:36">
      <c r="A524" s="240">
        <v>1</v>
      </c>
      <c r="B524" s="241" t="s">
        <v>3997</v>
      </c>
      <c r="C524" s="241" t="s">
        <v>4455</v>
      </c>
      <c r="D524" s="241" t="s">
        <v>5024</v>
      </c>
      <c r="E524" s="241">
        <v>7</v>
      </c>
      <c r="F524" s="242" t="s">
        <v>5025</v>
      </c>
      <c r="G524" s="233">
        <v>5159</v>
      </c>
      <c r="H524" s="233">
        <v>511690</v>
      </c>
      <c r="I524" s="233">
        <v>44634</v>
      </c>
      <c r="J524" s="233">
        <v>8638</v>
      </c>
      <c r="K524" s="233">
        <v>35997</v>
      </c>
      <c r="L524" s="233">
        <v>498429</v>
      </c>
      <c r="M524" s="233">
        <v>136784</v>
      </c>
      <c r="N524" s="233">
        <v>4957</v>
      </c>
      <c r="O524" s="233">
        <v>12289</v>
      </c>
      <c r="P524" s="233">
        <v>155002</v>
      </c>
      <c r="Q524" s="233">
        <v>5142</v>
      </c>
      <c r="R524" s="233">
        <v>511546</v>
      </c>
      <c r="S524" s="233">
        <v>44634</v>
      </c>
      <c r="T524" s="233">
        <v>8638</v>
      </c>
      <c r="U524" s="233">
        <v>35997</v>
      </c>
      <c r="V524" s="233">
        <v>498290</v>
      </c>
      <c r="W524" s="233">
        <v>136753</v>
      </c>
      <c r="X524" s="233">
        <v>4956</v>
      </c>
      <c r="Y524" s="233">
        <v>12289</v>
      </c>
      <c r="Z524" s="233">
        <v>154965</v>
      </c>
      <c r="AA524" s="233">
        <v>17</v>
      </c>
      <c r="AB524" s="233">
        <v>144</v>
      </c>
      <c r="AC524" s="233">
        <v>0</v>
      </c>
      <c r="AD524" s="233">
        <v>0</v>
      </c>
      <c r="AE524" s="233">
        <v>0</v>
      </c>
      <c r="AF524" s="233">
        <v>139</v>
      </c>
      <c r="AG524" s="233">
        <v>31</v>
      </c>
      <c r="AH524" s="233">
        <v>1</v>
      </c>
      <c r="AI524" s="233">
        <v>0</v>
      </c>
      <c r="AJ524" s="233">
        <v>37</v>
      </c>
    </row>
    <row r="525" spans="1:36">
      <c r="A525" s="240">
        <v>1</v>
      </c>
      <c r="B525" s="241" t="s">
        <v>3997</v>
      </c>
      <c r="C525" s="241" t="s">
        <v>3172</v>
      </c>
      <c r="D525" s="241" t="s">
        <v>5026</v>
      </c>
      <c r="E525" s="241">
        <v>5</v>
      </c>
      <c r="F525" s="242" t="s">
        <v>5027</v>
      </c>
      <c r="G525" s="233">
        <v>17258</v>
      </c>
      <c r="H525" s="233">
        <v>4675140</v>
      </c>
      <c r="I525" s="233">
        <v>119354</v>
      </c>
      <c r="J525" s="233">
        <v>17539</v>
      </c>
      <c r="K525" s="233">
        <v>101814</v>
      </c>
      <c r="L525" s="233">
        <v>4637118</v>
      </c>
      <c r="M525" s="233">
        <v>883918</v>
      </c>
      <c r="N525" s="233">
        <v>52104</v>
      </c>
      <c r="O525" s="233">
        <v>90139</v>
      </c>
      <c r="P525" s="233">
        <v>974044</v>
      </c>
      <c r="Q525" s="233">
        <v>15791</v>
      </c>
      <c r="R525" s="233">
        <v>4433346</v>
      </c>
      <c r="S525" s="233">
        <v>118326</v>
      </c>
      <c r="T525" s="233">
        <v>17525</v>
      </c>
      <c r="U525" s="233">
        <v>100801</v>
      </c>
      <c r="V525" s="233">
        <v>4417737</v>
      </c>
      <c r="W525" s="233">
        <v>858567</v>
      </c>
      <c r="X525" s="233">
        <v>49616</v>
      </c>
      <c r="Y525" s="233">
        <v>89762</v>
      </c>
      <c r="Z525" s="233">
        <v>923792</v>
      </c>
      <c r="AA525" s="233">
        <v>1467</v>
      </c>
      <c r="AB525" s="233">
        <v>241794</v>
      </c>
      <c r="AC525" s="233">
        <v>1027</v>
      </c>
      <c r="AD525" s="233">
        <v>14</v>
      </c>
      <c r="AE525" s="233">
        <v>1013</v>
      </c>
      <c r="AF525" s="233">
        <v>219381</v>
      </c>
      <c r="AG525" s="233">
        <v>25351</v>
      </c>
      <c r="AH525" s="233">
        <v>2487</v>
      </c>
      <c r="AI525" s="233">
        <v>377</v>
      </c>
      <c r="AJ525" s="233">
        <v>50251</v>
      </c>
    </row>
    <row r="526" spans="1:36">
      <c r="A526" s="240">
        <v>1</v>
      </c>
      <c r="B526" s="241" t="s">
        <v>3997</v>
      </c>
      <c r="C526" s="241" t="s">
        <v>3432</v>
      </c>
      <c r="D526" s="241" t="s">
        <v>5028</v>
      </c>
      <c r="E526" s="241">
        <v>6</v>
      </c>
      <c r="F526" s="242" t="s">
        <v>5029</v>
      </c>
      <c r="G526" s="233">
        <v>3728</v>
      </c>
      <c r="H526" s="233">
        <v>1633753</v>
      </c>
      <c r="I526" s="233">
        <v>5236</v>
      </c>
      <c r="J526" s="233">
        <v>1953</v>
      </c>
      <c r="K526" s="233">
        <v>3282</v>
      </c>
      <c r="L526" s="233">
        <v>1783606</v>
      </c>
      <c r="M526" s="233">
        <v>282601</v>
      </c>
      <c r="N526" s="233">
        <v>10041</v>
      </c>
      <c r="O526" s="233">
        <v>2614</v>
      </c>
      <c r="P526" s="233">
        <v>142790</v>
      </c>
      <c r="Q526" s="233">
        <v>3664</v>
      </c>
      <c r="R526" s="233">
        <v>1629866</v>
      </c>
      <c r="S526" s="233">
        <v>4995</v>
      </c>
      <c r="T526" s="233">
        <v>1953</v>
      </c>
      <c r="U526" s="233">
        <v>3042</v>
      </c>
      <c r="V526" s="233">
        <v>1778560</v>
      </c>
      <c r="W526" s="233">
        <v>281507</v>
      </c>
      <c r="X526" s="233">
        <v>9987</v>
      </c>
      <c r="Y526" s="233">
        <v>2295</v>
      </c>
      <c r="Z526" s="233">
        <v>142799</v>
      </c>
      <c r="AA526" s="233">
        <v>64</v>
      </c>
      <c r="AB526" s="233">
        <v>3887</v>
      </c>
      <c r="AC526" s="233">
        <v>241</v>
      </c>
      <c r="AD526" s="233">
        <v>0</v>
      </c>
      <c r="AE526" s="233">
        <v>241</v>
      </c>
      <c r="AF526" s="233">
        <v>5046</v>
      </c>
      <c r="AG526" s="233">
        <v>1094</v>
      </c>
      <c r="AH526" s="233">
        <v>55</v>
      </c>
      <c r="AI526" s="233">
        <v>319</v>
      </c>
      <c r="AJ526" s="233">
        <v>10</v>
      </c>
    </row>
    <row r="527" spans="1:36">
      <c r="A527" s="240">
        <v>1</v>
      </c>
      <c r="B527" s="241" t="s">
        <v>3997</v>
      </c>
      <c r="C527" s="241" t="s">
        <v>3432</v>
      </c>
      <c r="D527" s="241" t="s">
        <v>5030</v>
      </c>
      <c r="E527" s="241">
        <v>6</v>
      </c>
      <c r="F527" s="242" t="s">
        <v>5031</v>
      </c>
      <c r="G527" s="233">
        <v>450</v>
      </c>
      <c r="H527" s="233">
        <v>43972</v>
      </c>
      <c r="I527" s="233">
        <v>601</v>
      </c>
      <c r="J527" s="233">
        <v>83</v>
      </c>
      <c r="K527" s="233">
        <v>519</v>
      </c>
      <c r="L527" s="233">
        <v>43330</v>
      </c>
      <c r="M527" s="233">
        <v>17735</v>
      </c>
      <c r="N527" s="233">
        <v>478</v>
      </c>
      <c r="O527" s="233">
        <v>267</v>
      </c>
      <c r="P527" s="233">
        <v>18855</v>
      </c>
      <c r="Q527" s="233">
        <v>446</v>
      </c>
      <c r="R527" s="233">
        <v>43959</v>
      </c>
      <c r="S527" s="233">
        <v>601</v>
      </c>
      <c r="T527" s="233">
        <v>83</v>
      </c>
      <c r="U527" s="233">
        <v>519</v>
      </c>
      <c r="V527" s="233">
        <v>43315</v>
      </c>
      <c r="W527" s="233">
        <v>17725</v>
      </c>
      <c r="X527" s="233">
        <v>478</v>
      </c>
      <c r="Y527" s="233">
        <v>267</v>
      </c>
      <c r="Z527" s="233">
        <v>18847</v>
      </c>
      <c r="AA527" s="233">
        <v>4</v>
      </c>
      <c r="AB527" s="233">
        <v>13</v>
      </c>
      <c r="AC527" s="233">
        <v>0</v>
      </c>
      <c r="AD527" s="233">
        <v>0</v>
      </c>
      <c r="AE527" s="233">
        <v>0</v>
      </c>
      <c r="AF527" s="233">
        <v>15</v>
      </c>
      <c r="AG527" s="233">
        <v>9</v>
      </c>
      <c r="AH527" s="233">
        <v>0</v>
      </c>
      <c r="AI527" s="233">
        <v>0</v>
      </c>
      <c r="AJ527" s="233">
        <v>8</v>
      </c>
    </row>
    <row r="528" spans="1:36">
      <c r="A528" s="240">
        <v>1</v>
      </c>
      <c r="B528" s="241" t="s">
        <v>3997</v>
      </c>
      <c r="C528" s="241" t="s">
        <v>3432</v>
      </c>
      <c r="D528" s="241" t="s">
        <v>5032</v>
      </c>
      <c r="E528" s="241">
        <v>6</v>
      </c>
      <c r="F528" s="242" t="s">
        <v>5033</v>
      </c>
      <c r="G528" s="233">
        <v>252</v>
      </c>
      <c r="H528" s="233">
        <v>57639</v>
      </c>
      <c r="I528" s="233">
        <v>1269</v>
      </c>
      <c r="J528" s="233">
        <v>1238</v>
      </c>
      <c r="K528" s="233">
        <v>32</v>
      </c>
      <c r="L528" s="233">
        <v>56743</v>
      </c>
      <c r="M528" s="233">
        <v>14321</v>
      </c>
      <c r="N528" s="233">
        <v>828</v>
      </c>
      <c r="O528" s="233">
        <v>21</v>
      </c>
      <c r="P528" s="233">
        <v>16044</v>
      </c>
      <c r="Q528" s="233">
        <v>224</v>
      </c>
      <c r="R528" s="233">
        <v>42738</v>
      </c>
      <c r="S528" s="233">
        <v>1269</v>
      </c>
      <c r="T528" s="233">
        <v>1238</v>
      </c>
      <c r="U528" s="233">
        <v>32</v>
      </c>
      <c r="V528" s="233">
        <v>41741</v>
      </c>
      <c r="W528" s="233">
        <v>11652</v>
      </c>
      <c r="X528" s="233">
        <v>348</v>
      </c>
      <c r="Y528" s="233">
        <v>21</v>
      </c>
      <c r="Z528" s="233">
        <v>12997</v>
      </c>
      <c r="AA528" s="233">
        <v>28</v>
      </c>
      <c r="AB528" s="233">
        <v>14901</v>
      </c>
      <c r="AC528" s="233">
        <v>0</v>
      </c>
      <c r="AD528" s="233">
        <v>0</v>
      </c>
      <c r="AE528" s="233">
        <v>0</v>
      </c>
      <c r="AF528" s="233">
        <v>15002</v>
      </c>
      <c r="AG528" s="233">
        <v>2669</v>
      </c>
      <c r="AH528" s="233">
        <v>480</v>
      </c>
      <c r="AI528" s="233">
        <v>0</v>
      </c>
      <c r="AJ528" s="233">
        <v>3047</v>
      </c>
    </row>
    <row r="529" spans="1:36">
      <c r="A529" s="240">
        <v>1</v>
      </c>
      <c r="B529" s="241" t="s">
        <v>3997</v>
      </c>
      <c r="C529" s="241" t="s">
        <v>3432</v>
      </c>
      <c r="D529" s="241" t="s">
        <v>5034</v>
      </c>
      <c r="E529" s="241">
        <v>6</v>
      </c>
      <c r="F529" s="242" t="s">
        <v>5035</v>
      </c>
      <c r="G529" s="233">
        <v>635</v>
      </c>
      <c r="H529" s="233">
        <v>68581</v>
      </c>
      <c r="I529" s="233">
        <v>3198</v>
      </c>
      <c r="J529" s="233">
        <v>23</v>
      </c>
      <c r="K529" s="233">
        <v>3175</v>
      </c>
      <c r="L529" s="233">
        <v>60751</v>
      </c>
      <c r="M529" s="233">
        <v>17762</v>
      </c>
      <c r="N529" s="233">
        <v>1984</v>
      </c>
      <c r="O529" s="233">
        <v>953</v>
      </c>
      <c r="P529" s="233">
        <v>27576</v>
      </c>
      <c r="Q529" s="233">
        <v>348</v>
      </c>
      <c r="R529" s="233">
        <v>43607</v>
      </c>
      <c r="S529" s="233">
        <v>3079</v>
      </c>
      <c r="T529" s="233">
        <v>23</v>
      </c>
      <c r="U529" s="233">
        <v>3056</v>
      </c>
      <c r="V529" s="233">
        <v>38230</v>
      </c>
      <c r="W529" s="233">
        <v>12608</v>
      </c>
      <c r="X529" s="233">
        <v>1229</v>
      </c>
      <c r="Y529" s="233">
        <v>918</v>
      </c>
      <c r="Z529" s="233">
        <v>19214</v>
      </c>
      <c r="AA529" s="233">
        <v>287</v>
      </c>
      <c r="AB529" s="233">
        <v>24974</v>
      </c>
      <c r="AC529" s="233">
        <v>119</v>
      </c>
      <c r="AD529" s="233">
        <v>0</v>
      </c>
      <c r="AE529" s="233">
        <v>119</v>
      </c>
      <c r="AF529" s="233">
        <v>22521</v>
      </c>
      <c r="AG529" s="233">
        <v>5154</v>
      </c>
      <c r="AH529" s="233">
        <v>755</v>
      </c>
      <c r="AI529" s="233">
        <v>35</v>
      </c>
      <c r="AJ529" s="233">
        <v>8362</v>
      </c>
    </row>
    <row r="530" spans="1:36">
      <c r="A530" s="240">
        <v>1</v>
      </c>
      <c r="B530" s="241" t="s">
        <v>3997</v>
      </c>
      <c r="C530" s="241" t="s">
        <v>3432</v>
      </c>
      <c r="D530" s="241" t="s">
        <v>5036</v>
      </c>
      <c r="E530" s="241">
        <v>6</v>
      </c>
      <c r="F530" s="242" t="s">
        <v>5037</v>
      </c>
      <c r="G530" s="233">
        <v>4980</v>
      </c>
      <c r="H530" s="233">
        <v>1811773</v>
      </c>
      <c r="I530" s="233">
        <v>43681</v>
      </c>
      <c r="J530" s="233">
        <v>7574</v>
      </c>
      <c r="K530" s="233">
        <v>36107</v>
      </c>
      <c r="L530" s="233">
        <v>1692853</v>
      </c>
      <c r="M530" s="233">
        <v>383751</v>
      </c>
      <c r="N530" s="233">
        <v>30743</v>
      </c>
      <c r="O530" s="233">
        <v>28544</v>
      </c>
      <c r="P530" s="233">
        <v>533414</v>
      </c>
      <c r="Q530" s="233">
        <v>4886</v>
      </c>
      <c r="R530" s="233">
        <v>1795113</v>
      </c>
      <c r="S530" s="233">
        <v>43040</v>
      </c>
      <c r="T530" s="233">
        <v>7565</v>
      </c>
      <c r="U530" s="233">
        <v>35476</v>
      </c>
      <c r="V530" s="233">
        <v>1675468</v>
      </c>
      <c r="W530" s="233">
        <v>379204</v>
      </c>
      <c r="X530" s="233">
        <v>30264</v>
      </c>
      <c r="Y530" s="233">
        <v>28522</v>
      </c>
      <c r="Z530" s="233">
        <v>529114</v>
      </c>
      <c r="AA530" s="233">
        <v>94</v>
      </c>
      <c r="AB530" s="233">
        <v>16660</v>
      </c>
      <c r="AC530" s="233">
        <v>640</v>
      </c>
      <c r="AD530" s="233">
        <v>9</v>
      </c>
      <c r="AE530" s="233">
        <v>631</v>
      </c>
      <c r="AF530" s="233">
        <v>17385</v>
      </c>
      <c r="AG530" s="233">
        <v>4546</v>
      </c>
      <c r="AH530" s="233">
        <v>479</v>
      </c>
      <c r="AI530" s="233">
        <v>22</v>
      </c>
      <c r="AJ530" s="233">
        <v>4300</v>
      </c>
    </row>
    <row r="531" spans="1:36">
      <c r="A531" s="240">
        <v>1</v>
      </c>
      <c r="B531" s="241" t="s">
        <v>3997</v>
      </c>
      <c r="C531" s="241" t="s">
        <v>4455</v>
      </c>
      <c r="D531" s="241" t="s">
        <v>5038</v>
      </c>
      <c r="E531" s="241">
        <v>7</v>
      </c>
      <c r="F531" s="242" t="s">
        <v>5039</v>
      </c>
      <c r="G531" s="233">
        <v>4388</v>
      </c>
      <c r="H531" s="233">
        <v>1190510</v>
      </c>
      <c r="I531" s="233">
        <v>39082</v>
      </c>
      <c r="J531" s="233">
        <v>6638</v>
      </c>
      <c r="K531" s="233">
        <v>32444</v>
      </c>
      <c r="L531" s="233">
        <v>1072881</v>
      </c>
      <c r="M531" s="233">
        <v>254930</v>
      </c>
      <c r="N531" s="233">
        <v>19959</v>
      </c>
      <c r="O531" s="233">
        <v>25710</v>
      </c>
      <c r="P531" s="233">
        <v>392519</v>
      </c>
      <c r="Q531" s="233">
        <v>4303</v>
      </c>
      <c r="R531" s="233">
        <v>1179402</v>
      </c>
      <c r="S531" s="233">
        <v>38457</v>
      </c>
      <c r="T531" s="233">
        <v>6629</v>
      </c>
      <c r="U531" s="233">
        <v>31828</v>
      </c>
      <c r="V531" s="233">
        <v>1062438</v>
      </c>
      <c r="W531" s="233">
        <v>252974</v>
      </c>
      <c r="X531" s="233">
        <v>19748</v>
      </c>
      <c r="Y531" s="233">
        <v>25705</v>
      </c>
      <c r="Z531" s="233">
        <v>389686</v>
      </c>
      <c r="AA531" s="233">
        <v>85</v>
      </c>
      <c r="AB531" s="233">
        <v>11108</v>
      </c>
      <c r="AC531" s="233">
        <v>625</v>
      </c>
      <c r="AD531" s="233">
        <v>9</v>
      </c>
      <c r="AE531" s="233">
        <v>616</v>
      </c>
      <c r="AF531" s="233">
        <v>10443</v>
      </c>
      <c r="AG531" s="233">
        <v>1955</v>
      </c>
      <c r="AH531" s="233">
        <v>211</v>
      </c>
      <c r="AI531" s="233">
        <v>5</v>
      </c>
      <c r="AJ531" s="233">
        <v>2832</v>
      </c>
    </row>
    <row r="532" spans="1:36">
      <c r="A532" s="240">
        <v>1</v>
      </c>
      <c r="B532" s="241" t="s">
        <v>3997</v>
      </c>
      <c r="C532" s="241" t="s">
        <v>4455</v>
      </c>
      <c r="D532" s="241" t="s">
        <v>5040</v>
      </c>
      <c r="E532" s="241">
        <v>7</v>
      </c>
      <c r="F532" s="242" t="s">
        <v>5041</v>
      </c>
      <c r="G532" s="233">
        <v>399</v>
      </c>
      <c r="H532" s="233">
        <v>368357</v>
      </c>
      <c r="I532" s="233">
        <v>2636</v>
      </c>
      <c r="J532" s="233">
        <v>151</v>
      </c>
      <c r="K532" s="233">
        <v>2485</v>
      </c>
      <c r="L532" s="233">
        <v>394885</v>
      </c>
      <c r="M532" s="233">
        <v>86163</v>
      </c>
      <c r="N532" s="233">
        <v>5273</v>
      </c>
      <c r="O532" s="233">
        <v>1647</v>
      </c>
      <c r="P532" s="233">
        <v>64908</v>
      </c>
      <c r="Q532" s="233">
        <v>392</v>
      </c>
      <c r="R532" s="235" t="s">
        <v>4020</v>
      </c>
      <c r="S532" s="235" t="s">
        <v>4020</v>
      </c>
      <c r="T532" s="235" t="s">
        <v>4020</v>
      </c>
      <c r="U532" s="235" t="s">
        <v>4020</v>
      </c>
      <c r="V532" s="235" t="s">
        <v>4020</v>
      </c>
      <c r="W532" s="235" t="s">
        <v>4020</v>
      </c>
      <c r="X532" s="235" t="s">
        <v>4020</v>
      </c>
      <c r="Y532" s="235" t="s">
        <v>4020</v>
      </c>
      <c r="Z532" s="235" t="s">
        <v>4020</v>
      </c>
      <c r="AA532" s="233">
        <v>7</v>
      </c>
      <c r="AB532" s="235" t="s">
        <v>4020</v>
      </c>
      <c r="AC532" s="235" t="s">
        <v>4020</v>
      </c>
      <c r="AD532" s="235" t="s">
        <v>4020</v>
      </c>
      <c r="AE532" s="235" t="s">
        <v>4020</v>
      </c>
      <c r="AF532" s="235" t="s">
        <v>4020</v>
      </c>
      <c r="AG532" s="235" t="s">
        <v>4020</v>
      </c>
      <c r="AH532" s="235" t="s">
        <v>4020</v>
      </c>
      <c r="AI532" s="235" t="s">
        <v>4020</v>
      </c>
      <c r="AJ532" s="235" t="s">
        <v>4020</v>
      </c>
    </row>
    <row r="533" spans="1:36">
      <c r="A533" s="240">
        <v>1</v>
      </c>
      <c r="B533" s="241" t="s">
        <v>3997</v>
      </c>
      <c r="C533" s="241" t="s">
        <v>4455</v>
      </c>
      <c r="D533" s="241" t="s">
        <v>5042</v>
      </c>
      <c r="E533" s="241">
        <v>7</v>
      </c>
      <c r="F533" s="242" t="s">
        <v>5043</v>
      </c>
      <c r="G533" s="233">
        <v>193</v>
      </c>
      <c r="H533" s="233">
        <v>252906</v>
      </c>
      <c r="I533" s="233">
        <v>1963</v>
      </c>
      <c r="J533" s="233">
        <v>785</v>
      </c>
      <c r="K533" s="233">
        <v>1178</v>
      </c>
      <c r="L533" s="233">
        <v>225087</v>
      </c>
      <c r="M533" s="233">
        <v>42658</v>
      </c>
      <c r="N533" s="233">
        <v>5510</v>
      </c>
      <c r="O533" s="233">
        <v>1188</v>
      </c>
      <c r="P533" s="233">
        <v>75987</v>
      </c>
      <c r="Q533" s="233">
        <v>191</v>
      </c>
      <c r="R533" s="235" t="s">
        <v>4020</v>
      </c>
      <c r="S533" s="235" t="s">
        <v>4020</v>
      </c>
      <c r="T533" s="235" t="s">
        <v>4020</v>
      </c>
      <c r="U533" s="235" t="s">
        <v>4020</v>
      </c>
      <c r="V533" s="235" t="s">
        <v>4020</v>
      </c>
      <c r="W533" s="235" t="s">
        <v>4020</v>
      </c>
      <c r="X533" s="235" t="s">
        <v>4020</v>
      </c>
      <c r="Y533" s="235" t="s">
        <v>4020</v>
      </c>
      <c r="Z533" s="235" t="s">
        <v>4020</v>
      </c>
      <c r="AA533" s="233">
        <v>2</v>
      </c>
      <c r="AB533" s="235" t="s">
        <v>4020</v>
      </c>
      <c r="AC533" s="235" t="s">
        <v>4020</v>
      </c>
      <c r="AD533" s="235" t="s">
        <v>4020</v>
      </c>
      <c r="AE533" s="235" t="s">
        <v>4020</v>
      </c>
      <c r="AF533" s="235" t="s">
        <v>4020</v>
      </c>
      <c r="AG533" s="235" t="s">
        <v>4020</v>
      </c>
      <c r="AH533" s="235" t="s">
        <v>4020</v>
      </c>
      <c r="AI533" s="235" t="s">
        <v>4020</v>
      </c>
      <c r="AJ533" s="235" t="s">
        <v>4020</v>
      </c>
    </row>
    <row r="534" spans="1:36">
      <c r="A534" s="240">
        <v>1</v>
      </c>
      <c r="B534" s="241" t="s">
        <v>3997</v>
      </c>
      <c r="C534" s="241" t="s">
        <v>3432</v>
      </c>
      <c r="D534" s="241" t="s">
        <v>5044</v>
      </c>
      <c r="E534" s="241">
        <v>6</v>
      </c>
      <c r="F534" s="242" t="s">
        <v>5045</v>
      </c>
      <c r="G534" s="233">
        <v>7213</v>
      </c>
      <c r="H534" s="233">
        <v>1059421</v>
      </c>
      <c r="I534" s="233">
        <v>65369</v>
      </c>
      <c r="J534" s="233">
        <v>6669</v>
      </c>
      <c r="K534" s="233">
        <v>58700</v>
      </c>
      <c r="L534" s="233">
        <v>999834</v>
      </c>
      <c r="M534" s="233">
        <v>167749</v>
      </c>
      <c r="N534" s="233">
        <v>8030</v>
      </c>
      <c r="O534" s="233">
        <v>57740</v>
      </c>
      <c r="P534" s="233">
        <v>235366</v>
      </c>
      <c r="Q534" s="233">
        <v>6223</v>
      </c>
      <c r="R534" s="233">
        <v>878062</v>
      </c>
      <c r="S534" s="233">
        <v>65341</v>
      </c>
      <c r="T534" s="233">
        <v>6663</v>
      </c>
      <c r="U534" s="233">
        <v>58678</v>
      </c>
      <c r="V534" s="233">
        <v>840423</v>
      </c>
      <c r="W534" s="233">
        <v>155871</v>
      </c>
      <c r="X534" s="233">
        <v>7311</v>
      </c>
      <c r="Y534" s="233">
        <v>57740</v>
      </c>
      <c r="Z534" s="233">
        <v>200821</v>
      </c>
      <c r="AA534" s="233">
        <v>990</v>
      </c>
      <c r="AB534" s="233">
        <v>181359</v>
      </c>
      <c r="AC534" s="233">
        <v>28</v>
      </c>
      <c r="AD534" s="233">
        <v>5</v>
      </c>
      <c r="AE534" s="233">
        <v>22</v>
      </c>
      <c r="AF534" s="233">
        <v>159411</v>
      </c>
      <c r="AG534" s="233">
        <v>11878</v>
      </c>
      <c r="AH534" s="233">
        <v>719</v>
      </c>
      <c r="AI534" s="233">
        <v>0</v>
      </c>
      <c r="AJ534" s="233">
        <v>34544</v>
      </c>
    </row>
    <row r="535" spans="1:36">
      <c r="A535" s="240">
        <v>1</v>
      </c>
      <c r="B535" s="241" t="s">
        <v>3997</v>
      </c>
      <c r="C535" s="241" t="s">
        <v>4455</v>
      </c>
      <c r="D535" s="241" t="s">
        <v>5046</v>
      </c>
      <c r="E535" s="241">
        <v>7</v>
      </c>
      <c r="F535" s="242" t="s">
        <v>5047</v>
      </c>
      <c r="G535" s="233">
        <v>603</v>
      </c>
      <c r="H535" s="233">
        <v>155938</v>
      </c>
      <c r="I535" s="233">
        <v>51295</v>
      </c>
      <c r="J535" s="233">
        <v>1737</v>
      </c>
      <c r="K535" s="233">
        <v>49558</v>
      </c>
      <c r="L535" s="233">
        <v>151253</v>
      </c>
      <c r="M535" s="233">
        <v>30049</v>
      </c>
      <c r="N535" s="233">
        <v>512</v>
      </c>
      <c r="O535" s="233">
        <v>48587</v>
      </c>
      <c r="P535" s="233">
        <v>35246</v>
      </c>
      <c r="Q535" s="233">
        <v>602</v>
      </c>
      <c r="R535" s="235" t="s">
        <v>4020</v>
      </c>
      <c r="S535" s="235" t="s">
        <v>4020</v>
      </c>
      <c r="T535" s="235" t="s">
        <v>4020</v>
      </c>
      <c r="U535" s="235" t="s">
        <v>4020</v>
      </c>
      <c r="V535" s="235" t="s">
        <v>4020</v>
      </c>
      <c r="W535" s="235" t="s">
        <v>4020</v>
      </c>
      <c r="X535" s="235" t="s">
        <v>4020</v>
      </c>
      <c r="Y535" s="235" t="s">
        <v>4020</v>
      </c>
      <c r="Z535" s="235" t="s">
        <v>4020</v>
      </c>
      <c r="AA535" s="233">
        <v>1</v>
      </c>
      <c r="AB535" s="235" t="s">
        <v>4020</v>
      </c>
      <c r="AC535" s="235" t="s">
        <v>4020</v>
      </c>
      <c r="AD535" s="235" t="s">
        <v>4020</v>
      </c>
      <c r="AE535" s="235" t="s">
        <v>4020</v>
      </c>
      <c r="AF535" s="235" t="s">
        <v>4020</v>
      </c>
      <c r="AG535" s="235" t="s">
        <v>4020</v>
      </c>
      <c r="AH535" s="235" t="s">
        <v>4020</v>
      </c>
      <c r="AI535" s="235" t="s">
        <v>4020</v>
      </c>
      <c r="AJ535" s="235" t="s">
        <v>4020</v>
      </c>
    </row>
    <row r="536" spans="1:36">
      <c r="A536" s="240">
        <v>1</v>
      </c>
      <c r="B536" s="241" t="s">
        <v>3997</v>
      </c>
      <c r="C536" s="241" t="s">
        <v>4455</v>
      </c>
      <c r="D536" s="241" t="s">
        <v>5048</v>
      </c>
      <c r="E536" s="241">
        <v>7</v>
      </c>
      <c r="F536" s="242" t="s">
        <v>5049</v>
      </c>
      <c r="G536" s="233">
        <v>6610</v>
      </c>
      <c r="H536" s="233">
        <v>903483</v>
      </c>
      <c r="I536" s="233">
        <v>14074</v>
      </c>
      <c r="J536" s="233">
        <v>4931</v>
      </c>
      <c r="K536" s="233">
        <v>9142</v>
      </c>
      <c r="L536" s="233">
        <v>848581</v>
      </c>
      <c r="M536" s="233">
        <v>137699</v>
      </c>
      <c r="N536" s="233">
        <v>7518</v>
      </c>
      <c r="O536" s="233">
        <v>9153</v>
      </c>
      <c r="P536" s="233">
        <v>200119</v>
      </c>
      <c r="Q536" s="233">
        <v>5621</v>
      </c>
      <c r="R536" s="235" t="s">
        <v>4020</v>
      </c>
      <c r="S536" s="235" t="s">
        <v>4020</v>
      </c>
      <c r="T536" s="235" t="s">
        <v>4020</v>
      </c>
      <c r="U536" s="235" t="s">
        <v>4020</v>
      </c>
      <c r="V536" s="235" t="s">
        <v>4020</v>
      </c>
      <c r="W536" s="235" t="s">
        <v>4020</v>
      </c>
      <c r="X536" s="235" t="s">
        <v>4020</v>
      </c>
      <c r="Y536" s="235" t="s">
        <v>4020</v>
      </c>
      <c r="Z536" s="235" t="s">
        <v>4020</v>
      </c>
      <c r="AA536" s="233">
        <v>989</v>
      </c>
      <c r="AB536" s="235" t="s">
        <v>4020</v>
      </c>
      <c r="AC536" s="235" t="s">
        <v>4020</v>
      </c>
      <c r="AD536" s="235" t="s">
        <v>4020</v>
      </c>
      <c r="AE536" s="235" t="s">
        <v>4020</v>
      </c>
      <c r="AF536" s="235" t="s">
        <v>4020</v>
      </c>
      <c r="AG536" s="235" t="s">
        <v>4020</v>
      </c>
      <c r="AH536" s="235" t="s">
        <v>4020</v>
      </c>
      <c r="AI536" s="235" t="s">
        <v>4020</v>
      </c>
      <c r="AJ536" s="235" t="s">
        <v>4020</v>
      </c>
    </row>
    <row r="537" spans="1:36">
      <c r="A537" s="240">
        <v>1</v>
      </c>
      <c r="B537" s="241" t="s">
        <v>3997</v>
      </c>
      <c r="C537" s="241" t="s">
        <v>3172</v>
      </c>
      <c r="D537" s="241" t="s">
        <v>5050</v>
      </c>
      <c r="E537" s="241">
        <v>5</v>
      </c>
      <c r="F537" s="242" t="s">
        <v>5051</v>
      </c>
      <c r="G537" s="233">
        <v>17166</v>
      </c>
      <c r="H537" s="233">
        <v>21268839</v>
      </c>
      <c r="I537" s="233">
        <v>225070</v>
      </c>
      <c r="J537" s="233">
        <v>27048</v>
      </c>
      <c r="K537" s="233">
        <v>198022</v>
      </c>
      <c r="L537" s="233">
        <v>20548516</v>
      </c>
      <c r="M537" s="233">
        <v>1713517</v>
      </c>
      <c r="N537" s="233">
        <v>138207</v>
      </c>
      <c r="O537" s="233">
        <v>159292</v>
      </c>
      <c r="P537" s="233">
        <v>2572046</v>
      </c>
      <c r="Q537" s="233">
        <v>15114</v>
      </c>
      <c r="R537" s="233">
        <v>17564723</v>
      </c>
      <c r="S537" s="233">
        <v>220689</v>
      </c>
      <c r="T537" s="233">
        <v>26777</v>
      </c>
      <c r="U537" s="233">
        <v>193913</v>
      </c>
      <c r="V537" s="233">
        <v>16943523</v>
      </c>
      <c r="W537" s="233">
        <v>1557623</v>
      </c>
      <c r="X537" s="233">
        <v>116191</v>
      </c>
      <c r="Y537" s="233">
        <v>157524</v>
      </c>
      <c r="Z537" s="233">
        <v>2295014</v>
      </c>
      <c r="AA537" s="233">
        <v>2052</v>
      </c>
      <c r="AB537" s="233">
        <v>3704116</v>
      </c>
      <c r="AC537" s="233">
        <v>4381</v>
      </c>
      <c r="AD537" s="233">
        <v>272</v>
      </c>
      <c r="AE537" s="233">
        <v>4109</v>
      </c>
      <c r="AF537" s="233">
        <v>3604993</v>
      </c>
      <c r="AG537" s="233">
        <v>155893</v>
      </c>
      <c r="AH537" s="233">
        <v>22015</v>
      </c>
      <c r="AI537" s="233">
        <v>1768</v>
      </c>
      <c r="AJ537" s="233">
        <v>277032</v>
      </c>
    </row>
    <row r="538" spans="1:36">
      <c r="A538" s="240">
        <v>1</v>
      </c>
      <c r="B538" s="241" t="s">
        <v>3997</v>
      </c>
      <c r="C538" s="241" t="s">
        <v>3432</v>
      </c>
      <c r="D538" s="241" t="s">
        <v>5052</v>
      </c>
      <c r="E538" s="241">
        <v>6</v>
      </c>
      <c r="F538" s="242" t="s">
        <v>5053</v>
      </c>
      <c r="G538" s="233">
        <v>159</v>
      </c>
      <c r="H538" s="233">
        <v>241608</v>
      </c>
      <c r="I538" s="233">
        <v>5137</v>
      </c>
      <c r="J538" s="233">
        <v>6</v>
      </c>
      <c r="K538" s="233">
        <v>5131</v>
      </c>
      <c r="L538" s="233">
        <v>243243</v>
      </c>
      <c r="M538" s="233">
        <v>29550</v>
      </c>
      <c r="N538" s="233">
        <v>2456</v>
      </c>
      <c r="O538" s="233">
        <v>2499</v>
      </c>
      <c r="P538" s="233">
        <v>30371</v>
      </c>
      <c r="Q538" s="233">
        <v>144</v>
      </c>
      <c r="R538" s="233">
        <v>241171</v>
      </c>
      <c r="S538" s="233">
        <v>5108</v>
      </c>
      <c r="T538" s="233">
        <v>6</v>
      </c>
      <c r="U538" s="233">
        <v>5102</v>
      </c>
      <c r="V538" s="233">
        <v>242823</v>
      </c>
      <c r="W538" s="233">
        <v>29420</v>
      </c>
      <c r="X538" s="233">
        <v>2448</v>
      </c>
      <c r="Y538" s="233">
        <v>2499</v>
      </c>
      <c r="Z538" s="233">
        <v>30216</v>
      </c>
      <c r="AA538" s="233">
        <v>15</v>
      </c>
      <c r="AB538" s="233">
        <v>436</v>
      </c>
      <c r="AC538" s="233">
        <v>29</v>
      </c>
      <c r="AD538" s="233">
        <v>0</v>
      </c>
      <c r="AE538" s="233">
        <v>29</v>
      </c>
      <c r="AF538" s="233">
        <v>420</v>
      </c>
      <c r="AG538" s="233">
        <v>130</v>
      </c>
      <c r="AH538" s="233">
        <v>8</v>
      </c>
      <c r="AI538" s="233">
        <v>0</v>
      </c>
      <c r="AJ538" s="233">
        <v>155</v>
      </c>
    </row>
    <row r="539" spans="1:36">
      <c r="A539" s="240">
        <v>1</v>
      </c>
      <c r="B539" s="241" t="s">
        <v>3997</v>
      </c>
      <c r="C539" s="241" t="s">
        <v>3432</v>
      </c>
      <c r="D539" s="241" t="s">
        <v>5054</v>
      </c>
      <c r="E539" s="241">
        <v>6</v>
      </c>
      <c r="F539" s="242" t="s">
        <v>5055</v>
      </c>
      <c r="G539" s="233">
        <v>3445</v>
      </c>
      <c r="H539" s="233">
        <v>1324184</v>
      </c>
      <c r="I539" s="233">
        <v>48811</v>
      </c>
      <c r="J539" s="233">
        <v>6504</v>
      </c>
      <c r="K539" s="233">
        <v>42307</v>
      </c>
      <c r="L539" s="233">
        <v>1251843</v>
      </c>
      <c r="M539" s="233">
        <v>170205</v>
      </c>
      <c r="N539" s="233">
        <v>11211</v>
      </c>
      <c r="O539" s="233">
        <v>27713</v>
      </c>
      <c r="P539" s="233">
        <v>253757</v>
      </c>
      <c r="Q539" s="233">
        <v>3029</v>
      </c>
      <c r="R539" s="233">
        <v>1133281</v>
      </c>
      <c r="S539" s="233">
        <v>48247</v>
      </c>
      <c r="T539" s="233">
        <v>6504</v>
      </c>
      <c r="U539" s="233">
        <v>41743</v>
      </c>
      <c r="V539" s="233">
        <v>1060169</v>
      </c>
      <c r="W539" s="233">
        <v>136336</v>
      </c>
      <c r="X539" s="233">
        <v>8995</v>
      </c>
      <c r="Y539" s="233">
        <v>27436</v>
      </c>
      <c r="Z539" s="233">
        <v>218443</v>
      </c>
      <c r="AA539" s="233">
        <v>416</v>
      </c>
      <c r="AB539" s="233">
        <v>190903</v>
      </c>
      <c r="AC539" s="233">
        <v>564</v>
      </c>
      <c r="AD539" s="233">
        <v>0</v>
      </c>
      <c r="AE539" s="233">
        <v>564</v>
      </c>
      <c r="AF539" s="233">
        <v>191674</v>
      </c>
      <c r="AG539" s="233">
        <v>33869</v>
      </c>
      <c r="AH539" s="233">
        <v>2216</v>
      </c>
      <c r="AI539" s="233">
        <v>276</v>
      </c>
      <c r="AJ539" s="233">
        <v>35314</v>
      </c>
    </row>
    <row r="540" spans="1:36">
      <c r="A540" s="240">
        <v>1</v>
      </c>
      <c r="B540" s="241" t="s">
        <v>3997</v>
      </c>
      <c r="C540" s="241" t="s">
        <v>3432</v>
      </c>
      <c r="D540" s="270" t="s">
        <v>5056</v>
      </c>
      <c r="E540" s="241">
        <v>6</v>
      </c>
      <c r="F540" s="242" t="s">
        <v>5057</v>
      </c>
      <c r="G540" s="271">
        <v>114</v>
      </c>
      <c r="H540" s="271">
        <v>3352071</v>
      </c>
      <c r="I540" s="233">
        <v>18</v>
      </c>
      <c r="J540" s="233">
        <v>0</v>
      </c>
      <c r="K540" s="233">
        <v>18</v>
      </c>
      <c r="L540" s="233">
        <v>3212383</v>
      </c>
      <c r="M540" s="233">
        <v>49323</v>
      </c>
      <c r="N540" s="233">
        <v>13925</v>
      </c>
      <c r="O540" s="233">
        <v>0</v>
      </c>
      <c r="P540" s="233">
        <v>202937</v>
      </c>
      <c r="Q540" s="233">
        <v>98</v>
      </c>
      <c r="R540" s="233">
        <v>147001</v>
      </c>
      <c r="S540" s="233">
        <v>18</v>
      </c>
      <c r="T540" s="233">
        <v>0</v>
      </c>
      <c r="U540" s="233">
        <v>18</v>
      </c>
      <c r="V540" s="233">
        <v>98837</v>
      </c>
      <c r="W540" s="233">
        <v>20066</v>
      </c>
      <c r="X540" s="233">
        <v>3339</v>
      </c>
      <c r="Y540" s="233">
        <v>0</v>
      </c>
      <c r="Z540" s="233">
        <v>71569</v>
      </c>
      <c r="AA540" s="233">
        <v>16</v>
      </c>
      <c r="AB540" s="233">
        <v>3205070</v>
      </c>
      <c r="AC540" s="233">
        <v>0</v>
      </c>
      <c r="AD540" s="233">
        <v>0</v>
      </c>
      <c r="AE540" s="233">
        <v>0</v>
      </c>
      <c r="AF540" s="233">
        <v>3113545</v>
      </c>
      <c r="AG540" s="233">
        <v>29257</v>
      </c>
      <c r="AH540" s="233">
        <v>10586</v>
      </c>
      <c r="AI540" s="233">
        <v>0</v>
      </c>
      <c r="AJ540" s="233">
        <v>131368</v>
      </c>
    </row>
    <row r="541" spans="1:36">
      <c r="A541" s="240">
        <v>1</v>
      </c>
      <c r="B541" s="241" t="s">
        <v>3997</v>
      </c>
      <c r="C541" s="241" t="s">
        <v>3432</v>
      </c>
      <c r="D541" s="270" t="s">
        <v>5058</v>
      </c>
      <c r="E541" s="241">
        <v>6</v>
      </c>
      <c r="F541" s="242" t="s">
        <v>5059</v>
      </c>
      <c r="G541" s="271">
        <v>6180</v>
      </c>
      <c r="H541" s="271">
        <v>1934331</v>
      </c>
      <c r="I541" s="233">
        <v>33737</v>
      </c>
      <c r="J541" s="233">
        <v>4445</v>
      </c>
      <c r="K541" s="233">
        <v>29293</v>
      </c>
      <c r="L541" s="233">
        <v>1821768</v>
      </c>
      <c r="M541" s="233">
        <v>549354</v>
      </c>
      <c r="N541" s="233">
        <v>42249</v>
      </c>
      <c r="O541" s="233">
        <v>18259</v>
      </c>
      <c r="P541" s="233">
        <v>704166</v>
      </c>
      <c r="Q541" s="233">
        <v>5411</v>
      </c>
      <c r="R541" s="233">
        <v>1756192</v>
      </c>
      <c r="S541" s="233">
        <v>33352</v>
      </c>
      <c r="T541" s="233">
        <v>4430</v>
      </c>
      <c r="U541" s="233">
        <v>28922</v>
      </c>
      <c r="V541" s="233">
        <v>1645695</v>
      </c>
      <c r="W541" s="233">
        <v>494121</v>
      </c>
      <c r="X541" s="233">
        <v>36516</v>
      </c>
      <c r="Y541" s="233">
        <v>18067</v>
      </c>
      <c r="Z541" s="233">
        <v>641135</v>
      </c>
      <c r="AA541" s="233">
        <v>769</v>
      </c>
      <c r="AB541" s="233">
        <v>178139</v>
      </c>
      <c r="AC541" s="233">
        <v>386</v>
      </c>
      <c r="AD541" s="233">
        <v>15</v>
      </c>
      <c r="AE541" s="233">
        <v>371</v>
      </c>
      <c r="AF541" s="233">
        <v>176072</v>
      </c>
      <c r="AG541" s="233">
        <v>55233</v>
      </c>
      <c r="AH541" s="233">
        <v>5732</v>
      </c>
      <c r="AI541" s="233">
        <v>192</v>
      </c>
      <c r="AJ541" s="233">
        <v>63031</v>
      </c>
    </row>
    <row r="542" spans="1:36">
      <c r="A542" s="240">
        <v>1</v>
      </c>
      <c r="B542" s="241" t="s">
        <v>3997</v>
      </c>
      <c r="C542" s="241" t="s">
        <v>4455</v>
      </c>
      <c r="D542" s="270" t="s">
        <v>5060</v>
      </c>
      <c r="E542" s="241">
        <v>7</v>
      </c>
      <c r="F542" s="242" t="s">
        <v>5061</v>
      </c>
      <c r="G542" s="271">
        <v>1094</v>
      </c>
      <c r="H542" s="271">
        <v>244908</v>
      </c>
      <c r="I542" s="233">
        <v>2538</v>
      </c>
      <c r="J542" s="233">
        <v>505</v>
      </c>
      <c r="K542" s="233">
        <v>2033</v>
      </c>
      <c r="L542" s="233">
        <v>238091</v>
      </c>
      <c r="M542" s="233">
        <v>73097</v>
      </c>
      <c r="N542" s="233">
        <v>5330</v>
      </c>
      <c r="O542" s="233">
        <v>1187</v>
      </c>
      <c r="P542" s="233">
        <v>85244</v>
      </c>
      <c r="Q542" s="233">
        <v>714</v>
      </c>
      <c r="R542" s="233">
        <v>131464</v>
      </c>
      <c r="S542" s="233">
        <v>2280</v>
      </c>
      <c r="T542" s="233">
        <v>491</v>
      </c>
      <c r="U542" s="233">
        <v>1789</v>
      </c>
      <c r="V542" s="233">
        <v>125296</v>
      </c>
      <c r="W542" s="233">
        <v>40136</v>
      </c>
      <c r="X542" s="233">
        <v>1581</v>
      </c>
      <c r="Y542" s="233">
        <v>1069</v>
      </c>
      <c r="Z542" s="233">
        <v>47885</v>
      </c>
      <c r="AA542" s="233">
        <v>380</v>
      </c>
      <c r="AB542" s="233">
        <v>113444</v>
      </c>
      <c r="AC542" s="233">
        <v>257</v>
      </c>
      <c r="AD542" s="233">
        <v>14</v>
      </c>
      <c r="AE542" s="233">
        <v>243</v>
      </c>
      <c r="AF542" s="233">
        <v>112795</v>
      </c>
      <c r="AG542" s="233">
        <v>32960</v>
      </c>
      <c r="AH542" s="233">
        <v>3750</v>
      </c>
      <c r="AI542" s="233">
        <v>118</v>
      </c>
      <c r="AJ542" s="233">
        <v>37360</v>
      </c>
    </row>
    <row r="543" spans="1:36">
      <c r="A543" s="240">
        <v>1</v>
      </c>
      <c r="B543" s="241" t="s">
        <v>3997</v>
      </c>
      <c r="C543" s="241" t="s">
        <v>4455</v>
      </c>
      <c r="D543" s="270" t="s">
        <v>5062</v>
      </c>
      <c r="E543" s="241">
        <v>7</v>
      </c>
      <c r="F543" s="242" t="s">
        <v>5063</v>
      </c>
      <c r="G543" s="271">
        <v>180</v>
      </c>
      <c r="H543" s="271">
        <v>38772</v>
      </c>
      <c r="I543" s="233">
        <v>67</v>
      </c>
      <c r="J543" s="233">
        <v>0</v>
      </c>
      <c r="K543" s="233">
        <v>67</v>
      </c>
      <c r="L543" s="233">
        <v>38182</v>
      </c>
      <c r="M543" s="233">
        <v>13322</v>
      </c>
      <c r="N543" s="233">
        <v>1032</v>
      </c>
      <c r="O543" s="233">
        <v>37</v>
      </c>
      <c r="P543" s="233">
        <v>14945</v>
      </c>
      <c r="Q543" s="233">
        <v>29</v>
      </c>
      <c r="R543" s="233">
        <v>5592</v>
      </c>
      <c r="S543" s="233">
        <v>39</v>
      </c>
      <c r="T543" s="233">
        <v>0</v>
      </c>
      <c r="U543" s="233">
        <v>39</v>
      </c>
      <c r="V543" s="233">
        <v>5363</v>
      </c>
      <c r="W543" s="233">
        <v>1697</v>
      </c>
      <c r="X543" s="233">
        <v>78</v>
      </c>
      <c r="Y543" s="233">
        <v>22</v>
      </c>
      <c r="Z543" s="233">
        <v>2003</v>
      </c>
      <c r="AA543" s="233">
        <v>151</v>
      </c>
      <c r="AB543" s="233">
        <v>33180</v>
      </c>
      <c r="AC543" s="233">
        <v>28</v>
      </c>
      <c r="AD543" s="233">
        <v>0</v>
      </c>
      <c r="AE543" s="233">
        <v>28</v>
      </c>
      <c r="AF543" s="233">
        <v>32818</v>
      </c>
      <c r="AG543" s="233">
        <v>11625</v>
      </c>
      <c r="AH543" s="233">
        <v>954</v>
      </c>
      <c r="AI543" s="233">
        <v>15</v>
      </c>
      <c r="AJ543" s="233">
        <v>12941</v>
      </c>
    </row>
    <row r="544" spans="1:36">
      <c r="A544" s="240">
        <v>1</v>
      </c>
      <c r="B544" s="241" t="s">
        <v>3997</v>
      </c>
      <c r="C544" s="241" t="s">
        <v>4455</v>
      </c>
      <c r="D544" s="270" t="s">
        <v>5064</v>
      </c>
      <c r="E544" s="241">
        <v>7</v>
      </c>
      <c r="F544" s="242" t="s">
        <v>5065</v>
      </c>
      <c r="G544" s="271">
        <v>1433</v>
      </c>
      <c r="H544" s="271">
        <v>852229</v>
      </c>
      <c r="I544" s="233">
        <v>11852</v>
      </c>
      <c r="J544" s="233">
        <v>43</v>
      </c>
      <c r="K544" s="233">
        <v>11809</v>
      </c>
      <c r="L544" s="233">
        <v>769072</v>
      </c>
      <c r="M544" s="233">
        <v>249832</v>
      </c>
      <c r="N544" s="233">
        <v>21518</v>
      </c>
      <c r="O544" s="233">
        <v>7988</v>
      </c>
      <c r="P544" s="233">
        <v>354506</v>
      </c>
      <c r="Q544" s="233">
        <v>1363</v>
      </c>
      <c r="R544" s="233">
        <v>827372</v>
      </c>
      <c r="S544" s="233">
        <v>11760</v>
      </c>
      <c r="T544" s="233">
        <v>43</v>
      </c>
      <c r="U544" s="233">
        <v>11717</v>
      </c>
      <c r="V544" s="233">
        <v>744921</v>
      </c>
      <c r="W544" s="233">
        <v>241714</v>
      </c>
      <c r="X544" s="233">
        <v>20827</v>
      </c>
      <c r="Y544" s="233">
        <v>7932</v>
      </c>
      <c r="Z544" s="233">
        <v>344992</v>
      </c>
      <c r="AA544" s="233">
        <v>70</v>
      </c>
      <c r="AB544" s="233">
        <v>24856</v>
      </c>
      <c r="AC544" s="233">
        <v>92</v>
      </c>
      <c r="AD544" s="233">
        <v>0</v>
      </c>
      <c r="AE544" s="233">
        <v>92</v>
      </c>
      <c r="AF544" s="233">
        <v>24151</v>
      </c>
      <c r="AG544" s="233">
        <v>8118</v>
      </c>
      <c r="AH544" s="233">
        <v>691</v>
      </c>
      <c r="AI544" s="233">
        <v>56</v>
      </c>
      <c r="AJ544" s="233">
        <v>9514</v>
      </c>
    </row>
    <row r="545" spans="1:36">
      <c r="A545" s="240">
        <v>1</v>
      </c>
      <c r="B545" s="241" t="s">
        <v>3997</v>
      </c>
      <c r="C545" s="241" t="s">
        <v>4455</v>
      </c>
      <c r="D545" s="270" t="s">
        <v>5066</v>
      </c>
      <c r="E545" s="241">
        <v>7</v>
      </c>
      <c r="F545" s="242" t="s">
        <v>5067</v>
      </c>
      <c r="G545" s="271">
        <v>1371</v>
      </c>
      <c r="H545" s="271">
        <v>147053</v>
      </c>
      <c r="I545" s="233">
        <v>4214</v>
      </c>
      <c r="J545" s="233">
        <v>111</v>
      </c>
      <c r="K545" s="233">
        <v>4103</v>
      </c>
      <c r="L545" s="233">
        <v>123960</v>
      </c>
      <c r="M545" s="233">
        <v>38478</v>
      </c>
      <c r="N545" s="233">
        <v>5315</v>
      </c>
      <c r="O545" s="233">
        <v>2552</v>
      </c>
      <c r="P545" s="233">
        <v>66886</v>
      </c>
      <c r="Q545" s="233">
        <v>1366</v>
      </c>
      <c r="R545" s="233">
        <v>146891</v>
      </c>
      <c r="S545" s="233">
        <v>4214</v>
      </c>
      <c r="T545" s="233">
        <v>111</v>
      </c>
      <c r="U545" s="233">
        <v>4103</v>
      </c>
      <c r="V545" s="233">
        <v>123811</v>
      </c>
      <c r="W545" s="233">
        <v>38408</v>
      </c>
      <c r="X545" s="233">
        <v>5314</v>
      </c>
      <c r="Y545" s="233">
        <v>2552</v>
      </c>
      <c r="Z545" s="233">
        <v>66802</v>
      </c>
      <c r="AA545" s="233">
        <v>5</v>
      </c>
      <c r="AB545" s="233">
        <v>162</v>
      </c>
      <c r="AC545" s="233">
        <v>0</v>
      </c>
      <c r="AD545" s="233">
        <v>0</v>
      </c>
      <c r="AE545" s="233">
        <v>0</v>
      </c>
      <c r="AF545" s="233">
        <v>149</v>
      </c>
      <c r="AG545" s="233">
        <v>70</v>
      </c>
      <c r="AH545" s="233">
        <v>1</v>
      </c>
      <c r="AI545" s="233">
        <v>0</v>
      </c>
      <c r="AJ545" s="233">
        <v>84</v>
      </c>
    </row>
    <row r="546" spans="1:36">
      <c r="A546" s="240">
        <v>1</v>
      </c>
      <c r="B546" s="241" t="s">
        <v>3997</v>
      </c>
      <c r="C546" s="241" t="s">
        <v>4455</v>
      </c>
      <c r="D546" s="270" t="s">
        <v>5068</v>
      </c>
      <c r="E546" s="241">
        <v>7</v>
      </c>
      <c r="F546" s="242" t="s">
        <v>5069</v>
      </c>
      <c r="G546" s="271">
        <v>177</v>
      </c>
      <c r="H546" s="271">
        <v>100258</v>
      </c>
      <c r="I546" s="233">
        <v>1755</v>
      </c>
      <c r="J546" s="233">
        <v>672</v>
      </c>
      <c r="K546" s="233">
        <v>1083</v>
      </c>
      <c r="L546" s="233">
        <v>103326</v>
      </c>
      <c r="M546" s="233">
        <v>26684</v>
      </c>
      <c r="N546" s="233">
        <v>1733</v>
      </c>
      <c r="O546" s="233">
        <v>1002</v>
      </c>
      <c r="P546" s="233">
        <v>25349</v>
      </c>
      <c r="Q546" s="233">
        <v>177</v>
      </c>
      <c r="R546" s="233">
        <v>100258</v>
      </c>
      <c r="S546" s="233">
        <v>1755</v>
      </c>
      <c r="T546" s="233">
        <v>672</v>
      </c>
      <c r="U546" s="233">
        <v>1083</v>
      </c>
      <c r="V546" s="233">
        <v>103326</v>
      </c>
      <c r="W546" s="233">
        <v>26684</v>
      </c>
      <c r="X546" s="233">
        <v>1733</v>
      </c>
      <c r="Y546" s="233">
        <v>1002</v>
      </c>
      <c r="Z546" s="233">
        <v>25349</v>
      </c>
      <c r="AA546" s="235" t="s">
        <v>5298</v>
      </c>
      <c r="AB546" s="235" t="s">
        <v>5298</v>
      </c>
      <c r="AC546" s="235" t="s">
        <v>5298</v>
      </c>
      <c r="AD546" s="235" t="s">
        <v>5298</v>
      </c>
      <c r="AE546" s="235" t="s">
        <v>5298</v>
      </c>
      <c r="AF546" s="235" t="s">
        <v>5298</v>
      </c>
      <c r="AG546" s="235" t="s">
        <v>5298</v>
      </c>
      <c r="AH546" s="235" t="s">
        <v>5298</v>
      </c>
      <c r="AI546" s="235" t="s">
        <v>5298</v>
      </c>
      <c r="AJ546" s="235" t="s">
        <v>5298</v>
      </c>
    </row>
    <row r="547" spans="1:36">
      <c r="A547" s="240">
        <v>1</v>
      </c>
      <c r="B547" s="241" t="s">
        <v>3997</v>
      </c>
      <c r="C547" s="241" t="s">
        <v>4455</v>
      </c>
      <c r="D547" s="270" t="s">
        <v>5070</v>
      </c>
      <c r="E547" s="241">
        <v>7</v>
      </c>
      <c r="F547" s="242" t="s">
        <v>5071</v>
      </c>
      <c r="G547" s="271">
        <v>179</v>
      </c>
      <c r="H547" s="271">
        <v>9096</v>
      </c>
      <c r="I547" s="233">
        <v>89</v>
      </c>
      <c r="J547" s="233">
        <v>0</v>
      </c>
      <c r="K547" s="233">
        <v>89</v>
      </c>
      <c r="L547" s="233">
        <v>9248</v>
      </c>
      <c r="M547" s="233">
        <v>2970</v>
      </c>
      <c r="N547" s="233">
        <v>461</v>
      </c>
      <c r="O547" s="233">
        <v>47</v>
      </c>
      <c r="P547" s="233">
        <v>3279</v>
      </c>
      <c r="Q547" s="233">
        <v>163</v>
      </c>
      <c r="R547" s="233">
        <v>8015</v>
      </c>
      <c r="S547" s="233">
        <v>85</v>
      </c>
      <c r="T547" s="233">
        <v>0</v>
      </c>
      <c r="U547" s="233">
        <v>85</v>
      </c>
      <c r="V547" s="233">
        <v>8085</v>
      </c>
      <c r="W547" s="233">
        <v>2561</v>
      </c>
      <c r="X547" s="233">
        <v>305</v>
      </c>
      <c r="Y547" s="233">
        <v>44</v>
      </c>
      <c r="Z547" s="233">
        <v>2796</v>
      </c>
      <c r="AA547" s="233">
        <v>16</v>
      </c>
      <c r="AB547" s="233">
        <v>1082</v>
      </c>
      <c r="AC547" s="233">
        <v>4</v>
      </c>
      <c r="AD547" s="233">
        <v>0</v>
      </c>
      <c r="AE547" s="233">
        <v>4</v>
      </c>
      <c r="AF547" s="233">
        <v>1163</v>
      </c>
      <c r="AG547" s="233">
        <v>409</v>
      </c>
      <c r="AH547" s="233">
        <v>156</v>
      </c>
      <c r="AI547" s="233">
        <v>3</v>
      </c>
      <c r="AJ547" s="233">
        <v>483</v>
      </c>
    </row>
    <row r="548" spans="1:36">
      <c r="A548" s="240">
        <v>1</v>
      </c>
      <c r="B548" s="241" t="s">
        <v>3997</v>
      </c>
      <c r="C548" s="241" t="s">
        <v>4455</v>
      </c>
      <c r="D548" s="270" t="s">
        <v>5072</v>
      </c>
      <c r="E548" s="241">
        <v>7</v>
      </c>
      <c r="F548" s="242" t="s">
        <v>5073</v>
      </c>
      <c r="G548" s="271">
        <v>179</v>
      </c>
      <c r="H548" s="271">
        <v>7503</v>
      </c>
      <c r="I548" s="233">
        <v>126</v>
      </c>
      <c r="J548" s="233">
        <v>109</v>
      </c>
      <c r="K548" s="233">
        <v>17</v>
      </c>
      <c r="L548" s="233">
        <v>7446</v>
      </c>
      <c r="M548" s="233">
        <v>2512</v>
      </c>
      <c r="N548" s="233">
        <v>267</v>
      </c>
      <c r="O548" s="233">
        <v>70</v>
      </c>
      <c r="P548" s="233">
        <v>2836</v>
      </c>
      <c r="Q548" s="233">
        <v>179</v>
      </c>
      <c r="R548" s="233">
        <v>7503</v>
      </c>
      <c r="S548" s="233">
        <v>126</v>
      </c>
      <c r="T548" s="233">
        <v>109</v>
      </c>
      <c r="U548" s="233">
        <v>17</v>
      </c>
      <c r="V548" s="233">
        <v>7446</v>
      </c>
      <c r="W548" s="233">
        <v>2512</v>
      </c>
      <c r="X548" s="233">
        <v>267</v>
      </c>
      <c r="Y548" s="233">
        <v>70</v>
      </c>
      <c r="Z548" s="233">
        <v>2836</v>
      </c>
      <c r="AA548" s="235" t="s">
        <v>5298</v>
      </c>
      <c r="AB548" s="235" t="s">
        <v>5298</v>
      </c>
      <c r="AC548" s="235" t="s">
        <v>5298</v>
      </c>
      <c r="AD548" s="235" t="s">
        <v>5298</v>
      </c>
      <c r="AE548" s="235" t="s">
        <v>5298</v>
      </c>
      <c r="AF548" s="235" t="s">
        <v>5298</v>
      </c>
      <c r="AG548" s="235" t="s">
        <v>5298</v>
      </c>
      <c r="AH548" s="235" t="s">
        <v>5298</v>
      </c>
      <c r="AI548" s="235" t="s">
        <v>5298</v>
      </c>
      <c r="AJ548" s="235" t="s">
        <v>5298</v>
      </c>
    </row>
    <row r="549" spans="1:36">
      <c r="A549" s="240">
        <v>1</v>
      </c>
      <c r="B549" s="241" t="s">
        <v>3997</v>
      </c>
      <c r="C549" s="241" t="s">
        <v>4455</v>
      </c>
      <c r="D549" s="270" t="s">
        <v>5074</v>
      </c>
      <c r="E549" s="241">
        <v>7</v>
      </c>
      <c r="F549" s="242" t="s">
        <v>5075</v>
      </c>
      <c r="G549" s="271">
        <v>1566</v>
      </c>
      <c r="H549" s="271">
        <v>534489</v>
      </c>
      <c r="I549" s="233">
        <v>13096</v>
      </c>
      <c r="J549" s="233">
        <v>3004</v>
      </c>
      <c r="K549" s="233">
        <v>10092</v>
      </c>
      <c r="L549" s="233">
        <v>532422</v>
      </c>
      <c r="M549" s="233">
        <v>142447</v>
      </c>
      <c r="N549" s="233">
        <v>6592</v>
      </c>
      <c r="O549" s="233">
        <v>5375</v>
      </c>
      <c r="P549" s="233">
        <v>151106</v>
      </c>
      <c r="Q549" s="233">
        <v>1419</v>
      </c>
      <c r="R549" s="233">
        <v>529075</v>
      </c>
      <c r="S549" s="233">
        <v>13093</v>
      </c>
      <c r="T549" s="233">
        <v>3004</v>
      </c>
      <c r="U549" s="233">
        <v>10089</v>
      </c>
      <c r="V549" s="233">
        <v>527425</v>
      </c>
      <c r="W549" s="233">
        <v>140396</v>
      </c>
      <c r="X549" s="233">
        <v>6412</v>
      </c>
      <c r="Y549" s="233">
        <v>5375</v>
      </c>
      <c r="Z549" s="233">
        <v>148457</v>
      </c>
      <c r="AA549" s="233">
        <v>147</v>
      </c>
      <c r="AB549" s="233">
        <v>5414</v>
      </c>
      <c r="AC549" s="233">
        <v>4</v>
      </c>
      <c r="AD549" s="233">
        <v>0</v>
      </c>
      <c r="AE549" s="233">
        <v>3</v>
      </c>
      <c r="AF549" s="233">
        <v>4996</v>
      </c>
      <c r="AG549" s="233">
        <v>2051</v>
      </c>
      <c r="AH549" s="233">
        <v>180</v>
      </c>
      <c r="AI549" s="233">
        <v>0</v>
      </c>
      <c r="AJ549" s="233">
        <v>2649</v>
      </c>
    </row>
    <row r="550" spans="1:36">
      <c r="A550" s="240">
        <v>1</v>
      </c>
      <c r="B550" s="241" t="s">
        <v>3997</v>
      </c>
      <c r="C550" s="241" t="s">
        <v>3432</v>
      </c>
      <c r="D550" s="241" t="s">
        <v>5076</v>
      </c>
      <c r="E550" s="241">
        <v>6</v>
      </c>
      <c r="F550" s="242" t="s">
        <v>5077</v>
      </c>
      <c r="G550" s="233">
        <v>599</v>
      </c>
      <c r="H550" s="233">
        <v>638611</v>
      </c>
      <c r="I550" s="233">
        <v>88747</v>
      </c>
      <c r="J550" s="233">
        <v>945</v>
      </c>
      <c r="K550" s="233">
        <v>87802</v>
      </c>
      <c r="L550" s="233">
        <v>653061</v>
      </c>
      <c r="M550" s="233">
        <v>164723</v>
      </c>
      <c r="N550" s="233">
        <v>15804</v>
      </c>
      <c r="O550" s="233">
        <v>37555</v>
      </c>
      <c r="P550" s="233">
        <v>166077</v>
      </c>
      <c r="Q550" s="233">
        <v>315</v>
      </c>
      <c r="R550" s="233">
        <v>520469</v>
      </c>
      <c r="S550" s="233">
        <v>85437</v>
      </c>
      <c r="T550" s="233">
        <v>709</v>
      </c>
      <c r="U550" s="233">
        <v>84728</v>
      </c>
      <c r="V550" s="233">
        <v>539699</v>
      </c>
      <c r="W550" s="233">
        <v>129620</v>
      </c>
      <c r="X550" s="233">
        <v>12474</v>
      </c>
      <c r="Y550" s="233">
        <v>36279</v>
      </c>
      <c r="Z550" s="233">
        <v>122865</v>
      </c>
      <c r="AA550" s="233">
        <v>284</v>
      </c>
      <c r="AB550" s="233">
        <v>118142</v>
      </c>
      <c r="AC550" s="233">
        <v>3310</v>
      </c>
      <c r="AD550" s="233">
        <v>236</v>
      </c>
      <c r="AE550" s="233">
        <v>3074</v>
      </c>
      <c r="AF550" s="233">
        <v>113362</v>
      </c>
      <c r="AG550" s="233">
        <v>35103</v>
      </c>
      <c r="AH550" s="233">
        <v>3329</v>
      </c>
      <c r="AI550" s="233">
        <v>1276</v>
      </c>
      <c r="AJ550" s="233">
        <v>43212</v>
      </c>
    </row>
    <row r="551" spans="1:36">
      <c r="A551" s="240">
        <v>1</v>
      </c>
      <c r="B551" s="241" t="s">
        <v>3997</v>
      </c>
      <c r="C551" s="241" t="s">
        <v>3432</v>
      </c>
      <c r="D551" s="241" t="s">
        <v>5078</v>
      </c>
      <c r="E551" s="241">
        <v>6</v>
      </c>
      <c r="F551" s="242" t="s">
        <v>5079</v>
      </c>
      <c r="G551" s="233">
        <v>3353</v>
      </c>
      <c r="H551" s="233">
        <v>13191485</v>
      </c>
      <c r="I551" s="233">
        <v>40755</v>
      </c>
      <c r="J551" s="233">
        <v>13452</v>
      </c>
      <c r="K551" s="233">
        <v>27303</v>
      </c>
      <c r="L551" s="233">
        <v>12814439</v>
      </c>
      <c r="M551" s="233">
        <v>615193</v>
      </c>
      <c r="N551" s="233">
        <v>46693</v>
      </c>
      <c r="O551" s="233">
        <v>70539</v>
      </c>
      <c r="P551" s="233">
        <v>1038932</v>
      </c>
      <c r="Q551" s="233">
        <v>3333</v>
      </c>
      <c r="R551" s="233">
        <v>13191293</v>
      </c>
      <c r="S551" s="233">
        <v>40755</v>
      </c>
      <c r="T551" s="233">
        <v>13452</v>
      </c>
      <c r="U551" s="233">
        <v>27303</v>
      </c>
      <c r="V551" s="233">
        <v>12814244</v>
      </c>
      <c r="W551" s="233">
        <v>615130</v>
      </c>
      <c r="X551" s="233">
        <v>46691</v>
      </c>
      <c r="Y551" s="233">
        <v>70539</v>
      </c>
      <c r="Z551" s="233">
        <v>1038870</v>
      </c>
      <c r="AA551" s="233">
        <v>20</v>
      </c>
      <c r="AB551" s="233">
        <v>193</v>
      </c>
      <c r="AC551" s="233">
        <v>0</v>
      </c>
      <c r="AD551" s="233">
        <v>0</v>
      </c>
      <c r="AE551" s="233">
        <v>0</v>
      </c>
      <c r="AF551" s="233">
        <v>195</v>
      </c>
      <c r="AG551" s="233">
        <v>62</v>
      </c>
      <c r="AH551" s="233">
        <v>2</v>
      </c>
      <c r="AI551" s="233">
        <v>0</v>
      </c>
      <c r="AJ551" s="233">
        <v>62</v>
      </c>
    </row>
    <row r="552" spans="1:36">
      <c r="A552" s="240">
        <v>1</v>
      </c>
      <c r="B552" s="241" t="s">
        <v>3997</v>
      </c>
      <c r="C552" s="241" t="s">
        <v>4455</v>
      </c>
      <c r="D552" s="241" t="s">
        <v>5080</v>
      </c>
      <c r="E552" s="241">
        <v>7</v>
      </c>
      <c r="F552" s="242" t="s">
        <v>5081</v>
      </c>
      <c r="G552" s="233">
        <v>365</v>
      </c>
      <c r="H552" s="233">
        <v>9165</v>
      </c>
      <c r="I552" s="233">
        <v>4</v>
      </c>
      <c r="J552" s="233">
        <v>0</v>
      </c>
      <c r="K552" s="233">
        <v>4</v>
      </c>
      <c r="L552" s="233">
        <v>9682</v>
      </c>
      <c r="M552" s="233">
        <v>3782</v>
      </c>
      <c r="N552" s="233">
        <v>161</v>
      </c>
      <c r="O552" s="233">
        <v>2</v>
      </c>
      <c r="P552" s="233">
        <v>3425</v>
      </c>
      <c r="Q552" s="233">
        <v>357</v>
      </c>
      <c r="R552" s="235" t="s">
        <v>4020</v>
      </c>
      <c r="S552" s="235" t="s">
        <v>4020</v>
      </c>
      <c r="T552" s="235" t="s">
        <v>4020</v>
      </c>
      <c r="U552" s="235" t="s">
        <v>4020</v>
      </c>
      <c r="V552" s="235" t="s">
        <v>4020</v>
      </c>
      <c r="W552" s="235" t="s">
        <v>4020</v>
      </c>
      <c r="X552" s="235" t="s">
        <v>4020</v>
      </c>
      <c r="Y552" s="235" t="s">
        <v>4020</v>
      </c>
      <c r="Z552" s="235" t="s">
        <v>4020</v>
      </c>
      <c r="AA552" s="233">
        <v>8</v>
      </c>
      <c r="AB552" s="235" t="s">
        <v>4020</v>
      </c>
      <c r="AC552" s="235" t="s">
        <v>4020</v>
      </c>
      <c r="AD552" s="235" t="s">
        <v>4020</v>
      </c>
      <c r="AE552" s="235" t="s">
        <v>4020</v>
      </c>
      <c r="AF552" s="235" t="s">
        <v>4020</v>
      </c>
      <c r="AG552" s="235" t="s">
        <v>4020</v>
      </c>
      <c r="AH552" s="235" t="s">
        <v>4020</v>
      </c>
      <c r="AI552" s="235" t="s">
        <v>4020</v>
      </c>
      <c r="AJ552" s="235" t="s">
        <v>4020</v>
      </c>
    </row>
    <row r="553" spans="1:36">
      <c r="A553" s="240">
        <v>1</v>
      </c>
      <c r="B553" s="241" t="s">
        <v>3997</v>
      </c>
      <c r="C553" s="241" t="s">
        <v>4455</v>
      </c>
      <c r="D553" s="241" t="s">
        <v>5082</v>
      </c>
      <c r="E553" s="241">
        <v>7</v>
      </c>
      <c r="F553" s="242" t="s">
        <v>5083</v>
      </c>
      <c r="G553" s="233">
        <v>2489</v>
      </c>
      <c r="H553" s="233">
        <v>12728088</v>
      </c>
      <c r="I553" s="233">
        <v>30614</v>
      </c>
      <c r="J553" s="233">
        <v>12600</v>
      </c>
      <c r="K553" s="233">
        <v>18015</v>
      </c>
      <c r="L553" s="233">
        <v>12382875</v>
      </c>
      <c r="M553" s="233">
        <v>543895</v>
      </c>
      <c r="N553" s="233">
        <v>43812</v>
      </c>
      <c r="O553" s="233">
        <v>64115</v>
      </c>
      <c r="P553" s="233">
        <v>932920</v>
      </c>
      <c r="Q553" s="233">
        <v>2488</v>
      </c>
      <c r="R553" s="235" t="s">
        <v>4020</v>
      </c>
      <c r="S553" s="235" t="s">
        <v>4020</v>
      </c>
      <c r="T553" s="235" t="s">
        <v>4020</v>
      </c>
      <c r="U553" s="235" t="s">
        <v>4020</v>
      </c>
      <c r="V553" s="235" t="s">
        <v>4020</v>
      </c>
      <c r="W553" s="235" t="s">
        <v>4020</v>
      </c>
      <c r="X553" s="235" t="s">
        <v>4020</v>
      </c>
      <c r="Y553" s="235" t="s">
        <v>4020</v>
      </c>
      <c r="Z553" s="235" t="s">
        <v>4020</v>
      </c>
      <c r="AA553" s="233">
        <v>1</v>
      </c>
      <c r="AB553" s="235" t="s">
        <v>4020</v>
      </c>
      <c r="AC553" s="235" t="s">
        <v>4020</v>
      </c>
      <c r="AD553" s="235" t="s">
        <v>4020</v>
      </c>
      <c r="AE553" s="235" t="s">
        <v>4020</v>
      </c>
      <c r="AF553" s="235" t="s">
        <v>4020</v>
      </c>
      <c r="AG553" s="235" t="s">
        <v>4020</v>
      </c>
      <c r="AH553" s="235" t="s">
        <v>4020</v>
      </c>
      <c r="AI553" s="235" t="s">
        <v>4020</v>
      </c>
      <c r="AJ553" s="235" t="s">
        <v>4020</v>
      </c>
    </row>
    <row r="554" spans="1:36">
      <c r="A554" s="240">
        <v>1</v>
      </c>
      <c r="B554" s="241" t="s">
        <v>3997</v>
      </c>
      <c r="C554" s="241" t="s">
        <v>4455</v>
      </c>
      <c r="D554" s="241" t="s">
        <v>5084</v>
      </c>
      <c r="E554" s="241">
        <v>7</v>
      </c>
      <c r="F554" s="242" t="s">
        <v>5085</v>
      </c>
      <c r="G554" s="233">
        <v>340</v>
      </c>
      <c r="H554" s="233">
        <v>451204</v>
      </c>
      <c r="I554" s="233">
        <v>10098</v>
      </c>
      <c r="J554" s="233">
        <v>852</v>
      </c>
      <c r="K554" s="233">
        <v>9246</v>
      </c>
      <c r="L554" s="233">
        <v>418744</v>
      </c>
      <c r="M554" s="233">
        <v>66704</v>
      </c>
      <c r="N554" s="233">
        <v>2670</v>
      </c>
      <c r="O554" s="233">
        <v>6401</v>
      </c>
      <c r="P554" s="233">
        <v>101833</v>
      </c>
      <c r="Q554" s="233">
        <v>339</v>
      </c>
      <c r="R554" s="235" t="s">
        <v>4020</v>
      </c>
      <c r="S554" s="235" t="s">
        <v>4020</v>
      </c>
      <c r="T554" s="235" t="s">
        <v>4020</v>
      </c>
      <c r="U554" s="235" t="s">
        <v>4020</v>
      </c>
      <c r="V554" s="235" t="s">
        <v>4020</v>
      </c>
      <c r="W554" s="235" t="s">
        <v>4020</v>
      </c>
      <c r="X554" s="235" t="s">
        <v>4020</v>
      </c>
      <c r="Y554" s="235" t="s">
        <v>4020</v>
      </c>
      <c r="Z554" s="235" t="s">
        <v>4020</v>
      </c>
      <c r="AA554" s="233">
        <v>1</v>
      </c>
      <c r="AB554" s="235" t="s">
        <v>4020</v>
      </c>
      <c r="AC554" s="235" t="s">
        <v>4020</v>
      </c>
      <c r="AD554" s="235" t="s">
        <v>4020</v>
      </c>
      <c r="AE554" s="235" t="s">
        <v>4020</v>
      </c>
      <c r="AF554" s="235" t="s">
        <v>4020</v>
      </c>
      <c r="AG554" s="235" t="s">
        <v>4020</v>
      </c>
      <c r="AH554" s="235" t="s">
        <v>4020</v>
      </c>
      <c r="AI554" s="235" t="s">
        <v>4020</v>
      </c>
      <c r="AJ554" s="235" t="s">
        <v>4020</v>
      </c>
    </row>
    <row r="555" spans="1:36">
      <c r="A555" s="240">
        <v>1</v>
      </c>
      <c r="B555" s="241" t="s">
        <v>3997</v>
      </c>
      <c r="C555" s="241" t="s">
        <v>4455</v>
      </c>
      <c r="D555" s="241" t="s">
        <v>5086</v>
      </c>
      <c r="E555" s="241">
        <v>7</v>
      </c>
      <c r="F555" s="242" t="s">
        <v>5087</v>
      </c>
      <c r="G555" s="233">
        <v>159</v>
      </c>
      <c r="H555" s="233">
        <v>3029</v>
      </c>
      <c r="I555" s="233">
        <v>39</v>
      </c>
      <c r="J555" s="233">
        <v>0</v>
      </c>
      <c r="K555" s="233">
        <v>39</v>
      </c>
      <c r="L555" s="233">
        <v>3138</v>
      </c>
      <c r="M555" s="233">
        <v>813</v>
      </c>
      <c r="N555" s="233">
        <v>51</v>
      </c>
      <c r="O555" s="233">
        <v>20</v>
      </c>
      <c r="P555" s="233">
        <v>754</v>
      </c>
      <c r="Q555" s="233">
        <v>149</v>
      </c>
      <c r="R555" s="233">
        <v>2949</v>
      </c>
      <c r="S555" s="233">
        <v>39</v>
      </c>
      <c r="T555" s="233">
        <v>0</v>
      </c>
      <c r="U555" s="233">
        <v>39</v>
      </c>
      <c r="V555" s="233">
        <v>3053</v>
      </c>
      <c r="W555" s="233">
        <v>782</v>
      </c>
      <c r="X555" s="233">
        <v>50</v>
      </c>
      <c r="Y555" s="233">
        <v>20</v>
      </c>
      <c r="Z555" s="233">
        <v>728</v>
      </c>
      <c r="AA555" s="233">
        <v>10</v>
      </c>
      <c r="AB555" s="233">
        <v>80</v>
      </c>
      <c r="AC555" s="233">
        <v>0</v>
      </c>
      <c r="AD555" s="233">
        <v>0</v>
      </c>
      <c r="AE555" s="233">
        <v>0</v>
      </c>
      <c r="AF555" s="233">
        <v>86</v>
      </c>
      <c r="AG555" s="233">
        <v>31</v>
      </c>
      <c r="AH555" s="233">
        <v>1</v>
      </c>
      <c r="AI555" s="233">
        <v>0</v>
      </c>
      <c r="AJ555" s="233">
        <v>26</v>
      </c>
    </row>
    <row r="556" spans="1:36">
      <c r="A556" s="240">
        <v>1</v>
      </c>
      <c r="B556" s="241" t="s">
        <v>3997</v>
      </c>
      <c r="C556" s="241" t="s">
        <v>3432</v>
      </c>
      <c r="D556" s="241" t="s">
        <v>5088</v>
      </c>
      <c r="E556" s="241">
        <v>6</v>
      </c>
      <c r="F556" s="242" t="s">
        <v>5089</v>
      </c>
      <c r="G556" s="233">
        <v>3316</v>
      </c>
      <c r="H556" s="233">
        <v>586549</v>
      </c>
      <c r="I556" s="233">
        <v>7865</v>
      </c>
      <c r="J556" s="233">
        <v>1697</v>
      </c>
      <c r="K556" s="233">
        <v>6168</v>
      </c>
      <c r="L556" s="233">
        <v>551780</v>
      </c>
      <c r="M556" s="233">
        <v>135169</v>
      </c>
      <c r="N556" s="233">
        <v>5868</v>
      </c>
      <c r="O556" s="233">
        <v>2727</v>
      </c>
      <c r="P556" s="233">
        <v>175806</v>
      </c>
      <c r="Q556" s="233">
        <v>2784</v>
      </c>
      <c r="R556" s="233">
        <v>575316</v>
      </c>
      <c r="S556" s="233">
        <v>7772</v>
      </c>
      <c r="T556" s="233">
        <v>1676</v>
      </c>
      <c r="U556" s="233">
        <v>6097</v>
      </c>
      <c r="V556" s="233">
        <v>542055</v>
      </c>
      <c r="W556" s="233">
        <v>132929</v>
      </c>
      <c r="X556" s="233">
        <v>5727</v>
      </c>
      <c r="Y556" s="233">
        <v>2704</v>
      </c>
      <c r="Z556" s="233">
        <v>171917</v>
      </c>
      <c r="AA556" s="233">
        <v>532</v>
      </c>
      <c r="AB556" s="233">
        <v>11233</v>
      </c>
      <c r="AC556" s="233">
        <v>92</v>
      </c>
      <c r="AD556" s="233">
        <v>21</v>
      </c>
      <c r="AE556" s="233">
        <v>71</v>
      </c>
      <c r="AF556" s="233">
        <v>9726</v>
      </c>
      <c r="AG556" s="233">
        <v>2240</v>
      </c>
      <c r="AH556" s="233">
        <v>141</v>
      </c>
      <c r="AI556" s="233">
        <v>24</v>
      </c>
      <c r="AJ556" s="233">
        <v>3889</v>
      </c>
    </row>
    <row r="557" spans="1:36">
      <c r="A557" s="240">
        <v>1</v>
      </c>
      <c r="B557" s="241" t="s">
        <v>3997</v>
      </c>
      <c r="C557" s="241" t="s">
        <v>4455</v>
      </c>
      <c r="D557" s="241" t="s">
        <v>5090</v>
      </c>
      <c r="E557" s="241">
        <v>7</v>
      </c>
      <c r="F557" s="242" t="s">
        <v>5091</v>
      </c>
      <c r="G557" s="233">
        <v>380</v>
      </c>
      <c r="H557" s="233">
        <v>119296</v>
      </c>
      <c r="I557" s="233">
        <v>566</v>
      </c>
      <c r="J557" s="233">
        <v>5</v>
      </c>
      <c r="K557" s="233">
        <v>561</v>
      </c>
      <c r="L557" s="233">
        <v>131783</v>
      </c>
      <c r="M557" s="233">
        <v>36818</v>
      </c>
      <c r="N557" s="233">
        <v>1021</v>
      </c>
      <c r="O557" s="233">
        <v>198</v>
      </c>
      <c r="P557" s="233">
        <v>25351</v>
      </c>
      <c r="Q557" s="233">
        <v>379</v>
      </c>
      <c r="R557" s="235" t="s">
        <v>4020</v>
      </c>
      <c r="S557" s="235" t="s">
        <v>4020</v>
      </c>
      <c r="T557" s="235" t="s">
        <v>4020</v>
      </c>
      <c r="U557" s="235" t="s">
        <v>4020</v>
      </c>
      <c r="V557" s="235" t="s">
        <v>4020</v>
      </c>
      <c r="W557" s="235" t="s">
        <v>4020</v>
      </c>
      <c r="X557" s="235" t="s">
        <v>4020</v>
      </c>
      <c r="Y557" s="235" t="s">
        <v>4020</v>
      </c>
      <c r="Z557" s="235" t="s">
        <v>4020</v>
      </c>
      <c r="AA557" s="233">
        <v>1</v>
      </c>
      <c r="AB557" s="235" t="s">
        <v>4020</v>
      </c>
      <c r="AC557" s="235" t="s">
        <v>4020</v>
      </c>
      <c r="AD557" s="235" t="s">
        <v>4020</v>
      </c>
      <c r="AE557" s="235" t="s">
        <v>4020</v>
      </c>
      <c r="AF557" s="235" t="s">
        <v>4020</v>
      </c>
      <c r="AG557" s="235" t="s">
        <v>4020</v>
      </c>
      <c r="AH557" s="235" t="s">
        <v>4020</v>
      </c>
      <c r="AI557" s="235" t="s">
        <v>4020</v>
      </c>
      <c r="AJ557" s="235" t="s">
        <v>4020</v>
      </c>
    </row>
    <row r="558" spans="1:36">
      <c r="A558" s="240">
        <v>1</v>
      </c>
      <c r="B558" s="241" t="s">
        <v>3997</v>
      </c>
      <c r="C558" s="241" t="s">
        <v>4455</v>
      </c>
      <c r="D558" s="241" t="s">
        <v>5092</v>
      </c>
      <c r="E558" s="241">
        <v>7</v>
      </c>
      <c r="F558" s="242" t="s">
        <v>5093</v>
      </c>
      <c r="G558" s="233">
        <v>842</v>
      </c>
      <c r="H558" s="233">
        <v>260689</v>
      </c>
      <c r="I558" s="233">
        <v>1171</v>
      </c>
      <c r="J558" s="233">
        <v>882</v>
      </c>
      <c r="K558" s="233">
        <v>288</v>
      </c>
      <c r="L558" s="233">
        <v>217133</v>
      </c>
      <c r="M558" s="233">
        <v>44878</v>
      </c>
      <c r="N558" s="233">
        <v>1715</v>
      </c>
      <c r="O558" s="233">
        <v>464</v>
      </c>
      <c r="P558" s="233">
        <v>90149</v>
      </c>
      <c r="Q558" s="233">
        <v>728</v>
      </c>
      <c r="R558" s="235" t="s">
        <v>4020</v>
      </c>
      <c r="S558" s="235" t="s">
        <v>4020</v>
      </c>
      <c r="T558" s="235" t="s">
        <v>4020</v>
      </c>
      <c r="U558" s="235" t="s">
        <v>4020</v>
      </c>
      <c r="V558" s="235" t="s">
        <v>4020</v>
      </c>
      <c r="W558" s="235" t="s">
        <v>4020</v>
      </c>
      <c r="X558" s="235" t="s">
        <v>4020</v>
      </c>
      <c r="Y558" s="235" t="s">
        <v>4020</v>
      </c>
      <c r="Z558" s="235" t="s">
        <v>4020</v>
      </c>
      <c r="AA558" s="233">
        <v>114</v>
      </c>
      <c r="AB558" s="235" t="s">
        <v>4020</v>
      </c>
      <c r="AC558" s="235" t="s">
        <v>4020</v>
      </c>
      <c r="AD558" s="235" t="s">
        <v>4020</v>
      </c>
      <c r="AE558" s="235" t="s">
        <v>4020</v>
      </c>
      <c r="AF558" s="235" t="s">
        <v>4020</v>
      </c>
      <c r="AG558" s="235" t="s">
        <v>4020</v>
      </c>
      <c r="AH558" s="235" t="s">
        <v>4020</v>
      </c>
      <c r="AI558" s="235" t="s">
        <v>4020</v>
      </c>
      <c r="AJ558" s="235" t="s">
        <v>4020</v>
      </c>
    </row>
    <row r="559" spans="1:36">
      <c r="A559" s="240">
        <v>1</v>
      </c>
      <c r="B559" s="241" t="s">
        <v>3997</v>
      </c>
      <c r="C559" s="241" t="s">
        <v>4455</v>
      </c>
      <c r="D559" s="241" t="s">
        <v>5094</v>
      </c>
      <c r="E559" s="241">
        <v>7</v>
      </c>
      <c r="F559" s="242" t="s">
        <v>5095</v>
      </c>
      <c r="G559" s="233">
        <v>2093</v>
      </c>
      <c r="H559" s="233">
        <v>206557</v>
      </c>
      <c r="I559" s="233">
        <v>6126</v>
      </c>
      <c r="J559" s="233">
        <v>809</v>
      </c>
      <c r="K559" s="233">
        <v>5317</v>
      </c>
      <c r="L559" s="233">
        <v>202857</v>
      </c>
      <c r="M559" s="233">
        <v>53471</v>
      </c>
      <c r="N559" s="233">
        <v>3132</v>
      </c>
      <c r="O559" s="233">
        <v>2065</v>
      </c>
      <c r="P559" s="233">
        <v>60303</v>
      </c>
      <c r="Q559" s="233">
        <v>1676</v>
      </c>
      <c r="R559" s="233">
        <v>199062</v>
      </c>
      <c r="S559" s="233">
        <v>6078</v>
      </c>
      <c r="T559" s="233">
        <v>807</v>
      </c>
      <c r="U559" s="233">
        <v>5271</v>
      </c>
      <c r="V559" s="233">
        <v>196292</v>
      </c>
      <c r="W559" s="233">
        <v>51804</v>
      </c>
      <c r="X559" s="233">
        <v>3038</v>
      </c>
      <c r="Y559" s="233">
        <v>2065</v>
      </c>
      <c r="Z559" s="233">
        <v>57612</v>
      </c>
      <c r="AA559" s="233">
        <v>417</v>
      </c>
      <c r="AB559" s="233">
        <v>7495</v>
      </c>
      <c r="AC559" s="233">
        <v>48</v>
      </c>
      <c r="AD559" s="233">
        <v>2</v>
      </c>
      <c r="AE559" s="233">
        <v>46</v>
      </c>
      <c r="AF559" s="233">
        <v>6565</v>
      </c>
      <c r="AG559" s="233">
        <v>1667</v>
      </c>
      <c r="AH559" s="233">
        <v>94</v>
      </c>
      <c r="AI559" s="233">
        <v>0</v>
      </c>
      <c r="AJ559" s="233">
        <v>2691</v>
      </c>
    </row>
    <row r="560" spans="1:36">
      <c r="A560" s="240">
        <v>1</v>
      </c>
      <c r="B560" s="241" t="s">
        <v>3997</v>
      </c>
      <c r="C560" s="241" t="s">
        <v>3459</v>
      </c>
      <c r="D560" s="241" t="s">
        <v>5096</v>
      </c>
      <c r="E560" s="241">
        <v>3</v>
      </c>
      <c r="F560" s="242" t="s">
        <v>5097</v>
      </c>
      <c r="G560" s="233">
        <v>34142</v>
      </c>
      <c r="H560" s="233">
        <v>17647175</v>
      </c>
      <c r="I560" s="233">
        <v>87768</v>
      </c>
      <c r="J560" s="233">
        <v>13349</v>
      </c>
      <c r="K560" s="233">
        <v>74419</v>
      </c>
      <c r="L560" s="233">
        <v>16683212</v>
      </c>
      <c r="M560" s="233">
        <v>7255610</v>
      </c>
      <c r="N560" s="233">
        <v>91954</v>
      </c>
      <c r="O560" s="233">
        <v>41311</v>
      </c>
      <c r="P560" s="233">
        <v>8311527</v>
      </c>
      <c r="Q560" s="233">
        <v>19182</v>
      </c>
      <c r="R560" s="233">
        <v>3275795</v>
      </c>
      <c r="S560" s="233">
        <v>78216</v>
      </c>
      <c r="T560" s="233">
        <v>12970</v>
      </c>
      <c r="U560" s="233">
        <v>65246</v>
      </c>
      <c r="V560" s="233">
        <v>2996605</v>
      </c>
      <c r="W560" s="233">
        <v>1088171</v>
      </c>
      <c r="X560" s="233">
        <v>38518</v>
      </c>
      <c r="Y560" s="233">
        <v>35974</v>
      </c>
      <c r="Z560" s="233">
        <v>1405878</v>
      </c>
      <c r="AA560" s="233">
        <v>14960</v>
      </c>
      <c r="AB560" s="233">
        <v>14371380</v>
      </c>
      <c r="AC560" s="233">
        <v>9552</v>
      </c>
      <c r="AD560" s="233">
        <v>379</v>
      </c>
      <c r="AE560" s="233">
        <v>9173</v>
      </c>
      <c r="AF560" s="233">
        <v>13686607</v>
      </c>
      <c r="AG560" s="233">
        <v>6167439</v>
      </c>
      <c r="AH560" s="233">
        <v>53436</v>
      </c>
      <c r="AI560" s="233">
        <v>5336</v>
      </c>
      <c r="AJ560" s="233">
        <v>6905649</v>
      </c>
    </row>
    <row r="561" spans="1:36">
      <c r="A561" s="240">
        <v>1</v>
      </c>
      <c r="B561" s="241" t="s">
        <v>3997</v>
      </c>
      <c r="C561" s="241" t="s">
        <v>3170</v>
      </c>
      <c r="D561" s="241" t="s">
        <v>5098</v>
      </c>
      <c r="E561" s="241">
        <v>4</v>
      </c>
      <c r="F561" s="242" t="s">
        <v>5099</v>
      </c>
      <c r="G561" s="233">
        <v>9882</v>
      </c>
      <c r="H561" s="233">
        <v>13868049</v>
      </c>
      <c r="I561" s="233">
        <v>4479</v>
      </c>
      <c r="J561" s="233">
        <v>322</v>
      </c>
      <c r="K561" s="233">
        <v>4156</v>
      </c>
      <c r="L561" s="233">
        <v>13189760</v>
      </c>
      <c r="M561" s="233">
        <v>6011150</v>
      </c>
      <c r="N561" s="233">
        <v>44757</v>
      </c>
      <c r="O561" s="233">
        <v>3020</v>
      </c>
      <c r="P561" s="233">
        <v>6734196</v>
      </c>
      <c r="Q561" s="233">
        <v>128</v>
      </c>
      <c r="R561" s="233">
        <v>30169</v>
      </c>
      <c r="S561" s="233">
        <v>300</v>
      </c>
      <c r="T561" s="233">
        <v>300</v>
      </c>
      <c r="U561" s="233">
        <v>0</v>
      </c>
      <c r="V561" s="233">
        <v>28277</v>
      </c>
      <c r="W561" s="233">
        <v>11913</v>
      </c>
      <c r="X561" s="233">
        <v>520</v>
      </c>
      <c r="Y561" s="233">
        <v>233</v>
      </c>
      <c r="Z561" s="233">
        <v>14326</v>
      </c>
      <c r="AA561" s="233">
        <v>9754</v>
      </c>
      <c r="AB561" s="233">
        <v>13837880</v>
      </c>
      <c r="AC561" s="233">
        <v>4179</v>
      </c>
      <c r="AD561" s="233">
        <v>22</v>
      </c>
      <c r="AE561" s="233">
        <v>4156</v>
      </c>
      <c r="AF561" s="233">
        <v>13161483</v>
      </c>
      <c r="AG561" s="233">
        <v>5999236</v>
      </c>
      <c r="AH561" s="233">
        <v>44236</v>
      </c>
      <c r="AI561" s="233">
        <v>2787</v>
      </c>
      <c r="AJ561" s="233">
        <v>6719870</v>
      </c>
    </row>
    <row r="562" spans="1:36">
      <c r="A562" s="240">
        <v>1</v>
      </c>
      <c r="B562" s="241" t="s">
        <v>3997</v>
      </c>
      <c r="C562" s="241" t="s">
        <v>3172</v>
      </c>
      <c r="D562" s="241" t="s">
        <v>5100</v>
      </c>
      <c r="E562" s="241">
        <v>5</v>
      </c>
      <c r="F562" s="242" t="s">
        <v>5101</v>
      </c>
      <c r="G562" s="233">
        <v>9882</v>
      </c>
      <c r="H562" s="233">
        <v>13868049</v>
      </c>
      <c r="I562" s="233">
        <v>4479</v>
      </c>
      <c r="J562" s="233">
        <v>322</v>
      </c>
      <c r="K562" s="233">
        <v>4156</v>
      </c>
      <c r="L562" s="233">
        <v>13189760</v>
      </c>
      <c r="M562" s="233">
        <v>6011150</v>
      </c>
      <c r="N562" s="233">
        <v>44757</v>
      </c>
      <c r="O562" s="233">
        <v>3020</v>
      </c>
      <c r="P562" s="233">
        <v>6734196</v>
      </c>
      <c r="Q562" s="233">
        <v>128</v>
      </c>
      <c r="R562" s="233">
        <v>30169</v>
      </c>
      <c r="S562" s="233">
        <v>300</v>
      </c>
      <c r="T562" s="233">
        <v>300</v>
      </c>
      <c r="U562" s="233">
        <v>0</v>
      </c>
      <c r="V562" s="233">
        <v>28277</v>
      </c>
      <c r="W562" s="233">
        <v>11913</v>
      </c>
      <c r="X562" s="233">
        <v>520</v>
      </c>
      <c r="Y562" s="233">
        <v>233</v>
      </c>
      <c r="Z562" s="233">
        <v>14326</v>
      </c>
      <c r="AA562" s="233">
        <v>9754</v>
      </c>
      <c r="AB562" s="233">
        <v>13837880</v>
      </c>
      <c r="AC562" s="233">
        <v>4179</v>
      </c>
      <c r="AD562" s="233">
        <v>22</v>
      </c>
      <c r="AE562" s="233">
        <v>4156</v>
      </c>
      <c r="AF562" s="233">
        <v>13161483</v>
      </c>
      <c r="AG562" s="233">
        <v>5999236</v>
      </c>
      <c r="AH562" s="233">
        <v>44236</v>
      </c>
      <c r="AI562" s="233">
        <v>2787</v>
      </c>
      <c r="AJ562" s="233">
        <v>6719870</v>
      </c>
    </row>
    <row r="563" spans="1:36">
      <c r="A563" s="240">
        <v>1</v>
      </c>
      <c r="B563" s="241" t="s">
        <v>3997</v>
      </c>
      <c r="C563" s="241" t="s">
        <v>3432</v>
      </c>
      <c r="D563" s="241" t="s">
        <v>5102</v>
      </c>
      <c r="E563" s="241">
        <v>6</v>
      </c>
      <c r="F563" s="242" t="s">
        <v>5103</v>
      </c>
      <c r="G563" s="233">
        <v>4146</v>
      </c>
      <c r="H563" s="233">
        <v>670876</v>
      </c>
      <c r="I563" s="233">
        <v>122</v>
      </c>
      <c r="J563" s="233">
        <v>3</v>
      </c>
      <c r="K563" s="233">
        <v>119</v>
      </c>
      <c r="L563" s="233">
        <v>624725</v>
      </c>
      <c r="M563" s="233">
        <v>373175</v>
      </c>
      <c r="N563" s="233">
        <v>2863</v>
      </c>
      <c r="O563" s="233">
        <v>77</v>
      </c>
      <c r="P563" s="233">
        <v>422189</v>
      </c>
      <c r="Q563" s="233">
        <v>24</v>
      </c>
      <c r="R563" s="233">
        <v>1066</v>
      </c>
      <c r="S563" s="233">
        <v>0</v>
      </c>
      <c r="T563" s="233">
        <v>0</v>
      </c>
      <c r="U563" s="233">
        <v>0</v>
      </c>
      <c r="V563" s="233">
        <v>887</v>
      </c>
      <c r="W563" s="233">
        <v>474</v>
      </c>
      <c r="X563" s="233">
        <v>8</v>
      </c>
      <c r="Y563" s="233">
        <v>0</v>
      </c>
      <c r="Z563" s="233">
        <v>661</v>
      </c>
      <c r="AA563" s="233">
        <v>4122</v>
      </c>
      <c r="AB563" s="233">
        <v>669810</v>
      </c>
      <c r="AC563" s="233">
        <v>122</v>
      </c>
      <c r="AD563" s="233">
        <v>3</v>
      </c>
      <c r="AE563" s="233">
        <v>119</v>
      </c>
      <c r="AF563" s="233">
        <v>623838</v>
      </c>
      <c r="AG563" s="233">
        <v>372701</v>
      </c>
      <c r="AH563" s="233">
        <v>2854</v>
      </c>
      <c r="AI563" s="233">
        <v>77</v>
      </c>
      <c r="AJ563" s="233">
        <v>421528</v>
      </c>
    </row>
    <row r="564" spans="1:36">
      <c r="A564" s="240">
        <v>1</v>
      </c>
      <c r="B564" s="241" t="s">
        <v>3997</v>
      </c>
      <c r="C564" s="241" t="s">
        <v>3432</v>
      </c>
      <c r="D564" s="241" t="s">
        <v>5104</v>
      </c>
      <c r="E564" s="241">
        <v>6</v>
      </c>
      <c r="F564" s="242" t="s">
        <v>5105</v>
      </c>
      <c r="G564" s="233">
        <v>21</v>
      </c>
      <c r="H564" s="233">
        <v>11107</v>
      </c>
      <c r="I564" s="233">
        <v>0</v>
      </c>
      <c r="J564" s="233">
        <v>0</v>
      </c>
      <c r="K564" s="233">
        <v>0</v>
      </c>
      <c r="L564" s="233">
        <v>11968</v>
      </c>
      <c r="M564" s="233">
        <v>5997</v>
      </c>
      <c r="N564" s="233">
        <v>99</v>
      </c>
      <c r="O564" s="233">
        <v>0</v>
      </c>
      <c r="P564" s="233">
        <v>5235</v>
      </c>
      <c r="Q564" s="233">
        <v>3</v>
      </c>
      <c r="R564" s="233">
        <v>1692</v>
      </c>
      <c r="S564" s="233">
        <v>0</v>
      </c>
      <c r="T564" s="233">
        <v>0</v>
      </c>
      <c r="U564" s="233">
        <v>0</v>
      </c>
      <c r="V564" s="233">
        <v>1677</v>
      </c>
      <c r="W564" s="233">
        <v>800</v>
      </c>
      <c r="X564" s="233">
        <v>25</v>
      </c>
      <c r="Y564" s="233">
        <v>0</v>
      </c>
      <c r="Z564" s="233">
        <v>840</v>
      </c>
      <c r="AA564" s="233">
        <v>18</v>
      </c>
      <c r="AB564" s="233">
        <v>9415</v>
      </c>
      <c r="AC564" s="233">
        <v>0</v>
      </c>
      <c r="AD564" s="233">
        <v>0</v>
      </c>
      <c r="AE564" s="233">
        <v>0</v>
      </c>
      <c r="AF564" s="233">
        <v>10291</v>
      </c>
      <c r="AG564" s="233">
        <v>5196</v>
      </c>
      <c r="AH564" s="233">
        <v>74</v>
      </c>
      <c r="AI564" s="233">
        <v>0</v>
      </c>
      <c r="AJ564" s="233">
        <v>4394</v>
      </c>
    </row>
    <row r="565" spans="1:36">
      <c r="A565" s="240">
        <v>1</v>
      </c>
      <c r="B565" s="241" t="s">
        <v>3997</v>
      </c>
      <c r="C565" s="241" t="s">
        <v>3432</v>
      </c>
      <c r="D565" s="241" t="s">
        <v>5106</v>
      </c>
      <c r="E565" s="241">
        <v>6</v>
      </c>
      <c r="F565" s="242" t="s">
        <v>5107</v>
      </c>
      <c r="G565" s="233">
        <v>11</v>
      </c>
      <c r="H565" s="233">
        <v>3954</v>
      </c>
      <c r="I565" s="233">
        <v>18</v>
      </c>
      <c r="J565" s="233">
        <v>0</v>
      </c>
      <c r="K565" s="233">
        <v>18</v>
      </c>
      <c r="L565" s="233">
        <v>3914</v>
      </c>
      <c r="M565" s="233">
        <v>1996</v>
      </c>
      <c r="N565" s="233">
        <v>10</v>
      </c>
      <c r="O565" s="233">
        <v>16</v>
      </c>
      <c r="P565" s="233">
        <v>2046</v>
      </c>
      <c r="Q565" s="235" t="s">
        <v>5298</v>
      </c>
      <c r="R565" s="235" t="s">
        <v>5298</v>
      </c>
      <c r="S565" s="235" t="s">
        <v>5298</v>
      </c>
      <c r="T565" s="235" t="s">
        <v>5298</v>
      </c>
      <c r="U565" s="235" t="s">
        <v>5298</v>
      </c>
      <c r="V565" s="235" t="s">
        <v>5298</v>
      </c>
      <c r="W565" s="235" t="s">
        <v>5298</v>
      </c>
      <c r="X565" s="235" t="s">
        <v>5298</v>
      </c>
      <c r="Y565" s="235" t="s">
        <v>5298</v>
      </c>
      <c r="Z565" s="235" t="s">
        <v>5298</v>
      </c>
      <c r="AA565" s="233">
        <v>11</v>
      </c>
      <c r="AB565" s="233">
        <v>3954</v>
      </c>
      <c r="AC565" s="233">
        <v>18</v>
      </c>
      <c r="AD565" s="233">
        <v>0</v>
      </c>
      <c r="AE565" s="233">
        <v>18</v>
      </c>
      <c r="AF565" s="233">
        <v>3914</v>
      </c>
      <c r="AG565" s="233">
        <v>1996</v>
      </c>
      <c r="AH565" s="233">
        <v>10</v>
      </c>
      <c r="AI565" s="233">
        <v>16</v>
      </c>
      <c r="AJ565" s="233">
        <v>2046</v>
      </c>
    </row>
    <row r="566" spans="1:36">
      <c r="A566" s="240">
        <v>1</v>
      </c>
      <c r="B566" s="241" t="s">
        <v>3997</v>
      </c>
      <c r="C566" s="241" t="s">
        <v>3432</v>
      </c>
      <c r="D566" s="241" t="s">
        <v>5108</v>
      </c>
      <c r="E566" s="241">
        <v>6</v>
      </c>
      <c r="F566" s="242" t="s">
        <v>5109</v>
      </c>
      <c r="G566" s="233">
        <v>699</v>
      </c>
      <c r="H566" s="233">
        <v>779842</v>
      </c>
      <c r="I566" s="233">
        <v>52</v>
      </c>
      <c r="J566" s="233">
        <v>1</v>
      </c>
      <c r="K566" s="233">
        <v>51</v>
      </c>
      <c r="L566" s="233">
        <v>765994</v>
      </c>
      <c r="M566" s="233">
        <v>438308</v>
      </c>
      <c r="N566" s="233">
        <v>1783</v>
      </c>
      <c r="O566" s="233">
        <v>29</v>
      </c>
      <c r="P566" s="233">
        <v>453940</v>
      </c>
      <c r="Q566" s="233">
        <v>19</v>
      </c>
      <c r="R566" s="233">
        <v>2226</v>
      </c>
      <c r="S566" s="233">
        <v>0</v>
      </c>
      <c r="T566" s="233">
        <v>0</v>
      </c>
      <c r="U566" s="233">
        <v>0</v>
      </c>
      <c r="V566" s="233">
        <v>2284</v>
      </c>
      <c r="W566" s="233">
        <v>847</v>
      </c>
      <c r="X566" s="233">
        <v>30</v>
      </c>
      <c r="Y566" s="233">
        <v>0</v>
      </c>
      <c r="Z566" s="233">
        <v>819</v>
      </c>
      <c r="AA566" s="233">
        <v>680</v>
      </c>
      <c r="AB566" s="233">
        <v>777616</v>
      </c>
      <c r="AC566" s="233">
        <v>52</v>
      </c>
      <c r="AD566" s="233">
        <v>1</v>
      </c>
      <c r="AE566" s="233">
        <v>51</v>
      </c>
      <c r="AF566" s="233">
        <v>763710</v>
      </c>
      <c r="AG566" s="233">
        <v>437461</v>
      </c>
      <c r="AH566" s="233">
        <v>1753</v>
      </c>
      <c r="AI566" s="233">
        <v>29</v>
      </c>
      <c r="AJ566" s="233">
        <v>453121</v>
      </c>
    </row>
    <row r="567" spans="1:36">
      <c r="A567" s="240">
        <v>1</v>
      </c>
      <c r="B567" s="241" t="s">
        <v>3997</v>
      </c>
      <c r="C567" s="241" t="s">
        <v>3432</v>
      </c>
      <c r="D567" s="241" t="s">
        <v>5110</v>
      </c>
      <c r="E567" s="241">
        <v>6</v>
      </c>
      <c r="F567" s="242" t="s">
        <v>5111</v>
      </c>
      <c r="G567" s="233">
        <v>11</v>
      </c>
      <c r="H567" s="233">
        <v>3449</v>
      </c>
      <c r="I567" s="233">
        <v>0</v>
      </c>
      <c r="J567" s="233">
        <v>0</v>
      </c>
      <c r="K567" s="233">
        <v>0</v>
      </c>
      <c r="L567" s="233">
        <v>3424</v>
      </c>
      <c r="M567" s="233">
        <v>2213</v>
      </c>
      <c r="N567" s="233">
        <v>4</v>
      </c>
      <c r="O567" s="233">
        <v>0</v>
      </c>
      <c r="P567" s="233">
        <v>2241</v>
      </c>
      <c r="Q567" s="235" t="s">
        <v>5298</v>
      </c>
      <c r="R567" s="235" t="s">
        <v>5298</v>
      </c>
      <c r="S567" s="235" t="s">
        <v>5298</v>
      </c>
      <c r="T567" s="235" t="s">
        <v>5298</v>
      </c>
      <c r="U567" s="235" t="s">
        <v>5298</v>
      </c>
      <c r="V567" s="235" t="s">
        <v>5298</v>
      </c>
      <c r="W567" s="235" t="s">
        <v>5298</v>
      </c>
      <c r="X567" s="235" t="s">
        <v>5298</v>
      </c>
      <c r="Y567" s="235" t="s">
        <v>5298</v>
      </c>
      <c r="Z567" s="235" t="s">
        <v>5298</v>
      </c>
      <c r="AA567" s="233">
        <v>11</v>
      </c>
      <c r="AB567" s="233">
        <v>3449</v>
      </c>
      <c r="AC567" s="233">
        <v>0</v>
      </c>
      <c r="AD567" s="233">
        <v>0</v>
      </c>
      <c r="AE567" s="233">
        <v>0</v>
      </c>
      <c r="AF567" s="233">
        <v>3424</v>
      </c>
      <c r="AG567" s="233">
        <v>2213</v>
      </c>
      <c r="AH567" s="233">
        <v>4</v>
      </c>
      <c r="AI567" s="233">
        <v>0</v>
      </c>
      <c r="AJ567" s="233">
        <v>2241</v>
      </c>
    </row>
    <row r="568" spans="1:36">
      <c r="A568" s="240">
        <v>1</v>
      </c>
      <c r="B568" s="241" t="s">
        <v>3997</v>
      </c>
      <c r="C568" s="241" t="s">
        <v>3432</v>
      </c>
      <c r="D568" s="241" t="s">
        <v>5112</v>
      </c>
      <c r="E568" s="241">
        <v>6</v>
      </c>
      <c r="F568" s="242" t="s">
        <v>5113</v>
      </c>
      <c r="G568" s="233">
        <v>817</v>
      </c>
      <c r="H568" s="233">
        <v>10494778</v>
      </c>
      <c r="I568" s="233">
        <v>3395</v>
      </c>
      <c r="J568" s="233">
        <v>7</v>
      </c>
      <c r="K568" s="233">
        <v>3387</v>
      </c>
      <c r="L568" s="233">
        <v>9978705</v>
      </c>
      <c r="M568" s="233">
        <v>4359616</v>
      </c>
      <c r="N568" s="233">
        <v>31149</v>
      </c>
      <c r="O568" s="233">
        <v>2511</v>
      </c>
      <c r="P568" s="233">
        <v>4906838</v>
      </c>
      <c r="Q568" s="233">
        <v>3</v>
      </c>
      <c r="R568" s="233">
        <v>6259</v>
      </c>
      <c r="S568" s="233">
        <v>0</v>
      </c>
      <c r="T568" s="233">
        <v>0</v>
      </c>
      <c r="U568" s="233">
        <v>0</v>
      </c>
      <c r="V568" s="233">
        <v>5918</v>
      </c>
      <c r="W568" s="233">
        <v>2683</v>
      </c>
      <c r="X568" s="233">
        <v>74</v>
      </c>
      <c r="Y568" s="233">
        <v>0</v>
      </c>
      <c r="Z568" s="233">
        <v>3098</v>
      </c>
      <c r="AA568" s="233">
        <v>814</v>
      </c>
      <c r="AB568" s="233">
        <v>10488519</v>
      </c>
      <c r="AC568" s="233">
        <v>3395</v>
      </c>
      <c r="AD568" s="233">
        <v>7</v>
      </c>
      <c r="AE568" s="233">
        <v>3387</v>
      </c>
      <c r="AF568" s="233">
        <v>9972786</v>
      </c>
      <c r="AG568" s="233">
        <v>4356932</v>
      </c>
      <c r="AH568" s="233">
        <v>31074</v>
      </c>
      <c r="AI568" s="233">
        <v>2511</v>
      </c>
      <c r="AJ568" s="233">
        <v>4903740</v>
      </c>
    </row>
    <row r="569" spans="1:36">
      <c r="A569" s="240">
        <v>1</v>
      </c>
      <c r="B569" s="241" t="s">
        <v>3997</v>
      </c>
      <c r="C569" s="241" t="s">
        <v>3432</v>
      </c>
      <c r="D569" s="241" t="s">
        <v>5114</v>
      </c>
      <c r="E569" s="241">
        <v>6</v>
      </c>
      <c r="F569" s="242" t="s">
        <v>5115</v>
      </c>
      <c r="G569" s="233">
        <v>1362</v>
      </c>
      <c r="H569" s="233">
        <v>798107</v>
      </c>
      <c r="I569" s="233">
        <v>732</v>
      </c>
      <c r="J569" s="233">
        <v>311</v>
      </c>
      <c r="K569" s="233">
        <v>421</v>
      </c>
      <c r="L569" s="233">
        <v>755975</v>
      </c>
      <c r="M569" s="233">
        <v>330454</v>
      </c>
      <c r="N569" s="233">
        <v>6946</v>
      </c>
      <c r="O569" s="233">
        <v>338</v>
      </c>
      <c r="P569" s="233">
        <v>379532</v>
      </c>
      <c r="Q569" s="233">
        <v>79</v>
      </c>
      <c r="R569" s="233">
        <v>18927</v>
      </c>
      <c r="S569" s="233">
        <v>300</v>
      </c>
      <c r="T569" s="233">
        <v>300</v>
      </c>
      <c r="U569" s="233">
        <v>0</v>
      </c>
      <c r="V569" s="233">
        <v>17510</v>
      </c>
      <c r="W569" s="233">
        <v>7109</v>
      </c>
      <c r="X569" s="233">
        <v>382</v>
      </c>
      <c r="Y569" s="233">
        <v>233</v>
      </c>
      <c r="Z569" s="233">
        <v>8907</v>
      </c>
      <c r="AA569" s="233">
        <v>1283</v>
      </c>
      <c r="AB569" s="233">
        <v>779180</v>
      </c>
      <c r="AC569" s="233">
        <v>432</v>
      </c>
      <c r="AD569" s="233">
        <v>11</v>
      </c>
      <c r="AE569" s="233">
        <v>421</v>
      </c>
      <c r="AF569" s="233">
        <v>738465</v>
      </c>
      <c r="AG569" s="233">
        <v>323345</v>
      </c>
      <c r="AH569" s="233">
        <v>6564</v>
      </c>
      <c r="AI569" s="233">
        <v>105</v>
      </c>
      <c r="AJ569" s="233">
        <v>370624</v>
      </c>
    </row>
    <row r="570" spans="1:36">
      <c r="A570" s="240">
        <v>1</v>
      </c>
      <c r="B570" s="241" t="s">
        <v>3997</v>
      </c>
      <c r="C570" s="241" t="s">
        <v>4455</v>
      </c>
      <c r="D570" s="241" t="s">
        <v>5116</v>
      </c>
      <c r="E570" s="241">
        <v>7</v>
      </c>
      <c r="F570" s="242" t="s">
        <v>5117</v>
      </c>
      <c r="G570" s="233">
        <v>1034</v>
      </c>
      <c r="H570" s="233">
        <v>686837</v>
      </c>
      <c r="I570" s="233">
        <v>382</v>
      </c>
      <c r="J570" s="233">
        <v>11</v>
      </c>
      <c r="K570" s="233">
        <v>371</v>
      </c>
      <c r="L570" s="233">
        <v>647856</v>
      </c>
      <c r="M570" s="233">
        <v>274933</v>
      </c>
      <c r="N570" s="233">
        <v>5451</v>
      </c>
      <c r="O570" s="233">
        <v>105</v>
      </c>
      <c r="P570" s="233">
        <v>319364</v>
      </c>
      <c r="Q570" s="233">
        <v>6</v>
      </c>
      <c r="R570" s="233">
        <v>240</v>
      </c>
      <c r="S570" s="233">
        <v>0</v>
      </c>
      <c r="T570" s="233">
        <v>0</v>
      </c>
      <c r="U570" s="233">
        <v>0</v>
      </c>
      <c r="V570" s="233">
        <v>234</v>
      </c>
      <c r="W570" s="233">
        <v>140</v>
      </c>
      <c r="X570" s="233">
        <v>8</v>
      </c>
      <c r="Y570" s="233">
        <v>0</v>
      </c>
      <c r="Z570" s="233">
        <v>154</v>
      </c>
      <c r="AA570" s="233">
        <v>1028</v>
      </c>
      <c r="AB570" s="233">
        <v>686597</v>
      </c>
      <c r="AC570" s="233">
        <v>382</v>
      </c>
      <c r="AD570" s="233">
        <v>11</v>
      </c>
      <c r="AE570" s="233">
        <v>371</v>
      </c>
      <c r="AF570" s="233">
        <v>647622</v>
      </c>
      <c r="AG570" s="233">
        <v>274792</v>
      </c>
      <c r="AH570" s="233">
        <v>5443</v>
      </c>
      <c r="AI570" s="233">
        <v>105</v>
      </c>
      <c r="AJ570" s="233">
        <v>319210</v>
      </c>
    </row>
    <row r="571" spans="1:36">
      <c r="A571" s="240">
        <v>1</v>
      </c>
      <c r="B571" s="241" t="s">
        <v>3997</v>
      </c>
      <c r="C571" s="241" t="s">
        <v>4455</v>
      </c>
      <c r="D571" s="241" t="s">
        <v>5118</v>
      </c>
      <c r="E571" s="241">
        <v>7</v>
      </c>
      <c r="F571" s="242" t="s">
        <v>5119</v>
      </c>
      <c r="G571" s="233">
        <v>328</v>
      </c>
      <c r="H571" s="233">
        <v>111270</v>
      </c>
      <c r="I571" s="233">
        <v>350</v>
      </c>
      <c r="J571" s="233">
        <v>300</v>
      </c>
      <c r="K571" s="233">
        <v>50</v>
      </c>
      <c r="L571" s="233">
        <v>108119</v>
      </c>
      <c r="M571" s="233">
        <v>55521</v>
      </c>
      <c r="N571" s="233">
        <v>1495</v>
      </c>
      <c r="O571" s="233">
        <v>233</v>
      </c>
      <c r="P571" s="233">
        <v>60168</v>
      </c>
      <c r="Q571" s="233">
        <v>73</v>
      </c>
      <c r="R571" s="233">
        <v>18687</v>
      </c>
      <c r="S571" s="233">
        <v>300</v>
      </c>
      <c r="T571" s="233">
        <v>300</v>
      </c>
      <c r="U571" s="233">
        <v>0</v>
      </c>
      <c r="V571" s="233">
        <v>17276</v>
      </c>
      <c r="W571" s="233">
        <v>6969</v>
      </c>
      <c r="X571" s="233">
        <v>374</v>
      </c>
      <c r="Y571" s="233">
        <v>233</v>
      </c>
      <c r="Z571" s="233">
        <v>8753</v>
      </c>
      <c r="AA571" s="233">
        <v>255</v>
      </c>
      <c r="AB571" s="233">
        <v>92584</v>
      </c>
      <c r="AC571" s="233">
        <v>50</v>
      </c>
      <c r="AD571" s="233">
        <v>0</v>
      </c>
      <c r="AE571" s="233">
        <v>50</v>
      </c>
      <c r="AF571" s="233">
        <v>90843</v>
      </c>
      <c r="AG571" s="233">
        <v>48553</v>
      </c>
      <c r="AH571" s="233">
        <v>1121</v>
      </c>
      <c r="AI571" s="233">
        <v>0</v>
      </c>
      <c r="AJ571" s="233">
        <v>51414</v>
      </c>
    </row>
    <row r="572" spans="1:36">
      <c r="A572" s="240">
        <v>1</v>
      </c>
      <c r="B572" s="241" t="s">
        <v>3997</v>
      </c>
      <c r="C572" s="241" t="s">
        <v>3432</v>
      </c>
      <c r="D572" s="241" t="s">
        <v>5120</v>
      </c>
      <c r="E572" s="241">
        <v>6</v>
      </c>
      <c r="F572" s="242" t="s">
        <v>5121</v>
      </c>
      <c r="G572" s="233">
        <v>8</v>
      </c>
      <c r="H572" s="233">
        <v>302973</v>
      </c>
      <c r="I572" s="233">
        <v>0</v>
      </c>
      <c r="J572" s="233">
        <v>0</v>
      </c>
      <c r="K572" s="233">
        <v>0</v>
      </c>
      <c r="L572" s="233">
        <v>306107</v>
      </c>
      <c r="M572" s="233">
        <v>7470</v>
      </c>
      <c r="N572" s="233">
        <v>375</v>
      </c>
      <c r="O572" s="233">
        <v>0</v>
      </c>
      <c r="P572" s="233">
        <v>4711</v>
      </c>
      <c r="Q572" s="235" t="s">
        <v>5298</v>
      </c>
      <c r="R572" s="235" t="s">
        <v>5298</v>
      </c>
      <c r="S572" s="235" t="s">
        <v>5298</v>
      </c>
      <c r="T572" s="235" t="s">
        <v>5298</v>
      </c>
      <c r="U572" s="235" t="s">
        <v>5298</v>
      </c>
      <c r="V572" s="235" t="s">
        <v>5298</v>
      </c>
      <c r="W572" s="235" t="s">
        <v>5298</v>
      </c>
      <c r="X572" s="235" t="s">
        <v>5298</v>
      </c>
      <c r="Y572" s="235" t="s">
        <v>5298</v>
      </c>
      <c r="Z572" s="235" t="s">
        <v>5298</v>
      </c>
      <c r="AA572" s="233">
        <v>8</v>
      </c>
      <c r="AB572" s="233">
        <v>302973</v>
      </c>
      <c r="AC572" s="233">
        <v>0</v>
      </c>
      <c r="AD572" s="233">
        <v>0</v>
      </c>
      <c r="AE572" s="233">
        <v>0</v>
      </c>
      <c r="AF572" s="233">
        <v>306107</v>
      </c>
      <c r="AG572" s="233">
        <v>7470</v>
      </c>
      <c r="AH572" s="233">
        <v>375</v>
      </c>
      <c r="AI572" s="233">
        <v>0</v>
      </c>
      <c r="AJ572" s="233">
        <v>4711</v>
      </c>
    </row>
    <row r="573" spans="1:36">
      <c r="A573" s="240">
        <v>1</v>
      </c>
      <c r="B573" s="241" t="s">
        <v>3997</v>
      </c>
      <c r="C573" s="241" t="s">
        <v>3432</v>
      </c>
      <c r="D573" s="241" t="s">
        <v>5122</v>
      </c>
      <c r="E573" s="241">
        <v>6</v>
      </c>
      <c r="F573" s="242" t="s">
        <v>5123</v>
      </c>
      <c r="G573" s="233">
        <v>2807</v>
      </c>
      <c r="H573" s="233">
        <v>802964</v>
      </c>
      <c r="I573" s="233">
        <v>161</v>
      </c>
      <c r="J573" s="233">
        <v>0</v>
      </c>
      <c r="K573" s="233">
        <v>161</v>
      </c>
      <c r="L573" s="233">
        <v>738948</v>
      </c>
      <c r="M573" s="233">
        <v>491921</v>
      </c>
      <c r="N573" s="233">
        <v>1527</v>
      </c>
      <c r="O573" s="233">
        <v>49</v>
      </c>
      <c r="P573" s="233">
        <v>557464</v>
      </c>
      <c r="Q573" s="235" t="s">
        <v>5298</v>
      </c>
      <c r="R573" s="235" t="s">
        <v>5298</v>
      </c>
      <c r="S573" s="235" t="s">
        <v>5298</v>
      </c>
      <c r="T573" s="235" t="s">
        <v>5298</v>
      </c>
      <c r="U573" s="235" t="s">
        <v>5298</v>
      </c>
      <c r="V573" s="235" t="s">
        <v>5298</v>
      </c>
      <c r="W573" s="235" t="s">
        <v>5298</v>
      </c>
      <c r="X573" s="235" t="s">
        <v>5298</v>
      </c>
      <c r="Y573" s="235" t="s">
        <v>5298</v>
      </c>
      <c r="Z573" s="235" t="s">
        <v>5298</v>
      </c>
      <c r="AA573" s="233">
        <v>2807</v>
      </c>
      <c r="AB573" s="233">
        <v>802964</v>
      </c>
      <c r="AC573" s="233">
        <v>161</v>
      </c>
      <c r="AD573" s="233">
        <v>0</v>
      </c>
      <c r="AE573" s="233">
        <v>161</v>
      </c>
      <c r="AF573" s="233">
        <v>738948</v>
      </c>
      <c r="AG573" s="233">
        <v>491921</v>
      </c>
      <c r="AH573" s="233">
        <v>1527</v>
      </c>
      <c r="AI573" s="233">
        <v>49</v>
      </c>
      <c r="AJ573" s="233">
        <v>557464</v>
      </c>
    </row>
    <row r="574" spans="1:36">
      <c r="A574" s="240">
        <v>1</v>
      </c>
      <c r="B574" s="241" t="s">
        <v>3997</v>
      </c>
      <c r="C574" s="241" t="s">
        <v>3170</v>
      </c>
      <c r="D574" s="241" t="s">
        <v>5124</v>
      </c>
      <c r="E574" s="241">
        <v>4</v>
      </c>
      <c r="F574" s="242" t="s">
        <v>5125</v>
      </c>
      <c r="G574" s="233">
        <v>24260</v>
      </c>
      <c r="H574" s="233">
        <v>3779126</v>
      </c>
      <c r="I574" s="233">
        <v>83289</v>
      </c>
      <c r="J574" s="233">
        <v>13027</v>
      </c>
      <c r="K574" s="233">
        <v>70262</v>
      </c>
      <c r="L574" s="233">
        <v>3493453</v>
      </c>
      <c r="M574" s="233">
        <v>1244460</v>
      </c>
      <c r="N574" s="233">
        <v>47198</v>
      </c>
      <c r="O574" s="233">
        <v>38291</v>
      </c>
      <c r="P574" s="233">
        <v>1577331</v>
      </c>
      <c r="Q574" s="233">
        <v>19054</v>
      </c>
      <c r="R574" s="233">
        <v>3245625</v>
      </c>
      <c r="S574" s="233">
        <v>77916</v>
      </c>
      <c r="T574" s="233">
        <v>12670</v>
      </c>
      <c r="U574" s="233">
        <v>65246</v>
      </c>
      <c r="V574" s="233">
        <v>2968328</v>
      </c>
      <c r="W574" s="233">
        <v>1076258</v>
      </c>
      <c r="X574" s="233">
        <v>37998</v>
      </c>
      <c r="Y574" s="233">
        <v>35742</v>
      </c>
      <c r="Z574" s="233">
        <v>1391552</v>
      </c>
      <c r="AA574" s="233">
        <v>5206</v>
      </c>
      <c r="AB574" s="233">
        <v>533501</v>
      </c>
      <c r="AC574" s="233">
        <v>5373</v>
      </c>
      <c r="AD574" s="233">
        <v>357</v>
      </c>
      <c r="AE574" s="233">
        <v>5016</v>
      </c>
      <c r="AF574" s="233">
        <v>525125</v>
      </c>
      <c r="AG574" s="233">
        <v>168203</v>
      </c>
      <c r="AH574" s="233">
        <v>9200</v>
      </c>
      <c r="AI574" s="233">
        <v>2549</v>
      </c>
      <c r="AJ574" s="233">
        <v>185779</v>
      </c>
    </row>
    <row r="575" spans="1:36">
      <c r="A575" s="240">
        <v>1</v>
      </c>
      <c r="B575" s="241" t="s">
        <v>3997</v>
      </c>
      <c r="C575" s="241" t="s">
        <v>3172</v>
      </c>
      <c r="D575" s="241" t="s">
        <v>5126</v>
      </c>
      <c r="E575" s="241">
        <v>5</v>
      </c>
      <c r="F575" s="242" t="s">
        <v>5127</v>
      </c>
      <c r="G575" s="233">
        <v>24260</v>
      </c>
      <c r="H575" s="233">
        <v>3779126</v>
      </c>
      <c r="I575" s="233">
        <v>83289</v>
      </c>
      <c r="J575" s="233">
        <v>13027</v>
      </c>
      <c r="K575" s="233">
        <v>70262</v>
      </c>
      <c r="L575" s="233">
        <v>3493453</v>
      </c>
      <c r="M575" s="233">
        <v>1244460</v>
      </c>
      <c r="N575" s="233">
        <v>47198</v>
      </c>
      <c r="O575" s="233">
        <v>38291</v>
      </c>
      <c r="P575" s="233">
        <v>1577331</v>
      </c>
      <c r="Q575" s="233">
        <v>19054</v>
      </c>
      <c r="R575" s="233">
        <v>3245625</v>
      </c>
      <c r="S575" s="233">
        <v>77916</v>
      </c>
      <c r="T575" s="233">
        <v>12670</v>
      </c>
      <c r="U575" s="233">
        <v>65246</v>
      </c>
      <c r="V575" s="233">
        <v>2968328</v>
      </c>
      <c r="W575" s="233">
        <v>1076258</v>
      </c>
      <c r="X575" s="233">
        <v>37998</v>
      </c>
      <c r="Y575" s="233">
        <v>35742</v>
      </c>
      <c r="Z575" s="233">
        <v>1391552</v>
      </c>
      <c r="AA575" s="233">
        <v>5206</v>
      </c>
      <c r="AB575" s="233">
        <v>533501</v>
      </c>
      <c r="AC575" s="233">
        <v>5373</v>
      </c>
      <c r="AD575" s="233">
        <v>357</v>
      </c>
      <c r="AE575" s="233">
        <v>5016</v>
      </c>
      <c r="AF575" s="233">
        <v>525125</v>
      </c>
      <c r="AG575" s="233">
        <v>168203</v>
      </c>
      <c r="AH575" s="233">
        <v>9200</v>
      </c>
      <c r="AI575" s="233">
        <v>2549</v>
      </c>
      <c r="AJ575" s="233">
        <v>185779</v>
      </c>
    </row>
    <row r="576" spans="1:36">
      <c r="A576" s="240">
        <v>1</v>
      </c>
      <c r="B576" s="241" t="s">
        <v>3997</v>
      </c>
      <c r="C576" s="241" t="s">
        <v>3432</v>
      </c>
      <c r="D576" s="241" t="s">
        <v>5128</v>
      </c>
      <c r="E576" s="241">
        <v>6</v>
      </c>
      <c r="F576" s="242" t="s">
        <v>5129</v>
      </c>
      <c r="G576" s="233">
        <v>1522</v>
      </c>
      <c r="H576" s="233">
        <v>331929</v>
      </c>
      <c r="I576" s="233">
        <v>8416</v>
      </c>
      <c r="J576" s="233">
        <v>220</v>
      </c>
      <c r="K576" s="233">
        <v>8196</v>
      </c>
      <c r="L576" s="233">
        <v>333424</v>
      </c>
      <c r="M576" s="233">
        <v>98568</v>
      </c>
      <c r="N576" s="233">
        <v>6457</v>
      </c>
      <c r="O576" s="233">
        <v>4340</v>
      </c>
      <c r="P576" s="233">
        <v>103530</v>
      </c>
      <c r="Q576" s="233">
        <v>365</v>
      </c>
      <c r="R576" s="233">
        <v>123319</v>
      </c>
      <c r="S576" s="233">
        <v>4530</v>
      </c>
      <c r="T576" s="233">
        <v>44</v>
      </c>
      <c r="U576" s="233">
        <v>4486</v>
      </c>
      <c r="V576" s="233">
        <v>123444</v>
      </c>
      <c r="W576" s="233">
        <v>34616</v>
      </c>
      <c r="X576" s="233">
        <v>1502</v>
      </c>
      <c r="Y576" s="233">
        <v>2442</v>
      </c>
      <c r="Z576" s="233">
        <v>35994</v>
      </c>
      <c r="AA576" s="233">
        <v>1157</v>
      </c>
      <c r="AB576" s="233">
        <v>208610</v>
      </c>
      <c r="AC576" s="233">
        <v>3886</v>
      </c>
      <c r="AD576" s="233">
        <v>176</v>
      </c>
      <c r="AE576" s="233">
        <v>3709</v>
      </c>
      <c r="AF576" s="233">
        <v>209980</v>
      </c>
      <c r="AG576" s="233">
        <v>63952</v>
      </c>
      <c r="AH576" s="233">
        <v>4954</v>
      </c>
      <c r="AI576" s="233">
        <v>1898</v>
      </c>
      <c r="AJ576" s="233">
        <v>67536</v>
      </c>
    </row>
    <row r="577" spans="1:36">
      <c r="A577" s="240">
        <v>1</v>
      </c>
      <c r="B577" s="241" t="s">
        <v>3997</v>
      </c>
      <c r="C577" s="241" t="s">
        <v>4455</v>
      </c>
      <c r="D577" s="241" t="s">
        <v>5130</v>
      </c>
      <c r="E577" s="241">
        <v>7</v>
      </c>
      <c r="F577" s="242" t="s">
        <v>5131</v>
      </c>
      <c r="G577" s="233">
        <v>163</v>
      </c>
      <c r="H577" s="233">
        <v>9277</v>
      </c>
      <c r="I577" s="233">
        <v>16</v>
      </c>
      <c r="J577" s="233">
        <v>0</v>
      </c>
      <c r="K577" s="233">
        <v>16</v>
      </c>
      <c r="L577" s="233">
        <v>9230</v>
      </c>
      <c r="M577" s="233">
        <v>4182</v>
      </c>
      <c r="N577" s="233">
        <v>239</v>
      </c>
      <c r="O577" s="233">
        <v>13</v>
      </c>
      <c r="P577" s="233">
        <v>4468</v>
      </c>
      <c r="Q577" s="233">
        <v>4</v>
      </c>
      <c r="R577" s="233">
        <v>187</v>
      </c>
      <c r="S577" s="233">
        <v>0</v>
      </c>
      <c r="T577" s="233">
        <v>0</v>
      </c>
      <c r="U577" s="233">
        <v>0</v>
      </c>
      <c r="V577" s="233">
        <v>177</v>
      </c>
      <c r="W577" s="233">
        <v>52</v>
      </c>
      <c r="X577" s="233">
        <v>0</v>
      </c>
      <c r="Y577" s="233">
        <v>0</v>
      </c>
      <c r="Z577" s="233">
        <v>62</v>
      </c>
      <c r="AA577" s="233">
        <v>159</v>
      </c>
      <c r="AB577" s="233">
        <v>9090</v>
      </c>
      <c r="AC577" s="233">
        <v>16</v>
      </c>
      <c r="AD577" s="233">
        <v>0</v>
      </c>
      <c r="AE577" s="233">
        <v>16</v>
      </c>
      <c r="AF577" s="233">
        <v>9053</v>
      </c>
      <c r="AG577" s="233">
        <v>4130</v>
      </c>
      <c r="AH577" s="233">
        <v>239</v>
      </c>
      <c r="AI577" s="233">
        <v>13</v>
      </c>
      <c r="AJ577" s="233">
        <v>4406</v>
      </c>
    </row>
    <row r="578" spans="1:36">
      <c r="A578" s="240">
        <v>1</v>
      </c>
      <c r="B578" s="241" t="s">
        <v>3997</v>
      </c>
      <c r="C578" s="241" t="s">
        <v>4455</v>
      </c>
      <c r="D578" s="241" t="s">
        <v>5132</v>
      </c>
      <c r="E578" s="241">
        <v>7</v>
      </c>
      <c r="F578" s="242" t="s">
        <v>5133</v>
      </c>
      <c r="G578" s="233">
        <v>99</v>
      </c>
      <c r="H578" s="233">
        <v>23933</v>
      </c>
      <c r="I578" s="233">
        <v>1127</v>
      </c>
      <c r="J578" s="233">
        <v>24</v>
      </c>
      <c r="K578" s="233">
        <v>1104</v>
      </c>
      <c r="L578" s="233">
        <v>22167</v>
      </c>
      <c r="M578" s="233">
        <v>10301</v>
      </c>
      <c r="N578" s="233">
        <v>214</v>
      </c>
      <c r="O578" s="233">
        <v>683</v>
      </c>
      <c r="P578" s="233">
        <v>12281</v>
      </c>
      <c r="Q578" s="233">
        <v>19</v>
      </c>
      <c r="R578" s="233">
        <v>15649</v>
      </c>
      <c r="S578" s="233">
        <v>797</v>
      </c>
      <c r="T578" s="233">
        <v>0</v>
      </c>
      <c r="U578" s="233">
        <v>797</v>
      </c>
      <c r="V578" s="233">
        <v>13628</v>
      </c>
      <c r="W578" s="233">
        <v>6385</v>
      </c>
      <c r="X578" s="233">
        <v>53</v>
      </c>
      <c r="Y578" s="233">
        <v>450</v>
      </c>
      <c r="Z578" s="233">
        <v>8460</v>
      </c>
      <c r="AA578" s="233">
        <v>80</v>
      </c>
      <c r="AB578" s="233">
        <v>8284</v>
      </c>
      <c r="AC578" s="233">
        <v>331</v>
      </c>
      <c r="AD578" s="233">
        <v>24</v>
      </c>
      <c r="AE578" s="233">
        <v>307</v>
      </c>
      <c r="AF578" s="233">
        <v>8539</v>
      </c>
      <c r="AG578" s="233">
        <v>3916</v>
      </c>
      <c r="AH578" s="233">
        <v>161</v>
      </c>
      <c r="AI578" s="233">
        <v>233</v>
      </c>
      <c r="AJ578" s="233">
        <v>3821</v>
      </c>
    </row>
    <row r="579" spans="1:36">
      <c r="A579" s="240">
        <v>1</v>
      </c>
      <c r="B579" s="241" t="s">
        <v>3997</v>
      </c>
      <c r="C579" s="241" t="s">
        <v>4455</v>
      </c>
      <c r="D579" s="241" t="s">
        <v>5134</v>
      </c>
      <c r="E579" s="241">
        <v>7</v>
      </c>
      <c r="F579" s="242" t="s">
        <v>5135</v>
      </c>
      <c r="G579" s="233">
        <v>905</v>
      </c>
      <c r="H579" s="233">
        <v>144955</v>
      </c>
      <c r="I579" s="233">
        <v>3073</v>
      </c>
      <c r="J579" s="233">
        <v>196</v>
      </c>
      <c r="K579" s="233">
        <v>2876</v>
      </c>
      <c r="L579" s="233">
        <v>149348</v>
      </c>
      <c r="M579" s="233">
        <v>38933</v>
      </c>
      <c r="N579" s="233">
        <v>2939</v>
      </c>
      <c r="O579" s="233">
        <v>900</v>
      </c>
      <c r="P579" s="233">
        <v>37479</v>
      </c>
      <c r="Q579" s="233">
        <v>188</v>
      </c>
      <c r="R579" s="233">
        <v>30847</v>
      </c>
      <c r="S579" s="233">
        <v>1553</v>
      </c>
      <c r="T579" s="233">
        <v>44</v>
      </c>
      <c r="U579" s="233">
        <v>1509</v>
      </c>
      <c r="V579" s="233">
        <v>32658</v>
      </c>
      <c r="W579" s="233">
        <v>7045</v>
      </c>
      <c r="X579" s="233">
        <v>523</v>
      </c>
      <c r="Y579" s="233">
        <v>372</v>
      </c>
      <c r="Z579" s="233">
        <v>5757</v>
      </c>
      <c r="AA579" s="233">
        <v>717</v>
      </c>
      <c r="AB579" s="233">
        <v>114109</v>
      </c>
      <c r="AC579" s="233">
        <v>1520</v>
      </c>
      <c r="AD579" s="233">
        <v>153</v>
      </c>
      <c r="AE579" s="233">
        <v>1367</v>
      </c>
      <c r="AF579" s="233">
        <v>116691</v>
      </c>
      <c r="AG579" s="233">
        <v>31888</v>
      </c>
      <c r="AH579" s="233">
        <v>2416</v>
      </c>
      <c r="AI579" s="233">
        <v>528</v>
      </c>
      <c r="AJ579" s="233">
        <v>31722</v>
      </c>
    </row>
    <row r="580" spans="1:36">
      <c r="A580" s="240">
        <v>1</v>
      </c>
      <c r="B580" s="241" t="s">
        <v>3997</v>
      </c>
      <c r="C580" s="241" t="s">
        <v>4455</v>
      </c>
      <c r="D580" s="241" t="s">
        <v>5136</v>
      </c>
      <c r="E580" s="241">
        <v>7</v>
      </c>
      <c r="F580" s="242" t="s">
        <v>5137</v>
      </c>
      <c r="G580" s="233">
        <v>145</v>
      </c>
      <c r="H580" s="233">
        <v>94704</v>
      </c>
      <c r="I580" s="233">
        <v>4091</v>
      </c>
      <c r="J580" s="233">
        <v>0</v>
      </c>
      <c r="K580" s="233">
        <v>4091</v>
      </c>
      <c r="L580" s="233">
        <v>94213</v>
      </c>
      <c r="M580" s="233">
        <v>26147</v>
      </c>
      <c r="N580" s="233">
        <v>1868</v>
      </c>
      <c r="O580" s="233">
        <v>2710</v>
      </c>
      <c r="P580" s="233">
        <v>28505</v>
      </c>
      <c r="Q580" s="233">
        <v>100</v>
      </c>
      <c r="R580" s="233">
        <v>61174</v>
      </c>
      <c r="S580" s="233">
        <v>2155</v>
      </c>
      <c r="T580" s="233">
        <v>0</v>
      </c>
      <c r="U580" s="233">
        <v>2155</v>
      </c>
      <c r="V580" s="233">
        <v>60637</v>
      </c>
      <c r="W580" s="233">
        <v>15755</v>
      </c>
      <c r="X580" s="233">
        <v>847</v>
      </c>
      <c r="Y580" s="233">
        <v>1610</v>
      </c>
      <c r="Z580" s="233">
        <v>17139</v>
      </c>
      <c r="AA580" s="233">
        <v>45</v>
      </c>
      <c r="AB580" s="233">
        <v>33530</v>
      </c>
      <c r="AC580" s="233">
        <v>1936</v>
      </c>
      <c r="AD580" s="233">
        <v>0</v>
      </c>
      <c r="AE580" s="233">
        <v>1936</v>
      </c>
      <c r="AF580" s="233">
        <v>33576</v>
      </c>
      <c r="AG580" s="233">
        <v>10391</v>
      </c>
      <c r="AH580" s="233">
        <v>1021</v>
      </c>
      <c r="AI580" s="233">
        <v>1099</v>
      </c>
      <c r="AJ580" s="233">
        <v>11366</v>
      </c>
    </row>
    <row r="581" spans="1:36">
      <c r="A581" s="240">
        <v>1</v>
      </c>
      <c r="B581" s="241" t="s">
        <v>3997</v>
      </c>
      <c r="C581" s="241" t="s">
        <v>4455</v>
      </c>
      <c r="D581" s="241" t="s">
        <v>5138</v>
      </c>
      <c r="E581" s="241">
        <v>7</v>
      </c>
      <c r="F581" s="242" t="s">
        <v>5139</v>
      </c>
      <c r="G581" s="233">
        <v>33</v>
      </c>
      <c r="H581" s="233">
        <v>12145</v>
      </c>
      <c r="I581" s="233">
        <v>82</v>
      </c>
      <c r="J581" s="233">
        <v>0</v>
      </c>
      <c r="K581" s="233">
        <v>82</v>
      </c>
      <c r="L581" s="233">
        <v>12166</v>
      </c>
      <c r="M581" s="233">
        <v>5128</v>
      </c>
      <c r="N581" s="233">
        <v>96</v>
      </c>
      <c r="O581" s="233">
        <v>22</v>
      </c>
      <c r="P581" s="233">
        <v>5202</v>
      </c>
      <c r="Q581" s="233">
        <v>24</v>
      </c>
      <c r="R581" s="233">
        <v>7179</v>
      </c>
      <c r="S581" s="233">
        <v>15</v>
      </c>
      <c r="T581" s="233">
        <v>0</v>
      </c>
      <c r="U581" s="233">
        <v>15</v>
      </c>
      <c r="V581" s="233">
        <v>7574</v>
      </c>
      <c r="W581" s="233">
        <v>3927</v>
      </c>
      <c r="X581" s="233">
        <v>26</v>
      </c>
      <c r="Y581" s="233">
        <v>0</v>
      </c>
      <c r="Z581" s="233">
        <v>3558</v>
      </c>
      <c r="AA581" s="233">
        <v>9</v>
      </c>
      <c r="AB581" s="233">
        <v>4965</v>
      </c>
      <c r="AC581" s="233">
        <v>67</v>
      </c>
      <c r="AD581" s="233">
        <v>0</v>
      </c>
      <c r="AE581" s="233">
        <v>67</v>
      </c>
      <c r="AF581" s="233">
        <v>4592</v>
      </c>
      <c r="AG581" s="233">
        <v>1201</v>
      </c>
      <c r="AH581" s="233">
        <v>70</v>
      </c>
      <c r="AI581" s="233">
        <v>22</v>
      </c>
      <c r="AJ581" s="233">
        <v>1644</v>
      </c>
    </row>
    <row r="582" spans="1:36">
      <c r="A582" s="240">
        <v>1</v>
      </c>
      <c r="B582" s="241" t="s">
        <v>3997</v>
      </c>
      <c r="C582" s="241" t="s">
        <v>4455</v>
      </c>
      <c r="D582" s="241" t="s">
        <v>5140</v>
      </c>
      <c r="E582" s="241">
        <v>7</v>
      </c>
      <c r="F582" s="242" t="s">
        <v>5141</v>
      </c>
      <c r="G582" s="233">
        <v>177</v>
      </c>
      <c r="H582" s="233">
        <v>46915</v>
      </c>
      <c r="I582" s="233">
        <v>27</v>
      </c>
      <c r="J582" s="233">
        <v>0</v>
      </c>
      <c r="K582" s="233">
        <v>27</v>
      </c>
      <c r="L582" s="233">
        <v>46299</v>
      </c>
      <c r="M582" s="233">
        <v>13878</v>
      </c>
      <c r="N582" s="233">
        <v>1101</v>
      </c>
      <c r="O582" s="233">
        <v>12</v>
      </c>
      <c r="P582" s="233">
        <v>15595</v>
      </c>
      <c r="Q582" s="233">
        <v>30</v>
      </c>
      <c r="R582" s="233">
        <v>8283</v>
      </c>
      <c r="S582" s="233">
        <v>11</v>
      </c>
      <c r="T582" s="233">
        <v>0</v>
      </c>
      <c r="U582" s="233">
        <v>11</v>
      </c>
      <c r="V582" s="233">
        <v>8770</v>
      </c>
      <c r="W582" s="233">
        <v>1452</v>
      </c>
      <c r="X582" s="233">
        <v>53</v>
      </c>
      <c r="Y582" s="233">
        <v>9</v>
      </c>
      <c r="Z582" s="233">
        <v>1018</v>
      </c>
      <c r="AA582" s="233">
        <v>147</v>
      </c>
      <c r="AB582" s="233">
        <v>38632</v>
      </c>
      <c r="AC582" s="233">
        <v>16</v>
      </c>
      <c r="AD582" s="233">
        <v>0</v>
      </c>
      <c r="AE582" s="233">
        <v>16</v>
      </c>
      <c r="AF582" s="233">
        <v>37529</v>
      </c>
      <c r="AG582" s="233">
        <v>12426</v>
      </c>
      <c r="AH582" s="233">
        <v>1048</v>
      </c>
      <c r="AI582" s="233">
        <v>3</v>
      </c>
      <c r="AJ582" s="233">
        <v>14577</v>
      </c>
    </row>
    <row r="583" spans="1:36">
      <c r="A583" s="240">
        <v>1</v>
      </c>
      <c r="B583" s="241" t="s">
        <v>3997</v>
      </c>
      <c r="C583" s="241" t="s">
        <v>3432</v>
      </c>
      <c r="D583" s="241" t="s">
        <v>5142</v>
      </c>
      <c r="E583" s="241">
        <v>6</v>
      </c>
      <c r="F583" s="242" t="s">
        <v>5143</v>
      </c>
      <c r="G583" s="233">
        <v>2710</v>
      </c>
      <c r="H583" s="233">
        <v>420423</v>
      </c>
      <c r="I583" s="233">
        <v>484</v>
      </c>
      <c r="J583" s="233">
        <v>99</v>
      </c>
      <c r="K583" s="233">
        <v>385</v>
      </c>
      <c r="L583" s="233">
        <v>400024</v>
      </c>
      <c r="M583" s="233">
        <v>125428</v>
      </c>
      <c r="N583" s="233">
        <v>2695</v>
      </c>
      <c r="O583" s="233">
        <v>245</v>
      </c>
      <c r="P583" s="233">
        <v>148522</v>
      </c>
      <c r="Q583" s="233">
        <v>1737</v>
      </c>
      <c r="R583" s="233">
        <v>201851</v>
      </c>
      <c r="S583" s="233">
        <v>213</v>
      </c>
      <c r="T583" s="233">
        <v>62</v>
      </c>
      <c r="U583" s="233">
        <v>152</v>
      </c>
      <c r="V583" s="233">
        <v>188043</v>
      </c>
      <c r="W583" s="233">
        <v>57997</v>
      </c>
      <c r="X583" s="233">
        <v>1086</v>
      </c>
      <c r="Y583" s="233">
        <v>90</v>
      </c>
      <c r="Z583" s="233">
        <v>72890</v>
      </c>
      <c r="AA583" s="233">
        <v>973</v>
      </c>
      <c r="AB583" s="233">
        <v>218572</v>
      </c>
      <c r="AC583" s="233">
        <v>271</v>
      </c>
      <c r="AD583" s="233">
        <v>38</v>
      </c>
      <c r="AE583" s="233">
        <v>233</v>
      </c>
      <c r="AF583" s="233">
        <v>211981</v>
      </c>
      <c r="AG583" s="233">
        <v>67432</v>
      </c>
      <c r="AH583" s="233">
        <v>1609</v>
      </c>
      <c r="AI583" s="233">
        <v>155</v>
      </c>
      <c r="AJ583" s="233">
        <v>75632</v>
      </c>
    </row>
    <row r="584" spans="1:36">
      <c r="A584" s="240">
        <v>1</v>
      </c>
      <c r="B584" s="241" t="s">
        <v>3997</v>
      </c>
      <c r="C584" s="241" t="s">
        <v>3432</v>
      </c>
      <c r="D584" s="241" t="s">
        <v>5144</v>
      </c>
      <c r="E584" s="241">
        <v>6</v>
      </c>
      <c r="F584" s="242" t="s">
        <v>5145</v>
      </c>
      <c r="G584" s="233">
        <v>5952</v>
      </c>
      <c r="H584" s="233">
        <v>1137349</v>
      </c>
      <c r="I584" s="233">
        <v>8419</v>
      </c>
      <c r="J584" s="233">
        <v>3068</v>
      </c>
      <c r="K584" s="233">
        <v>5351</v>
      </c>
      <c r="L584" s="233">
        <v>1009171</v>
      </c>
      <c r="M584" s="233">
        <v>395187</v>
      </c>
      <c r="N584" s="233">
        <v>12291</v>
      </c>
      <c r="O584" s="233">
        <v>4385</v>
      </c>
      <c r="P584" s="233">
        <v>535656</v>
      </c>
      <c r="Q584" s="233">
        <v>5858</v>
      </c>
      <c r="R584" s="233">
        <v>1135504</v>
      </c>
      <c r="S584" s="233">
        <v>8419</v>
      </c>
      <c r="T584" s="233">
        <v>3068</v>
      </c>
      <c r="U584" s="233">
        <v>5351</v>
      </c>
      <c r="V584" s="233">
        <v>1007426</v>
      </c>
      <c r="W584" s="233">
        <v>394384</v>
      </c>
      <c r="X584" s="233">
        <v>12252</v>
      </c>
      <c r="Y584" s="233">
        <v>4385</v>
      </c>
      <c r="Z584" s="233">
        <v>534714</v>
      </c>
      <c r="AA584" s="233">
        <v>94</v>
      </c>
      <c r="AB584" s="233">
        <v>1845</v>
      </c>
      <c r="AC584" s="233">
        <v>0</v>
      </c>
      <c r="AD584" s="233">
        <v>0</v>
      </c>
      <c r="AE584" s="233">
        <v>0</v>
      </c>
      <c r="AF584" s="233">
        <v>1746</v>
      </c>
      <c r="AG584" s="233">
        <v>803</v>
      </c>
      <c r="AH584" s="233">
        <v>40</v>
      </c>
      <c r="AI584" s="233">
        <v>0</v>
      </c>
      <c r="AJ584" s="233">
        <v>942</v>
      </c>
    </row>
    <row r="585" spans="1:36">
      <c r="A585" s="240">
        <v>1</v>
      </c>
      <c r="B585" s="241" t="s">
        <v>3997</v>
      </c>
      <c r="C585" s="241" t="s">
        <v>3432</v>
      </c>
      <c r="D585" s="241" t="s">
        <v>5146</v>
      </c>
      <c r="E585" s="241">
        <v>6</v>
      </c>
      <c r="F585" s="242" t="s">
        <v>5147</v>
      </c>
      <c r="G585" s="233">
        <v>11136</v>
      </c>
      <c r="H585" s="233">
        <v>1174821</v>
      </c>
      <c r="I585" s="233">
        <v>57915</v>
      </c>
      <c r="J585" s="233">
        <v>8605</v>
      </c>
      <c r="K585" s="233">
        <v>49309</v>
      </c>
      <c r="L585" s="233">
        <v>1101103</v>
      </c>
      <c r="M585" s="233">
        <v>359924</v>
      </c>
      <c r="N585" s="233">
        <v>11173</v>
      </c>
      <c r="O585" s="233">
        <v>24702</v>
      </c>
      <c r="P585" s="233">
        <v>444815</v>
      </c>
      <c r="Q585" s="233">
        <v>8882</v>
      </c>
      <c r="R585" s="233">
        <v>1111313</v>
      </c>
      <c r="S585" s="233">
        <v>56751</v>
      </c>
      <c r="T585" s="233">
        <v>8472</v>
      </c>
      <c r="U585" s="233">
        <v>48279</v>
      </c>
      <c r="V585" s="233">
        <v>1038589</v>
      </c>
      <c r="W585" s="233">
        <v>339297</v>
      </c>
      <c r="X585" s="233">
        <v>9557</v>
      </c>
      <c r="Y585" s="233">
        <v>24225</v>
      </c>
      <c r="Z585" s="233">
        <v>421578</v>
      </c>
      <c r="AA585" s="233">
        <v>2254</v>
      </c>
      <c r="AB585" s="233">
        <v>63508</v>
      </c>
      <c r="AC585" s="233">
        <v>1164</v>
      </c>
      <c r="AD585" s="233">
        <v>133</v>
      </c>
      <c r="AE585" s="233">
        <v>1031</v>
      </c>
      <c r="AF585" s="233">
        <v>62513</v>
      </c>
      <c r="AG585" s="233">
        <v>20628</v>
      </c>
      <c r="AH585" s="233">
        <v>1615</v>
      </c>
      <c r="AI585" s="233">
        <v>477</v>
      </c>
      <c r="AJ585" s="233">
        <v>23237</v>
      </c>
    </row>
    <row r="586" spans="1:36">
      <c r="A586" s="240">
        <v>1</v>
      </c>
      <c r="B586" s="241" t="s">
        <v>3997</v>
      </c>
      <c r="C586" s="241" t="s">
        <v>4455</v>
      </c>
      <c r="D586" s="241" t="s">
        <v>5148</v>
      </c>
      <c r="E586" s="241">
        <v>7</v>
      </c>
      <c r="F586" s="242" t="s">
        <v>5149</v>
      </c>
      <c r="G586" s="233">
        <v>904</v>
      </c>
      <c r="H586" s="233">
        <v>74991</v>
      </c>
      <c r="I586" s="233">
        <v>15565</v>
      </c>
      <c r="J586" s="233">
        <v>299</v>
      </c>
      <c r="K586" s="233">
        <v>15267</v>
      </c>
      <c r="L586" s="233">
        <v>74199</v>
      </c>
      <c r="M586" s="233">
        <v>16071</v>
      </c>
      <c r="N586" s="233">
        <v>584</v>
      </c>
      <c r="O586" s="233">
        <v>10200</v>
      </c>
      <c r="P586" s="233">
        <v>17447</v>
      </c>
      <c r="Q586" s="233">
        <v>833</v>
      </c>
      <c r="R586" s="233">
        <v>73978</v>
      </c>
      <c r="S586" s="233">
        <v>15560</v>
      </c>
      <c r="T586" s="233">
        <v>299</v>
      </c>
      <c r="U586" s="233">
        <v>15261</v>
      </c>
      <c r="V586" s="233">
        <v>73177</v>
      </c>
      <c r="W586" s="233">
        <v>15694</v>
      </c>
      <c r="X586" s="233">
        <v>572</v>
      </c>
      <c r="Y586" s="233">
        <v>10195</v>
      </c>
      <c r="Z586" s="233">
        <v>17067</v>
      </c>
      <c r="AA586" s="233">
        <v>71</v>
      </c>
      <c r="AB586" s="233">
        <v>1013</v>
      </c>
      <c r="AC586" s="233">
        <v>6</v>
      </c>
      <c r="AD586" s="233">
        <v>0</v>
      </c>
      <c r="AE586" s="233">
        <v>6</v>
      </c>
      <c r="AF586" s="233">
        <v>1022</v>
      </c>
      <c r="AG586" s="233">
        <v>377</v>
      </c>
      <c r="AH586" s="233">
        <v>12</v>
      </c>
      <c r="AI586" s="233">
        <v>5</v>
      </c>
      <c r="AJ586" s="233">
        <v>380</v>
      </c>
    </row>
    <row r="587" spans="1:36">
      <c r="A587" s="240">
        <v>1</v>
      </c>
      <c r="B587" s="241" t="s">
        <v>3997</v>
      </c>
      <c r="C587" s="241" t="s">
        <v>4455</v>
      </c>
      <c r="D587" s="241" t="s">
        <v>5150</v>
      </c>
      <c r="E587" s="241">
        <v>7</v>
      </c>
      <c r="F587" s="242" t="s">
        <v>5151</v>
      </c>
      <c r="G587" s="233">
        <v>159</v>
      </c>
      <c r="H587" s="233">
        <v>4430</v>
      </c>
      <c r="I587" s="233">
        <v>125</v>
      </c>
      <c r="J587" s="233">
        <v>65</v>
      </c>
      <c r="K587" s="233">
        <v>60</v>
      </c>
      <c r="L587" s="233">
        <v>4154</v>
      </c>
      <c r="M587" s="233">
        <v>1384</v>
      </c>
      <c r="N587" s="233">
        <v>77</v>
      </c>
      <c r="O587" s="233">
        <v>76</v>
      </c>
      <c r="P587" s="233">
        <v>1737</v>
      </c>
      <c r="Q587" s="233">
        <v>110</v>
      </c>
      <c r="R587" s="233">
        <v>3683</v>
      </c>
      <c r="S587" s="233">
        <v>95</v>
      </c>
      <c r="T587" s="233">
        <v>65</v>
      </c>
      <c r="U587" s="233">
        <v>30</v>
      </c>
      <c r="V587" s="233">
        <v>3509</v>
      </c>
      <c r="W587" s="233">
        <v>1205</v>
      </c>
      <c r="X587" s="233">
        <v>59</v>
      </c>
      <c r="Y587" s="233">
        <v>62</v>
      </c>
      <c r="Z587" s="233">
        <v>1437</v>
      </c>
      <c r="AA587" s="233">
        <v>49</v>
      </c>
      <c r="AB587" s="233">
        <v>747</v>
      </c>
      <c r="AC587" s="233">
        <v>30</v>
      </c>
      <c r="AD587" s="233">
        <v>0</v>
      </c>
      <c r="AE587" s="233">
        <v>30</v>
      </c>
      <c r="AF587" s="233">
        <v>644</v>
      </c>
      <c r="AG587" s="233">
        <v>179</v>
      </c>
      <c r="AH587" s="233">
        <v>19</v>
      </c>
      <c r="AI587" s="233">
        <v>14</v>
      </c>
      <c r="AJ587" s="233">
        <v>301</v>
      </c>
    </row>
    <row r="588" spans="1:36">
      <c r="A588" s="240">
        <v>1</v>
      </c>
      <c r="B588" s="241" t="s">
        <v>3997</v>
      </c>
      <c r="C588" s="241" t="s">
        <v>4455</v>
      </c>
      <c r="D588" s="241" t="s">
        <v>5152</v>
      </c>
      <c r="E588" s="241">
        <v>7</v>
      </c>
      <c r="F588" s="242" t="s">
        <v>5153</v>
      </c>
      <c r="G588" s="233">
        <v>92</v>
      </c>
      <c r="H588" s="233">
        <v>5690</v>
      </c>
      <c r="I588" s="233">
        <v>314</v>
      </c>
      <c r="J588" s="233">
        <v>0</v>
      </c>
      <c r="K588" s="233">
        <v>314</v>
      </c>
      <c r="L588" s="233">
        <v>5910</v>
      </c>
      <c r="M588" s="233">
        <v>1384</v>
      </c>
      <c r="N588" s="233">
        <v>330</v>
      </c>
      <c r="O588" s="233">
        <v>55</v>
      </c>
      <c r="P588" s="233">
        <v>1495</v>
      </c>
      <c r="Q588" s="233">
        <v>63</v>
      </c>
      <c r="R588" s="233">
        <v>821</v>
      </c>
      <c r="S588" s="233">
        <v>51</v>
      </c>
      <c r="T588" s="233">
        <v>0</v>
      </c>
      <c r="U588" s="233">
        <v>51</v>
      </c>
      <c r="V588" s="233">
        <v>742</v>
      </c>
      <c r="W588" s="233">
        <v>215</v>
      </c>
      <c r="X588" s="233">
        <v>12</v>
      </c>
      <c r="Y588" s="233">
        <v>45</v>
      </c>
      <c r="Z588" s="233">
        <v>306</v>
      </c>
      <c r="AA588" s="233">
        <v>29</v>
      </c>
      <c r="AB588" s="233">
        <v>4869</v>
      </c>
      <c r="AC588" s="233">
        <v>263</v>
      </c>
      <c r="AD588" s="233">
        <v>0</v>
      </c>
      <c r="AE588" s="233">
        <v>263</v>
      </c>
      <c r="AF588" s="233">
        <v>5168</v>
      </c>
      <c r="AG588" s="233">
        <v>1169</v>
      </c>
      <c r="AH588" s="233">
        <v>319</v>
      </c>
      <c r="AI588" s="233">
        <v>10</v>
      </c>
      <c r="AJ588" s="233">
        <v>1189</v>
      </c>
    </row>
    <row r="589" spans="1:36">
      <c r="A589" s="240">
        <v>1</v>
      </c>
      <c r="B589" s="241" t="s">
        <v>3997</v>
      </c>
      <c r="C589" s="241" t="s">
        <v>4455</v>
      </c>
      <c r="D589" s="241" t="s">
        <v>5154</v>
      </c>
      <c r="E589" s="241">
        <v>7</v>
      </c>
      <c r="F589" s="242" t="s">
        <v>5155</v>
      </c>
      <c r="G589" s="233">
        <v>138</v>
      </c>
      <c r="H589" s="233">
        <v>4257</v>
      </c>
      <c r="I589" s="233">
        <v>67</v>
      </c>
      <c r="J589" s="233">
        <v>43</v>
      </c>
      <c r="K589" s="233">
        <v>24</v>
      </c>
      <c r="L589" s="233">
        <v>4140</v>
      </c>
      <c r="M589" s="233">
        <v>1744</v>
      </c>
      <c r="N589" s="233">
        <v>68</v>
      </c>
      <c r="O589" s="233">
        <v>18</v>
      </c>
      <c r="P589" s="233">
        <v>1928</v>
      </c>
      <c r="Q589" s="233">
        <v>126</v>
      </c>
      <c r="R589" s="233">
        <v>4176</v>
      </c>
      <c r="S589" s="233">
        <v>67</v>
      </c>
      <c r="T589" s="233">
        <v>43</v>
      </c>
      <c r="U589" s="233">
        <v>24</v>
      </c>
      <c r="V589" s="233">
        <v>4104</v>
      </c>
      <c r="W589" s="233">
        <v>1729</v>
      </c>
      <c r="X589" s="233">
        <v>64</v>
      </c>
      <c r="Y589" s="233">
        <v>18</v>
      </c>
      <c r="Z589" s="233">
        <v>1864</v>
      </c>
      <c r="AA589" s="233">
        <v>12</v>
      </c>
      <c r="AB589" s="233">
        <v>81</v>
      </c>
      <c r="AC589" s="233">
        <v>0</v>
      </c>
      <c r="AD589" s="233">
        <v>0</v>
      </c>
      <c r="AE589" s="233">
        <v>0</v>
      </c>
      <c r="AF589" s="233">
        <v>36</v>
      </c>
      <c r="AG589" s="233">
        <v>15</v>
      </c>
      <c r="AH589" s="233">
        <v>4</v>
      </c>
      <c r="AI589" s="233">
        <v>0</v>
      </c>
      <c r="AJ589" s="233">
        <v>64</v>
      </c>
    </row>
    <row r="590" spans="1:36">
      <c r="A590" s="240">
        <v>1</v>
      </c>
      <c r="B590" s="241" t="s">
        <v>3997</v>
      </c>
      <c r="C590" s="241" t="s">
        <v>4455</v>
      </c>
      <c r="D590" s="241" t="s">
        <v>5156</v>
      </c>
      <c r="E590" s="241">
        <v>7</v>
      </c>
      <c r="F590" s="242" t="s">
        <v>5157</v>
      </c>
      <c r="G590" s="233">
        <v>1250</v>
      </c>
      <c r="H590" s="233">
        <v>192992</v>
      </c>
      <c r="I590" s="233">
        <v>255</v>
      </c>
      <c r="J590" s="233">
        <v>47</v>
      </c>
      <c r="K590" s="233">
        <v>208</v>
      </c>
      <c r="L590" s="233">
        <v>181971</v>
      </c>
      <c r="M590" s="233">
        <v>61986</v>
      </c>
      <c r="N590" s="233">
        <v>1359</v>
      </c>
      <c r="O590" s="233">
        <v>16</v>
      </c>
      <c r="P590" s="233">
        <v>74367</v>
      </c>
      <c r="Q590" s="233">
        <v>1202</v>
      </c>
      <c r="R590" s="233">
        <v>191769</v>
      </c>
      <c r="S590" s="233">
        <v>255</v>
      </c>
      <c r="T590" s="233">
        <v>47</v>
      </c>
      <c r="U590" s="233">
        <v>208</v>
      </c>
      <c r="V590" s="233">
        <v>180716</v>
      </c>
      <c r="W590" s="233">
        <v>61305</v>
      </c>
      <c r="X590" s="233">
        <v>1301</v>
      </c>
      <c r="Y590" s="233">
        <v>16</v>
      </c>
      <c r="Z590" s="233">
        <v>73659</v>
      </c>
      <c r="AA590" s="233">
        <v>48</v>
      </c>
      <c r="AB590" s="233">
        <v>1223</v>
      </c>
      <c r="AC590" s="233">
        <v>0</v>
      </c>
      <c r="AD590" s="233">
        <v>0</v>
      </c>
      <c r="AE590" s="233">
        <v>0</v>
      </c>
      <c r="AF590" s="233">
        <v>1255</v>
      </c>
      <c r="AG590" s="233">
        <v>681</v>
      </c>
      <c r="AH590" s="233">
        <v>58</v>
      </c>
      <c r="AI590" s="233">
        <v>0</v>
      </c>
      <c r="AJ590" s="233">
        <v>708</v>
      </c>
    </row>
    <row r="591" spans="1:36">
      <c r="A591" s="240">
        <v>1</v>
      </c>
      <c r="B591" s="241" t="s">
        <v>3997</v>
      </c>
      <c r="C591" s="241" t="s">
        <v>4455</v>
      </c>
      <c r="D591" s="270" t="s">
        <v>5158</v>
      </c>
      <c r="E591" s="241">
        <v>7</v>
      </c>
      <c r="F591" s="242" t="s">
        <v>5159</v>
      </c>
      <c r="G591" s="271">
        <v>4332</v>
      </c>
      <c r="H591" s="271">
        <v>354824</v>
      </c>
      <c r="I591" s="233">
        <v>7828</v>
      </c>
      <c r="J591" s="233">
        <v>638</v>
      </c>
      <c r="K591" s="233">
        <v>7190</v>
      </c>
      <c r="L591" s="233">
        <v>332000</v>
      </c>
      <c r="M591" s="233">
        <v>119798</v>
      </c>
      <c r="N591" s="233">
        <v>5597</v>
      </c>
      <c r="O591" s="233">
        <v>4013</v>
      </c>
      <c r="P591" s="233">
        <v>148219</v>
      </c>
      <c r="Q591" s="233">
        <v>3032</v>
      </c>
      <c r="R591" s="233">
        <v>321590</v>
      </c>
      <c r="S591" s="233">
        <v>7585</v>
      </c>
      <c r="T591" s="233">
        <v>626</v>
      </c>
      <c r="U591" s="233">
        <v>6959</v>
      </c>
      <c r="V591" s="233">
        <v>299659</v>
      </c>
      <c r="W591" s="233">
        <v>108382</v>
      </c>
      <c r="X591" s="233">
        <v>4951</v>
      </c>
      <c r="Y591" s="233">
        <v>3923</v>
      </c>
      <c r="Z591" s="233">
        <v>135264</v>
      </c>
      <c r="AA591" s="233">
        <v>1300</v>
      </c>
      <c r="AB591" s="233">
        <v>33233</v>
      </c>
      <c r="AC591" s="233">
        <v>243</v>
      </c>
      <c r="AD591" s="233">
        <v>12</v>
      </c>
      <c r="AE591" s="233">
        <v>231</v>
      </c>
      <c r="AF591" s="233">
        <v>32341</v>
      </c>
      <c r="AG591" s="233">
        <v>11416</v>
      </c>
      <c r="AH591" s="233">
        <v>646</v>
      </c>
      <c r="AI591" s="233">
        <v>90</v>
      </c>
      <c r="AJ591" s="233">
        <v>12955</v>
      </c>
    </row>
    <row r="592" spans="1:36">
      <c r="A592" s="240">
        <v>1</v>
      </c>
      <c r="B592" s="241" t="s">
        <v>3997</v>
      </c>
      <c r="C592" s="241" t="s">
        <v>4455</v>
      </c>
      <c r="D592" s="241" t="s">
        <v>5160</v>
      </c>
      <c r="E592" s="241">
        <v>7</v>
      </c>
      <c r="F592" s="242" t="s">
        <v>5161</v>
      </c>
      <c r="G592" s="233">
        <v>4261</v>
      </c>
      <c r="H592" s="233">
        <v>537638</v>
      </c>
      <c r="I592" s="233">
        <v>33760</v>
      </c>
      <c r="J592" s="233">
        <v>7514</v>
      </c>
      <c r="K592" s="233">
        <v>26246</v>
      </c>
      <c r="L592" s="233">
        <v>498730</v>
      </c>
      <c r="M592" s="233">
        <v>157557</v>
      </c>
      <c r="N592" s="233">
        <v>3157</v>
      </c>
      <c r="O592" s="233">
        <v>10323</v>
      </c>
      <c r="P592" s="233">
        <v>199621</v>
      </c>
      <c r="Q592" s="233">
        <v>3516</v>
      </c>
      <c r="R592" s="233">
        <v>515297</v>
      </c>
      <c r="S592" s="233">
        <v>33138</v>
      </c>
      <c r="T592" s="233">
        <v>7393</v>
      </c>
      <c r="U592" s="233">
        <v>25745</v>
      </c>
      <c r="V592" s="233">
        <v>476682</v>
      </c>
      <c r="W592" s="233">
        <v>150767</v>
      </c>
      <c r="X592" s="233">
        <v>2599</v>
      </c>
      <c r="Y592" s="233">
        <v>9965</v>
      </c>
      <c r="Z592" s="233">
        <v>191981</v>
      </c>
      <c r="AA592" s="233">
        <v>745</v>
      </c>
      <c r="AB592" s="233">
        <v>22342</v>
      </c>
      <c r="AC592" s="233">
        <v>622</v>
      </c>
      <c r="AD592" s="233">
        <v>121</v>
      </c>
      <c r="AE592" s="233">
        <v>501</v>
      </c>
      <c r="AF592" s="233">
        <v>22048</v>
      </c>
      <c r="AG592" s="233">
        <v>6789</v>
      </c>
      <c r="AH592" s="233">
        <v>558</v>
      </c>
      <c r="AI592" s="233">
        <v>358</v>
      </c>
      <c r="AJ592" s="233">
        <v>7640</v>
      </c>
    </row>
    <row r="593" spans="1:36">
      <c r="A593" s="240">
        <v>1</v>
      </c>
      <c r="B593" s="241" t="s">
        <v>3997</v>
      </c>
      <c r="C593" s="241" t="s">
        <v>3432</v>
      </c>
      <c r="D593" s="241" t="s">
        <v>5162</v>
      </c>
      <c r="E593" s="241">
        <v>6</v>
      </c>
      <c r="F593" s="242" t="s">
        <v>5163</v>
      </c>
      <c r="G593" s="233">
        <v>2932</v>
      </c>
      <c r="H593" s="233">
        <v>713594</v>
      </c>
      <c r="I593" s="233">
        <v>8055</v>
      </c>
      <c r="J593" s="233">
        <v>1034</v>
      </c>
      <c r="K593" s="233">
        <v>7022</v>
      </c>
      <c r="L593" s="233">
        <v>648894</v>
      </c>
      <c r="M593" s="233">
        <v>265207</v>
      </c>
      <c r="N593" s="233">
        <v>14551</v>
      </c>
      <c r="O593" s="233">
        <v>4620</v>
      </c>
      <c r="P593" s="233">
        <v>344459</v>
      </c>
      <c r="Q593" s="233">
        <v>2205</v>
      </c>
      <c r="R593" s="233">
        <v>672628</v>
      </c>
      <c r="S593" s="233">
        <v>8003</v>
      </c>
      <c r="T593" s="233">
        <v>1024</v>
      </c>
      <c r="U593" s="233">
        <v>6979</v>
      </c>
      <c r="V593" s="233">
        <v>609990</v>
      </c>
      <c r="W593" s="233">
        <v>249818</v>
      </c>
      <c r="X593" s="233">
        <v>13570</v>
      </c>
      <c r="Y593" s="233">
        <v>4601</v>
      </c>
      <c r="Z593" s="233">
        <v>326026</v>
      </c>
      <c r="AA593" s="233">
        <v>727</v>
      </c>
      <c r="AB593" s="233">
        <v>40966</v>
      </c>
      <c r="AC593" s="233">
        <v>53</v>
      </c>
      <c r="AD593" s="233">
        <v>10</v>
      </c>
      <c r="AE593" s="233">
        <v>43</v>
      </c>
      <c r="AF593" s="233">
        <v>38904</v>
      </c>
      <c r="AG593" s="233">
        <v>15389</v>
      </c>
      <c r="AH593" s="233">
        <v>982</v>
      </c>
      <c r="AI593" s="233">
        <v>19</v>
      </c>
      <c r="AJ593" s="233">
        <v>18433</v>
      </c>
    </row>
    <row r="594" spans="1:36">
      <c r="A594" s="240">
        <v>1</v>
      </c>
      <c r="B594" s="241" t="s">
        <v>3997</v>
      </c>
      <c r="C594" s="241" t="s">
        <v>3459</v>
      </c>
      <c r="D594" s="241" t="s">
        <v>5164</v>
      </c>
      <c r="E594" s="241">
        <v>3</v>
      </c>
      <c r="F594" s="242" t="s">
        <v>5165</v>
      </c>
      <c r="G594" s="233">
        <v>145284</v>
      </c>
      <c r="H594" s="233">
        <v>142979483</v>
      </c>
      <c r="I594" s="233">
        <v>92088</v>
      </c>
      <c r="J594" s="233">
        <v>30115</v>
      </c>
      <c r="K594" s="233">
        <v>61972</v>
      </c>
      <c r="L594" s="233">
        <v>129501121</v>
      </c>
      <c r="M594" s="233">
        <v>26662264</v>
      </c>
      <c r="N594" s="233">
        <v>546414</v>
      </c>
      <c r="O594" s="233">
        <v>94450</v>
      </c>
      <c r="P594" s="233">
        <v>40687040</v>
      </c>
      <c r="Q594" s="233">
        <v>52741</v>
      </c>
      <c r="R594" s="233">
        <v>8023283</v>
      </c>
      <c r="S594" s="233">
        <v>70505</v>
      </c>
      <c r="T594" s="233">
        <v>28581</v>
      </c>
      <c r="U594" s="233">
        <v>41924</v>
      </c>
      <c r="V594" s="233">
        <v>7614009</v>
      </c>
      <c r="W594" s="233">
        <v>3549087</v>
      </c>
      <c r="X594" s="233">
        <v>105765</v>
      </c>
      <c r="Y594" s="233">
        <v>82239</v>
      </c>
      <c r="Z594" s="233">
        <v>4064126</v>
      </c>
      <c r="AA594" s="233">
        <v>92543</v>
      </c>
      <c r="AB594" s="233">
        <v>134956200</v>
      </c>
      <c r="AC594" s="233">
        <v>21583</v>
      </c>
      <c r="AD594" s="233">
        <v>1534</v>
      </c>
      <c r="AE594" s="233">
        <v>20049</v>
      </c>
      <c r="AF594" s="233">
        <v>121887112</v>
      </c>
      <c r="AG594" s="233">
        <v>23113176</v>
      </c>
      <c r="AH594" s="233">
        <v>440649</v>
      </c>
      <c r="AI594" s="233">
        <v>12210</v>
      </c>
      <c r="AJ594" s="233">
        <v>36622914</v>
      </c>
    </row>
    <row r="595" spans="1:36">
      <c r="A595" s="240">
        <v>1</v>
      </c>
      <c r="B595" s="241" t="s">
        <v>3997</v>
      </c>
      <c r="C595" s="241" t="s">
        <v>3172</v>
      </c>
      <c r="D595" s="241" t="s">
        <v>5166</v>
      </c>
      <c r="E595" s="241">
        <v>5</v>
      </c>
      <c r="F595" s="242" t="s">
        <v>5167</v>
      </c>
      <c r="G595" s="233">
        <v>68575</v>
      </c>
      <c r="H595" s="233">
        <v>33818832</v>
      </c>
      <c r="I595" s="233">
        <v>34709</v>
      </c>
      <c r="J595" s="233">
        <v>12880</v>
      </c>
      <c r="K595" s="233">
        <v>21829</v>
      </c>
      <c r="L595" s="233">
        <v>32237402</v>
      </c>
      <c r="M595" s="233">
        <v>15737510</v>
      </c>
      <c r="N595" s="233">
        <v>360816</v>
      </c>
      <c r="O595" s="233">
        <v>59768</v>
      </c>
      <c r="P595" s="233">
        <v>17679756</v>
      </c>
      <c r="Q595" s="233">
        <v>14533</v>
      </c>
      <c r="R595" s="233">
        <v>1867264</v>
      </c>
      <c r="S595" s="233">
        <v>27771</v>
      </c>
      <c r="T595" s="233">
        <v>12734</v>
      </c>
      <c r="U595" s="233">
        <v>15037</v>
      </c>
      <c r="V595" s="233">
        <v>1663809</v>
      </c>
      <c r="W595" s="233">
        <v>583477</v>
      </c>
      <c r="X595" s="233">
        <v>14446</v>
      </c>
      <c r="Y595" s="233">
        <v>56015</v>
      </c>
      <c r="Z595" s="233">
        <v>801378</v>
      </c>
      <c r="AA595" s="233">
        <v>54042</v>
      </c>
      <c r="AB595" s="233">
        <v>31951568</v>
      </c>
      <c r="AC595" s="233">
        <v>6938</v>
      </c>
      <c r="AD595" s="233">
        <v>146</v>
      </c>
      <c r="AE595" s="233">
        <v>6792</v>
      </c>
      <c r="AF595" s="233">
        <v>30573593</v>
      </c>
      <c r="AG595" s="233">
        <v>15154033</v>
      </c>
      <c r="AH595" s="233">
        <v>346370</v>
      </c>
      <c r="AI595" s="233">
        <v>3752</v>
      </c>
      <c r="AJ595" s="233">
        <v>16878378</v>
      </c>
    </row>
    <row r="596" spans="1:36">
      <c r="A596" s="240">
        <v>1</v>
      </c>
      <c r="B596" s="241" t="s">
        <v>3997</v>
      </c>
      <c r="C596" s="241" t="s">
        <v>3432</v>
      </c>
      <c r="D596" s="241" t="s">
        <v>5168</v>
      </c>
      <c r="E596" s="241">
        <v>6</v>
      </c>
      <c r="F596" s="242" t="s">
        <v>5169</v>
      </c>
      <c r="G596" s="233">
        <v>5154</v>
      </c>
      <c r="H596" s="233">
        <v>23028541</v>
      </c>
      <c r="I596" s="233">
        <v>4389</v>
      </c>
      <c r="J596" s="233">
        <v>492</v>
      </c>
      <c r="K596" s="233">
        <v>3897</v>
      </c>
      <c r="L596" s="233">
        <v>22195755</v>
      </c>
      <c r="M596" s="233">
        <v>11110121</v>
      </c>
      <c r="N596" s="233">
        <v>250163</v>
      </c>
      <c r="O596" s="233">
        <v>2387</v>
      </c>
      <c r="P596" s="233">
        <v>12193070</v>
      </c>
      <c r="Q596" s="233">
        <v>6</v>
      </c>
      <c r="R596" s="233">
        <v>48798</v>
      </c>
      <c r="S596" s="233">
        <v>1594</v>
      </c>
      <c r="T596" s="233">
        <v>478</v>
      </c>
      <c r="U596" s="233">
        <v>1116</v>
      </c>
      <c r="V596" s="233">
        <v>52658</v>
      </c>
      <c r="W596" s="233">
        <v>19590</v>
      </c>
      <c r="X596" s="233">
        <v>174</v>
      </c>
      <c r="Y596" s="233">
        <v>816</v>
      </c>
      <c r="Z596" s="233">
        <v>15904</v>
      </c>
      <c r="AA596" s="233">
        <v>5148</v>
      </c>
      <c r="AB596" s="233">
        <v>22979744</v>
      </c>
      <c r="AC596" s="233">
        <v>2795</v>
      </c>
      <c r="AD596" s="233">
        <v>14</v>
      </c>
      <c r="AE596" s="233">
        <v>2781</v>
      </c>
      <c r="AF596" s="233">
        <v>22143097</v>
      </c>
      <c r="AG596" s="233">
        <v>11090531</v>
      </c>
      <c r="AH596" s="233">
        <v>249989</v>
      </c>
      <c r="AI596" s="233">
        <v>1571</v>
      </c>
      <c r="AJ596" s="233">
        <v>12177166</v>
      </c>
    </row>
    <row r="597" spans="1:36">
      <c r="A597" s="240">
        <v>1</v>
      </c>
      <c r="B597" s="241" t="s">
        <v>3997</v>
      </c>
      <c r="C597" s="241" t="s">
        <v>3432</v>
      </c>
      <c r="D597" s="241" t="s">
        <v>5170</v>
      </c>
      <c r="E597" s="241">
        <v>6</v>
      </c>
      <c r="F597" s="242" t="s">
        <v>5171</v>
      </c>
      <c r="G597" s="233">
        <v>36722</v>
      </c>
      <c r="H597" s="233">
        <v>7294408</v>
      </c>
      <c r="I597" s="233">
        <v>2471</v>
      </c>
      <c r="J597" s="233">
        <v>47</v>
      </c>
      <c r="K597" s="233">
        <v>2424</v>
      </c>
      <c r="L597" s="233">
        <v>6865082</v>
      </c>
      <c r="M597" s="233">
        <v>3344872</v>
      </c>
      <c r="N597" s="233">
        <v>70758</v>
      </c>
      <c r="O597" s="233">
        <v>1310</v>
      </c>
      <c r="P597" s="233">
        <v>3844956</v>
      </c>
      <c r="Q597" s="233">
        <v>122</v>
      </c>
      <c r="R597" s="233">
        <v>8138</v>
      </c>
      <c r="S597" s="233">
        <v>20</v>
      </c>
      <c r="T597" s="233">
        <v>15</v>
      </c>
      <c r="U597" s="233">
        <v>5</v>
      </c>
      <c r="V597" s="233">
        <v>7930</v>
      </c>
      <c r="W597" s="233">
        <v>2845</v>
      </c>
      <c r="X597" s="233">
        <v>117</v>
      </c>
      <c r="Y597" s="233">
        <v>6</v>
      </c>
      <c r="Z597" s="233">
        <v>3170</v>
      </c>
      <c r="AA597" s="233">
        <v>36600</v>
      </c>
      <c r="AB597" s="233">
        <v>7286270</v>
      </c>
      <c r="AC597" s="233">
        <v>2451</v>
      </c>
      <c r="AD597" s="233">
        <v>32</v>
      </c>
      <c r="AE597" s="233">
        <v>2419</v>
      </c>
      <c r="AF597" s="233">
        <v>6857151</v>
      </c>
      <c r="AG597" s="233">
        <v>3342027</v>
      </c>
      <c r="AH597" s="233">
        <v>70641</v>
      </c>
      <c r="AI597" s="233">
        <v>1304</v>
      </c>
      <c r="AJ597" s="233">
        <v>3841786</v>
      </c>
    </row>
    <row r="598" spans="1:36">
      <c r="A598" s="240">
        <v>1</v>
      </c>
      <c r="B598" s="241" t="s">
        <v>3997</v>
      </c>
      <c r="C598" s="241" t="s">
        <v>3432</v>
      </c>
      <c r="D598" s="241" t="s">
        <v>5172</v>
      </c>
      <c r="E598" s="241">
        <v>6</v>
      </c>
      <c r="F598" s="242" t="s">
        <v>5173</v>
      </c>
      <c r="G598" s="233">
        <v>11682</v>
      </c>
      <c r="H598" s="233">
        <v>1581472</v>
      </c>
      <c r="I598" s="233">
        <v>1628</v>
      </c>
      <c r="J598" s="233">
        <v>100</v>
      </c>
      <c r="K598" s="233">
        <v>1528</v>
      </c>
      <c r="L598" s="233">
        <v>1477734</v>
      </c>
      <c r="M598" s="233">
        <v>679153</v>
      </c>
      <c r="N598" s="233">
        <v>24421</v>
      </c>
      <c r="O598" s="233">
        <v>851</v>
      </c>
      <c r="P598" s="233">
        <v>807313</v>
      </c>
      <c r="Q598" s="233">
        <v>89</v>
      </c>
      <c r="R598" s="233">
        <v>5246</v>
      </c>
      <c r="S598" s="233">
        <v>0</v>
      </c>
      <c r="T598" s="233">
        <v>0</v>
      </c>
      <c r="U598" s="233">
        <v>0</v>
      </c>
      <c r="V598" s="233">
        <v>4851</v>
      </c>
      <c r="W598" s="233">
        <v>2251</v>
      </c>
      <c r="X598" s="233">
        <v>132</v>
      </c>
      <c r="Y598" s="233">
        <v>0</v>
      </c>
      <c r="Z598" s="233">
        <v>2778</v>
      </c>
      <c r="AA598" s="233">
        <v>11593</v>
      </c>
      <c r="AB598" s="233">
        <v>1576227</v>
      </c>
      <c r="AC598" s="233">
        <v>1628</v>
      </c>
      <c r="AD598" s="233">
        <v>100</v>
      </c>
      <c r="AE598" s="233">
        <v>1528</v>
      </c>
      <c r="AF598" s="233">
        <v>1472883</v>
      </c>
      <c r="AG598" s="233">
        <v>676903</v>
      </c>
      <c r="AH598" s="233">
        <v>24289</v>
      </c>
      <c r="AI598" s="233">
        <v>851</v>
      </c>
      <c r="AJ598" s="233">
        <v>804535</v>
      </c>
    </row>
    <row r="599" spans="1:36">
      <c r="A599" s="240">
        <v>1</v>
      </c>
      <c r="B599" s="241" t="s">
        <v>3997</v>
      </c>
      <c r="C599" s="241" t="s">
        <v>3432</v>
      </c>
      <c r="D599" s="241" t="s">
        <v>5174</v>
      </c>
      <c r="E599" s="241">
        <v>6</v>
      </c>
      <c r="F599" s="242" t="s">
        <v>5175</v>
      </c>
      <c r="G599" s="233">
        <v>2976</v>
      </c>
      <c r="H599" s="233">
        <v>356307</v>
      </c>
      <c r="I599" s="233">
        <v>963</v>
      </c>
      <c r="J599" s="233">
        <v>701</v>
      </c>
      <c r="K599" s="233">
        <v>262</v>
      </c>
      <c r="L599" s="233">
        <v>337065</v>
      </c>
      <c r="M599" s="233">
        <v>196865</v>
      </c>
      <c r="N599" s="233">
        <v>2416</v>
      </c>
      <c r="O599" s="233">
        <v>363</v>
      </c>
      <c r="P599" s="233">
        <v>218524</v>
      </c>
      <c r="Q599" s="233">
        <v>2598</v>
      </c>
      <c r="R599" s="233">
        <v>300612</v>
      </c>
      <c r="S599" s="233">
        <v>912</v>
      </c>
      <c r="T599" s="233">
        <v>701</v>
      </c>
      <c r="U599" s="233">
        <v>211</v>
      </c>
      <c r="V599" s="233">
        <v>284356</v>
      </c>
      <c r="W599" s="233">
        <v>167169</v>
      </c>
      <c r="X599" s="233">
        <v>1948</v>
      </c>
      <c r="Y599" s="233">
        <v>342</v>
      </c>
      <c r="Z599" s="233">
        <v>185373</v>
      </c>
      <c r="AA599" s="233">
        <v>378</v>
      </c>
      <c r="AB599" s="233">
        <v>55695</v>
      </c>
      <c r="AC599" s="233">
        <v>51</v>
      </c>
      <c r="AD599" s="233">
        <v>0</v>
      </c>
      <c r="AE599" s="233">
        <v>51</v>
      </c>
      <c r="AF599" s="233">
        <v>52709</v>
      </c>
      <c r="AG599" s="233">
        <v>29696</v>
      </c>
      <c r="AH599" s="233">
        <v>468</v>
      </c>
      <c r="AI599" s="233">
        <v>21</v>
      </c>
      <c r="AJ599" s="233">
        <v>33151</v>
      </c>
    </row>
    <row r="600" spans="1:36">
      <c r="A600" s="240">
        <v>1</v>
      </c>
      <c r="B600" s="241" t="s">
        <v>3997</v>
      </c>
      <c r="C600" s="241" t="s">
        <v>4455</v>
      </c>
      <c r="D600" s="241" t="s">
        <v>5176</v>
      </c>
      <c r="E600" s="241">
        <v>7</v>
      </c>
      <c r="F600" s="242" t="s">
        <v>5177</v>
      </c>
      <c r="G600" s="233">
        <v>36</v>
      </c>
      <c r="H600" s="233">
        <v>933</v>
      </c>
      <c r="I600" s="233">
        <v>3</v>
      </c>
      <c r="J600" s="233">
        <v>0</v>
      </c>
      <c r="K600" s="233">
        <v>3</v>
      </c>
      <c r="L600" s="233">
        <v>859</v>
      </c>
      <c r="M600" s="233">
        <v>429</v>
      </c>
      <c r="N600" s="233">
        <v>15</v>
      </c>
      <c r="O600" s="233">
        <v>0</v>
      </c>
      <c r="P600" s="233">
        <v>518</v>
      </c>
      <c r="Q600" s="233">
        <v>15</v>
      </c>
      <c r="R600" s="233">
        <v>301</v>
      </c>
      <c r="S600" s="233">
        <v>0</v>
      </c>
      <c r="T600" s="233">
        <v>0</v>
      </c>
      <c r="U600" s="233">
        <v>0</v>
      </c>
      <c r="V600" s="233">
        <v>277</v>
      </c>
      <c r="W600" s="233">
        <v>126</v>
      </c>
      <c r="X600" s="233">
        <v>9</v>
      </c>
      <c r="Y600" s="233">
        <v>0</v>
      </c>
      <c r="Z600" s="233">
        <v>159</v>
      </c>
      <c r="AA600" s="233">
        <v>21</v>
      </c>
      <c r="AB600" s="233">
        <v>632</v>
      </c>
      <c r="AC600" s="233">
        <v>3</v>
      </c>
      <c r="AD600" s="233">
        <v>0</v>
      </c>
      <c r="AE600" s="233">
        <v>3</v>
      </c>
      <c r="AF600" s="233">
        <v>582</v>
      </c>
      <c r="AG600" s="233">
        <v>303</v>
      </c>
      <c r="AH600" s="233">
        <v>6</v>
      </c>
      <c r="AI600" s="233">
        <v>0</v>
      </c>
      <c r="AJ600" s="233">
        <v>359</v>
      </c>
    </row>
    <row r="601" spans="1:36">
      <c r="A601" s="240">
        <v>1</v>
      </c>
      <c r="B601" s="241" t="s">
        <v>3997</v>
      </c>
      <c r="C601" s="241" t="s">
        <v>4455</v>
      </c>
      <c r="D601" s="241" t="s">
        <v>5178</v>
      </c>
      <c r="E601" s="241">
        <v>7</v>
      </c>
      <c r="F601" s="242" t="s">
        <v>5179</v>
      </c>
      <c r="G601" s="233">
        <v>2940</v>
      </c>
      <c r="H601" s="233">
        <v>355375</v>
      </c>
      <c r="I601" s="233">
        <v>960</v>
      </c>
      <c r="J601" s="233">
        <v>701</v>
      </c>
      <c r="K601" s="233">
        <v>260</v>
      </c>
      <c r="L601" s="233">
        <v>336206</v>
      </c>
      <c r="M601" s="233">
        <v>196436</v>
      </c>
      <c r="N601" s="233">
        <v>2401</v>
      </c>
      <c r="O601" s="233">
        <v>363</v>
      </c>
      <c r="P601" s="233">
        <v>218006</v>
      </c>
      <c r="Q601" s="233">
        <v>2583</v>
      </c>
      <c r="R601" s="233">
        <v>300311</v>
      </c>
      <c r="S601" s="233">
        <v>912</v>
      </c>
      <c r="T601" s="233">
        <v>701</v>
      </c>
      <c r="U601" s="233">
        <v>211</v>
      </c>
      <c r="V601" s="233">
        <v>284079</v>
      </c>
      <c r="W601" s="233">
        <v>167043</v>
      </c>
      <c r="X601" s="233">
        <v>1939</v>
      </c>
      <c r="Y601" s="233">
        <v>342</v>
      </c>
      <c r="Z601" s="233">
        <v>185214</v>
      </c>
      <c r="AA601" s="233">
        <v>357</v>
      </c>
      <c r="AB601" s="233">
        <v>55063</v>
      </c>
      <c r="AC601" s="233">
        <v>48</v>
      </c>
      <c r="AD601" s="233">
        <v>0</v>
      </c>
      <c r="AE601" s="233">
        <v>48</v>
      </c>
      <c r="AF601" s="233">
        <v>52126</v>
      </c>
      <c r="AG601" s="233">
        <v>29393</v>
      </c>
      <c r="AH601" s="233">
        <v>462</v>
      </c>
      <c r="AI601" s="233">
        <v>21</v>
      </c>
      <c r="AJ601" s="233">
        <v>32792</v>
      </c>
    </row>
    <row r="602" spans="1:36">
      <c r="A602" s="240">
        <v>1</v>
      </c>
      <c r="B602" s="241" t="s">
        <v>3997</v>
      </c>
      <c r="C602" s="241" t="s">
        <v>3432</v>
      </c>
      <c r="D602" s="241" t="s">
        <v>5180</v>
      </c>
      <c r="E602" s="241">
        <v>6</v>
      </c>
      <c r="F602" s="242" t="s">
        <v>5181</v>
      </c>
      <c r="G602" s="233">
        <v>8953</v>
      </c>
      <c r="H602" s="233">
        <v>384608</v>
      </c>
      <c r="I602" s="233">
        <v>8594</v>
      </c>
      <c r="J602" s="233">
        <v>3340</v>
      </c>
      <c r="K602" s="233">
        <v>5254</v>
      </c>
      <c r="L602" s="233">
        <v>376911</v>
      </c>
      <c r="M602" s="233">
        <v>170062</v>
      </c>
      <c r="N602" s="233">
        <v>6281</v>
      </c>
      <c r="O602" s="233">
        <v>4701</v>
      </c>
      <c r="P602" s="233">
        <v>184041</v>
      </c>
      <c r="Q602" s="233">
        <v>8746</v>
      </c>
      <c r="R602" s="233">
        <v>381111</v>
      </c>
      <c r="S602" s="233">
        <v>8582</v>
      </c>
      <c r="T602" s="233">
        <v>3340</v>
      </c>
      <c r="U602" s="233">
        <v>5241</v>
      </c>
      <c r="V602" s="233">
        <v>373378</v>
      </c>
      <c r="W602" s="233">
        <v>168328</v>
      </c>
      <c r="X602" s="233">
        <v>6215</v>
      </c>
      <c r="Y602" s="233">
        <v>4696</v>
      </c>
      <c r="Z602" s="233">
        <v>182277</v>
      </c>
      <c r="AA602" s="233">
        <v>207</v>
      </c>
      <c r="AB602" s="233">
        <v>3497</v>
      </c>
      <c r="AC602" s="233">
        <v>12</v>
      </c>
      <c r="AD602" s="233">
        <v>0</v>
      </c>
      <c r="AE602" s="233">
        <v>12</v>
      </c>
      <c r="AF602" s="233">
        <v>3533</v>
      </c>
      <c r="AG602" s="233">
        <v>1734</v>
      </c>
      <c r="AH602" s="233">
        <v>66</v>
      </c>
      <c r="AI602" s="233">
        <v>5</v>
      </c>
      <c r="AJ602" s="233">
        <v>1764</v>
      </c>
    </row>
    <row r="603" spans="1:36">
      <c r="A603" s="240">
        <v>1</v>
      </c>
      <c r="B603" s="241" t="s">
        <v>3997</v>
      </c>
      <c r="C603" s="241" t="s">
        <v>3432</v>
      </c>
      <c r="D603" s="241" t="s">
        <v>5182</v>
      </c>
      <c r="E603" s="241">
        <v>6</v>
      </c>
      <c r="F603" s="242" t="s">
        <v>5183</v>
      </c>
      <c r="G603" s="233">
        <v>3088</v>
      </c>
      <c r="H603" s="233">
        <v>1173496</v>
      </c>
      <c r="I603" s="233">
        <v>16664</v>
      </c>
      <c r="J603" s="233">
        <v>8200</v>
      </c>
      <c r="K603" s="233">
        <v>8463</v>
      </c>
      <c r="L603" s="233">
        <v>984856</v>
      </c>
      <c r="M603" s="233">
        <v>236437</v>
      </c>
      <c r="N603" s="233">
        <v>6777</v>
      </c>
      <c r="O603" s="233">
        <v>50156</v>
      </c>
      <c r="P603" s="233">
        <v>431853</v>
      </c>
      <c r="Q603" s="233">
        <v>2972</v>
      </c>
      <c r="R603" s="233">
        <v>1123359</v>
      </c>
      <c r="S603" s="233">
        <v>16664</v>
      </c>
      <c r="T603" s="233">
        <v>8200</v>
      </c>
      <c r="U603" s="233">
        <v>8463</v>
      </c>
      <c r="V603" s="233">
        <v>940636</v>
      </c>
      <c r="W603" s="233">
        <v>223294</v>
      </c>
      <c r="X603" s="233">
        <v>5859</v>
      </c>
      <c r="Y603" s="233">
        <v>50156</v>
      </c>
      <c r="Z603" s="233">
        <v>411877</v>
      </c>
      <c r="AA603" s="233">
        <v>116</v>
      </c>
      <c r="AB603" s="233">
        <v>50136</v>
      </c>
      <c r="AC603" s="233">
        <v>0</v>
      </c>
      <c r="AD603" s="233">
        <v>0</v>
      </c>
      <c r="AE603" s="233">
        <v>0</v>
      </c>
      <c r="AF603" s="233">
        <v>44220</v>
      </c>
      <c r="AG603" s="233">
        <v>13143</v>
      </c>
      <c r="AH603" s="233">
        <v>917</v>
      </c>
      <c r="AI603" s="233">
        <v>0</v>
      </c>
      <c r="AJ603" s="233">
        <v>19976</v>
      </c>
    </row>
    <row r="604" spans="1:36">
      <c r="A604" s="240">
        <v>1</v>
      </c>
      <c r="B604" s="241" t="s">
        <v>3997</v>
      </c>
      <c r="C604" s="241" t="s">
        <v>4455</v>
      </c>
      <c r="D604" s="241" t="s">
        <v>5184</v>
      </c>
      <c r="E604" s="241">
        <v>7</v>
      </c>
      <c r="F604" s="242" t="s">
        <v>5185</v>
      </c>
      <c r="G604" s="233">
        <v>2371</v>
      </c>
      <c r="H604" s="233">
        <v>188624</v>
      </c>
      <c r="I604" s="233">
        <v>1032</v>
      </c>
      <c r="J604" s="233">
        <v>534</v>
      </c>
      <c r="K604" s="233">
        <v>498</v>
      </c>
      <c r="L604" s="233">
        <v>173909</v>
      </c>
      <c r="M604" s="233">
        <v>61156</v>
      </c>
      <c r="N604" s="233">
        <v>2788</v>
      </c>
      <c r="O604" s="233">
        <v>411</v>
      </c>
      <c r="P604" s="233">
        <v>78658</v>
      </c>
      <c r="Q604" s="233">
        <v>2364</v>
      </c>
      <c r="R604" s="233">
        <v>188488</v>
      </c>
      <c r="S604" s="233">
        <v>1032</v>
      </c>
      <c r="T604" s="233">
        <v>534</v>
      </c>
      <c r="U604" s="233">
        <v>498</v>
      </c>
      <c r="V604" s="233">
        <v>173823</v>
      </c>
      <c r="W604" s="233">
        <v>61129</v>
      </c>
      <c r="X604" s="233">
        <v>2787</v>
      </c>
      <c r="Y604" s="233">
        <v>411</v>
      </c>
      <c r="Z604" s="233">
        <v>78581</v>
      </c>
      <c r="AA604" s="233">
        <v>7</v>
      </c>
      <c r="AB604" s="233">
        <v>136</v>
      </c>
      <c r="AC604" s="233">
        <v>0</v>
      </c>
      <c r="AD604" s="233">
        <v>0</v>
      </c>
      <c r="AE604" s="233">
        <v>0</v>
      </c>
      <c r="AF604" s="233">
        <v>86</v>
      </c>
      <c r="AG604" s="233">
        <v>27</v>
      </c>
      <c r="AH604" s="233">
        <v>0</v>
      </c>
      <c r="AI604" s="233">
        <v>0</v>
      </c>
      <c r="AJ604" s="233">
        <v>77</v>
      </c>
    </row>
    <row r="605" spans="1:36">
      <c r="A605" s="240">
        <v>1</v>
      </c>
      <c r="B605" s="241" t="s">
        <v>3997</v>
      </c>
      <c r="C605" s="241" t="s">
        <v>4455</v>
      </c>
      <c r="D605" s="241" t="s">
        <v>5186</v>
      </c>
      <c r="E605" s="241">
        <v>7</v>
      </c>
      <c r="F605" s="242" t="s">
        <v>5187</v>
      </c>
      <c r="G605" s="233">
        <v>716</v>
      </c>
      <c r="H605" s="233">
        <v>984850</v>
      </c>
      <c r="I605" s="233">
        <v>15632</v>
      </c>
      <c r="J605" s="233">
        <v>7667</v>
      </c>
      <c r="K605" s="233">
        <v>7965</v>
      </c>
      <c r="L605" s="233">
        <v>810928</v>
      </c>
      <c r="M605" s="233">
        <v>175271</v>
      </c>
      <c r="N605" s="233">
        <v>3989</v>
      </c>
      <c r="O605" s="233">
        <v>49744</v>
      </c>
      <c r="P605" s="233">
        <v>353182</v>
      </c>
      <c r="Q605" s="233">
        <v>607</v>
      </c>
      <c r="R605" s="233">
        <v>934850</v>
      </c>
      <c r="S605" s="233">
        <v>15632</v>
      </c>
      <c r="T605" s="233">
        <v>7667</v>
      </c>
      <c r="U605" s="233">
        <v>7965</v>
      </c>
      <c r="V605" s="233">
        <v>766794</v>
      </c>
      <c r="W605" s="233">
        <v>162155</v>
      </c>
      <c r="X605" s="233">
        <v>3072</v>
      </c>
      <c r="Y605" s="233">
        <v>49744</v>
      </c>
      <c r="Z605" s="233">
        <v>333283</v>
      </c>
      <c r="AA605" s="233">
        <v>109</v>
      </c>
      <c r="AB605" s="233">
        <v>50000</v>
      </c>
      <c r="AC605" s="233">
        <v>0</v>
      </c>
      <c r="AD605" s="233">
        <v>0</v>
      </c>
      <c r="AE605" s="233">
        <v>0</v>
      </c>
      <c r="AF605" s="233">
        <v>44134</v>
      </c>
      <c r="AG605" s="233">
        <v>13116</v>
      </c>
      <c r="AH605" s="233">
        <v>917</v>
      </c>
      <c r="AI605" s="233">
        <v>0</v>
      </c>
      <c r="AJ605" s="233">
        <v>19900</v>
      </c>
    </row>
    <row r="606" spans="1:36">
      <c r="A606" s="240">
        <v>1</v>
      </c>
      <c r="B606" s="241" t="s">
        <v>3997</v>
      </c>
      <c r="C606" s="241" t="s">
        <v>3172</v>
      </c>
      <c r="D606" s="241" t="s">
        <v>5188</v>
      </c>
      <c r="E606" s="241">
        <v>5</v>
      </c>
      <c r="F606" s="242" t="s">
        <v>5189</v>
      </c>
      <c r="G606" s="233">
        <v>1256</v>
      </c>
      <c r="H606" s="233">
        <v>727926</v>
      </c>
      <c r="I606" s="233">
        <v>4926</v>
      </c>
      <c r="J606" s="233">
        <v>4101</v>
      </c>
      <c r="K606" s="233">
        <v>825</v>
      </c>
      <c r="L606" s="233">
        <v>665529</v>
      </c>
      <c r="M606" s="233">
        <v>249825</v>
      </c>
      <c r="N606" s="233">
        <v>11567</v>
      </c>
      <c r="O606" s="233">
        <v>3144</v>
      </c>
      <c r="P606" s="233">
        <v>323790</v>
      </c>
      <c r="Q606" s="233">
        <v>677</v>
      </c>
      <c r="R606" s="233">
        <v>136611</v>
      </c>
      <c r="S606" s="233">
        <v>4105</v>
      </c>
      <c r="T606" s="233">
        <v>4074</v>
      </c>
      <c r="U606" s="233">
        <v>32</v>
      </c>
      <c r="V606" s="233">
        <v>122943</v>
      </c>
      <c r="W606" s="233">
        <v>31310</v>
      </c>
      <c r="X606" s="233">
        <v>1050</v>
      </c>
      <c r="Y606" s="233">
        <v>2484</v>
      </c>
      <c r="Z606" s="233">
        <v>46028</v>
      </c>
      <c r="AA606" s="233">
        <v>579</v>
      </c>
      <c r="AB606" s="233">
        <v>591315</v>
      </c>
      <c r="AC606" s="233">
        <v>821</v>
      </c>
      <c r="AD606" s="233">
        <v>27</v>
      </c>
      <c r="AE606" s="233">
        <v>793</v>
      </c>
      <c r="AF606" s="233">
        <v>542587</v>
      </c>
      <c r="AG606" s="233">
        <v>218516</v>
      </c>
      <c r="AH606" s="233">
        <v>10518</v>
      </c>
      <c r="AI606" s="233">
        <v>660</v>
      </c>
      <c r="AJ606" s="233">
        <v>277762</v>
      </c>
    </row>
    <row r="607" spans="1:36">
      <c r="A607" s="240">
        <v>1</v>
      </c>
      <c r="B607" s="241" t="s">
        <v>3997</v>
      </c>
      <c r="C607" s="241" t="s">
        <v>3432</v>
      </c>
      <c r="D607" s="241" t="s">
        <v>5190</v>
      </c>
      <c r="E607" s="241">
        <v>6</v>
      </c>
      <c r="F607" s="242" t="s">
        <v>5191</v>
      </c>
      <c r="G607" s="233">
        <v>1058</v>
      </c>
      <c r="H607" s="233">
        <v>676990</v>
      </c>
      <c r="I607" s="233">
        <v>4013</v>
      </c>
      <c r="J607" s="233">
        <v>3632</v>
      </c>
      <c r="K607" s="233">
        <v>382</v>
      </c>
      <c r="L607" s="233">
        <v>619353</v>
      </c>
      <c r="M607" s="233">
        <v>231339</v>
      </c>
      <c r="N607" s="233">
        <v>10717</v>
      </c>
      <c r="O607" s="233">
        <v>2578</v>
      </c>
      <c r="P607" s="233">
        <v>299693</v>
      </c>
      <c r="Q607" s="233">
        <v>564</v>
      </c>
      <c r="R607" s="233">
        <v>116350</v>
      </c>
      <c r="S607" s="233">
        <v>3627</v>
      </c>
      <c r="T607" s="233">
        <v>3616</v>
      </c>
      <c r="U607" s="233">
        <v>11</v>
      </c>
      <c r="V607" s="233">
        <v>104764</v>
      </c>
      <c r="W607" s="233">
        <v>24562</v>
      </c>
      <c r="X607" s="233">
        <v>817</v>
      </c>
      <c r="Y607" s="233">
        <v>2224</v>
      </c>
      <c r="Z607" s="233">
        <v>36964</v>
      </c>
      <c r="AA607" s="233">
        <v>494</v>
      </c>
      <c r="AB607" s="233">
        <v>560639</v>
      </c>
      <c r="AC607" s="233">
        <v>386</v>
      </c>
      <c r="AD607" s="233">
        <v>15</v>
      </c>
      <c r="AE607" s="233">
        <v>371</v>
      </c>
      <c r="AF607" s="233">
        <v>514589</v>
      </c>
      <c r="AG607" s="233">
        <v>206778</v>
      </c>
      <c r="AH607" s="233">
        <v>9900</v>
      </c>
      <c r="AI607" s="233">
        <v>354</v>
      </c>
      <c r="AJ607" s="233">
        <v>262728</v>
      </c>
    </row>
    <row r="608" spans="1:36">
      <c r="A608" s="240">
        <v>1</v>
      </c>
      <c r="B608" s="241" t="s">
        <v>3997</v>
      </c>
      <c r="C608" s="241" t="s">
        <v>3432</v>
      </c>
      <c r="D608" s="241" t="s">
        <v>5192</v>
      </c>
      <c r="E608" s="241">
        <v>6</v>
      </c>
      <c r="F608" s="242" t="s">
        <v>5193</v>
      </c>
      <c r="G608" s="233">
        <v>198</v>
      </c>
      <c r="H608" s="233">
        <v>50936</v>
      </c>
      <c r="I608" s="233">
        <v>913</v>
      </c>
      <c r="J608" s="233">
        <v>470</v>
      </c>
      <c r="K608" s="233">
        <v>443</v>
      </c>
      <c r="L608" s="233">
        <v>46176</v>
      </c>
      <c r="M608" s="233">
        <v>18486</v>
      </c>
      <c r="N608" s="233">
        <v>851</v>
      </c>
      <c r="O608" s="233">
        <v>566</v>
      </c>
      <c r="P608" s="233">
        <v>24097</v>
      </c>
      <c r="Q608" s="233">
        <v>113</v>
      </c>
      <c r="R608" s="233">
        <v>20261</v>
      </c>
      <c r="S608" s="233">
        <v>478</v>
      </c>
      <c r="T608" s="233">
        <v>458</v>
      </c>
      <c r="U608" s="233">
        <v>20</v>
      </c>
      <c r="V608" s="233">
        <v>18178</v>
      </c>
      <c r="W608" s="233">
        <v>6748</v>
      </c>
      <c r="X608" s="233">
        <v>233</v>
      </c>
      <c r="Y608" s="233">
        <v>260</v>
      </c>
      <c r="Z608" s="233">
        <v>9063</v>
      </c>
      <c r="AA608" s="233">
        <v>85</v>
      </c>
      <c r="AB608" s="233">
        <v>30676</v>
      </c>
      <c r="AC608" s="233">
        <v>434</v>
      </c>
      <c r="AD608" s="233">
        <v>12</v>
      </c>
      <c r="AE608" s="233">
        <v>422</v>
      </c>
      <c r="AF608" s="233">
        <v>27998</v>
      </c>
      <c r="AG608" s="233">
        <v>11738</v>
      </c>
      <c r="AH608" s="233">
        <v>618</v>
      </c>
      <c r="AI608" s="233">
        <v>305</v>
      </c>
      <c r="AJ608" s="233">
        <v>15033</v>
      </c>
    </row>
    <row r="609" spans="1:36">
      <c r="A609" s="240">
        <v>1</v>
      </c>
      <c r="B609" s="241" t="s">
        <v>3997</v>
      </c>
      <c r="C609" s="241" t="s">
        <v>3172</v>
      </c>
      <c r="D609" s="241" t="s">
        <v>5194</v>
      </c>
      <c r="E609" s="241">
        <v>5</v>
      </c>
      <c r="F609" s="242" t="s">
        <v>5195</v>
      </c>
      <c r="G609" s="233">
        <v>75427</v>
      </c>
      <c r="H609" s="233">
        <v>108431293</v>
      </c>
      <c r="I609" s="233">
        <v>52449</v>
      </c>
      <c r="J609" s="233">
        <v>13134</v>
      </c>
      <c r="K609" s="233">
        <v>39315</v>
      </c>
      <c r="L609" s="233">
        <v>96596844</v>
      </c>
      <c r="M609" s="233">
        <v>10674271</v>
      </c>
      <c r="N609" s="233">
        <v>174016</v>
      </c>
      <c r="O609" s="233">
        <v>31488</v>
      </c>
      <c r="P609" s="233">
        <v>22682736</v>
      </c>
      <c r="Q609" s="233">
        <v>37510</v>
      </c>
      <c r="R609" s="233">
        <v>6018287</v>
      </c>
      <c r="S609" s="233">
        <v>38624</v>
      </c>
      <c r="T609" s="233">
        <v>11773</v>
      </c>
      <c r="U609" s="233">
        <v>26851</v>
      </c>
      <c r="V609" s="233">
        <v>5826213</v>
      </c>
      <c r="W609" s="233">
        <v>2933825</v>
      </c>
      <c r="X609" s="233">
        <v>90255</v>
      </c>
      <c r="Y609" s="233">
        <v>23690</v>
      </c>
      <c r="Z609" s="233">
        <v>3216154</v>
      </c>
      <c r="AA609" s="233">
        <v>37917</v>
      </c>
      <c r="AB609" s="233">
        <v>102413006</v>
      </c>
      <c r="AC609" s="233">
        <v>13825</v>
      </c>
      <c r="AD609" s="233">
        <v>1361</v>
      </c>
      <c r="AE609" s="233">
        <v>12464</v>
      </c>
      <c r="AF609" s="233">
        <v>90770631</v>
      </c>
      <c r="AG609" s="233">
        <v>7740446</v>
      </c>
      <c r="AH609" s="233">
        <v>83761</v>
      </c>
      <c r="AI609" s="233">
        <v>7798</v>
      </c>
      <c r="AJ609" s="233">
        <v>19466582</v>
      </c>
    </row>
    <row r="610" spans="1:36">
      <c r="A610" s="240">
        <v>1</v>
      </c>
      <c r="B610" s="241" t="s">
        <v>3997</v>
      </c>
      <c r="C610" s="241" t="s">
        <v>3432</v>
      </c>
      <c r="D610" s="241" t="s">
        <v>5196</v>
      </c>
      <c r="E610" s="241">
        <v>6</v>
      </c>
      <c r="F610" s="242" t="s">
        <v>5197</v>
      </c>
      <c r="G610" s="233">
        <v>1701</v>
      </c>
      <c r="H610" s="233">
        <v>90579813</v>
      </c>
      <c r="I610" s="233">
        <v>1192</v>
      </c>
      <c r="J610" s="233">
        <v>0</v>
      </c>
      <c r="K610" s="233">
        <v>1192</v>
      </c>
      <c r="L610" s="233">
        <v>79293410</v>
      </c>
      <c r="M610" s="233">
        <v>530156</v>
      </c>
      <c r="N610" s="233">
        <v>39130</v>
      </c>
      <c r="O610" s="233">
        <v>1353</v>
      </c>
      <c r="P610" s="233">
        <v>11855689</v>
      </c>
      <c r="Q610" s="235" t="s">
        <v>5298</v>
      </c>
      <c r="R610" s="235" t="s">
        <v>5298</v>
      </c>
      <c r="S610" s="235" t="s">
        <v>5298</v>
      </c>
      <c r="T610" s="235" t="s">
        <v>5298</v>
      </c>
      <c r="U610" s="235" t="s">
        <v>5298</v>
      </c>
      <c r="V610" s="235" t="s">
        <v>5298</v>
      </c>
      <c r="W610" s="235" t="s">
        <v>5298</v>
      </c>
      <c r="X610" s="235" t="s">
        <v>5298</v>
      </c>
      <c r="Y610" s="235" t="s">
        <v>5298</v>
      </c>
      <c r="Z610" s="235" t="s">
        <v>5298</v>
      </c>
      <c r="AA610" s="233">
        <v>1701</v>
      </c>
      <c r="AB610" s="233">
        <v>90579813</v>
      </c>
      <c r="AC610" s="233">
        <v>1192</v>
      </c>
      <c r="AD610" s="233">
        <v>0</v>
      </c>
      <c r="AE610" s="233">
        <v>1192</v>
      </c>
      <c r="AF610" s="233">
        <v>79293410</v>
      </c>
      <c r="AG610" s="233">
        <v>530156</v>
      </c>
      <c r="AH610" s="233">
        <v>39130</v>
      </c>
      <c r="AI610" s="233">
        <v>1353</v>
      </c>
      <c r="AJ610" s="233">
        <v>11855689</v>
      </c>
    </row>
    <row r="611" spans="1:36">
      <c r="A611" s="240">
        <v>1</v>
      </c>
      <c r="B611" s="241" t="s">
        <v>3997</v>
      </c>
      <c r="C611" s="241" t="s">
        <v>3432</v>
      </c>
      <c r="D611" s="241" t="s">
        <v>5198</v>
      </c>
      <c r="E611" s="241">
        <v>6</v>
      </c>
      <c r="F611" s="242" t="s">
        <v>5199</v>
      </c>
      <c r="G611" s="233">
        <v>17628</v>
      </c>
      <c r="H611" s="233">
        <v>3215326</v>
      </c>
      <c r="I611" s="233">
        <v>2998</v>
      </c>
      <c r="J611" s="233">
        <v>783</v>
      </c>
      <c r="K611" s="233">
        <v>2214</v>
      </c>
      <c r="L611" s="233">
        <v>3110724</v>
      </c>
      <c r="M611" s="233">
        <v>1996116</v>
      </c>
      <c r="N611" s="233">
        <v>16978</v>
      </c>
      <c r="O611" s="233">
        <v>1403</v>
      </c>
      <c r="P611" s="233">
        <v>2117696</v>
      </c>
      <c r="Q611" s="233">
        <v>5484</v>
      </c>
      <c r="R611" s="233">
        <v>841853</v>
      </c>
      <c r="S611" s="233">
        <v>2433</v>
      </c>
      <c r="T611" s="233">
        <v>780</v>
      </c>
      <c r="U611" s="233">
        <v>1653</v>
      </c>
      <c r="V611" s="233">
        <v>821235</v>
      </c>
      <c r="W611" s="233">
        <v>418296</v>
      </c>
      <c r="X611" s="233">
        <v>10444</v>
      </c>
      <c r="Y611" s="233">
        <v>1003</v>
      </c>
      <c r="Z611" s="233">
        <v>449358</v>
      </c>
      <c r="AA611" s="233">
        <v>12144</v>
      </c>
      <c r="AB611" s="233">
        <v>2373473</v>
      </c>
      <c r="AC611" s="233">
        <v>564</v>
      </c>
      <c r="AD611" s="233">
        <v>3</v>
      </c>
      <c r="AE611" s="233">
        <v>561</v>
      </c>
      <c r="AF611" s="233">
        <v>2289489</v>
      </c>
      <c r="AG611" s="233">
        <v>1577820</v>
      </c>
      <c r="AH611" s="233">
        <v>6534</v>
      </c>
      <c r="AI611" s="233">
        <v>400</v>
      </c>
      <c r="AJ611" s="233">
        <v>1668338</v>
      </c>
    </row>
    <row r="612" spans="1:36">
      <c r="A612" s="240">
        <v>1</v>
      </c>
      <c r="B612" s="241" t="s">
        <v>3997</v>
      </c>
      <c r="C612" s="241" t="s">
        <v>4455</v>
      </c>
      <c r="D612" s="241" t="s">
        <v>5200</v>
      </c>
      <c r="E612" s="241">
        <v>7</v>
      </c>
      <c r="F612" s="242" t="s">
        <v>5201</v>
      </c>
      <c r="G612" s="233">
        <v>10468</v>
      </c>
      <c r="H612" s="233">
        <v>2412050</v>
      </c>
      <c r="I612" s="233">
        <v>2054</v>
      </c>
      <c r="J612" s="233">
        <v>697</v>
      </c>
      <c r="K612" s="233">
        <v>1356</v>
      </c>
      <c r="L612" s="233">
        <v>2327106</v>
      </c>
      <c r="M612" s="233">
        <v>1517005</v>
      </c>
      <c r="N612" s="233">
        <v>11741</v>
      </c>
      <c r="O612" s="233">
        <v>885</v>
      </c>
      <c r="P612" s="233">
        <v>1613690</v>
      </c>
      <c r="Q612" s="233">
        <v>2339</v>
      </c>
      <c r="R612" s="233">
        <v>633091</v>
      </c>
      <c r="S612" s="233">
        <v>1858</v>
      </c>
      <c r="T612" s="233">
        <v>696</v>
      </c>
      <c r="U612" s="233">
        <v>1162</v>
      </c>
      <c r="V612" s="233">
        <v>613577</v>
      </c>
      <c r="W612" s="233">
        <v>307231</v>
      </c>
      <c r="X612" s="233">
        <v>8181</v>
      </c>
      <c r="Y612" s="233">
        <v>766</v>
      </c>
      <c r="Z612" s="233">
        <v>334927</v>
      </c>
      <c r="AA612" s="233">
        <v>8129</v>
      </c>
      <c r="AB612" s="233">
        <v>1778958</v>
      </c>
      <c r="AC612" s="233">
        <v>196</v>
      </c>
      <c r="AD612" s="233">
        <v>2</v>
      </c>
      <c r="AE612" s="233">
        <v>194</v>
      </c>
      <c r="AF612" s="233">
        <v>1713529</v>
      </c>
      <c r="AG612" s="233">
        <v>1209774</v>
      </c>
      <c r="AH612" s="233">
        <v>3560</v>
      </c>
      <c r="AI612" s="233">
        <v>119</v>
      </c>
      <c r="AJ612" s="233">
        <v>1278763</v>
      </c>
    </row>
    <row r="613" spans="1:36">
      <c r="A613" s="240">
        <v>1</v>
      </c>
      <c r="B613" s="241" t="s">
        <v>3997</v>
      </c>
      <c r="C613" s="241" t="s">
        <v>4455</v>
      </c>
      <c r="D613" s="241" t="s">
        <v>5202</v>
      </c>
      <c r="E613" s="241">
        <v>7</v>
      </c>
      <c r="F613" s="242" t="s">
        <v>5203</v>
      </c>
      <c r="G613" s="233">
        <v>7160</v>
      </c>
      <c r="H613" s="233">
        <v>803276</v>
      </c>
      <c r="I613" s="233">
        <v>944</v>
      </c>
      <c r="J613" s="233">
        <v>86</v>
      </c>
      <c r="K613" s="233">
        <v>858</v>
      </c>
      <c r="L613" s="233">
        <v>783618</v>
      </c>
      <c r="M613" s="233">
        <v>479112</v>
      </c>
      <c r="N613" s="233">
        <v>5236</v>
      </c>
      <c r="O613" s="233">
        <v>519</v>
      </c>
      <c r="P613" s="233">
        <v>504006</v>
      </c>
      <c r="Q613" s="233">
        <v>3145</v>
      </c>
      <c r="R613" s="233">
        <v>208762</v>
      </c>
      <c r="S613" s="233">
        <v>576</v>
      </c>
      <c r="T613" s="233">
        <v>85</v>
      </c>
      <c r="U613" s="233">
        <v>491</v>
      </c>
      <c r="V613" s="233">
        <v>207659</v>
      </c>
      <c r="W613" s="233">
        <v>111066</v>
      </c>
      <c r="X613" s="233">
        <v>2263</v>
      </c>
      <c r="Y613" s="233">
        <v>238</v>
      </c>
      <c r="Z613" s="233">
        <v>114431</v>
      </c>
      <c r="AA613" s="233">
        <v>4015</v>
      </c>
      <c r="AB613" s="233">
        <v>594515</v>
      </c>
      <c r="AC613" s="233">
        <v>368</v>
      </c>
      <c r="AD613" s="233">
        <v>2</v>
      </c>
      <c r="AE613" s="233">
        <v>367</v>
      </c>
      <c r="AF613" s="233">
        <v>575960</v>
      </c>
      <c r="AG613" s="233">
        <v>368046</v>
      </c>
      <c r="AH613" s="233">
        <v>2974</v>
      </c>
      <c r="AI613" s="233">
        <v>281</v>
      </c>
      <c r="AJ613" s="233">
        <v>389575</v>
      </c>
    </row>
    <row r="614" spans="1:36">
      <c r="A614" s="240">
        <v>1</v>
      </c>
      <c r="B614" s="241" t="s">
        <v>3997</v>
      </c>
      <c r="C614" s="241" t="s">
        <v>3432</v>
      </c>
      <c r="D614" s="241" t="s">
        <v>5204</v>
      </c>
      <c r="E614" s="241">
        <v>6</v>
      </c>
      <c r="F614" s="242" t="s">
        <v>5205</v>
      </c>
      <c r="G614" s="233">
        <v>39972</v>
      </c>
      <c r="H614" s="233">
        <v>11313349</v>
      </c>
      <c r="I614" s="233">
        <v>35634</v>
      </c>
      <c r="J614" s="233">
        <v>11110</v>
      </c>
      <c r="K614" s="233">
        <v>24524</v>
      </c>
      <c r="L614" s="233">
        <v>10982908</v>
      </c>
      <c r="M614" s="233">
        <v>6252797</v>
      </c>
      <c r="N614" s="233">
        <v>100907</v>
      </c>
      <c r="O614" s="233">
        <v>22657</v>
      </c>
      <c r="P614" s="233">
        <v>6684144</v>
      </c>
      <c r="Q614" s="233">
        <v>28330</v>
      </c>
      <c r="R614" s="233">
        <v>4896739</v>
      </c>
      <c r="S614" s="233">
        <v>33894</v>
      </c>
      <c r="T614" s="233">
        <v>10867</v>
      </c>
      <c r="U614" s="233">
        <v>23027</v>
      </c>
      <c r="V614" s="233">
        <v>4742907</v>
      </c>
      <c r="W614" s="233">
        <v>2375309</v>
      </c>
      <c r="X614" s="233">
        <v>77002</v>
      </c>
      <c r="Y614" s="233">
        <v>21581</v>
      </c>
      <c r="Z614" s="233">
        <v>2606143</v>
      </c>
      <c r="AA614" s="233">
        <v>11642</v>
      </c>
      <c r="AB614" s="233">
        <v>6416610</v>
      </c>
      <c r="AC614" s="233">
        <v>1740</v>
      </c>
      <c r="AD614" s="233">
        <v>244</v>
      </c>
      <c r="AE614" s="233">
        <v>1497</v>
      </c>
      <c r="AF614" s="233">
        <v>6240001</v>
      </c>
      <c r="AG614" s="233">
        <v>3877488</v>
      </c>
      <c r="AH614" s="233">
        <v>23905</v>
      </c>
      <c r="AI614" s="233">
        <v>1076</v>
      </c>
      <c r="AJ614" s="233">
        <v>4078001</v>
      </c>
    </row>
    <row r="615" spans="1:36">
      <c r="A615" s="240">
        <v>1</v>
      </c>
      <c r="B615" s="241" t="s">
        <v>3997</v>
      </c>
      <c r="C615" s="241" t="s">
        <v>4455</v>
      </c>
      <c r="D615" s="241" t="s">
        <v>5206</v>
      </c>
      <c r="E615" s="241">
        <v>7</v>
      </c>
      <c r="F615" s="242" t="s">
        <v>5207</v>
      </c>
      <c r="G615" s="233">
        <v>4873</v>
      </c>
      <c r="H615" s="233">
        <v>4303733</v>
      </c>
      <c r="I615" s="233">
        <v>621</v>
      </c>
      <c r="J615" s="233">
        <v>38</v>
      </c>
      <c r="K615" s="233">
        <v>583</v>
      </c>
      <c r="L615" s="233">
        <v>4173506</v>
      </c>
      <c r="M615" s="233">
        <v>2636856</v>
      </c>
      <c r="N615" s="233">
        <v>8372</v>
      </c>
      <c r="O615" s="233">
        <v>451</v>
      </c>
      <c r="P615" s="233">
        <v>2775455</v>
      </c>
      <c r="Q615" s="233">
        <v>17</v>
      </c>
      <c r="R615" s="233">
        <v>4897</v>
      </c>
      <c r="S615" s="233">
        <v>0</v>
      </c>
      <c r="T615" s="233">
        <v>0</v>
      </c>
      <c r="U615" s="233">
        <v>0</v>
      </c>
      <c r="V615" s="233">
        <v>4770</v>
      </c>
      <c r="W615" s="233">
        <v>2240</v>
      </c>
      <c r="X615" s="233">
        <v>63</v>
      </c>
      <c r="Y615" s="233">
        <v>0</v>
      </c>
      <c r="Z615" s="233">
        <v>2431</v>
      </c>
      <c r="AA615" s="233">
        <v>4856</v>
      </c>
      <c r="AB615" s="233">
        <v>4298836</v>
      </c>
      <c r="AC615" s="233">
        <v>621</v>
      </c>
      <c r="AD615" s="233">
        <v>38</v>
      </c>
      <c r="AE615" s="233">
        <v>583</v>
      </c>
      <c r="AF615" s="233">
        <v>4168736</v>
      </c>
      <c r="AG615" s="233">
        <v>2634616</v>
      </c>
      <c r="AH615" s="233">
        <v>8309</v>
      </c>
      <c r="AI615" s="233">
        <v>451</v>
      </c>
      <c r="AJ615" s="233">
        <v>2773025</v>
      </c>
    </row>
    <row r="616" spans="1:36">
      <c r="A616" s="240">
        <v>1</v>
      </c>
      <c r="B616" s="241" t="s">
        <v>3997</v>
      </c>
      <c r="C616" s="241" t="s">
        <v>4455</v>
      </c>
      <c r="D616" s="241" t="s">
        <v>5208</v>
      </c>
      <c r="E616" s="241">
        <v>7</v>
      </c>
      <c r="F616" s="242" t="s">
        <v>5209</v>
      </c>
      <c r="G616" s="233">
        <v>912</v>
      </c>
      <c r="H616" s="233">
        <v>893671</v>
      </c>
      <c r="I616" s="233">
        <v>15</v>
      </c>
      <c r="J616" s="233">
        <v>0</v>
      </c>
      <c r="K616" s="233">
        <v>15</v>
      </c>
      <c r="L616" s="233">
        <v>881430</v>
      </c>
      <c r="M616" s="233">
        <v>516220</v>
      </c>
      <c r="N616" s="233">
        <v>9108</v>
      </c>
      <c r="O616" s="233">
        <v>7</v>
      </c>
      <c r="P616" s="233">
        <v>537570</v>
      </c>
      <c r="Q616" s="235" t="s">
        <v>5298</v>
      </c>
      <c r="R616" s="235" t="s">
        <v>5298</v>
      </c>
      <c r="S616" s="235" t="s">
        <v>5298</v>
      </c>
      <c r="T616" s="235" t="s">
        <v>5298</v>
      </c>
      <c r="U616" s="235" t="s">
        <v>5298</v>
      </c>
      <c r="V616" s="235" t="s">
        <v>5298</v>
      </c>
      <c r="W616" s="235" t="s">
        <v>5298</v>
      </c>
      <c r="X616" s="235" t="s">
        <v>5298</v>
      </c>
      <c r="Y616" s="235" t="s">
        <v>5298</v>
      </c>
      <c r="Z616" s="235" t="s">
        <v>5298</v>
      </c>
      <c r="AA616" s="233">
        <v>912</v>
      </c>
      <c r="AB616" s="233">
        <v>893671</v>
      </c>
      <c r="AC616" s="233">
        <v>15</v>
      </c>
      <c r="AD616" s="233">
        <v>0</v>
      </c>
      <c r="AE616" s="233">
        <v>15</v>
      </c>
      <c r="AF616" s="233">
        <v>881430</v>
      </c>
      <c r="AG616" s="233">
        <v>516220</v>
      </c>
      <c r="AH616" s="233">
        <v>9108</v>
      </c>
      <c r="AI616" s="233">
        <v>7</v>
      </c>
      <c r="AJ616" s="233">
        <v>537570</v>
      </c>
    </row>
    <row r="617" spans="1:36">
      <c r="A617" s="240">
        <v>1</v>
      </c>
      <c r="B617" s="241" t="s">
        <v>3997</v>
      </c>
      <c r="C617" s="241" t="s">
        <v>4455</v>
      </c>
      <c r="D617" s="241" t="s">
        <v>5210</v>
      </c>
      <c r="E617" s="241">
        <v>7</v>
      </c>
      <c r="F617" s="242" t="s">
        <v>5211</v>
      </c>
      <c r="G617" s="233">
        <v>13564</v>
      </c>
      <c r="H617" s="233">
        <v>1969128</v>
      </c>
      <c r="I617" s="233">
        <v>10325</v>
      </c>
      <c r="J617" s="233">
        <v>3366</v>
      </c>
      <c r="K617" s="233">
        <v>6958</v>
      </c>
      <c r="L617" s="233">
        <v>1927587</v>
      </c>
      <c r="M617" s="233">
        <v>1051901</v>
      </c>
      <c r="N617" s="233">
        <v>20541</v>
      </c>
      <c r="O617" s="233">
        <v>7218</v>
      </c>
      <c r="P617" s="233">
        <v>1113984</v>
      </c>
      <c r="Q617" s="233">
        <v>11202</v>
      </c>
      <c r="R617" s="233">
        <v>1469497</v>
      </c>
      <c r="S617" s="233">
        <v>10064</v>
      </c>
      <c r="T617" s="233">
        <v>3366</v>
      </c>
      <c r="U617" s="233">
        <v>6698</v>
      </c>
      <c r="V617" s="233">
        <v>1439553</v>
      </c>
      <c r="W617" s="233">
        <v>749406</v>
      </c>
      <c r="X617" s="233">
        <v>18108</v>
      </c>
      <c r="Y617" s="233">
        <v>7074</v>
      </c>
      <c r="Z617" s="233">
        <v>797458</v>
      </c>
      <c r="AA617" s="233">
        <v>2362</v>
      </c>
      <c r="AB617" s="233">
        <v>499631</v>
      </c>
      <c r="AC617" s="233">
        <v>261</v>
      </c>
      <c r="AD617" s="233">
        <v>0</v>
      </c>
      <c r="AE617" s="233">
        <v>261</v>
      </c>
      <c r="AF617" s="233">
        <v>488034</v>
      </c>
      <c r="AG617" s="233">
        <v>302496</v>
      </c>
      <c r="AH617" s="233">
        <v>2433</v>
      </c>
      <c r="AI617" s="233">
        <v>145</v>
      </c>
      <c r="AJ617" s="233">
        <v>316526</v>
      </c>
    </row>
    <row r="618" spans="1:36">
      <c r="A618" s="240">
        <v>1</v>
      </c>
      <c r="B618" s="241" t="s">
        <v>3997</v>
      </c>
      <c r="C618" s="241" t="s">
        <v>4455</v>
      </c>
      <c r="D618" s="241" t="s">
        <v>5212</v>
      </c>
      <c r="E618" s="241">
        <v>7</v>
      </c>
      <c r="F618" s="242" t="s">
        <v>5213</v>
      </c>
      <c r="G618" s="233">
        <v>9610</v>
      </c>
      <c r="H618" s="233">
        <v>1421727</v>
      </c>
      <c r="I618" s="233">
        <v>10990</v>
      </c>
      <c r="J618" s="233">
        <v>2301</v>
      </c>
      <c r="K618" s="233">
        <v>8689</v>
      </c>
      <c r="L618" s="233">
        <v>1392342</v>
      </c>
      <c r="M618" s="233">
        <v>816040</v>
      </c>
      <c r="N618" s="233">
        <v>13917</v>
      </c>
      <c r="O618" s="233">
        <v>6454</v>
      </c>
      <c r="P618" s="233">
        <v>859341</v>
      </c>
      <c r="Q618" s="233">
        <v>8551</v>
      </c>
      <c r="R618" s="233">
        <v>1268371</v>
      </c>
      <c r="S618" s="233">
        <v>10745</v>
      </c>
      <c r="T618" s="233">
        <v>2143</v>
      </c>
      <c r="U618" s="233">
        <v>8603</v>
      </c>
      <c r="V618" s="233">
        <v>1242794</v>
      </c>
      <c r="W618" s="233">
        <v>719065</v>
      </c>
      <c r="X618" s="233">
        <v>13013</v>
      </c>
      <c r="Y618" s="233">
        <v>6302</v>
      </c>
      <c r="Z618" s="233">
        <v>757655</v>
      </c>
      <c r="AA618" s="233">
        <v>1059</v>
      </c>
      <c r="AB618" s="233">
        <v>153355</v>
      </c>
      <c r="AC618" s="233">
        <v>245</v>
      </c>
      <c r="AD618" s="233">
        <v>158</v>
      </c>
      <c r="AE618" s="233">
        <v>87</v>
      </c>
      <c r="AF618" s="233">
        <v>149548</v>
      </c>
      <c r="AG618" s="233">
        <v>96975</v>
      </c>
      <c r="AH618" s="233">
        <v>904</v>
      </c>
      <c r="AI618" s="233">
        <v>152</v>
      </c>
      <c r="AJ618" s="233">
        <v>101686</v>
      </c>
    </row>
    <row r="619" spans="1:36">
      <c r="A619" s="240">
        <v>1</v>
      </c>
      <c r="B619" s="241" t="s">
        <v>3997</v>
      </c>
      <c r="C619" s="241" t="s">
        <v>4455</v>
      </c>
      <c r="D619" s="241" t="s">
        <v>5214</v>
      </c>
      <c r="E619" s="241">
        <v>7</v>
      </c>
      <c r="F619" s="242" t="s">
        <v>5215</v>
      </c>
      <c r="G619" s="233">
        <v>3068</v>
      </c>
      <c r="H619" s="233">
        <v>606726</v>
      </c>
      <c r="I619" s="233">
        <v>4459</v>
      </c>
      <c r="J619" s="233">
        <v>2505</v>
      </c>
      <c r="K619" s="233">
        <v>1954</v>
      </c>
      <c r="L619" s="233">
        <v>585176</v>
      </c>
      <c r="M619" s="233">
        <v>329619</v>
      </c>
      <c r="N619" s="233">
        <v>7194</v>
      </c>
      <c r="O619" s="233">
        <v>3104</v>
      </c>
      <c r="P619" s="233">
        <v>358363</v>
      </c>
      <c r="Q619" s="233">
        <v>2450</v>
      </c>
      <c r="R619" s="233">
        <v>495811</v>
      </c>
      <c r="S619" s="233">
        <v>4437</v>
      </c>
      <c r="T619" s="233">
        <v>2495</v>
      </c>
      <c r="U619" s="233">
        <v>1941</v>
      </c>
      <c r="V619" s="233">
        <v>477787</v>
      </c>
      <c r="W619" s="233">
        <v>263710</v>
      </c>
      <c r="X619" s="233">
        <v>6415</v>
      </c>
      <c r="Y619" s="233">
        <v>3089</v>
      </c>
      <c r="Z619" s="233">
        <v>288149</v>
      </c>
      <c r="AA619" s="233">
        <v>618</v>
      </c>
      <c r="AB619" s="233">
        <v>110915</v>
      </c>
      <c r="AC619" s="233">
        <v>22</v>
      </c>
      <c r="AD619" s="233">
        <v>10</v>
      </c>
      <c r="AE619" s="233">
        <v>13</v>
      </c>
      <c r="AF619" s="233">
        <v>107389</v>
      </c>
      <c r="AG619" s="233">
        <v>65909</v>
      </c>
      <c r="AH619" s="233">
        <v>779</v>
      </c>
      <c r="AI619" s="233">
        <v>15</v>
      </c>
      <c r="AJ619" s="233">
        <v>70214</v>
      </c>
    </row>
    <row r="620" spans="1:36">
      <c r="A620" s="240">
        <v>1</v>
      </c>
      <c r="B620" s="241" t="s">
        <v>3997</v>
      </c>
      <c r="C620" s="241" t="s">
        <v>4455</v>
      </c>
      <c r="D620" s="241" t="s">
        <v>5216</v>
      </c>
      <c r="E620" s="241">
        <v>7</v>
      </c>
      <c r="F620" s="242" t="s">
        <v>5217</v>
      </c>
      <c r="G620" s="233">
        <v>2383</v>
      </c>
      <c r="H620" s="233">
        <v>1597246</v>
      </c>
      <c r="I620" s="233">
        <v>8627</v>
      </c>
      <c r="J620" s="233">
        <v>2854</v>
      </c>
      <c r="K620" s="233">
        <v>5773</v>
      </c>
      <c r="L620" s="233">
        <v>1519871</v>
      </c>
      <c r="M620" s="233">
        <v>607694</v>
      </c>
      <c r="N620" s="233">
        <v>38166</v>
      </c>
      <c r="O620" s="233">
        <v>5107</v>
      </c>
      <c r="P620" s="233">
        <v>723235</v>
      </c>
      <c r="Q620" s="233">
        <v>2215</v>
      </c>
      <c r="R620" s="233">
        <v>1537125</v>
      </c>
      <c r="S620" s="233">
        <v>8301</v>
      </c>
      <c r="T620" s="233">
        <v>2851</v>
      </c>
      <c r="U620" s="233">
        <v>5450</v>
      </c>
      <c r="V620" s="233">
        <v>1461660</v>
      </c>
      <c r="W620" s="233">
        <v>578838</v>
      </c>
      <c r="X620" s="233">
        <v>37074</v>
      </c>
      <c r="Y620" s="233">
        <v>4885</v>
      </c>
      <c r="Z620" s="233">
        <v>691377</v>
      </c>
      <c r="AA620" s="233">
        <v>168</v>
      </c>
      <c r="AB620" s="233">
        <v>60121</v>
      </c>
      <c r="AC620" s="233">
        <v>326</v>
      </c>
      <c r="AD620" s="233">
        <v>3</v>
      </c>
      <c r="AE620" s="233">
        <v>323</v>
      </c>
      <c r="AF620" s="233">
        <v>58211</v>
      </c>
      <c r="AG620" s="233">
        <v>28855</v>
      </c>
      <c r="AH620" s="233">
        <v>1092</v>
      </c>
      <c r="AI620" s="233">
        <v>222</v>
      </c>
      <c r="AJ620" s="233">
        <v>31858</v>
      </c>
    </row>
    <row r="621" spans="1:36">
      <c r="A621" s="240">
        <v>1</v>
      </c>
      <c r="B621" s="241" t="s">
        <v>3997</v>
      </c>
      <c r="C621" s="241" t="s">
        <v>4455</v>
      </c>
      <c r="D621" s="241" t="s">
        <v>5218</v>
      </c>
      <c r="E621" s="241">
        <v>7</v>
      </c>
      <c r="F621" s="242" t="s">
        <v>5219</v>
      </c>
      <c r="G621" s="233">
        <v>5556</v>
      </c>
      <c r="H621" s="233">
        <v>520950</v>
      </c>
      <c r="I621" s="233">
        <v>598</v>
      </c>
      <c r="J621" s="233">
        <v>46</v>
      </c>
      <c r="K621" s="233">
        <v>552</v>
      </c>
      <c r="L621" s="233">
        <v>502838</v>
      </c>
      <c r="M621" s="233">
        <v>294370</v>
      </c>
      <c r="N621" s="233">
        <v>3607</v>
      </c>
      <c r="O621" s="233">
        <v>316</v>
      </c>
      <c r="P621" s="233">
        <v>316089</v>
      </c>
      <c r="Q621" s="233">
        <v>3890</v>
      </c>
      <c r="R621" s="233">
        <v>120884</v>
      </c>
      <c r="S621" s="233">
        <v>347</v>
      </c>
      <c r="T621" s="233">
        <v>11</v>
      </c>
      <c r="U621" s="233">
        <v>336</v>
      </c>
      <c r="V621" s="233">
        <v>116199</v>
      </c>
      <c r="W621" s="233">
        <v>61957</v>
      </c>
      <c r="X621" s="233">
        <v>2328</v>
      </c>
      <c r="Y621" s="233">
        <v>232</v>
      </c>
      <c r="Z621" s="233">
        <v>68971</v>
      </c>
      <c r="AA621" s="233">
        <v>1666</v>
      </c>
      <c r="AB621" s="233">
        <v>400066</v>
      </c>
      <c r="AC621" s="233">
        <v>251</v>
      </c>
      <c r="AD621" s="233">
        <v>35</v>
      </c>
      <c r="AE621" s="233">
        <v>216</v>
      </c>
      <c r="AF621" s="233">
        <v>386640</v>
      </c>
      <c r="AG621" s="233">
        <v>232413</v>
      </c>
      <c r="AH621" s="233">
        <v>1279</v>
      </c>
      <c r="AI621" s="233">
        <v>84</v>
      </c>
      <c r="AJ621" s="233">
        <v>247118</v>
      </c>
    </row>
    <row r="622" spans="1:36">
      <c r="A622" s="240">
        <v>1</v>
      </c>
      <c r="B622" s="241" t="s">
        <v>3997</v>
      </c>
      <c r="C622" s="241" t="s">
        <v>3432</v>
      </c>
      <c r="D622" s="241" t="s">
        <v>5220</v>
      </c>
      <c r="E622" s="241">
        <v>6</v>
      </c>
      <c r="F622" s="242" t="s">
        <v>5221</v>
      </c>
      <c r="G622" s="233">
        <v>13393</v>
      </c>
      <c r="H622" s="233">
        <v>2461242</v>
      </c>
      <c r="I622" s="233">
        <v>11965</v>
      </c>
      <c r="J622" s="233">
        <v>1206</v>
      </c>
      <c r="K622" s="233">
        <v>10759</v>
      </c>
      <c r="L622" s="233">
        <v>2351665</v>
      </c>
      <c r="M622" s="233">
        <v>1438537</v>
      </c>
      <c r="N622" s="233">
        <v>10058</v>
      </c>
      <c r="O622" s="233">
        <v>5569</v>
      </c>
      <c r="P622" s="233">
        <v>1558172</v>
      </c>
      <c r="Q622" s="233">
        <v>3584</v>
      </c>
      <c r="R622" s="233">
        <v>270947</v>
      </c>
      <c r="S622" s="233">
        <v>2246</v>
      </c>
      <c r="T622" s="233">
        <v>126</v>
      </c>
      <c r="U622" s="233">
        <v>2120</v>
      </c>
      <c r="V622" s="233">
        <v>253420</v>
      </c>
      <c r="W622" s="233">
        <v>136106</v>
      </c>
      <c r="X622" s="233">
        <v>2734</v>
      </c>
      <c r="Y622" s="233">
        <v>1021</v>
      </c>
      <c r="Z622" s="233">
        <v>156367</v>
      </c>
      <c r="AA622" s="233">
        <v>9809</v>
      </c>
      <c r="AB622" s="233">
        <v>2190295</v>
      </c>
      <c r="AC622" s="233">
        <v>9719</v>
      </c>
      <c r="AD622" s="233">
        <v>1079</v>
      </c>
      <c r="AE622" s="233">
        <v>8639</v>
      </c>
      <c r="AF622" s="233">
        <v>2098245</v>
      </c>
      <c r="AG622" s="233">
        <v>1302432</v>
      </c>
      <c r="AH622" s="233">
        <v>7324</v>
      </c>
      <c r="AI622" s="233">
        <v>4548</v>
      </c>
      <c r="AJ622" s="233">
        <v>1401805</v>
      </c>
    </row>
    <row r="623" spans="1:36">
      <c r="A623" s="240">
        <v>1</v>
      </c>
      <c r="B623" s="241" t="s">
        <v>3997</v>
      </c>
      <c r="C623" s="241" t="s">
        <v>3432</v>
      </c>
      <c r="D623" s="241" t="s">
        <v>5222</v>
      </c>
      <c r="E623" s="241">
        <v>6</v>
      </c>
      <c r="F623" s="242" t="s">
        <v>5223</v>
      </c>
      <c r="G623" s="233">
        <v>2721</v>
      </c>
      <c r="H623" s="233">
        <v>860315</v>
      </c>
      <c r="I623" s="233">
        <v>661</v>
      </c>
      <c r="J623" s="233">
        <v>34</v>
      </c>
      <c r="K623" s="233">
        <v>626</v>
      </c>
      <c r="L623" s="233">
        <v>857014</v>
      </c>
      <c r="M623" s="233">
        <v>455947</v>
      </c>
      <c r="N623" s="233">
        <v>6938</v>
      </c>
      <c r="O623" s="233">
        <v>506</v>
      </c>
      <c r="P623" s="233">
        <v>466185</v>
      </c>
      <c r="Q623" s="233">
        <v>106</v>
      </c>
      <c r="R623" s="233">
        <v>8247</v>
      </c>
      <c r="S623" s="233">
        <v>51</v>
      </c>
      <c r="T623" s="233">
        <v>0</v>
      </c>
      <c r="U623" s="233">
        <v>51</v>
      </c>
      <c r="V623" s="233">
        <v>8191</v>
      </c>
      <c r="W623" s="233">
        <v>3862</v>
      </c>
      <c r="X623" s="233">
        <v>70</v>
      </c>
      <c r="Y623" s="233">
        <v>84</v>
      </c>
      <c r="Z623" s="233">
        <v>3988</v>
      </c>
      <c r="AA623" s="233">
        <v>2615</v>
      </c>
      <c r="AB623" s="233">
        <v>852068</v>
      </c>
      <c r="AC623" s="233">
        <v>610</v>
      </c>
      <c r="AD623" s="233">
        <v>34</v>
      </c>
      <c r="AE623" s="233">
        <v>575</v>
      </c>
      <c r="AF623" s="233">
        <v>848823</v>
      </c>
      <c r="AG623" s="233">
        <v>452085</v>
      </c>
      <c r="AH623" s="233">
        <v>6868</v>
      </c>
      <c r="AI623" s="233">
        <v>421</v>
      </c>
      <c r="AJ623" s="233">
        <v>462198</v>
      </c>
    </row>
    <row r="624" spans="1:36">
      <c r="A624" s="240">
        <v>1</v>
      </c>
      <c r="B624" s="241" t="s">
        <v>3997</v>
      </c>
      <c r="C624" s="241" t="s">
        <v>4455</v>
      </c>
      <c r="D624" s="241" t="s">
        <v>5224</v>
      </c>
      <c r="E624" s="241">
        <v>7</v>
      </c>
      <c r="F624" s="242" t="s">
        <v>5225</v>
      </c>
      <c r="G624" s="233">
        <v>188</v>
      </c>
      <c r="H624" s="233">
        <v>9835</v>
      </c>
      <c r="I624" s="233">
        <v>12</v>
      </c>
      <c r="J624" s="233">
        <v>0</v>
      </c>
      <c r="K624" s="233">
        <v>12</v>
      </c>
      <c r="L624" s="233">
        <v>9932</v>
      </c>
      <c r="M624" s="233">
        <v>4751</v>
      </c>
      <c r="N624" s="233">
        <v>81</v>
      </c>
      <c r="O624" s="233">
        <v>11</v>
      </c>
      <c r="P624" s="233">
        <v>4734</v>
      </c>
      <c r="Q624" s="235" t="s">
        <v>5298</v>
      </c>
      <c r="R624" s="235" t="s">
        <v>5298</v>
      </c>
      <c r="S624" s="235" t="s">
        <v>5298</v>
      </c>
      <c r="T624" s="235" t="s">
        <v>5298</v>
      </c>
      <c r="U624" s="235" t="s">
        <v>5298</v>
      </c>
      <c r="V624" s="235" t="s">
        <v>5298</v>
      </c>
      <c r="W624" s="235" t="s">
        <v>5298</v>
      </c>
      <c r="X624" s="235" t="s">
        <v>5298</v>
      </c>
      <c r="Y624" s="235" t="s">
        <v>5298</v>
      </c>
      <c r="Z624" s="235" t="s">
        <v>5298</v>
      </c>
      <c r="AA624" s="233">
        <v>188</v>
      </c>
      <c r="AB624" s="233">
        <v>9835</v>
      </c>
      <c r="AC624" s="233">
        <v>12</v>
      </c>
      <c r="AD624" s="233">
        <v>0</v>
      </c>
      <c r="AE624" s="233">
        <v>12</v>
      </c>
      <c r="AF624" s="233">
        <v>9932</v>
      </c>
      <c r="AG624" s="233">
        <v>4751</v>
      </c>
      <c r="AH624" s="233">
        <v>81</v>
      </c>
      <c r="AI624" s="233">
        <v>11</v>
      </c>
      <c r="AJ624" s="233">
        <v>4734</v>
      </c>
    </row>
    <row r="625" spans="1:36">
      <c r="A625" s="240">
        <v>1</v>
      </c>
      <c r="B625" s="241" t="s">
        <v>3997</v>
      </c>
      <c r="C625" s="241" t="s">
        <v>4455</v>
      </c>
      <c r="D625" s="241" t="s">
        <v>5226</v>
      </c>
      <c r="E625" s="241">
        <v>7</v>
      </c>
      <c r="F625" s="242" t="s">
        <v>5227</v>
      </c>
      <c r="G625" s="233">
        <v>2533</v>
      </c>
      <c r="H625" s="233">
        <v>850480</v>
      </c>
      <c r="I625" s="233">
        <v>649</v>
      </c>
      <c r="J625" s="233">
        <v>34</v>
      </c>
      <c r="K625" s="233">
        <v>615</v>
      </c>
      <c r="L625" s="233">
        <v>847082</v>
      </c>
      <c r="M625" s="233">
        <v>451196</v>
      </c>
      <c r="N625" s="233">
        <v>6857</v>
      </c>
      <c r="O625" s="233">
        <v>495</v>
      </c>
      <c r="P625" s="233">
        <v>461451</v>
      </c>
      <c r="Q625" s="233">
        <v>106</v>
      </c>
      <c r="R625" s="233">
        <v>8247</v>
      </c>
      <c r="S625" s="233">
        <v>51</v>
      </c>
      <c r="T625" s="233">
        <v>0</v>
      </c>
      <c r="U625" s="233">
        <v>51</v>
      </c>
      <c r="V625" s="233">
        <v>8191</v>
      </c>
      <c r="W625" s="233">
        <v>3862</v>
      </c>
      <c r="X625" s="233">
        <v>70</v>
      </c>
      <c r="Y625" s="233">
        <v>84</v>
      </c>
      <c r="Z625" s="233">
        <v>3988</v>
      </c>
      <c r="AA625" s="233">
        <v>2427</v>
      </c>
      <c r="AB625" s="233">
        <v>842233</v>
      </c>
      <c r="AC625" s="233">
        <v>598</v>
      </c>
      <c r="AD625" s="233">
        <v>34</v>
      </c>
      <c r="AE625" s="233">
        <v>564</v>
      </c>
      <c r="AF625" s="233">
        <v>838891</v>
      </c>
      <c r="AG625" s="233">
        <v>447334</v>
      </c>
      <c r="AH625" s="233">
        <v>6787</v>
      </c>
      <c r="AI625" s="233">
        <v>410</v>
      </c>
      <c r="AJ625" s="233">
        <v>457464</v>
      </c>
    </row>
    <row r="626" spans="1:36">
      <c r="A626" s="240">
        <v>1</v>
      </c>
      <c r="B626" s="241" t="s">
        <v>3997</v>
      </c>
      <c r="C626" s="241" t="s">
        <v>3459</v>
      </c>
      <c r="D626" s="241" t="s">
        <v>5228</v>
      </c>
      <c r="E626" s="241">
        <v>3</v>
      </c>
      <c r="F626" s="242" t="s">
        <v>5229</v>
      </c>
      <c r="G626" s="233">
        <v>2144</v>
      </c>
      <c r="H626" s="233">
        <v>8392108</v>
      </c>
      <c r="I626" s="233">
        <v>2715725</v>
      </c>
      <c r="J626" s="233">
        <v>703800</v>
      </c>
      <c r="K626" s="233">
        <v>2011926</v>
      </c>
      <c r="L626" s="233">
        <v>7807768</v>
      </c>
      <c r="M626" s="233">
        <v>2608298</v>
      </c>
      <c r="N626" s="233">
        <v>95583</v>
      </c>
      <c r="O626" s="233">
        <v>2153584</v>
      </c>
      <c r="P626" s="233">
        <v>3288221</v>
      </c>
      <c r="Q626" s="233">
        <v>64</v>
      </c>
      <c r="R626" s="233">
        <v>3094078</v>
      </c>
      <c r="S626" s="233">
        <v>576</v>
      </c>
      <c r="T626" s="233">
        <v>124</v>
      </c>
      <c r="U626" s="233">
        <v>452</v>
      </c>
      <c r="V626" s="233">
        <v>2877988</v>
      </c>
      <c r="W626" s="233">
        <v>1654322</v>
      </c>
      <c r="X626" s="233">
        <v>46979</v>
      </c>
      <c r="Y626" s="233">
        <v>193</v>
      </c>
      <c r="Z626" s="233">
        <v>1917392</v>
      </c>
      <c r="AA626" s="233">
        <v>2080</v>
      </c>
      <c r="AB626" s="233">
        <v>5298031</v>
      </c>
      <c r="AC626" s="233">
        <v>2715149</v>
      </c>
      <c r="AD626" s="233">
        <v>703676</v>
      </c>
      <c r="AE626" s="233">
        <v>2011474</v>
      </c>
      <c r="AF626" s="233">
        <v>4929780</v>
      </c>
      <c r="AG626" s="233">
        <v>953975</v>
      </c>
      <c r="AH626" s="233">
        <v>48603</v>
      </c>
      <c r="AI626" s="233">
        <v>2153391</v>
      </c>
      <c r="AJ626" s="233">
        <v>1370829</v>
      </c>
    </row>
    <row r="627" spans="1:36">
      <c r="A627" s="240">
        <v>1</v>
      </c>
      <c r="B627" s="241" t="s">
        <v>3997</v>
      </c>
      <c r="C627" s="241" t="s">
        <v>3170</v>
      </c>
      <c r="D627" s="241" t="s">
        <v>5230</v>
      </c>
      <c r="E627" s="241">
        <v>4</v>
      </c>
      <c r="F627" s="242" t="s">
        <v>5231</v>
      </c>
      <c r="G627" s="233">
        <v>131</v>
      </c>
      <c r="H627" s="233">
        <v>3097721</v>
      </c>
      <c r="I627" s="233">
        <v>800</v>
      </c>
      <c r="J627" s="233">
        <v>125</v>
      </c>
      <c r="K627" s="233">
        <v>675</v>
      </c>
      <c r="L627" s="233">
        <v>2881528</v>
      </c>
      <c r="M627" s="233">
        <v>1655558</v>
      </c>
      <c r="N627" s="233">
        <v>47080</v>
      </c>
      <c r="O627" s="233">
        <v>255</v>
      </c>
      <c r="P627" s="233">
        <v>1918831</v>
      </c>
      <c r="Q627" s="233">
        <v>64</v>
      </c>
      <c r="R627" s="233">
        <v>3094078</v>
      </c>
      <c r="S627" s="233">
        <v>576</v>
      </c>
      <c r="T627" s="233">
        <v>124</v>
      </c>
      <c r="U627" s="233">
        <v>452</v>
      </c>
      <c r="V627" s="233">
        <v>2877988</v>
      </c>
      <c r="W627" s="233">
        <v>1654322</v>
      </c>
      <c r="X627" s="233">
        <v>46979</v>
      </c>
      <c r="Y627" s="233">
        <v>193</v>
      </c>
      <c r="Z627" s="233">
        <v>1917392</v>
      </c>
      <c r="AA627" s="233">
        <v>67</v>
      </c>
      <c r="AB627" s="233">
        <v>3644</v>
      </c>
      <c r="AC627" s="233">
        <v>224</v>
      </c>
      <c r="AD627" s="233">
        <v>1</v>
      </c>
      <c r="AE627" s="233">
        <v>223</v>
      </c>
      <c r="AF627" s="233">
        <v>3540</v>
      </c>
      <c r="AG627" s="233">
        <v>1236</v>
      </c>
      <c r="AH627" s="233">
        <v>101</v>
      </c>
      <c r="AI627" s="233">
        <v>63</v>
      </c>
      <c r="AJ627" s="233">
        <v>1440</v>
      </c>
    </row>
    <row r="628" spans="1:36">
      <c r="A628" s="240">
        <v>1</v>
      </c>
      <c r="B628" s="241" t="s">
        <v>3997</v>
      </c>
      <c r="C628" s="241" t="s">
        <v>3172</v>
      </c>
      <c r="D628" s="241" t="s">
        <v>5232</v>
      </c>
      <c r="E628" s="241">
        <v>5</v>
      </c>
      <c r="F628" s="242" t="s">
        <v>5233</v>
      </c>
      <c r="G628" s="233">
        <v>131</v>
      </c>
      <c r="H628" s="233">
        <v>3097721</v>
      </c>
      <c r="I628" s="233">
        <v>800</v>
      </c>
      <c r="J628" s="233">
        <v>125</v>
      </c>
      <c r="K628" s="233">
        <v>675</v>
      </c>
      <c r="L628" s="233">
        <v>2881528</v>
      </c>
      <c r="M628" s="233">
        <v>1655558</v>
      </c>
      <c r="N628" s="233">
        <v>47080</v>
      </c>
      <c r="O628" s="233">
        <v>255</v>
      </c>
      <c r="P628" s="233">
        <v>1918831</v>
      </c>
      <c r="Q628" s="233">
        <v>64</v>
      </c>
      <c r="R628" s="233">
        <v>3094078</v>
      </c>
      <c r="S628" s="233">
        <v>576</v>
      </c>
      <c r="T628" s="233">
        <v>124</v>
      </c>
      <c r="U628" s="233">
        <v>452</v>
      </c>
      <c r="V628" s="233">
        <v>2877988</v>
      </c>
      <c r="W628" s="233">
        <v>1654322</v>
      </c>
      <c r="X628" s="233">
        <v>46979</v>
      </c>
      <c r="Y628" s="233">
        <v>193</v>
      </c>
      <c r="Z628" s="233">
        <v>1917392</v>
      </c>
      <c r="AA628" s="233">
        <v>67</v>
      </c>
      <c r="AB628" s="233">
        <v>3644</v>
      </c>
      <c r="AC628" s="233">
        <v>224</v>
      </c>
      <c r="AD628" s="233">
        <v>1</v>
      </c>
      <c r="AE628" s="233">
        <v>223</v>
      </c>
      <c r="AF628" s="233">
        <v>3540</v>
      </c>
      <c r="AG628" s="233">
        <v>1236</v>
      </c>
      <c r="AH628" s="233">
        <v>101</v>
      </c>
      <c r="AI628" s="233">
        <v>63</v>
      </c>
      <c r="AJ628" s="233">
        <v>1440</v>
      </c>
    </row>
    <row r="629" spans="1:36">
      <c r="A629" s="240">
        <v>1</v>
      </c>
      <c r="B629" s="241" t="s">
        <v>3997</v>
      </c>
      <c r="C629" s="241" t="s">
        <v>3432</v>
      </c>
      <c r="D629" s="241" t="s">
        <v>5234</v>
      </c>
      <c r="E629" s="241">
        <v>6</v>
      </c>
      <c r="F629" s="242" t="s">
        <v>5235</v>
      </c>
      <c r="G629" s="233">
        <v>131</v>
      </c>
      <c r="H629" s="233">
        <v>3097721</v>
      </c>
      <c r="I629" s="233">
        <v>800</v>
      </c>
      <c r="J629" s="233">
        <v>125</v>
      </c>
      <c r="K629" s="233">
        <v>675</v>
      </c>
      <c r="L629" s="233">
        <v>2881528</v>
      </c>
      <c r="M629" s="233">
        <v>1655558</v>
      </c>
      <c r="N629" s="233">
        <v>47080</v>
      </c>
      <c r="O629" s="233">
        <v>255</v>
      </c>
      <c r="P629" s="233">
        <v>1918831</v>
      </c>
      <c r="Q629" s="233">
        <v>64</v>
      </c>
      <c r="R629" s="233">
        <v>3094078</v>
      </c>
      <c r="S629" s="233">
        <v>576</v>
      </c>
      <c r="T629" s="233">
        <v>124</v>
      </c>
      <c r="U629" s="233">
        <v>452</v>
      </c>
      <c r="V629" s="233">
        <v>2877988</v>
      </c>
      <c r="W629" s="233">
        <v>1654322</v>
      </c>
      <c r="X629" s="233">
        <v>46979</v>
      </c>
      <c r="Y629" s="233">
        <v>193</v>
      </c>
      <c r="Z629" s="233">
        <v>1917392</v>
      </c>
      <c r="AA629" s="233">
        <v>67</v>
      </c>
      <c r="AB629" s="233">
        <v>3644</v>
      </c>
      <c r="AC629" s="233">
        <v>224</v>
      </c>
      <c r="AD629" s="233">
        <v>1</v>
      </c>
      <c r="AE629" s="233">
        <v>223</v>
      </c>
      <c r="AF629" s="233">
        <v>3540</v>
      </c>
      <c r="AG629" s="233">
        <v>1236</v>
      </c>
      <c r="AH629" s="233">
        <v>101</v>
      </c>
      <c r="AI629" s="233">
        <v>63</v>
      </c>
      <c r="AJ629" s="233">
        <v>1440</v>
      </c>
    </row>
    <row r="630" spans="1:36">
      <c r="A630" s="240">
        <v>1</v>
      </c>
      <c r="B630" s="241" t="s">
        <v>3997</v>
      </c>
      <c r="C630" s="241" t="s">
        <v>3170</v>
      </c>
      <c r="D630" s="241" t="s">
        <v>5236</v>
      </c>
      <c r="E630" s="241">
        <v>4</v>
      </c>
      <c r="F630" s="242" t="s">
        <v>5237</v>
      </c>
      <c r="G630" s="233">
        <v>2013</v>
      </c>
      <c r="H630" s="233">
        <v>5294387</v>
      </c>
      <c r="I630" s="233">
        <v>2714925</v>
      </c>
      <c r="J630" s="233">
        <v>703675</v>
      </c>
      <c r="K630" s="233">
        <v>2011250</v>
      </c>
      <c r="L630" s="233">
        <v>4926240</v>
      </c>
      <c r="M630" s="233">
        <v>952740</v>
      </c>
      <c r="N630" s="233">
        <v>48503</v>
      </c>
      <c r="O630" s="233">
        <v>2153328</v>
      </c>
      <c r="P630" s="233">
        <v>1369390</v>
      </c>
      <c r="Q630" s="235" t="s">
        <v>5298</v>
      </c>
      <c r="R630" s="235" t="s">
        <v>5298</v>
      </c>
      <c r="S630" s="235" t="s">
        <v>5298</v>
      </c>
      <c r="T630" s="235" t="s">
        <v>5298</v>
      </c>
      <c r="U630" s="235" t="s">
        <v>5298</v>
      </c>
      <c r="V630" s="235" t="s">
        <v>5298</v>
      </c>
      <c r="W630" s="235" t="s">
        <v>5298</v>
      </c>
      <c r="X630" s="235" t="s">
        <v>5298</v>
      </c>
      <c r="Y630" s="235" t="s">
        <v>5298</v>
      </c>
      <c r="Z630" s="235" t="s">
        <v>5298</v>
      </c>
      <c r="AA630" s="233">
        <v>2013</v>
      </c>
      <c r="AB630" s="233">
        <v>5294387</v>
      </c>
      <c r="AC630" s="233">
        <v>2714925</v>
      </c>
      <c r="AD630" s="233">
        <v>703675</v>
      </c>
      <c r="AE630" s="233">
        <v>2011250</v>
      </c>
      <c r="AF630" s="233">
        <v>4926240</v>
      </c>
      <c r="AG630" s="233">
        <v>952740</v>
      </c>
      <c r="AH630" s="233">
        <v>48503</v>
      </c>
      <c r="AI630" s="233">
        <v>2153328</v>
      </c>
      <c r="AJ630" s="233">
        <v>1369390</v>
      </c>
    </row>
    <row r="631" spans="1:36">
      <c r="A631" s="240">
        <v>1</v>
      </c>
      <c r="B631" s="241" t="s">
        <v>3997</v>
      </c>
      <c r="C631" s="241" t="s">
        <v>3172</v>
      </c>
      <c r="D631" s="241" t="s">
        <v>5238</v>
      </c>
      <c r="E631" s="241">
        <v>5</v>
      </c>
      <c r="F631" s="242" t="s">
        <v>5239</v>
      </c>
      <c r="G631" s="233">
        <v>2013</v>
      </c>
      <c r="H631" s="233">
        <v>5294387</v>
      </c>
      <c r="I631" s="233">
        <v>2714925</v>
      </c>
      <c r="J631" s="233">
        <v>703675</v>
      </c>
      <c r="K631" s="233">
        <v>2011250</v>
      </c>
      <c r="L631" s="233">
        <v>4926240</v>
      </c>
      <c r="M631" s="233">
        <v>952740</v>
      </c>
      <c r="N631" s="233">
        <v>48503</v>
      </c>
      <c r="O631" s="233">
        <v>2153328</v>
      </c>
      <c r="P631" s="233">
        <v>1369390</v>
      </c>
      <c r="Q631" s="235" t="s">
        <v>5298</v>
      </c>
      <c r="R631" s="235" t="s">
        <v>5298</v>
      </c>
      <c r="S631" s="235" t="s">
        <v>5298</v>
      </c>
      <c r="T631" s="235" t="s">
        <v>5298</v>
      </c>
      <c r="U631" s="235" t="s">
        <v>5298</v>
      </c>
      <c r="V631" s="235" t="s">
        <v>5298</v>
      </c>
      <c r="W631" s="235" t="s">
        <v>5298</v>
      </c>
      <c r="X631" s="235" t="s">
        <v>5298</v>
      </c>
      <c r="Y631" s="235" t="s">
        <v>5298</v>
      </c>
      <c r="Z631" s="235" t="s">
        <v>5298</v>
      </c>
      <c r="AA631" s="233">
        <v>2013</v>
      </c>
      <c r="AB631" s="233">
        <v>5294387</v>
      </c>
      <c r="AC631" s="233">
        <v>2714925</v>
      </c>
      <c r="AD631" s="233">
        <v>703675</v>
      </c>
      <c r="AE631" s="233">
        <v>2011250</v>
      </c>
      <c r="AF631" s="233">
        <v>4926240</v>
      </c>
      <c r="AG631" s="233">
        <v>952740</v>
      </c>
      <c r="AH631" s="233">
        <v>48503</v>
      </c>
      <c r="AI631" s="233">
        <v>2153328</v>
      </c>
      <c r="AJ631" s="233">
        <v>1369390</v>
      </c>
    </row>
    <row r="632" spans="1:36">
      <c r="A632" s="240">
        <v>1</v>
      </c>
      <c r="B632" s="241" t="s">
        <v>3997</v>
      </c>
      <c r="C632" s="241" t="s">
        <v>3432</v>
      </c>
      <c r="D632" s="241" t="s">
        <v>5240</v>
      </c>
      <c r="E632" s="241">
        <v>6</v>
      </c>
      <c r="F632" s="242" t="s">
        <v>5241</v>
      </c>
      <c r="G632" s="233">
        <v>1158</v>
      </c>
      <c r="H632" s="233">
        <v>5038442</v>
      </c>
      <c r="I632" s="233">
        <v>2569179</v>
      </c>
      <c r="J632" s="233">
        <v>672368</v>
      </c>
      <c r="K632" s="233">
        <v>1896811</v>
      </c>
      <c r="L632" s="233">
        <v>4679772</v>
      </c>
      <c r="M632" s="233">
        <v>936081</v>
      </c>
      <c r="N632" s="233">
        <v>46297</v>
      </c>
      <c r="O632" s="233">
        <v>2052998</v>
      </c>
      <c r="P632" s="233">
        <v>1341048</v>
      </c>
      <c r="Q632" s="235" t="s">
        <v>5298</v>
      </c>
      <c r="R632" s="235" t="s">
        <v>5298</v>
      </c>
      <c r="S632" s="235" t="s">
        <v>5298</v>
      </c>
      <c r="T632" s="235" t="s">
        <v>5298</v>
      </c>
      <c r="U632" s="235" t="s">
        <v>5298</v>
      </c>
      <c r="V632" s="235" t="s">
        <v>5298</v>
      </c>
      <c r="W632" s="235" t="s">
        <v>5298</v>
      </c>
      <c r="X632" s="235" t="s">
        <v>5298</v>
      </c>
      <c r="Y632" s="235" t="s">
        <v>5298</v>
      </c>
      <c r="Z632" s="235" t="s">
        <v>5298</v>
      </c>
      <c r="AA632" s="233">
        <v>1158</v>
      </c>
      <c r="AB632" s="233">
        <v>5038442</v>
      </c>
      <c r="AC632" s="233">
        <v>2569179</v>
      </c>
      <c r="AD632" s="233">
        <v>672368</v>
      </c>
      <c r="AE632" s="233">
        <v>1896811</v>
      </c>
      <c r="AF632" s="233">
        <v>4679772</v>
      </c>
      <c r="AG632" s="233">
        <v>936081</v>
      </c>
      <c r="AH632" s="233">
        <v>46297</v>
      </c>
      <c r="AI632" s="233">
        <v>2052998</v>
      </c>
      <c r="AJ632" s="233">
        <v>1341048</v>
      </c>
    </row>
    <row r="633" spans="1:36">
      <c r="A633" s="240">
        <v>1</v>
      </c>
      <c r="B633" s="241" t="s">
        <v>3997</v>
      </c>
      <c r="C633" s="241" t="s">
        <v>3432</v>
      </c>
      <c r="D633" s="241" t="s">
        <v>5242</v>
      </c>
      <c r="E633" s="241">
        <v>6</v>
      </c>
      <c r="F633" s="242" t="s">
        <v>5243</v>
      </c>
      <c r="G633" s="233">
        <v>855</v>
      </c>
      <c r="H633" s="233">
        <v>255946</v>
      </c>
      <c r="I633" s="233">
        <v>145746</v>
      </c>
      <c r="J633" s="233">
        <v>31307</v>
      </c>
      <c r="K633" s="233">
        <v>114440</v>
      </c>
      <c r="L633" s="233">
        <v>246468</v>
      </c>
      <c r="M633" s="233">
        <v>16659</v>
      </c>
      <c r="N633" s="233">
        <v>2205</v>
      </c>
      <c r="O633" s="233">
        <v>100330</v>
      </c>
      <c r="P633" s="233">
        <v>28342</v>
      </c>
      <c r="Q633" s="235" t="s">
        <v>5298</v>
      </c>
      <c r="R633" s="235" t="s">
        <v>5298</v>
      </c>
      <c r="S633" s="235" t="s">
        <v>5298</v>
      </c>
      <c r="T633" s="235" t="s">
        <v>5298</v>
      </c>
      <c r="U633" s="235" t="s">
        <v>5298</v>
      </c>
      <c r="V633" s="235" t="s">
        <v>5298</v>
      </c>
      <c r="W633" s="235" t="s">
        <v>5298</v>
      </c>
      <c r="X633" s="235" t="s">
        <v>5298</v>
      </c>
      <c r="Y633" s="235" t="s">
        <v>5298</v>
      </c>
      <c r="Z633" s="235" t="s">
        <v>5298</v>
      </c>
      <c r="AA633" s="233">
        <v>855</v>
      </c>
      <c r="AB633" s="233">
        <v>255946</v>
      </c>
      <c r="AC633" s="233">
        <v>145746</v>
      </c>
      <c r="AD633" s="233">
        <v>31307</v>
      </c>
      <c r="AE633" s="233">
        <v>114440</v>
      </c>
      <c r="AF633" s="233">
        <v>246468</v>
      </c>
      <c r="AG633" s="233">
        <v>16659</v>
      </c>
      <c r="AH633" s="233">
        <v>2205</v>
      </c>
      <c r="AI633" s="233">
        <v>100330</v>
      </c>
      <c r="AJ633" s="233">
        <v>28342</v>
      </c>
    </row>
    <row r="634" spans="1:36">
      <c r="A634" s="240">
        <v>1</v>
      </c>
      <c r="B634" s="241" t="s">
        <v>3997</v>
      </c>
      <c r="C634" s="241" t="s">
        <v>3459</v>
      </c>
      <c r="D634" s="241" t="s">
        <v>5244</v>
      </c>
      <c r="E634" s="241">
        <v>3</v>
      </c>
      <c r="F634" s="242" t="s">
        <v>5245</v>
      </c>
      <c r="G634" s="233">
        <v>106906</v>
      </c>
      <c r="H634" s="233">
        <v>42272809</v>
      </c>
      <c r="I634" s="233">
        <v>898104</v>
      </c>
      <c r="J634" s="233">
        <v>550494</v>
      </c>
      <c r="K634" s="233">
        <v>347610</v>
      </c>
      <c r="L634" s="233">
        <v>38217287</v>
      </c>
      <c r="M634" s="233">
        <v>12773986</v>
      </c>
      <c r="N634" s="233">
        <v>324920</v>
      </c>
      <c r="O634" s="233">
        <v>593877</v>
      </c>
      <c r="P634" s="233">
        <v>17154429</v>
      </c>
      <c r="Q634" s="233">
        <v>98759</v>
      </c>
      <c r="R634" s="233">
        <v>39712290</v>
      </c>
      <c r="S634" s="233">
        <v>865669</v>
      </c>
      <c r="T634" s="233">
        <v>529672</v>
      </c>
      <c r="U634" s="233">
        <v>335998</v>
      </c>
      <c r="V634" s="233">
        <v>35747347</v>
      </c>
      <c r="W634" s="233">
        <v>12432938</v>
      </c>
      <c r="X634" s="233">
        <v>295977</v>
      </c>
      <c r="Y634" s="233">
        <v>580874</v>
      </c>
      <c r="Z634" s="233">
        <v>16693857</v>
      </c>
      <c r="AA634" s="233">
        <v>8147</v>
      </c>
      <c r="AB634" s="233">
        <v>2560519</v>
      </c>
      <c r="AC634" s="233">
        <v>32434</v>
      </c>
      <c r="AD634" s="233">
        <v>20822</v>
      </c>
      <c r="AE634" s="233">
        <v>11612</v>
      </c>
      <c r="AF634" s="233">
        <v>2469939</v>
      </c>
      <c r="AG634" s="233">
        <v>341048</v>
      </c>
      <c r="AH634" s="233">
        <v>28944</v>
      </c>
      <c r="AI634" s="233">
        <v>13002</v>
      </c>
      <c r="AJ634" s="233">
        <v>460572</v>
      </c>
    </row>
    <row r="635" spans="1:36">
      <c r="A635" s="240">
        <v>1</v>
      </c>
      <c r="B635" s="241" t="s">
        <v>3997</v>
      </c>
      <c r="C635" s="241" t="s">
        <v>3170</v>
      </c>
      <c r="D635" s="241" t="s">
        <v>5246</v>
      </c>
      <c r="E635" s="241">
        <v>4</v>
      </c>
      <c r="F635" s="242" t="s">
        <v>5247</v>
      </c>
      <c r="G635" s="233">
        <v>106906</v>
      </c>
      <c r="H635" s="233">
        <v>42272809</v>
      </c>
      <c r="I635" s="233">
        <v>898104</v>
      </c>
      <c r="J635" s="233">
        <v>550494</v>
      </c>
      <c r="K635" s="233">
        <v>347610</v>
      </c>
      <c r="L635" s="233">
        <v>38217287</v>
      </c>
      <c r="M635" s="233">
        <v>12773986</v>
      </c>
      <c r="N635" s="233">
        <v>324920</v>
      </c>
      <c r="O635" s="233">
        <v>593877</v>
      </c>
      <c r="P635" s="233">
        <v>17154429</v>
      </c>
      <c r="Q635" s="233">
        <v>98759</v>
      </c>
      <c r="R635" s="233">
        <v>39712290</v>
      </c>
      <c r="S635" s="233">
        <v>865669</v>
      </c>
      <c r="T635" s="233">
        <v>529672</v>
      </c>
      <c r="U635" s="233">
        <v>335998</v>
      </c>
      <c r="V635" s="233">
        <v>35747347</v>
      </c>
      <c r="W635" s="233">
        <v>12432938</v>
      </c>
      <c r="X635" s="233">
        <v>295977</v>
      </c>
      <c r="Y635" s="233">
        <v>580874</v>
      </c>
      <c r="Z635" s="233">
        <v>16693857</v>
      </c>
      <c r="AA635" s="233">
        <v>8147</v>
      </c>
      <c r="AB635" s="233">
        <v>2560519</v>
      </c>
      <c r="AC635" s="233">
        <v>32434</v>
      </c>
      <c r="AD635" s="233">
        <v>20822</v>
      </c>
      <c r="AE635" s="233">
        <v>11612</v>
      </c>
      <c r="AF635" s="233">
        <v>2469939</v>
      </c>
      <c r="AG635" s="233">
        <v>341048</v>
      </c>
      <c r="AH635" s="233">
        <v>28944</v>
      </c>
      <c r="AI635" s="233">
        <v>13002</v>
      </c>
      <c r="AJ635" s="233">
        <v>460572</v>
      </c>
    </row>
    <row r="636" spans="1:36">
      <c r="A636" s="240">
        <v>1</v>
      </c>
      <c r="B636" s="241" t="s">
        <v>3997</v>
      </c>
      <c r="C636" s="241" t="s">
        <v>3172</v>
      </c>
      <c r="D636" s="241" t="s">
        <v>5248</v>
      </c>
      <c r="E636" s="241">
        <v>5</v>
      </c>
      <c r="F636" s="242" t="s">
        <v>5249</v>
      </c>
      <c r="G636" s="233">
        <v>15186</v>
      </c>
      <c r="H636" s="233">
        <v>5226217</v>
      </c>
      <c r="I636" s="233">
        <v>104943</v>
      </c>
      <c r="J636" s="233">
        <v>90271</v>
      </c>
      <c r="K636" s="233">
        <v>14672</v>
      </c>
      <c r="L636" s="233">
        <v>4601838</v>
      </c>
      <c r="M636" s="233">
        <v>1152663</v>
      </c>
      <c r="N636" s="233">
        <v>76329</v>
      </c>
      <c r="O636" s="233">
        <v>60165</v>
      </c>
      <c r="P636" s="233">
        <v>1853371</v>
      </c>
      <c r="Q636" s="233">
        <v>14490</v>
      </c>
      <c r="R636" s="233">
        <v>4986437</v>
      </c>
      <c r="S636" s="233">
        <v>103643</v>
      </c>
      <c r="T636" s="233">
        <v>89118</v>
      </c>
      <c r="U636" s="233">
        <v>14526</v>
      </c>
      <c r="V636" s="233">
        <v>4375926</v>
      </c>
      <c r="W636" s="233">
        <v>1108212</v>
      </c>
      <c r="X636" s="233">
        <v>72036</v>
      </c>
      <c r="Y636" s="233">
        <v>59403</v>
      </c>
      <c r="Z636" s="233">
        <v>1790759</v>
      </c>
      <c r="AA636" s="233">
        <v>696</v>
      </c>
      <c r="AB636" s="233">
        <v>239780</v>
      </c>
      <c r="AC636" s="233">
        <v>1300</v>
      </c>
      <c r="AD636" s="233">
        <v>1153</v>
      </c>
      <c r="AE636" s="233">
        <v>147</v>
      </c>
      <c r="AF636" s="233">
        <v>225913</v>
      </c>
      <c r="AG636" s="233">
        <v>44451</v>
      </c>
      <c r="AH636" s="233">
        <v>4293</v>
      </c>
      <c r="AI636" s="233">
        <v>763</v>
      </c>
      <c r="AJ636" s="233">
        <v>62612</v>
      </c>
    </row>
    <row r="637" spans="1:36">
      <c r="A637" s="240">
        <v>1</v>
      </c>
      <c r="B637" s="241" t="s">
        <v>3997</v>
      </c>
      <c r="C637" s="241" t="s">
        <v>3432</v>
      </c>
      <c r="D637" s="241" t="s">
        <v>5250</v>
      </c>
      <c r="E637" s="241">
        <v>6</v>
      </c>
      <c r="F637" s="242" t="s">
        <v>5251</v>
      </c>
      <c r="G637" s="233">
        <v>8346</v>
      </c>
      <c r="H637" s="233">
        <v>2096686</v>
      </c>
      <c r="I637" s="233">
        <v>22166</v>
      </c>
      <c r="J637" s="233">
        <v>15674</v>
      </c>
      <c r="K637" s="233">
        <v>6492</v>
      </c>
      <c r="L637" s="233">
        <v>1885305</v>
      </c>
      <c r="M637" s="233">
        <v>635737</v>
      </c>
      <c r="N637" s="233">
        <v>32840</v>
      </c>
      <c r="O637" s="233">
        <v>11109</v>
      </c>
      <c r="P637" s="233">
        <v>879959</v>
      </c>
      <c r="Q637" s="233">
        <v>7839</v>
      </c>
      <c r="R637" s="233">
        <v>1922715</v>
      </c>
      <c r="S637" s="233">
        <v>21467</v>
      </c>
      <c r="T637" s="233">
        <v>15073</v>
      </c>
      <c r="U637" s="233">
        <v>6393</v>
      </c>
      <c r="V637" s="233">
        <v>1719605</v>
      </c>
      <c r="W637" s="233">
        <v>598497</v>
      </c>
      <c r="X637" s="233">
        <v>30123</v>
      </c>
      <c r="Y637" s="233">
        <v>10564</v>
      </c>
      <c r="Z637" s="233">
        <v>831730</v>
      </c>
      <c r="AA637" s="233">
        <v>507</v>
      </c>
      <c r="AB637" s="233">
        <v>173970</v>
      </c>
      <c r="AC637" s="233">
        <v>700</v>
      </c>
      <c r="AD637" s="233">
        <v>601</v>
      </c>
      <c r="AE637" s="233">
        <v>99</v>
      </c>
      <c r="AF637" s="233">
        <v>165699</v>
      </c>
      <c r="AG637" s="233">
        <v>37240</v>
      </c>
      <c r="AH637" s="233">
        <v>2717</v>
      </c>
      <c r="AI637" s="233">
        <v>545</v>
      </c>
      <c r="AJ637" s="233">
        <v>48228</v>
      </c>
    </row>
    <row r="638" spans="1:36">
      <c r="A638" s="240">
        <v>1</v>
      </c>
      <c r="B638" s="241" t="s">
        <v>3997</v>
      </c>
      <c r="C638" s="241" t="s">
        <v>3432</v>
      </c>
      <c r="D638" s="241" t="s">
        <v>5252</v>
      </c>
      <c r="E638" s="241">
        <v>6</v>
      </c>
      <c r="F638" s="242" t="s">
        <v>5253</v>
      </c>
      <c r="G638" s="233">
        <v>6804</v>
      </c>
      <c r="H638" s="233">
        <v>3113118</v>
      </c>
      <c r="I638" s="233">
        <v>82356</v>
      </c>
      <c r="J638" s="233">
        <v>74176</v>
      </c>
      <c r="K638" s="233">
        <v>8180</v>
      </c>
      <c r="L638" s="233">
        <v>2700493</v>
      </c>
      <c r="M638" s="233">
        <v>513228</v>
      </c>
      <c r="N638" s="233">
        <v>43417</v>
      </c>
      <c r="O638" s="233">
        <v>48804</v>
      </c>
      <c r="P638" s="233">
        <v>969269</v>
      </c>
      <c r="Q638" s="233">
        <v>6621</v>
      </c>
      <c r="R638" s="233">
        <v>3056866</v>
      </c>
      <c r="S638" s="233">
        <v>81756</v>
      </c>
      <c r="T638" s="233">
        <v>73624</v>
      </c>
      <c r="U638" s="233">
        <v>8132</v>
      </c>
      <c r="V638" s="233">
        <v>2649879</v>
      </c>
      <c r="W638" s="233">
        <v>507963</v>
      </c>
      <c r="X638" s="233">
        <v>41857</v>
      </c>
      <c r="Y638" s="233">
        <v>48587</v>
      </c>
      <c r="Z638" s="233">
        <v>956807</v>
      </c>
      <c r="AA638" s="233">
        <v>183</v>
      </c>
      <c r="AB638" s="233">
        <v>56252</v>
      </c>
      <c r="AC638" s="233">
        <v>600</v>
      </c>
      <c r="AD638" s="233">
        <v>552</v>
      </c>
      <c r="AE638" s="233">
        <v>48</v>
      </c>
      <c r="AF638" s="233">
        <v>50614</v>
      </c>
      <c r="AG638" s="233">
        <v>5265</v>
      </c>
      <c r="AH638" s="233">
        <v>1559</v>
      </c>
      <c r="AI638" s="233">
        <v>218</v>
      </c>
      <c r="AJ638" s="233">
        <v>12462</v>
      </c>
    </row>
    <row r="639" spans="1:36">
      <c r="A639" s="240">
        <v>1</v>
      </c>
      <c r="B639" s="241" t="s">
        <v>3997</v>
      </c>
      <c r="C639" s="241" t="s">
        <v>3432</v>
      </c>
      <c r="D639" s="241" t="s">
        <v>5254</v>
      </c>
      <c r="E639" s="241">
        <v>6</v>
      </c>
      <c r="F639" s="242" t="s">
        <v>5255</v>
      </c>
      <c r="G639" s="233">
        <v>34</v>
      </c>
      <c r="H639" s="233">
        <v>16356</v>
      </c>
      <c r="I639" s="233">
        <v>413</v>
      </c>
      <c r="J639" s="233">
        <v>412</v>
      </c>
      <c r="K639" s="233">
        <v>0</v>
      </c>
      <c r="L639" s="233">
        <v>15993</v>
      </c>
      <c r="M639" s="233">
        <v>3672</v>
      </c>
      <c r="N639" s="233">
        <v>70</v>
      </c>
      <c r="O639" s="233">
        <v>252</v>
      </c>
      <c r="P639" s="233">
        <v>4105</v>
      </c>
      <c r="Q639" s="233">
        <v>28</v>
      </c>
      <c r="R639" s="233">
        <v>6799</v>
      </c>
      <c r="S639" s="233">
        <v>413</v>
      </c>
      <c r="T639" s="233">
        <v>412</v>
      </c>
      <c r="U639" s="233">
        <v>0</v>
      </c>
      <c r="V639" s="233">
        <v>6394</v>
      </c>
      <c r="W639" s="233">
        <v>1726</v>
      </c>
      <c r="X639" s="233">
        <v>53</v>
      </c>
      <c r="Y639" s="233">
        <v>252</v>
      </c>
      <c r="Z639" s="233">
        <v>2184</v>
      </c>
      <c r="AA639" s="233">
        <v>6</v>
      </c>
      <c r="AB639" s="233">
        <v>9557</v>
      </c>
      <c r="AC639" s="233">
        <v>0</v>
      </c>
      <c r="AD639" s="233">
        <v>0</v>
      </c>
      <c r="AE639" s="233">
        <v>0</v>
      </c>
      <c r="AF639" s="233">
        <v>9599</v>
      </c>
      <c r="AG639" s="233">
        <v>1947</v>
      </c>
      <c r="AH639" s="233">
        <v>17</v>
      </c>
      <c r="AI639" s="233">
        <v>0</v>
      </c>
      <c r="AJ639" s="233">
        <v>1921</v>
      </c>
    </row>
    <row r="640" spans="1:36">
      <c r="A640" s="240">
        <v>1</v>
      </c>
      <c r="B640" s="241" t="s">
        <v>3997</v>
      </c>
      <c r="C640" s="241" t="s">
        <v>3172</v>
      </c>
      <c r="D640" s="241" t="s">
        <v>5256</v>
      </c>
      <c r="E640" s="241">
        <v>5</v>
      </c>
      <c r="F640" s="242" t="s">
        <v>5257</v>
      </c>
      <c r="G640" s="233">
        <v>18050</v>
      </c>
      <c r="H640" s="233">
        <v>1742232</v>
      </c>
      <c r="I640" s="233">
        <v>128990</v>
      </c>
      <c r="J640" s="233">
        <v>31760</v>
      </c>
      <c r="K640" s="233">
        <v>97230</v>
      </c>
      <c r="L640" s="233">
        <v>1587925</v>
      </c>
      <c r="M640" s="233">
        <v>446028</v>
      </c>
      <c r="N640" s="233">
        <v>27667</v>
      </c>
      <c r="O640" s="233">
        <v>81111</v>
      </c>
      <c r="P640" s="233">
        <v>628002</v>
      </c>
      <c r="Q640" s="233">
        <v>17649</v>
      </c>
      <c r="R640" s="233">
        <v>1717888</v>
      </c>
      <c r="S640" s="233">
        <v>128323</v>
      </c>
      <c r="T640" s="233">
        <v>31713</v>
      </c>
      <c r="U640" s="233">
        <v>96610</v>
      </c>
      <c r="V640" s="233">
        <v>1565171</v>
      </c>
      <c r="W640" s="233">
        <v>436213</v>
      </c>
      <c r="X640" s="233">
        <v>27063</v>
      </c>
      <c r="Y640" s="233">
        <v>80513</v>
      </c>
      <c r="Z640" s="233">
        <v>615994</v>
      </c>
      <c r="AA640" s="233">
        <v>401</v>
      </c>
      <c r="AB640" s="233">
        <v>24343</v>
      </c>
      <c r="AC640" s="233">
        <v>667</v>
      </c>
      <c r="AD640" s="233">
        <v>46</v>
      </c>
      <c r="AE640" s="233">
        <v>621</v>
      </c>
      <c r="AF640" s="233">
        <v>22754</v>
      </c>
      <c r="AG640" s="233">
        <v>9816</v>
      </c>
      <c r="AH640" s="233">
        <v>604</v>
      </c>
      <c r="AI640" s="233">
        <v>597</v>
      </c>
      <c r="AJ640" s="233">
        <v>12008</v>
      </c>
    </row>
    <row r="641" spans="1:36">
      <c r="A641" s="240">
        <v>1</v>
      </c>
      <c r="B641" s="241" t="s">
        <v>3997</v>
      </c>
      <c r="C641" s="241" t="s">
        <v>3432</v>
      </c>
      <c r="D641" s="241" t="s">
        <v>5258</v>
      </c>
      <c r="E641" s="241">
        <v>6</v>
      </c>
      <c r="F641" s="242" t="s">
        <v>5259</v>
      </c>
      <c r="G641" s="233">
        <v>18050</v>
      </c>
      <c r="H641" s="233">
        <v>1742232</v>
      </c>
      <c r="I641" s="233">
        <v>128990</v>
      </c>
      <c r="J641" s="233">
        <v>31760</v>
      </c>
      <c r="K641" s="233">
        <v>97230</v>
      </c>
      <c r="L641" s="233">
        <v>1587925</v>
      </c>
      <c r="M641" s="233">
        <v>446028</v>
      </c>
      <c r="N641" s="233">
        <v>27667</v>
      </c>
      <c r="O641" s="233">
        <v>81111</v>
      </c>
      <c r="P641" s="233">
        <v>628002</v>
      </c>
      <c r="Q641" s="233">
        <v>17649</v>
      </c>
      <c r="R641" s="233">
        <v>1717888</v>
      </c>
      <c r="S641" s="233">
        <v>128323</v>
      </c>
      <c r="T641" s="233">
        <v>31713</v>
      </c>
      <c r="U641" s="233">
        <v>96610</v>
      </c>
      <c r="V641" s="233">
        <v>1565171</v>
      </c>
      <c r="W641" s="233">
        <v>436213</v>
      </c>
      <c r="X641" s="233">
        <v>27063</v>
      </c>
      <c r="Y641" s="233">
        <v>80513</v>
      </c>
      <c r="Z641" s="233">
        <v>615994</v>
      </c>
      <c r="AA641" s="233">
        <v>401</v>
      </c>
      <c r="AB641" s="233">
        <v>24343</v>
      </c>
      <c r="AC641" s="233">
        <v>667</v>
      </c>
      <c r="AD641" s="233">
        <v>46</v>
      </c>
      <c r="AE641" s="233">
        <v>621</v>
      </c>
      <c r="AF641" s="233">
        <v>22754</v>
      </c>
      <c r="AG641" s="233">
        <v>9816</v>
      </c>
      <c r="AH641" s="233">
        <v>604</v>
      </c>
      <c r="AI641" s="233">
        <v>597</v>
      </c>
      <c r="AJ641" s="233">
        <v>12008</v>
      </c>
    </row>
    <row r="642" spans="1:36">
      <c r="A642" s="240">
        <v>1</v>
      </c>
      <c r="B642" s="241" t="s">
        <v>3997</v>
      </c>
      <c r="C642" s="241" t="s">
        <v>3172</v>
      </c>
      <c r="D642" s="241" t="s">
        <v>5260</v>
      </c>
      <c r="E642" s="241">
        <v>5</v>
      </c>
      <c r="F642" s="242" t="s">
        <v>5261</v>
      </c>
      <c r="G642" s="233">
        <v>10809</v>
      </c>
      <c r="H642" s="233">
        <v>3543115</v>
      </c>
      <c r="I642" s="233">
        <v>127626</v>
      </c>
      <c r="J642" s="233">
        <v>103301</v>
      </c>
      <c r="K642" s="233">
        <v>24325</v>
      </c>
      <c r="L642" s="233">
        <v>3309140</v>
      </c>
      <c r="M642" s="233">
        <v>865777</v>
      </c>
      <c r="N642" s="233">
        <v>20574</v>
      </c>
      <c r="O642" s="233">
        <v>101487</v>
      </c>
      <c r="P642" s="233">
        <v>1120325</v>
      </c>
      <c r="Q642" s="233">
        <v>10739</v>
      </c>
      <c r="R642" s="233">
        <v>3539860</v>
      </c>
      <c r="S642" s="233">
        <v>127605</v>
      </c>
      <c r="T642" s="233">
        <v>103282</v>
      </c>
      <c r="U642" s="233">
        <v>24323</v>
      </c>
      <c r="V642" s="233">
        <v>3306081</v>
      </c>
      <c r="W642" s="233">
        <v>864993</v>
      </c>
      <c r="X642" s="233">
        <v>20447</v>
      </c>
      <c r="Y642" s="233">
        <v>101487</v>
      </c>
      <c r="Z642" s="233">
        <v>1119220</v>
      </c>
      <c r="AA642" s="233">
        <v>70</v>
      </c>
      <c r="AB642" s="233">
        <v>3254</v>
      </c>
      <c r="AC642" s="233">
        <v>21</v>
      </c>
      <c r="AD642" s="233">
        <v>19</v>
      </c>
      <c r="AE642" s="233">
        <v>2</v>
      </c>
      <c r="AF642" s="233">
        <v>3060</v>
      </c>
      <c r="AG642" s="233">
        <v>784</v>
      </c>
      <c r="AH642" s="233">
        <v>127</v>
      </c>
      <c r="AI642" s="233">
        <v>0</v>
      </c>
      <c r="AJ642" s="233">
        <v>1105</v>
      </c>
    </row>
    <row r="643" spans="1:36">
      <c r="A643" s="240">
        <v>1</v>
      </c>
      <c r="B643" s="241" t="s">
        <v>3997</v>
      </c>
      <c r="C643" s="241" t="s">
        <v>3432</v>
      </c>
      <c r="D643" s="241" t="s">
        <v>5262</v>
      </c>
      <c r="E643" s="241">
        <v>6</v>
      </c>
      <c r="F643" s="242" t="s">
        <v>5263</v>
      </c>
      <c r="G643" s="233">
        <v>7292</v>
      </c>
      <c r="H643" s="233">
        <v>2300138</v>
      </c>
      <c r="I643" s="233">
        <v>76279</v>
      </c>
      <c r="J643" s="233">
        <v>61506</v>
      </c>
      <c r="K643" s="233">
        <v>14773</v>
      </c>
      <c r="L643" s="233">
        <v>2183807</v>
      </c>
      <c r="M643" s="233">
        <v>590654</v>
      </c>
      <c r="N643" s="233">
        <v>15390</v>
      </c>
      <c r="O643" s="233">
        <v>62383</v>
      </c>
      <c r="P643" s="233">
        <v>722374</v>
      </c>
      <c r="Q643" s="233">
        <v>7273</v>
      </c>
      <c r="R643" s="233">
        <v>2298843</v>
      </c>
      <c r="S643" s="233">
        <v>76261</v>
      </c>
      <c r="T643" s="233">
        <v>61488</v>
      </c>
      <c r="U643" s="233">
        <v>14773</v>
      </c>
      <c r="V643" s="233">
        <v>2182564</v>
      </c>
      <c r="W643" s="233">
        <v>590367</v>
      </c>
      <c r="X643" s="233">
        <v>15368</v>
      </c>
      <c r="Y643" s="233">
        <v>62383</v>
      </c>
      <c r="Z643" s="233">
        <v>722013</v>
      </c>
      <c r="AA643" s="233">
        <v>19</v>
      </c>
      <c r="AB643" s="233">
        <v>1295</v>
      </c>
      <c r="AC643" s="233">
        <v>18</v>
      </c>
      <c r="AD643" s="233">
        <v>18</v>
      </c>
      <c r="AE643" s="233">
        <v>0</v>
      </c>
      <c r="AF643" s="233">
        <v>1243</v>
      </c>
      <c r="AG643" s="233">
        <v>286</v>
      </c>
      <c r="AH643" s="233">
        <v>22</v>
      </c>
      <c r="AI643" s="233">
        <v>0</v>
      </c>
      <c r="AJ643" s="233">
        <v>361</v>
      </c>
    </row>
    <row r="644" spans="1:36">
      <c r="A644" s="240">
        <v>1</v>
      </c>
      <c r="B644" s="241" t="s">
        <v>3997</v>
      </c>
      <c r="C644" s="241" t="s">
        <v>3432</v>
      </c>
      <c r="D644" s="241" t="s">
        <v>5264</v>
      </c>
      <c r="E644" s="241">
        <v>6</v>
      </c>
      <c r="F644" s="242" t="s">
        <v>5265</v>
      </c>
      <c r="G644" s="233">
        <v>2090</v>
      </c>
      <c r="H644" s="233">
        <v>1042264</v>
      </c>
      <c r="I644" s="233">
        <v>31555</v>
      </c>
      <c r="J644" s="233">
        <v>26396</v>
      </c>
      <c r="K644" s="233">
        <v>5159</v>
      </c>
      <c r="L644" s="233">
        <v>932474</v>
      </c>
      <c r="M644" s="233">
        <v>215695</v>
      </c>
      <c r="N644" s="233">
        <v>3503</v>
      </c>
      <c r="O644" s="233">
        <v>26567</v>
      </c>
      <c r="P644" s="233">
        <v>328987</v>
      </c>
      <c r="Q644" s="233">
        <v>2079</v>
      </c>
      <c r="R644" s="233">
        <v>1042094</v>
      </c>
      <c r="S644" s="233">
        <v>31555</v>
      </c>
      <c r="T644" s="233">
        <v>26396</v>
      </c>
      <c r="U644" s="233">
        <v>5159</v>
      </c>
      <c r="V644" s="233">
        <v>932300</v>
      </c>
      <c r="W644" s="233">
        <v>215679</v>
      </c>
      <c r="X644" s="233">
        <v>3502</v>
      </c>
      <c r="Y644" s="233">
        <v>26567</v>
      </c>
      <c r="Z644" s="233">
        <v>328975</v>
      </c>
      <c r="AA644" s="233">
        <v>11</v>
      </c>
      <c r="AB644" s="233">
        <v>171</v>
      </c>
      <c r="AC644" s="233">
        <v>0</v>
      </c>
      <c r="AD644" s="233">
        <v>0</v>
      </c>
      <c r="AE644" s="233">
        <v>0</v>
      </c>
      <c r="AF644" s="233">
        <v>174</v>
      </c>
      <c r="AG644" s="233">
        <v>16</v>
      </c>
      <c r="AH644" s="233">
        <v>0</v>
      </c>
      <c r="AI644" s="233">
        <v>0</v>
      </c>
      <c r="AJ644" s="233">
        <v>12</v>
      </c>
    </row>
    <row r="645" spans="1:36">
      <c r="A645" s="240">
        <v>1</v>
      </c>
      <c r="B645" s="241" t="s">
        <v>3997</v>
      </c>
      <c r="C645" s="241" t="s">
        <v>3432</v>
      </c>
      <c r="D645" s="241" t="s">
        <v>5266</v>
      </c>
      <c r="E645" s="241">
        <v>6</v>
      </c>
      <c r="F645" s="242" t="s">
        <v>5267</v>
      </c>
      <c r="G645" s="233">
        <v>151</v>
      </c>
      <c r="H645" s="233">
        <v>5225</v>
      </c>
      <c r="I645" s="233">
        <v>74</v>
      </c>
      <c r="J645" s="233">
        <v>1</v>
      </c>
      <c r="K645" s="233">
        <v>73</v>
      </c>
      <c r="L645" s="233">
        <v>4811</v>
      </c>
      <c r="M645" s="233">
        <v>1674</v>
      </c>
      <c r="N645" s="233">
        <v>67</v>
      </c>
      <c r="O645" s="233">
        <v>54</v>
      </c>
      <c r="P645" s="233">
        <v>2155</v>
      </c>
      <c r="Q645" s="233">
        <v>147</v>
      </c>
      <c r="R645" s="233">
        <v>5189</v>
      </c>
      <c r="S645" s="233">
        <v>74</v>
      </c>
      <c r="T645" s="233">
        <v>1</v>
      </c>
      <c r="U645" s="233">
        <v>73</v>
      </c>
      <c r="V645" s="233">
        <v>4783</v>
      </c>
      <c r="W645" s="233">
        <v>1670</v>
      </c>
      <c r="X645" s="233">
        <v>67</v>
      </c>
      <c r="Y645" s="233">
        <v>54</v>
      </c>
      <c r="Z645" s="233">
        <v>2143</v>
      </c>
      <c r="AA645" s="233">
        <v>4</v>
      </c>
      <c r="AB645" s="233">
        <v>35</v>
      </c>
      <c r="AC645" s="233">
        <v>0</v>
      </c>
      <c r="AD645" s="233">
        <v>0</v>
      </c>
      <c r="AE645" s="233">
        <v>0</v>
      </c>
      <c r="AF645" s="233">
        <v>27</v>
      </c>
      <c r="AG645" s="233">
        <v>4</v>
      </c>
      <c r="AH645" s="233">
        <v>0</v>
      </c>
      <c r="AI645" s="233">
        <v>0</v>
      </c>
      <c r="AJ645" s="233">
        <v>12</v>
      </c>
    </row>
    <row r="646" spans="1:36">
      <c r="A646" s="240">
        <v>1</v>
      </c>
      <c r="B646" s="241" t="s">
        <v>3997</v>
      </c>
      <c r="C646" s="241" t="s">
        <v>3432</v>
      </c>
      <c r="D646" s="241" t="s">
        <v>5268</v>
      </c>
      <c r="E646" s="241">
        <v>6</v>
      </c>
      <c r="F646" s="242" t="s">
        <v>5269</v>
      </c>
      <c r="G646" s="233">
        <v>1275</v>
      </c>
      <c r="H646" s="233">
        <v>195150</v>
      </c>
      <c r="I646" s="233">
        <v>19719</v>
      </c>
      <c r="J646" s="233">
        <v>15397</v>
      </c>
      <c r="K646" s="233">
        <v>4321</v>
      </c>
      <c r="L646" s="233">
        <v>187671</v>
      </c>
      <c r="M646" s="233">
        <v>57569</v>
      </c>
      <c r="N646" s="233">
        <v>1613</v>
      </c>
      <c r="O646" s="233">
        <v>12482</v>
      </c>
      <c r="P646" s="233">
        <v>66660</v>
      </c>
      <c r="Q646" s="233">
        <v>1239</v>
      </c>
      <c r="R646" s="233">
        <v>193397</v>
      </c>
      <c r="S646" s="233">
        <v>19715</v>
      </c>
      <c r="T646" s="233">
        <v>15396</v>
      </c>
      <c r="U646" s="233">
        <v>4319</v>
      </c>
      <c r="V646" s="233">
        <v>186056</v>
      </c>
      <c r="W646" s="233">
        <v>57091</v>
      </c>
      <c r="X646" s="233">
        <v>1509</v>
      </c>
      <c r="Y646" s="233">
        <v>12482</v>
      </c>
      <c r="Z646" s="233">
        <v>65941</v>
      </c>
      <c r="AA646" s="233">
        <v>36</v>
      </c>
      <c r="AB646" s="233">
        <v>1753</v>
      </c>
      <c r="AC646" s="233">
        <v>3</v>
      </c>
      <c r="AD646" s="233">
        <v>1</v>
      </c>
      <c r="AE646" s="233">
        <v>2</v>
      </c>
      <c r="AF646" s="233">
        <v>1615</v>
      </c>
      <c r="AG646" s="233">
        <v>478</v>
      </c>
      <c r="AH646" s="233">
        <v>104</v>
      </c>
      <c r="AI646" s="233">
        <v>0</v>
      </c>
      <c r="AJ646" s="233">
        <v>720</v>
      </c>
    </row>
    <row r="647" spans="1:36">
      <c r="A647" s="240">
        <v>1</v>
      </c>
      <c r="B647" s="241" t="s">
        <v>3997</v>
      </c>
      <c r="C647" s="241" t="s">
        <v>3172</v>
      </c>
      <c r="D647" s="241" t="s">
        <v>5270</v>
      </c>
      <c r="E647" s="241">
        <v>5</v>
      </c>
      <c r="F647" s="242" t="s">
        <v>5271</v>
      </c>
      <c r="G647" s="233">
        <v>12946</v>
      </c>
      <c r="H647" s="233">
        <v>9508401</v>
      </c>
      <c r="I647" s="233">
        <v>37600</v>
      </c>
      <c r="J647" s="233">
        <v>15279</v>
      </c>
      <c r="K647" s="233">
        <v>22321</v>
      </c>
      <c r="L647" s="233">
        <v>8591609</v>
      </c>
      <c r="M647" s="233">
        <v>4086075</v>
      </c>
      <c r="N647" s="233">
        <v>56736</v>
      </c>
      <c r="O647" s="233">
        <v>28548</v>
      </c>
      <c r="P647" s="233">
        <v>5059602</v>
      </c>
      <c r="Q647" s="233">
        <v>10439</v>
      </c>
      <c r="R647" s="233">
        <v>9079547</v>
      </c>
      <c r="S647" s="233">
        <v>35106</v>
      </c>
      <c r="T647" s="233">
        <v>12930</v>
      </c>
      <c r="U647" s="233">
        <v>22176</v>
      </c>
      <c r="V647" s="233">
        <v>8166658</v>
      </c>
      <c r="W647" s="233">
        <v>3995281</v>
      </c>
      <c r="X647" s="233">
        <v>50605</v>
      </c>
      <c r="Y647" s="233">
        <v>26493</v>
      </c>
      <c r="Z647" s="233">
        <v>4958774</v>
      </c>
      <c r="AA647" s="233">
        <v>2507</v>
      </c>
      <c r="AB647" s="233">
        <v>428854</v>
      </c>
      <c r="AC647" s="233">
        <v>2494</v>
      </c>
      <c r="AD647" s="233">
        <v>2349</v>
      </c>
      <c r="AE647" s="233">
        <v>145</v>
      </c>
      <c r="AF647" s="233">
        <v>424951</v>
      </c>
      <c r="AG647" s="233">
        <v>90794</v>
      </c>
      <c r="AH647" s="233">
        <v>6131</v>
      </c>
      <c r="AI647" s="233">
        <v>2055</v>
      </c>
      <c r="AJ647" s="233">
        <v>100828</v>
      </c>
    </row>
    <row r="648" spans="1:36">
      <c r="A648" s="240">
        <v>1</v>
      </c>
      <c r="B648" s="241" t="s">
        <v>3997</v>
      </c>
      <c r="C648" s="241" t="s">
        <v>3432</v>
      </c>
      <c r="D648" s="241" t="s">
        <v>5272</v>
      </c>
      <c r="E648" s="241">
        <v>6</v>
      </c>
      <c r="F648" s="242" t="s">
        <v>5273</v>
      </c>
      <c r="G648" s="233">
        <v>4878</v>
      </c>
      <c r="H648" s="233">
        <v>1072775</v>
      </c>
      <c r="I648" s="233">
        <v>11240</v>
      </c>
      <c r="J648" s="233">
        <v>3027</v>
      </c>
      <c r="K648" s="233">
        <v>8213</v>
      </c>
      <c r="L648" s="233">
        <v>986142</v>
      </c>
      <c r="M648" s="233">
        <v>288143</v>
      </c>
      <c r="N648" s="233">
        <v>7440</v>
      </c>
      <c r="O648" s="233">
        <v>7900</v>
      </c>
      <c r="P648" s="233">
        <v>382216</v>
      </c>
      <c r="Q648" s="233">
        <v>2500</v>
      </c>
      <c r="R648" s="233">
        <v>667966</v>
      </c>
      <c r="S648" s="233">
        <v>8748</v>
      </c>
      <c r="T648" s="233">
        <v>678</v>
      </c>
      <c r="U648" s="233">
        <v>8070</v>
      </c>
      <c r="V648" s="233">
        <v>584472</v>
      </c>
      <c r="W648" s="233">
        <v>205858</v>
      </c>
      <c r="X648" s="233">
        <v>2328</v>
      </c>
      <c r="Y648" s="233">
        <v>5845</v>
      </c>
      <c r="Z648" s="233">
        <v>291680</v>
      </c>
      <c r="AA648" s="233">
        <v>2378</v>
      </c>
      <c r="AB648" s="233">
        <v>404809</v>
      </c>
      <c r="AC648" s="233">
        <v>2492</v>
      </c>
      <c r="AD648" s="233">
        <v>2349</v>
      </c>
      <c r="AE648" s="233">
        <v>143</v>
      </c>
      <c r="AF648" s="233">
        <v>401671</v>
      </c>
      <c r="AG648" s="233">
        <v>82286</v>
      </c>
      <c r="AH648" s="233">
        <v>5112</v>
      </c>
      <c r="AI648" s="233">
        <v>2055</v>
      </c>
      <c r="AJ648" s="233">
        <v>90536</v>
      </c>
    </row>
    <row r="649" spans="1:36">
      <c r="A649" s="240">
        <v>1</v>
      </c>
      <c r="B649" s="241" t="s">
        <v>3997</v>
      </c>
      <c r="C649" s="241" t="s">
        <v>3432</v>
      </c>
      <c r="D649" s="241" t="s">
        <v>5274</v>
      </c>
      <c r="E649" s="241">
        <v>6</v>
      </c>
      <c r="F649" s="242" t="s">
        <v>5275</v>
      </c>
      <c r="G649" s="233">
        <v>8068</v>
      </c>
      <c r="H649" s="233">
        <v>8435626</v>
      </c>
      <c r="I649" s="233">
        <v>26360</v>
      </c>
      <c r="J649" s="233">
        <v>12252</v>
      </c>
      <c r="K649" s="233">
        <v>14108</v>
      </c>
      <c r="L649" s="233">
        <v>7605467</v>
      </c>
      <c r="M649" s="233">
        <v>3797931</v>
      </c>
      <c r="N649" s="233">
        <v>49295</v>
      </c>
      <c r="O649" s="233">
        <v>20648</v>
      </c>
      <c r="P649" s="233">
        <v>4677386</v>
      </c>
      <c r="Q649" s="233">
        <v>7939</v>
      </c>
      <c r="R649" s="233">
        <v>8411581</v>
      </c>
      <c r="S649" s="233">
        <v>26358</v>
      </c>
      <c r="T649" s="233">
        <v>12252</v>
      </c>
      <c r="U649" s="233">
        <v>14106</v>
      </c>
      <c r="V649" s="233">
        <v>7582187</v>
      </c>
      <c r="W649" s="233">
        <v>3789423</v>
      </c>
      <c r="X649" s="233">
        <v>48276</v>
      </c>
      <c r="Y649" s="233">
        <v>20648</v>
      </c>
      <c r="Z649" s="233">
        <v>4667094</v>
      </c>
      <c r="AA649" s="233">
        <v>129</v>
      </c>
      <c r="AB649" s="233">
        <v>24045</v>
      </c>
      <c r="AC649" s="233">
        <v>2</v>
      </c>
      <c r="AD649" s="233">
        <v>0</v>
      </c>
      <c r="AE649" s="233">
        <v>2</v>
      </c>
      <c r="AF649" s="233">
        <v>23280</v>
      </c>
      <c r="AG649" s="233">
        <v>8508</v>
      </c>
      <c r="AH649" s="233">
        <v>1019</v>
      </c>
      <c r="AI649" s="233">
        <v>0</v>
      </c>
      <c r="AJ649" s="233">
        <v>10292</v>
      </c>
    </row>
    <row r="650" spans="1:36">
      <c r="A650" s="240">
        <v>1</v>
      </c>
      <c r="B650" s="241" t="s">
        <v>3997</v>
      </c>
      <c r="C650" s="241" t="s">
        <v>3172</v>
      </c>
      <c r="D650" s="241" t="s">
        <v>5276</v>
      </c>
      <c r="E650" s="241">
        <v>5</v>
      </c>
      <c r="F650" s="242" t="s">
        <v>5277</v>
      </c>
      <c r="G650" s="233">
        <v>48577</v>
      </c>
      <c r="H650" s="233">
        <v>21625402</v>
      </c>
      <c r="I650" s="233">
        <v>491911</v>
      </c>
      <c r="J650" s="233">
        <v>303773</v>
      </c>
      <c r="K650" s="233">
        <v>188138</v>
      </c>
      <c r="L650" s="233">
        <v>19484242</v>
      </c>
      <c r="M650" s="233">
        <v>6136977</v>
      </c>
      <c r="N650" s="233">
        <v>135128</v>
      </c>
      <c r="O650" s="233">
        <v>315209</v>
      </c>
      <c r="P650" s="233">
        <v>8413265</v>
      </c>
      <c r="Q650" s="233">
        <v>45025</v>
      </c>
      <c r="R650" s="233">
        <v>20213640</v>
      </c>
      <c r="S650" s="233">
        <v>464677</v>
      </c>
      <c r="T650" s="233">
        <v>286704</v>
      </c>
      <c r="U650" s="233">
        <v>177973</v>
      </c>
      <c r="V650" s="233">
        <v>18159762</v>
      </c>
      <c r="W650" s="233">
        <v>6001078</v>
      </c>
      <c r="X650" s="233">
        <v>122562</v>
      </c>
      <c r="Y650" s="233">
        <v>305919</v>
      </c>
      <c r="Z650" s="233">
        <v>8177519</v>
      </c>
      <c r="AA650" s="233">
        <v>3552</v>
      </c>
      <c r="AB650" s="233">
        <v>1411762</v>
      </c>
      <c r="AC650" s="233">
        <v>27235</v>
      </c>
      <c r="AD650" s="233">
        <v>17069</v>
      </c>
      <c r="AE650" s="233">
        <v>10166</v>
      </c>
      <c r="AF650" s="233">
        <v>1324480</v>
      </c>
      <c r="AG650" s="233">
        <v>135899</v>
      </c>
      <c r="AH650" s="233">
        <v>12566</v>
      </c>
      <c r="AI650" s="233">
        <v>9290</v>
      </c>
      <c r="AJ650" s="233">
        <v>235747</v>
      </c>
    </row>
    <row r="651" spans="1:36">
      <c r="A651" s="240">
        <v>1</v>
      </c>
      <c r="B651" s="241" t="s">
        <v>3997</v>
      </c>
      <c r="C651" s="241" t="s">
        <v>3432</v>
      </c>
      <c r="D651" s="241" t="s">
        <v>5278</v>
      </c>
      <c r="E651" s="241">
        <v>6</v>
      </c>
      <c r="F651" s="242" t="s">
        <v>5279</v>
      </c>
      <c r="G651" s="233">
        <v>896</v>
      </c>
      <c r="H651" s="233">
        <v>101611</v>
      </c>
      <c r="I651" s="233">
        <v>1667</v>
      </c>
      <c r="J651" s="233">
        <v>522</v>
      </c>
      <c r="K651" s="233">
        <v>1144</v>
      </c>
      <c r="L651" s="233">
        <v>91668</v>
      </c>
      <c r="M651" s="233">
        <v>32231</v>
      </c>
      <c r="N651" s="233">
        <v>1123</v>
      </c>
      <c r="O651" s="233">
        <v>759</v>
      </c>
      <c r="P651" s="233">
        <v>43297</v>
      </c>
      <c r="Q651" s="233">
        <v>880</v>
      </c>
      <c r="R651" s="233">
        <v>100369</v>
      </c>
      <c r="S651" s="233">
        <v>1609</v>
      </c>
      <c r="T651" s="233">
        <v>511</v>
      </c>
      <c r="U651" s="233">
        <v>1098</v>
      </c>
      <c r="V651" s="233">
        <v>90503</v>
      </c>
      <c r="W651" s="233">
        <v>31768</v>
      </c>
      <c r="X651" s="233">
        <v>1082</v>
      </c>
      <c r="Y651" s="233">
        <v>742</v>
      </c>
      <c r="Z651" s="233">
        <v>42715</v>
      </c>
      <c r="AA651" s="233">
        <v>16</v>
      </c>
      <c r="AB651" s="233">
        <v>1242</v>
      </c>
      <c r="AC651" s="233">
        <v>58</v>
      </c>
      <c r="AD651" s="233">
        <v>12</v>
      </c>
      <c r="AE651" s="233">
        <v>47</v>
      </c>
      <c r="AF651" s="233">
        <v>1165</v>
      </c>
      <c r="AG651" s="233">
        <v>463</v>
      </c>
      <c r="AH651" s="233">
        <v>41</v>
      </c>
      <c r="AI651" s="233">
        <v>16</v>
      </c>
      <c r="AJ651" s="233">
        <v>582</v>
      </c>
    </row>
    <row r="652" spans="1:36">
      <c r="A652" s="240">
        <v>1</v>
      </c>
      <c r="B652" s="241" t="s">
        <v>3997</v>
      </c>
      <c r="C652" s="241" t="s">
        <v>3432</v>
      </c>
      <c r="D652" s="241" t="s">
        <v>5280</v>
      </c>
      <c r="E652" s="241">
        <v>6</v>
      </c>
      <c r="F652" s="242" t="s">
        <v>5281</v>
      </c>
      <c r="G652" s="233">
        <v>15777</v>
      </c>
      <c r="H652" s="233">
        <v>6868563</v>
      </c>
      <c r="I652" s="233">
        <v>159330</v>
      </c>
      <c r="J652" s="233">
        <v>121207</v>
      </c>
      <c r="K652" s="233">
        <v>38124</v>
      </c>
      <c r="L652" s="233">
        <v>6331492</v>
      </c>
      <c r="M652" s="233">
        <v>2020890</v>
      </c>
      <c r="N652" s="233">
        <v>42993</v>
      </c>
      <c r="O652" s="233">
        <v>136470</v>
      </c>
      <c r="P652" s="233">
        <v>2600955</v>
      </c>
      <c r="Q652" s="233">
        <v>15512</v>
      </c>
      <c r="R652" s="233">
        <v>6827385</v>
      </c>
      <c r="S652" s="233">
        <v>158959</v>
      </c>
      <c r="T652" s="233">
        <v>121047</v>
      </c>
      <c r="U652" s="233">
        <v>37912</v>
      </c>
      <c r="V652" s="233">
        <v>6291957</v>
      </c>
      <c r="W652" s="233">
        <v>2015324</v>
      </c>
      <c r="X652" s="233">
        <v>42679</v>
      </c>
      <c r="Y652" s="233">
        <v>136220</v>
      </c>
      <c r="Z652" s="233">
        <v>2593431</v>
      </c>
      <c r="AA652" s="233">
        <v>265</v>
      </c>
      <c r="AB652" s="233">
        <v>41178</v>
      </c>
      <c r="AC652" s="233">
        <v>371</v>
      </c>
      <c r="AD652" s="233">
        <v>160</v>
      </c>
      <c r="AE652" s="233">
        <v>211</v>
      </c>
      <c r="AF652" s="233">
        <v>39535</v>
      </c>
      <c r="AG652" s="233">
        <v>5566</v>
      </c>
      <c r="AH652" s="233">
        <v>315</v>
      </c>
      <c r="AI652" s="233">
        <v>250</v>
      </c>
      <c r="AJ652" s="233">
        <v>7524</v>
      </c>
    </row>
    <row r="653" spans="1:36">
      <c r="A653" s="240">
        <v>1</v>
      </c>
      <c r="B653" s="241" t="s">
        <v>3997</v>
      </c>
      <c r="C653" s="241" t="s">
        <v>4455</v>
      </c>
      <c r="D653" s="241" t="s">
        <v>5282</v>
      </c>
      <c r="E653" s="241">
        <v>7</v>
      </c>
      <c r="F653" s="242" t="s">
        <v>5283</v>
      </c>
      <c r="G653" s="233">
        <v>6387</v>
      </c>
      <c r="H653" s="233">
        <v>5247163</v>
      </c>
      <c r="I653" s="233">
        <v>137211</v>
      </c>
      <c r="J653" s="233">
        <v>111529</v>
      </c>
      <c r="K653" s="233">
        <v>25681</v>
      </c>
      <c r="L653" s="233">
        <v>4828042</v>
      </c>
      <c r="M653" s="233">
        <v>1509402</v>
      </c>
      <c r="N653" s="233">
        <v>26668</v>
      </c>
      <c r="O653" s="233">
        <v>107469</v>
      </c>
      <c r="P653" s="233">
        <v>1955191</v>
      </c>
      <c r="Q653" s="233">
        <v>6294</v>
      </c>
      <c r="R653" s="233">
        <v>5219041</v>
      </c>
      <c r="S653" s="233">
        <v>137012</v>
      </c>
      <c r="T653" s="233">
        <v>111521</v>
      </c>
      <c r="U653" s="233">
        <v>25491</v>
      </c>
      <c r="V653" s="233">
        <v>4801448</v>
      </c>
      <c r="W653" s="233">
        <v>1507079</v>
      </c>
      <c r="X653" s="233">
        <v>26485</v>
      </c>
      <c r="Y653" s="233">
        <v>107344</v>
      </c>
      <c r="Z653" s="233">
        <v>1951158</v>
      </c>
      <c r="AA653" s="233">
        <v>93</v>
      </c>
      <c r="AB653" s="233">
        <v>28122</v>
      </c>
      <c r="AC653" s="233">
        <v>198</v>
      </c>
      <c r="AD653" s="233">
        <v>8</v>
      </c>
      <c r="AE653" s="233">
        <v>190</v>
      </c>
      <c r="AF653" s="233">
        <v>26595</v>
      </c>
      <c r="AG653" s="233">
        <v>2322</v>
      </c>
      <c r="AH653" s="233">
        <v>183</v>
      </c>
      <c r="AI653" s="233">
        <v>125</v>
      </c>
      <c r="AJ653" s="233">
        <v>4033</v>
      </c>
    </row>
    <row r="654" spans="1:36">
      <c r="A654" s="240">
        <v>1</v>
      </c>
      <c r="B654" s="241" t="s">
        <v>3997</v>
      </c>
      <c r="C654" s="241" t="s">
        <v>4455</v>
      </c>
      <c r="D654" s="241" t="s">
        <v>5284</v>
      </c>
      <c r="E654" s="241">
        <v>7</v>
      </c>
      <c r="F654" s="242" t="s">
        <v>5285</v>
      </c>
      <c r="G654" s="233">
        <v>9390</v>
      </c>
      <c r="H654" s="233">
        <v>1621400</v>
      </c>
      <c r="I654" s="233">
        <v>22120</v>
      </c>
      <c r="J654" s="233">
        <v>9678</v>
      </c>
      <c r="K654" s="233">
        <v>12442</v>
      </c>
      <c r="L654" s="233">
        <v>1503449</v>
      </c>
      <c r="M654" s="233">
        <v>511488</v>
      </c>
      <c r="N654" s="233">
        <v>16326</v>
      </c>
      <c r="O654" s="233">
        <v>29001</v>
      </c>
      <c r="P654" s="233">
        <v>645764</v>
      </c>
      <c r="Q654" s="233">
        <v>9218</v>
      </c>
      <c r="R654" s="233">
        <v>1608344</v>
      </c>
      <c r="S654" s="233">
        <v>21947</v>
      </c>
      <c r="T654" s="233">
        <v>9526</v>
      </c>
      <c r="U654" s="233">
        <v>12421</v>
      </c>
      <c r="V654" s="233">
        <v>1490509</v>
      </c>
      <c r="W654" s="233">
        <v>508244</v>
      </c>
      <c r="X654" s="233">
        <v>16194</v>
      </c>
      <c r="Y654" s="233">
        <v>28876</v>
      </c>
      <c r="Z654" s="233">
        <v>642273</v>
      </c>
      <c r="AA654" s="233">
        <v>172</v>
      </c>
      <c r="AB654" s="233">
        <v>13056</v>
      </c>
      <c r="AC654" s="233">
        <v>173</v>
      </c>
      <c r="AD654" s="233">
        <v>151</v>
      </c>
      <c r="AE654" s="233">
        <v>21</v>
      </c>
      <c r="AF654" s="233">
        <v>12940</v>
      </c>
      <c r="AG654" s="233">
        <v>3244</v>
      </c>
      <c r="AH654" s="233">
        <v>131</v>
      </c>
      <c r="AI654" s="233">
        <v>125</v>
      </c>
      <c r="AJ654" s="233">
        <v>3491</v>
      </c>
    </row>
    <row r="655" spans="1:36">
      <c r="A655" s="240">
        <v>1</v>
      </c>
      <c r="B655" s="241" t="s">
        <v>3997</v>
      </c>
      <c r="C655" s="241" t="s">
        <v>3432</v>
      </c>
      <c r="D655" s="241" t="s">
        <v>5286</v>
      </c>
      <c r="E655" s="241">
        <v>6</v>
      </c>
      <c r="F655" s="242" t="s">
        <v>5287</v>
      </c>
      <c r="G655" s="233">
        <v>4355</v>
      </c>
      <c r="H655" s="233">
        <v>2886096</v>
      </c>
      <c r="I655" s="233">
        <v>100874</v>
      </c>
      <c r="J655" s="233">
        <v>34707</v>
      </c>
      <c r="K655" s="233">
        <v>66168</v>
      </c>
      <c r="L655" s="233">
        <v>2553247</v>
      </c>
      <c r="M655" s="233">
        <v>1124576</v>
      </c>
      <c r="N655" s="233">
        <v>20103</v>
      </c>
      <c r="O655" s="233">
        <v>73238</v>
      </c>
      <c r="P655" s="233">
        <v>1477527</v>
      </c>
      <c r="Q655" s="233">
        <v>4311</v>
      </c>
      <c r="R655" s="233">
        <v>2878375</v>
      </c>
      <c r="S655" s="233">
        <v>100873</v>
      </c>
      <c r="T655" s="233">
        <v>34706</v>
      </c>
      <c r="U655" s="233">
        <v>66167</v>
      </c>
      <c r="V655" s="233">
        <v>2546906</v>
      </c>
      <c r="W655" s="233">
        <v>1122598</v>
      </c>
      <c r="X655" s="233">
        <v>20069</v>
      </c>
      <c r="Y655" s="233">
        <v>73238</v>
      </c>
      <c r="Z655" s="233">
        <v>1474137</v>
      </c>
      <c r="AA655" s="233">
        <v>44</v>
      </c>
      <c r="AB655" s="233">
        <v>7721</v>
      </c>
      <c r="AC655" s="233">
        <v>2</v>
      </c>
      <c r="AD655" s="233">
        <v>1</v>
      </c>
      <c r="AE655" s="233">
        <v>1</v>
      </c>
      <c r="AF655" s="233">
        <v>6341</v>
      </c>
      <c r="AG655" s="233">
        <v>1977</v>
      </c>
      <c r="AH655" s="233">
        <v>34</v>
      </c>
      <c r="AI655" s="233">
        <v>0</v>
      </c>
      <c r="AJ655" s="233">
        <v>3391</v>
      </c>
    </row>
    <row r="656" spans="1:36">
      <c r="A656" s="240">
        <v>1</v>
      </c>
      <c r="B656" s="241" t="s">
        <v>3997</v>
      </c>
      <c r="C656" s="241" t="s">
        <v>3432</v>
      </c>
      <c r="D656" s="241" t="s">
        <v>5288</v>
      </c>
      <c r="E656" s="241">
        <v>6</v>
      </c>
      <c r="F656" s="242" t="s">
        <v>5289</v>
      </c>
      <c r="G656" s="233">
        <v>27548</v>
      </c>
      <c r="H656" s="233">
        <v>11768892</v>
      </c>
      <c r="I656" s="233">
        <v>230040</v>
      </c>
      <c r="J656" s="233">
        <v>147337</v>
      </c>
      <c r="K656" s="233">
        <v>82703</v>
      </c>
      <c r="L656" s="233">
        <v>10507623</v>
      </c>
      <c r="M656" s="233">
        <v>2959173</v>
      </c>
      <c r="N656" s="233">
        <v>70909</v>
      </c>
      <c r="O656" s="233">
        <v>104742</v>
      </c>
      <c r="P656" s="233">
        <v>4291350</v>
      </c>
      <c r="Q656" s="233">
        <v>24321</v>
      </c>
      <c r="R656" s="233">
        <v>10407271</v>
      </c>
      <c r="S656" s="233">
        <v>203236</v>
      </c>
      <c r="T656" s="233">
        <v>130440</v>
      </c>
      <c r="U656" s="233">
        <v>72796</v>
      </c>
      <c r="V656" s="233">
        <v>9230184</v>
      </c>
      <c r="W656" s="233">
        <v>2831281</v>
      </c>
      <c r="X656" s="233">
        <v>58732</v>
      </c>
      <c r="Y656" s="233">
        <v>95718</v>
      </c>
      <c r="Z656" s="233">
        <v>4067101</v>
      </c>
      <c r="AA656" s="233">
        <v>3227</v>
      </c>
      <c r="AB656" s="233">
        <v>1361621</v>
      </c>
      <c r="AC656" s="233">
        <v>26804</v>
      </c>
      <c r="AD656" s="233">
        <v>16897</v>
      </c>
      <c r="AE656" s="233">
        <v>9907</v>
      </c>
      <c r="AF656" s="233">
        <v>1277439</v>
      </c>
      <c r="AG656" s="233">
        <v>127892</v>
      </c>
      <c r="AH656" s="233">
        <v>12177</v>
      </c>
      <c r="AI656" s="233">
        <v>9024</v>
      </c>
      <c r="AJ656" s="233">
        <v>224249</v>
      </c>
    </row>
    <row r="657" spans="1:36">
      <c r="A657" s="240">
        <v>1</v>
      </c>
      <c r="B657" s="241" t="s">
        <v>3997</v>
      </c>
      <c r="C657" s="241" t="s">
        <v>3172</v>
      </c>
      <c r="D657" s="241" t="s">
        <v>5290</v>
      </c>
      <c r="E657" s="241">
        <v>5</v>
      </c>
      <c r="F657" s="242" t="s">
        <v>5291</v>
      </c>
      <c r="G657" s="233">
        <v>1223</v>
      </c>
      <c r="H657" s="233">
        <v>564682</v>
      </c>
      <c r="I657" s="233">
        <v>7000</v>
      </c>
      <c r="J657" s="233">
        <v>6085</v>
      </c>
      <c r="K657" s="233">
        <v>915</v>
      </c>
      <c r="L657" s="233">
        <v>582727</v>
      </c>
      <c r="M657" s="233">
        <v>82259</v>
      </c>
      <c r="N657" s="233">
        <v>8353</v>
      </c>
      <c r="O657" s="233">
        <v>7357</v>
      </c>
      <c r="P657" s="233">
        <v>72567</v>
      </c>
      <c r="Q657" s="233">
        <v>312</v>
      </c>
      <c r="R657" s="233">
        <v>161091</v>
      </c>
      <c r="S657" s="233">
        <v>6281</v>
      </c>
      <c r="T657" s="233">
        <v>5899</v>
      </c>
      <c r="U657" s="233">
        <v>382</v>
      </c>
      <c r="V657" s="233">
        <v>160969</v>
      </c>
      <c r="W657" s="233">
        <v>23155</v>
      </c>
      <c r="X657" s="233">
        <v>3136</v>
      </c>
      <c r="Y657" s="233">
        <v>7060</v>
      </c>
      <c r="Z657" s="233">
        <v>26413</v>
      </c>
      <c r="AA657" s="233">
        <v>911</v>
      </c>
      <c r="AB657" s="233">
        <v>403591</v>
      </c>
      <c r="AC657" s="233">
        <v>719</v>
      </c>
      <c r="AD657" s="233">
        <v>186</v>
      </c>
      <c r="AE657" s="233">
        <v>532</v>
      </c>
      <c r="AF657" s="233">
        <v>421758</v>
      </c>
      <c r="AG657" s="233">
        <v>59104</v>
      </c>
      <c r="AH657" s="233">
        <v>5217</v>
      </c>
      <c r="AI657" s="233">
        <v>298</v>
      </c>
      <c r="AJ657" s="233">
        <v>46154</v>
      </c>
    </row>
    <row r="658" spans="1:36">
      <c r="A658" s="240">
        <v>1</v>
      </c>
      <c r="B658" s="241" t="s">
        <v>3997</v>
      </c>
      <c r="C658" s="241" t="s">
        <v>3432</v>
      </c>
      <c r="D658" s="241" t="s">
        <v>5292</v>
      </c>
      <c r="E658" s="241">
        <v>6</v>
      </c>
      <c r="F658" s="242" t="s">
        <v>5293</v>
      </c>
      <c r="G658" s="233">
        <v>1008</v>
      </c>
      <c r="H658" s="233">
        <v>224035</v>
      </c>
      <c r="I658" s="233">
        <v>972</v>
      </c>
      <c r="J658" s="233">
        <v>176</v>
      </c>
      <c r="K658" s="233">
        <v>796</v>
      </c>
      <c r="L658" s="233">
        <v>221066</v>
      </c>
      <c r="M658" s="233">
        <v>60040</v>
      </c>
      <c r="N658" s="233">
        <v>7084</v>
      </c>
      <c r="O658" s="233">
        <v>512</v>
      </c>
      <c r="P658" s="233">
        <v>70092</v>
      </c>
      <c r="Q658" s="233">
        <v>207</v>
      </c>
      <c r="R658" s="233">
        <v>78862</v>
      </c>
      <c r="S658" s="233">
        <v>426</v>
      </c>
      <c r="T658" s="233">
        <v>89</v>
      </c>
      <c r="U658" s="233">
        <v>337</v>
      </c>
      <c r="V658" s="233">
        <v>78310</v>
      </c>
      <c r="W658" s="233">
        <v>14814</v>
      </c>
      <c r="X658" s="233">
        <v>2503</v>
      </c>
      <c r="Y658" s="233">
        <v>267</v>
      </c>
      <c r="Z658" s="233">
        <v>17869</v>
      </c>
      <c r="AA658" s="233">
        <v>801</v>
      </c>
      <c r="AB658" s="233">
        <v>145173</v>
      </c>
      <c r="AC658" s="233">
        <v>546</v>
      </c>
      <c r="AD658" s="233">
        <v>86</v>
      </c>
      <c r="AE658" s="233">
        <v>459</v>
      </c>
      <c r="AF658" s="233">
        <v>142757</v>
      </c>
      <c r="AG658" s="233">
        <v>45226</v>
      </c>
      <c r="AH658" s="233">
        <v>4581</v>
      </c>
      <c r="AI658" s="233">
        <v>245</v>
      </c>
      <c r="AJ658" s="233">
        <v>52223</v>
      </c>
    </row>
    <row r="659" spans="1:36">
      <c r="A659" s="240">
        <v>1</v>
      </c>
      <c r="B659" s="241" t="s">
        <v>3997</v>
      </c>
      <c r="C659" s="241" t="s">
        <v>3432</v>
      </c>
      <c r="D659" s="241" t="s">
        <v>5294</v>
      </c>
      <c r="E659" s="241">
        <v>6</v>
      </c>
      <c r="F659" s="242" t="s">
        <v>5295</v>
      </c>
      <c r="G659" s="233">
        <v>70</v>
      </c>
      <c r="H659" s="233">
        <v>56483</v>
      </c>
      <c r="I659" s="233">
        <v>5244</v>
      </c>
      <c r="J659" s="233">
        <v>5230</v>
      </c>
      <c r="K659" s="233">
        <v>14</v>
      </c>
      <c r="L659" s="233">
        <v>57381</v>
      </c>
      <c r="M659" s="233">
        <v>8372</v>
      </c>
      <c r="N659" s="233">
        <v>658</v>
      </c>
      <c r="O659" s="233">
        <v>6756</v>
      </c>
      <c r="P659" s="233">
        <v>8132</v>
      </c>
      <c r="Q659" s="233">
        <v>37</v>
      </c>
      <c r="R659" s="233">
        <v>44328</v>
      </c>
      <c r="S659" s="233">
        <v>5195</v>
      </c>
      <c r="T659" s="233">
        <v>5181</v>
      </c>
      <c r="U659" s="233">
        <v>14</v>
      </c>
      <c r="V659" s="233">
        <v>44932</v>
      </c>
      <c r="W659" s="233">
        <v>5326</v>
      </c>
      <c r="X659" s="233">
        <v>340</v>
      </c>
      <c r="Y659" s="233">
        <v>6756</v>
      </c>
      <c r="Z659" s="233">
        <v>5062</v>
      </c>
      <c r="AA659" s="233">
        <v>33</v>
      </c>
      <c r="AB659" s="233">
        <v>12154</v>
      </c>
      <c r="AC659" s="233">
        <v>49</v>
      </c>
      <c r="AD659" s="233">
        <v>49</v>
      </c>
      <c r="AE659" s="233">
        <v>0</v>
      </c>
      <c r="AF659" s="233">
        <v>12449</v>
      </c>
      <c r="AG659" s="233">
        <v>3046</v>
      </c>
      <c r="AH659" s="233">
        <v>318</v>
      </c>
      <c r="AI659" s="233">
        <v>0</v>
      </c>
      <c r="AJ659" s="233">
        <v>3070</v>
      </c>
    </row>
    <row r="660" spans="1:36" ht="12.5" thickBot="1">
      <c r="A660" s="243">
        <v>1</v>
      </c>
      <c r="B660" s="244" t="s">
        <v>3997</v>
      </c>
      <c r="C660" s="244" t="s">
        <v>3432</v>
      </c>
      <c r="D660" s="244" t="s">
        <v>5296</v>
      </c>
      <c r="E660" s="244">
        <v>6</v>
      </c>
      <c r="F660" s="245" t="s">
        <v>5297</v>
      </c>
      <c r="G660" s="233">
        <v>126</v>
      </c>
      <c r="H660" s="233">
        <v>282079</v>
      </c>
      <c r="I660" s="233">
        <v>784</v>
      </c>
      <c r="J660" s="233">
        <v>679</v>
      </c>
      <c r="K660" s="233">
        <v>105</v>
      </c>
      <c r="L660" s="233">
        <v>302324</v>
      </c>
      <c r="M660" s="233">
        <v>13066</v>
      </c>
      <c r="N660" s="233">
        <v>597</v>
      </c>
      <c r="O660" s="233">
        <v>89</v>
      </c>
      <c r="P660" s="233">
        <v>6583</v>
      </c>
      <c r="Q660" s="233">
        <v>54</v>
      </c>
      <c r="R660" s="233">
        <v>36313</v>
      </c>
      <c r="S660" s="233">
        <v>660</v>
      </c>
      <c r="T660" s="233">
        <v>629</v>
      </c>
      <c r="U660" s="233">
        <v>31</v>
      </c>
      <c r="V660" s="233">
        <v>36251</v>
      </c>
      <c r="W660" s="233">
        <v>2285</v>
      </c>
      <c r="X660" s="233">
        <v>279</v>
      </c>
      <c r="Y660" s="233">
        <v>36</v>
      </c>
      <c r="Z660" s="233">
        <v>2626</v>
      </c>
      <c r="AA660" s="233">
        <v>72</v>
      </c>
      <c r="AB660" s="233">
        <v>245767</v>
      </c>
      <c r="AC660" s="233">
        <v>124</v>
      </c>
      <c r="AD660" s="233">
        <v>51</v>
      </c>
      <c r="AE660" s="233">
        <v>73</v>
      </c>
      <c r="AF660" s="233">
        <v>266073</v>
      </c>
      <c r="AG660" s="233">
        <v>10781</v>
      </c>
      <c r="AH660" s="233">
        <v>317</v>
      </c>
      <c r="AI660" s="233">
        <v>53</v>
      </c>
      <c r="AJ660" s="233">
        <v>9209</v>
      </c>
    </row>
    <row r="662" spans="1:36">
      <c r="D662" s="274" t="s">
        <v>5299</v>
      </c>
      <c r="E662" s="274"/>
      <c r="F662" s="274"/>
      <c r="G662" s="275">
        <f>G241+G387+G442+SUM(G540:G549)+G591</f>
        <v>21422</v>
      </c>
      <c r="H662" s="275">
        <f t="shared" ref="H662:AJ662" si="0">H241+H387+H442+SUM(H540:H549)+H591</f>
        <v>9592907</v>
      </c>
      <c r="I662" s="275">
        <f t="shared" si="0"/>
        <v>1592158</v>
      </c>
      <c r="J662" s="275">
        <f t="shared" si="0"/>
        <v>124271</v>
      </c>
      <c r="K662" s="275">
        <f t="shared" si="0"/>
        <v>1467889</v>
      </c>
      <c r="L662" s="275">
        <f t="shared" si="0"/>
        <v>9085944</v>
      </c>
      <c r="M662" s="275">
        <f t="shared" si="0"/>
        <v>1515432</v>
      </c>
      <c r="N662" s="275">
        <f t="shared" si="0"/>
        <v>117384</v>
      </c>
      <c r="O662" s="275">
        <f t="shared" si="0"/>
        <v>983292</v>
      </c>
      <c r="P662" s="275">
        <f t="shared" si="0"/>
        <v>2139780</v>
      </c>
      <c r="Q662" s="275">
        <f t="shared" si="0"/>
        <v>18534</v>
      </c>
      <c r="R662" s="275">
        <f t="shared" si="0"/>
        <v>5997578</v>
      </c>
      <c r="S662" s="275">
        <f t="shared" si="0"/>
        <v>1591120</v>
      </c>
      <c r="T662" s="275">
        <f t="shared" si="0"/>
        <v>124230</v>
      </c>
      <c r="U662" s="275">
        <f t="shared" si="0"/>
        <v>1466890</v>
      </c>
      <c r="V662" s="275">
        <f t="shared" si="0"/>
        <v>5587196</v>
      </c>
      <c r="W662" s="275">
        <f t="shared" si="0"/>
        <v>1364050</v>
      </c>
      <c r="X662" s="275">
        <f t="shared" si="0"/>
        <v>94672</v>
      </c>
      <c r="Y662" s="275">
        <f t="shared" si="0"/>
        <v>982810</v>
      </c>
      <c r="Z662" s="275">
        <f t="shared" si="0"/>
        <v>1869101</v>
      </c>
      <c r="AA662" s="275">
        <f t="shared" si="0"/>
        <v>2888</v>
      </c>
      <c r="AB662" s="275">
        <f t="shared" si="0"/>
        <v>3595327</v>
      </c>
      <c r="AC662" s="275">
        <f t="shared" si="0"/>
        <v>1040</v>
      </c>
      <c r="AD662" s="275">
        <f t="shared" si="0"/>
        <v>41</v>
      </c>
      <c r="AE662" s="275">
        <f t="shared" si="0"/>
        <v>998</v>
      </c>
      <c r="AF662" s="275">
        <f t="shared" si="0"/>
        <v>3498742</v>
      </c>
      <c r="AG662" s="275">
        <f t="shared" si="0"/>
        <v>151381</v>
      </c>
      <c r="AH662" s="275">
        <f t="shared" si="0"/>
        <v>22711</v>
      </c>
      <c r="AI662" s="275">
        <f t="shared" si="0"/>
        <v>483</v>
      </c>
      <c r="AJ662" s="275">
        <f t="shared" si="0"/>
        <v>270677</v>
      </c>
    </row>
    <row r="663" spans="1:36">
      <c r="G663" s="272">
        <f>G662/G12*100</f>
        <v>1.0821356190430005</v>
      </c>
      <c r="H663" s="272">
        <f t="shared" ref="H663:AJ663" si="1">H662/H12*100</f>
        <v>0.56790217317637404</v>
      </c>
      <c r="I663" s="272">
        <f t="shared" si="1"/>
        <v>0.32889818685991307</v>
      </c>
      <c r="J663" s="272">
        <f t="shared" si="1"/>
        <v>3.712702932223589E-2</v>
      </c>
      <c r="K663" s="272">
        <f t="shared" si="1"/>
        <v>0.98272005157447739</v>
      </c>
      <c r="L663" s="272">
        <f t="shared" si="1"/>
        <v>0.57590535194417625</v>
      </c>
      <c r="M663" s="272">
        <f t="shared" si="1"/>
        <v>0.77017067646371118</v>
      </c>
      <c r="N663" s="272">
        <f t="shared" si="1"/>
        <v>0.96996050879793116</v>
      </c>
      <c r="O663" s="272">
        <f t="shared" si="1"/>
        <v>0.25484928775251897</v>
      </c>
      <c r="P663" s="272">
        <f t="shared" si="1"/>
        <v>0.66790772727613668</v>
      </c>
      <c r="Q663" s="272">
        <f t="shared" si="1"/>
        <v>1.0214772565063097</v>
      </c>
      <c r="R663" s="272">
        <f t="shared" si="1"/>
        <v>0.40798233508917486</v>
      </c>
      <c r="S663" s="272">
        <f t="shared" si="1"/>
        <v>0.34162609758350054</v>
      </c>
      <c r="T663" s="272">
        <f t="shared" si="1"/>
        <v>3.8541942223869509E-2</v>
      </c>
      <c r="U663" s="272">
        <f t="shared" si="1"/>
        <v>1.0227591147273094</v>
      </c>
      <c r="V663" s="272">
        <f t="shared" si="1"/>
        <v>0.40535310188739032</v>
      </c>
      <c r="W663" s="272">
        <f t="shared" si="1"/>
        <v>0.84299343262970516</v>
      </c>
      <c r="X663" s="272">
        <f t="shared" si="1"/>
        <v>0.85500513786993981</v>
      </c>
      <c r="Y663" s="272">
        <f t="shared" si="1"/>
        <v>0.26537783995210201</v>
      </c>
      <c r="Z663" s="272">
        <f t="shared" si="1"/>
        <v>0.70641841846920461</v>
      </c>
      <c r="AA663" s="272">
        <f t="shared" si="1"/>
        <v>1.7484697862241407</v>
      </c>
      <c r="AB663" s="272">
        <f t="shared" si="1"/>
        <v>1.6407671885535522</v>
      </c>
      <c r="AC663" s="272">
        <f t="shared" si="1"/>
        <v>5.670835585082191E-3</v>
      </c>
      <c r="AD663" s="272">
        <f t="shared" si="1"/>
        <v>3.3079930309461939E-4</v>
      </c>
      <c r="AE663" s="272">
        <f t="shared" si="1"/>
        <v>1.6786575180392609E-2</v>
      </c>
      <c r="AF663" s="272">
        <f t="shared" si="1"/>
        <v>1.7552754394049563</v>
      </c>
      <c r="AG663" s="272">
        <f t="shared" si="1"/>
        <v>0.43306825314271363</v>
      </c>
      <c r="AH663" s="272">
        <f t="shared" si="1"/>
        <v>2.2065517418943639</v>
      </c>
      <c r="AI663" s="272">
        <f t="shared" si="1"/>
        <v>3.1183247352361532E-3</v>
      </c>
      <c r="AJ663" s="272">
        <f t="shared" si="1"/>
        <v>0.48523876663300775</v>
      </c>
    </row>
  </sheetData>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7D71-8932-4019-B230-CA54F8969C9B}">
  <dimension ref="A1:AN62"/>
  <sheetViews>
    <sheetView workbookViewId="0">
      <pane xSplit="2" ySplit="12" topLeftCell="C52" activePane="bottomRight" state="frozen"/>
      <selection pane="topRight" activeCell="C1" sqref="C1"/>
      <selection pane="bottomLeft" activeCell="A13" sqref="A13"/>
      <selection pane="bottomRight" activeCell="J60" sqref="J60"/>
    </sheetView>
  </sheetViews>
  <sheetFormatPr defaultColWidth="15.58203125" defaultRowHeight="12" outlineLevelRow="1"/>
  <cols>
    <col min="1" max="1" width="2.33203125" style="665" customWidth="1"/>
    <col min="2" max="2" width="18.58203125" style="665" customWidth="1"/>
    <col min="3" max="3" width="15.58203125" style="665"/>
    <col min="4" max="4" width="0" style="665" hidden="1" customWidth="1"/>
    <col min="5" max="11" width="15.58203125" style="665"/>
    <col min="12" max="12" width="0" style="665" hidden="1" customWidth="1"/>
    <col min="13" max="15" width="15.58203125" style="665"/>
    <col min="16" max="16" width="0" style="665" hidden="1" customWidth="1"/>
    <col min="17" max="19" width="15.58203125" style="665"/>
    <col min="20" max="20" width="0" style="665" hidden="1" customWidth="1"/>
    <col min="21" max="23" width="15.58203125" style="665"/>
    <col min="24" max="24" width="0" style="665" hidden="1" customWidth="1"/>
    <col min="25" max="16384" width="15.58203125" style="665"/>
  </cols>
  <sheetData>
    <row r="1" spans="1:40" s="647" customFormat="1">
      <c r="A1" s="647" t="s">
        <v>9577</v>
      </c>
    </row>
    <row r="2" spans="1:40" s="647" customFormat="1">
      <c r="A2" s="647" t="s">
        <v>9578</v>
      </c>
    </row>
    <row r="3" spans="1:40" s="647" customFormat="1"/>
    <row r="4" spans="1:40" s="647" customFormat="1" outlineLevel="1">
      <c r="A4" s="647" t="s">
        <v>9579</v>
      </c>
    </row>
    <row r="5" spans="1:40" s="647" customFormat="1" outlineLevel="1">
      <c r="A5" s="647" t="s">
        <v>9580</v>
      </c>
    </row>
    <row r="6" spans="1:40" s="647" customFormat="1" outlineLevel="1">
      <c r="A6" s="647" t="s">
        <v>9581</v>
      </c>
    </row>
    <row r="7" spans="1:40" s="647" customFormat="1" ht="12.5" thickBot="1"/>
    <row r="8" spans="1:40" s="647" customFormat="1">
      <c r="B8" s="648" t="s">
        <v>3975</v>
      </c>
      <c r="C8" s="649" t="s">
        <v>9582</v>
      </c>
      <c r="D8" s="676" t="s">
        <v>9582</v>
      </c>
      <c r="E8" s="650" t="s">
        <v>9582</v>
      </c>
      <c r="F8" s="676" t="s">
        <v>9582</v>
      </c>
      <c r="G8" s="650" t="s">
        <v>9582</v>
      </c>
      <c r="H8" s="676" t="s">
        <v>9582</v>
      </c>
      <c r="I8" s="650" t="s">
        <v>9582</v>
      </c>
      <c r="J8" s="676" t="s">
        <v>9582</v>
      </c>
      <c r="K8" s="650" t="s">
        <v>9582</v>
      </c>
      <c r="L8" s="676" t="s">
        <v>9582</v>
      </c>
      <c r="M8" s="650" t="s">
        <v>9582</v>
      </c>
      <c r="N8" s="676" t="s">
        <v>9582</v>
      </c>
      <c r="O8" s="650" t="s">
        <v>9582</v>
      </c>
      <c r="P8" s="676" t="s">
        <v>9582</v>
      </c>
      <c r="Q8" s="650" t="s">
        <v>9582</v>
      </c>
      <c r="R8" s="676" t="s">
        <v>9582</v>
      </c>
      <c r="S8" s="650" t="s">
        <v>9582</v>
      </c>
      <c r="T8" s="676" t="s">
        <v>9582</v>
      </c>
      <c r="U8" s="650" t="s">
        <v>9582</v>
      </c>
      <c r="V8" s="676" t="s">
        <v>9582</v>
      </c>
      <c r="W8" s="650" t="s">
        <v>9582</v>
      </c>
      <c r="X8" s="676" t="s">
        <v>9582</v>
      </c>
      <c r="Y8" s="650" t="s">
        <v>9582</v>
      </c>
      <c r="Z8" s="676" t="s">
        <v>9582</v>
      </c>
      <c r="AA8" s="650" t="s">
        <v>9582</v>
      </c>
      <c r="AB8" s="676" t="s">
        <v>9582</v>
      </c>
      <c r="AC8" s="650" t="s">
        <v>9582</v>
      </c>
      <c r="AD8" s="676" t="s">
        <v>9582</v>
      </c>
      <c r="AE8" s="650" t="s">
        <v>9582</v>
      </c>
      <c r="AF8" s="676" t="s">
        <v>9582</v>
      </c>
      <c r="AG8" s="650" t="s">
        <v>9582</v>
      </c>
      <c r="AH8" s="676" t="s">
        <v>9582</v>
      </c>
      <c r="AI8" s="650" t="s">
        <v>9582</v>
      </c>
      <c r="AJ8" s="676" t="s">
        <v>9582</v>
      </c>
      <c r="AK8" s="650" t="s">
        <v>9582</v>
      </c>
      <c r="AL8" s="676" t="s">
        <v>9582</v>
      </c>
      <c r="AM8" s="650" t="s">
        <v>9582</v>
      </c>
      <c r="AN8" s="683" t="s">
        <v>9582</v>
      </c>
    </row>
    <row r="9" spans="1:40" s="647" customFormat="1" ht="36">
      <c r="B9" s="651" t="s">
        <v>3976</v>
      </c>
      <c r="C9" s="652" t="s">
        <v>9583</v>
      </c>
      <c r="D9" s="677" t="s">
        <v>9583</v>
      </c>
      <c r="E9" s="653" t="s">
        <v>9584</v>
      </c>
      <c r="F9" s="677" t="s">
        <v>9584</v>
      </c>
      <c r="G9" s="653" t="s">
        <v>9585</v>
      </c>
      <c r="H9" s="677" t="s">
        <v>9585</v>
      </c>
      <c r="I9" s="653" t="s">
        <v>9586</v>
      </c>
      <c r="J9" s="677" t="s">
        <v>9586</v>
      </c>
      <c r="K9" s="653" t="s">
        <v>9587</v>
      </c>
      <c r="L9" s="677" t="s">
        <v>9587</v>
      </c>
      <c r="M9" s="653" t="s">
        <v>9588</v>
      </c>
      <c r="N9" s="677" t="s">
        <v>9588</v>
      </c>
      <c r="O9" s="653" t="s">
        <v>9589</v>
      </c>
      <c r="P9" s="677" t="s">
        <v>9589</v>
      </c>
      <c r="Q9" s="653" t="s">
        <v>9590</v>
      </c>
      <c r="R9" s="677" t="s">
        <v>9590</v>
      </c>
      <c r="S9" s="653" t="s">
        <v>9591</v>
      </c>
      <c r="T9" s="677" t="s">
        <v>9591</v>
      </c>
      <c r="U9" s="653" t="s">
        <v>9592</v>
      </c>
      <c r="V9" s="677" t="s">
        <v>9592</v>
      </c>
      <c r="W9" s="653" t="s">
        <v>9593</v>
      </c>
      <c r="X9" s="677" t="s">
        <v>9593</v>
      </c>
      <c r="Y9" s="653" t="s">
        <v>9594</v>
      </c>
      <c r="Z9" s="677" t="s">
        <v>9594</v>
      </c>
      <c r="AA9" s="653" t="s">
        <v>9595</v>
      </c>
      <c r="AB9" s="677" t="s">
        <v>9595</v>
      </c>
      <c r="AC9" s="653" t="s">
        <v>9596</v>
      </c>
      <c r="AD9" s="677" t="s">
        <v>9596</v>
      </c>
      <c r="AE9" s="653" t="s">
        <v>9597</v>
      </c>
      <c r="AF9" s="677" t="s">
        <v>9597</v>
      </c>
      <c r="AG9" s="653" t="s">
        <v>9598</v>
      </c>
      <c r="AH9" s="677" t="s">
        <v>9598</v>
      </c>
      <c r="AI9" s="653" t="s">
        <v>9599</v>
      </c>
      <c r="AJ9" s="677" t="s">
        <v>9599</v>
      </c>
      <c r="AK9" s="653" t="s">
        <v>9600</v>
      </c>
      <c r="AL9" s="677" t="s">
        <v>9600</v>
      </c>
      <c r="AM9" s="653" t="s">
        <v>9601</v>
      </c>
      <c r="AN9" s="684" t="s">
        <v>9601</v>
      </c>
    </row>
    <row r="10" spans="1:40" s="647" customFormat="1">
      <c r="B10" s="651" t="s">
        <v>3980</v>
      </c>
      <c r="C10" s="652" t="s">
        <v>3144</v>
      </c>
      <c r="D10" s="677" t="s">
        <v>3982</v>
      </c>
      <c r="E10" s="653" t="s">
        <v>3144</v>
      </c>
      <c r="F10" s="677" t="s">
        <v>3982</v>
      </c>
      <c r="G10" s="653" t="s">
        <v>3144</v>
      </c>
      <c r="H10" s="677" t="s">
        <v>3982</v>
      </c>
      <c r="I10" s="653" t="s">
        <v>3144</v>
      </c>
      <c r="J10" s="677" t="s">
        <v>3982</v>
      </c>
      <c r="K10" s="653" t="s">
        <v>3144</v>
      </c>
      <c r="L10" s="677" t="s">
        <v>3982</v>
      </c>
      <c r="M10" s="653" t="s">
        <v>3144</v>
      </c>
      <c r="N10" s="677" t="s">
        <v>3982</v>
      </c>
      <c r="O10" s="653" t="s">
        <v>3144</v>
      </c>
      <c r="P10" s="677" t="s">
        <v>3982</v>
      </c>
      <c r="Q10" s="653" t="s">
        <v>3144</v>
      </c>
      <c r="R10" s="677" t="s">
        <v>3982</v>
      </c>
      <c r="S10" s="653" t="s">
        <v>3144</v>
      </c>
      <c r="T10" s="677" t="s">
        <v>3982</v>
      </c>
      <c r="U10" s="653" t="s">
        <v>3144</v>
      </c>
      <c r="V10" s="677" t="s">
        <v>3982</v>
      </c>
      <c r="W10" s="653" t="s">
        <v>3144</v>
      </c>
      <c r="X10" s="677" t="s">
        <v>3982</v>
      </c>
      <c r="Y10" s="653" t="s">
        <v>3144</v>
      </c>
      <c r="Z10" s="677" t="s">
        <v>3982</v>
      </c>
      <c r="AA10" s="653" t="s">
        <v>3144</v>
      </c>
      <c r="AB10" s="677" t="s">
        <v>3982</v>
      </c>
      <c r="AC10" s="653" t="s">
        <v>3144</v>
      </c>
      <c r="AD10" s="677" t="s">
        <v>3982</v>
      </c>
      <c r="AE10" s="653" t="s">
        <v>3144</v>
      </c>
      <c r="AF10" s="677" t="s">
        <v>3982</v>
      </c>
      <c r="AG10" s="653" t="s">
        <v>3144</v>
      </c>
      <c r="AH10" s="677" t="s">
        <v>3982</v>
      </c>
      <c r="AI10" s="653" t="s">
        <v>3144</v>
      </c>
      <c r="AJ10" s="677" t="s">
        <v>3982</v>
      </c>
      <c r="AK10" s="653" t="s">
        <v>3144</v>
      </c>
      <c r="AL10" s="677" t="s">
        <v>3982</v>
      </c>
      <c r="AM10" s="653" t="s">
        <v>3144</v>
      </c>
      <c r="AN10" s="684" t="s">
        <v>3982</v>
      </c>
    </row>
    <row r="11" spans="1:40" s="647" customFormat="1" ht="12.5" thickBot="1">
      <c r="B11" s="654" t="s">
        <v>3991</v>
      </c>
      <c r="C11" s="655"/>
      <c r="D11" s="678" t="s">
        <v>3992</v>
      </c>
      <c r="E11" s="656"/>
      <c r="F11" s="678" t="s">
        <v>3992</v>
      </c>
      <c r="G11" s="656"/>
      <c r="H11" s="678" t="s">
        <v>3992</v>
      </c>
      <c r="I11" s="656"/>
      <c r="J11" s="678" t="s">
        <v>3992</v>
      </c>
      <c r="K11" s="656"/>
      <c r="L11" s="678" t="s">
        <v>3992</v>
      </c>
      <c r="M11" s="656"/>
      <c r="N11" s="678" t="s">
        <v>3992</v>
      </c>
      <c r="O11" s="656"/>
      <c r="P11" s="678" t="s">
        <v>3992</v>
      </c>
      <c r="Q11" s="656"/>
      <c r="R11" s="678" t="s">
        <v>3992</v>
      </c>
      <c r="S11" s="656"/>
      <c r="T11" s="678" t="s">
        <v>3992</v>
      </c>
      <c r="U11" s="656"/>
      <c r="V11" s="678" t="s">
        <v>3992</v>
      </c>
      <c r="W11" s="656"/>
      <c r="X11" s="678" t="s">
        <v>3992</v>
      </c>
      <c r="Y11" s="656"/>
      <c r="Z11" s="678" t="s">
        <v>3992</v>
      </c>
      <c r="AA11" s="656"/>
      <c r="AB11" s="678" t="s">
        <v>3992</v>
      </c>
      <c r="AC11" s="656"/>
      <c r="AD11" s="678" t="s">
        <v>3992</v>
      </c>
      <c r="AE11" s="656"/>
      <c r="AF11" s="678" t="s">
        <v>3992</v>
      </c>
      <c r="AG11" s="656"/>
      <c r="AH11" s="678" t="s">
        <v>3992</v>
      </c>
      <c r="AI11" s="656"/>
      <c r="AJ11" s="678" t="s">
        <v>3992</v>
      </c>
      <c r="AK11" s="656"/>
      <c r="AL11" s="678" t="s">
        <v>3992</v>
      </c>
      <c r="AM11" s="656"/>
      <c r="AN11" s="685" t="s">
        <v>3992</v>
      </c>
    </row>
    <row r="12" spans="1:40" s="647" customFormat="1">
      <c r="A12" s="657" t="s">
        <v>3993</v>
      </c>
      <c r="B12" s="658" t="s">
        <v>3154</v>
      </c>
      <c r="C12" s="659" t="s">
        <v>3158</v>
      </c>
      <c r="D12" s="679"/>
      <c r="E12" s="660"/>
      <c r="F12" s="679"/>
      <c r="G12" s="660"/>
      <c r="H12" s="679"/>
      <c r="I12" s="660"/>
      <c r="J12" s="679"/>
      <c r="K12" s="660"/>
      <c r="L12" s="679"/>
      <c r="M12" s="660"/>
      <c r="N12" s="679"/>
      <c r="O12" s="660"/>
      <c r="P12" s="679"/>
      <c r="Q12" s="660"/>
      <c r="R12" s="679"/>
      <c r="S12" s="660"/>
      <c r="T12" s="679"/>
      <c r="U12" s="660"/>
      <c r="V12" s="679"/>
      <c r="W12" s="660"/>
      <c r="X12" s="679"/>
      <c r="Y12" s="660"/>
      <c r="Z12" s="679"/>
      <c r="AA12" s="660"/>
      <c r="AB12" s="679"/>
      <c r="AC12" s="660"/>
      <c r="AD12" s="679"/>
      <c r="AE12" s="660"/>
      <c r="AF12" s="679"/>
      <c r="AG12" s="660"/>
      <c r="AH12" s="679"/>
      <c r="AI12" s="660"/>
      <c r="AJ12" s="679"/>
      <c r="AK12" s="660"/>
      <c r="AL12" s="679"/>
      <c r="AM12" s="660"/>
      <c r="AN12" s="679"/>
    </row>
    <row r="13" spans="1:40">
      <c r="A13" s="661">
        <v>1</v>
      </c>
      <c r="B13" s="662" t="s">
        <v>3997</v>
      </c>
      <c r="C13" s="663">
        <v>4814653</v>
      </c>
      <c r="D13" s="680" t="s">
        <v>9602</v>
      </c>
      <c r="E13" s="663">
        <v>38706</v>
      </c>
      <c r="F13" s="663">
        <v>5306014</v>
      </c>
      <c r="G13" s="663">
        <v>3733</v>
      </c>
      <c r="H13" s="663">
        <v>709633</v>
      </c>
      <c r="I13" s="663">
        <v>1792</v>
      </c>
      <c r="J13" s="663">
        <v>658476</v>
      </c>
      <c r="K13" s="663">
        <v>480211</v>
      </c>
      <c r="L13" s="664" t="s">
        <v>9602</v>
      </c>
      <c r="M13" s="663">
        <v>401507</v>
      </c>
      <c r="N13" s="663">
        <v>346861817</v>
      </c>
      <c r="O13" s="663">
        <v>9474</v>
      </c>
      <c r="P13" s="680" t="s">
        <v>9602</v>
      </c>
      <c r="Q13" s="663">
        <v>77465</v>
      </c>
      <c r="R13" s="663">
        <v>44306312</v>
      </c>
      <c r="S13" s="663">
        <v>123582</v>
      </c>
      <c r="T13" s="680" t="s">
        <v>9602</v>
      </c>
      <c r="U13" s="663">
        <v>1181323</v>
      </c>
      <c r="V13" s="663">
        <v>598850319</v>
      </c>
      <c r="W13" s="663">
        <v>82044</v>
      </c>
      <c r="X13" s="664" t="s">
        <v>9602</v>
      </c>
      <c r="Y13" s="663">
        <v>369508</v>
      </c>
      <c r="Z13" s="663">
        <v>58239351</v>
      </c>
      <c r="AA13" s="663">
        <v>249689</v>
      </c>
      <c r="AB13" s="663">
        <v>48633992</v>
      </c>
      <c r="AC13" s="663">
        <v>548864</v>
      </c>
      <c r="AD13" s="663">
        <v>19469682</v>
      </c>
      <c r="AE13" s="663">
        <v>411256</v>
      </c>
      <c r="AF13" s="663">
        <v>30892827</v>
      </c>
      <c r="AG13" s="663">
        <v>152282</v>
      </c>
      <c r="AH13" s="663">
        <v>3858729</v>
      </c>
      <c r="AI13" s="663">
        <v>443277</v>
      </c>
      <c r="AJ13" s="663">
        <v>149648919</v>
      </c>
      <c r="AK13" s="663">
        <v>31721</v>
      </c>
      <c r="AL13" s="663">
        <v>2109738</v>
      </c>
      <c r="AM13" s="663">
        <v>208206</v>
      </c>
      <c r="AN13" s="663">
        <v>43274223</v>
      </c>
    </row>
    <row r="14" spans="1:40">
      <c r="A14" s="666">
        <v>1</v>
      </c>
      <c r="B14" s="667" t="s">
        <v>9603</v>
      </c>
      <c r="C14" s="663">
        <v>202480</v>
      </c>
      <c r="D14" s="680" t="s">
        <v>9602</v>
      </c>
      <c r="E14" s="663">
        <v>4442</v>
      </c>
      <c r="F14" s="663">
        <v>829082</v>
      </c>
      <c r="G14" s="663">
        <v>655</v>
      </c>
      <c r="H14" s="663">
        <v>61905</v>
      </c>
      <c r="I14" s="663">
        <v>167</v>
      </c>
      <c r="J14" s="664" t="s">
        <v>4020</v>
      </c>
      <c r="K14" s="663">
        <v>21261</v>
      </c>
      <c r="L14" s="664" t="s">
        <v>9602</v>
      </c>
      <c r="M14" s="663">
        <v>10019</v>
      </c>
      <c r="N14" s="663">
        <v>6607368</v>
      </c>
      <c r="O14" s="663">
        <v>472</v>
      </c>
      <c r="P14" s="680" t="s">
        <v>9602</v>
      </c>
      <c r="Q14" s="663">
        <v>2533</v>
      </c>
      <c r="R14" s="663">
        <v>823791</v>
      </c>
      <c r="S14" s="663">
        <v>6238</v>
      </c>
      <c r="T14" s="680" t="s">
        <v>9602</v>
      </c>
      <c r="U14" s="663">
        <v>49884</v>
      </c>
      <c r="V14" s="663">
        <v>19533121</v>
      </c>
      <c r="W14" s="663">
        <v>3926</v>
      </c>
      <c r="X14" s="664" t="s">
        <v>9602</v>
      </c>
      <c r="Y14" s="663">
        <v>15269</v>
      </c>
      <c r="Z14" s="663">
        <v>1421163</v>
      </c>
      <c r="AA14" s="663">
        <v>8876</v>
      </c>
      <c r="AB14" s="663">
        <v>842828</v>
      </c>
      <c r="AC14" s="663">
        <v>25693</v>
      </c>
      <c r="AD14" s="663">
        <v>836150</v>
      </c>
      <c r="AE14" s="663">
        <v>17829</v>
      </c>
      <c r="AF14" s="663">
        <v>1283456</v>
      </c>
      <c r="AG14" s="663">
        <v>5125</v>
      </c>
      <c r="AH14" s="663">
        <v>87669</v>
      </c>
      <c r="AI14" s="663">
        <v>19049</v>
      </c>
      <c r="AJ14" s="663">
        <v>5499625</v>
      </c>
      <c r="AK14" s="663">
        <v>1808</v>
      </c>
      <c r="AL14" s="663">
        <v>264782</v>
      </c>
      <c r="AM14" s="663">
        <v>9233</v>
      </c>
      <c r="AN14" s="663">
        <v>1454914</v>
      </c>
    </row>
    <row r="15" spans="1:40">
      <c r="A15" s="666">
        <v>1</v>
      </c>
      <c r="B15" s="667" t="s">
        <v>9604</v>
      </c>
      <c r="C15" s="663">
        <v>52214</v>
      </c>
      <c r="D15" s="680" t="s">
        <v>9602</v>
      </c>
      <c r="E15" s="663">
        <v>757</v>
      </c>
      <c r="F15" s="663">
        <v>148028</v>
      </c>
      <c r="G15" s="663">
        <v>92</v>
      </c>
      <c r="H15" s="663">
        <v>16955</v>
      </c>
      <c r="I15" s="663">
        <v>28</v>
      </c>
      <c r="J15" s="664" t="s">
        <v>4020</v>
      </c>
      <c r="K15" s="663">
        <v>5608</v>
      </c>
      <c r="L15" s="664" t="s">
        <v>9602</v>
      </c>
      <c r="M15" s="663">
        <v>2648</v>
      </c>
      <c r="N15" s="663">
        <v>1762926</v>
      </c>
      <c r="O15" s="663">
        <v>124</v>
      </c>
      <c r="P15" s="680" t="s">
        <v>9602</v>
      </c>
      <c r="Q15" s="663">
        <v>381</v>
      </c>
      <c r="R15" s="663">
        <v>58327</v>
      </c>
      <c r="S15" s="663">
        <v>1336</v>
      </c>
      <c r="T15" s="680" t="s">
        <v>9602</v>
      </c>
      <c r="U15" s="663">
        <v>13703</v>
      </c>
      <c r="V15" s="663">
        <v>3464962</v>
      </c>
      <c r="W15" s="663">
        <v>1013</v>
      </c>
      <c r="X15" s="664" t="s">
        <v>9602</v>
      </c>
      <c r="Y15" s="663">
        <v>2974</v>
      </c>
      <c r="Z15" s="663">
        <v>172619</v>
      </c>
      <c r="AA15" s="663">
        <v>1792</v>
      </c>
      <c r="AB15" s="663">
        <v>144512</v>
      </c>
      <c r="AC15" s="663">
        <v>6426</v>
      </c>
      <c r="AD15" s="663">
        <v>147947</v>
      </c>
      <c r="AE15" s="663">
        <v>5823</v>
      </c>
      <c r="AF15" s="663">
        <v>270054</v>
      </c>
      <c r="AG15" s="663">
        <v>1603</v>
      </c>
      <c r="AH15" s="663">
        <v>18955</v>
      </c>
      <c r="AI15" s="663">
        <v>4995</v>
      </c>
      <c r="AJ15" s="663">
        <v>1237117</v>
      </c>
      <c r="AK15" s="663">
        <v>445</v>
      </c>
      <c r="AL15" s="663">
        <v>29987</v>
      </c>
      <c r="AM15" s="663">
        <v>2466</v>
      </c>
      <c r="AN15" s="663">
        <v>239772</v>
      </c>
    </row>
    <row r="16" spans="1:40">
      <c r="A16" s="666">
        <v>1</v>
      </c>
      <c r="B16" s="667" t="s">
        <v>9605</v>
      </c>
      <c r="C16" s="663">
        <v>51379</v>
      </c>
      <c r="D16" s="680" t="s">
        <v>9602</v>
      </c>
      <c r="E16" s="663">
        <v>1017</v>
      </c>
      <c r="F16" s="663">
        <v>191262</v>
      </c>
      <c r="G16" s="663">
        <v>81</v>
      </c>
      <c r="H16" s="663">
        <v>13934</v>
      </c>
      <c r="I16" s="663">
        <v>62</v>
      </c>
      <c r="J16" s="664" t="s">
        <v>4020</v>
      </c>
      <c r="K16" s="663">
        <v>5255</v>
      </c>
      <c r="L16" s="664" t="s">
        <v>9602</v>
      </c>
      <c r="M16" s="663">
        <v>3398</v>
      </c>
      <c r="N16" s="663">
        <v>2864504</v>
      </c>
      <c r="O16" s="663">
        <v>99</v>
      </c>
      <c r="P16" s="680" t="s">
        <v>9602</v>
      </c>
      <c r="Q16" s="663">
        <v>430</v>
      </c>
      <c r="R16" s="663">
        <v>48043</v>
      </c>
      <c r="S16" s="663">
        <v>1374</v>
      </c>
      <c r="T16" s="680" t="s">
        <v>9602</v>
      </c>
      <c r="U16" s="663">
        <v>13271</v>
      </c>
      <c r="V16" s="663">
        <v>3636107</v>
      </c>
      <c r="W16" s="663">
        <v>920</v>
      </c>
      <c r="X16" s="664" t="s">
        <v>9602</v>
      </c>
      <c r="Y16" s="663">
        <v>3713</v>
      </c>
      <c r="Z16" s="663">
        <v>236738</v>
      </c>
      <c r="AA16" s="663">
        <v>1955</v>
      </c>
      <c r="AB16" s="663">
        <v>131428</v>
      </c>
      <c r="AC16" s="663">
        <v>5776</v>
      </c>
      <c r="AD16" s="663">
        <v>154021</v>
      </c>
      <c r="AE16" s="663">
        <v>5285</v>
      </c>
      <c r="AF16" s="663">
        <v>237365</v>
      </c>
      <c r="AG16" s="663">
        <v>1254</v>
      </c>
      <c r="AH16" s="663">
        <v>17718</v>
      </c>
      <c r="AI16" s="663">
        <v>4794</v>
      </c>
      <c r="AJ16" s="663">
        <v>1160684</v>
      </c>
      <c r="AK16" s="663">
        <v>508</v>
      </c>
      <c r="AL16" s="663">
        <v>24182</v>
      </c>
      <c r="AM16" s="663">
        <v>2187</v>
      </c>
      <c r="AN16" s="663">
        <v>244565</v>
      </c>
    </row>
    <row r="17" spans="1:40">
      <c r="A17" s="666">
        <v>1</v>
      </c>
      <c r="B17" s="667" t="s">
        <v>9606</v>
      </c>
      <c r="C17" s="663">
        <v>89484</v>
      </c>
      <c r="D17" s="680" t="s">
        <v>9602</v>
      </c>
      <c r="E17" s="663">
        <v>839</v>
      </c>
      <c r="F17" s="663">
        <v>96876</v>
      </c>
      <c r="G17" s="663">
        <v>128</v>
      </c>
      <c r="H17" s="663">
        <v>41632</v>
      </c>
      <c r="I17" s="663">
        <v>53</v>
      </c>
      <c r="J17" s="664" t="s">
        <v>4020</v>
      </c>
      <c r="K17" s="663">
        <v>10346</v>
      </c>
      <c r="L17" s="664" t="s">
        <v>9602</v>
      </c>
      <c r="M17" s="663">
        <v>4952</v>
      </c>
      <c r="N17" s="663">
        <v>5165094</v>
      </c>
      <c r="O17" s="663">
        <v>140</v>
      </c>
      <c r="P17" s="680" t="s">
        <v>9602</v>
      </c>
      <c r="Q17" s="663">
        <v>1113</v>
      </c>
      <c r="R17" s="663">
        <v>544472</v>
      </c>
      <c r="S17" s="663">
        <v>2714</v>
      </c>
      <c r="T17" s="680" t="s">
        <v>9602</v>
      </c>
      <c r="U17" s="663">
        <v>24028</v>
      </c>
      <c r="V17" s="663">
        <v>12456198</v>
      </c>
      <c r="W17" s="663">
        <v>1504</v>
      </c>
      <c r="X17" s="664" t="s">
        <v>9602</v>
      </c>
      <c r="Y17" s="663">
        <v>6599</v>
      </c>
      <c r="Z17" s="663">
        <v>944449</v>
      </c>
      <c r="AA17" s="663">
        <v>4301</v>
      </c>
      <c r="AB17" s="663">
        <v>474076</v>
      </c>
      <c r="AC17" s="663">
        <v>9472</v>
      </c>
      <c r="AD17" s="663">
        <v>323482</v>
      </c>
      <c r="AE17" s="663">
        <v>7892</v>
      </c>
      <c r="AF17" s="663">
        <v>475454</v>
      </c>
      <c r="AG17" s="663">
        <v>2717</v>
      </c>
      <c r="AH17" s="663">
        <v>50797</v>
      </c>
      <c r="AI17" s="663">
        <v>7886</v>
      </c>
      <c r="AJ17" s="663">
        <v>2093188</v>
      </c>
      <c r="AK17" s="663">
        <v>584</v>
      </c>
      <c r="AL17" s="663">
        <v>59356</v>
      </c>
      <c r="AM17" s="663">
        <v>4216</v>
      </c>
      <c r="AN17" s="663">
        <v>806967</v>
      </c>
    </row>
    <row r="18" spans="1:40">
      <c r="A18" s="666">
        <v>1</v>
      </c>
      <c r="B18" s="667" t="s">
        <v>9607</v>
      </c>
      <c r="C18" s="663">
        <v>42111</v>
      </c>
      <c r="D18" s="680" t="s">
        <v>9602</v>
      </c>
      <c r="E18" s="663">
        <v>933</v>
      </c>
      <c r="F18" s="663">
        <v>105735</v>
      </c>
      <c r="G18" s="663">
        <v>26</v>
      </c>
      <c r="H18" s="663">
        <v>1187</v>
      </c>
      <c r="I18" s="663">
        <v>44</v>
      </c>
      <c r="J18" s="663">
        <v>11800</v>
      </c>
      <c r="K18" s="663">
        <v>4810</v>
      </c>
      <c r="L18" s="664" t="s">
        <v>9602</v>
      </c>
      <c r="M18" s="663">
        <v>3068</v>
      </c>
      <c r="N18" s="663">
        <v>1443603</v>
      </c>
      <c r="O18" s="663">
        <v>135</v>
      </c>
      <c r="P18" s="680" t="s">
        <v>9602</v>
      </c>
      <c r="Q18" s="663">
        <v>275</v>
      </c>
      <c r="R18" s="663">
        <v>28599</v>
      </c>
      <c r="S18" s="663">
        <v>848</v>
      </c>
      <c r="T18" s="680" t="s">
        <v>9602</v>
      </c>
      <c r="U18" s="663">
        <v>11081</v>
      </c>
      <c r="V18" s="663">
        <v>2408474</v>
      </c>
      <c r="W18" s="663">
        <v>707</v>
      </c>
      <c r="X18" s="664" t="s">
        <v>9602</v>
      </c>
      <c r="Y18" s="663">
        <v>1706</v>
      </c>
      <c r="Z18" s="663">
        <v>123545</v>
      </c>
      <c r="AA18" s="663">
        <v>1590</v>
      </c>
      <c r="AB18" s="663">
        <v>108611</v>
      </c>
      <c r="AC18" s="663">
        <v>4689</v>
      </c>
      <c r="AD18" s="663">
        <v>111124</v>
      </c>
      <c r="AE18" s="663">
        <v>5123</v>
      </c>
      <c r="AF18" s="663">
        <v>178472</v>
      </c>
      <c r="AG18" s="663">
        <v>1042</v>
      </c>
      <c r="AH18" s="663">
        <v>12936</v>
      </c>
      <c r="AI18" s="663">
        <v>3772</v>
      </c>
      <c r="AJ18" s="663">
        <v>1124127</v>
      </c>
      <c r="AK18" s="663">
        <v>528</v>
      </c>
      <c r="AL18" s="663">
        <v>23070</v>
      </c>
      <c r="AM18" s="663">
        <v>1734</v>
      </c>
      <c r="AN18" s="663">
        <v>154216</v>
      </c>
    </row>
    <row r="19" spans="1:40">
      <c r="A19" s="666">
        <v>1</v>
      </c>
      <c r="B19" s="667" t="s">
        <v>9608</v>
      </c>
      <c r="C19" s="663">
        <v>48416</v>
      </c>
      <c r="D19" s="680" t="s">
        <v>9602</v>
      </c>
      <c r="E19" s="663">
        <v>736</v>
      </c>
      <c r="F19" s="663">
        <v>76067</v>
      </c>
      <c r="G19" s="663">
        <v>19</v>
      </c>
      <c r="H19" s="663">
        <v>1147</v>
      </c>
      <c r="I19" s="663">
        <v>20</v>
      </c>
      <c r="J19" s="664" t="s">
        <v>4020</v>
      </c>
      <c r="K19" s="663">
        <v>5684</v>
      </c>
      <c r="L19" s="664" t="s">
        <v>9602</v>
      </c>
      <c r="M19" s="663">
        <v>4429</v>
      </c>
      <c r="N19" s="663">
        <v>3091042</v>
      </c>
      <c r="O19" s="663">
        <v>85</v>
      </c>
      <c r="P19" s="680" t="s">
        <v>9602</v>
      </c>
      <c r="Q19" s="663">
        <v>332</v>
      </c>
      <c r="R19" s="663">
        <v>26676</v>
      </c>
      <c r="S19" s="663">
        <v>889</v>
      </c>
      <c r="T19" s="680" t="s">
        <v>9602</v>
      </c>
      <c r="U19" s="663">
        <v>12424</v>
      </c>
      <c r="V19" s="663">
        <v>2755450</v>
      </c>
      <c r="W19" s="663">
        <v>820</v>
      </c>
      <c r="X19" s="664" t="s">
        <v>9602</v>
      </c>
      <c r="Y19" s="663">
        <v>2481</v>
      </c>
      <c r="Z19" s="663">
        <v>130900</v>
      </c>
      <c r="AA19" s="663">
        <v>1779</v>
      </c>
      <c r="AB19" s="663">
        <v>98078</v>
      </c>
      <c r="AC19" s="663">
        <v>5715</v>
      </c>
      <c r="AD19" s="663">
        <v>140231</v>
      </c>
      <c r="AE19" s="663">
        <v>5454</v>
      </c>
      <c r="AF19" s="663">
        <v>181051</v>
      </c>
      <c r="AG19" s="663">
        <v>1162</v>
      </c>
      <c r="AH19" s="663">
        <v>23828</v>
      </c>
      <c r="AI19" s="663">
        <v>3989</v>
      </c>
      <c r="AJ19" s="663">
        <v>1083184</v>
      </c>
      <c r="AK19" s="663">
        <v>528</v>
      </c>
      <c r="AL19" s="663">
        <v>26852</v>
      </c>
      <c r="AM19" s="663">
        <v>1870</v>
      </c>
      <c r="AN19" s="663">
        <v>237585</v>
      </c>
    </row>
    <row r="20" spans="1:40">
      <c r="A20" s="666">
        <v>1</v>
      </c>
      <c r="B20" s="667" t="s">
        <v>9609</v>
      </c>
      <c r="C20" s="663">
        <v>76743</v>
      </c>
      <c r="D20" s="680" t="s">
        <v>9602</v>
      </c>
      <c r="E20" s="663">
        <v>873</v>
      </c>
      <c r="F20" s="663">
        <v>98675</v>
      </c>
      <c r="G20" s="663">
        <v>37</v>
      </c>
      <c r="H20" s="663">
        <v>8498</v>
      </c>
      <c r="I20" s="663">
        <v>59</v>
      </c>
      <c r="J20" s="663">
        <v>10233</v>
      </c>
      <c r="K20" s="663">
        <v>9908</v>
      </c>
      <c r="L20" s="664" t="s">
        <v>9602</v>
      </c>
      <c r="M20" s="663">
        <v>6258</v>
      </c>
      <c r="N20" s="663">
        <v>5268549</v>
      </c>
      <c r="O20" s="663">
        <v>200</v>
      </c>
      <c r="P20" s="680" t="s">
        <v>9602</v>
      </c>
      <c r="Q20" s="663">
        <v>541</v>
      </c>
      <c r="R20" s="663">
        <v>61659</v>
      </c>
      <c r="S20" s="663">
        <v>1868</v>
      </c>
      <c r="T20" s="680" t="s">
        <v>9602</v>
      </c>
      <c r="U20" s="663">
        <v>19276</v>
      </c>
      <c r="V20" s="663">
        <v>4964670</v>
      </c>
      <c r="W20" s="663">
        <v>1367</v>
      </c>
      <c r="X20" s="664" t="s">
        <v>9602</v>
      </c>
      <c r="Y20" s="663">
        <v>4809</v>
      </c>
      <c r="Z20" s="663">
        <v>364818</v>
      </c>
      <c r="AA20" s="663">
        <v>3197</v>
      </c>
      <c r="AB20" s="663">
        <v>263821</v>
      </c>
      <c r="AC20" s="663">
        <v>8460</v>
      </c>
      <c r="AD20" s="663">
        <v>258328</v>
      </c>
      <c r="AE20" s="663">
        <v>7333</v>
      </c>
      <c r="AF20" s="663">
        <v>398797</v>
      </c>
      <c r="AG20" s="663">
        <v>1990</v>
      </c>
      <c r="AH20" s="663">
        <v>35551</v>
      </c>
      <c r="AI20" s="663">
        <v>6325</v>
      </c>
      <c r="AJ20" s="663">
        <v>1762067</v>
      </c>
      <c r="AK20" s="663">
        <v>696</v>
      </c>
      <c r="AL20" s="663">
        <v>55626</v>
      </c>
      <c r="AM20" s="663">
        <v>3546</v>
      </c>
      <c r="AN20" s="663">
        <v>476626</v>
      </c>
    </row>
    <row r="21" spans="1:40">
      <c r="A21" s="666">
        <v>1</v>
      </c>
      <c r="B21" s="667" t="s">
        <v>9610</v>
      </c>
      <c r="C21" s="663">
        <v>103309</v>
      </c>
      <c r="D21" s="680" t="s">
        <v>9602</v>
      </c>
      <c r="E21" s="663">
        <v>1012</v>
      </c>
      <c r="F21" s="663">
        <v>190186</v>
      </c>
      <c r="G21" s="663">
        <v>47</v>
      </c>
      <c r="H21" s="663">
        <v>18825</v>
      </c>
      <c r="I21" s="663">
        <v>61</v>
      </c>
      <c r="J21" s="663">
        <v>8978</v>
      </c>
      <c r="K21" s="663">
        <v>13849</v>
      </c>
      <c r="L21" s="664" t="s">
        <v>9602</v>
      </c>
      <c r="M21" s="663">
        <v>9602</v>
      </c>
      <c r="N21" s="663">
        <v>14140443</v>
      </c>
      <c r="O21" s="663">
        <v>307</v>
      </c>
      <c r="P21" s="680" t="s">
        <v>9602</v>
      </c>
      <c r="Q21" s="663">
        <v>865</v>
      </c>
      <c r="R21" s="663">
        <v>231464</v>
      </c>
      <c r="S21" s="663">
        <v>3471</v>
      </c>
      <c r="T21" s="680" t="s">
        <v>9602</v>
      </c>
      <c r="U21" s="663">
        <v>25604</v>
      </c>
      <c r="V21" s="663">
        <v>7417735</v>
      </c>
      <c r="W21" s="663">
        <v>1505</v>
      </c>
      <c r="X21" s="664" t="s">
        <v>9602</v>
      </c>
      <c r="Y21" s="663">
        <v>5759</v>
      </c>
      <c r="Z21" s="663">
        <v>458062</v>
      </c>
      <c r="AA21" s="663">
        <v>4327</v>
      </c>
      <c r="AB21" s="663">
        <v>1024302</v>
      </c>
      <c r="AC21" s="663">
        <v>10367</v>
      </c>
      <c r="AD21" s="663">
        <v>307756</v>
      </c>
      <c r="AE21" s="663">
        <v>10017</v>
      </c>
      <c r="AF21" s="663">
        <v>574053</v>
      </c>
      <c r="AG21" s="663">
        <v>2923</v>
      </c>
      <c r="AH21" s="663">
        <v>52421</v>
      </c>
      <c r="AI21" s="663">
        <v>7831</v>
      </c>
      <c r="AJ21" s="663">
        <v>2359337</v>
      </c>
      <c r="AK21" s="663">
        <v>638</v>
      </c>
      <c r="AL21" s="663">
        <v>34713</v>
      </c>
      <c r="AM21" s="663">
        <v>5123</v>
      </c>
      <c r="AN21" s="663">
        <v>690699</v>
      </c>
    </row>
    <row r="22" spans="1:40">
      <c r="A22" s="666">
        <v>1</v>
      </c>
      <c r="B22" s="667" t="s">
        <v>9611</v>
      </c>
      <c r="C22" s="663">
        <v>75950</v>
      </c>
      <c r="D22" s="680" t="s">
        <v>9602</v>
      </c>
      <c r="E22" s="663">
        <v>754</v>
      </c>
      <c r="F22" s="663">
        <v>150161</v>
      </c>
      <c r="G22" s="663">
        <v>33</v>
      </c>
      <c r="H22" s="663">
        <v>1543</v>
      </c>
      <c r="I22" s="663">
        <v>50</v>
      </c>
      <c r="J22" s="663">
        <v>14832</v>
      </c>
      <c r="K22" s="663">
        <v>8668</v>
      </c>
      <c r="L22" s="664" t="s">
        <v>9602</v>
      </c>
      <c r="M22" s="663">
        <v>7925</v>
      </c>
      <c r="N22" s="663">
        <v>8795712</v>
      </c>
      <c r="O22" s="663">
        <v>221</v>
      </c>
      <c r="P22" s="680" t="s">
        <v>9602</v>
      </c>
      <c r="Q22" s="663">
        <v>522</v>
      </c>
      <c r="R22" s="663">
        <v>65512</v>
      </c>
      <c r="S22" s="663">
        <v>2024</v>
      </c>
      <c r="T22" s="680" t="s">
        <v>9602</v>
      </c>
      <c r="U22" s="663">
        <v>18918</v>
      </c>
      <c r="V22" s="663">
        <v>6055758</v>
      </c>
      <c r="W22" s="663">
        <v>1198</v>
      </c>
      <c r="X22" s="664" t="s">
        <v>9602</v>
      </c>
      <c r="Y22" s="663">
        <v>4713</v>
      </c>
      <c r="Z22" s="663">
        <v>308402</v>
      </c>
      <c r="AA22" s="663">
        <v>3066</v>
      </c>
      <c r="AB22" s="663">
        <v>256811</v>
      </c>
      <c r="AC22" s="663">
        <v>8607</v>
      </c>
      <c r="AD22" s="663">
        <v>296204</v>
      </c>
      <c r="AE22" s="663">
        <v>7061</v>
      </c>
      <c r="AF22" s="663">
        <v>449943</v>
      </c>
      <c r="AG22" s="663">
        <v>2320</v>
      </c>
      <c r="AH22" s="663">
        <v>44678</v>
      </c>
      <c r="AI22" s="663">
        <v>6128</v>
      </c>
      <c r="AJ22" s="663">
        <v>1795468</v>
      </c>
      <c r="AK22" s="663">
        <v>456</v>
      </c>
      <c r="AL22" s="663">
        <v>23073</v>
      </c>
      <c r="AM22" s="663">
        <v>3286</v>
      </c>
      <c r="AN22" s="663">
        <v>537875</v>
      </c>
    </row>
    <row r="23" spans="1:40">
      <c r="A23" s="666">
        <v>1</v>
      </c>
      <c r="B23" s="667" t="s">
        <v>9612</v>
      </c>
      <c r="C23" s="663">
        <v>80546</v>
      </c>
      <c r="D23" s="680" t="s">
        <v>9602</v>
      </c>
      <c r="E23" s="663">
        <v>821</v>
      </c>
      <c r="F23" s="663">
        <v>134664</v>
      </c>
      <c r="G23" s="663">
        <v>11</v>
      </c>
      <c r="H23" s="663">
        <v>385</v>
      </c>
      <c r="I23" s="663">
        <v>27</v>
      </c>
      <c r="J23" s="664" t="s">
        <v>4020</v>
      </c>
      <c r="K23" s="663">
        <v>9317</v>
      </c>
      <c r="L23" s="664" t="s">
        <v>9602</v>
      </c>
      <c r="M23" s="663">
        <v>9531</v>
      </c>
      <c r="N23" s="663">
        <v>8590956</v>
      </c>
      <c r="O23" s="663">
        <v>297</v>
      </c>
      <c r="P23" s="680" t="s">
        <v>9602</v>
      </c>
      <c r="Q23" s="663">
        <v>613</v>
      </c>
      <c r="R23" s="663">
        <v>122449</v>
      </c>
      <c r="S23" s="663">
        <v>1932</v>
      </c>
      <c r="T23" s="680" t="s">
        <v>9602</v>
      </c>
      <c r="U23" s="663">
        <v>19156</v>
      </c>
      <c r="V23" s="663">
        <v>6042679</v>
      </c>
      <c r="W23" s="663">
        <v>1379</v>
      </c>
      <c r="X23" s="664" t="s">
        <v>9602</v>
      </c>
      <c r="Y23" s="663">
        <v>5243</v>
      </c>
      <c r="Z23" s="663">
        <v>346661</v>
      </c>
      <c r="AA23" s="663">
        <v>3302</v>
      </c>
      <c r="AB23" s="663">
        <v>317411</v>
      </c>
      <c r="AC23" s="663">
        <v>8390</v>
      </c>
      <c r="AD23" s="663">
        <v>280954</v>
      </c>
      <c r="AE23" s="663">
        <v>7264</v>
      </c>
      <c r="AF23" s="663">
        <v>414877</v>
      </c>
      <c r="AG23" s="663">
        <v>2255</v>
      </c>
      <c r="AH23" s="663">
        <v>35406</v>
      </c>
      <c r="AI23" s="663">
        <v>6926</v>
      </c>
      <c r="AJ23" s="663">
        <v>1810629</v>
      </c>
      <c r="AK23" s="663">
        <v>467</v>
      </c>
      <c r="AL23" s="663">
        <v>46610</v>
      </c>
      <c r="AM23" s="663">
        <v>3613</v>
      </c>
      <c r="AN23" s="663">
        <v>493286</v>
      </c>
    </row>
    <row r="24" spans="1:40">
      <c r="A24" s="666">
        <v>1</v>
      </c>
      <c r="B24" s="667" t="s">
        <v>9613</v>
      </c>
      <c r="C24" s="663">
        <v>218164</v>
      </c>
      <c r="D24" s="680" t="s">
        <v>9602</v>
      </c>
      <c r="E24" s="663">
        <v>750</v>
      </c>
      <c r="F24" s="663">
        <v>95331</v>
      </c>
      <c r="G24" s="663">
        <v>2</v>
      </c>
      <c r="H24" s="664" t="s">
        <v>4020</v>
      </c>
      <c r="I24" s="663">
        <v>30</v>
      </c>
      <c r="J24" s="663">
        <v>14882</v>
      </c>
      <c r="K24" s="663">
        <v>25335</v>
      </c>
      <c r="L24" s="664" t="s">
        <v>9602</v>
      </c>
      <c r="M24" s="663">
        <v>23106</v>
      </c>
      <c r="N24" s="663">
        <v>14837943</v>
      </c>
      <c r="O24" s="663">
        <v>239</v>
      </c>
      <c r="P24" s="680" t="s">
        <v>9602</v>
      </c>
      <c r="Q24" s="663">
        <v>2261</v>
      </c>
      <c r="R24" s="663">
        <v>308389</v>
      </c>
      <c r="S24" s="663">
        <v>6963</v>
      </c>
      <c r="T24" s="680" t="s">
        <v>9602</v>
      </c>
      <c r="U24" s="663">
        <v>49639</v>
      </c>
      <c r="V24" s="663">
        <v>19472139</v>
      </c>
      <c r="W24" s="663">
        <v>2988</v>
      </c>
      <c r="X24" s="664" t="s">
        <v>9602</v>
      </c>
      <c r="Y24" s="663">
        <v>17387</v>
      </c>
      <c r="Z24" s="663">
        <v>1978951</v>
      </c>
      <c r="AA24" s="663">
        <v>9634</v>
      </c>
      <c r="AB24" s="663">
        <v>857976</v>
      </c>
      <c r="AC24" s="663">
        <v>21375</v>
      </c>
      <c r="AD24" s="663">
        <v>793302</v>
      </c>
      <c r="AE24" s="663">
        <v>19113</v>
      </c>
      <c r="AF24" s="663">
        <v>1255124</v>
      </c>
      <c r="AG24" s="663">
        <v>7889</v>
      </c>
      <c r="AH24" s="663">
        <v>185218</v>
      </c>
      <c r="AI24" s="663">
        <v>20861</v>
      </c>
      <c r="AJ24" s="663">
        <v>5729661</v>
      </c>
      <c r="AK24" s="663">
        <v>897</v>
      </c>
      <c r="AL24" s="663">
        <v>59094</v>
      </c>
      <c r="AM24" s="663">
        <v>9695</v>
      </c>
      <c r="AN24" s="663">
        <v>1886400</v>
      </c>
    </row>
    <row r="25" spans="1:40">
      <c r="A25" s="666">
        <v>1</v>
      </c>
      <c r="B25" s="667" t="s">
        <v>9614</v>
      </c>
      <c r="C25" s="663">
        <v>172428</v>
      </c>
      <c r="D25" s="680" t="s">
        <v>9602</v>
      </c>
      <c r="E25" s="663">
        <v>1194</v>
      </c>
      <c r="F25" s="663">
        <v>168072</v>
      </c>
      <c r="G25" s="663">
        <v>60</v>
      </c>
      <c r="H25" s="663">
        <v>10706</v>
      </c>
      <c r="I25" s="663">
        <v>68</v>
      </c>
      <c r="J25" s="664" t="s">
        <v>4020</v>
      </c>
      <c r="K25" s="663">
        <v>19903</v>
      </c>
      <c r="L25" s="664" t="s">
        <v>9602</v>
      </c>
      <c r="M25" s="663">
        <v>10095</v>
      </c>
      <c r="N25" s="663">
        <v>13530567</v>
      </c>
      <c r="O25" s="663">
        <v>356</v>
      </c>
      <c r="P25" s="680" t="s">
        <v>9602</v>
      </c>
      <c r="Q25" s="663">
        <v>2052</v>
      </c>
      <c r="R25" s="663">
        <v>671814</v>
      </c>
      <c r="S25" s="663">
        <v>5467</v>
      </c>
      <c r="T25" s="680" t="s">
        <v>9602</v>
      </c>
      <c r="U25" s="663">
        <v>41165</v>
      </c>
      <c r="V25" s="663">
        <v>14543101</v>
      </c>
      <c r="W25" s="663">
        <v>2702</v>
      </c>
      <c r="X25" s="664" t="s">
        <v>9602</v>
      </c>
      <c r="Y25" s="663">
        <v>12989</v>
      </c>
      <c r="Z25" s="663">
        <v>1553737</v>
      </c>
      <c r="AA25" s="663">
        <v>8039</v>
      </c>
      <c r="AB25" s="663">
        <v>1117702</v>
      </c>
      <c r="AC25" s="663">
        <v>18999</v>
      </c>
      <c r="AD25" s="663">
        <v>838402</v>
      </c>
      <c r="AE25" s="663">
        <v>16627</v>
      </c>
      <c r="AF25" s="663">
        <v>1617380</v>
      </c>
      <c r="AG25" s="663">
        <v>6123</v>
      </c>
      <c r="AH25" s="663">
        <v>158185</v>
      </c>
      <c r="AI25" s="663">
        <v>17357</v>
      </c>
      <c r="AJ25" s="663">
        <v>4855019</v>
      </c>
      <c r="AK25" s="663">
        <v>936</v>
      </c>
      <c r="AL25" s="663">
        <v>45832</v>
      </c>
      <c r="AM25" s="663">
        <v>8296</v>
      </c>
      <c r="AN25" s="663">
        <v>1516963</v>
      </c>
    </row>
    <row r="26" spans="1:40">
      <c r="A26" s="666">
        <v>1</v>
      </c>
      <c r="B26" s="667" t="s">
        <v>9615</v>
      </c>
      <c r="C26" s="663">
        <v>585893</v>
      </c>
      <c r="D26" s="680" t="s">
        <v>9602</v>
      </c>
      <c r="E26" s="663">
        <v>596</v>
      </c>
      <c r="F26" s="663">
        <v>67188</v>
      </c>
      <c r="G26" s="663">
        <v>6</v>
      </c>
      <c r="H26" s="663">
        <v>3078</v>
      </c>
      <c r="I26" s="663">
        <v>54</v>
      </c>
      <c r="J26" s="663">
        <v>14489</v>
      </c>
      <c r="K26" s="663">
        <v>40602</v>
      </c>
      <c r="L26" s="664" t="s">
        <v>9602</v>
      </c>
      <c r="M26" s="663">
        <v>36987</v>
      </c>
      <c r="N26" s="663">
        <v>11488520</v>
      </c>
      <c r="O26" s="663">
        <v>1025</v>
      </c>
      <c r="P26" s="680" t="s">
        <v>9602</v>
      </c>
      <c r="Q26" s="663">
        <v>29208</v>
      </c>
      <c r="R26" s="663">
        <v>30247285</v>
      </c>
      <c r="S26" s="663">
        <v>12669</v>
      </c>
      <c r="T26" s="680" t="s">
        <v>9602</v>
      </c>
      <c r="U26" s="663">
        <v>134013</v>
      </c>
      <c r="V26" s="663">
        <v>199812560</v>
      </c>
      <c r="W26" s="663">
        <v>11956</v>
      </c>
      <c r="X26" s="664" t="s">
        <v>9602</v>
      </c>
      <c r="Y26" s="663">
        <v>63405</v>
      </c>
      <c r="Z26" s="663">
        <v>24792297</v>
      </c>
      <c r="AA26" s="663">
        <v>50700</v>
      </c>
      <c r="AB26" s="663">
        <v>25777716</v>
      </c>
      <c r="AC26" s="663">
        <v>67300</v>
      </c>
      <c r="AD26" s="663">
        <v>3357190</v>
      </c>
      <c r="AE26" s="663">
        <v>40319</v>
      </c>
      <c r="AF26" s="663">
        <v>7887929</v>
      </c>
      <c r="AG26" s="663">
        <v>18019</v>
      </c>
      <c r="AH26" s="663">
        <v>1142646</v>
      </c>
      <c r="AI26" s="663">
        <v>49681</v>
      </c>
      <c r="AJ26" s="663">
        <v>40594584</v>
      </c>
      <c r="AK26" s="663">
        <v>1714</v>
      </c>
      <c r="AL26" s="663">
        <v>114974</v>
      </c>
      <c r="AM26" s="663">
        <v>27639</v>
      </c>
      <c r="AN26" s="663">
        <v>12729607</v>
      </c>
    </row>
    <row r="27" spans="1:40">
      <c r="A27" s="666">
        <v>1</v>
      </c>
      <c r="B27" s="667" t="s">
        <v>9616</v>
      </c>
      <c r="C27" s="663">
        <v>268014</v>
      </c>
      <c r="D27" s="680" t="s">
        <v>9602</v>
      </c>
      <c r="E27" s="663">
        <v>714</v>
      </c>
      <c r="F27" s="663">
        <v>61654</v>
      </c>
      <c r="G27" s="663">
        <v>31</v>
      </c>
      <c r="H27" s="663">
        <v>7562</v>
      </c>
      <c r="I27" s="663">
        <v>22</v>
      </c>
      <c r="J27" s="663">
        <v>6541</v>
      </c>
      <c r="K27" s="663">
        <v>28711</v>
      </c>
      <c r="L27" s="664" t="s">
        <v>9602</v>
      </c>
      <c r="M27" s="663">
        <v>16777</v>
      </c>
      <c r="N27" s="663">
        <v>19413164</v>
      </c>
      <c r="O27" s="663">
        <v>268</v>
      </c>
      <c r="P27" s="680" t="s">
        <v>9602</v>
      </c>
      <c r="Q27" s="663">
        <v>5058</v>
      </c>
      <c r="R27" s="663">
        <v>2573561</v>
      </c>
      <c r="S27" s="663">
        <v>7348</v>
      </c>
      <c r="T27" s="680" t="s">
        <v>9602</v>
      </c>
      <c r="U27" s="663">
        <v>58199</v>
      </c>
      <c r="V27" s="663">
        <v>25820646</v>
      </c>
      <c r="W27" s="663">
        <v>3692</v>
      </c>
      <c r="X27" s="664" t="s">
        <v>9602</v>
      </c>
      <c r="Y27" s="663">
        <v>28121</v>
      </c>
      <c r="Z27" s="663">
        <v>3737077</v>
      </c>
      <c r="AA27" s="663">
        <v>15365</v>
      </c>
      <c r="AB27" s="663">
        <v>3965138</v>
      </c>
      <c r="AC27" s="663">
        <v>29662</v>
      </c>
      <c r="AD27" s="663">
        <v>1226256</v>
      </c>
      <c r="AE27" s="663">
        <v>21449</v>
      </c>
      <c r="AF27" s="663">
        <v>1664416</v>
      </c>
      <c r="AG27" s="663">
        <v>10245</v>
      </c>
      <c r="AH27" s="663">
        <v>319931</v>
      </c>
      <c r="AI27" s="663">
        <v>29784</v>
      </c>
      <c r="AJ27" s="663">
        <v>7752955</v>
      </c>
      <c r="AK27" s="663">
        <v>1042</v>
      </c>
      <c r="AL27" s="663">
        <v>92679</v>
      </c>
      <c r="AM27" s="663">
        <v>11523</v>
      </c>
      <c r="AN27" s="663">
        <v>2708834</v>
      </c>
    </row>
    <row r="28" spans="1:40">
      <c r="A28" s="666">
        <v>1</v>
      </c>
      <c r="B28" s="667" t="s">
        <v>9617</v>
      </c>
      <c r="C28" s="663">
        <v>97024</v>
      </c>
      <c r="D28" s="680" t="s">
        <v>9602</v>
      </c>
      <c r="E28" s="663">
        <v>1411</v>
      </c>
      <c r="F28" s="663">
        <v>146547</v>
      </c>
      <c r="G28" s="663">
        <v>57</v>
      </c>
      <c r="H28" s="663">
        <v>8988</v>
      </c>
      <c r="I28" s="663">
        <v>88</v>
      </c>
      <c r="J28" s="663">
        <v>115545</v>
      </c>
      <c r="K28" s="663">
        <v>12189</v>
      </c>
      <c r="L28" s="664" t="s">
        <v>9602</v>
      </c>
      <c r="M28" s="663">
        <v>9976</v>
      </c>
      <c r="N28" s="663">
        <v>5328912</v>
      </c>
      <c r="O28" s="663">
        <v>187</v>
      </c>
      <c r="P28" s="680" t="s">
        <v>9602</v>
      </c>
      <c r="Q28" s="663">
        <v>822</v>
      </c>
      <c r="R28" s="663">
        <v>140584</v>
      </c>
      <c r="S28" s="663">
        <v>2068</v>
      </c>
      <c r="T28" s="680" t="s">
        <v>9602</v>
      </c>
      <c r="U28" s="663">
        <v>24753</v>
      </c>
      <c r="V28" s="663">
        <v>7147000</v>
      </c>
      <c r="W28" s="663">
        <v>1583</v>
      </c>
      <c r="X28" s="664" t="s">
        <v>9602</v>
      </c>
      <c r="Y28" s="663">
        <v>4930</v>
      </c>
      <c r="Z28" s="663">
        <v>413931</v>
      </c>
      <c r="AA28" s="663">
        <v>3781</v>
      </c>
      <c r="AB28" s="663">
        <v>268764</v>
      </c>
      <c r="AC28" s="663">
        <v>10778</v>
      </c>
      <c r="AD28" s="663">
        <v>313467</v>
      </c>
      <c r="AE28" s="663">
        <v>9511</v>
      </c>
      <c r="AF28" s="663">
        <v>399606</v>
      </c>
      <c r="AG28" s="663">
        <v>2853</v>
      </c>
      <c r="AH28" s="663">
        <v>45794</v>
      </c>
      <c r="AI28" s="663">
        <v>7590</v>
      </c>
      <c r="AJ28" s="663">
        <v>2189810</v>
      </c>
      <c r="AK28" s="663">
        <v>842</v>
      </c>
      <c r="AL28" s="663">
        <v>37228</v>
      </c>
      <c r="AM28" s="663">
        <v>3604</v>
      </c>
      <c r="AN28" s="663">
        <v>545480</v>
      </c>
    </row>
    <row r="29" spans="1:40">
      <c r="A29" s="666">
        <v>1</v>
      </c>
      <c r="B29" s="667" t="s">
        <v>9618</v>
      </c>
      <c r="C29" s="663">
        <v>45393</v>
      </c>
      <c r="D29" s="680" t="s">
        <v>9602</v>
      </c>
      <c r="E29" s="663">
        <v>770</v>
      </c>
      <c r="F29" s="663">
        <v>50679</v>
      </c>
      <c r="G29" s="663">
        <v>38</v>
      </c>
      <c r="H29" s="663">
        <v>5778</v>
      </c>
      <c r="I29" s="663">
        <v>35</v>
      </c>
      <c r="J29" s="664" t="s">
        <v>4020</v>
      </c>
      <c r="K29" s="663">
        <v>5379</v>
      </c>
      <c r="L29" s="664" t="s">
        <v>9602</v>
      </c>
      <c r="M29" s="663">
        <v>4605</v>
      </c>
      <c r="N29" s="663">
        <v>3981088</v>
      </c>
      <c r="O29" s="663">
        <v>72</v>
      </c>
      <c r="P29" s="680" t="s">
        <v>9602</v>
      </c>
      <c r="Q29" s="663">
        <v>437</v>
      </c>
      <c r="R29" s="663">
        <v>90290</v>
      </c>
      <c r="S29" s="663">
        <v>1035</v>
      </c>
      <c r="T29" s="680" t="s">
        <v>9602</v>
      </c>
      <c r="U29" s="663">
        <v>11908</v>
      </c>
      <c r="V29" s="663">
        <v>3379527</v>
      </c>
      <c r="W29" s="663">
        <v>932</v>
      </c>
      <c r="X29" s="664" t="s">
        <v>9602</v>
      </c>
      <c r="Y29" s="663">
        <v>2109</v>
      </c>
      <c r="Z29" s="663">
        <v>191458</v>
      </c>
      <c r="AA29" s="663">
        <v>1920</v>
      </c>
      <c r="AB29" s="663">
        <v>154032</v>
      </c>
      <c r="AC29" s="663">
        <v>4582</v>
      </c>
      <c r="AD29" s="663">
        <v>148187</v>
      </c>
      <c r="AE29" s="663">
        <v>4291</v>
      </c>
      <c r="AF29" s="663">
        <v>201545</v>
      </c>
      <c r="AG29" s="663">
        <v>1465</v>
      </c>
      <c r="AH29" s="663">
        <v>18656</v>
      </c>
      <c r="AI29" s="663">
        <v>3588</v>
      </c>
      <c r="AJ29" s="663">
        <v>1044957</v>
      </c>
      <c r="AK29" s="663">
        <v>394</v>
      </c>
      <c r="AL29" s="663">
        <v>28994</v>
      </c>
      <c r="AM29" s="663">
        <v>1833</v>
      </c>
      <c r="AN29" s="663">
        <v>254135</v>
      </c>
    </row>
    <row r="30" spans="1:40">
      <c r="A30" s="666">
        <v>1</v>
      </c>
      <c r="B30" s="667" t="s">
        <v>9619</v>
      </c>
      <c r="C30" s="663">
        <v>52384</v>
      </c>
      <c r="D30" s="680" t="s">
        <v>9602</v>
      </c>
      <c r="E30" s="663">
        <v>499</v>
      </c>
      <c r="F30" s="663">
        <v>33591</v>
      </c>
      <c r="G30" s="663">
        <v>66</v>
      </c>
      <c r="H30" s="663">
        <v>7984</v>
      </c>
      <c r="I30" s="663">
        <v>27</v>
      </c>
      <c r="J30" s="663">
        <v>3080</v>
      </c>
      <c r="K30" s="663">
        <v>5741</v>
      </c>
      <c r="L30" s="664" t="s">
        <v>9602</v>
      </c>
      <c r="M30" s="663">
        <v>6209</v>
      </c>
      <c r="N30" s="663">
        <v>2909713</v>
      </c>
      <c r="O30" s="663">
        <v>66</v>
      </c>
      <c r="P30" s="680" t="s">
        <v>9602</v>
      </c>
      <c r="Q30" s="663">
        <v>603</v>
      </c>
      <c r="R30" s="663">
        <v>169884</v>
      </c>
      <c r="S30" s="663">
        <v>1238</v>
      </c>
      <c r="T30" s="680" t="s">
        <v>9602</v>
      </c>
      <c r="U30" s="663">
        <v>13197</v>
      </c>
      <c r="V30" s="663">
        <v>4304615</v>
      </c>
      <c r="W30" s="663">
        <v>936</v>
      </c>
      <c r="X30" s="664" t="s">
        <v>9602</v>
      </c>
      <c r="Y30" s="663">
        <v>2906</v>
      </c>
      <c r="Z30" s="663">
        <v>298705</v>
      </c>
      <c r="AA30" s="663">
        <v>2393</v>
      </c>
      <c r="AB30" s="663">
        <v>145739</v>
      </c>
      <c r="AC30" s="663">
        <v>6054</v>
      </c>
      <c r="AD30" s="663">
        <v>214020</v>
      </c>
      <c r="AE30" s="663">
        <v>4528</v>
      </c>
      <c r="AF30" s="663">
        <v>256102</v>
      </c>
      <c r="AG30" s="663">
        <v>1678</v>
      </c>
      <c r="AH30" s="663">
        <v>26339</v>
      </c>
      <c r="AI30" s="663">
        <v>3781</v>
      </c>
      <c r="AJ30" s="663">
        <v>1123570</v>
      </c>
      <c r="AK30" s="663">
        <v>425</v>
      </c>
      <c r="AL30" s="663">
        <v>32605</v>
      </c>
      <c r="AM30" s="663">
        <v>2037</v>
      </c>
      <c r="AN30" s="663">
        <v>308089</v>
      </c>
    </row>
    <row r="31" spans="1:40">
      <c r="A31" s="666">
        <v>1</v>
      </c>
      <c r="B31" s="667" t="s">
        <v>9620</v>
      </c>
      <c r="C31" s="663">
        <v>36931</v>
      </c>
      <c r="D31" s="680" t="s">
        <v>9602</v>
      </c>
      <c r="E31" s="663">
        <v>493</v>
      </c>
      <c r="F31" s="663">
        <v>28291</v>
      </c>
      <c r="G31" s="663">
        <v>30</v>
      </c>
      <c r="H31" s="663">
        <v>2004</v>
      </c>
      <c r="I31" s="663">
        <v>16</v>
      </c>
      <c r="J31" s="664" t="s">
        <v>4020</v>
      </c>
      <c r="K31" s="663">
        <v>4489</v>
      </c>
      <c r="L31" s="664" t="s">
        <v>9602</v>
      </c>
      <c r="M31" s="663">
        <v>4660</v>
      </c>
      <c r="N31" s="663">
        <v>2520764</v>
      </c>
      <c r="O31" s="663">
        <v>51</v>
      </c>
      <c r="P31" s="680" t="s">
        <v>9602</v>
      </c>
      <c r="Q31" s="663">
        <v>340</v>
      </c>
      <c r="R31" s="663">
        <v>52865</v>
      </c>
      <c r="S31" s="663">
        <v>832</v>
      </c>
      <c r="T31" s="680" t="s">
        <v>9602</v>
      </c>
      <c r="U31" s="663">
        <v>9272</v>
      </c>
      <c r="V31" s="663">
        <v>2222145</v>
      </c>
      <c r="W31" s="663">
        <v>712</v>
      </c>
      <c r="X31" s="664" t="s">
        <v>9602</v>
      </c>
      <c r="Y31" s="663">
        <v>1450</v>
      </c>
      <c r="Z31" s="663">
        <v>123823</v>
      </c>
      <c r="AA31" s="663">
        <v>1634</v>
      </c>
      <c r="AB31" s="663">
        <v>139222</v>
      </c>
      <c r="AC31" s="663">
        <v>4535</v>
      </c>
      <c r="AD31" s="663">
        <v>127056</v>
      </c>
      <c r="AE31" s="663">
        <v>3235</v>
      </c>
      <c r="AF31" s="663">
        <v>180931</v>
      </c>
      <c r="AG31" s="663">
        <v>992</v>
      </c>
      <c r="AH31" s="663">
        <v>11966</v>
      </c>
      <c r="AI31" s="663">
        <v>2531</v>
      </c>
      <c r="AJ31" s="663">
        <v>804634</v>
      </c>
      <c r="AK31" s="663">
        <v>325</v>
      </c>
      <c r="AL31" s="663">
        <v>23230</v>
      </c>
      <c r="AM31" s="663">
        <v>1334</v>
      </c>
      <c r="AN31" s="663">
        <v>185351</v>
      </c>
    </row>
    <row r="32" spans="1:40">
      <c r="A32" s="666">
        <v>1</v>
      </c>
      <c r="B32" s="667" t="s">
        <v>9621</v>
      </c>
      <c r="C32" s="663">
        <v>38094</v>
      </c>
      <c r="D32" s="680" t="s">
        <v>9602</v>
      </c>
      <c r="E32" s="663">
        <v>361</v>
      </c>
      <c r="F32" s="663">
        <v>22530</v>
      </c>
      <c r="G32" s="663">
        <v>13</v>
      </c>
      <c r="H32" s="663">
        <v>957</v>
      </c>
      <c r="I32" s="663">
        <v>27</v>
      </c>
      <c r="J32" s="663">
        <v>8197</v>
      </c>
      <c r="K32" s="663">
        <v>4123</v>
      </c>
      <c r="L32" s="664" t="s">
        <v>9602</v>
      </c>
      <c r="M32" s="663">
        <v>4020</v>
      </c>
      <c r="N32" s="663">
        <v>2821323</v>
      </c>
      <c r="O32" s="663">
        <v>97</v>
      </c>
      <c r="P32" s="680" t="s">
        <v>9602</v>
      </c>
      <c r="Q32" s="663">
        <v>338</v>
      </c>
      <c r="R32" s="663">
        <v>45553</v>
      </c>
      <c r="S32" s="663">
        <v>747</v>
      </c>
      <c r="T32" s="680" t="s">
        <v>9602</v>
      </c>
      <c r="U32" s="663">
        <v>8896</v>
      </c>
      <c r="V32" s="663">
        <v>1967864</v>
      </c>
      <c r="W32" s="663">
        <v>627</v>
      </c>
      <c r="X32" s="664" t="s">
        <v>9602</v>
      </c>
      <c r="Y32" s="663">
        <v>2468</v>
      </c>
      <c r="Z32" s="663">
        <v>121713</v>
      </c>
      <c r="AA32" s="663">
        <v>1503</v>
      </c>
      <c r="AB32" s="663">
        <v>80173</v>
      </c>
      <c r="AC32" s="663">
        <v>5363</v>
      </c>
      <c r="AD32" s="663">
        <v>163109</v>
      </c>
      <c r="AE32" s="663">
        <v>3346</v>
      </c>
      <c r="AF32" s="663">
        <v>227142</v>
      </c>
      <c r="AG32" s="663">
        <v>1213</v>
      </c>
      <c r="AH32" s="663">
        <v>20088</v>
      </c>
      <c r="AI32" s="663">
        <v>2966</v>
      </c>
      <c r="AJ32" s="663">
        <v>830980</v>
      </c>
      <c r="AK32" s="663">
        <v>316</v>
      </c>
      <c r="AL32" s="663">
        <v>10367</v>
      </c>
      <c r="AM32" s="663">
        <v>1670</v>
      </c>
      <c r="AN32" s="663">
        <v>151539</v>
      </c>
    </row>
    <row r="33" spans="1:40">
      <c r="A33" s="666">
        <v>1</v>
      </c>
      <c r="B33" s="667" t="s">
        <v>9622</v>
      </c>
      <c r="C33" s="663">
        <v>93470</v>
      </c>
      <c r="D33" s="680" t="s">
        <v>9602</v>
      </c>
      <c r="E33" s="663">
        <v>1322</v>
      </c>
      <c r="F33" s="663">
        <v>132250</v>
      </c>
      <c r="G33" s="663">
        <v>29</v>
      </c>
      <c r="H33" s="663">
        <v>1732</v>
      </c>
      <c r="I33" s="663">
        <v>58</v>
      </c>
      <c r="J33" s="663">
        <v>5625</v>
      </c>
      <c r="K33" s="663">
        <v>10579</v>
      </c>
      <c r="L33" s="664" t="s">
        <v>9602</v>
      </c>
      <c r="M33" s="663">
        <v>9613</v>
      </c>
      <c r="N33" s="663">
        <v>6886914</v>
      </c>
      <c r="O33" s="663">
        <v>267</v>
      </c>
      <c r="P33" s="680" t="s">
        <v>9602</v>
      </c>
      <c r="Q33" s="663">
        <v>940</v>
      </c>
      <c r="R33" s="663">
        <v>130399</v>
      </c>
      <c r="S33" s="663">
        <v>1767</v>
      </c>
      <c r="T33" s="680" t="s">
        <v>9602</v>
      </c>
      <c r="U33" s="663">
        <v>21989</v>
      </c>
      <c r="V33" s="663">
        <v>6225489</v>
      </c>
      <c r="W33" s="663">
        <v>1463</v>
      </c>
      <c r="X33" s="664" t="s">
        <v>9602</v>
      </c>
      <c r="Y33" s="663">
        <v>6643</v>
      </c>
      <c r="Z33" s="663">
        <v>365473</v>
      </c>
      <c r="AA33" s="663">
        <v>4101</v>
      </c>
      <c r="AB33" s="663">
        <v>235934</v>
      </c>
      <c r="AC33" s="663">
        <v>12724</v>
      </c>
      <c r="AD33" s="663">
        <v>390429</v>
      </c>
      <c r="AE33" s="663">
        <v>7872</v>
      </c>
      <c r="AF33" s="663">
        <v>366682</v>
      </c>
      <c r="AG33" s="663">
        <v>2591</v>
      </c>
      <c r="AH33" s="663">
        <v>41144</v>
      </c>
      <c r="AI33" s="663">
        <v>7226</v>
      </c>
      <c r="AJ33" s="663">
        <v>1963460</v>
      </c>
      <c r="AK33" s="663">
        <v>843</v>
      </c>
      <c r="AL33" s="663">
        <v>73889</v>
      </c>
      <c r="AM33" s="663">
        <v>3443</v>
      </c>
      <c r="AN33" s="663">
        <v>402968</v>
      </c>
    </row>
    <row r="34" spans="1:40">
      <c r="A34" s="666">
        <v>1</v>
      </c>
      <c r="B34" s="667" t="s">
        <v>9623</v>
      </c>
      <c r="C34" s="663">
        <v>87242</v>
      </c>
      <c r="D34" s="680" t="s">
        <v>9602</v>
      </c>
      <c r="E34" s="663">
        <v>886</v>
      </c>
      <c r="F34" s="663">
        <v>90898</v>
      </c>
      <c r="G34" s="663">
        <v>28</v>
      </c>
      <c r="H34" s="663">
        <v>2128</v>
      </c>
      <c r="I34" s="663">
        <v>72</v>
      </c>
      <c r="J34" s="663">
        <v>12100</v>
      </c>
      <c r="K34" s="663">
        <v>9660</v>
      </c>
      <c r="L34" s="664" t="s">
        <v>9602</v>
      </c>
      <c r="M34" s="663">
        <v>11887</v>
      </c>
      <c r="N34" s="663">
        <v>6411494</v>
      </c>
      <c r="O34" s="663">
        <v>159</v>
      </c>
      <c r="P34" s="680" t="s">
        <v>9602</v>
      </c>
      <c r="Q34" s="663">
        <v>571</v>
      </c>
      <c r="R34" s="663">
        <v>90232</v>
      </c>
      <c r="S34" s="663">
        <v>1687</v>
      </c>
      <c r="T34" s="680" t="s">
        <v>9602</v>
      </c>
      <c r="U34" s="663">
        <v>21056</v>
      </c>
      <c r="V34" s="663">
        <v>4890893</v>
      </c>
      <c r="W34" s="663">
        <v>1512</v>
      </c>
      <c r="X34" s="664" t="s">
        <v>9602</v>
      </c>
      <c r="Y34" s="663">
        <v>4683</v>
      </c>
      <c r="Z34" s="663">
        <v>306956</v>
      </c>
      <c r="AA34" s="663">
        <v>3616</v>
      </c>
      <c r="AB34" s="663">
        <v>301212</v>
      </c>
      <c r="AC34" s="663">
        <v>10147</v>
      </c>
      <c r="AD34" s="663">
        <v>280715</v>
      </c>
      <c r="AE34" s="663">
        <v>7473</v>
      </c>
      <c r="AF34" s="663">
        <v>383682</v>
      </c>
      <c r="AG34" s="663">
        <v>2768</v>
      </c>
      <c r="AH34" s="663">
        <v>41027</v>
      </c>
      <c r="AI34" s="663">
        <v>7087</v>
      </c>
      <c r="AJ34" s="663">
        <v>1911946</v>
      </c>
      <c r="AK34" s="663">
        <v>639</v>
      </c>
      <c r="AL34" s="663">
        <v>63195</v>
      </c>
      <c r="AM34" s="663">
        <v>3310</v>
      </c>
      <c r="AN34" s="663">
        <v>426241</v>
      </c>
    </row>
    <row r="35" spans="1:40">
      <c r="A35" s="666">
        <v>1</v>
      </c>
      <c r="B35" s="667" t="s">
        <v>9624</v>
      </c>
      <c r="C35" s="663">
        <v>152486</v>
      </c>
      <c r="D35" s="680" t="s">
        <v>9602</v>
      </c>
      <c r="E35" s="663">
        <v>770</v>
      </c>
      <c r="F35" s="663">
        <v>91173</v>
      </c>
      <c r="G35" s="663">
        <v>126</v>
      </c>
      <c r="H35" s="663">
        <v>36589</v>
      </c>
      <c r="I35" s="663">
        <v>52</v>
      </c>
      <c r="J35" s="664" t="s">
        <v>4020</v>
      </c>
      <c r="K35" s="663">
        <v>16334</v>
      </c>
      <c r="L35" s="664" t="s">
        <v>9602</v>
      </c>
      <c r="M35" s="663">
        <v>17262</v>
      </c>
      <c r="N35" s="663">
        <v>18206967</v>
      </c>
      <c r="O35" s="663">
        <v>294</v>
      </c>
      <c r="P35" s="680" t="s">
        <v>9602</v>
      </c>
      <c r="Q35" s="663">
        <v>1367</v>
      </c>
      <c r="R35" s="663">
        <v>241065</v>
      </c>
      <c r="S35" s="663">
        <v>3880</v>
      </c>
      <c r="T35" s="680" t="s">
        <v>9602</v>
      </c>
      <c r="U35" s="663">
        <v>37385</v>
      </c>
      <c r="V35" s="663">
        <v>12713755</v>
      </c>
      <c r="W35" s="663">
        <v>2522</v>
      </c>
      <c r="X35" s="664" t="s">
        <v>9602</v>
      </c>
      <c r="Y35" s="663">
        <v>10410</v>
      </c>
      <c r="Z35" s="663">
        <v>857052</v>
      </c>
      <c r="AA35" s="663">
        <v>6872</v>
      </c>
      <c r="AB35" s="663">
        <v>492175</v>
      </c>
      <c r="AC35" s="663">
        <v>17580</v>
      </c>
      <c r="AD35" s="663">
        <v>611673</v>
      </c>
      <c r="AE35" s="663">
        <v>13445</v>
      </c>
      <c r="AF35" s="663">
        <v>756535</v>
      </c>
      <c r="AG35" s="663">
        <v>4948</v>
      </c>
      <c r="AH35" s="663">
        <v>97807</v>
      </c>
      <c r="AI35" s="663">
        <v>12084</v>
      </c>
      <c r="AJ35" s="663">
        <v>3244887</v>
      </c>
      <c r="AK35" s="663">
        <v>890</v>
      </c>
      <c r="AL35" s="663">
        <v>73810</v>
      </c>
      <c r="AM35" s="663">
        <v>6264</v>
      </c>
      <c r="AN35" s="663">
        <v>1089829</v>
      </c>
    </row>
    <row r="36" spans="1:40">
      <c r="A36" s="666">
        <v>1</v>
      </c>
      <c r="B36" s="667" t="s">
        <v>9625</v>
      </c>
      <c r="C36" s="663">
        <v>280580</v>
      </c>
      <c r="D36" s="680" t="s">
        <v>9602</v>
      </c>
      <c r="E36" s="663">
        <v>1028</v>
      </c>
      <c r="F36" s="663">
        <v>164417</v>
      </c>
      <c r="G36" s="663">
        <v>63</v>
      </c>
      <c r="H36" s="663">
        <v>6273</v>
      </c>
      <c r="I36" s="663">
        <v>70</v>
      </c>
      <c r="J36" s="664" t="s">
        <v>4020</v>
      </c>
      <c r="K36" s="663">
        <v>26889</v>
      </c>
      <c r="L36" s="664" t="s">
        <v>9602</v>
      </c>
      <c r="M36" s="663">
        <v>31799</v>
      </c>
      <c r="N36" s="663">
        <v>49250909</v>
      </c>
      <c r="O36" s="663">
        <v>462</v>
      </c>
      <c r="P36" s="680" t="s">
        <v>9602</v>
      </c>
      <c r="Q36" s="663">
        <v>3841</v>
      </c>
      <c r="R36" s="663">
        <v>1698644</v>
      </c>
      <c r="S36" s="663">
        <v>7339</v>
      </c>
      <c r="T36" s="680" t="s">
        <v>9602</v>
      </c>
      <c r="U36" s="663">
        <v>67718</v>
      </c>
      <c r="V36" s="663">
        <v>44036464</v>
      </c>
      <c r="W36" s="663">
        <v>4742</v>
      </c>
      <c r="X36" s="664" t="s">
        <v>9602</v>
      </c>
      <c r="Y36" s="663">
        <v>20097</v>
      </c>
      <c r="Z36" s="663">
        <v>3261475</v>
      </c>
      <c r="AA36" s="663">
        <v>15064</v>
      </c>
      <c r="AB36" s="663">
        <v>2230885</v>
      </c>
      <c r="AC36" s="663">
        <v>31025</v>
      </c>
      <c r="AD36" s="663">
        <v>1190097</v>
      </c>
      <c r="AE36" s="663">
        <v>22508</v>
      </c>
      <c r="AF36" s="663">
        <v>1664228</v>
      </c>
      <c r="AG36" s="663">
        <v>10322</v>
      </c>
      <c r="AH36" s="663">
        <v>209838</v>
      </c>
      <c r="AI36" s="663">
        <v>23739</v>
      </c>
      <c r="AJ36" s="663">
        <v>6859986</v>
      </c>
      <c r="AK36" s="663">
        <v>1309</v>
      </c>
      <c r="AL36" s="663">
        <v>105810</v>
      </c>
      <c r="AM36" s="663">
        <v>12565</v>
      </c>
      <c r="AN36" s="663">
        <v>2768913</v>
      </c>
    </row>
    <row r="37" spans="1:40">
      <c r="A37" s="666">
        <v>1</v>
      </c>
      <c r="B37" s="667" t="s">
        <v>9626</v>
      </c>
      <c r="C37" s="663">
        <v>66445</v>
      </c>
      <c r="D37" s="680" t="s">
        <v>9602</v>
      </c>
      <c r="E37" s="663">
        <v>668</v>
      </c>
      <c r="F37" s="663">
        <v>75020</v>
      </c>
      <c r="G37" s="663">
        <v>127</v>
      </c>
      <c r="H37" s="663">
        <v>23899</v>
      </c>
      <c r="I37" s="663">
        <v>39</v>
      </c>
      <c r="J37" s="663">
        <v>13276</v>
      </c>
      <c r="K37" s="663">
        <v>7355</v>
      </c>
      <c r="L37" s="664" t="s">
        <v>9602</v>
      </c>
      <c r="M37" s="663">
        <v>6656</v>
      </c>
      <c r="N37" s="663">
        <v>11255875</v>
      </c>
      <c r="O37" s="663">
        <v>185</v>
      </c>
      <c r="P37" s="680" t="s">
        <v>9602</v>
      </c>
      <c r="Q37" s="663">
        <v>483</v>
      </c>
      <c r="R37" s="663">
        <v>51621</v>
      </c>
      <c r="S37" s="663">
        <v>1897</v>
      </c>
      <c r="T37" s="680" t="s">
        <v>9602</v>
      </c>
      <c r="U37" s="663">
        <v>16868</v>
      </c>
      <c r="V37" s="663">
        <v>4269380</v>
      </c>
      <c r="W37" s="663">
        <v>1223</v>
      </c>
      <c r="X37" s="664" t="s">
        <v>9602</v>
      </c>
      <c r="Y37" s="663">
        <v>3634</v>
      </c>
      <c r="Z37" s="663">
        <v>292280</v>
      </c>
      <c r="AA37" s="663">
        <v>2672</v>
      </c>
      <c r="AB37" s="663">
        <v>219675</v>
      </c>
      <c r="AC37" s="663">
        <v>7432</v>
      </c>
      <c r="AD37" s="663">
        <v>284102</v>
      </c>
      <c r="AE37" s="663">
        <v>5793</v>
      </c>
      <c r="AF37" s="663">
        <v>351557</v>
      </c>
      <c r="AG37" s="663">
        <v>2042</v>
      </c>
      <c r="AH37" s="663">
        <v>32808</v>
      </c>
      <c r="AI37" s="663">
        <v>5739</v>
      </c>
      <c r="AJ37" s="663">
        <v>1594139</v>
      </c>
      <c r="AK37" s="663">
        <v>654</v>
      </c>
      <c r="AL37" s="663">
        <v>43499</v>
      </c>
      <c r="AM37" s="663">
        <v>2978</v>
      </c>
      <c r="AN37" s="663">
        <v>508925</v>
      </c>
    </row>
    <row r="38" spans="1:40">
      <c r="A38" s="666">
        <v>1</v>
      </c>
      <c r="B38" s="667" t="s">
        <v>9627</v>
      </c>
      <c r="C38" s="663">
        <v>48541</v>
      </c>
      <c r="D38" s="680" t="s">
        <v>9602</v>
      </c>
      <c r="E38" s="663">
        <v>723</v>
      </c>
      <c r="F38" s="663">
        <v>47290</v>
      </c>
      <c r="G38" s="663">
        <v>30</v>
      </c>
      <c r="H38" s="663">
        <v>860</v>
      </c>
      <c r="I38" s="663">
        <v>18</v>
      </c>
      <c r="J38" s="664" t="s">
        <v>4020</v>
      </c>
      <c r="K38" s="663">
        <v>5398</v>
      </c>
      <c r="L38" s="664" t="s">
        <v>9602</v>
      </c>
      <c r="M38" s="663">
        <v>5017</v>
      </c>
      <c r="N38" s="663">
        <v>8416565</v>
      </c>
      <c r="O38" s="663">
        <v>88</v>
      </c>
      <c r="P38" s="680" t="s">
        <v>9602</v>
      </c>
      <c r="Q38" s="663">
        <v>385</v>
      </c>
      <c r="R38" s="663">
        <v>28236</v>
      </c>
      <c r="S38" s="663">
        <v>1331</v>
      </c>
      <c r="T38" s="680" t="s">
        <v>9602</v>
      </c>
      <c r="U38" s="663">
        <v>11647</v>
      </c>
      <c r="V38" s="663">
        <v>3145320</v>
      </c>
      <c r="W38" s="663">
        <v>758</v>
      </c>
      <c r="X38" s="664" t="s">
        <v>9602</v>
      </c>
      <c r="Y38" s="663">
        <v>3156</v>
      </c>
      <c r="Z38" s="663">
        <v>283423</v>
      </c>
      <c r="AA38" s="663">
        <v>2252</v>
      </c>
      <c r="AB38" s="663">
        <v>124801</v>
      </c>
      <c r="AC38" s="663">
        <v>4964</v>
      </c>
      <c r="AD38" s="663">
        <v>192301</v>
      </c>
      <c r="AE38" s="663">
        <v>4109</v>
      </c>
      <c r="AF38" s="663">
        <v>214311</v>
      </c>
      <c r="AG38" s="663">
        <v>1814</v>
      </c>
      <c r="AH38" s="663">
        <v>33710</v>
      </c>
      <c r="AI38" s="663">
        <v>4564</v>
      </c>
      <c r="AJ38" s="663">
        <v>1206921</v>
      </c>
      <c r="AK38" s="663">
        <v>370</v>
      </c>
      <c r="AL38" s="663">
        <v>22517</v>
      </c>
      <c r="AM38" s="663">
        <v>1917</v>
      </c>
      <c r="AN38" s="663">
        <v>320528</v>
      </c>
    </row>
    <row r="39" spans="1:40">
      <c r="A39" s="666">
        <v>1</v>
      </c>
      <c r="B39" s="667" t="s">
        <v>9628</v>
      </c>
      <c r="C39" s="663">
        <v>100158</v>
      </c>
      <c r="D39" s="680" t="s">
        <v>9602</v>
      </c>
      <c r="E39" s="663">
        <v>479</v>
      </c>
      <c r="F39" s="663">
        <v>38097</v>
      </c>
      <c r="G39" s="663">
        <v>20</v>
      </c>
      <c r="H39" s="663">
        <v>2910</v>
      </c>
      <c r="I39" s="663">
        <v>21</v>
      </c>
      <c r="J39" s="664" t="s">
        <v>4020</v>
      </c>
      <c r="K39" s="663">
        <v>8414</v>
      </c>
      <c r="L39" s="664" t="s">
        <v>9602</v>
      </c>
      <c r="M39" s="663">
        <v>11569</v>
      </c>
      <c r="N39" s="663">
        <v>6231876</v>
      </c>
      <c r="O39" s="663">
        <v>93</v>
      </c>
      <c r="P39" s="680" t="s">
        <v>9602</v>
      </c>
      <c r="Q39" s="663">
        <v>1230</v>
      </c>
      <c r="R39" s="663">
        <v>250626</v>
      </c>
      <c r="S39" s="663">
        <v>2035</v>
      </c>
      <c r="T39" s="680" t="s">
        <v>9602</v>
      </c>
      <c r="U39" s="663">
        <v>24958</v>
      </c>
      <c r="V39" s="663">
        <v>8773134</v>
      </c>
      <c r="W39" s="663">
        <v>1500</v>
      </c>
      <c r="X39" s="664" t="s">
        <v>9602</v>
      </c>
      <c r="Y39" s="663">
        <v>8436</v>
      </c>
      <c r="Z39" s="663">
        <v>733296</v>
      </c>
      <c r="AA39" s="663">
        <v>4985</v>
      </c>
      <c r="AB39" s="663">
        <v>441795</v>
      </c>
      <c r="AC39" s="663">
        <v>12307</v>
      </c>
      <c r="AD39" s="663">
        <v>490148</v>
      </c>
      <c r="AE39" s="663">
        <v>7819</v>
      </c>
      <c r="AF39" s="663">
        <v>414844</v>
      </c>
      <c r="AG39" s="663">
        <v>3270</v>
      </c>
      <c r="AH39" s="663">
        <v>64560</v>
      </c>
      <c r="AI39" s="663">
        <v>8900</v>
      </c>
      <c r="AJ39" s="663">
        <v>2695303</v>
      </c>
      <c r="AK39" s="663">
        <v>581</v>
      </c>
      <c r="AL39" s="663">
        <v>16513</v>
      </c>
      <c r="AM39" s="663">
        <v>3541</v>
      </c>
      <c r="AN39" s="663">
        <v>559936</v>
      </c>
    </row>
    <row r="40" spans="1:40">
      <c r="A40" s="666">
        <v>1</v>
      </c>
      <c r="B40" s="667" t="s">
        <v>9629</v>
      </c>
      <c r="C40" s="663">
        <v>356246</v>
      </c>
      <c r="D40" s="680" t="s">
        <v>9602</v>
      </c>
      <c r="E40" s="663">
        <v>351</v>
      </c>
      <c r="F40" s="663">
        <v>20309</v>
      </c>
      <c r="G40" s="663">
        <v>9</v>
      </c>
      <c r="H40" s="663">
        <v>3260</v>
      </c>
      <c r="I40" s="663">
        <v>14</v>
      </c>
      <c r="J40" s="663">
        <v>4133</v>
      </c>
      <c r="K40" s="663">
        <v>26737</v>
      </c>
      <c r="L40" s="664" t="s">
        <v>9602</v>
      </c>
      <c r="M40" s="663">
        <v>37493</v>
      </c>
      <c r="N40" s="663">
        <v>19830244</v>
      </c>
      <c r="O40" s="663">
        <v>362</v>
      </c>
      <c r="P40" s="680" t="s">
        <v>9602</v>
      </c>
      <c r="Q40" s="663">
        <v>6858</v>
      </c>
      <c r="R40" s="663">
        <v>3114786</v>
      </c>
      <c r="S40" s="663">
        <v>9632</v>
      </c>
      <c r="T40" s="680" t="s">
        <v>9602</v>
      </c>
      <c r="U40" s="663">
        <v>85656</v>
      </c>
      <c r="V40" s="663">
        <v>62930251</v>
      </c>
      <c r="W40" s="663">
        <v>5192</v>
      </c>
      <c r="X40" s="664" t="s">
        <v>9602</v>
      </c>
      <c r="Y40" s="663">
        <v>35584</v>
      </c>
      <c r="Z40" s="663">
        <v>6497149</v>
      </c>
      <c r="AA40" s="663">
        <v>21114</v>
      </c>
      <c r="AB40" s="663">
        <v>3031745</v>
      </c>
      <c r="AC40" s="663">
        <v>39390</v>
      </c>
      <c r="AD40" s="663">
        <v>1494983</v>
      </c>
      <c r="AE40" s="663">
        <v>24844</v>
      </c>
      <c r="AF40" s="663">
        <v>2048025</v>
      </c>
      <c r="AG40" s="663">
        <v>10755</v>
      </c>
      <c r="AH40" s="663">
        <v>260352</v>
      </c>
      <c r="AI40" s="663">
        <v>36253</v>
      </c>
      <c r="AJ40" s="663">
        <v>9606938</v>
      </c>
      <c r="AK40" s="663">
        <v>1362</v>
      </c>
      <c r="AL40" s="663">
        <v>51844</v>
      </c>
      <c r="AM40" s="663">
        <v>14640</v>
      </c>
      <c r="AN40" s="663">
        <v>3886314</v>
      </c>
    </row>
    <row r="41" spans="1:40">
      <c r="A41" s="670">
        <v>1</v>
      </c>
      <c r="B41" s="671" t="s">
        <v>9630</v>
      </c>
      <c r="C41" s="672">
        <v>187847</v>
      </c>
      <c r="D41" s="680" t="s">
        <v>9602</v>
      </c>
      <c r="E41" s="672">
        <v>941</v>
      </c>
      <c r="F41" s="672">
        <v>116555</v>
      </c>
      <c r="G41" s="672">
        <v>81</v>
      </c>
      <c r="H41" s="672">
        <v>7964</v>
      </c>
      <c r="I41" s="672">
        <v>32</v>
      </c>
      <c r="J41" s="672">
        <v>7024</v>
      </c>
      <c r="K41" s="672">
        <v>16408</v>
      </c>
      <c r="L41" s="673" t="s">
        <v>9602</v>
      </c>
      <c r="M41" s="672">
        <v>16110</v>
      </c>
      <c r="N41" s="672">
        <v>16858407</v>
      </c>
      <c r="O41" s="672">
        <v>296</v>
      </c>
      <c r="P41" s="680" t="s">
        <v>9602</v>
      </c>
      <c r="Q41" s="672">
        <v>1849</v>
      </c>
      <c r="R41" s="672">
        <v>365006</v>
      </c>
      <c r="S41" s="672">
        <v>5120</v>
      </c>
      <c r="T41" s="680" t="s">
        <v>9602</v>
      </c>
      <c r="U41" s="672">
        <v>45876</v>
      </c>
      <c r="V41" s="672">
        <v>16671881</v>
      </c>
      <c r="W41" s="672">
        <v>2921</v>
      </c>
      <c r="X41" s="673" t="s">
        <v>9602</v>
      </c>
      <c r="Y41" s="672">
        <v>14457</v>
      </c>
      <c r="Z41" s="672">
        <v>1378671</v>
      </c>
      <c r="AA41" s="672">
        <v>9040</v>
      </c>
      <c r="AB41" s="672">
        <v>900215</v>
      </c>
      <c r="AC41" s="672">
        <v>23461</v>
      </c>
      <c r="AD41" s="672">
        <v>771024</v>
      </c>
      <c r="AE41" s="672">
        <v>15765</v>
      </c>
      <c r="AF41" s="672">
        <v>932163</v>
      </c>
      <c r="AG41" s="672">
        <v>7335</v>
      </c>
      <c r="AH41" s="672">
        <v>150184</v>
      </c>
      <c r="AI41" s="672">
        <v>19376</v>
      </c>
      <c r="AJ41" s="672">
        <v>5084339</v>
      </c>
      <c r="AK41" s="672">
        <v>1251</v>
      </c>
      <c r="AL41" s="672">
        <v>70113</v>
      </c>
      <c r="AM41" s="672">
        <v>7528</v>
      </c>
      <c r="AN41" s="672">
        <v>1329349</v>
      </c>
    </row>
    <row r="42" spans="1:40">
      <c r="A42" s="666">
        <v>1</v>
      </c>
      <c r="B42" s="667" t="s">
        <v>9631</v>
      </c>
      <c r="C42" s="663">
        <v>41200</v>
      </c>
      <c r="D42" s="680" t="s">
        <v>9602</v>
      </c>
      <c r="E42" s="663">
        <v>215</v>
      </c>
      <c r="F42" s="663">
        <v>16461</v>
      </c>
      <c r="G42" s="663">
        <v>5</v>
      </c>
      <c r="H42" s="664" t="s">
        <v>4020</v>
      </c>
      <c r="I42" s="663">
        <v>6</v>
      </c>
      <c r="J42" s="664" t="s">
        <v>4020</v>
      </c>
      <c r="K42" s="663">
        <v>3494</v>
      </c>
      <c r="L42" s="664" t="s">
        <v>9602</v>
      </c>
      <c r="M42" s="663">
        <v>4104</v>
      </c>
      <c r="N42" s="663">
        <v>1968676</v>
      </c>
      <c r="O42" s="663">
        <v>69</v>
      </c>
      <c r="P42" s="680" t="s">
        <v>9602</v>
      </c>
      <c r="Q42" s="663">
        <v>347</v>
      </c>
      <c r="R42" s="663">
        <v>10901</v>
      </c>
      <c r="S42" s="663">
        <v>744</v>
      </c>
      <c r="T42" s="680" t="s">
        <v>9602</v>
      </c>
      <c r="U42" s="663">
        <v>10426</v>
      </c>
      <c r="V42" s="663">
        <v>2093409</v>
      </c>
      <c r="W42" s="663">
        <v>742</v>
      </c>
      <c r="X42" s="664" t="s">
        <v>9602</v>
      </c>
      <c r="Y42" s="663">
        <v>3135</v>
      </c>
      <c r="Z42" s="663">
        <v>211650</v>
      </c>
      <c r="AA42" s="663">
        <v>1764</v>
      </c>
      <c r="AB42" s="663">
        <v>77901</v>
      </c>
      <c r="AC42" s="663">
        <v>4291</v>
      </c>
      <c r="AD42" s="663">
        <v>140483</v>
      </c>
      <c r="AE42" s="663">
        <v>3594</v>
      </c>
      <c r="AF42" s="663">
        <v>161176</v>
      </c>
      <c r="AG42" s="663">
        <v>1688</v>
      </c>
      <c r="AH42" s="663">
        <v>28481</v>
      </c>
      <c r="AI42" s="663">
        <v>4608</v>
      </c>
      <c r="AJ42" s="663">
        <v>1403501</v>
      </c>
      <c r="AK42" s="663">
        <v>313</v>
      </c>
      <c r="AL42" s="663">
        <v>1387</v>
      </c>
      <c r="AM42" s="663">
        <v>1655</v>
      </c>
      <c r="AN42" s="663">
        <v>158031</v>
      </c>
    </row>
    <row r="43" spans="1:40">
      <c r="A43" s="666">
        <v>1</v>
      </c>
      <c r="B43" s="667" t="s">
        <v>9632</v>
      </c>
      <c r="C43" s="663">
        <v>41580</v>
      </c>
      <c r="D43" s="680" t="s">
        <v>9602</v>
      </c>
      <c r="E43" s="663">
        <v>270</v>
      </c>
      <c r="F43" s="663">
        <v>24907</v>
      </c>
      <c r="G43" s="663">
        <v>43</v>
      </c>
      <c r="H43" s="663">
        <v>10059</v>
      </c>
      <c r="I43" s="663">
        <v>6</v>
      </c>
      <c r="J43" s="663">
        <v>2608</v>
      </c>
      <c r="K43" s="663">
        <v>4170</v>
      </c>
      <c r="L43" s="664" t="s">
        <v>9602</v>
      </c>
      <c r="M43" s="663">
        <v>3449</v>
      </c>
      <c r="N43" s="663">
        <v>2499489</v>
      </c>
      <c r="O43" s="663">
        <v>71</v>
      </c>
      <c r="P43" s="680" t="s">
        <v>9602</v>
      </c>
      <c r="Q43" s="663">
        <v>268</v>
      </c>
      <c r="R43" s="663">
        <v>22563</v>
      </c>
      <c r="S43" s="663">
        <v>894</v>
      </c>
      <c r="T43" s="680" t="s">
        <v>9602</v>
      </c>
      <c r="U43" s="663">
        <v>11008</v>
      </c>
      <c r="V43" s="663">
        <v>2362706</v>
      </c>
      <c r="W43" s="663">
        <v>711</v>
      </c>
      <c r="X43" s="664" t="s">
        <v>9602</v>
      </c>
      <c r="Y43" s="663">
        <v>2716</v>
      </c>
      <c r="Z43" s="663">
        <v>164831</v>
      </c>
      <c r="AA43" s="663">
        <v>1596</v>
      </c>
      <c r="AB43" s="663">
        <v>110238</v>
      </c>
      <c r="AC43" s="663">
        <v>4851</v>
      </c>
      <c r="AD43" s="663">
        <v>134745</v>
      </c>
      <c r="AE43" s="663">
        <v>3776</v>
      </c>
      <c r="AF43" s="663">
        <v>147446</v>
      </c>
      <c r="AG43" s="663">
        <v>1268</v>
      </c>
      <c r="AH43" s="663">
        <v>24830</v>
      </c>
      <c r="AI43" s="663">
        <v>4276</v>
      </c>
      <c r="AJ43" s="663">
        <v>1034052</v>
      </c>
      <c r="AK43" s="663">
        <v>430</v>
      </c>
      <c r="AL43" s="663">
        <v>26830</v>
      </c>
      <c r="AM43" s="663">
        <v>1777</v>
      </c>
      <c r="AN43" s="663">
        <v>131339</v>
      </c>
    </row>
    <row r="44" spans="1:40">
      <c r="A44" s="666">
        <v>1</v>
      </c>
      <c r="B44" s="667" t="s">
        <v>9633</v>
      </c>
      <c r="C44" s="663">
        <v>22460</v>
      </c>
      <c r="D44" s="680" t="s">
        <v>9602</v>
      </c>
      <c r="E44" s="663">
        <v>389</v>
      </c>
      <c r="F44" s="663">
        <v>41291</v>
      </c>
      <c r="G44" s="663">
        <v>51</v>
      </c>
      <c r="H44" s="663">
        <v>17686</v>
      </c>
      <c r="I44" s="663">
        <v>6</v>
      </c>
      <c r="J44" s="664" t="s">
        <v>4020</v>
      </c>
      <c r="K44" s="663">
        <v>2218</v>
      </c>
      <c r="L44" s="664" t="s">
        <v>9602</v>
      </c>
      <c r="M44" s="663">
        <v>1433</v>
      </c>
      <c r="N44" s="663">
        <v>888829</v>
      </c>
      <c r="O44" s="663">
        <v>47</v>
      </c>
      <c r="P44" s="680" t="s">
        <v>9602</v>
      </c>
      <c r="Q44" s="663">
        <v>236</v>
      </c>
      <c r="R44" s="663">
        <v>24189</v>
      </c>
      <c r="S44" s="663">
        <v>483</v>
      </c>
      <c r="T44" s="680" t="s">
        <v>9602</v>
      </c>
      <c r="U44" s="663">
        <v>5924</v>
      </c>
      <c r="V44" s="663">
        <v>1360578</v>
      </c>
      <c r="W44" s="663">
        <v>485</v>
      </c>
      <c r="X44" s="664" t="s">
        <v>9602</v>
      </c>
      <c r="Y44" s="663">
        <v>1225</v>
      </c>
      <c r="Z44" s="663">
        <v>73778</v>
      </c>
      <c r="AA44" s="663">
        <v>942</v>
      </c>
      <c r="AB44" s="663">
        <v>51630</v>
      </c>
      <c r="AC44" s="663">
        <v>2677</v>
      </c>
      <c r="AD44" s="663">
        <v>76018</v>
      </c>
      <c r="AE44" s="663">
        <v>2299</v>
      </c>
      <c r="AF44" s="663">
        <v>95365</v>
      </c>
      <c r="AG44" s="663">
        <v>685</v>
      </c>
      <c r="AH44" s="663">
        <v>10885</v>
      </c>
      <c r="AI44" s="663">
        <v>2162</v>
      </c>
      <c r="AJ44" s="663">
        <v>665401</v>
      </c>
      <c r="AK44" s="663">
        <v>312</v>
      </c>
      <c r="AL44" s="663">
        <v>17085</v>
      </c>
      <c r="AM44" s="663">
        <v>885</v>
      </c>
      <c r="AN44" s="663">
        <v>101389</v>
      </c>
    </row>
    <row r="45" spans="1:40">
      <c r="A45" s="666">
        <v>1</v>
      </c>
      <c r="B45" s="667" t="s">
        <v>9634</v>
      </c>
      <c r="C45" s="663">
        <v>29676</v>
      </c>
      <c r="D45" s="680" t="s">
        <v>9602</v>
      </c>
      <c r="E45" s="663">
        <v>638</v>
      </c>
      <c r="F45" s="663">
        <v>55958</v>
      </c>
      <c r="G45" s="663">
        <v>69</v>
      </c>
      <c r="H45" s="663">
        <v>12196</v>
      </c>
      <c r="I45" s="663">
        <v>31</v>
      </c>
      <c r="J45" s="664" t="s">
        <v>4020</v>
      </c>
      <c r="K45" s="663">
        <v>3352</v>
      </c>
      <c r="L45" s="664" t="s">
        <v>9602</v>
      </c>
      <c r="M45" s="663">
        <v>2055</v>
      </c>
      <c r="N45" s="663">
        <v>1311482</v>
      </c>
      <c r="O45" s="663">
        <v>74</v>
      </c>
      <c r="P45" s="680" t="s">
        <v>9602</v>
      </c>
      <c r="Q45" s="663">
        <v>251</v>
      </c>
      <c r="R45" s="663">
        <v>39864</v>
      </c>
      <c r="S45" s="663">
        <v>719</v>
      </c>
      <c r="T45" s="680" t="s">
        <v>9602</v>
      </c>
      <c r="U45" s="663">
        <v>7950</v>
      </c>
      <c r="V45" s="663">
        <v>1553969</v>
      </c>
      <c r="W45" s="663">
        <v>524</v>
      </c>
      <c r="X45" s="664" t="s">
        <v>9602</v>
      </c>
      <c r="Y45" s="663">
        <v>1528</v>
      </c>
      <c r="Z45" s="663">
        <v>95004</v>
      </c>
      <c r="AA45" s="663">
        <v>1369</v>
      </c>
      <c r="AB45" s="663">
        <v>78902</v>
      </c>
      <c r="AC45" s="663">
        <v>3072</v>
      </c>
      <c r="AD45" s="663">
        <v>83035</v>
      </c>
      <c r="AE45" s="663">
        <v>2899</v>
      </c>
      <c r="AF45" s="663">
        <v>101099</v>
      </c>
      <c r="AG45" s="663">
        <v>773</v>
      </c>
      <c r="AH45" s="663">
        <v>17686</v>
      </c>
      <c r="AI45" s="663">
        <v>2820</v>
      </c>
      <c r="AJ45" s="663">
        <v>799546</v>
      </c>
      <c r="AK45" s="663">
        <v>509</v>
      </c>
      <c r="AL45" s="663">
        <v>26134</v>
      </c>
      <c r="AM45" s="663">
        <v>1043</v>
      </c>
      <c r="AN45" s="663">
        <v>153767</v>
      </c>
    </row>
    <row r="46" spans="1:40">
      <c r="A46" s="666">
        <v>1</v>
      </c>
      <c r="B46" s="667" t="s">
        <v>9635</v>
      </c>
      <c r="C46" s="663">
        <v>72870</v>
      </c>
      <c r="D46" s="680" t="s">
        <v>9602</v>
      </c>
      <c r="E46" s="663">
        <v>622</v>
      </c>
      <c r="F46" s="663">
        <v>101815</v>
      </c>
      <c r="G46" s="663">
        <v>22</v>
      </c>
      <c r="H46" s="663">
        <v>529</v>
      </c>
      <c r="I46" s="663">
        <v>42</v>
      </c>
      <c r="J46" s="663">
        <v>7683</v>
      </c>
      <c r="K46" s="663">
        <v>8152</v>
      </c>
      <c r="L46" s="664" t="s">
        <v>9602</v>
      </c>
      <c r="M46" s="663">
        <v>6227</v>
      </c>
      <c r="N46" s="663">
        <v>8552436</v>
      </c>
      <c r="O46" s="663">
        <v>216</v>
      </c>
      <c r="P46" s="680" t="s">
        <v>9602</v>
      </c>
      <c r="Q46" s="663">
        <v>717</v>
      </c>
      <c r="R46" s="663">
        <v>134656</v>
      </c>
      <c r="S46" s="663">
        <v>2238</v>
      </c>
      <c r="T46" s="680" t="s">
        <v>9602</v>
      </c>
      <c r="U46" s="663">
        <v>18728</v>
      </c>
      <c r="V46" s="663">
        <v>5903072</v>
      </c>
      <c r="W46" s="663">
        <v>1291</v>
      </c>
      <c r="X46" s="664" t="s">
        <v>9602</v>
      </c>
      <c r="Y46" s="663">
        <v>5230</v>
      </c>
      <c r="Z46" s="663">
        <v>490690</v>
      </c>
      <c r="AA46" s="663">
        <v>3412</v>
      </c>
      <c r="AB46" s="663">
        <v>383684</v>
      </c>
      <c r="AC46" s="663">
        <v>6875</v>
      </c>
      <c r="AD46" s="663">
        <v>212351</v>
      </c>
      <c r="AE46" s="663">
        <v>6416</v>
      </c>
      <c r="AF46" s="663">
        <v>383676</v>
      </c>
      <c r="AG46" s="663">
        <v>2067</v>
      </c>
      <c r="AH46" s="663">
        <v>59161</v>
      </c>
      <c r="AI46" s="663">
        <v>6714</v>
      </c>
      <c r="AJ46" s="663">
        <v>2109148</v>
      </c>
      <c r="AK46" s="663">
        <v>699</v>
      </c>
      <c r="AL46" s="663">
        <v>22070</v>
      </c>
      <c r="AM46" s="663">
        <v>3202</v>
      </c>
      <c r="AN46" s="663">
        <v>498225</v>
      </c>
    </row>
    <row r="47" spans="1:40">
      <c r="A47" s="666">
        <v>1</v>
      </c>
      <c r="B47" s="667" t="s">
        <v>9636</v>
      </c>
      <c r="C47" s="663">
        <v>114499</v>
      </c>
      <c r="D47" s="680" t="s">
        <v>9602</v>
      </c>
      <c r="E47" s="663">
        <v>849</v>
      </c>
      <c r="F47" s="663">
        <v>84659</v>
      </c>
      <c r="G47" s="663">
        <v>116</v>
      </c>
      <c r="H47" s="663">
        <v>11254</v>
      </c>
      <c r="I47" s="663">
        <v>17</v>
      </c>
      <c r="J47" s="663">
        <v>2069</v>
      </c>
      <c r="K47" s="663">
        <v>11335</v>
      </c>
      <c r="L47" s="664" t="s">
        <v>9602</v>
      </c>
      <c r="M47" s="663">
        <v>9201</v>
      </c>
      <c r="N47" s="663">
        <v>10236633</v>
      </c>
      <c r="O47" s="663">
        <v>244</v>
      </c>
      <c r="P47" s="680" t="s">
        <v>9602</v>
      </c>
      <c r="Q47" s="663">
        <v>1252</v>
      </c>
      <c r="R47" s="663">
        <v>305455</v>
      </c>
      <c r="S47" s="663">
        <v>3332</v>
      </c>
      <c r="T47" s="680" t="s">
        <v>9602</v>
      </c>
      <c r="U47" s="663">
        <v>29078</v>
      </c>
      <c r="V47" s="663">
        <v>12655426</v>
      </c>
      <c r="W47" s="663">
        <v>1949</v>
      </c>
      <c r="X47" s="664" t="s">
        <v>9602</v>
      </c>
      <c r="Y47" s="663">
        <v>9420</v>
      </c>
      <c r="Z47" s="663">
        <v>982005</v>
      </c>
      <c r="AA47" s="663">
        <v>5661</v>
      </c>
      <c r="AB47" s="663">
        <v>577789</v>
      </c>
      <c r="AC47" s="663">
        <v>12347</v>
      </c>
      <c r="AD47" s="663">
        <v>354602</v>
      </c>
      <c r="AE47" s="663">
        <v>9796</v>
      </c>
      <c r="AF47" s="663">
        <v>621384</v>
      </c>
      <c r="AG47" s="663">
        <v>3750</v>
      </c>
      <c r="AH47" s="663">
        <v>77116</v>
      </c>
      <c r="AI47" s="663">
        <v>10410</v>
      </c>
      <c r="AJ47" s="663">
        <v>2949743</v>
      </c>
      <c r="AK47" s="663">
        <v>950</v>
      </c>
      <c r="AL47" s="663">
        <v>34212</v>
      </c>
      <c r="AM47" s="663">
        <v>4792</v>
      </c>
      <c r="AN47" s="663">
        <v>834336</v>
      </c>
    </row>
    <row r="48" spans="1:40">
      <c r="A48" s="666">
        <v>1</v>
      </c>
      <c r="B48" s="667" t="s">
        <v>9637</v>
      </c>
      <c r="C48" s="663">
        <v>51857</v>
      </c>
      <c r="D48" s="680" t="s">
        <v>9602</v>
      </c>
      <c r="E48" s="663">
        <v>541</v>
      </c>
      <c r="F48" s="663">
        <v>40184</v>
      </c>
      <c r="G48" s="663">
        <v>61</v>
      </c>
      <c r="H48" s="663">
        <v>5409</v>
      </c>
      <c r="I48" s="663">
        <v>27</v>
      </c>
      <c r="J48" s="664" t="s">
        <v>4020</v>
      </c>
      <c r="K48" s="663">
        <v>5905</v>
      </c>
      <c r="L48" s="664" t="s">
        <v>9602</v>
      </c>
      <c r="M48" s="663">
        <v>3166</v>
      </c>
      <c r="N48" s="663">
        <v>6716321</v>
      </c>
      <c r="O48" s="663">
        <v>102</v>
      </c>
      <c r="P48" s="680" t="s">
        <v>9602</v>
      </c>
      <c r="Q48" s="663">
        <v>426</v>
      </c>
      <c r="R48" s="663">
        <v>36352</v>
      </c>
      <c r="S48" s="663">
        <v>1450</v>
      </c>
      <c r="T48" s="680" t="s">
        <v>9602</v>
      </c>
      <c r="U48" s="663">
        <v>14128</v>
      </c>
      <c r="V48" s="663">
        <v>3314282</v>
      </c>
      <c r="W48" s="663">
        <v>1040</v>
      </c>
      <c r="X48" s="664" t="s">
        <v>9602</v>
      </c>
      <c r="Y48" s="663">
        <v>3046</v>
      </c>
      <c r="Z48" s="663">
        <v>208922</v>
      </c>
      <c r="AA48" s="663">
        <v>2212</v>
      </c>
      <c r="AB48" s="663">
        <v>473894</v>
      </c>
      <c r="AC48" s="663">
        <v>5532</v>
      </c>
      <c r="AD48" s="663">
        <v>158376</v>
      </c>
      <c r="AE48" s="663">
        <v>4906</v>
      </c>
      <c r="AF48" s="663">
        <v>215051</v>
      </c>
      <c r="AG48" s="663">
        <v>1524</v>
      </c>
      <c r="AH48" s="663">
        <v>22895</v>
      </c>
      <c r="AI48" s="663">
        <v>5070</v>
      </c>
      <c r="AJ48" s="663">
        <v>1530684</v>
      </c>
      <c r="AK48" s="663">
        <v>624</v>
      </c>
      <c r="AL48" s="663">
        <v>28918</v>
      </c>
      <c r="AM48" s="663">
        <v>2097</v>
      </c>
      <c r="AN48" s="663">
        <v>264403</v>
      </c>
    </row>
    <row r="49" spans="1:40">
      <c r="A49" s="666">
        <v>1</v>
      </c>
      <c r="B49" s="667" t="s">
        <v>9638</v>
      </c>
      <c r="C49" s="663">
        <v>31616</v>
      </c>
      <c r="D49" s="680" t="s">
        <v>9602</v>
      </c>
      <c r="E49" s="663">
        <v>388</v>
      </c>
      <c r="F49" s="663">
        <v>38672</v>
      </c>
      <c r="G49" s="663">
        <v>54</v>
      </c>
      <c r="H49" s="663">
        <v>6573</v>
      </c>
      <c r="I49" s="663">
        <v>18</v>
      </c>
      <c r="J49" s="664" t="s">
        <v>4020</v>
      </c>
      <c r="K49" s="663">
        <v>3191</v>
      </c>
      <c r="L49" s="664" t="s">
        <v>9602</v>
      </c>
      <c r="M49" s="663">
        <v>2269</v>
      </c>
      <c r="N49" s="663">
        <v>2103874</v>
      </c>
      <c r="O49" s="663">
        <v>153</v>
      </c>
      <c r="P49" s="680" t="s">
        <v>9602</v>
      </c>
      <c r="Q49" s="663">
        <v>244</v>
      </c>
      <c r="R49" s="663">
        <v>23775</v>
      </c>
      <c r="S49" s="663">
        <v>722</v>
      </c>
      <c r="T49" s="680" t="s">
        <v>9602</v>
      </c>
      <c r="U49" s="663">
        <v>8149</v>
      </c>
      <c r="V49" s="663">
        <v>1633213</v>
      </c>
      <c r="W49" s="663">
        <v>606</v>
      </c>
      <c r="X49" s="664" t="s">
        <v>9602</v>
      </c>
      <c r="Y49" s="663">
        <v>2180</v>
      </c>
      <c r="Z49" s="663">
        <v>107899</v>
      </c>
      <c r="AA49" s="663">
        <v>1318</v>
      </c>
      <c r="AB49" s="663">
        <v>71845</v>
      </c>
      <c r="AC49" s="663">
        <v>3646</v>
      </c>
      <c r="AD49" s="663">
        <v>88309</v>
      </c>
      <c r="AE49" s="663">
        <v>3036</v>
      </c>
      <c r="AF49" s="663">
        <v>83587</v>
      </c>
      <c r="AG49" s="663">
        <v>1027</v>
      </c>
      <c r="AH49" s="663">
        <v>14894</v>
      </c>
      <c r="AI49" s="663">
        <v>2991</v>
      </c>
      <c r="AJ49" s="663">
        <v>918950</v>
      </c>
      <c r="AK49" s="663">
        <v>299</v>
      </c>
      <c r="AL49" s="663">
        <v>13368</v>
      </c>
      <c r="AM49" s="663">
        <v>1325</v>
      </c>
      <c r="AN49" s="663">
        <v>143218</v>
      </c>
    </row>
    <row r="50" spans="1:40">
      <c r="A50" s="666">
        <v>1</v>
      </c>
      <c r="B50" s="667" t="s">
        <v>9639</v>
      </c>
      <c r="C50" s="663">
        <v>41865</v>
      </c>
      <c r="D50" s="680" t="s">
        <v>9602</v>
      </c>
      <c r="E50" s="663">
        <v>503</v>
      </c>
      <c r="F50" s="663">
        <v>68420</v>
      </c>
      <c r="G50" s="663">
        <v>76</v>
      </c>
      <c r="H50" s="663">
        <v>8209</v>
      </c>
      <c r="I50" s="663">
        <v>32</v>
      </c>
      <c r="J50" s="663">
        <v>3547</v>
      </c>
      <c r="K50" s="663">
        <v>4238</v>
      </c>
      <c r="L50" s="664" t="s">
        <v>9602</v>
      </c>
      <c r="M50" s="663">
        <v>3705</v>
      </c>
      <c r="N50" s="663">
        <v>2883637</v>
      </c>
      <c r="O50" s="663">
        <v>156</v>
      </c>
      <c r="P50" s="680" t="s">
        <v>9602</v>
      </c>
      <c r="Q50" s="663">
        <v>411</v>
      </c>
      <c r="R50" s="663">
        <v>56944</v>
      </c>
      <c r="S50" s="663">
        <v>1171</v>
      </c>
      <c r="T50" s="680" t="s">
        <v>9602</v>
      </c>
      <c r="U50" s="663">
        <v>11012</v>
      </c>
      <c r="V50" s="663">
        <v>3724662</v>
      </c>
      <c r="W50" s="663">
        <v>788</v>
      </c>
      <c r="X50" s="664" t="s">
        <v>9602</v>
      </c>
      <c r="Y50" s="663">
        <v>2929</v>
      </c>
      <c r="Z50" s="663">
        <v>272966</v>
      </c>
      <c r="AA50" s="663">
        <v>1902</v>
      </c>
      <c r="AB50" s="663">
        <v>133423</v>
      </c>
      <c r="AC50" s="663">
        <v>4562</v>
      </c>
      <c r="AD50" s="663">
        <v>138712</v>
      </c>
      <c r="AE50" s="663">
        <v>3534</v>
      </c>
      <c r="AF50" s="663">
        <v>179099</v>
      </c>
      <c r="AG50" s="663">
        <v>1316</v>
      </c>
      <c r="AH50" s="663">
        <v>22132</v>
      </c>
      <c r="AI50" s="663">
        <v>3419</v>
      </c>
      <c r="AJ50" s="663">
        <v>1011559</v>
      </c>
      <c r="AK50" s="663">
        <v>378</v>
      </c>
      <c r="AL50" s="663">
        <v>30705</v>
      </c>
      <c r="AM50" s="663">
        <v>1733</v>
      </c>
      <c r="AN50" s="663">
        <v>234899</v>
      </c>
    </row>
    <row r="51" spans="1:40">
      <c r="A51" s="666">
        <v>1</v>
      </c>
      <c r="B51" s="667" t="s">
        <v>9640</v>
      </c>
      <c r="C51" s="663">
        <v>55517</v>
      </c>
      <c r="D51" s="680" t="s">
        <v>9602</v>
      </c>
      <c r="E51" s="663">
        <v>532</v>
      </c>
      <c r="F51" s="663">
        <v>62607</v>
      </c>
      <c r="G51" s="663">
        <v>185</v>
      </c>
      <c r="H51" s="663">
        <v>58487</v>
      </c>
      <c r="I51" s="663">
        <v>28</v>
      </c>
      <c r="J51" s="664" t="s">
        <v>4020</v>
      </c>
      <c r="K51" s="663">
        <v>5868</v>
      </c>
      <c r="L51" s="664" t="s">
        <v>9602</v>
      </c>
      <c r="M51" s="663">
        <v>4454</v>
      </c>
      <c r="N51" s="663">
        <v>4879871</v>
      </c>
      <c r="O51" s="663">
        <v>128</v>
      </c>
      <c r="P51" s="680" t="s">
        <v>9602</v>
      </c>
      <c r="Q51" s="663">
        <v>511</v>
      </c>
      <c r="R51" s="663">
        <v>86273</v>
      </c>
      <c r="S51" s="663">
        <v>1629</v>
      </c>
      <c r="T51" s="680" t="s">
        <v>9602</v>
      </c>
      <c r="U51" s="663">
        <v>14654</v>
      </c>
      <c r="V51" s="663">
        <v>4228585</v>
      </c>
      <c r="W51" s="663">
        <v>1093</v>
      </c>
      <c r="X51" s="664" t="s">
        <v>9602</v>
      </c>
      <c r="Y51" s="663">
        <v>3350</v>
      </c>
      <c r="Z51" s="663">
        <v>196400</v>
      </c>
      <c r="AA51" s="663">
        <v>2396</v>
      </c>
      <c r="AB51" s="663">
        <v>163029</v>
      </c>
      <c r="AC51" s="663">
        <v>5973</v>
      </c>
      <c r="AD51" s="663">
        <v>171738</v>
      </c>
      <c r="AE51" s="663">
        <v>5150</v>
      </c>
      <c r="AF51" s="663">
        <v>316827</v>
      </c>
      <c r="AG51" s="663">
        <v>1529</v>
      </c>
      <c r="AH51" s="663">
        <v>22856</v>
      </c>
      <c r="AI51" s="663">
        <v>5102</v>
      </c>
      <c r="AJ51" s="663">
        <v>1482824</v>
      </c>
      <c r="AK51" s="663">
        <v>579</v>
      </c>
      <c r="AL51" s="663">
        <v>34697</v>
      </c>
      <c r="AM51" s="663">
        <v>2356</v>
      </c>
      <c r="AN51" s="663">
        <v>293832</v>
      </c>
    </row>
    <row r="52" spans="1:40">
      <c r="A52" s="666">
        <v>1</v>
      </c>
      <c r="B52" s="667" t="s">
        <v>9641</v>
      </c>
      <c r="C52" s="663">
        <v>30992</v>
      </c>
      <c r="D52" s="680" t="s">
        <v>9602</v>
      </c>
      <c r="E52" s="663">
        <v>378</v>
      </c>
      <c r="F52" s="663">
        <v>29619</v>
      </c>
      <c r="G52" s="663">
        <v>96</v>
      </c>
      <c r="H52" s="663">
        <v>26686</v>
      </c>
      <c r="I52" s="663">
        <v>28</v>
      </c>
      <c r="J52" s="663">
        <v>22958</v>
      </c>
      <c r="K52" s="663">
        <v>2871</v>
      </c>
      <c r="L52" s="664" t="s">
        <v>9602</v>
      </c>
      <c r="M52" s="663">
        <v>2066</v>
      </c>
      <c r="N52" s="663">
        <v>625118</v>
      </c>
      <c r="O52" s="663">
        <v>108</v>
      </c>
      <c r="P52" s="680" t="s">
        <v>9602</v>
      </c>
      <c r="Q52" s="663">
        <v>246</v>
      </c>
      <c r="R52" s="663">
        <v>24740</v>
      </c>
      <c r="S52" s="663">
        <v>692</v>
      </c>
      <c r="T52" s="680" t="s">
        <v>9602</v>
      </c>
      <c r="U52" s="663">
        <v>8467</v>
      </c>
      <c r="V52" s="663">
        <v>1614066</v>
      </c>
      <c r="W52" s="663">
        <v>602</v>
      </c>
      <c r="X52" s="664" t="s">
        <v>9602</v>
      </c>
      <c r="Y52" s="663">
        <v>1448</v>
      </c>
      <c r="Z52" s="663">
        <v>90336</v>
      </c>
      <c r="AA52" s="663">
        <v>1148</v>
      </c>
      <c r="AB52" s="663">
        <v>80106</v>
      </c>
      <c r="AC52" s="663">
        <v>4428</v>
      </c>
      <c r="AD52" s="663">
        <v>93616</v>
      </c>
      <c r="AE52" s="663">
        <v>3089</v>
      </c>
      <c r="AF52" s="663">
        <v>177361</v>
      </c>
      <c r="AG52" s="663">
        <v>814</v>
      </c>
      <c r="AH52" s="663">
        <v>12892</v>
      </c>
      <c r="AI52" s="663">
        <v>2822</v>
      </c>
      <c r="AJ52" s="663">
        <v>903256</v>
      </c>
      <c r="AK52" s="663">
        <v>410</v>
      </c>
      <c r="AL52" s="663">
        <v>27026</v>
      </c>
      <c r="AM52" s="663">
        <v>1279</v>
      </c>
      <c r="AN52" s="663">
        <v>101008</v>
      </c>
    </row>
    <row r="53" spans="1:40">
      <c r="A53" s="666">
        <v>1</v>
      </c>
      <c r="B53" s="667" t="s">
        <v>9642</v>
      </c>
      <c r="C53" s="663">
        <v>195929</v>
      </c>
      <c r="D53" s="680" t="s">
        <v>9602</v>
      </c>
      <c r="E53" s="663">
        <v>1005</v>
      </c>
      <c r="F53" s="663">
        <v>102738</v>
      </c>
      <c r="G53" s="663">
        <v>33</v>
      </c>
      <c r="H53" s="663">
        <v>3013</v>
      </c>
      <c r="I53" s="663">
        <v>43</v>
      </c>
      <c r="J53" s="664" t="s">
        <v>4020</v>
      </c>
      <c r="K53" s="663">
        <v>19589</v>
      </c>
      <c r="L53" s="664" t="s">
        <v>9602</v>
      </c>
      <c r="M53" s="663">
        <v>11111</v>
      </c>
      <c r="N53" s="663">
        <v>9738359</v>
      </c>
      <c r="O53" s="663">
        <v>370</v>
      </c>
      <c r="P53" s="680" t="s">
        <v>9602</v>
      </c>
      <c r="Q53" s="663">
        <v>3121</v>
      </c>
      <c r="R53" s="663">
        <v>838393</v>
      </c>
      <c r="S53" s="663">
        <v>5225</v>
      </c>
      <c r="T53" s="680" t="s">
        <v>9602</v>
      </c>
      <c r="U53" s="663">
        <v>52276</v>
      </c>
      <c r="V53" s="663">
        <v>24451312</v>
      </c>
      <c r="W53" s="663">
        <v>3456</v>
      </c>
      <c r="X53" s="664" t="s">
        <v>9602</v>
      </c>
      <c r="Y53" s="663">
        <v>14145</v>
      </c>
      <c r="Z53" s="663">
        <v>2070504</v>
      </c>
      <c r="AA53" s="663">
        <v>10562</v>
      </c>
      <c r="AB53" s="663">
        <v>1266901</v>
      </c>
      <c r="AC53" s="663">
        <v>22383</v>
      </c>
      <c r="AD53" s="663">
        <v>747602</v>
      </c>
      <c r="AE53" s="663">
        <v>16474</v>
      </c>
      <c r="AF53" s="663">
        <v>1108356</v>
      </c>
      <c r="AG53" s="663">
        <v>5736</v>
      </c>
      <c r="AH53" s="663">
        <v>136152</v>
      </c>
      <c r="AI53" s="663">
        <v>20156</v>
      </c>
      <c r="AJ53" s="663">
        <v>5413547</v>
      </c>
      <c r="AK53" s="663">
        <v>1068</v>
      </c>
      <c r="AL53" s="663">
        <v>35055</v>
      </c>
      <c r="AM53" s="663">
        <v>9176</v>
      </c>
      <c r="AN53" s="663">
        <v>1730180</v>
      </c>
    </row>
    <row r="54" spans="1:40">
      <c r="A54" s="666">
        <v>1</v>
      </c>
      <c r="B54" s="667" t="s">
        <v>9643</v>
      </c>
      <c r="C54" s="663">
        <v>33081</v>
      </c>
      <c r="D54" s="680" t="s">
        <v>9602</v>
      </c>
      <c r="E54" s="663">
        <v>424</v>
      </c>
      <c r="F54" s="663">
        <v>45717</v>
      </c>
      <c r="G54" s="663">
        <v>19</v>
      </c>
      <c r="H54" s="663">
        <v>2942</v>
      </c>
      <c r="I54" s="663">
        <v>12</v>
      </c>
      <c r="J54" s="664" t="s">
        <v>4020</v>
      </c>
      <c r="K54" s="663">
        <v>3355</v>
      </c>
      <c r="L54" s="664" t="s">
        <v>9602</v>
      </c>
      <c r="M54" s="663">
        <v>2618</v>
      </c>
      <c r="N54" s="663">
        <v>2168638</v>
      </c>
      <c r="O54" s="663">
        <v>93</v>
      </c>
      <c r="P54" s="680" t="s">
        <v>9602</v>
      </c>
      <c r="Q54" s="663">
        <v>237</v>
      </c>
      <c r="R54" s="663">
        <v>45568</v>
      </c>
      <c r="S54" s="663">
        <v>867</v>
      </c>
      <c r="T54" s="680" t="s">
        <v>9602</v>
      </c>
      <c r="U54" s="663">
        <v>9021</v>
      </c>
      <c r="V54" s="663">
        <v>1960199</v>
      </c>
      <c r="W54" s="663">
        <v>619</v>
      </c>
      <c r="X54" s="664" t="s">
        <v>9602</v>
      </c>
      <c r="Y54" s="663">
        <v>1592</v>
      </c>
      <c r="Z54" s="663">
        <v>95979</v>
      </c>
      <c r="AA54" s="663">
        <v>1274</v>
      </c>
      <c r="AB54" s="663">
        <v>57602</v>
      </c>
      <c r="AC54" s="663">
        <v>3964</v>
      </c>
      <c r="AD54" s="663">
        <v>114354</v>
      </c>
      <c r="AE54" s="663">
        <v>2959</v>
      </c>
      <c r="AF54" s="663">
        <v>189441</v>
      </c>
      <c r="AG54" s="663">
        <v>1043</v>
      </c>
      <c r="AH54" s="663">
        <v>15734</v>
      </c>
      <c r="AI54" s="663">
        <v>3375</v>
      </c>
      <c r="AJ54" s="663">
        <v>994242</v>
      </c>
      <c r="AK54" s="663">
        <v>314</v>
      </c>
      <c r="AL54" s="663">
        <v>45529</v>
      </c>
      <c r="AM54" s="663">
        <v>1294</v>
      </c>
      <c r="AN54" s="663">
        <v>140493</v>
      </c>
    </row>
    <row r="55" spans="1:40">
      <c r="A55" s="666">
        <v>1</v>
      </c>
      <c r="B55" s="667" t="s">
        <v>9644</v>
      </c>
      <c r="C55" s="663">
        <v>54446</v>
      </c>
      <c r="D55" s="680" t="s">
        <v>9602</v>
      </c>
      <c r="E55" s="663">
        <v>482</v>
      </c>
      <c r="F55" s="663">
        <v>52846</v>
      </c>
      <c r="G55" s="663">
        <v>253</v>
      </c>
      <c r="H55" s="663">
        <v>67988</v>
      </c>
      <c r="I55" s="663">
        <v>26</v>
      </c>
      <c r="J55" s="664" t="s">
        <v>4020</v>
      </c>
      <c r="K55" s="663">
        <v>5457</v>
      </c>
      <c r="L55" s="664" t="s">
        <v>9602</v>
      </c>
      <c r="M55" s="663">
        <v>3452</v>
      </c>
      <c r="N55" s="663">
        <v>1596242</v>
      </c>
      <c r="O55" s="663">
        <v>130</v>
      </c>
      <c r="P55" s="680" t="s">
        <v>9602</v>
      </c>
      <c r="Q55" s="663">
        <v>390</v>
      </c>
      <c r="R55" s="663">
        <v>34141</v>
      </c>
      <c r="S55" s="663">
        <v>1299</v>
      </c>
      <c r="T55" s="680" t="s">
        <v>9602</v>
      </c>
      <c r="U55" s="663">
        <v>14922</v>
      </c>
      <c r="V55" s="663">
        <v>3097415</v>
      </c>
      <c r="W55" s="663">
        <v>940</v>
      </c>
      <c r="X55" s="664" t="s">
        <v>9602</v>
      </c>
      <c r="Y55" s="663">
        <v>3401</v>
      </c>
      <c r="Z55" s="663">
        <v>169869</v>
      </c>
      <c r="AA55" s="663">
        <v>2145</v>
      </c>
      <c r="AB55" s="663">
        <v>150566</v>
      </c>
      <c r="AC55" s="663">
        <v>6392</v>
      </c>
      <c r="AD55" s="663">
        <v>180482</v>
      </c>
      <c r="AE55" s="663">
        <v>5127</v>
      </c>
      <c r="AF55" s="663">
        <v>247903</v>
      </c>
      <c r="AG55" s="663">
        <v>1502</v>
      </c>
      <c r="AH55" s="663">
        <v>22260</v>
      </c>
      <c r="AI55" s="663">
        <v>5830</v>
      </c>
      <c r="AJ55" s="663">
        <v>1588599</v>
      </c>
      <c r="AK55" s="663">
        <v>580</v>
      </c>
      <c r="AL55" s="663">
        <v>27729</v>
      </c>
      <c r="AM55" s="663">
        <v>2117</v>
      </c>
      <c r="AN55" s="663">
        <v>224943</v>
      </c>
    </row>
    <row r="56" spans="1:40">
      <c r="A56" s="666">
        <v>1</v>
      </c>
      <c r="B56" s="667" t="s">
        <v>9645</v>
      </c>
      <c r="C56" s="663">
        <v>68155</v>
      </c>
      <c r="D56" s="680" t="s">
        <v>9602</v>
      </c>
      <c r="E56" s="663">
        <v>1143</v>
      </c>
      <c r="F56" s="663">
        <v>156879</v>
      </c>
      <c r="G56" s="663">
        <v>114</v>
      </c>
      <c r="H56" s="663">
        <v>18721</v>
      </c>
      <c r="I56" s="663">
        <v>28</v>
      </c>
      <c r="J56" s="664" t="s">
        <v>4020</v>
      </c>
      <c r="K56" s="663">
        <v>7331</v>
      </c>
      <c r="L56" s="664" t="s">
        <v>9602</v>
      </c>
      <c r="M56" s="663">
        <v>3891</v>
      </c>
      <c r="N56" s="663">
        <v>3328205</v>
      </c>
      <c r="O56" s="663">
        <v>203</v>
      </c>
      <c r="P56" s="680" t="s">
        <v>9602</v>
      </c>
      <c r="Q56" s="663">
        <v>567</v>
      </c>
      <c r="R56" s="663">
        <v>68095</v>
      </c>
      <c r="S56" s="663">
        <v>1566</v>
      </c>
      <c r="T56" s="680" t="s">
        <v>9602</v>
      </c>
      <c r="U56" s="663">
        <v>18239</v>
      </c>
      <c r="V56" s="663">
        <v>4695344</v>
      </c>
      <c r="W56" s="663">
        <v>1181</v>
      </c>
      <c r="X56" s="664" t="s">
        <v>9602</v>
      </c>
      <c r="Y56" s="663">
        <v>4307</v>
      </c>
      <c r="Z56" s="663">
        <v>328425</v>
      </c>
      <c r="AA56" s="663">
        <v>3298</v>
      </c>
      <c r="AB56" s="663">
        <v>194610</v>
      </c>
      <c r="AC56" s="663">
        <v>7449</v>
      </c>
      <c r="AD56" s="663">
        <v>228333</v>
      </c>
      <c r="AE56" s="663">
        <v>6333</v>
      </c>
      <c r="AF56" s="663">
        <v>416146</v>
      </c>
      <c r="AG56" s="663">
        <v>1902</v>
      </c>
      <c r="AH56" s="663">
        <v>34186</v>
      </c>
      <c r="AI56" s="663">
        <v>6867</v>
      </c>
      <c r="AJ56" s="663">
        <v>2055857</v>
      </c>
      <c r="AK56" s="663">
        <v>731</v>
      </c>
      <c r="AL56" s="663">
        <v>51513</v>
      </c>
      <c r="AM56" s="663">
        <v>3005</v>
      </c>
      <c r="AN56" s="663">
        <v>360790</v>
      </c>
    </row>
    <row r="57" spans="1:40">
      <c r="A57" s="666">
        <v>1</v>
      </c>
      <c r="B57" s="667" t="s">
        <v>9646</v>
      </c>
      <c r="C57" s="663">
        <v>46833</v>
      </c>
      <c r="D57" s="680" t="s">
        <v>9602</v>
      </c>
      <c r="E57" s="663">
        <v>849</v>
      </c>
      <c r="F57" s="663">
        <v>82203</v>
      </c>
      <c r="G57" s="663">
        <v>107</v>
      </c>
      <c r="H57" s="663">
        <v>23772</v>
      </c>
      <c r="I57" s="663">
        <v>28</v>
      </c>
      <c r="J57" s="663">
        <v>36190</v>
      </c>
      <c r="K57" s="663">
        <v>4902</v>
      </c>
      <c r="L57" s="664" t="s">
        <v>9602</v>
      </c>
      <c r="M57" s="663">
        <v>2780</v>
      </c>
      <c r="N57" s="663">
        <v>4778856</v>
      </c>
      <c r="O57" s="663">
        <v>184</v>
      </c>
      <c r="P57" s="680" t="s">
        <v>9602</v>
      </c>
      <c r="Q57" s="663">
        <v>395</v>
      </c>
      <c r="R57" s="663">
        <v>57232</v>
      </c>
      <c r="S57" s="663">
        <v>1047</v>
      </c>
      <c r="T57" s="680" t="s">
        <v>9602</v>
      </c>
      <c r="U57" s="663">
        <v>12176</v>
      </c>
      <c r="V57" s="663">
        <v>2697110</v>
      </c>
      <c r="W57" s="663">
        <v>825</v>
      </c>
      <c r="X57" s="664" t="s">
        <v>9602</v>
      </c>
      <c r="Y57" s="663">
        <v>2870</v>
      </c>
      <c r="Z57" s="663">
        <v>174551</v>
      </c>
      <c r="AA57" s="663">
        <v>2052</v>
      </c>
      <c r="AB57" s="663">
        <v>160141</v>
      </c>
      <c r="AC57" s="663">
        <v>5870</v>
      </c>
      <c r="AD57" s="663">
        <v>177941</v>
      </c>
      <c r="AE57" s="663">
        <v>4437</v>
      </c>
      <c r="AF57" s="663">
        <v>258783</v>
      </c>
      <c r="AG57" s="663">
        <v>1231</v>
      </c>
      <c r="AH57" s="663">
        <v>17198</v>
      </c>
      <c r="AI57" s="663">
        <v>4505</v>
      </c>
      <c r="AJ57" s="663">
        <v>1301530</v>
      </c>
      <c r="AK57" s="663">
        <v>477</v>
      </c>
      <c r="AL57" s="663">
        <v>18766</v>
      </c>
      <c r="AM57" s="663">
        <v>2098</v>
      </c>
      <c r="AN57" s="663">
        <v>238104</v>
      </c>
    </row>
    <row r="58" spans="1:40">
      <c r="A58" s="666">
        <v>1</v>
      </c>
      <c r="B58" s="667" t="s">
        <v>9647</v>
      </c>
      <c r="C58" s="663">
        <v>46193</v>
      </c>
      <c r="D58" s="680" t="s">
        <v>9602</v>
      </c>
      <c r="E58" s="663">
        <v>1160</v>
      </c>
      <c r="F58" s="663">
        <v>216795</v>
      </c>
      <c r="G58" s="663">
        <v>182</v>
      </c>
      <c r="H58" s="663">
        <v>42727</v>
      </c>
      <c r="I58" s="663">
        <v>11</v>
      </c>
      <c r="J58" s="664" t="s">
        <v>4020</v>
      </c>
      <c r="K58" s="663">
        <v>4828</v>
      </c>
      <c r="L58" s="664" t="s">
        <v>9602</v>
      </c>
      <c r="M58" s="663">
        <v>2741</v>
      </c>
      <c r="N58" s="663">
        <v>1861214</v>
      </c>
      <c r="O58" s="663">
        <v>162</v>
      </c>
      <c r="P58" s="680" t="s">
        <v>9602</v>
      </c>
      <c r="Q58" s="663">
        <v>343</v>
      </c>
      <c r="R58" s="663">
        <v>36775</v>
      </c>
      <c r="S58" s="663">
        <v>872</v>
      </c>
      <c r="T58" s="680" t="s">
        <v>9602</v>
      </c>
      <c r="U58" s="663">
        <v>11847</v>
      </c>
      <c r="V58" s="663">
        <v>2773546</v>
      </c>
      <c r="W58" s="663">
        <v>822</v>
      </c>
      <c r="X58" s="664" t="s">
        <v>9602</v>
      </c>
      <c r="Y58" s="663">
        <v>2024</v>
      </c>
      <c r="Z58" s="663">
        <v>141300</v>
      </c>
      <c r="AA58" s="663">
        <v>1981</v>
      </c>
      <c r="AB58" s="663">
        <v>103651</v>
      </c>
      <c r="AC58" s="663">
        <v>6124</v>
      </c>
      <c r="AD58" s="663">
        <v>140126</v>
      </c>
      <c r="AE58" s="663">
        <v>4660</v>
      </c>
      <c r="AF58" s="663">
        <v>232285</v>
      </c>
      <c r="AG58" s="663">
        <v>1404</v>
      </c>
      <c r="AH58" s="663">
        <v>20894</v>
      </c>
      <c r="AI58" s="663">
        <v>4667</v>
      </c>
      <c r="AJ58" s="663">
        <v>1205434</v>
      </c>
      <c r="AK58" s="663">
        <v>411</v>
      </c>
      <c r="AL58" s="663">
        <v>33828</v>
      </c>
      <c r="AM58" s="663">
        <v>1954</v>
      </c>
      <c r="AN58" s="663">
        <v>177834</v>
      </c>
    </row>
    <row r="59" spans="1:40">
      <c r="A59" s="666">
        <v>1</v>
      </c>
      <c r="B59" s="667" t="s">
        <v>9648</v>
      </c>
      <c r="C59" s="663">
        <v>67630</v>
      </c>
      <c r="D59" s="680" t="s">
        <v>9602</v>
      </c>
      <c r="E59" s="663">
        <v>1579</v>
      </c>
      <c r="F59" s="663">
        <v>586335</v>
      </c>
      <c r="G59" s="663">
        <v>261</v>
      </c>
      <c r="H59" s="663">
        <v>89954</v>
      </c>
      <c r="I59" s="663">
        <v>52</v>
      </c>
      <c r="J59" s="664" t="s">
        <v>4020</v>
      </c>
      <c r="K59" s="663">
        <v>6421</v>
      </c>
      <c r="L59" s="664" t="s">
        <v>9602</v>
      </c>
      <c r="M59" s="663">
        <v>4433</v>
      </c>
      <c r="N59" s="663">
        <v>2289164</v>
      </c>
      <c r="O59" s="663">
        <v>256</v>
      </c>
      <c r="P59" s="680" t="s">
        <v>9602</v>
      </c>
      <c r="Q59" s="663">
        <v>483</v>
      </c>
      <c r="R59" s="663">
        <v>75065</v>
      </c>
      <c r="S59" s="663">
        <v>1638</v>
      </c>
      <c r="T59" s="680" t="s">
        <v>9602</v>
      </c>
      <c r="U59" s="663">
        <v>18146</v>
      </c>
      <c r="V59" s="663">
        <v>4366450</v>
      </c>
      <c r="W59" s="663">
        <v>1205</v>
      </c>
      <c r="X59" s="664" t="s">
        <v>9602</v>
      </c>
      <c r="Y59" s="663">
        <v>3171</v>
      </c>
      <c r="Z59" s="663">
        <v>244144</v>
      </c>
      <c r="AA59" s="663">
        <v>2993</v>
      </c>
      <c r="AB59" s="663">
        <v>168594</v>
      </c>
      <c r="AC59" s="663">
        <v>8015</v>
      </c>
      <c r="AD59" s="663">
        <v>212844</v>
      </c>
      <c r="AE59" s="663">
        <v>6409</v>
      </c>
      <c r="AF59" s="663">
        <v>360314</v>
      </c>
      <c r="AG59" s="663">
        <v>1846</v>
      </c>
      <c r="AH59" s="663">
        <v>26355</v>
      </c>
      <c r="AI59" s="663">
        <v>7013</v>
      </c>
      <c r="AJ59" s="663">
        <v>1877774</v>
      </c>
      <c r="AK59" s="663">
        <v>878</v>
      </c>
      <c r="AL59" s="663">
        <v>79226</v>
      </c>
      <c r="AM59" s="663">
        <v>2831</v>
      </c>
      <c r="AN59" s="663">
        <v>255331</v>
      </c>
    </row>
    <row r="60" spans="1:40" ht="12.5" thickBot="1">
      <c r="A60" s="668">
        <v>1</v>
      </c>
      <c r="B60" s="669" t="s">
        <v>9649</v>
      </c>
      <c r="C60" s="663">
        <v>58282</v>
      </c>
      <c r="D60" s="680" t="s">
        <v>9602</v>
      </c>
      <c r="E60" s="663">
        <v>599</v>
      </c>
      <c r="F60" s="663">
        <v>27277</v>
      </c>
      <c r="G60" s="663">
        <v>41</v>
      </c>
      <c r="H60" s="663">
        <v>4557</v>
      </c>
      <c r="I60" s="663">
        <v>37</v>
      </c>
      <c r="J60" s="664" t="s">
        <v>4020</v>
      </c>
      <c r="K60" s="663">
        <v>4582</v>
      </c>
      <c r="L60" s="664" t="s">
        <v>9602</v>
      </c>
      <c r="M60" s="663">
        <v>2681</v>
      </c>
      <c r="N60" s="663">
        <v>523332</v>
      </c>
      <c r="O60" s="663">
        <v>61</v>
      </c>
      <c r="P60" s="680" t="s">
        <v>9602</v>
      </c>
      <c r="Q60" s="663">
        <v>772</v>
      </c>
      <c r="R60" s="663">
        <v>103497</v>
      </c>
      <c r="S60" s="663">
        <v>1245</v>
      </c>
      <c r="T60" s="680" t="s">
        <v>9602</v>
      </c>
      <c r="U60" s="663">
        <v>13632</v>
      </c>
      <c r="V60" s="663">
        <v>3303656</v>
      </c>
      <c r="W60" s="663">
        <v>865</v>
      </c>
      <c r="X60" s="664" t="s">
        <v>9602</v>
      </c>
      <c r="Y60" s="663">
        <v>5660</v>
      </c>
      <c r="Z60" s="663">
        <v>425275</v>
      </c>
      <c r="AA60" s="663">
        <v>2794</v>
      </c>
      <c r="AB60" s="663">
        <v>182709</v>
      </c>
      <c r="AC60" s="663">
        <v>9140</v>
      </c>
      <c r="AD60" s="663">
        <v>273355</v>
      </c>
      <c r="AE60" s="663">
        <v>5234</v>
      </c>
      <c r="AF60" s="663">
        <v>311803</v>
      </c>
      <c r="AG60" s="663">
        <v>2464</v>
      </c>
      <c r="AH60" s="663">
        <v>31909</v>
      </c>
      <c r="AI60" s="663">
        <v>5668</v>
      </c>
      <c r="AJ60" s="663">
        <v>1383755</v>
      </c>
      <c r="AK60" s="663">
        <v>311</v>
      </c>
      <c r="AL60" s="663">
        <v>1212</v>
      </c>
      <c r="AM60" s="663">
        <v>2496</v>
      </c>
      <c r="AN60" s="663">
        <v>316195</v>
      </c>
    </row>
    <row r="61" spans="1:40">
      <c r="D61" s="681"/>
      <c r="P61" s="681"/>
      <c r="T61" s="681"/>
    </row>
    <row r="62" spans="1:40">
      <c r="B62" s="674" t="s">
        <v>9650</v>
      </c>
      <c r="C62" s="675">
        <f>C41/C13*100</f>
        <v>3.9015688150319452</v>
      </c>
      <c r="D62" s="682"/>
      <c r="E62" s="675">
        <f t="shared" ref="E62:AN62" si="0">E41/E13*100</f>
        <v>2.4311476256911075</v>
      </c>
      <c r="F62" s="675">
        <f t="shared" si="0"/>
        <v>2.1966583578558216</v>
      </c>
      <c r="G62" s="675">
        <f t="shared" si="0"/>
        <v>2.1698365925529064</v>
      </c>
      <c r="H62" s="675">
        <f t="shared" si="0"/>
        <v>1.1222702439148124</v>
      </c>
      <c r="I62" s="675">
        <f t="shared" si="0"/>
        <v>1.7857142857142856</v>
      </c>
      <c r="J62" s="675">
        <f t="shared" si="0"/>
        <v>1.0667055443174847</v>
      </c>
      <c r="K62" s="675">
        <f t="shared" si="0"/>
        <v>3.4168313512185264</v>
      </c>
      <c r="L62" s="675" t="e">
        <f t="shared" si="0"/>
        <v>#VALUE!</v>
      </c>
      <c r="M62" s="675">
        <f t="shared" si="0"/>
        <v>4.0123833457449063</v>
      </c>
      <c r="N62" s="675">
        <f t="shared" si="0"/>
        <v>4.8602660119260115</v>
      </c>
      <c r="O62" s="675">
        <f t="shared" si="0"/>
        <v>3.1243402997677854</v>
      </c>
      <c r="P62" s="682"/>
      <c r="Q62" s="675">
        <f t="shared" si="0"/>
        <v>2.3868843994061835</v>
      </c>
      <c r="R62" s="675">
        <f t="shared" si="0"/>
        <v>0.82382392829265494</v>
      </c>
      <c r="S62" s="675">
        <f t="shared" si="0"/>
        <v>4.1429981712547139</v>
      </c>
      <c r="T62" s="682"/>
      <c r="U62" s="675">
        <f t="shared" si="0"/>
        <v>3.8834425470425953</v>
      </c>
      <c r="V62" s="675">
        <f t="shared" si="0"/>
        <v>2.7839813173749017</v>
      </c>
      <c r="W62" s="675">
        <f t="shared" si="0"/>
        <v>3.5602847252693679</v>
      </c>
      <c r="X62" s="675" t="s">
        <v>9651</v>
      </c>
      <c r="Y62" s="675">
        <f t="shared" si="0"/>
        <v>3.9124998646849325</v>
      </c>
      <c r="Z62" s="675">
        <f t="shared" si="0"/>
        <v>2.3672499372460387</v>
      </c>
      <c r="AA62" s="675">
        <f t="shared" si="0"/>
        <v>3.6205039068601339</v>
      </c>
      <c r="AB62" s="675">
        <f t="shared" si="0"/>
        <v>1.850999605378888</v>
      </c>
      <c r="AC62" s="675">
        <f t="shared" si="0"/>
        <v>4.2744650769589558</v>
      </c>
      <c r="AD62" s="675">
        <f t="shared" si="0"/>
        <v>3.9601263133111262</v>
      </c>
      <c r="AE62" s="675">
        <f t="shared" si="0"/>
        <v>3.8333787227420388</v>
      </c>
      <c r="AF62" s="675">
        <f t="shared" si="0"/>
        <v>3.0174091869287327</v>
      </c>
      <c r="AG62" s="675">
        <f t="shared" si="0"/>
        <v>4.8167216085945812</v>
      </c>
      <c r="AH62" s="675">
        <f t="shared" si="0"/>
        <v>3.8920587582076891</v>
      </c>
      <c r="AI62" s="675">
        <f t="shared" si="0"/>
        <v>4.371081738957808</v>
      </c>
      <c r="AJ62" s="675">
        <f t="shared" si="0"/>
        <v>3.3975113445356731</v>
      </c>
      <c r="AK62" s="675">
        <f t="shared" si="0"/>
        <v>3.9437596544875637</v>
      </c>
      <c r="AL62" s="675">
        <f t="shared" si="0"/>
        <v>3.323303651922656</v>
      </c>
      <c r="AM62" s="675">
        <f t="shared" si="0"/>
        <v>3.61564988520984</v>
      </c>
      <c r="AN62" s="675">
        <f t="shared" si="0"/>
        <v>3.0719188187388138</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B9A7C-7E63-46BD-9F13-71A0EBA74FAA}">
  <sheetPr>
    <tabColor theme="5" tint="0.79998168889431442"/>
  </sheetPr>
  <dimension ref="A1:K45"/>
  <sheetViews>
    <sheetView workbookViewId="0">
      <pane xSplit="2" ySplit="3" topLeftCell="C30" activePane="bottomRight" state="frozen"/>
      <selection pane="topRight" activeCell="C1" sqref="C1"/>
      <selection pane="bottomLeft" activeCell="A3" sqref="A3"/>
      <selection pane="bottomRight" activeCell="L33" sqref="L33"/>
    </sheetView>
  </sheetViews>
  <sheetFormatPr defaultColWidth="9" defaultRowHeight="13"/>
  <cols>
    <col min="1" max="1" width="4.5" style="760" customWidth="1"/>
    <col min="2" max="2" width="24.08203125" style="760" customWidth="1"/>
    <col min="3" max="10" width="10.83203125" style="760" customWidth="1"/>
    <col min="11" max="11" width="10.83203125" style="133" customWidth="1"/>
    <col min="12" max="16384" width="9" style="133"/>
  </cols>
  <sheetData>
    <row r="1" spans="1:11" s="135" customFormat="1" ht="15.75" customHeight="1">
      <c r="A1" s="757" t="s">
        <v>10001</v>
      </c>
      <c r="B1" s="758"/>
      <c r="C1" s="758"/>
      <c r="D1" s="758"/>
      <c r="E1" s="758"/>
      <c r="F1" s="758"/>
      <c r="H1" s="547" t="s">
        <v>9754</v>
      </c>
      <c r="I1" s="547"/>
      <c r="J1" s="547"/>
      <c r="K1" s="756">
        <f>目次!C1</f>
        <v>46048</v>
      </c>
    </row>
    <row r="2" spans="1:11" s="135" customFormat="1" ht="15.75" customHeight="1">
      <c r="A2" s="828"/>
      <c r="B2" s="829"/>
      <c r="C2" s="1490" t="s">
        <v>3137</v>
      </c>
      <c r="D2" s="782" t="s">
        <v>9885</v>
      </c>
      <c r="E2" s="1490" t="s">
        <v>10000</v>
      </c>
      <c r="F2" s="782" t="s">
        <v>9752</v>
      </c>
      <c r="G2" s="782" t="s">
        <v>9813</v>
      </c>
      <c r="H2" s="782" t="s">
        <v>10056</v>
      </c>
      <c r="I2" s="1497" t="s">
        <v>11752</v>
      </c>
      <c r="J2" s="1490" t="s">
        <v>11860</v>
      </c>
      <c r="K2" s="711" t="s">
        <v>5311</v>
      </c>
    </row>
    <row r="3" spans="1:11" s="135" customFormat="1" ht="15.75" customHeight="1">
      <c r="A3" s="830"/>
      <c r="B3" s="831" t="s">
        <v>836</v>
      </c>
      <c r="C3" s="1491" t="s">
        <v>9883</v>
      </c>
      <c r="D3" s="806" t="s">
        <v>9718</v>
      </c>
      <c r="E3" s="1491" t="s">
        <v>9718</v>
      </c>
      <c r="F3" s="806" t="s">
        <v>9883</v>
      </c>
      <c r="G3" s="806" t="s">
        <v>9883</v>
      </c>
      <c r="H3" s="806" t="s">
        <v>9718</v>
      </c>
      <c r="I3" s="1498" t="s">
        <v>9718</v>
      </c>
      <c r="J3" s="1491" t="s">
        <v>9718</v>
      </c>
      <c r="K3" s="727"/>
    </row>
    <row r="4" spans="1:11" s="135" customFormat="1" ht="15.75" customHeight="1">
      <c r="A4" s="769">
        <v>1</v>
      </c>
      <c r="B4" s="832" t="s">
        <v>9858</v>
      </c>
      <c r="C4" s="1492">
        <f>SUM('4推計WS106'!D4:D6)</f>
        <v>243.048</v>
      </c>
      <c r="D4" s="301">
        <f>SUM('4推計WS106'!O4:O6)</f>
        <v>269</v>
      </c>
      <c r="E4" s="1492">
        <f>SUM('4推計WS106'!P4:P6)</f>
        <v>291</v>
      </c>
      <c r="F4" s="301">
        <f>SUM('4推計WS106'!R4:R6)</f>
        <v>303</v>
      </c>
      <c r="G4" s="301">
        <f>SUM('4推計WS106'!S4:S6)</f>
        <v>314</v>
      </c>
      <c r="H4" s="301">
        <f>SUM('4推計WS106'!T4:T6)</f>
        <v>332</v>
      </c>
      <c r="I4" s="301">
        <f>SUM('4推計WS106'!U4:U6)</f>
        <v>333</v>
      </c>
      <c r="J4" s="301">
        <f>SUM('4推計WS106'!V4:V6)</f>
        <v>420</v>
      </c>
      <c r="K4" s="747"/>
    </row>
    <row r="5" spans="1:11" s="135" customFormat="1" ht="15.75" customHeight="1">
      <c r="A5" s="769">
        <v>2</v>
      </c>
      <c r="B5" s="832" t="s">
        <v>1595</v>
      </c>
      <c r="C5" s="1492">
        <f>'4推計WS106'!D7</f>
        <v>0</v>
      </c>
      <c r="D5" s="301">
        <f>'4推計WS106'!O7</f>
        <v>0</v>
      </c>
      <c r="E5" s="1492">
        <f>'4推計WS106'!P7</f>
        <v>0</v>
      </c>
      <c r="F5" s="301">
        <f>'4推計WS106'!R7</f>
        <v>0</v>
      </c>
      <c r="G5" s="301">
        <f>'4推計WS106'!S7</f>
        <v>0</v>
      </c>
      <c r="H5" s="301">
        <f>'4推計WS106'!T7</f>
        <v>0</v>
      </c>
      <c r="I5" s="301">
        <f>'4推計WS106'!U7</f>
        <v>0</v>
      </c>
      <c r="J5" s="301">
        <f>'4推計WS106'!V7</f>
        <v>0</v>
      </c>
      <c r="K5" s="747"/>
    </row>
    <row r="6" spans="1:11" s="135" customFormat="1" ht="15.75" customHeight="1">
      <c r="A6" s="769">
        <v>3</v>
      </c>
      <c r="B6" s="832" t="s">
        <v>1596</v>
      </c>
      <c r="C6" s="1492">
        <f>'4推計WS106'!D8</f>
        <v>0</v>
      </c>
      <c r="D6" s="301">
        <f>'4推計WS106'!O8</f>
        <v>0</v>
      </c>
      <c r="E6" s="1492">
        <f>'4推計WS106'!P8</f>
        <v>0</v>
      </c>
      <c r="F6" s="301">
        <f>'4推計WS106'!R8</f>
        <v>0</v>
      </c>
      <c r="G6" s="301">
        <f>'4推計WS106'!S8</f>
        <v>0</v>
      </c>
      <c r="H6" s="301">
        <f>'4推計WS106'!T8</f>
        <v>0</v>
      </c>
      <c r="I6" s="301">
        <f>'4推計WS106'!U8</f>
        <v>0</v>
      </c>
      <c r="J6" s="301">
        <f>'4推計WS106'!V8</f>
        <v>0</v>
      </c>
      <c r="K6" s="747"/>
    </row>
    <row r="7" spans="1:11" s="135" customFormat="1" ht="15.75" customHeight="1">
      <c r="A7" s="769">
        <v>4</v>
      </c>
      <c r="B7" s="832" t="s">
        <v>9763</v>
      </c>
      <c r="C7" s="1492">
        <f>SUM('4推計WS106'!D9:D10)</f>
        <v>0</v>
      </c>
      <c r="D7" s="301">
        <f>SUM('4推計WS106'!O9:O10)</f>
        <v>0</v>
      </c>
      <c r="E7" s="1492">
        <f>SUM('4推計WS106'!P9:P10)</f>
        <v>0</v>
      </c>
      <c r="F7" s="301">
        <f>SUM('4推計WS106'!R9:R10)</f>
        <v>0</v>
      </c>
      <c r="G7" s="301">
        <f>SUM('4推計WS106'!S9:S10)</f>
        <v>0</v>
      </c>
      <c r="H7" s="301">
        <f>SUM('4推計WS106'!T9:T10)</f>
        <v>0</v>
      </c>
      <c r="I7" s="301">
        <f>SUM('4推計WS106'!U9:U10)</f>
        <v>0</v>
      </c>
      <c r="J7" s="301">
        <f>SUM('4推計WS106'!V9:V10)</f>
        <v>0</v>
      </c>
      <c r="K7" s="747"/>
    </row>
    <row r="8" spans="1:11" s="135" customFormat="1" ht="15.75" customHeight="1">
      <c r="A8" s="766">
        <v>5</v>
      </c>
      <c r="B8" s="833" t="s">
        <v>9859</v>
      </c>
      <c r="C8" s="1493">
        <f>SUM('4推計WS106'!D11:D14)</f>
        <v>2851</v>
      </c>
      <c r="D8" s="186">
        <f>SUM('4推計WS106'!O11:O14)</f>
        <v>3161</v>
      </c>
      <c r="E8" s="1493">
        <f>SUM('4推計WS106'!P11:P14)</f>
        <v>3151</v>
      </c>
      <c r="F8" s="186">
        <f>SUM('4推計WS106'!R11:R14)</f>
        <v>9155</v>
      </c>
      <c r="G8" s="186">
        <f>SUM('4推計WS106'!S11:S14)</f>
        <v>9632</v>
      </c>
      <c r="H8" s="186">
        <f>SUM('4推計WS106'!T11:T14)</f>
        <v>10084</v>
      </c>
      <c r="I8" s="186">
        <f>SUM('4推計WS106'!U11:U14)</f>
        <v>10808</v>
      </c>
      <c r="J8" s="186">
        <f>SUM('4推計WS106'!V11:V14)</f>
        <v>11554</v>
      </c>
      <c r="K8" s="726"/>
    </row>
    <row r="9" spans="1:11" s="135" customFormat="1" ht="15.75" customHeight="1">
      <c r="A9" s="769">
        <v>6</v>
      </c>
      <c r="B9" s="832" t="s">
        <v>9860</v>
      </c>
      <c r="C9" s="1494">
        <f>SUM('4推計WS106'!D15:D16)</f>
        <v>1316.796</v>
      </c>
      <c r="D9" s="187">
        <f>SUM('4推計WS106'!O15:O16)</f>
        <v>1249</v>
      </c>
      <c r="E9" s="1494">
        <f>SUM('4推計WS106'!P15:P16)</f>
        <v>1136</v>
      </c>
      <c r="F9" s="187">
        <f>SUM('4推計WS106'!R15:R16)</f>
        <v>1201</v>
      </c>
      <c r="G9" s="187">
        <f>SUM('4推計WS106'!S15:S16)</f>
        <v>1210</v>
      </c>
      <c r="H9" s="187">
        <f>SUM('4推計WS106'!T15:T16)</f>
        <v>1252</v>
      </c>
      <c r="I9" s="187">
        <f>SUM('4推計WS106'!U15:U16)</f>
        <v>1228</v>
      </c>
      <c r="J9" s="187">
        <f>SUM('4推計WS106'!V15:V16)</f>
        <v>1181</v>
      </c>
      <c r="K9" s="747"/>
    </row>
    <row r="10" spans="1:11" s="135" customFormat="1" ht="15.75" customHeight="1">
      <c r="A10" s="769">
        <v>7</v>
      </c>
      <c r="B10" s="832" t="s">
        <v>9861</v>
      </c>
      <c r="C10" s="1494">
        <f>SUM('4推計WS106'!D17:D20)</f>
        <v>0</v>
      </c>
      <c r="D10" s="187">
        <f>SUM('4推計WS106'!O17:O20)</f>
        <v>0</v>
      </c>
      <c r="E10" s="1494">
        <f>SUM('4推計WS106'!P17:P20)</f>
        <v>0</v>
      </c>
      <c r="F10" s="187">
        <f>SUM('4推計WS106'!R17:R20)</f>
        <v>0</v>
      </c>
      <c r="G10" s="187">
        <f>SUM('4推計WS106'!S17:S20)</f>
        <v>0</v>
      </c>
      <c r="H10" s="187">
        <f>SUM('4推計WS106'!T17:T20)</f>
        <v>0</v>
      </c>
      <c r="I10" s="187">
        <f>SUM('4推計WS106'!U17:U20)</f>
        <v>0</v>
      </c>
      <c r="J10" s="187">
        <f>SUM('4推計WS106'!V17:V20)</f>
        <v>0</v>
      </c>
      <c r="K10" s="747"/>
    </row>
    <row r="11" spans="1:11" s="135" customFormat="1" ht="15.75" customHeight="1">
      <c r="A11" s="769">
        <v>8</v>
      </c>
      <c r="B11" s="832" t="s">
        <v>9862</v>
      </c>
      <c r="C11" s="1494">
        <f>SUM('4推計WS106'!D22:D29)</f>
        <v>2504.0500000000002</v>
      </c>
      <c r="D11" s="187">
        <f>SUM('4推計WS106'!O22:O29)</f>
        <v>2765</v>
      </c>
      <c r="E11" s="1494">
        <f>SUM('4推計WS106'!P22:P29)</f>
        <v>2694</v>
      </c>
      <c r="F11" s="187">
        <f>SUM('4推計WS106'!R22:R29)</f>
        <v>4911</v>
      </c>
      <c r="G11" s="187">
        <f>SUM('4推計WS106'!S22:S29)</f>
        <v>5071</v>
      </c>
      <c r="H11" s="187">
        <f>SUM('4推計WS106'!T22:T29)</f>
        <v>5589</v>
      </c>
      <c r="I11" s="187">
        <f>SUM('4推計WS106'!U22:U29)</f>
        <v>5632</v>
      </c>
      <c r="J11" s="187">
        <f>SUM('4推計WS106'!V22:V29)</f>
        <v>5413</v>
      </c>
      <c r="K11" s="747"/>
    </row>
    <row r="12" spans="1:11" s="135" customFormat="1" ht="15.75" customHeight="1">
      <c r="A12" s="769">
        <v>9</v>
      </c>
      <c r="B12" s="832" t="s">
        <v>9863</v>
      </c>
      <c r="C12" s="1494">
        <f>SUM('4推計WS106'!D30:D31)</f>
        <v>0</v>
      </c>
      <c r="D12" s="187">
        <f>SUM('4推計WS106'!O30:O31)</f>
        <v>0</v>
      </c>
      <c r="E12" s="1494">
        <f>SUM('4推計WS106'!P30:P31)</f>
        <v>0</v>
      </c>
      <c r="F12" s="187">
        <f>SUM('4推計WS106'!R30:R31)</f>
        <v>0</v>
      </c>
      <c r="G12" s="187">
        <f>SUM('4推計WS106'!S30:S31)</f>
        <v>0</v>
      </c>
      <c r="H12" s="187">
        <f>SUM('4推計WS106'!T30:T31)</f>
        <v>0</v>
      </c>
      <c r="I12" s="187">
        <f>SUM('4推計WS106'!U30:U31)</f>
        <v>0</v>
      </c>
      <c r="J12" s="187">
        <f>SUM('4推計WS106'!V30:V31)</f>
        <v>0</v>
      </c>
      <c r="K12" s="747"/>
    </row>
    <row r="13" spans="1:11" s="135" customFormat="1" ht="15.75" customHeight="1">
      <c r="A13" s="769">
        <v>10</v>
      </c>
      <c r="B13" s="832" t="s">
        <v>9864</v>
      </c>
      <c r="C13" s="1494">
        <f>SUM('4推計WS106'!D32:D33)</f>
        <v>26.201999999999998</v>
      </c>
      <c r="D13" s="187">
        <f>SUM('4推計WS106'!O32:O33)</f>
        <v>27</v>
      </c>
      <c r="E13" s="1494">
        <f>SUM('4推計WS106'!P32:P33)</f>
        <v>24</v>
      </c>
      <c r="F13" s="187">
        <f>SUM('4推計WS106'!R32:R33)</f>
        <v>18</v>
      </c>
      <c r="G13" s="187">
        <f>SUM('4推計WS106'!S32:S33)</f>
        <v>20</v>
      </c>
      <c r="H13" s="187">
        <f>SUM('4推計WS106'!T32:T33)</f>
        <v>19</v>
      </c>
      <c r="I13" s="187">
        <f>SUM('4推計WS106'!U32:U33)</f>
        <v>19</v>
      </c>
      <c r="J13" s="187">
        <f>SUM('4推計WS106'!V32:V33)</f>
        <v>20</v>
      </c>
      <c r="K13" s="747"/>
    </row>
    <row r="14" spans="1:11" s="135" customFormat="1" ht="15.75" customHeight="1">
      <c r="A14" s="769">
        <v>11</v>
      </c>
      <c r="B14" s="832" t="s">
        <v>9865</v>
      </c>
      <c r="C14" s="1494">
        <f>SUM('4推計WS106'!D35:D38)</f>
        <v>0</v>
      </c>
      <c r="D14" s="187">
        <f>SUM('4推計WS106'!O35:O38)</f>
        <v>0</v>
      </c>
      <c r="E14" s="1494">
        <f>SUM('4推計WS106'!P35:P38)</f>
        <v>0</v>
      </c>
      <c r="F14" s="187">
        <f>SUM('4推計WS106'!R35:R38)</f>
        <v>0</v>
      </c>
      <c r="G14" s="187">
        <f>SUM('4推計WS106'!S35:S38)</f>
        <v>0</v>
      </c>
      <c r="H14" s="187">
        <f>SUM('4推計WS106'!T35:T38)</f>
        <v>0</v>
      </c>
      <c r="I14" s="187">
        <f>SUM('4推計WS106'!U35:U38)</f>
        <v>0</v>
      </c>
      <c r="J14" s="187">
        <f>SUM('4推計WS106'!V35:V38)</f>
        <v>0</v>
      </c>
      <c r="K14" s="747"/>
    </row>
    <row r="15" spans="1:11" s="135" customFormat="1" ht="15.75" customHeight="1">
      <c r="A15" s="769">
        <v>12</v>
      </c>
      <c r="B15" s="832" t="s">
        <v>9866</v>
      </c>
      <c r="C15" s="1494">
        <f>SUM('4推計WS106'!D39:D42)</f>
        <v>0</v>
      </c>
      <c r="D15" s="187">
        <f>SUM('4推計WS106'!O39:O42)</f>
        <v>0</v>
      </c>
      <c r="E15" s="1494">
        <f>SUM('4推計WS106'!P39:P42)</f>
        <v>0</v>
      </c>
      <c r="F15" s="187">
        <f>SUM('4推計WS106'!R39:R42)</f>
        <v>0</v>
      </c>
      <c r="G15" s="187">
        <f>SUM('4推計WS106'!S39:S42)</f>
        <v>0</v>
      </c>
      <c r="H15" s="187">
        <f>SUM('4推計WS106'!T39:T42)</f>
        <v>0</v>
      </c>
      <c r="I15" s="187">
        <f>SUM('4推計WS106'!U39:U42)</f>
        <v>0</v>
      </c>
      <c r="J15" s="187">
        <f>SUM('4推計WS106'!V39:V42)</f>
        <v>0</v>
      </c>
      <c r="K15" s="747"/>
    </row>
    <row r="16" spans="1:11" s="135" customFormat="1" ht="15.75" customHeight="1">
      <c r="A16" s="769">
        <v>13</v>
      </c>
      <c r="B16" s="832" t="s">
        <v>9867</v>
      </c>
      <c r="C16" s="1494">
        <f>SUM('4推計WS106'!D43:D44)</f>
        <v>0</v>
      </c>
      <c r="D16" s="187">
        <f>SUM('4推計WS106'!O43:O44)</f>
        <v>0</v>
      </c>
      <c r="E16" s="1494">
        <f>SUM('4推計WS106'!P43:P44)</f>
        <v>0</v>
      </c>
      <c r="F16" s="187">
        <f>SUM('4推計WS106'!R43:R44)</f>
        <v>0</v>
      </c>
      <c r="G16" s="187">
        <f>SUM('4推計WS106'!S43:S44)</f>
        <v>0</v>
      </c>
      <c r="H16" s="187">
        <f>SUM('4推計WS106'!T43:T44)</f>
        <v>0</v>
      </c>
      <c r="I16" s="187">
        <f>SUM('4推計WS106'!U43:U44)</f>
        <v>0</v>
      </c>
      <c r="J16" s="187">
        <f>SUM('4推計WS106'!V43:V44)</f>
        <v>0</v>
      </c>
      <c r="K16" s="747"/>
    </row>
    <row r="17" spans="1:11" s="135" customFormat="1" ht="15.75" customHeight="1">
      <c r="A17" s="769">
        <v>14</v>
      </c>
      <c r="B17" s="832" t="s">
        <v>9868</v>
      </c>
      <c r="C17" s="1494">
        <f>SUM('4推計WS106'!D45:D46)</f>
        <v>0</v>
      </c>
      <c r="D17" s="187">
        <f>SUM('4推計WS106'!O45:O46)</f>
        <v>0</v>
      </c>
      <c r="E17" s="1494">
        <f>SUM('4推計WS106'!P45:P46)</f>
        <v>0</v>
      </c>
      <c r="F17" s="187">
        <f>SUM('4推計WS106'!R45:R46)</f>
        <v>0</v>
      </c>
      <c r="G17" s="187">
        <f>SUM('4推計WS106'!S45:S46)</f>
        <v>0</v>
      </c>
      <c r="H17" s="187">
        <f>SUM('4推計WS106'!T45:T46)</f>
        <v>0</v>
      </c>
      <c r="I17" s="187">
        <f>SUM('4推計WS106'!U45:U46)</f>
        <v>0</v>
      </c>
      <c r="J17" s="187">
        <f>SUM('4推計WS106'!V45:V46)</f>
        <v>0</v>
      </c>
      <c r="K17" s="747"/>
    </row>
    <row r="18" spans="1:11" s="135" customFormat="1" ht="15.75" customHeight="1">
      <c r="A18" s="769">
        <v>15</v>
      </c>
      <c r="B18" s="832" t="s">
        <v>9081</v>
      </c>
      <c r="C18" s="1494">
        <f>'4推計WS106'!D47</f>
        <v>0</v>
      </c>
      <c r="D18" s="187">
        <f>'4推計WS106'!O47</f>
        <v>0</v>
      </c>
      <c r="E18" s="1494">
        <f>'4推計WS106'!P47</f>
        <v>0</v>
      </c>
      <c r="F18" s="187">
        <f>'4推計WS106'!R47</f>
        <v>0</v>
      </c>
      <c r="G18" s="187">
        <f>'4推計WS106'!S47</f>
        <v>0</v>
      </c>
      <c r="H18" s="187">
        <f>'4推計WS106'!T47</f>
        <v>0</v>
      </c>
      <c r="I18" s="187">
        <f>'4推計WS106'!U47</f>
        <v>0</v>
      </c>
      <c r="J18" s="187">
        <f>'4推計WS106'!V47</f>
        <v>0</v>
      </c>
      <c r="K18" s="747"/>
    </row>
    <row r="19" spans="1:11" s="135" customFormat="1" ht="15.75" customHeight="1">
      <c r="A19" s="769">
        <v>16</v>
      </c>
      <c r="B19" s="832" t="s">
        <v>9082</v>
      </c>
      <c r="C19" s="1494">
        <f>'4推計WS106'!D48</f>
        <v>0</v>
      </c>
      <c r="D19" s="187">
        <f>'4推計WS106'!O48</f>
        <v>0</v>
      </c>
      <c r="E19" s="1494">
        <f>'4推計WS106'!P48</f>
        <v>0</v>
      </c>
      <c r="F19" s="187">
        <f>'4推計WS106'!R48</f>
        <v>0</v>
      </c>
      <c r="G19" s="187">
        <f>'4推計WS106'!S48</f>
        <v>0</v>
      </c>
      <c r="H19" s="187">
        <f>'4推計WS106'!T48</f>
        <v>0</v>
      </c>
      <c r="I19" s="187">
        <f>'4推計WS106'!U48</f>
        <v>0</v>
      </c>
      <c r="J19" s="187">
        <f>'4推計WS106'!V48</f>
        <v>0</v>
      </c>
      <c r="K19" s="747"/>
    </row>
    <row r="20" spans="1:11" s="135" customFormat="1" ht="15.75" customHeight="1">
      <c r="A20" s="769">
        <v>17</v>
      </c>
      <c r="B20" s="832" t="s">
        <v>9083</v>
      </c>
      <c r="C20" s="1494">
        <f>'4推計WS106'!D49</f>
        <v>3465.0010000000002</v>
      </c>
      <c r="D20" s="187">
        <f>'4推計WS106'!O49</f>
        <v>3650</v>
      </c>
      <c r="E20" s="1494">
        <f>'4推計WS106'!P49</f>
        <v>3686</v>
      </c>
      <c r="F20" s="187">
        <f>'4推計WS106'!R49</f>
        <v>3466</v>
      </c>
      <c r="G20" s="187">
        <f>'4推計WS106'!S49</f>
        <v>3561</v>
      </c>
      <c r="H20" s="187">
        <f>'4推計WS106'!T49</f>
        <v>3306</v>
      </c>
      <c r="I20" s="187">
        <f>'4推計WS106'!U49</f>
        <v>3262</v>
      </c>
      <c r="J20" s="187">
        <f>'4推計WS106'!V49</f>
        <v>3361</v>
      </c>
      <c r="K20" s="747"/>
    </row>
    <row r="21" spans="1:11" s="135" customFormat="1" ht="15.75" customHeight="1">
      <c r="A21" s="769">
        <v>18</v>
      </c>
      <c r="B21" s="832" t="s">
        <v>9869</v>
      </c>
      <c r="C21" s="1494">
        <f>SUM('4推計WS106'!D50:D51)</f>
        <v>0</v>
      </c>
      <c r="D21" s="187">
        <f>SUM('4推計WS106'!O50:O51)</f>
        <v>0</v>
      </c>
      <c r="E21" s="1494">
        <f>SUM('4推計WS106'!P50:P51)</f>
        <v>0</v>
      </c>
      <c r="F21" s="187">
        <f>SUM('4推計WS106'!R50:R51)</f>
        <v>0</v>
      </c>
      <c r="G21" s="187">
        <f>SUM('4推計WS106'!S50:S51)</f>
        <v>0</v>
      </c>
      <c r="H21" s="187">
        <f>SUM('4推計WS106'!T50:T51)</f>
        <v>0</v>
      </c>
      <c r="I21" s="187">
        <f>SUM('4推計WS106'!U50:U51)</f>
        <v>0</v>
      </c>
      <c r="J21" s="187">
        <f>SUM('4推計WS106'!V50:V51)</f>
        <v>0</v>
      </c>
      <c r="K21" s="747"/>
    </row>
    <row r="22" spans="1:11" s="135" customFormat="1" ht="15.75" customHeight="1">
      <c r="A22" s="769">
        <v>19</v>
      </c>
      <c r="B22" s="832" t="s">
        <v>9870</v>
      </c>
      <c r="C22" s="1494">
        <f>SUM('4推計WS106'!D52:D55)</f>
        <v>0</v>
      </c>
      <c r="D22" s="187">
        <f>SUM('4推計WS106'!O52:O55)</f>
        <v>0</v>
      </c>
      <c r="E22" s="1494">
        <f>SUM('4推計WS106'!P52:P55)</f>
        <v>0</v>
      </c>
      <c r="F22" s="187">
        <f>SUM('4推計WS106'!R52:R55)</f>
        <v>0</v>
      </c>
      <c r="G22" s="187">
        <f>SUM('4推計WS106'!S52:S55)</f>
        <v>0</v>
      </c>
      <c r="H22" s="187">
        <f>SUM('4推計WS106'!T52:T55)</f>
        <v>0</v>
      </c>
      <c r="I22" s="187">
        <f>SUM('4推計WS106'!U52:U55)</f>
        <v>0</v>
      </c>
      <c r="J22" s="187">
        <f>SUM('4推計WS106'!V52:V55)</f>
        <v>0</v>
      </c>
      <c r="K22" s="747"/>
    </row>
    <row r="23" spans="1:11" s="135" customFormat="1" ht="15.75" customHeight="1">
      <c r="A23" s="769">
        <v>20</v>
      </c>
      <c r="B23" s="832" t="s">
        <v>9871</v>
      </c>
      <c r="C23" s="1494">
        <f>SUM('4推計WS106'!D56:D57)</f>
        <v>0</v>
      </c>
      <c r="D23" s="187">
        <f>SUM('4推計WS106'!O56:O57)</f>
        <v>0</v>
      </c>
      <c r="E23" s="1494">
        <f>SUM('4推計WS106'!P56:P57)</f>
        <v>0</v>
      </c>
      <c r="F23" s="187">
        <f>SUM('4推計WS106'!R56:R57)</f>
        <v>0</v>
      </c>
      <c r="G23" s="187">
        <f>SUM('4推計WS106'!S56:S57)</f>
        <v>0</v>
      </c>
      <c r="H23" s="187">
        <f>SUM('4推計WS106'!T56:T57)</f>
        <v>0</v>
      </c>
      <c r="I23" s="187">
        <f>SUM('4推計WS106'!U56:U57)</f>
        <v>0</v>
      </c>
      <c r="J23" s="187">
        <f>SUM('4推計WS106'!V56:V57)</f>
        <v>0</v>
      </c>
      <c r="K23" s="747"/>
    </row>
    <row r="24" spans="1:11" s="135" customFormat="1" ht="15.75" customHeight="1">
      <c r="A24" s="769">
        <v>21</v>
      </c>
      <c r="B24" s="832" t="s">
        <v>9872</v>
      </c>
      <c r="C24" s="1494">
        <f>SUM('4推計WS106'!D58:D62)</f>
        <v>3514.2840000000001</v>
      </c>
      <c r="D24" s="187">
        <f>SUM('4推計WS106'!O58:O62)</f>
        <v>5677</v>
      </c>
      <c r="E24" s="1494">
        <f>SUM('4推計WS106'!P58:P62)</f>
        <v>4577</v>
      </c>
      <c r="F24" s="187">
        <f>SUM('4推計WS106'!R58:R62)</f>
        <v>1797</v>
      </c>
      <c r="G24" s="187">
        <f>SUM('4推計WS106'!S58:S62)</f>
        <v>2133</v>
      </c>
      <c r="H24" s="187">
        <f>SUM('4推計WS106'!T58:T62)</f>
        <v>2392</v>
      </c>
      <c r="I24" s="187">
        <f>SUM('4推計WS106'!U58:U62)</f>
        <v>2525</v>
      </c>
      <c r="J24" s="187">
        <f>SUM('4推計WS106'!V58:V62)</f>
        <v>2527</v>
      </c>
      <c r="K24" s="747"/>
    </row>
    <row r="25" spans="1:11" s="135" customFormat="1" ht="15.75" customHeight="1">
      <c r="A25" s="773">
        <v>22</v>
      </c>
      <c r="B25" s="831" t="s">
        <v>600</v>
      </c>
      <c r="C25" s="1495">
        <f>'4推計WS106'!D21+'4推計WS106'!D34+SUM('4推計WS106'!D63:D64)</f>
        <v>60094.005000000005</v>
      </c>
      <c r="D25" s="796">
        <f>'4推計WS106'!O21+'4推計WS106'!O34+SUM('4推計WS106'!O63:O64)</f>
        <v>62386</v>
      </c>
      <c r="E25" s="1495">
        <f>'4推計WS106'!P21+'4推計WS106'!P34+SUM('4推計WS106'!P63:P64)</f>
        <v>55482</v>
      </c>
      <c r="F25" s="796">
        <f>'4推計WS106'!R21+'4推計WS106'!R34+SUM('4推計WS106'!R63:R64)</f>
        <v>54662</v>
      </c>
      <c r="G25" s="796">
        <f>'4推計WS106'!S21+'4推計WS106'!S34+SUM('4推計WS106'!S63:S64)</f>
        <v>59814</v>
      </c>
      <c r="H25" s="796">
        <f>'4推計WS106'!T21+'4推計WS106'!T34+SUM('4推計WS106'!T63:T64)</f>
        <v>57785</v>
      </c>
      <c r="I25" s="796">
        <f>'4推計WS106'!U21+'4推計WS106'!U34+SUM('4推計WS106'!U63:U64)</f>
        <v>56522</v>
      </c>
      <c r="J25" s="796">
        <f>'4推計WS106'!V21+'4推計WS106'!V34+SUM('4推計WS106'!V63:V64)</f>
        <v>59248</v>
      </c>
      <c r="K25" s="727"/>
    </row>
    <row r="26" spans="1:11" s="135" customFormat="1" ht="15.75" customHeight="1">
      <c r="A26" s="769">
        <v>23</v>
      </c>
      <c r="B26" s="832" t="s">
        <v>9873</v>
      </c>
      <c r="C26" s="1492">
        <f>SUM('4推計WS106'!D65:D68)</f>
        <v>1765.421</v>
      </c>
      <c r="D26" s="301">
        <f>SUM('4推計WS106'!O65:O68)</f>
        <v>1843</v>
      </c>
      <c r="E26" s="1492">
        <f>SUM('4推計WS106'!P65:P68)</f>
        <v>2064</v>
      </c>
      <c r="F26" s="301">
        <f>SUM('4推計WS106'!R65:R68)</f>
        <v>4622</v>
      </c>
      <c r="G26" s="301">
        <f>SUM('4推計WS106'!S65:S68)</f>
        <v>4637</v>
      </c>
      <c r="H26" s="301">
        <f>SUM('4推計WS106'!T65:T68)</f>
        <v>4961</v>
      </c>
      <c r="I26" s="301">
        <f>SUM('4推計WS106'!U65:U68)</f>
        <v>5457</v>
      </c>
      <c r="J26" s="301">
        <f>SUM('4推計WS106'!V65:V68)</f>
        <v>5518</v>
      </c>
      <c r="K26" s="747"/>
    </row>
    <row r="27" spans="1:11" s="135" customFormat="1" ht="15.75" customHeight="1">
      <c r="A27" s="769">
        <v>24</v>
      </c>
      <c r="B27" s="832" t="s">
        <v>9874</v>
      </c>
      <c r="C27" s="1492">
        <f>SUM('4推計WS106'!D69:D70)</f>
        <v>0</v>
      </c>
      <c r="D27" s="301">
        <f>SUM('4推計WS106'!O69:O70)</f>
        <v>0</v>
      </c>
      <c r="E27" s="1492">
        <f>SUM('4推計WS106'!P69:P70)</f>
        <v>0</v>
      </c>
      <c r="F27" s="301">
        <f>SUM('4推計WS106'!R69:R70)</f>
        <v>0</v>
      </c>
      <c r="G27" s="301">
        <f>SUM('4推計WS106'!S69:S70)</f>
        <v>0</v>
      </c>
      <c r="H27" s="301">
        <f>SUM('4推計WS106'!T69:T70)</f>
        <v>0</v>
      </c>
      <c r="I27" s="301">
        <f>SUM('4推計WS106'!U69:U70)</f>
        <v>0</v>
      </c>
      <c r="J27" s="301">
        <f>SUM('4推計WS106'!V69:V70)</f>
        <v>0</v>
      </c>
      <c r="K27" s="747"/>
    </row>
    <row r="28" spans="1:11" s="135" customFormat="1" ht="15.75" customHeight="1">
      <c r="A28" s="769">
        <v>25</v>
      </c>
      <c r="B28" s="832" t="s">
        <v>9875</v>
      </c>
      <c r="C28" s="1492">
        <f>'4推計WS106'!D71</f>
        <v>0</v>
      </c>
      <c r="D28" s="301">
        <f>'4推計WS106'!O71</f>
        <v>0</v>
      </c>
      <c r="E28" s="1492">
        <f>'4推計WS106'!P71</f>
        <v>0</v>
      </c>
      <c r="F28" s="301">
        <f>'4推計WS106'!R71</f>
        <v>0</v>
      </c>
      <c r="G28" s="301">
        <f>'4推計WS106'!S71</f>
        <v>0</v>
      </c>
      <c r="H28" s="301">
        <f>'4推計WS106'!T71</f>
        <v>0</v>
      </c>
      <c r="I28" s="301">
        <f>'4推計WS106'!U71</f>
        <v>0</v>
      </c>
      <c r="J28" s="301">
        <f>'4推計WS106'!V71</f>
        <v>0</v>
      </c>
      <c r="K28" s="747"/>
    </row>
    <row r="29" spans="1:11" s="135" customFormat="1" ht="15.75" customHeight="1">
      <c r="A29" s="769">
        <v>26</v>
      </c>
      <c r="B29" s="832" t="s">
        <v>9100</v>
      </c>
      <c r="C29" s="1492">
        <f>'4推計WS106'!D72</f>
        <v>0</v>
      </c>
      <c r="D29" s="301">
        <f>'4推計WS106'!O72</f>
        <v>0</v>
      </c>
      <c r="E29" s="1492">
        <f>'4推計WS106'!P72</f>
        <v>0</v>
      </c>
      <c r="F29" s="301">
        <f>'4推計WS106'!R72</f>
        <v>0</v>
      </c>
      <c r="G29" s="301">
        <f>'4推計WS106'!S72</f>
        <v>0</v>
      </c>
      <c r="H29" s="301">
        <f>'4推計WS106'!T72</f>
        <v>0</v>
      </c>
      <c r="I29" s="301">
        <f>'4推計WS106'!U72</f>
        <v>0</v>
      </c>
      <c r="J29" s="301">
        <f>'4推計WS106'!V72</f>
        <v>0</v>
      </c>
      <c r="K29" s="747"/>
    </row>
    <row r="30" spans="1:11" s="135" customFormat="1" ht="15.75" customHeight="1">
      <c r="A30" s="769">
        <v>27</v>
      </c>
      <c r="B30" s="832" t="s">
        <v>9101</v>
      </c>
      <c r="C30" s="1492">
        <f>'4推計WS106'!D73</f>
        <v>37687</v>
      </c>
      <c r="D30" s="301">
        <f>'4推計WS106'!O73</f>
        <v>38104</v>
      </c>
      <c r="E30" s="1492">
        <f>'4推計WS106'!P73</f>
        <v>35807</v>
      </c>
      <c r="F30" s="301">
        <f>'4推計WS106'!R73</f>
        <v>37309</v>
      </c>
      <c r="G30" s="301">
        <f>'4推計WS106'!S73</f>
        <v>39029</v>
      </c>
      <c r="H30" s="301">
        <f>'4推計WS106'!T73</f>
        <v>40525</v>
      </c>
      <c r="I30" s="301">
        <f>'4推計WS106'!U73</f>
        <v>41614</v>
      </c>
      <c r="J30" s="301">
        <f>'4推計WS106'!V73</f>
        <v>40821</v>
      </c>
      <c r="K30" s="747"/>
    </row>
    <row r="31" spans="1:11" s="135" customFormat="1" ht="15.75" customHeight="1">
      <c r="A31" s="769">
        <v>28</v>
      </c>
      <c r="B31" s="832" t="s">
        <v>1598</v>
      </c>
      <c r="C31" s="1492">
        <f>'4推計WS106'!D74</f>
        <v>155.55100000000002</v>
      </c>
      <c r="D31" s="301">
        <f>'4推計WS106'!O74</f>
        <v>146</v>
      </c>
      <c r="E31" s="1492">
        <f>'4推計WS106'!P74</f>
        <v>155</v>
      </c>
      <c r="F31" s="301">
        <f>'4推計WS106'!R74</f>
        <v>183</v>
      </c>
      <c r="G31" s="301">
        <f>'4推計WS106'!S74</f>
        <v>196</v>
      </c>
      <c r="H31" s="301">
        <f>'4推計WS106'!T74</f>
        <v>204</v>
      </c>
      <c r="I31" s="301">
        <f>'4推計WS106'!U74</f>
        <v>208</v>
      </c>
      <c r="J31" s="301">
        <f>'4推計WS106'!V74</f>
        <v>213</v>
      </c>
      <c r="K31" s="747"/>
    </row>
    <row r="32" spans="1:11" s="135" customFormat="1" ht="15.75" customHeight="1">
      <c r="A32" s="769">
        <v>29</v>
      </c>
      <c r="B32" s="832" t="s">
        <v>9876</v>
      </c>
      <c r="C32" s="1492">
        <f>SUM('4推計WS106'!D75:D77)</f>
        <v>662.62199999999996</v>
      </c>
      <c r="D32" s="301">
        <f>SUM('4推計WS106'!O75:O77)</f>
        <v>667</v>
      </c>
      <c r="E32" s="1492">
        <f>SUM('4推計WS106'!P75:P77)</f>
        <v>707</v>
      </c>
      <c r="F32" s="301">
        <f>SUM('4推計WS106'!R75:R77)</f>
        <v>950</v>
      </c>
      <c r="G32" s="301">
        <f>SUM('4推計WS106'!S75:S77)</f>
        <v>961</v>
      </c>
      <c r="H32" s="301">
        <f>SUM('4推計WS106'!T75:T77)</f>
        <v>968</v>
      </c>
      <c r="I32" s="301">
        <f>SUM('4推計WS106'!U75:U77)</f>
        <v>974</v>
      </c>
      <c r="J32" s="301">
        <f>SUM('4推計WS106'!V75:V77)</f>
        <v>987</v>
      </c>
      <c r="K32" s="747"/>
    </row>
    <row r="33" spans="1:11" s="135" customFormat="1" ht="15.75" customHeight="1">
      <c r="A33" s="769">
        <v>30</v>
      </c>
      <c r="B33" s="832" t="s">
        <v>9877</v>
      </c>
      <c r="C33" s="1492">
        <f>SUM('4推計WS106'!D78:D85)</f>
        <v>10780.544</v>
      </c>
      <c r="D33" s="301">
        <f>SUM('4推計WS106'!O78:O85)</f>
        <v>9986</v>
      </c>
      <c r="E33" s="1492">
        <f>SUM('4推計WS106'!P78:P85)</f>
        <v>6590</v>
      </c>
      <c r="F33" s="301">
        <f>SUM('4推計WS106'!R78:R85)</f>
        <v>6339</v>
      </c>
      <c r="G33" s="301">
        <f>SUM('4推計WS106'!S78:S85)</f>
        <v>6748</v>
      </c>
      <c r="H33" s="301">
        <f>SUM('4推計WS106'!T78:T85)</f>
        <v>7314</v>
      </c>
      <c r="I33" s="301">
        <f>SUM('4推計WS106'!U78:U85)</f>
        <v>7142</v>
      </c>
      <c r="J33" s="301">
        <f>SUM('4推計WS106'!V78:V85)</f>
        <v>7185</v>
      </c>
      <c r="K33" s="747"/>
    </row>
    <row r="34" spans="1:11" s="135" customFormat="1" ht="15.75" customHeight="1">
      <c r="A34" s="769">
        <v>31</v>
      </c>
      <c r="B34" s="832" t="s">
        <v>9878</v>
      </c>
      <c r="C34" s="1492">
        <f>SUM('4推計WS106'!D86:D90)</f>
        <v>9443.0120000000006</v>
      </c>
      <c r="D34" s="301">
        <f>SUM('4推計WS106'!O86:O90)</f>
        <v>9406</v>
      </c>
      <c r="E34" s="1492">
        <f>SUM('4推計WS106'!P86:P90)</f>
        <v>8926</v>
      </c>
      <c r="F34" s="301">
        <f>SUM('4推計WS106'!R86:R90)</f>
        <v>11232</v>
      </c>
      <c r="G34" s="301">
        <f>SUM('4推計WS106'!S86:S90)</f>
        <v>10549</v>
      </c>
      <c r="H34" s="301">
        <f>SUM('4推計WS106'!T86:T90)</f>
        <v>10629</v>
      </c>
      <c r="I34" s="301">
        <f>SUM('4推計WS106'!U86:U90)</f>
        <v>12817</v>
      </c>
      <c r="J34" s="301">
        <f>SUM('4推計WS106'!V86:V90)</f>
        <v>14387</v>
      </c>
      <c r="K34" s="747"/>
    </row>
    <row r="35" spans="1:11" s="135" customFormat="1" ht="15.75" customHeight="1">
      <c r="A35" s="769">
        <v>32</v>
      </c>
      <c r="B35" s="832" t="s">
        <v>9115</v>
      </c>
      <c r="C35" s="1492">
        <f>'4推計WS106'!D91</f>
        <v>1020.5095563709475</v>
      </c>
      <c r="D35" s="301">
        <f>'4推計WS106'!O91</f>
        <v>1031</v>
      </c>
      <c r="E35" s="1492">
        <f>'4推計WS106'!P91</f>
        <v>1028</v>
      </c>
      <c r="F35" s="301">
        <f>'4推計WS106'!R91</f>
        <v>1223</v>
      </c>
      <c r="G35" s="301">
        <f>'4推計WS106'!S91</f>
        <v>1262</v>
      </c>
      <c r="H35" s="301">
        <f>'4推計WS106'!T91</f>
        <v>1287</v>
      </c>
      <c r="I35" s="301">
        <f>'4推計WS106'!U91</f>
        <v>1315</v>
      </c>
      <c r="J35" s="301">
        <f>'4推計WS106'!V91</f>
        <v>1354</v>
      </c>
      <c r="K35" s="747"/>
    </row>
    <row r="36" spans="1:11" s="135" customFormat="1" ht="15.75" customHeight="1">
      <c r="A36" s="769">
        <v>33</v>
      </c>
      <c r="B36" s="832" t="s">
        <v>9879</v>
      </c>
      <c r="C36" s="1492">
        <f>SUM('4推計WS106'!D92:D93)</f>
        <v>74131.085000000006</v>
      </c>
      <c r="D36" s="301">
        <f>SUM('4推計WS106'!O92:O93)</f>
        <v>83315</v>
      </c>
      <c r="E36" s="1492">
        <f>SUM('4推計WS106'!P92:P93)</f>
        <v>83605</v>
      </c>
      <c r="F36" s="301">
        <f>SUM('4推計WS106'!R92:R93)</f>
        <v>65410</v>
      </c>
      <c r="G36" s="301">
        <f>SUM('4推計WS106'!S92:S93)</f>
        <v>74027</v>
      </c>
      <c r="H36" s="301">
        <f>SUM('4推計WS106'!T92:T93)</f>
        <v>77382</v>
      </c>
      <c r="I36" s="301">
        <f>SUM('4推計WS106'!U92:U93)</f>
        <v>99131</v>
      </c>
      <c r="J36" s="301">
        <f>SUM('4推計WS106'!V92:V93)</f>
        <v>108390</v>
      </c>
      <c r="K36" s="747"/>
    </row>
    <row r="37" spans="1:11" s="135" customFormat="1" ht="15.75" customHeight="1">
      <c r="A37" s="769">
        <v>34</v>
      </c>
      <c r="B37" s="832" t="s">
        <v>9880</v>
      </c>
      <c r="C37" s="1492">
        <f>SUM('4推計WS106'!D94:D97)</f>
        <v>10285.220000000001</v>
      </c>
      <c r="D37" s="301">
        <f>SUM('4推計WS106'!O94:O97)</f>
        <v>11181</v>
      </c>
      <c r="E37" s="1492">
        <f>SUM('4推計WS106'!P94:P97)</f>
        <v>10677</v>
      </c>
      <c r="F37" s="301">
        <f>SUM('4推計WS106'!R94:R97)</f>
        <v>10972</v>
      </c>
      <c r="G37" s="301">
        <f>SUM('4推計WS106'!S94:S97)</f>
        <v>11244</v>
      </c>
      <c r="H37" s="301">
        <f>SUM('4推計WS106'!T94:T97)</f>
        <v>11751</v>
      </c>
      <c r="I37" s="301">
        <f>SUM('4推計WS106'!U94:U97)</f>
        <v>13175</v>
      </c>
      <c r="J37" s="301">
        <f>SUM('4推計WS106'!V94:V97)</f>
        <v>13023</v>
      </c>
      <c r="K37" s="747"/>
    </row>
    <row r="38" spans="1:11" s="135" customFormat="1" ht="15.75" customHeight="1">
      <c r="A38" s="769">
        <v>35</v>
      </c>
      <c r="B38" s="832" t="s">
        <v>9121</v>
      </c>
      <c r="C38" s="1492">
        <f>'4推計WS106'!D98</f>
        <v>10680.376311363769</v>
      </c>
      <c r="D38" s="301">
        <f>'4推計WS106'!O98</f>
        <v>12540</v>
      </c>
      <c r="E38" s="1492">
        <f>'4推計WS106'!P98</f>
        <v>11915</v>
      </c>
      <c r="F38" s="301">
        <f>'4推計WS106'!R98</f>
        <v>11765</v>
      </c>
      <c r="G38" s="301">
        <f>'4推計WS106'!S98</f>
        <v>12057</v>
      </c>
      <c r="H38" s="301">
        <f>'4推計WS106'!T98</f>
        <v>12600</v>
      </c>
      <c r="I38" s="301">
        <f>'4推計WS106'!U98</f>
        <v>14127</v>
      </c>
      <c r="J38" s="301">
        <f>'4推計WS106'!V98</f>
        <v>13964</v>
      </c>
      <c r="K38" s="747"/>
    </row>
    <row r="39" spans="1:11" s="135" customFormat="1" ht="15.75" customHeight="1">
      <c r="A39" s="769">
        <v>36</v>
      </c>
      <c r="B39" s="832" t="s">
        <v>9881</v>
      </c>
      <c r="C39" s="1492">
        <f>SUM('4推計WS106'!D99:D102)</f>
        <v>3924.6800000000003</v>
      </c>
      <c r="D39" s="301">
        <f>SUM('4推計WS106'!O99:O102)</f>
        <v>4453</v>
      </c>
      <c r="E39" s="1492">
        <f>SUM('4推計WS106'!P99:P102)</f>
        <v>4338</v>
      </c>
      <c r="F39" s="301">
        <f>SUM('4推計WS106'!R99:R102)</f>
        <v>5074</v>
      </c>
      <c r="G39" s="301">
        <f>SUM('4推計WS106'!S99:S102)</f>
        <v>5303</v>
      </c>
      <c r="H39" s="301">
        <f>SUM('4推計WS106'!T99:T102)</f>
        <v>5316</v>
      </c>
      <c r="I39" s="301">
        <f>SUM('4推計WS106'!U99:U102)</f>
        <v>6213</v>
      </c>
      <c r="J39" s="301">
        <f>SUM('4推計WS106'!V99:V102)</f>
        <v>7143</v>
      </c>
      <c r="K39" s="747"/>
    </row>
    <row r="40" spans="1:11" s="135" customFormat="1" ht="15.75" customHeight="1">
      <c r="A40" s="773">
        <v>37</v>
      </c>
      <c r="B40" s="831" t="s">
        <v>9882</v>
      </c>
      <c r="C40" s="1495">
        <f>SUM('4推計WS106'!D103:D107)</f>
        <v>250446.24</v>
      </c>
      <c r="D40" s="796">
        <f>SUM('4推計WS106'!O103:O107)</f>
        <v>233099</v>
      </c>
      <c r="E40" s="1495">
        <f>SUM('4推計WS106'!P103:P107)</f>
        <v>177533</v>
      </c>
      <c r="F40" s="796">
        <f>SUM('4推計WS106'!R103:R107)</f>
        <v>154476</v>
      </c>
      <c r="G40" s="796">
        <f>SUM('4推計WS106'!S103:S107)</f>
        <v>161436</v>
      </c>
      <c r="H40" s="796">
        <f>SUM('4推計WS106'!T103:T107)</f>
        <v>171636</v>
      </c>
      <c r="I40" s="796">
        <f>SUM('4推計WS106'!U103:U107)</f>
        <v>172190</v>
      </c>
      <c r="J40" s="796">
        <f>SUM('4推計WS106'!V103:V107)</f>
        <v>194492</v>
      </c>
      <c r="K40" s="727"/>
    </row>
    <row r="41" spans="1:11" s="135" customFormat="1" ht="15.75" customHeight="1">
      <c r="A41" s="797">
        <v>38</v>
      </c>
      <c r="B41" s="834" t="s">
        <v>823</v>
      </c>
      <c r="C41" s="1492">
        <f>'4推計WS106'!D108</f>
        <v>0</v>
      </c>
      <c r="D41" s="798">
        <f>'4推計WS106'!O108</f>
        <v>0</v>
      </c>
      <c r="E41" s="1492">
        <f>'4推計WS106'!P108</f>
        <v>0</v>
      </c>
      <c r="F41" s="798">
        <f>'4推計WS106'!R108</f>
        <v>0</v>
      </c>
      <c r="G41" s="798">
        <f>'4推計WS106'!S108</f>
        <v>0</v>
      </c>
      <c r="H41" s="798">
        <f>'4推計WS106'!T108</f>
        <v>0</v>
      </c>
      <c r="I41" s="798">
        <f>'4推計WS106'!U108</f>
        <v>0</v>
      </c>
      <c r="J41" s="798">
        <f>'4推計WS106'!V108</f>
        <v>0</v>
      </c>
      <c r="K41" s="836"/>
    </row>
    <row r="42" spans="1:11" s="135" customFormat="1" ht="15.75" customHeight="1">
      <c r="A42" s="797">
        <v>39</v>
      </c>
      <c r="B42" s="834" t="s">
        <v>7669</v>
      </c>
      <c r="C42" s="1492">
        <f>'4推計WS106'!D109</f>
        <v>0</v>
      </c>
      <c r="D42" s="798">
        <f>'4推計WS106'!O109</f>
        <v>0</v>
      </c>
      <c r="E42" s="1492">
        <f>'4推計WS106'!P109</f>
        <v>0</v>
      </c>
      <c r="F42" s="798">
        <f>'4推計WS106'!R109</f>
        <v>0</v>
      </c>
      <c r="G42" s="798">
        <f>'4推計WS106'!S109</f>
        <v>0</v>
      </c>
      <c r="H42" s="798">
        <f>'4推計WS106'!T109</f>
        <v>0</v>
      </c>
      <c r="I42" s="798">
        <f>'4推計WS106'!U109</f>
        <v>0</v>
      </c>
      <c r="J42" s="798">
        <f>'4推計WS106'!V109</f>
        <v>0</v>
      </c>
      <c r="K42" s="836"/>
    </row>
    <row r="43" spans="1:11" s="135" customFormat="1" ht="15.75" customHeight="1">
      <c r="A43" s="783">
        <v>40</v>
      </c>
      <c r="B43" s="835" t="s">
        <v>7672</v>
      </c>
      <c r="C43" s="1496">
        <f t="shared" ref="C43:G43" si="0">SUM(C4:C42)</f>
        <v>484996.64686773473</v>
      </c>
      <c r="D43" s="194">
        <f t="shared" ref="D43:E43" si="1">SUM(D4:D42)</f>
        <v>484955</v>
      </c>
      <c r="E43" s="1496">
        <f t="shared" si="1"/>
        <v>414386</v>
      </c>
      <c r="F43" s="194">
        <f t="shared" si="0"/>
        <v>385068</v>
      </c>
      <c r="G43" s="194">
        <f t="shared" si="0"/>
        <v>409204</v>
      </c>
      <c r="H43" s="194">
        <f t="shared" ref="H43:I43" si="2">SUM(H4:H42)</f>
        <v>425332</v>
      </c>
      <c r="I43" s="194">
        <f t="shared" si="2"/>
        <v>454692</v>
      </c>
      <c r="J43" s="194">
        <f t="shared" ref="J43" si="3">SUM(J4:J42)</f>
        <v>491201</v>
      </c>
      <c r="K43" s="614"/>
    </row>
    <row r="44" spans="1:11" s="135" customFormat="1" ht="15.75" customHeight="1">
      <c r="A44" s="758" t="s">
        <v>9890</v>
      </c>
      <c r="B44" s="780"/>
      <c r="C44" s="780"/>
      <c r="D44" s="780"/>
      <c r="E44" s="780"/>
      <c r="F44" s="780"/>
      <c r="G44" s="780"/>
      <c r="H44" s="780"/>
      <c r="I44" s="780"/>
      <c r="J44" s="780"/>
    </row>
    <row r="45" spans="1:11" s="135" customFormat="1" ht="15.75" customHeight="1">
      <c r="A45" s="758"/>
      <c r="B45" s="758"/>
      <c r="C45" s="758"/>
      <c r="D45" s="758"/>
      <c r="E45" s="758"/>
      <c r="F45" s="758"/>
      <c r="G45" s="758"/>
      <c r="H45" s="758"/>
      <c r="I45" s="758"/>
      <c r="J45" s="758"/>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3CDCE-6CEC-4909-A715-3455AF3175F2}">
  <sheetPr>
    <tabColor theme="5" tint="0.79998168889431442"/>
  </sheetPr>
  <dimension ref="A1:K45"/>
  <sheetViews>
    <sheetView workbookViewId="0">
      <pane xSplit="2" ySplit="3" topLeftCell="C31" activePane="bottomRight" state="frozen"/>
      <selection pane="topRight" activeCell="C1" sqref="C1"/>
      <selection pane="bottomLeft" activeCell="A4" sqref="A4"/>
      <selection pane="bottomRight" activeCell="J36" sqref="J36"/>
    </sheetView>
  </sheetViews>
  <sheetFormatPr defaultColWidth="9" defaultRowHeight="13"/>
  <cols>
    <col min="1" max="1" width="4.5" style="760" customWidth="1"/>
    <col min="2" max="2" width="24.08203125" style="760" customWidth="1"/>
    <col min="3" max="11" width="10.83203125" style="133" customWidth="1"/>
    <col min="12" max="16384" width="9" style="133"/>
  </cols>
  <sheetData>
    <row r="1" spans="1:11" s="135" customFormat="1" ht="15.75" customHeight="1">
      <c r="A1" s="757" t="s">
        <v>10002</v>
      </c>
      <c r="B1" s="758"/>
      <c r="C1" s="758"/>
      <c r="D1" s="758"/>
      <c r="E1" s="758"/>
      <c r="F1" s="758"/>
      <c r="G1" s="547" t="s">
        <v>9754</v>
      </c>
      <c r="H1" s="547"/>
      <c r="I1" s="547"/>
      <c r="J1" s="547"/>
      <c r="K1" s="756">
        <f>'4推計WS106'!I1</f>
        <v>46048</v>
      </c>
    </row>
    <row r="2" spans="1:11" s="135" customFormat="1" ht="15.75" customHeight="1">
      <c r="A2" s="828"/>
      <c r="B2" s="829"/>
      <c r="C2" s="782" t="s">
        <v>3137</v>
      </c>
      <c r="D2" s="782" t="s">
        <v>9885</v>
      </c>
      <c r="E2" s="782" t="s">
        <v>10000</v>
      </c>
      <c r="F2" s="782" t="s">
        <v>9752</v>
      </c>
      <c r="G2" s="782" t="s">
        <v>9813</v>
      </c>
      <c r="H2" s="782" t="s">
        <v>10056</v>
      </c>
      <c r="I2" s="782" t="s">
        <v>11752</v>
      </c>
      <c r="J2" s="782" t="s">
        <v>11860</v>
      </c>
      <c r="K2" s="711" t="s">
        <v>5311</v>
      </c>
    </row>
    <row r="3" spans="1:11" s="135" customFormat="1" ht="15.75" customHeight="1">
      <c r="A3" s="830"/>
      <c r="B3" s="831" t="s">
        <v>836</v>
      </c>
      <c r="C3" s="806" t="s">
        <v>9891</v>
      </c>
      <c r="D3" s="806" t="s">
        <v>9891</v>
      </c>
      <c r="E3" s="806" t="s">
        <v>9891</v>
      </c>
      <c r="F3" s="806" t="s">
        <v>9891</v>
      </c>
      <c r="G3" s="806" t="s">
        <v>9891</v>
      </c>
      <c r="H3" s="806" t="s">
        <v>9891</v>
      </c>
      <c r="I3" s="806" t="s">
        <v>9891</v>
      </c>
      <c r="J3" s="806" t="s">
        <v>9891</v>
      </c>
      <c r="K3" s="727"/>
    </row>
    <row r="4" spans="1:11" s="135" customFormat="1" ht="15.75" customHeight="1">
      <c r="A4" s="766">
        <v>1</v>
      </c>
      <c r="B4" s="833" t="s">
        <v>9858</v>
      </c>
      <c r="C4" s="186">
        <f>SUM('4推計WS106'!AF4:AF6)</f>
        <v>153</v>
      </c>
      <c r="D4" s="186">
        <f>SUM('4推計WS106'!AG4:AG6)</f>
        <v>157</v>
      </c>
      <c r="E4" s="186">
        <f>SUM('4推計WS106'!AH4:AH6)</f>
        <v>175</v>
      </c>
      <c r="F4" s="186">
        <f>SUM('4推計WS106'!AI4:AI6)</f>
        <v>186</v>
      </c>
      <c r="G4" s="186">
        <f>SUM('4推計WS106'!AJ4:AJ6)</f>
        <v>195</v>
      </c>
      <c r="H4" s="186">
        <f>SUM('4推計WS106'!AK4:AK6)</f>
        <v>202</v>
      </c>
      <c r="I4" s="186">
        <f>SUM('4推計WS106'!AL4:AL6)</f>
        <v>184</v>
      </c>
      <c r="J4" s="186">
        <f>SUM('4推計WS106'!AM4:AM6)</f>
        <v>291</v>
      </c>
      <c r="K4" s="726"/>
    </row>
    <row r="5" spans="1:11" s="135" customFormat="1" ht="15.75" customHeight="1">
      <c r="A5" s="769">
        <v>2</v>
      </c>
      <c r="B5" s="832" t="s">
        <v>1595</v>
      </c>
      <c r="C5" s="187">
        <f>'4推計WS106'!AF7</f>
        <v>0</v>
      </c>
      <c r="D5" s="187">
        <f>'4推計WS106'!AG7</f>
        <v>0</v>
      </c>
      <c r="E5" s="187">
        <f>'4推計WS106'!AH7</f>
        <v>0</v>
      </c>
      <c r="F5" s="187">
        <f>'4推計WS106'!AI7</f>
        <v>0</v>
      </c>
      <c r="G5" s="187">
        <f>'4推計WS106'!AJ7</f>
        <v>0</v>
      </c>
      <c r="H5" s="187">
        <f>'4推計WS106'!AK7</f>
        <v>0</v>
      </c>
      <c r="I5" s="187">
        <f>'4推計WS106'!AL7</f>
        <v>0</v>
      </c>
      <c r="J5" s="187">
        <f>'4推計WS106'!AM7</f>
        <v>0</v>
      </c>
      <c r="K5" s="747"/>
    </row>
    <row r="6" spans="1:11" s="135" customFormat="1" ht="15.75" customHeight="1">
      <c r="A6" s="769">
        <v>3</v>
      </c>
      <c r="B6" s="832" t="s">
        <v>1596</v>
      </c>
      <c r="C6" s="187">
        <f>'4推計WS106'!AF8</f>
        <v>0</v>
      </c>
      <c r="D6" s="187">
        <f>'4推計WS106'!AG8</f>
        <v>0</v>
      </c>
      <c r="E6" s="187">
        <f>'4推計WS106'!AH8</f>
        <v>0</v>
      </c>
      <c r="F6" s="187">
        <f>'4推計WS106'!AI8</f>
        <v>0</v>
      </c>
      <c r="G6" s="187">
        <f>'4推計WS106'!AJ8</f>
        <v>0</v>
      </c>
      <c r="H6" s="187">
        <f>'4推計WS106'!AK8</f>
        <v>0</v>
      </c>
      <c r="I6" s="187">
        <f>'4推計WS106'!AL8</f>
        <v>0</v>
      </c>
      <c r="J6" s="187">
        <f>'4推計WS106'!AM8</f>
        <v>0</v>
      </c>
      <c r="K6" s="747"/>
    </row>
    <row r="7" spans="1:11" s="135" customFormat="1" ht="15.75" customHeight="1">
      <c r="A7" s="773">
        <v>4</v>
      </c>
      <c r="B7" s="831" t="s">
        <v>9763</v>
      </c>
      <c r="C7" s="796">
        <f>SUM('4推計WS106'!AF9:AF10)</f>
        <v>0</v>
      </c>
      <c r="D7" s="796">
        <f>SUM('4推計WS106'!AG9:AG10)</f>
        <v>0</v>
      </c>
      <c r="E7" s="796">
        <f>SUM('4推計WS106'!AH9:AH10)</f>
        <v>0</v>
      </c>
      <c r="F7" s="796">
        <f>SUM('4推計WS106'!AI9:AI10)</f>
        <v>0</v>
      </c>
      <c r="G7" s="796">
        <f>SUM('4推計WS106'!AJ9:AJ10)</f>
        <v>0</v>
      </c>
      <c r="H7" s="796">
        <f>SUM('4推計WS106'!AK9:AK10)</f>
        <v>0</v>
      </c>
      <c r="I7" s="796">
        <f>SUM('4推計WS106'!AL9:AL10)</f>
        <v>0</v>
      </c>
      <c r="J7" s="796">
        <f>SUM('4推計WS106'!AM9:AM10)</f>
        <v>0</v>
      </c>
      <c r="K7" s="727"/>
    </row>
    <row r="8" spans="1:11" s="135" customFormat="1" ht="15.75" customHeight="1">
      <c r="A8" s="766">
        <v>5</v>
      </c>
      <c r="B8" s="833" t="s">
        <v>9859</v>
      </c>
      <c r="C8" s="186">
        <f>SUM('4推計WS106'!AF11:AF14)</f>
        <v>1462</v>
      </c>
      <c r="D8" s="186">
        <f>SUM('4推計WS106'!AG11:AG14)</f>
        <v>1552</v>
      </c>
      <c r="E8" s="186">
        <f>SUM('4推計WS106'!AH11:AH14)</f>
        <v>1717</v>
      </c>
      <c r="F8" s="186">
        <f>SUM('4推計WS106'!AI11:AI14)</f>
        <v>4905</v>
      </c>
      <c r="G8" s="186">
        <f>SUM('4推計WS106'!AJ11:AJ14)</f>
        <v>4992</v>
      </c>
      <c r="H8" s="186">
        <f>SUM('4推計WS106'!AK11:AK14)</f>
        <v>5247</v>
      </c>
      <c r="I8" s="186">
        <f>SUM('4推計WS106'!AL11:AL14)</f>
        <v>5593</v>
      </c>
      <c r="J8" s="186">
        <f>SUM('4推計WS106'!AM11:AM14)</f>
        <v>5937</v>
      </c>
      <c r="K8" s="726"/>
    </row>
    <row r="9" spans="1:11" s="135" customFormat="1" ht="15.75" customHeight="1">
      <c r="A9" s="769">
        <v>6</v>
      </c>
      <c r="B9" s="832" t="s">
        <v>9860</v>
      </c>
      <c r="C9" s="187">
        <f>SUM('4推計WS106'!AF15:AF16)</f>
        <v>488</v>
      </c>
      <c r="D9" s="187">
        <f>SUM('4推計WS106'!AG15:AG16)</f>
        <v>440</v>
      </c>
      <c r="E9" s="187">
        <f>SUM('4推計WS106'!AH15:AH16)</f>
        <v>407</v>
      </c>
      <c r="F9" s="187">
        <f>SUM('4推計WS106'!AI15:AI16)</f>
        <v>423</v>
      </c>
      <c r="G9" s="187">
        <f>SUM('4推計WS106'!AJ15:AJ16)</f>
        <v>447</v>
      </c>
      <c r="H9" s="187">
        <f>SUM('4推計WS106'!AK15:AK16)</f>
        <v>499</v>
      </c>
      <c r="I9" s="187">
        <f>SUM('4推計WS106'!AL15:AL16)</f>
        <v>453</v>
      </c>
      <c r="J9" s="187">
        <f>SUM('4推計WS106'!AM15:AM16)</f>
        <v>426</v>
      </c>
      <c r="K9" s="747"/>
    </row>
    <row r="10" spans="1:11" s="135" customFormat="1" ht="15.75" customHeight="1">
      <c r="A10" s="769">
        <v>7</v>
      </c>
      <c r="B10" s="832" t="s">
        <v>9861</v>
      </c>
      <c r="C10" s="187">
        <f>SUM('4推計WS106'!AF17:AF20)</f>
        <v>0</v>
      </c>
      <c r="D10" s="187">
        <f>SUM('4推計WS106'!AG17:AG20)</f>
        <v>0</v>
      </c>
      <c r="E10" s="187">
        <f>SUM('4推計WS106'!AH17:AH20)</f>
        <v>0</v>
      </c>
      <c r="F10" s="187">
        <f>SUM('4推計WS106'!AI17:AI20)</f>
        <v>0</v>
      </c>
      <c r="G10" s="187">
        <f>SUM('4推計WS106'!AJ17:AJ20)</f>
        <v>0</v>
      </c>
      <c r="H10" s="187">
        <f>SUM('4推計WS106'!AK17:AK20)</f>
        <v>0</v>
      </c>
      <c r="I10" s="187">
        <f>SUM('4推計WS106'!AL17:AL20)</f>
        <v>0</v>
      </c>
      <c r="J10" s="187">
        <f>SUM('4推計WS106'!AM17:AM20)</f>
        <v>0</v>
      </c>
      <c r="K10" s="747"/>
    </row>
    <row r="11" spans="1:11" s="135" customFormat="1" ht="15.75" customHeight="1">
      <c r="A11" s="769">
        <v>8</v>
      </c>
      <c r="B11" s="832" t="s">
        <v>9862</v>
      </c>
      <c r="C11" s="187">
        <f>SUM('4推計WS106'!AF22:AF29)</f>
        <v>1279</v>
      </c>
      <c r="D11" s="187">
        <f>SUM('4推計WS106'!AG22:AG29)</f>
        <v>1484</v>
      </c>
      <c r="E11" s="187">
        <f>SUM('4推計WS106'!AH22:AH29)</f>
        <v>1222</v>
      </c>
      <c r="F11" s="187">
        <f>SUM('4推計WS106'!AI22:AI29)</f>
        <v>2677</v>
      </c>
      <c r="G11" s="187">
        <f>SUM('4推計WS106'!AJ22:AJ29)</f>
        <v>2436</v>
      </c>
      <c r="H11" s="187">
        <f>SUM('4推計WS106'!AK22:AK29)</f>
        <v>3354</v>
      </c>
      <c r="I11" s="187">
        <f>SUM('4推計WS106'!AL22:AL29)</f>
        <v>3141</v>
      </c>
      <c r="J11" s="187">
        <f>SUM('4推計WS106'!AM22:AM29)</f>
        <v>2868</v>
      </c>
      <c r="K11" s="747"/>
    </row>
    <row r="12" spans="1:11" s="135" customFormat="1" ht="15.75" customHeight="1">
      <c r="A12" s="769">
        <v>9</v>
      </c>
      <c r="B12" s="832" t="s">
        <v>9863</v>
      </c>
      <c r="C12" s="187">
        <f>SUM('4推計WS106'!AF30:AF31)</f>
        <v>0</v>
      </c>
      <c r="D12" s="187">
        <f>SUM('4推計WS106'!AG30:AG31)</f>
        <v>0</v>
      </c>
      <c r="E12" s="187">
        <f>SUM('4推計WS106'!AH30:AH31)</f>
        <v>0</v>
      </c>
      <c r="F12" s="187">
        <f>SUM('4推計WS106'!AI30:AI31)</f>
        <v>0</v>
      </c>
      <c r="G12" s="187">
        <f>SUM('4推計WS106'!AJ30:AJ31)</f>
        <v>0</v>
      </c>
      <c r="H12" s="187">
        <f>SUM('4推計WS106'!AK30:AK31)</f>
        <v>0</v>
      </c>
      <c r="I12" s="187">
        <f>SUM('4推計WS106'!AL30:AL31)</f>
        <v>0</v>
      </c>
      <c r="J12" s="187">
        <f>SUM('4推計WS106'!AM30:AM31)</f>
        <v>0</v>
      </c>
      <c r="K12" s="747"/>
    </row>
    <row r="13" spans="1:11" s="135" customFormat="1" ht="15.75" customHeight="1">
      <c r="A13" s="769">
        <v>10</v>
      </c>
      <c r="B13" s="832" t="s">
        <v>9864</v>
      </c>
      <c r="C13" s="187">
        <f>SUM('4推計WS106'!AF32:AF33)</f>
        <v>13</v>
      </c>
      <c r="D13" s="187">
        <f>SUM('4推計WS106'!AG32:AG33)</f>
        <v>12</v>
      </c>
      <c r="E13" s="187">
        <f>SUM('4推計WS106'!AH32:AH33)</f>
        <v>11</v>
      </c>
      <c r="F13" s="187">
        <f>SUM('4推計WS106'!AI32:AI33)</f>
        <v>9</v>
      </c>
      <c r="G13" s="187">
        <f>SUM('4推計WS106'!AJ32:AJ33)</f>
        <v>10</v>
      </c>
      <c r="H13" s="187">
        <f>SUM('4推計WS106'!AK32:AK33)</f>
        <v>9</v>
      </c>
      <c r="I13" s="187">
        <f>SUM('4推計WS106'!AL32:AL33)</f>
        <v>9</v>
      </c>
      <c r="J13" s="187">
        <f>SUM('4推計WS106'!AM32:AM33)</f>
        <v>10</v>
      </c>
      <c r="K13" s="747"/>
    </row>
    <row r="14" spans="1:11" s="135" customFormat="1" ht="15.75" customHeight="1">
      <c r="A14" s="769">
        <v>11</v>
      </c>
      <c r="B14" s="832" t="s">
        <v>9865</v>
      </c>
      <c r="C14" s="187">
        <f>SUM('4推計WS106'!AF35:AF38)</f>
        <v>0</v>
      </c>
      <c r="D14" s="187">
        <f>SUM('4推計WS106'!AG35:AG38)</f>
        <v>0</v>
      </c>
      <c r="E14" s="187">
        <f>SUM('4推計WS106'!AH35:AH38)</f>
        <v>0</v>
      </c>
      <c r="F14" s="187">
        <f>SUM('4推計WS106'!AI35:AI38)</f>
        <v>0</v>
      </c>
      <c r="G14" s="187">
        <f>SUM('4推計WS106'!AJ35:AJ38)</f>
        <v>0</v>
      </c>
      <c r="H14" s="187">
        <f>SUM('4推計WS106'!AK35:AK38)</f>
        <v>0</v>
      </c>
      <c r="I14" s="187">
        <f>SUM('4推計WS106'!AL35:AL38)</f>
        <v>0</v>
      </c>
      <c r="J14" s="187">
        <f>SUM('4推計WS106'!AM35:AM38)</f>
        <v>0</v>
      </c>
      <c r="K14" s="747"/>
    </row>
    <row r="15" spans="1:11" s="135" customFormat="1" ht="15.75" customHeight="1">
      <c r="A15" s="769">
        <v>12</v>
      </c>
      <c r="B15" s="832" t="s">
        <v>9866</v>
      </c>
      <c r="C15" s="187">
        <f>SUM('4推計WS106'!AF39:AF42)</f>
        <v>0</v>
      </c>
      <c r="D15" s="187">
        <f>SUM('4推計WS106'!AG39:AG42)</f>
        <v>0</v>
      </c>
      <c r="E15" s="187">
        <f>SUM('4推計WS106'!AH39:AH42)</f>
        <v>0</v>
      </c>
      <c r="F15" s="187">
        <f>SUM('4推計WS106'!AI39:AI42)</f>
        <v>0</v>
      </c>
      <c r="G15" s="187">
        <f>SUM('4推計WS106'!AJ39:AJ42)</f>
        <v>0</v>
      </c>
      <c r="H15" s="187">
        <f>SUM('4推計WS106'!AK39:AK42)</f>
        <v>0</v>
      </c>
      <c r="I15" s="187">
        <f>SUM('4推計WS106'!AL39:AL42)</f>
        <v>0</v>
      </c>
      <c r="J15" s="187">
        <f>SUM('4推計WS106'!AM39:AM42)</f>
        <v>0</v>
      </c>
      <c r="K15" s="747"/>
    </row>
    <row r="16" spans="1:11" s="135" customFormat="1" ht="15.75" customHeight="1">
      <c r="A16" s="769">
        <v>13</v>
      </c>
      <c r="B16" s="832" t="s">
        <v>9867</v>
      </c>
      <c r="C16" s="187">
        <f>SUM('4推計WS106'!AF43:AF44)</f>
        <v>0</v>
      </c>
      <c r="D16" s="187">
        <f>SUM('4推計WS106'!AG43:AG44)</f>
        <v>0</v>
      </c>
      <c r="E16" s="187">
        <f>SUM('4推計WS106'!AH43:AH44)</f>
        <v>0</v>
      </c>
      <c r="F16" s="187">
        <f>SUM('4推計WS106'!AI43:AI44)</f>
        <v>0</v>
      </c>
      <c r="G16" s="187">
        <f>SUM('4推計WS106'!AJ43:AJ44)</f>
        <v>0</v>
      </c>
      <c r="H16" s="187">
        <f>SUM('4推計WS106'!AK43:AK44)</f>
        <v>0</v>
      </c>
      <c r="I16" s="187">
        <f>SUM('4推計WS106'!AL43:AL44)</f>
        <v>0</v>
      </c>
      <c r="J16" s="187">
        <f>SUM('4推計WS106'!AM43:AM44)</f>
        <v>0</v>
      </c>
      <c r="K16" s="747"/>
    </row>
    <row r="17" spans="1:11" s="135" customFormat="1" ht="15.75" customHeight="1">
      <c r="A17" s="769">
        <v>14</v>
      </c>
      <c r="B17" s="832" t="s">
        <v>9868</v>
      </c>
      <c r="C17" s="187">
        <f>SUM('4推計WS106'!AF45:AF46)</f>
        <v>0</v>
      </c>
      <c r="D17" s="187">
        <f>SUM('4推計WS106'!AG45:AG46)</f>
        <v>0</v>
      </c>
      <c r="E17" s="187">
        <f>SUM('4推計WS106'!AH45:AH46)</f>
        <v>0</v>
      </c>
      <c r="F17" s="187">
        <f>SUM('4推計WS106'!AI45:AI46)</f>
        <v>0</v>
      </c>
      <c r="G17" s="187">
        <f>SUM('4推計WS106'!AJ45:AJ46)</f>
        <v>0</v>
      </c>
      <c r="H17" s="187">
        <f>SUM('4推計WS106'!AK45:AK46)</f>
        <v>0</v>
      </c>
      <c r="I17" s="187">
        <f>SUM('4推計WS106'!AL45:AL46)</f>
        <v>0</v>
      </c>
      <c r="J17" s="187">
        <f>SUM('4推計WS106'!AM45:AM46)</f>
        <v>0</v>
      </c>
      <c r="K17" s="747"/>
    </row>
    <row r="18" spans="1:11" s="135" customFormat="1" ht="15.75" customHeight="1">
      <c r="A18" s="769">
        <v>15</v>
      </c>
      <c r="B18" s="832" t="s">
        <v>9081</v>
      </c>
      <c r="C18" s="187">
        <f>'4推計WS106'!AF47</f>
        <v>0</v>
      </c>
      <c r="D18" s="187">
        <f>'4推計WS106'!AG47</f>
        <v>0</v>
      </c>
      <c r="E18" s="187">
        <f>'4推計WS106'!AH47</f>
        <v>0</v>
      </c>
      <c r="F18" s="187">
        <f>'4推計WS106'!AI47</f>
        <v>0</v>
      </c>
      <c r="G18" s="187">
        <f>'4推計WS106'!AJ47</f>
        <v>0</v>
      </c>
      <c r="H18" s="187">
        <f>'4推計WS106'!AK47</f>
        <v>0</v>
      </c>
      <c r="I18" s="187">
        <f>'4推計WS106'!AL47</f>
        <v>0</v>
      </c>
      <c r="J18" s="187">
        <f>'4推計WS106'!AM47</f>
        <v>0</v>
      </c>
      <c r="K18" s="747"/>
    </row>
    <row r="19" spans="1:11" s="135" customFormat="1" ht="15.75" customHeight="1">
      <c r="A19" s="769">
        <v>16</v>
      </c>
      <c r="B19" s="832" t="s">
        <v>9082</v>
      </c>
      <c r="C19" s="187">
        <f>'4推計WS106'!AF48</f>
        <v>0</v>
      </c>
      <c r="D19" s="187">
        <f>'4推計WS106'!AG48</f>
        <v>0</v>
      </c>
      <c r="E19" s="187">
        <f>'4推計WS106'!AH48</f>
        <v>0</v>
      </c>
      <c r="F19" s="187">
        <f>'4推計WS106'!AI48</f>
        <v>0</v>
      </c>
      <c r="G19" s="187">
        <f>'4推計WS106'!AJ48</f>
        <v>0</v>
      </c>
      <c r="H19" s="187">
        <f>'4推計WS106'!AK48</f>
        <v>0</v>
      </c>
      <c r="I19" s="187">
        <f>'4推計WS106'!AL48</f>
        <v>0</v>
      </c>
      <c r="J19" s="187">
        <f>'4推計WS106'!AM48</f>
        <v>0</v>
      </c>
      <c r="K19" s="747"/>
    </row>
    <row r="20" spans="1:11" s="135" customFormat="1" ht="15.75" customHeight="1">
      <c r="A20" s="769">
        <v>17</v>
      </c>
      <c r="B20" s="832" t="s">
        <v>9083</v>
      </c>
      <c r="C20" s="187">
        <f>'4推計WS106'!AF49</f>
        <v>1259</v>
      </c>
      <c r="D20" s="187">
        <f>'4推計WS106'!AG49</f>
        <v>1164</v>
      </c>
      <c r="E20" s="187">
        <f>'4推計WS106'!AH49</f>
        <v>1207</v>
      </c>
      <c r="F20" s="187">
        <f>'4推計WS106'!AI49</f>
        <v>1286</v>
      </c>
      <c r="G20" s="187">
        <f>'4推計WS106'!AJ49</f>
        <v>1201</v>
      </c>
      <c r="H20" s="187">
        <f>'4推計WS106'!AK49</f>
        <v>1073</v>
      </c>
      <c r="I20" s="187">
        <f>'4推計WS106'!AL49</f>
        <v>1105</v>
      </c>
      <c r="J20" s="187">
        <f>'4推計WS106'!AM49</f>
        <v>1185</v>
      </c>
      <c r="K20" s="747"/>
    </row>
    <row r="21" spans="1:11" s="135" customFormat="1" ht="15.75" customHeight="1">
      <c r="A21" s="769">
        <v>18</v>
      </c>
      <c r="B21" s="832" t="s">
        <v>9869</v>
      </c>
      <c r="C21" s="187">
        <f>SUM('4推計WS106'!AF50:AF51)</f>
        <v>0</v>
      </c>
      <c r="D21" s="187">
        <f>SUM('4推計WS106'!AG50:AG51)</f>
        <v>0</v>
      </c>
      <c r="E21" s="187">
        <f>SUM('4推計WS106'!AH50:AH51)</f>
        <v>0</v>
      </c>
      <c r="F21" s="187">
        <f>SUM('4推計WS106'!AI50:AI51)</f>
        <v>0</v>
      </c>
      <c r="G21" s="187">
        <f>SUM('4推計WS106'!AJ50:AJ51)</f>
        <v>0</v>
      </c>
      <c r="H21" s="187">
        <f>SUM('4推計WS106'!AK50:AK51)</f>
        <v>0</v>
      </c>
      <c r="I21" s="187">
        <f>SUM('4推計WS106'!AL50:AL51)</f>
        <v>0</v>
      </c>
      <c r="J21" s="187">
        <f>SUM('4推計WS106'!AM50:AM51)</f>
        <v>0</v>
      </c>
      <c r="K21" s="747"/>
    </row>
    <row r="22" spans="1:11" s="135" customFormat="1" ht="15.75" customHeight="1">
      <c r="A22" s="769">
        <v>19</v>
      </c>
      <c r="B22" s="832" t="s">
        <v>9870</v>
      </c>
      <c r="C22" s="187">
        <f>SUM('4推計WS106'!AF52:AF55)</f>
        <v>0</v>
      </c>
      <c r="D22" s="187">
        <f>SUM('4推計WS106'!AG52:AG55)</f>
        <v>0</v>
      </c>
      <c r="E22" s="187">
        <f>SUM('4推計WS106'!AH52:AH55)</f>
        <v>0</v>
      </c>
      <c r="F22" s="187">
        <f>SUM('4推計WS106'!AI52:AI55)</f>
        <v>0</v>
      </c>
      <c r="G22" s="187">
        <f>SUM('4推計WS106'!AJ52:AJ55)</f>
        <v>0</v>
      </c>
      <c r="H22" s="187">
        <f>SUM('4推計WS106'!AK52:AK55)</f>
        <v>0</v>
      </c>
      <c r="I22" s="187">
        <f>SUM('4推計WS106'!AL52:AL55)</f>
        <v>0</v>
      </c>
      <c r="J22" s="187">
        <f>SUM('4推計WS106'!AM52:AM55)</f>
        <v>0</v>
      </c>
      <c r="K22" s="747"/>
    </row>
    <row r="23" spans="1:11" s="135" customFormat="1" ht="15.75" customHeight="1">
      <c r="A23" s="769">
        <v>20</v>
      </c>
      <c r="B23" s="832" t="s">
        <v>9871</v>
      </c>
      <c r="C23" s="187">
        <f>SUM('4推計WS106'!AF56:AF57)</f>
        <v>0</v>
      </c>
      <c r="D23" s="187">
        <f>SUM('4推計WS106'!AG56:AG57)</f>
        <v>0</v>
      </c>
      <c r="E23" s="187">
        <f>SUM('4推計WS106'!AH56:AH57)</f>
        <v>0</v>
      </c>
      <c r="F23" s="187">
        <f>SUM('4推計WS106'!AI56:AI57)</f>
        <v>0</v>
      </c>
      <c r="G23" s="187">
        <f>SUM('4推計WS106'!AJ56:AJ57)</f>
        <v>0</v>
      </c>
      <c r="H23" s="187">
        <f>SUM('4推計WS106'!AK56:AK57)</f>
        <v>0</v>
      </c>
      <c r="I23" s="187">
        <f>SUM('4推計WS106'!AL56:AL57)</f>
        <v>0</v>
      </c>
      <c r="J23" s="187">
        <f>SUM('4推計WS106'!AM56:AM57)</f>
        <v>0</v>
      </c>
      <c r="K23" s="747"/>
    </row>
    <row r="24" spans="1:11" s="135" customFormat="1" ht="15.75" customHeight="1">
      <c r="A24" s="769">
        <v>21</v>
      </c>
      <c r="B24" s="832" t="s">
        <v>9872</v>
      </c>
      <c r="C24" s="187">
        <f>SUM('4推計WS106'!AF58:AF62)</f>
        <v>1051</v>
      </c>
      <c r="D24" s="187">
        <f>SUM('4推計WS106'!AG58:AG62)</f>
        <v>1512</v>
      </c>
      <c r="E24" s="187">
        <f>SUM('4推計WS106'!AH58:AH62)</f>
        <v>1203</v>
      </c>
      <c r="F24" s="187">
        <f>SUM('4推計WS106'!AI58:AI62)</f>
        <v>463</v>
      </c>
      <c r="G24" s="187">
        <f>SUM('4推計WS106'!AJ58:AJ62)</f>
        <v>786</v>
      </c>
      <c r="H24" s="187">
        <f>SUM('4推計WS106'!AK58:AK62)</f>
        <v>865</v>
      </c>
      <c r="I24" s="187">
        <f>SUM('4推計WS106'!AL58:AL62)</f>
        <v>835</v>
      </c>
      <c r="J24" s="187">
        <f>SUM('4推計WS106'!AM58:AM62)</f>
        <v>790</v>
      </c>
      <c r="K24" s="747"/>
    </row>
    <row r="25" spans="1:11" s="135" customFormat="1" ht="15.75" customHeight="1">
      <c r="A25" s="773">
        <v>22</v>
      </c>
      <c r="B25" s="831" t="s">
        <v>600</v>
      </c>
      <c r="C25" s="796">
        <f>'4推計WS106'!AF21+'4推計WS106'!AF34+SUM('4推計WS106'!AF63:AF64)</f>
        <v>22369</v>
      </c>
      <c r="D25" s="796">
        <f>'4推計WS106'!AG21+'4推計WS106'!AG34+SUM('4推計WS106'!AG63:AG64)</f>
        <v>21201</v>
      </c>
      <c r="E25" s="796">
        <f>'4推計WS106'!AH21+'4推計WS106'!AH34+SUM('4推計WS106'!AH63:AH64)</f>
        <v>19699</v>
      </c>
      <c r="F25" s="796">
        <f>'4推計WS106'!AI21+'4推計WS106'!AI34+SUM('4推計WS106'!AI63:AI64)</f>
        <v>22015</v>
      </c>
      <c r="G25" s="796">
        <f>'4推計WS106'!AJ21+'4推計WS106'!AJ34+SUM('4推計WS106'!AJ63:AJ64)</f>
        <v>23748</v>
      </c>
      <c r="H25" s="796">
        <f>'4推計WS106'!AK21+'4推計WS106'!AK34+SUM('4推計WS106'!AK63:AK64)</f>
        <v>21358</v>
      </c>
      <c r="I25" s="796">
        <f>'4推計WS106'!AL21+'4推計WS106'!AL34+SUM('4推計WS106'!AL63:AL64)</f>
        <v>20753</v>
      </c>
      <c r="J25" s="796">
        <f>'4推計WS106'!AM21+'4推計WS106'!AM34+SUM('4推計WS106'!AM63:AM64)</f>
        <v>23217</v>
      </c>
      <c r="K25" s="727"/>
    </row>
    <row r="26" spans="1:11" s="135" customFormat="1" ht="15.75" customHeight="1">
      <c r="A26" s="769">
        <v>23</v>
      </c>
      <c r="B26" s="832" t="s">
        <v>9873</v>
      </c>
      <c r="C26" s="301">
        <f>SUM('4推計WS106'!AF65:AF68)</f>
        <v>773</v>
      </c>
      <c r="D26" s="301">
        <f>SUM('4推計WS106'!AG65:AG68)</f>
        <v>852</v>
      </c>
      <c r="E26" s="301">
        <f>SUM('4推計WS106'!AH65:AH68)</f>
        <v>935</v>
      </c>
      <c r="F26" s="301">
        <f>SUM('4推計WS106'!AI65:AI68)</f>
        <v>1853</v>
      </c>
      <c r="G26" s="301">
        <f>SUM('4推計WS106'!AJ65:AJ68)</f>
        <v>1558</v>
      </c>
      <c r="H26" s="301">
        <f>SUM('4推計WS106'!AK65:AK68)</f>
        <v>1508</v>
      </c>
      <c r="I26" s="301">
        <f>SUM('4推計WS106'!AL65:AL68)</f>
        <v>1630</v>
      </c>
      <c r="J26" s="301">
        <f>SUM('4推計WS106'!AM65:AM68)</f>
        <v>1587</v>
      </c>
      <c r="K26" s="747"/>
    </row>
    <row r="27" spans="1:11" s="135" customFormat="1" ht="15.75" customHeight="1">
      <c r="A27" s="769">
        <v>24</v>
      </c>
      <c r="B27" s="832" t="s">
        <v>9874</v>
      </c>
      <c r="C27" s="301">
        <f>SUM('4推計WS106'!AF69:AF70)</f>
        <v>0</v>
      </c>
      <c r="D27" s="301">
        <f>SUM('4推計WS106'!AG69:AG70)</f>
        <v>0</v>
      </c>
      <c r="E27" s="301">
        <f>SUM('4推計WS106'!AH69:AH70)</f>
        <v>0</v>
      </c>
      <c r="F27" s="301">
        <f>SUM('4推計WS106'!AI69:AI70)</f>
        <v>0</v>
      </c>
      <c r="G27" s="301">
        <f>SUM('4推計WS106'!AJ69:AJ70)</f>
        <v>0</v>
      </c>
      <c r="H27" s="301">
        <f>SUM('4推計WS106'!AK69:AK70)</f>
        <v>0</v>
      </c>
      <c r="I27" s="301">
        <f>SUM('4推計WS106'!AL69:AL70)</f>
        <v>0</v>
      </c>
      <c r="J27" s="301">
        <f>SUM('4推計WS106'!AM69:AM70)</f>
        <v>0</v>
      </c>
      <c r="K27" s="747"/>
    </row>
    <row r="28" spans="1:11" s="135" customFormat="1" ht="15.75" customHeight="1">
      <c r="A28" s="769">
        <v>25</v>
      </c>
      <c r="B28" s="832" t="s">
        <v>9875</v>
      </c>
      <c r="C28" s="301">
        <f>'4推計WS106'!AF71</f>
        <v>0</v>
      </c>
      <c r="D28" s="301">
        <f>'4推計WS106'!AG71</f>
        <v>0</v>
      </c>
      <c r="E28" s="301">
        <f>'4推計WS106'!AH71</f>
        <v>0</v>
      </c>
      <c r="F28" s="301">
        <f>'4推計WS106'!AI71</f>
        <v>0</v>
      </c>
      <c r="G28" s="301">
        <f>'4推計WS106'!AJ71</f>
        <v>0</v>
      </c>
      <c r="H28" s="301">
        <f>'4推計WS106'!AK71</f>
        <v>0</v>
      </c>
      <c r="I28" s="301">
        <f>'4推計WS106'!AL71</f>
        <v>0</v>
      </c>
      <c r="J28" s="301">
        <f>'4推計WS106'!AM71</f>
        <v>0</v>
      </c>
      <c r="K28" s="747"/>
    </row>
    <row r="29" spans="1:11" s="135" customFormat="1" ht="15.75" customHeight="1">
      <c r="A29" s="769">
        <v>26</v>
      </c>
      <c r="B29" s="832" t="s">
        <v>9100</v>
      </c>
      <c r="C29" s="301">
        <f>'4推計WS106'!AF72</f>
        <v>0</v>
      </c>
      <c r="D29" s="301">
        <f>'4推計WS106'!AG72</f>
        <v>0</v>
      </c>
      <c r="E29" s="301">
        <f>'4推計WS106'!AH72</f>
        <v>0</v>
      </c>
      <c r="F29" s="301">
        <f>'4推計WS106'!AI72</f>
        <v>0</v>
      </c>
      <c r="G29" s="301">
        <f>'4推計WS106'!AJ72</f>
        <v>0</v>
      </c>
      <c r="H29" s="301">
        <f>'4推計WS106'!AK72</f>
        <v>0</v>
      </c>
      <c r="I29" s="301">
        <f>'4推計WS106'!AL72</f>
        <v>0</v>
      </c>
      <c r="J29" s="301">
        <f>'4推計WS106'!AM72</f>
        <v>0</v>
      </c>
      <c r="K29" s="747"/>
    </row>
    <row r="30" spans="1:11" s="135" customFormat="1" ht="15.75" customHeight="1">
      <c r="A30" s="769">
        <v>27</v>
      </c>
      <c r="B30" s="832" t="s">
        <v>9101</v>
      </c>
      <c r="C30" s="301">
        <f>'4推計WS106'!AF73</f>
        <v>24984</v>
      </c>
      <c r="D30" s="301">
        <f>'4推計WS106'!AG73</f>
        <v>24634</v>
      </c>
      <c r="E30" s="301">
        <f>'4推計WS106'!AH73</f>
        <v>22145</v>
      </c>
      <c r="F30" s="301">
        <f>'4推計WS106'!AI73</f>
        <v>25117</v>
      </c>
      <c r="G30" s="301">
        <f>'4推計WS106'!AJ73</f>
        <v>26744</v>
      </c>
      <c r="H30" s="301">
        <f>'4推計WS106'!AK73</f>
        <v>27695</v>
      </c>
      <c r="I30" s="301">
        <f>'4推計WS106'!AL73</f>
        <v>27126</v>
      </c>
      <c r="J30" s="301">
        <f>'4推計WS106'!AM73</f>
        <v>25321</v>
      </c>
      <c r="K30" s="747"/>
    </row>
    <row r="31" spans="1:11" s="135" customFormat="1" ht="15.75" customHeight="1">
      <c r="A31" s="769">
        <v>28</v>
      </c>
      <c r="B31" s="832" t="s">
        <v>1598</v>
      </c>
      <c r="C31" s="301">
        <f>'4推計WS106'!AF74</f>
        <v>100</v>
      </c>
      <c r="D31" s="301">
        <f>'4推計WS106'!AG74</f>
        <v>93</v>
      </c>
      <c r="E31" s="301">
        <f>'4推計WS106'!AH74</f>
        <v>97</v>
      </c>
      <c r="F31" s="301">
        <f>'4推計WS106'!AI74</f>
        <v>113</v>
      </c>
      <c r="G31" s="301">
        <f>'4推計WS106'!AJ74</f>
        <v>132</v>
      </c>
      <c r="H31" s="301">
        <f>'4推計WS106'!AK74</f>
        <v>139</v>
      </c>
      <c r="I31" s="301">
        <f>'4推計WS106'!AL74</f>
        <v>135</v>
      </c>
      <c r="J31" s="301">
        <f>'4推計WS106'!AM74</f>
        <v>138</v>
      </c>
      <c r="K31" s="747"/>
    </row>
    <row r="32" spans="1:11" s="135" customFormat="1" ht="15.75" customHeight="1">
      <c r="A32" s="769">
        <v>29</v>
      </c>
      <c r="B32" s="832" t="s">
        <v>9876</v>
      </c>
      <c r="C32" s="301">
        <f>SUM('4推計WS106'!AF75:AF77)</f>
        <v>471</v>
      </c>
      <c r="D32" s="301">
        <f>SUM('4推計WS106'!AG75:AG77)</f>
        <v>488</v>
      </c>
      <c r="E32" s="301">
        <f>SUM('4推計WS106'!AH75:AH77)</f>
        <v>520</v>
      </c>
      <c r="F32" s="301">
        <f>SUM('4推計WS106'!AI75:AI77)</f>
        <v>700</v>
      </c>
      <c r="G32" s="301">
        <f>SUM('4推計WS106'!AJ75:AJ77)</f>
        <v>697</v>
      </c>
      <c r="H32" s="301">
        <f>SUM('4推計WS106'!AK75:AK77)</f>
        <v>701</v>
      </c>
      <c r="I32" s="301">
        <f>SUM('4推計WS106'!AL75:AL77)</f>
        <v>680</v>
      </c>
      <c r="J32" s="301">
        <f>SUM('4推計WS106'!AM75:AM77)</f>
        <v>691</v>
      </c>
      <c r="K32" s="747"/>
    </row>
    <row r="33" spans="1:11" s="135" customFormat="1" ht="15.75" customHeight="1">
      <c r="A33" s="769">
        <v>30</v>
      </c>
      <c r="B33" s="832" t="s">
        <v>9877</v>
      </c>
      <c r="C33" s="301">
        <f>SUM('4推計WS106'!AF78:AF85)</f>
        <v>7268</v>
      </c>
      <c r="D33" s="301">
        <f>SUM('4推計WS106'!AG78:AG85)</f>
        <v>7557</v>
      </c>
      <c r="E33" s="301">
        <f>SUM('4推計WS106'!AH78:AH85)</f>
        <v>3683</v>
      </c>
      <c r="F33" s="301">
        <f>SUM('4推計WS106'!AI78:AI85)</f>
        <v>4869</v>
      </c>
      <c r="G33" s="301">
        <f>SUM('4推計WS106'!AJ78:AJ85)</f>
        <v>4820</v>
      </c>
      <c r="H33" s="301">
        <f>SUM('4推計WS106'!AK78:AK85)</f>
        <v>5308</v>
      </c>
      <c r="I33" s="301">
        <f>SUM('4推計WS106'!AL78:AL85)</f>
        <v>4510</v>
      </c>
      <c r="J33" s="301">
        <f>SUM('4推計WS106'!AM78:AM85)</f>
        <v>4656</v>
      </c>
      <c r="K33" s="747"/>
    </row>
    <row r="34" spans="1:11" s="135" customFormat="1" ht="15.75" customHeight="1">
      <c r="A34" s="769">
        <v>31</v>
      </c>
      <c r="B34" s="832" t="s">
        <v>9878</v>
      </c>
      <c r="C34" s="301">
        <f>SUM('4推計WS106'!AF86:AF90)</f>
        <v>4085</v>
      </c>
      <c r="D34" s="301">
        <f>SUM('4推計WS106'!AG86:AG90)</f>
        <v>3949</v>
      </c>
      <c r="E34" s="301">
        <f>SUM('4推計WS106'!AH86:AH90)</f>
        <v>3777</v>
      </c>
      <c r="F34" s="301">
        <f>SUM('4推計WS106'!AI86:AI90)</f>
        <v>4690</v>
      </c>
      <c r="G34" s="301">
        <f>SUM('4推計WS106'!AJ86:AJ90)</f>
        <v>3874</v>
      </c>
      <c r="H34" s="301">
        <f>SUM('4推計WS106'!AK86:AK90)</f>
        <v>4139</v>
      </c>
      <c r="I34" s="301">
        <f>SUM('4推計WS106'!AL86:AL90)</f>
        <v>5739</v>
      </c>
      <c r="J34" s="301">
        <f>SUM('4推計WS106'!AM86:AM90)</f>
        <v>5975</v>
      </c>
      <c r="K34" s="747"/>
    </row>
    <row r="35" spans="1:11" s="135" customFormat="1" ht="15.75" customHeight="1">
      <c r="A35" s="769">
        <v>32</v>
      </c>
      <c r="B35" s="832" t="s">
        <v>9115</v>
      </c>
      <c r="C35" s="301">
        <f>'4推計WS106'!AF91</f>
        <v>716</v>
      </c>
      <c r="D35" s="301">
        <f>'4推計WS106'!AG91</f>
        <v>743</v>
      </c>
      <c r="E35" s="301">
        <f>'4推計WS106'!AH91</f>
        <v>717</v>
      </c>
      <c r="F35" s="301">
        <f>'4推計WS106'!AI91</f>
        <v>845</v>
      </c>
      <c r="G35" s="301">
        <f>'4推計WS106'!AJ91</f>
        <v>856</v>
      </c>
      <c r="H35" s="301">
        <f>'4推計WS106'!AK91</f>
        <v>871</v>
      </c>
      <c r="I35" s="301">
        <f>'4推計WS106'!AL91</f>
        <v>862</v>
      </c>
      <c r="J35" s="301">
        <f>'4推計WS106'!AM91</f>
        <v>891</v>
      </c>
      <c r="K35" s="747"/>
    </row>
    <row r="36" spans="1:11" s="135" customFormat="1" ht="15.75" customHeight="1">
      <c r="A36" s="769">
        <v>33</v>
      </c>
      <c r="B36" s="832" t="s">
        <v>9879</v>
      </c>
      <c r="C36" s="301">
        <f>SUM('4推計WS106'!AF92:AF93)</f>
        <v>60034</v>
      </c>
      <c r="D36" s="301">
        <f>SUM('4推計WS106'!AG92:AG93)</f>
        <v>65150</v>
      </c>
      <c r="E36" s="301">
        <f>SUM('4推計WS106'!AH92:AH93)</f>
        <v>65826</v>
      </c>
      <c r="F36" s="301">
        <f>SUM('4推計WS106'!AI92:AI93)</f>
        <v>43594</v>
      </c>
      <c r="G36" s="301">
        <f>SUM('4推計WS106'!AJ92:AJ93)</f>
        <v>59974</v>
      </c>
      <c r="H36" s="301">
        <f>SUM('4推計WS106'!AK92:AK93)</f>
        <v>57879</v>
      </c>
      <c r="I36" s="301">
        <f>SUM('4推計WS106'!AL92:AL93)</f>
        <v>87651</v>
      </c>
      <c r="J36" s="301">
        <f>SUM('4推計WS106'!AM92:AM93)</f>
        <v>81480</v>
      </c>
      <c r="K36" s="747"/>
    </row>
    <row r="37" spans="1:11" s="135" customFormat="1" ht="15.75" customHeight="1">
      <c r="A37" s="769">
        <v>34</v>
      </c>
      <c r="B37" s="832" t="s">
        <v>9880</v>
      </c>
      <c r="C37" s="301">
        <f>SUM('4推計WS106'!AF94:AF97)</f>
        <v>5764</v>
      </c>
      <c r="D37" s="301">
        <f>SUM('4推計WS106'!AG94:AG97)</f>
        <v>6177</v>
      </c>
      <c r="E37" s="301">
        <f>SUM('4推計WS106'!AH94:AH97)</f>
        <v>5862</v>
      </c>
      <c r="F37" s="301">
        <f>SUM('4推計WS106'!AI94:AI97)</f>
        <v>6136</v>
      </c>
      <c r="G37" s="301">
        <f>SUM('4推計WS106'!AJ94:AJ97)</f>
        <v>6197</v>
      </c>
      <c r="H37" s="301">
        <f>SUM('4推計WS106'!AK94:AK97)</f>
        <v>6597</v>
      </c>
      <c r="I37" s="301">
        <f>SUM('4推計WS106'!AL94:AL97)</f>
        <v>7643</v>
      </c>
      <c r="J37" s="301">
        <f>SUM('4推計WS106'!AM94:AM97)</f>
        <v>6632</v>
      </c>
      <c r="K37" s="747"/>
    </row>
    <row r="38" spans="1:11" s="135" customFormat="1" ht="15.75" customHeight="1">
      <c r="A38" s="769">
        <v>35</v>
      </c>
      <c r="B38" s="832" t="s">
        <v>9121</v>
      </c>
      <c r="C38" s="301">
        <f>'4推計WS106'!AF98</f>
        <v>6124</v>
      </c>
      <c r="D38" s="301">
        <f>'4推計WS106'!AG98</f>
        <v>7178</v>
      </c>
      <c r="E38" s="301">
        <f>'4推計WS106'!AH98</f>
        <v>5845</v>
      </c>
      <c r="F38" s="301">
        <f>'4推計WS106'!AI98</f>
        <v>7255</v>
      </c>
      <c r="G38" s="301">
        <f>'4推計WS106'!AJ98</f>
        <v>7175</v>
      </c>
      <c r="H38" s="301">
        <f>'4推計WS106'!AK98</f>
        <v>7710</v>
      </c>
      <c r="I38" s="301">
        <f>'4推計WS106'!AL98</f>
        <v>7838</v>
      </c>
      <c r="J38" s="301">
        <f>'4推計WS106'!AM98</f>
        <v>8661</v>
      </c>
      <c r="K38" s="747"/>
    </row>
    <row r="39" spans="1:11" s="135" customFormat="1" ht="15.75" customHeight="1">
      <c r="A39" s="769">
        <v>36</v>
      </c>
      <c r="B39" s="832" t="s">
        <v>9881</v>
      </c>
      <c r="C39" s="301">
        <f>SUM('4推計WS106'!AF99:AF102)</f>
        <v>2584</v>
      </c>
      <c r="D39" s="301">
        <f>SUM('4推計WS106'!AG99:AG102)</f>
        <v>2857</v>
      </c>
      <c r="E39" s="301">
        <f>SUM('4推計WS106'!AH99:AH102)</f>
        <v>2655</v>
      </c>
      <c r="F39" s="301">
        <f>SUM('4推計WS106'!AI99:AI102)</f>
        <v>3548</v>
      </c>
      <c r="G39" s="301">
        <f>SUM('4推計WS106'!AJ99:AJ102)</f>
        <v>3587</v>
      </c>
      <c r="H39" s="301">
        <f>SUM('4推計WS106'!AK99:AK102)</f>
        <v>3491</v>
      </c>
      <c r="I39" s="301">
        <f>SUM('4推計WS106'!AL99:AL102)</f>
        <v>4600</v>
      </c>
      <c r="J39" s="301">
        <f>SUM('4推計WS106'!AM99:AM102)</f>
        <v>5178</v>
      </c>
      <c r="K39" s="747"/>
    </row>
    <row r="40" spans="1:11" s="135" customFormat="1" ht="15.75" customHeight="1">
      <c r="A40" s="769">
        <v>37</v>
      </c>
      <c r="B40" s="832" t="s">
        <v>9882</v>
      </c>
      <c r="C40" s="187">
        <f>SUM('4推計WS106'!AF103:AF107)</f>
        <v>166936</v>
      </c>
      <c r="D40" s="187">
        <f>SUM('4推計WS106'!AG103:AG107)</f>
        <v>154709</v>
      </c>
      <c r="E40" s="187">
        <f>SUM('4推計WS106'!AH103:AH107)</f>
        <v>101149</v>
      </c>
      <c r="F40" s="187">
        <f>SUM('4推計WS106'!AI103:AI107)</f>
        <v>110638</v>
      </c>
      <c r="G40" s="187">
        <f>SUM('4推計WS106'!AJ103:AJ107)</f>
        <v>112300</v>
      </c>
      <c r="H40" s="187">
        <f>SUM('4推計WS106'!AK103:AK107)</f>
        <v>122367</v>
      </c>
      <c r="I40" s="187">
        <f>SUM('4推計WS106'!AL103:AL107)</f>
        <v>111617</v>
      </c>
      <c r="J40" s="187">
        <f>SUM('4推計WS106'!AM103:AM107)</f>
        <v>141148</v>
      </c>
      <c r="K40" s="747"/>
    </row>
    <row r="41" spans="1:11" s="135" customFormat="1" ht="15.75" customHeight="1">
      <c r="A41" s="837">
        <v>38</v>
      </c>
      <c r="B41" s="838" t="s">
        <v>823</v>
      </c>
      <c r="C41" s="839">
        <f>'4推計WS106'!AF108</f>
        <v>0</v>
      </c>
      <c r="D41" s="839">
        <f>'4推計WS106'!AG108</f>
        <v>0</v>
      </c>
      <c r="E41" s="839">
        <f>'4推計WS106'!AH108</f>
        <v>0</v>
      </c>
      <c r="F41" s="839">
        <f>'4推計WS106'!AI108</f>
        <v>0</v>
      </c>
      <c r="G41" s="839">
        <f>'4推計WS106'!AJ108</f>
        <v>0</v>
      </c>
      <c r="H41" s="839">
        <f>'4推計WS106'!AK108</f>
        <v>0</v>
      </c>
      <c r="I41" s="839">
        <f>'4推計WS106'!AL108</f>
        <v>0</v>
      </c>
      <c r="J41" s="839">
        <f>'4推計WS106'!AM108</f>
        <v>0</v>
      </c>
      <c r="K41" s="726"/>
    </row>
    <row r="42" spans="1:11" s="135" customFormat="1" ht="15.75" customHeight="1">
      <c r="A42" s="840">
        <v>39</v>
      </c>
      <c r="B42" s="841" t="s">
        <v>7669</v>
      </c>
      <c r="C42" s="842">
        <f>'4推計WS106'!AF109</f>
        <v>0</v>
      </c>
      <c r="D42" s="842">
        <f>'4推計WS106'!AG109</f>
        <v>0</v>
      </c>
      <c r="E42" s="842">
        <f>'4推計WS106'!AH109</f>
        <v>0</v>
      </c>
      <c r="F42" s="842">
        <f>'4推計WS106'!AI109</f>
        <v>0</v>
      </c>
      <c r="G42" s="842">
        <f>'4推計WS106'!AJ109</f>
        <v>0</v>
      </c>
      <c r="H42" s="842">
        <f>'4推計WS106'!AK109</f>
        <v>0</v>
      </c>
      <c r="I42" s="842">
        <f>'4推計WS106'!AL109</f>
        <v>0</v>
      </c>
      <c r="J42" s="842">
        <f>'4推計WS106'!AM109</f>
        <v>0</v>
      </c>
      <c r="K42" s="727"/>
    </row>
    <row r="43" spans="1:11" s="135" customFormat="1" ht="15.75" customHeight="1">
      <c r="A43" s="773">
        <v>40</v>
      </c>
      <c r="B43" s="831" t="s">
        <v>7672</v>
      </c>
      <c r="C43" s="796">
        <f t="shared" ref="C43:G43" si="0">SUM(C4:C42)</f>
        <v>307913</v>
      </c>
      <c r="D43" s="796">
        <f t="shared" si="0"/>
        <v>301909</v>
      </c>
      <c r="E43" s="796">
        <f t="shared" ref="E43" si="1">SUM(E4:E42)</f>
        <v>238852</v>
      </c>
      <c r="F43" s="796">
        <f t="shared" si="0"/>
        <v>241322</v>
      </c>
      <c r="G43" s="796">
        <f t="shared" si="0"/>
        <v>261729</v>
      </c>
      <c r="H43" s="796">
        <f t="shared" ref="H43:I43" si="2">SUM(H4:H42)</f>
        <v>271012</v>
      </c>
      <c r="I43" s="796">
        <f t="shared" si="2"/>
        <v>292104</v>
      </c>
      <c r="J43" s="796">
        <f t="shared" ref="J43" si="3">SUM(J4:J42)</f>
        <v>317082</v>
      </c>
      <c r="K43" s="727"/>
    </row>
    <row r="44" spans="1:11" s="135" customFormat="1" ht="15.75" customHeight="1">
      <c r="A44" s="758" t="s">
        <v>9890</v>
      </c>
      <c r="B44" s="780"/>
    </row>
    <row r="45" spans="1:11" s="135" customFormat="1" ht="15.75" customHeight="1">
      <c r="A45" s="758"/>
      <c r="B45" s="758"/>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1EECA-EB06-4BFA-B513-6B26CE5B1401}">
  <sheetPr>
    <tabColor theme="5" tint="0.79998168889431442"/>
  </sheetPr>
  <dimension ref="A1:H45"/>
  <sheetViews>
    <sheetView workbookViewId="0">
      <pane xSplit="2" ySplit="2" topLeftCell="C32" activePane="bottomRight" state="frozen"/>
      <selection pane="topRight" activeCell="C1" sqref="C1"/>
      <selection pane="bottomLeft" activeCell="A3" sqref="A3"/>
      <selection pane="bottomRight" activeCell="I42" sqref="I42"/>
    </sheetView>
  </sheetViews>
  <sheetFormatPr defaultColWidth="9" defaultRowHeight="13"/>
  <cols>
    <col min="1" max="1" width="4.5" style="760" customWidth="1"/>
    <col min="2" max="2" width="24.08203125" style="760" customWidth="1"/>
    <col min="3" max="7" width="11.83203125" style="760" customWidth="1"/>
    <col min="8" max="8" width="11.83203125" style="760" hidden="1" customWidth="1"/>
    <col min="9" max="16384" width="9" style="760"/>
  </cols>
  <sheetData>
    <row r="1" spans="1:8" ht="14.9" customHeight="1">
      <c r="A1" s="1620" t="s">
        <v>12092</v>
      </c>
      <c r="B1" s="1621"/>
      <c r="C1" s="1621"/>
      <c r="D1" s="1621"/>
      <c r="E1" s="758"/>
      <c r="F1" s="758"/>
      <c r="G1" s="759" t="s">
        <v>9855</v>
      </c>
      <c r="H1" s="758"/>
    </row>
    <row r="2" spans="1:8" ht="24">
      <c r="A2" s="761"/>
      <c r="B2" s="762" t="s">
        <v>836</v>
      </c>
      <c r="C2" s="803" t="s">
        <v>9576</v>
      </c>
      <c r="D2" s="764" t="s">
        <v>9842</v>
      </c>
      <c r="E2" s="763" t="s">
        <v>9849</v>
      </c>
      <c r="F2" s="765" t="s">
        <v>9853</v>
      </c>
      <c r="G2" s="763" t="s">
        <v>9856</v>
      </c>
      <c r="H2" s="803" t="s">
        <v>9857</v>
      </c>
    </row>
    <row r="3" spans="1:8" ht="14.9" customHeight="1">
      <c r="A3" s="766">
        <v>1</v>
      </c>
      <c r="B3" s="762" t="s">
        <v>9858</v>
      </c>
      <c r="C3" s="804">
        <f>表1SGDP39!I4</f>
        <v>333</v>
      </c>
      <c r="D3" s="768">
        <f>'[1]波及効果（部門別）'!D6</f>
        <v>1605.2510413879895</v>
      </c>
      <c r="E3" s="767">
        <f>'[1]波及効果（部門別）'!E6</f>
        <v>685.77991101717225</v>
      </c>
      <c r="F3" s="768">
        <f>'[1]波及効果（部門別）'!F6</f>
        <v>518</v>
      </c>
      <c r="G3" s="767">
        <f>'[1]波及効果（部門別）'!G6</f>
        <v>196</v>
      </c>
      <c r="H3" s="804"/>
    </row>
    <row r="4" spans="1:8" ht="14.9" customHeight="1">
      <c r="A4" s="769">
        <v>2</v>
      </c>
      <c r="B4" s="770" t="s">
        <v>1595</v>
      </c>
      <c r="C4" s="1614">
        <f>表1SGDP39!I5</f>
        <v>0</v>
      </c>
      <c r="D4" s="772">
        <f>'[1]波及効果（部門別）'!D7</f>
        <v>157.21334326797933</v>
      </c>
      <c r="E4" s="771">
        <f>'[1]波及効果（部門別）'!E7</f>
        <v>100.59738143137538</v>
      </c>
      <c r="F4" s="772">
        <f>'[1]波及効果（部門別）'!F7</f>
        <v>45</v>
      </c>
      <c r="G4" s="771">
        <f>'[1]波及効果（部門別）'!G7</f>
        <v>41</v>
      </c>
      <c r="H4" s="805"/>
    </row>
    <row r="5" spans="1:8" ht="14.9" customHeight="1">
      <c r="A5" s="769">
        <v>3</v>
      </c>
      <c r="B5" s="770" t="s">
        <v>1596</v>
      </c>
      <c r="C5" s="1614">
        <f>表1SGDP39!I6</f>
        <v>0</v>
      </c>
      <c r="D5" s="772">
        <f>'[1]波及効果（部門別）'!D8</f>
        <v>152.45893148314426</v>
      </c>
      <c r="E5" s="771">
        <f>'[1]波及効果（部門別）'!E8</f>
        <v>72.237085380384201</v>
      </c>
      <c r="F5" s="772">
        <f>'[1]波及効果（部門別）'!F8</f>
        <v>14</v>
      </c>
      <c r="G5" s="771">
        <f>'[1]波及効果（部門別）'!G8</f>
        <v>6</v>
      </c>
      <c r="H5" s="805"/>
    </row>
    <row r="6" spans="1:8" ht="14.9" customHeight="1">
      <c r="A6" s="773">
        <v>4</v>
      </c>
      <c r="B6" s="774" t="s">
        <v>9763</v>
      </c>
      <c r="C6" s="1614">
        <f>表1SGDP39!I7</f>
        <v>0</v>
      </c>
      <c r="D6" s="776">
        <f>'[1]波及効果（部門別）'!D9</f>
        <v>51.9671858113783</v>
      </c>
      <c r="E6" s="775">
        <f>'[1]波及効果（部門別）'!E9</f>
        <v>28.249397004754723</v>
      </c>
      <c r="F6" s="776">
        <f>'[1]波及効果（部門別）'!F9</f>
        <v>1</v>
      </c>
      <c r="G6" s="775">
        <f>'[1]波及効果（部門別）'!G9</f>
        <v>1</v>
      </c>
      <c r="H6" s="800"/>
    </row>
    <row r="7" spans="1:8" ht="14.9" customHeight="1">
      <c r="A7" s="766">
        <v>5</v>
      </c>
      <c r="B7" s="762" t="s">
        <v>9859</v>
      </c>
      <c r="C7" s="804">
        <f>表1SGDP39!I8</f>
        <v>10808</v>
      </c>
      <c r="D7" s="768">
        <f>'[1]波及効果（部門別）'!D10</f>
        <v>20967.985396582109</v>
      </c>
      <c r="E7" s="767">
        <f>'[1]波及効果（部門別）'!E10</f>
        <v>7056.0490256353078</v>
      </c>
      <c r="F7" s="768">
        <f>'[1]波及効果（部門別）'!F10</f>
        <v>723</v>
      </c>
      <c r="G7" s="767">
        <f>'[1]波及効果（部門別）'!G10</f>
        <v>698</v>
      </c>
      <c r="H7" s="804"/>
    </row>
    <row r="8" spans="1:8" ht="14.9" customHeight="1">
      <c r="A8" s="769">
        <v>6</v>
      </c>
      <c r="B8" s="770" t="s">
        <v>9860</v>
      </c>
      <c r="C8" s="1614">
        <f>表1SGDP39!I9</f>
        <v>1228</v>
      </c>
      <c r="D8" s="772">
        <f>'[1]波及効果（部門別）'!D11</f>
        <v>1599.9915551775719</v>
      </c>
      <c r="E8" s="771">
        <f>'[1]波及効果（部門別）'!E11</f>
        <v>625.23143473102357</v>
      </c>
      <c r="F8" s="772">
        <f>'[1]波及効果（部門別）'!F11</f>
        <v>203</v>
      </c>
      <c r="G8" s="771">
        <f>'[1]波及効果（部門別）'!G11</f>
        <v>150</v>
      </c>
      <c r="H8" s="805"/>
    </row>
    <row r="9" spans="1:8" ht="14.9" customHeight="1">
      <c r="A9" s="769">
        <v>7</v>
      </c>
      <c r="B9" s="770" t="s">
        <v>9861</v>
      </c>
      <c r="C9" s="1614">
        <f>表1SGDP39!I10</f>
        <v>0</v>
      </c>
      <c r="D9" s="772">
        <f>'[1]波及効果（部門別）'!D12</f>
        <v>2777.5737864028438</v>
      </c>
      <c r="E9" s="771">
        <f>'[1]波及効果（部門別）'!E12</f>
        <v>988.77882030021328</v>
      </c>
      <c r="F9" s="772">
        <f>'[1]波及効果（部門別）'!F12</f>
        <v>121</v>
      </c>
      <c r="G9" s="771">
        <f>'[1]波及効果（部門別）'!G12</f>
        <v>107</v>
      </c>
      <c r="H9" s="805"/>
    </row>
    <row r="10" spans="1:8" ht="14.9" customHeight="1">
      <c r="A10" s="769">
        <v>8</v>
      </c>
      <c r="B10" s="770" t="s">
        <v>9862</v>
      </c>
      <c r="C10" s="1614">
        <f>表1SGDP39!I11</f>
        <v>5632</v>
      </c>
      <c r="D10" s="772">
        <f>'[1]波及効果（部門別）'!D13</f>
        <v>8574.0677787477762</v>
      </c>
      <c r="E10" s="771">
        <f>'[1]波及効果（部門別）'!E13</f>
        <v>3073.1315081126299</v>
      </c>
      <c r="F10" s="772">
        <f>'[1]波及効果（部門別）'!F13</f>
        <v>133</v>
      </c>
      <c r="G10" s="771">
        <f>'[1]波及効果（部門別）'!G13</f>
        <v>133</v>
      </c>
      <c r="H10" s="805"/>
    </row>
    <row r="11" spans="1:8" ht="14.9" customHeight="1">
      <c r="A11" s="769">
        <v>9</v>
      </c>
      <c r="B11" s="770" t="s">
        <v>9863</v>
      </c>
      <c r="C11" s="1614">
        <f>表1SGDP39!I12</f>
        <v>0</v>
      </c>
      <c r="D11" s="772">
        <f>'[1]波及効果（部門別）'!D14</f>
        <v>1248.0866698734333</v>
      </c>
      <c r="E11" s="771">
        <f>'[1]波及効果（部門別）'!E14</f>
        <v>327.95900362604471</v>
      </c>
      <c r="F11" s="772">
        <f>'[1]波及効果（部門別）'!F14</f>
        <v>11</v>
      </c>
      <c r="G11" s="771">
        <f>'[1]波及効果（部門別）'!G14</f>
        <v>11</v>
      </c>
      <c r="H11" s="805"/>
    </row>
    <row r="12" spans="1:8" ht="14.9" customHeight="1">
      <c r="A12" s="769">
        <v>10</v>
      </c>
      <c r="B12" s="770" t="s">
        <v>9864</v>
      </c>
      <c r="C12" s="1614">
        <f>表1SGDP39!I13</f>
        <v>19</v>
      </c>
      <c r="D12" s="772">
        <f>'[1]波及効果（部門別）'!D15</f>
        <v>1950.6672723807967</v>
      </c>
      <c r="E12" s="771">
        <f>'[1]波及効果（部門別）'!E15</f>
        <v>835.38627240829908</v>
      </c>
      <c r="F12" s="772">
        <f>'[1]波及効果（部門別）'!F15</f>
        <v>100</v>
      </c>
      <c r="G12" s="771">
        <f>'[1]波及効果（部門別）'!G15</f>
        <v>95</v>
      </c>
      <c r="H12" s="805"/>
    </row>
    <row r="13" spans="1:8" ht="14.9" customHeight="1">
      <c r="A13" s="769">
        <v>11</v>
      </c>
      <c r="B13" s="770" t="s">
        <v>9865</v>
      </c>
      <c r="C13" s="1614">
        <f>表1SGDP39!I14</f>
        <v>0</v>
      </c>
      <c r="D13" s="772">
        <f>'[1]波及効果（部門別）'!D16</f>
        <v>745.2571048073529</v>
      </c>
      <c r="E13" s="771">
        <f>'[1]波及効果（部門別）'!E16</f>
        <v>365.15507634170285</v>
      </c>
      <c r="F13" s="772">
        <f>'[1]波及効果（部門別）'!F16</f>
        <v>27</v>
      </c>
      <c r="G13" s="771">
        <f>'[1]波及効果（部門別）'!G16</f>
        <v>26</v>
      </c>
      <c r="H13" s="805"/>
    </row>
    <row r="14" spans="1:8" ht="14.9" customHeight="1">
      <c r="A14" s="769">
        <v>12</v>
      </c>
      <c r="B14" s="770" t="s">
        <v>9866</v>
      </c>
      <c r="C14" s="1614">
        <f>表1SGDP39!I15</f>
        <v>0</v>
      </c>
      <c r="D14" s="772">
        <f>'[1]波及効果（部門別）'!D17</f>
        <v>1300.50522710476</v>
      </c>
      <c r="E14" s="771">
        <f>'[1]波及効果（部門別）'!E17</f>
        <v>277.41209555984892</v>
      </c>
      <c r="F14" s="772">
        <f>'[1]波及効果（部門別）'!F17</f>
        <v>15</v>
      </c>
      <c r="G14" s="771">
        <f>'[1]波及効果（部門別）'!G17</f>
        <v>15</v>
      </c>
      <c r="H14" s="805"/>
    </row>
    <row r="15" spans="1:8" ht="14.9" customHeight="1">
      <c r="A15" s="769">
        <v>13</v>
      </c>
      <c r="B15" s="770" t="s">
        <v>9867</v>
      </c>
      <c r="C15" s="1614">
        <f>表1SGDP39!I16</f>
        <v>0</v>
      </c>
      <c r="D15" s="772">
        <f>'[1]波及効果（部門別）'!D18</f>
        <v>92.239891470141586</v>
      </c>
      <c r="E15" s="771">
        <f>'[1]波及効果（部門別）'!E18</f>
        <v>19.45877683402275</v>
      </c>
      <c r="F15" s="772">
        <f>'[1]波及効果（部門別）'!F18</f>
        <v>2</v>
      </c>
      <c r="G15" s="771">
        <f>'[1]波及効果（部門別）'!G18</f>
        <v>2</v>
      </c>
      <c r="H15" s="805"/>
    </row>
    <row r="16" spans="1:8" ht="14.9" customHeight="1">
      <c r="A16" s="769">
        <v>14</v>
      </c>
      <c r="B16" s="770" t="s">
        <v>9868</v>
      </c>
      <c r="C16" s="1614">
        <f>表1SGDP39!I17</f>
        <v>0</v>
      </c>
      <c r="D16" s="772">
        <f>'[1]波及効果（部門別）'!D19</f>
        <v>1091.9317755996378</v>
      </c>
      <c r="E16" s="771">
        <f>'[1]波及効果（部門別）'!E19</f>
        <v>500.00808609470198</v>
      </c>
      <c r="F16" s="772">
        <f>'[1]波及効果（部門別）'!F19</f>
        <v>67</v>
      </c>
      <c r="G16" s="771">
        <f>'[1]波及効果（部門別）'!G19</f>
        <v>60</v>
      </c>
      <c r="H16" s="805"/>
    </row>
    <row r="17" spans="1:8" ht="14.9" customHeight="1">
      <c r="A17" s="769">
        <v>15</v>
      </c>
      <c r="B17" s="770" t="s">
        <v>9081</v>
      </c>
      <c r="C17" s="1614">
        <f>表1SGDP39!I18</f>
        <v>0</v>
      </c>
      <c r="D17" s="772">
        <f>'[1]波及効果（部門別）'!D20</f>
        <v>197.30203829671891</v>
      </c>
      <c r="E17" s="771">
        <f>'[1]波及効果（部門別）'!E20</f>
        <v>84.984417139341957</v>
      </c>
      <c r="F17" s="772">
        <f>'[1]波及効果（部門別）'!F20</f>
        <v>2</v>
      </c>
      <c r="G17" s="771">
        <f>'[1]波及効果（部門別）'!G20</f>
        <v>2</v>
      </c>
      <c r="H17" s="805"/>
    </row>
    <row r="18" spans="1:8" ht="14.9" customHeight="1">
      <c r="A18" s="769">
        <v>16</v>
      </c>
      <c r="B18" s="770" t="s">
        <v>9082</v>
      </c>
      <c r="C18" s="1614">
        <f>表1SGDP39!I19</f>
        <v>0</v>
      </c>
      <c r="D18" s="772">
        <f>'[1]波及効果（部門別）'!D21</f>
        <v>200.04723721753948</v>
      </c>
      <c r="E18" s="771">
        <f>'[1]波及効果（部門別）'!E21</f>
        <v>87.549563081386196</v>
      </c>
      <c r="F18" s="772">
        <f>'[1]波及効果（部門別）'!F21</f>
        <v>7</v>
      </c>
      <c r="G18" s="771">
        <f>'[1]波及効果（部門別）'!G21</f>
        <v>7</v>
      </c>
      <c r="H18" s="805"/>
    </row>
    <row r="19" spans="1:8" ht="14.9" customHeight="1">
      <c r="A19" s="769">
        <v>17</v>
      </c>
      <c r="B19" s="770" t="s">
        <v>9083</v>
      </c>
      <c r="C19" s="1614">
        <f>表1SGDP39!I20</f>
        <v>3262</v>
      </c>
      <c r="D19" s="772">
        <f>'[1]波及効果（部門別）'!D22</f>
        <v>3340.2088059341377</v>
      </c>
      <c r="E19" s="771">
        <f>'[1]波及効果（部門別）'!E22</f>
        <v>1226.5702603126751</v>
      </c>
      <c r="F19" s="772">
        <f>'[1]波及効果（部門別）'!F22</f>
        <v>130</v>
      </c>
      <c r="G19" s="771">
        <f>'[1]波及効果（部門別）'!G22</f>
        <v>128</v>
      </c>
      <c r="H19" s="805"/>
    </row>
    <row r="20" spans="1:8" ht="14.9" customHeight="1">
      <c r="A20" s="769">
        <v>18</v>
      </c>
      <c r="B20" s="770" t="s">
        <v>9869</v>
      </c>
      <c r="C20" s="1614">
        <f>表1SGDP39!I21</f>
        <v>0</v>
      </c>
      <c r="D20" s="772">
        <f>'[1]波及効果（部門別）'!D23</f>
        <v>207.57832227474881</v>
      </c>
      <c r="E20" s="771">
        <f>'[1]波及効果（部門別）'!E23</f>
        <v>69.162364987857202</v>
      </c>
      <c r="F20" s="772">
        <f>'[1]波及効果（部門別）'!F23</f>
        <v>8</v>
      </c>
      <c r="G20" s="771">
        <f>'[1]波及効果（部門別）'!G23</f>
        <v>8</v>
      </c>
      <c r="H20" s="805"/>
    </row>
    <row r="21" spans="1:8" ht="14.9" customHeight="1">
      <c r="A21" s="769">
        <v>19</v>
      </c>
      <c r="B21" s="770" t="s">
        <v>9870</v>
      </c>
      <c r="C21" s="1614">
        <f>表1SGDP39!I22</f>
        <v>0</v>
      </c>
      <c r="D21" s="772">
        <f>'[1]波及効果（部門別）'!D24</f>
        <v>292.49004656081058</v>
      </c>
      <c r="E21" s="771">
        <f>'[1]波及効果（部門別）'!E24</f>
        <v>98.895464231944956</v>
      </c>
      <c r="F21" s="772">
        <f>'[1]波及効果（部門別）'!F24</f>
        <v>8</v>
      </c>
      <c r="G21" s="771">
        <f>'[1]波及効果（部門別）'!G24</f>
        <v>8</v>
      </c>
      <c r="H21" s="805"/>
    </row>
    <row r="22" spans="1:8" ht="14.9" customHeight="1">
      <c r="A22" s="769">
        <v>20</v>
      </c>
      <c r="B22" s="770" t="s">
        <v>9871</v>
      </c>
      <c r="C22" s="1614">
        <f>表1SGDP39!I23</f>
        <v>0</v>
      </c>
      <c r="D22" s="772">
        <f>'[1]波及効果（部門別）'!D25</f>
        <v>575.30831935383083</v>
      </c>
      <c r="E22" s="771">
        <f>'[1]波及効果（部門別）'!E25</f>
        <v>169.92856818344697</v>
      </c>
      <c r="F22" s="772">
        <f>'[1]波及効果（部門別）'!F25</f>
        <v>9</v>
      </c>
      <c r="G22" s="771">
        <f>'[1]波及効果（部門別）'!G25</f>
        <v>9</v>
      </c>
      <c r="H22" s="805"/>
    </row>
    <row r="23" spans="1:8" ht="14.9" customHeight="1">
      <c r="A23" s="769">
        <v>21</v>
      </c>
      <c r="B23" s="770" t="s">
        <v>9872</v>
      </c>
      <c r="C23" s="1614">
        <f>表1SGDP39!I24</f>
        <v>2525</v>
      </c>
      <c r="D23" s="772">
        <f>'[1]波及効果（部門別）'!D26</f>
        <v>3221.6653262268369</v>
      </c>
      <c r="E23" s="771">
        <f>'[1]波及効果（部門別）'!E26</f>
        <v>954.54104114029815</v>
      </c>
      <c r="F23" s="772">
        <f>'[1]波及効果（部門別）'!F26</f>
        <v>97</v>
      </c>
      <c r="G23" s="771">
        <f>'[1]波及効果（部門別）'!G26</f>
        <v>95</v>
      </c>
      <c r="H23" s="805"/>
    </row>
    <row r="24" spans="1:8" ht="14.9" customHeight="1">
      <c r="A24" s="773">
        <v>22</v>
      </c>
      <c r="B24" s="774" t="s">
        <v>600</v>
      </c>
      <c r="C24" s="800">
        <f>表1SGDP39!I25</f>
        <v>56522</v>
      </c>
      <c r="D24" s="776">
        <f>'[1]波及効果（部門別）'!D27</f>
        <v>60134.622580168143</v>
      </c>
      <c r="E24" s="775">
        <f>'[1]波及効果（部門別）'!E27</f>
        <v>24175.430693850318</v>
      </c>
      <c r="F24" s="776">
        <f>'[1]波及効果（部門別）'!F27</f>
        <v>4761</v>
      </c>
      <c r="G24" s="775">
        <f>'[1]波及効果（部門別）'!G27</f>
        <v>3966</v>
      </c>
      <c r="H24" s="800"/>
    </row>
    <row r="25" spans="1:8" ht="14.9" customHeight="1">
      <c r="A25" s="769">
        <v>23</v>
      </c>
      <c r="B25" s="770" t="s">
        <v>9873</v>
      </c>
      <c r="C25" s="1614">
        <f>表1SGDP39!I26</f>
        <v>5457</v>
      </c>
      <c r="D25" s="772">
        <f>'[1]波及効果（部門別）'!D28</f>
        <v>9373.4263958714728</v>
      </c>
      <c r="E25" s="771">
        <f>'[1]波及効果（部門別）'!E28</f>
        <v>4345.7165152685384</v>
      </c>
      <c r="F25" s="772">
        <f>'[1]波及効果（部門別）'!F28</f>
        <v>694</v>
      </c>
      <c r="G25" s="771">
        <f>'[1]波及効果（部門別）'!G28</f>
        <v>534</v>
      </c>
      <c r="H25" s="805"/>
    </row>
    <row r="26" spans="1:8" ht="14.9" customHeight="1">
      <c r="A26" s="769">
        <v>24</v>
      </c>
      <c r="B26" s="770" t="s">
        <v>9874</v>
      </c>
      <c r="C26" s="1614">
        <f>表1SGDP39!I27</f>
        <v>0</v>
      </c>
      <c r="D26" s="772">
        <f>'[1]波及効果（部門別）'!D29</f>
        <v>18344.285555138813</v>
      </c>
      <c r="E26" s="771">
        <f>'[1]波及効果（部門別）'!E29</f>
        <v>7328.2747626384134</v>
      </c>
      <c r="F26" s="772">
        <f>'[1]波及効果（部門別）'!F29</f>
        <v>52</v>
      </c>
      <c r="G26" s="771">
        <f>'[1]波及効果（部門別）'!G29</f>
        <v>52</v>
      </c>
      <c r="H26" s="805"/>
    </row>
    <row r="27" spans="1:8" ht="14.9" customHeight="1">
      <c r="A27" s="769">
        <v>25</v>
      </c>
      <c r="B27" s="770" t="s">
        <v>9875</v>
      </c>
      <c r="C27" s="1614">
        <f>表1SGDP39!I28</f>
        <v>0</v>
      </c>
      <c r="D27" s="772">
        <f>'[1]波及効果（部門別）'!D30</f>
        <v>4305.1670186009414</v>
      </c>
      <c r="E27" s="771">
        <f>'[1]波及効果（部門別）'!E30</f>
        <v>1906.0124210114429</v>
      </c>
      <c r="F27" s="772">
        <f>'[1]波及効果（部門別）'!F30</f>
        <v>89</v>
      </c>
      <c r="G27" s="771">
        <f>'[1]波及効果（部門別）'!G30</f>
        <v>89</v>
      </c>
      <c r="H27" s="805"/>
    </row>
    <row r="28" spans="1:8" ht="14.9" customHeight="1">
      <c r="A28" s="769">
        <v>26</v>
      </c>
      <c r="B28" s="770" t="s">
        <v>9100</v>
      </c>
      <c r="C28" s="1614">
        <f>表1SGDP39!I29</f>
        <v>0</v>
      </c>
      <c r="D28" s="772">
        <f>'[1]波及効果（部門別）'!D31</f>
        <v>5922.7716084977028</v>
      </c>
      <c r="E28" s="771">
        <f>'[1]波及効果（部門別）'!E31</f>
        <v>3747.852285212095</v>
      </c>
      <c r="F28" s="772">
        <f>'[1]波及効果（部門別）'!F31</f>
        <v>519</v>
      </c>
      <c r="G28" s="771">
        <f>'[1]波及効果（部門別）'!G31</f>
        <v>499</v>
      </c>
      <c r="H28" s="805"/>
    </row>
    <row r="29" spans="1:8" ht="14.9" customHeight="1">
      <c r="A29" s="769">
        <v>27</v>
      </c>
      <c r="B29" s="770" t="s">
        <v>9101</v>
      </c>
      <c r="C29" s="1614">
        <f>表1SGDP39!I30</f>
        <v>41614</v>
      </c>
      <c r="D29" s="772">
        <f>'[1]波及効果（部門別）'!D32</f>
        <v>52224.134094080269</v>
      </c>
      <c r="E29" s="771">
        <f>'[1]波及効果（部門別）'!E32</f>
        <v>35535.519196857567</v>
      </c>
      <c r="F29" s="772">
        <f>'[1]波及効果（部門別）'!F32</f>
        <v>8036</v>
      </c>
      <c r="G29" s="771">
        <f>'[1]波及効果（部門別）'!G32</f>
        <v>7483</v>
      </c>
      <c r="H29" s="805"/>
    </row>
    <row r="30" spans="1:8" ht="14.9" customHeight="1">
      <c r="A30" s="769">
        <v>28</v>
      </c>
      <c r="B30" s="770" t="s">
        <v>1598</v>
      </c>
      <c r="C30" s="1614">
        <f>表1SGDP39!I31</f>
        <v>208</v>
      </c>
      <c r="D30" s="772">
        <f>'[1]波及効果（部門別）'!D33</f>
        <v>16366.802716295962</v>
      </c>
      <c r="E30" s="771">
        <f>'[1]波及効果（部門別）'!E33</f>
        <v>9909.9175123884961</v>
      </c>
      <c r="F30" s="772">
        <f>'[1]波及効果（部門別）'!F33</f>
        <v>661</v>
      </c>
      <c r="G30" s="771">
        <f>'[1]波及効果（部門別）'!G33</f>
        <v>642</v>
      </c>
      <c r="H30" s="805"/>
    </row>
    <row r="31" spans="1:8" ht="14.9" customHeight="1">
      <c r="A31" s="769">
        <v>29</v>
      </c>
      <c r="B31" s="770" t="s">
        <v>9876</v>
      </c>
      <c r="C31" s="1614">
        <f>表1SGDP39!I32</f>
        <v>974</v>
      </c>
      <c r="D31" s="772">
        <f>'[1]波及効果（部門別）'!D34</f>
        <v>46492.285953681356</v>
      </c>
      <c r="E31" s="771">
        <f>'[1]波及効果（部門別）'!E34</f>
        <v>37801.259304601626</v>
      </c>
      <c r="F31" s="772">
        <f>'[1]波及効果（部門別）'!F34</f>
        <v>733</v>
      </c>
      <c r="G31" s="771">
        <f>'[1]波及効果（部門別）'!G34</f>
        <v>614</v>
      </c>
      <c r="H31" s="805"/>
    </row>
    <row r="32" spans="1:8" ht="14.9" customHeight="1">
      <c r="A32" s="769">
        <v>30</v>
      </c>
      <c r="B32" s="770" t="s">
        <v>9877</v>
      </c>
      <c r="C32" s="1614">
        <f>表1SGDP39!I33</f>
        <v>7142</v>
      </c>
      <c r="D32" s="772">
        <f>'[1]波及効果（部門別）'!D35</f>
        <v>22750.670792627418</v>
      </c>
      <c r="E32" s="771">
        <f>'[1]波及効果（部門別）'!E35</f>
        <v>14424.769096572931</v>
      </c>
      <c r="F32" s="772">
        <f>'[1]波及効果（部門別）'!F35</f>
        <v>1802</v>
      </c>
      <c r="G32" s="771">
        <f>'[1]波及効果（部門別）'!G35</f>
        <v>1674</v>
      </c>
      <c r="H32" s="805"/>
    </row>
    <row r="33" spans="1:8" ht="14.9" customHeight="1">
      <c r="A33" s="769">
        <v>31</v>
      </c>
      <c r="B33" s="770" t="s">
        <v>9878</v>
      </c>
      <c r="C33" s="1614">
        <f>表1SGDP39!I34</f>
        <v>12817</v>
      </c>
      <c r="D33" s="772">
        <f>'[1]波及効果（部門別）'!D36</f>
        <v>25297.769797656052</v>
      </c>
      <c r="E33" s="771">
        <f>'[1]波及効果（部門別）'!E36</f>
        <v>12641.801081881013</v>
      </c>
      <c r="F33" s="772">
        <f>'[1]波及効果（部門別）'!F36</f>
        <v>900</v>
      </c>
      <c r="G33" s="771">
        <f>'[1]波及効果（部門別）'!G36</f>
        <v>783</v>
      </c>
      <c r="H33" s="805"/>
    </row>
    <row r="34" spans="1:8" ht="14.9" customHeight="1">
      <c r="A34" s="769">
        <v>32</v>
      </c>
      <c r="B34" s="770" t="s">
        <v>9115</v>
      </c>
      <c r="C34" s="1614">
        <f>表1SGDP39!I35</f>
        <v>1315</v>
      </c>
      <c r="D34" s="772">
        <f>'[1]波及効果（部門別）'!D37</f>
        <v>2180.3281198686991</v>
      </c>
      <c r="E34" s="771">
        <f>'[1]波及効果（部門別）'!E37</f>
        <v>1544.9717047214399</v>
      </c>
      <c r="F34" s="772">
        <f>'[1]波及効果（部門別）'!F37</f>
        <v>105</v>
      </c>
      <c r="G34" s="771">
        <f>'[1]波及効果（部門別）'!G37</f>
        <v>105</v>
      </c>
      <c r="H34" s="805"/>
    </row>
    <row r="35" spans="1:8" ht="14.9" customHeight="1">
      <c r="A35" s="769">
        <v>33</v>
      </c>
      <c r="B35" s="770" t="s">
        <v>9879</v>
      </c>
      <c r="C35" s="1614">
        <f>表1SGDP39!I36</f>
        <v>99131</v>
      </c>
      <c r="D35" s="772">
        <f>'[1]波及効果（部門別）'!D38</f>
        <v>103156.92661247177</v>
      </c>
      <c r="E35" s="771">
        <f>'[1]波及効果（部門別）'!E38</f>
        <v>72853.341254340441</v>
      </c>
      <c r="F35" s="772">
        <f>'[1]波及効果（部門別）'!F38</f>
        <v>9355</v>
      </c>
      <c r="G35" s="771">
        <f>'[1]波及効果（部門別）'!G38</f>
        <v>9341</v>
      </c>
      <c r="H35" s="805"/>
    </row>
    <row r="36" spans="1:8" ht="14.9" customHeight="1">
      <c r="A36" s="769">
        <v>34</v>
      </c>
      <c r="B36" s="770" t="s">
        <v>9880</v>
      </c>
      <c r="C36" s="1614">
        <f>表1SGDP39!I37</f>
        <v>13175</v>
      </c>
      <c r="D36" s="772">
        <f>'[1]波及効果（部門別）'!D39</f>
        <v>20681.977654618804</v>
      </c>
      <c r="E36" s="771">
        <f>'[1]波及効果（部門別）'!E39</f>
        <v>12022.867784810602</v>
      </c>
      <c r="F36" s="772">
        <f>'[1]波及効果（部門別）'!F39</f>
        <v>2512</v>
      </c>
      <c r="G36" s="771">
        <f>'[1]波及効果（部門別）'!G39</f>
        <v>2431</v>
      </c>
      <c r="H36" s="805"/>
    </row>
    <row r="37" spans="1:8" ht="14.9" customHeight="1">
      <c r="A37" s="769">
        <v>35</v>
      </c>
      <c r="B37" s="770" t="s">
        <v>9121</v>
      </c>
      <c r="C37" s="1614">
        <f>表1SGDP39!I38</f>
        <v>14127</v>
      </c>
      <c r="D37" s="772">
        <f>'[1]波及効果（部門別）'!D40</f>
        <v>16882.407835719347</v>
      </c>
      <c r="E37" s="771">
        <f>'[1]波及効果（部門別）'!E40</f>
        <v>9911.1328814515582</v>
      </c>
      <c r="F37" s="772">
        <f>'[1]波及効果（部門別）'!F40</f>
        <v>2117</v>
      </c>
      <c r="G37" s="771">
        <f>'[1]波及効果（部門別）'!G40</f>
        <v>1986</v>
      </c>
      <c r="H37" s="805"/>
    </row>
    <row r="38" spans="1:8" ht="14.9" customHeight="1">
      <c r="A38" s="769">
        <v>36</v>
      </c>
      <c r="B38" s="770" t="s">
        <v>9881</v>
      </c>
      <c r="C38" s="1614">
        <f>表1SGDP39!I39</f>
        <v>6213</v>
      </c>
      <c r="D38" s="772">
        <f>'[1]波及効果（部門別）'!D41</f>
        <v>41441.149151994498</v>
      </c>
      <c r="E38" s="771">
        <f>'[1]波及効果（部門別）'!E41</f>
        <v>25793.313136579771</v>
      </c>
      <c r="F38" s="772">
        <f>'[1]波及効果（部門別）'!F41</f>
        <v>5407</v>
      </c>
      <c r="G38" s="771">
        <f>'[1]波及効果（部門別）'!G41</f>
        <v>4678</v>
      </c>
      <c r="H38" s="805"/>
    </row>
    <row r="39" spans="1:8" ht="14.9" customHeight="1">
      <c r="A39" s="769">
        <v>37</v>
      </c>
      <c r="B39" s="770" t="s">
        <v>9882</v>
      </c>
      <c r="C39" s="1614">
        <f>表1SGDP39!I40</f>
        <v>172190</v>
      </c>
      <c r="D39" s="772">
        <f>'[1]波及効果（部門別）'!D42</f>
        <v>183071.38500641994</v>
      </c>
      <c r="E39" s="771">
        <f>'[1]波及効果（部門別）'!E42</f>
        <v>97836.63824138022</v>
      </c>
      <c r="F39" s="772">
        <f>'[1]波及効果（部門別）'!F42</f>
        <v>36315</v>
      </c>
      <c r="G39" s="771">
        <f>'[1]波及効果（部門別）'!G42</f>
        <v>29713</v>
      </c>
      <c r="H39" s="805"/>
    </row>
    <row r="40" spans="1:8" ht="14.9" customHeight="1">
      <c r="A40" s="769">
        <v>38</v>
      </c>
      <c r="B40" s="770" t="s">
        <v>823</v>
      </c>
      <c r="C40" s="1614">
        <f>表1SGDP39!I41</f>
        <v>0</v>
      </c>
      <c r="D40" s="772">
        <f>'[1]波及効果（部門別）'!D43</f>
        <v>1329.2035866232955</v>
      </c>
      <c r="E40" s="771">
        <f>'[1]波及効果（部門別）'!E43</f>
        <v>0</v>
      </c>
      <c r="F40" s="772">
        <f>'[1]波及効果（部門別）'!F43</f>
        <v>0</v>
      </c>
      <c r="G40" s="771">
        <f>'[1]波及効果（部門別）'!G43</f>
        <v>0</v>
      </c>
      <c r="H40" s="805"/>
    </row>
    <row r="41" spans="1:8" ht="14.9" customHeight="1">
      <c r="A41" s="769">
        <v>39</v>
      </c>
      <c r="B41" s="770" t="s">
        <v>7669</v>
      </c>
      <c r="C41" s="1614">
        <f>表1SGDP39!I42</f>
        <v>0</v>
      </c>
      <c r="D41" s="772">
        <f>'[1]波及効果（部門別）'!D44</f>
        <v>2028.7813498560761</v>
      </c>
      <c r="E41" s="771">
        <f>'[1]波及効果（部門別）'!E44</f>
        <v>1313.4416944683367</v>
      </c>
      <c r="F41" s="772">
        <f>'[1]波及効果（部門別）'!F44</f>
        <v>7</v>
      </c>
      <c r="G41" s="771">
        <f>'[1]波及効果（部門別）'!G44</f>
        <v>7</v>
      </c>
      <c r="H41" s="805"/>
    </row>
    <row r="42" spans="1:8" ht="14.9" customHeight="1">
      <c r="A42" s="781">
        <v>40</v>
      </c>
      <c r="B42" s="799" t="s">
        <v>7672</v>
      </c>
      <c r="C42" s="802">
        <f>表1SGDP39!I43</f>
        <v>454692</v>
      </c>
      <c r="D42" s="801">
        <f>'[1]波及効果（部門別）'!D45</f>
        <v>682333.89288615214</v>
      </c>
      <c r="E42" s="802">
        <f>'[1]波及効果（部門別）'!E45</f>
        <v>390739.32512158924</v>
      </c>
      <c r="F42" s="801">
        <f>'[1]波及効果（部門別）'!F45</f>
        <v>76306</v>
      </c>
      <c r="G42" s="802">
        <f>'[1]波及効果（部門別）'!G45</f>
        <v>66395</v>
      </c>
      <c r="H42" s="802"/>
    </row>
    <row r="43" spans="1:8" ht="14.9" customHeight="1">
      <c r="A43" s="777" t="s">
        <v>12103</v>
      </c>
      <c r="B43" s="770"/>
      <c r="C43" s="758"/>
      <c r="D43" s="758"/>
      <c r="E43" s="758"/>
      <c r="F43" s="758"/>
      <c r="G43" s="778" t="s">
        <v>1589</v>
      </c>
      <c r="H43" s="758"/>
    </row>
    <row r="44" spans="1:8">
      <c r="A44" s="758"/>
      <c r="B44" s="758"/>
      <c r="C44" s="758"/>
      <c r="D44" s="758"/>
      <c r="E44" s="758"/>
      <c r="F44" s="758"/>
      <c r="G44" s="758"/>
      <c r="H44" s="758"/>
    </row>
    <row r="45" spans="1:8">
      <c r="C45" s="779" t="s">
        <v>5312</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D778-560E-4C39-9F2F-5B70E5412352}">
  <sheetPr>
    <tabColor theme="5" tint="0.79998168889431442"/>
  </sheetPr>
  <dimension ref="A1:AT116"/>
  <sheetViews>
    <sheetView workbookViewId="0">
      <pane xSplit="2" ySplit="3" topLeftCell="AB63" activePane="bottomRight" state="frozen"/>
      <selection pane="topRight" activeCell="C1" sqref="C1"/>
      <selection pane="bottomLeft" activeCell="A5" sqref="A5"/>
      <selection pane="bottomRight" activeCell="AE66" sqref="AE66"/>
    </sheetView>
  </sheetViews>
  <sheetFormatPr defaultColWidth="8.58203125" defaultRowHeight="13"/>
  <cols>
    <col min="1" max="1" width="3.58203125" style="133" customWidth="1"/>
    <col min="2" max="2" width="26.08203125" style="133" customWidth="1"/>
    <col min="3" max="22" width="11.58203125" style="133" customWidth="1"/>
    <col min="23" max="23" width="22.08203125" style="133" customWidth="1"/>
    <col min="24" max="34" width="11.58203125" style="133" customWidth="1"/>
    <col min="35" max="39" width="11.33203125" style="133" customWidth="1"/>
    <col min="40" max="40" width="10.33203125" style="133" customWidth="1"/>
    <col min="41" max="41" width="4.83203125" style="133" customWidth="1"/>
    <col min="42" max="45" width="11.58203125" style="133" customWidth="1"/>
    <col min="46" max="46" width="9" style="133" customWidth="1"/>
    <col min="47" max="16384" width="8.58203125" style="133"/>
  </cols>
  <sheetData>
    <row r="1" spans="1:45" ht="15.75" customHeight="1">
      <c r="A1" s="1711" t="s">
        <v>9241</v>
      </c>
      <c r="B1" s="1711"/>
      <c r="D1" s="559"/>
      <c r="E1" s="541"/>
      <c r="F1" s="541"/>
      <c r="G1" s="541"/>
      <c r="H1" s="737"/>
      <c r="I1" s="717">
        <f>目次!C1</f>
        <v>46048</v>
      </c>
      <c r="J1" s="737" t="s">
        <v>9761</v>
      </c>
      <c r="K1" s="737" t="s">
        <v>9761</v>
      </c>
      <c r="L1" s="737"/>
      <c r="M1" s="737"/>
      <c r="N1" s="737"/>
      <c r="O1" s="737"/>
      <c r="P1" s="737"/>
      <c r="Q1" s="714" t="s">
        <v>11853</v>
      </c>
      <c r="R1" s="714"/>
      <c r="S1" s="714"/>
      <c r="T1" s="714"/>
      <c r="U1" s="714"/>
      <c r="V1" s="714"/>
      <c r="AG1" s="541"/>
      <c r="AH1" s="541"/>
      <c r="AK1" s="541" t="s">
        <v>9236</v>
      </c>
      <c r="AO1" s="547"/>
    </row>
    <row r="2" spans="1:45" ht="15.75" customHeight="1">
      <c r="A2" s="617"/>
      <c r="B2" s="618"/>
      <c r="C2" s="137" t="s">
        <v>846</v>
      </c>
      <c r="D2" s="715" t="s">
        <v>9049</v>
      </c>
      <c r="E2" s="711" t="s">
        <v>9717</v>
      </c>
      <c r="F2" s="823" t="s">
        <v>9717</v>
      </c>
      <c r="G2" s="823" t="s">
        <v>9717</v>
      </c>
      <c r="H2" s="711" t="s">
        <v>9718</v>
      </c>
      <c r="I2" s="711" t="s">
        <v>9718</v>
      </c>
      <c r="J2" s="711" t="s">
        <v>9718</v>
      </c>
      <c r="K2" s="711" t="s">
        <v>9718</v>
      </c>
      <c r="L2" s="1504" t="s">
        <v>9718</v>
      </c>
      <c r="M2" s="823" t="s">
        <v>9718</v>
      </c>
      <c r="N2" s="711" t="s">
        <v>9810</v>
      </c>
      <c r="O2" s="715" t="s">
        <v>9049</v>
      </c>
      <c r="P2" s="715" t="s">
        <v>9049</v>
      </c>
      <c r="Q2" s="1502" t="s">
        <v>9049</v>
      </c>
      <c r="R2" s="715" t="s">
        <v>9049</v>
      </c>
      <c r="S2" s="826" t="s">
        <v>9049</v>
      </c>
      <c r="T2" s="826" t="s">
        <v>9049</v>
      </c>
      <c r="U2" s="1502" t="s">
        <v>9049</v>
      </c>
      <c r="V2" s="715" t="s">
        <v>9049</v>
      </c>
      <c r="W2" s="635" t="s">
        <v>5311</v>
      </c>
      <c r="X2" s="1537" t="s">
        <v>9234</v>
      </c>
      <c r="Y2" s="782" t="s">
        <v>9234</v>
      </c>
      <c r="Z2" s="782" t="s">
        <v>9234</v>
      </c>
      <c r="AA2" s="782" t="s">
        <v>9234</v>
      </c>
      <c r="AB2" s="782" t="s">
        <v>9234</v>
      </c>
      <c r="AC2" s="782" t="s">
        <v>9234</v>
      </c>
      <c r="AD2" s="782" t="s">
        <v>9234</v>
      </c>
      <c r="AE2" s="782" t="s">
        <v>9234</v>
      </c>
      <c r="AF2" s="748" t="s">
        <v>9235</v>
      </c>
      <c r="AG2" s="748" t="s">
        <v>9235</v>
      </c>
      <c r="AH2" s="748" t="s">
        <v>9235</v>
      </c>
      <c r="AI2" s="748" t="s">
        <v>9235</v>
      </c>
      <c r="AJ2" s="748" t="s">
        <v>9235</v>
      </c>
      <c r="AK2" s="748" t="s">
        <v>9235</v>
      </c>
      <c r="AL2" s="1504" t="s">
        <v>9235</v>
      </c>
      <c r="AM2" s="823" t="s">
        <v>9235</v>
      </c>
      <c r="AN2" s="631"/>
      <c r="AO2" s="135"/>
      <c r="AP2" s="530" t="s">
        <v>9231</v>
      </c>
      <c r="AQ2" s="530" t="s">
        <v>9232</v>
      </c>
      <c r="AR2" s="537" t="s">
        <v>9239</v>
      </c>
      <c r="AS2" s="537" t="s">
        <v>9240</v>
      </c>
    </row>
    <row r="3" spans="1:45" ht="15.75" customHeight="1">
      <c r="A3" s="619"/>
      <c r="B3" s="620" t="s">
        <v>9051</v>
      </c>
      <c r="C3" s="528" t="s">
        <v>3137</v>
      </c>
      <c r="D3" s="716" t="s">
        <v>9814</v>
      </c>
      <c r="E3" s="709" t="s">
        <v>9716</v>
      </c>
      <c r="F3" s="824" t="s">
        <v>9886</v>
      </c>
      <c r="G3" s="824" t="s">
        <v>9892</v>
      </c>
      <c r="H3" s="709" t="s">
        <v>10000</v>
      </c>
      <c r="I3" s="709" t="s">
        <v>9752</v>
      </c>
      <c r="J3" s="709" t="s">
        <v>9813</v>
      </c>
      <c r="K3" s="709" t="s">
        <v>10056</v>
      </c>
      <c r="L3" s="1501" t="s">
        <v>11752</v>
      </c>
      <c r="M3" s="824" t="s">
        <v>11860</v>
      </c>
      <c r="N3" s="709" t="s">
        <v>9811</v>
      </c>
      <c r="O3" s="716" t="s">
        <v>9887</v>
      </c>
      <c r="P3" s="716" t="s">
        <v>9897</v>
      </c>
      <c r="Q3" s="1503" t="s">
        <v>11755</v>
      </c>
      <c r="R3" s="716" t="s">
        <v>9722</v>
      </c>
      <c r="S3" s="827" t="s">
        <v>9760</v>
      </c>
      <c r="T3" s="827" t="s">
        <v>10057</v>
      </c>
      <c r="U3" s="1503" t="s">
        <v>11754</v>
      </c>
      <c r="V3" s="716" t="s">
        <v>11856</v>
      </c>
      <c r="W3" s="712" t="s">
        <v>9719</v>
      </c>
      <c r="X3" s="1538" t="s">
        <v>3137</v>
      </c>
      <c r="Y3" s="528" t="s">
        <v>9885</v>
      </c>
      <c r="Z3" s="1526" t="s">
        <v>10000</v>
      </c>
      <c r="AA3" s="1526" t="s">
        <v>9752</v>
      </c>
      <c r="AB3" s="1526" t="s">
        <v>9813</v>
      </c>
      <c r="AC3" s="1526" t="s">
        <v>10056</v>
      </c>
      <c r="AD3" s="1526" t="s">
        <v>11752</v>
      </c>
      <c r="AE3" s="1526" t="s">
        <v>11860</v>
      </c>
      <c r="AF3" s="632" t="s">
        <v>9237</v>
      </c>
      <c r="AG3" s="632" t="s">
        <v>9888</v>
      </c>
      <c r="AH3" s="632" t="s">
        <v>9893</v>
      </c>
      <c r="AI3" s="632" t="s">
        <v>9733</v>
      </c>
      <c r="AJ3" s="632" t="s">
        <v>9833</v>
      </c>
      <c r="AK3" s="632" t="s">
        <v>10058</v>
      </c>
      <c r="AL3" s="1501" t="s">
        <v>11753</v>
      </c>
      <c r="AM3" s="824" t="s">
        <v>11861</v>
      </c>
      <c r="AN3" s="722" t="s">
        <v>12094</v>
      </c>
      <c r="AO3" s="548"/>
      <c r="AP3" s="144"/>
      <c r="AQ3" s="144"/>
      <c r="AR3" s="144"/>
      <c r="AS3" s="144"/>
    </row>
    <row r="4" spans="1:45" ht="15.75" customHeight="1">
      <c r="A4" s="621">
        <v>1</v>
      </c>
      <c r="B4" s="622" t="s">
        <v>9052</v>
      </c>
      <c r="C4" s="197">
        <f>SUM(CT作業分類比較!H4:H25)</f>
        <v>100575</v>
      </c>
      <c r="D4" s="627">
        <f>SUM(CT作業分類比較!I4:I25)</f>
        <v>0</v>
      </c>
      <c r="E4" s="612"/>
      <c r="F4" s="612"/>
      <c r="G4" s="612"/>
      <c r="H4" s="1505"/>
      <c r="I4" s="612"/>
      <c r="J4" s="612"/>
      <c r="K4" s="612"/>
      <c r="L4" s="612"/>
      <c r="M4" s="1505"/>
      <c r="N4" s="612"/>
      <c r="O4" s="612"/>
      <c r="P4" s="612"/>
      <c r="Q4" s="612"/>
      <c r="R4" s="612"/>
      <c r="S4" s="612"/>
      <c r="T4" s="612"/>
      <c r="U4" s="612"/>
      <c r="V4" s="1505"/>
      <c r="W4" s="718"/>
      <c r="X4" s="1539">
        <v>0.5459507829977629</v>
      </c>
      <c r="Y4" s="529">
        <f>X4*付加価値率!P6/付加価値率!L6</f>
        <v>0.50741022280594272</v>
      </c>
      <c r="Z4" s="1527">
        <f>Y4*付加価値率!Q6/付加価値率!P6</f>
        <v>0.52363943736067353</v>
      </c>
      <c r="AA4" s="1527">
        <f>Z4*付加価値率!R6/付加価値率!Q6</f>
        <v>0.5332593834057141</v>
      </c>
      <c r="AB4" s="1527">
        <f>AA4*付加価値率!S6/付加価値率!R6</f>
        <v>0.53926182388897037</v>
      </c>
      <c r="AC4" s="1527">
        <f>AB4*付加価値率!T6/付加価値率!S6</f>
        <v>0.52943416928176512</v>
      </c>
      <c r="AD4" s="1527">
        <f>AC4*付加価値率!U6/付加価値率!T6</f>
        <v>0.47935821624165609</v>
      </c>
      <c r="AE4" s="1527">
        <f>AD4*付加価値率!V6/付加価値率!U6</f>
        <v>0.60201809687692598</v>
      </c>
      <c r="AF4" s="633">
        <f t="shared" ref="AF4:AF35" si="0">ROUND(D4*X4,0)</f>
        <v>0</v>
      </c>
      <c r="AG4" s="612">
        <f>ROUND(O4*Y4,0)</f>
        <v>0</v>
      </c>
      <c r="AH4" s="612">
        <f>ROUND(P4*Z4,0)</f>
        <v>0</v>
      </c>
      <c r="AI4" s="612">
        <f>ROUND(R4*AA4,0)</f>
        <v>0</v>
      </c>
      <c r="AJ4" s="612">
        <f>ROUND(S4*AB4,0)</f>
        <v>0</v>
      </c>
      <c r="AK4" s="612">
        <f>ROUND(T4*AC4,0)</f>
        <v>0</v>
      </c>
      <c r="AL4" s="612">
        <f>ROUND(U4*AD4,0)</f>
        <v>0</v>
      </c>
      <c r="AM4" s="612">
        <f>ROUND(V4*AE4,0)</f>
        <v>0</v>
      </c>
      <c r="AN4" s="784" t="s">
        <v>9750</v>
      </c>
      <c r="AO4" s="187"/>
      <c r="AP4" s="529">
        <f>商業運輸マージン!G5</f>
        <v>0.40474171770628642</v>
      </c>
      <c r="AQ4" s="529">
        <f>商業運輸マージン!H5</f>
        <v>6.0484401690576312E-2</v>
      </c>
      <c r="AR4" s="197">
        <f t="shared" ref="AR4:AR35" si="1">ROUND(D4*AP4,0)</f>
        <v>0</v>
      </c>
      <c r="AS4" s="197">
        <f t="shared" ref="AS4:AS35" si="2">ROUND(D4*AQ4,0)</f>
        <v>0</v>
      </c>
    </row>
    <row r="5" spans="1:45" ht="15.75" customHeight="1">
      <c r="A5" s="621">
        <v>2</v>
      </c>
      <c r="B5" s="622" t="s">
        <v>9053</v>
      </c>
      <c r="C5" s="197">
        <f>SUM(CT作業分類比較!H26:H32)</f>
        <v>62089</v>
      </c>
      <c r="D5" s="627">
        <f>SUM(CT作業分類比較!I26:I32)</f>
        <v>0</v>
      </c>
      <c r="E5" s="612"/>
      <c r="F5" s="612"/>
      <c r="G5" s="612"/>
      <c r="H5" s="1505"/>
      <c r="I5" s="612"/>
      <c r="J5" s="612"/>
      <c r="K5" s="612"/>
      <c r="L5" s="612"/>
      <c r="M5" s="1505"/>
      <c r="N5" s="612"/>
      <c r="O5" s="612"/>
      <c r="P5" s="612"/>
      <c r="Q5" s="612"/>
      <c r="R5" s="612"/>
      <c r="S5" s="612"/>
      <c r="T5" s="612"/>
      <c r="U5" s="612"/>
      <c r="V5" s="1505"/>
      <c r="W5" s="718"/>
      <c r="X5" s="1539">
        <v>0.22032888273285123</v>
      </c>
      <c r="Y5" s="529">
        <f>X5*付加価値率!P6/付加価値率!L6</f>
        <v>0.204775102371304</v>
      </c>
      <c r="Z5" s="1527">
        <f>Y5*付加価値率!Q6/付加価値率!P6</f>
        <v>0.2113247123761498</v>
      </c>
      <c r="AA5" s="1527">
        <f>Z5*付加価値率!R6/付加価値率!Q6</f>
        <v>0.21520702563599317</v>
      </c>
      <c r="AB5" s="1527">
        <f>AA5*付加価値率!S6/付加価値率!R6</f>
        <v>0.21762942532206836</v>
      </c>
      <c r="AC5" s="1527">
        <f>AB5*付加価値率!T6/付加価値率!S6</f>
        <v>0.21366328729841658</v>
      </c>
      <c r="AD5" s="1527">
        <f>AC5*付加価値率!U6/付加価値率!T6</f>
        <v>0.19345417847632124</v>
      </c>
      <c r="AE5" s="1527">
        <f>AD5*付加価値率!V6/付加価値率!U6</f>
        <v>0.24295591983864592</v>
      </c>
      <c r="AF5" s="633">
        <f t="shared" si="0"/>
        <v>0</v>
      </c>
      <c r="AG5" s="612">
        <f t="shared" ref="AG5:AG68" si="3">ROUND(O5*Y5,0)</f>
        <v>0</v>
      </c>
      <c r="AH5" s="612">
        <f t="shared" ref="AH5:AH68" si="4">ROUND(P5*Z5,0)</f>
        <v>0</v>
      </c>
      <c r="AI5" s="612">
        <f t="shared" ref="AI5:AI68" si="5">ROUND(R5*AA5,0)</f>
        <v>0</v>
      </c>
      <c r="AJ5" s="612">
        <f t="shared" ref="AJ5:AJ68" si="6">ROUND(S5*AB5,0)</f>
        <v>0</v>
      </c>
      <c r="AK5" s="612">
        <f t="shared" ref="AK5:AK68" si="7">ROUND(T5*AC5,0)</f>
        <v>0</v>
      </c>
      <c r="AL5" s="612">
        <f t="shared" ref="AL5:AM68" si="8">ROUND(U5*AD5,0)</f>
        <v>0</v>
      </c>
      <c r="AM5" s="612">
        <f t="shared" si="8"/>
        <v>0</v>
      </c>
      <c r="AN5" s="627" t="s">
        <v>9750</v>
      </c>
      <c r="AO5" s="187"/>
      <c r="AP5" s="529">
        <f>商業運輸マージン!G6</f>
        <v>7.1033031022172649E-2</v>
      </c>
      <c r="AQ5" s="529">
        <f>商業運輸マージン!H6</f>
        <v>1.931456914553677E-2</v>
      </c>
      <c r="AR5" s="197">
        <f t="shared" si="1"/>
        <v>0</v>
      </c>
      <c r="AS5" s="197">
        <f t="shared" si="2"/>
        <v>0</v>
      </c>
    </row>
    <row r="6" spans="1:45" ht="15.75" customHeight="1">
      <c r="A6" s="621">
        <v>3</v>
      </c>
      <c r="B6" s="622" t="s">
        <v>9054</v>
      </c>
      <c r="C6" s="197">
        <f>SUM(CT作業分類比較!H33:H34)</f>
        <v>28151</v>
      </c>
      <c r="D6" s="627">
        <f>SUM(CT作業分類比較!I33:I34)</f>
        <v>243.048</v>
      </c>
      <c r="E6" s="633">
        <v>6159</v>
      </c>
      <c r="F6" s="825">
        <v>6821</v>
      </c>
      <c r="G6" s="1499">
        <v>7367</v>
      </c>
      <c r="H6" s="633">
        <f>QE産出!D17</f>
        <v>154880.0458427713</v>
      </c>
      <c r="I6" s="633">
        <f>QE産出!D18</f>
        <v>158386.48611011979</v>
      </c>
      <c r="J6" s="633">
        <f>QE産出!D19</f>
        <v>164310.91800175601</v>
      </c>
      <c r="K6" s="633">
        <f>QE産出!D20</f>
        <v>173486.6111222831</v>
      </c>
      <c r="L6" s="1499">
        <f>QE産出!D21</f>
        <v>173906.77267302893</v>
      </c>
      <c r="M6" s="1499">
        <f>QE産出!D22</f>
        <v>219530.84674461774</v>
      </c>
      <c r="N6" s="612" t="s">
        <v>9812</v>
      </c>
      <c r="O6" s="633">
        <f>ROUND(D6*F6/E6,0)</f>
        <v>269</v>
      </c>
      <c r="P6" s="633">
        <f>ROUND(D6*G6/E6,0)</f>
        <v>291</v>
      </c>
      <c r="Q6" s="1499">
        <f>CT作業分類比較!L33</f>
        <v>296</v>
      </c>
      <c r="R6" s="633">
        <f>ROUND(Q6*I6/H6,0)</f>
        <v>303</v>
      </c>
      <c r="S6" s="633">
        <f>ROUND(R6*J6/I6,0)</f>
        <v>314</v>
      </c>
      <c r="T6" s="633">
        <f>ROUND(S6*K6/J6,0)</f>
        <v>332</v>
      </c>
      <c r="U6" s="633">
        <f>ROUND(T6*L6/K6,0)</f>
        <v>333</v>
      </c>
      <c r="V6" s="633">
        <f>ROUND(U6*M6/L6,0)</f>
        <v>420</v>
      </c>
      <c r="W6" s="718" t="s">
        <v>9721</v>
      </c>
      <c r="X6" s="1539">
        <v>0.62765088273951197</v>
      </c>
      <c r="Y6" s="529">
        <f>X6*付加価値率!P6/付加価値率!L6</f>
        <v>0.58334282901194667</v>
      </c>
      <c r="Z6" s="1527">
        <f>Y6*付加価値率!Q6/付加価値率!P6</f>
        <v>0.60200070286920859</v>
      </c>
      <c r="AA6" s="1527">
        <f>Z6*付加価値率!R6/付加価値率!Q6</f>
        <v>0.61306024855558394</v>
      </c>
      <c r="AB6" s="1527">
        <f>AA6*付加価値率!S6/付加価値率!R6</f>
        <v>0.61996093848081968</v>
      </c>
      <c r="AC6" s="1527">
        <f>AB6*付加価値率!T6/付加価値率!S6</f>
        <v>0.60866260119187643</v>
      </c>
      <c r="AD6" s="1527">
        <f>AC6*付加価値率!U6/付加価値率!T6</f>
        <v>0.55109291339499034</v>
      </c>
      <c r="AE6" s="1527">
        <f>AD6*付加価値率!V6/付加価値率!U6</f>
        <v>0.69210852277779755</v>
      </c>
      <c r="AF6" s="633">
        <f t="shared" si="0"/>
        <v>153</v>
      </c>
      <c r="AG6" s="612">
        <f t="shared" si="3"/>
        <v>157</v>
      </c>
      <c r="AH6" s="612">
        <f t="shared" si="4"/>
        <v>175</v>
      </c>
      <c r="AI6" s="612">
        <f t="shared" si="5"/>
        <v>186</v>
      </c>
      <c r="AJ6" s="612">
        <f t="shared" si="6"/>
        <v>195</v>
      </c>
      <c r="AK6" s="612">
        <f t="shared" si="7"/>
        <v>202</v>
      </c>
      <c r="AL6" s="612">
        <f t="shared" si="8"/>
        <v>184</v>
      </c>
      <c r="AM6" s="612">
        <f t="shared" si="8"/>
        <v>291</v>
      </c>
      <c r="AN6" s="723">
        <f>ROUND(AK6/AH6*100,1)</f>
        <v>115.4</v>
      </c>
      <c r="AO6" s="187"/>
      <c r="AP6" s="529">
        <f>商業運輸マージン!G7</f>
        <v>0</v>
      </c>
      <c r="AQ6" s="529">
        <f>商業運輸マージン!H7</f>
        <v>0</v>
      </c>
      <c r="AR6" s="197">
        <f t="shared" si="1"/>
        <v>0</v>
      </c>
      <c r="AS6" s="197">
        <f t="shared" si="2"/>
        <v>0</v>
      </c>
    </row>
    <row r="7" spans="1:45" ht="15.75" customHeight="1">
      <c r="A7" s="621">
        <v>4</v>
      </c>
      <c r="B7" s="622" t="s">
        <v>1595</v>
      </c>
      <c r="C7" s="197">
        <f>SUM(CT作業分類比較!H35:H37)</f>
        <v>10796</v>
      </c>
      <c r="D7" s="627">
        <f>SUM(CT作業分類比較!I35:I37)</f>
        <v>0</v>
      </c>
      <c r="E7" s="612"/>
      <c r="F7" s="612"/>
      <c r="G7" s="612"/>
      <c r="H7" s="1505"/>
      <c r="I7" s="612"/>
      <c r="J7" s="612"/>
      <c r="K7" s="612"/>
      <c r="L7" s="612"/>
      <c r="M7" s="1505"/>
      <c r="N7" s="612"/>
      <c r="O7" s="612"/>
      <c r="P7" s="612"/>
      <c r="Q7" s="612"/>
      <c r="R7" s="612"/>
      <c r="S7" s="612"/>
      <c r="T7" s="612"/>
      <c r="U7" s="612"/>
      <c r="V7" s="1505"/>
      <c r="W7" s="718"/>
      <c r="X7" s="1539">
        <v>0.74407187847350875</v>
      </c>
      <c r="Y7" s="529">
        <f>X7*付加価値率!P7/付加価値率!L7</f>
        <v>0.76512932741975681</v>
      </c>
      <c r="Z7" s="1527">
        <f>Y7*付加価値率!Q7/付加価値率!P7</f>
        <v>0.66040597248892363</v>
      </c>
      <c r="AA7" s="1527">
        <f>Z7*付加価値率!R7/付加価値率!Q7</f>
        <v>0.91857536744710266</v>
      </c>
      <c r="AB7" s="1527">
        <f>AA7*付加価値率!S7/付加価値率!R7</f>
        <v>0.84001124404977312</v>
      </c>
      <c r="AC7" s="1527">
        <f>AB7*付加価値率!T7/付加価値率!S7</f>
        <v>0.57859731408380133</v>
      </c>
      <c r="AD7" s="1527">
        <f>AC7*付加価値率!U7/付加価値率!T7</f>
        <v>0.63201375703692209</v>
      </c>
      <c r="AE7" s="1527">
        <f>AD7*付加価値率!V7/付加価値率!U7</f>
        <v>0.72164529234286412</v>
      </c>
      <c r="AF7" s="633">
        <f t="shared" si="0"/>
        <v>0</v>
      </c>
      <c r="AG7" s="612">
        <f t="shared" si="3"/>
        <v>0</v>
      </c>
      <c r="AH7" s="612">
        <f t="shared" si="4"/>
        <v>0</v>
      </c>
      <c r="AI7" s="612">
        <f t="shared" si="5"/>
        <v>0</v>
      </c>
      <c r="AJ7" s="612">
        <f t="shared" si="6"/>
        <v>0</v>
      </c>
      <c r="AK7" s="612">
        <f t="shared" si="7"/>
        <v>0</v>
      </c>
      <c r="AL7" s="612">
        <f t="shared" si="8"/>
        <v>0</v>
      </c>
      <c r="AM7" s="612">
        <f t="shared" si="8"/>
        <v>0</v>
      </c>
      <c r="AN7" s="627" t="s">
        <v>9834</v>
      </c>
      <c r="AO7" s="187"/>
      <c r="AP7" s="529">
        <f>商業運輸マージン!G8</f>
        <v>0.24721385717535904</v>
      </c>
      <c r="AQ7" s="529">
        <f>商業運輸マージン!H8</f>
        <v>3.6070719031760505E-2</v>
      </c>
      <c r="AR7" s="197">
        <f t="shared" si="1"/>
        <v>0</v>
      </c>
      <c r="AS7" s="197">
        <f t="shared" si="2"/>
        <v>0</v>
      </c>
    </row>
    <row r="8" spans="1:45" ht="15.75" customHeight="1">
      <c r="A8" s="621">
        <v>5</v>
      </c>
      <c r="B8" s="622" t="s">
        <v>1596</v>
      </c>
      <c r="C8" s="197">
        <f>SUM(CT作業分類比較!H38:H40)</f>
        <v>45849</v>
      </c>
      <c r="D8" s="627">
        <f>SUM(CT作業分類比較!I38:I40)</f>
        <v>0</v>
      </c>
      <c r="E8" s="612"/>
      <c r="F8" s="612"/>
      <c r="G8" s="612"/>
      <c r="H8" s="1505"/>
      <c r="I8" s="612"/>
      <c r="J8" s="612"/>
      <c r="K8" s="612"/>
      <c r="L8" s="612"/>
      <c r="M8" s="1505"/>
      <c r="N8" s="612"/>
      <c r="O8" s="612"/>
      <c r="P8" s="612"/>
      <c r="Q8" s="612"/>
      <c r="R8" s="612"/>
      <c r="S8" s="612"/>
      <c r="T8" s="612"/>
      <c r="U8" s="612"/>
      <c r="V8" s="1505"/>
      <c r="W8" s="718"/>
      <c r="X8" s="1539">
        <v>0.51654343606185527</v>
      </c>
      <c r="Y8" s="529">
        <f>X8*付加価値率!P8/付加価値率!L8</f>
        <v>0.42386033870629225</v>
      </c>
      <c r="Z8" s="1527">
        <f>Y8*付加価値率!Q8/付加価値率!P8</f>
        <v>0.4529333367711213</v>
      </c>
      <c r="AA8" s="1527">
        <f>Z8*付加価値率!R8/付加価値率!Q8</f>
        <v>0.3389104852311966</v>
      </c>
      <c r="AB8" s="1527">
        <f>AA8*付加価値率!S8/付加価値率!R8</f>
        <v>0.41652864082155799</v>
      </c>
      <c r="AC8" s="1527">
        <f>AB8*付加価値率!T8/付加価値率!S8</f>
        <v>0.47225351821525585</v>
      </c>
      <c r="AD8" s="1527">
        <f>AC8*付加価値率!U8/付加価値率!T8</f>
        <v>0.34952731907496065</v>
      </c>
      <c r="AE8" s="1527">
        <f>AD8*付加価値率!V8/付加価値率!U8</f>
        <v>0.37698509386789869</v>
      </c>
      <c r="AF8" s="633">
        <f t="shared" si="0"/>
        <v>0</v>
      </c>
      <c r="AG8" s="612">
        <f t="shared" si="3"/>
        <v>0</v>
      </c>
      <c r="AH8" s="612">
        <f t="shared" si="4"/>
        <v>0</v>
      </c>
      <c r="AI8" s="612">
        <f t="shared" si="5"/>
        <v>0</v>
      </c>
      <c r="AJ8" s="612">
        <f t="shared" si="6"/>
        <v>0</v>
      </c>
      <c r="AK8" s="612">
        <f t="shared" si="7"/>
        <v>0</v>
      </c>
      <c r="AL8" s="612">
        <f t="shared" si="8"/>
        <v>0</v>
      </c>
      <c r="AM8" s="612">
        <f t="shared" si="8"/>
        <v>0</v>
      </c>
      <c r="AN8" s="627" t="s">
        <v>9834</v>
      </c>
      <c r="AO8" s="187"/>
      <c r="AP8" s="529">
        <f>商業運輸マージン!G9</f>
        <v>0.27591440070340501</v>
      </c>
      <c r="AQ8" s="529">
        <f>商業運輸マージン!H9</f>
        <v>3.6864238359318138E-2</v>
      </c>
      <c r="AR8" s="197">
        <f t="shared" si="1"/>
        <v>0</v>
      </c>
      <c r="AS8" s="197">
        <f t="shared" si="2"/>
        <v>0</v>
      </c>
    </row>
    <row r="9" spans="1:45" ht="15.75" customHeight="1">
      <c r="A9" s="621">
        <v>6</v>
      </c>
      <c r="B9" s="622" t="s">
        <v>9055</v>
      </c>
      <c r="C9" s="197">
        <f>SUM(CT作業分類比較!H41:H43)</f>
        <v>0</v>
      </c>
      <c r="D9" s="627">
        <f>SUM(CT作業分類比較!I41:I43)</f>
        <v>0</v>
      </c>
      <c r="E9" s="612"/>
      <c r="F9" s="612"/>
      <c r="G9" s="612"/>
      <c r="H9" s="1505"/>
      <c r="I9" s="612"/>
      <c r="J9" s="612"/>
      <c r="K9" s="612"/>
      <c r="L9" s="612"/>
      <c r="M9" s="1505"/>
      <c r="N9" s="612"/>
      <c r="O9" s="612"/>
      <c r="P9" s="612"/>
      <c r="Q9" s="612"/>
      <c r="R9" s="612"/>
      <c r="S9" s="612"/>
      <c r="T9" s="612"/>
      <c r="U9" s="612"/>
      <c r="V9" s="1505"/>
      <c r="W9" s="718"/>
      <c r="X9" s="1539">
        <v>0</v>
      </c>
      <c r="Y9" s="1548">
        <f>X9</f>
        <v>0</v>
      </c>
      <c r="Z9" s="1548">
        <f>Y9</f>
        <v>0</v>
      </c>
      <c r="AA9" s="1548">
        <f t="shared" ref="AA9:AE9" si="9">Z9</f>
        <v>0</v>
      </c>
      <c r="AB9" s="1548">
        <f t="shared" si="9"/>
        <v>0</v>
      </c>
      <c r="AC9" s="1548">
        <f t="shared" si="9"/>
        <v>0</v>
      </c>
      <c r="AD9" s="1548">
        <f t="shared" si="9"/>
        <v>0</v>
      </c>
      <c r="AE9" s="1548">
        <f t="shared" si="9"/>
        <v>0</v>
      </c>
      <c r="AF9" s="633">
        <f t="shared" si="0"/>
        <v>0</v>
      </c>
      <c r="AG9" s="612">
        <f t="shared" si="3"/>
        <v>0</v>
      </c>
      <c r="AH9" s="612">
        <f t="shared" si="4"/>
        <v>0</v>
      </c>
      <c r="AI9" s="612">
        <f t="shared" si="5"/>
        <v>0</v>
      </c>
      <c r="AJ9" s="612">
        <f t="shared" si="6"/>
        <v>0</v>
      </c>
      <c r="AK9" s="612">
        <f t="shared" si="7"/>
        <v>0</v>
      </c>
      <c r="AL9" s="612">
        <f t="shared" si="8"/>
        <v>0</v>
      </c>
      <c r="AM9" s="612">
        <f t="shared" si="8"/>
        <v>0</v>
      </c>
      <c r="AN9" s="627" t="s">
        <v>9834</v>
      </c>
      <c r="AO9" s="187"/>
      <c r="AP9" s="529">
        <f>商業運輸マージン!G10</f>
        <v>0.24746724160226116</v>
      </c>
      <c r="AQ9" s="529">
        <f>商業運輸マージン!H10</f>
        <v>0.63674443945311665</v>
      </c>
      <c r="AR9" s="197">
        <f t="shared" si="1"/>
        <v>0</v>
      </c>
      <c r="AS9" s="197">
        <f t="shared" si="2"/>
        <v>0</v>
      </c>
    </row>
    <row r="10" spans="1:45" ht="15.75" customHeight="1">
      <c r="A10" s="621">
        <v>7</v>
      </c>
      <c r="B10" s="622" t="s">
        <v>9056</v>
      </c>
      <c r="C10" s="197">
        <f>SUM(CT作業分類比較!H44:H50)</f>
        <v>18762</v>
      </c>
      <c r="D10" s="627">
        <f>SUM(CT作業分類比較!I44:I50)</f>
        <v>0</v>
      </c>
      <c r="E10" s="612"/>
      <c r="F10" s="612"/>
      <c r="G10" s="612"/>
      <c r="H10" s="1505"/>
      <c r="I10" s="612"/>
      <c r="J10" s="612"/>
      <c r="K10" s="612"/>
      <c r="L10" s="612"/>
      <c r="M10" s="1505"/>
      <c r="N10" s="612"/>
      <c r="O10" s="612"/>
      <c r="P10" s="612"/>
      <c r="Q10" s="612"/>
      <c r="R10" s="612"/>
      <c r="S10" s="612"/>
      <c r="T10" s="612"/>
      <c r="U10" s="612"/>
      <c r="V10" s="1505"/>
      <c r="W10" s="718"/>
      <c r="X10" s="1539">
        <v>0.38828483104146677</v>
      </c>
      <c r="Y10" s="529">
        <f>X10*付加価値率!P9/付加価値率!L9</f>
        <v>0.40615524816028392</v>
      </c>
      <c r="Z10" s="1527">
        <f>Y10*付加価値率!Q9/付加価値率!P9</f>
        <v>0.38992558117751136</v>
      </c>
      <c r="AA10" s="1527">
        <f>Z10*付加価値率!R9/付加価値率!Q9</f>
        <v>0.40928470154396102</v>
      </c>
      <c r="AB10" s="1527">
        <f>AA10*付加価値率!S9/付加価値率!R9</f>
        <v>0.4921628552977651</v>
      </c>
      <c r="AC10" s="1527">
        <f>AB10*付加価値率!T9/付加価値率!S9</f>
        <v>0.36625081856471792</v>
      </c>
      <c r="AD10" s="1527">
        <f>AC10*付加価値率!U9/付加価値率!T9</f>
        <v>0.53337116432446952</v>
      </c>
      <c r="AE10" s="1527">
        <f>AD10*付加価値率!V9/付加価値率!U9</f>
        <v>0.39942214070576981</v>
      </c>
      <c r="AF10" s="633">
        <f t="shared" si="0"/>
        <v>0</v>
      </c>
      <c r="AG10" s="612">
        <f t="shared" si="3"/>
        <v>0</v>
      </c>
      <c r="AH10" s="612">
        <f t="shared" si="4"/>
        <v>0</v>
      </c>
      <c r="AI10" s="612">
        <f t="shared" si="5"/>
        <v>0</v>
      </c>
      <c r="AJ10" s="612">
        <f t="shared" si="6"/>
        <v>0</v>
      </c>
      <c r="AK10" s="612">
        <f t="shared" si="7"/>
        <v>0</v>
      </c>
      <c r="AL10" s="612">
        <f t="shared" si="8"/>
        <v>0</v>
      </c>
      <c r="AM10" s="612">
        <f t="shared" si="8"/>
        <v>0</v>
      </c>
      <c r="AN10" s="1506" t="s">
        <v>9834</v>
      </c>
      <c r="AO10" s="187"/>
      <c r="AP10" s="529">
        <f>商業運輸マージン!G11</f>
        <v>9.2954878593819831E-2</v>
      </c>
      <c r="AQ10" s="529">
        <f>商業運輸マージン!H11</f>
        <v>0.39215024425004452</v>
      </c>
      <c r="AR10" s="197">
        <f t="shared" si="1"/>
        <v>0</v>
      </c>
      <c r="AS10" s="197">
        <f t="shared" si="2"/>
        <v>0</v>
      </c>
    </row>
    <row r="11" spans="1:45" ht="15.75" customHeight="1">
      <c r="A11" s="617">
        <v>8</v>
      </c>
      <c r="B11" s="618" t="s">
        <v>1597</v>
      </c>
      <c r="C11" s="150">
        <f>SUM(CT作業分類比較!H51:H84)</f>
        <v>1545402</v>
      </c>
      <c r="D11" s="784">
        <f>SUM(CT作業分類比較!I51:I84)</f>
        <v>0</v>
      </c>
      <c r="E11" s="785"/>
      <c r="F11" s="785"/>
      <c r="G11" s="785"/>
      <c r="H11" s="785"/>
      <c r="I11" s="785"/>
      <c r="J11" s="785"/>
      <c r="K11" s="785"/>
      <c r="L11" s="785"/>
      <c r="M11" s="785"/>
      <c r="N11" s="785"/>
      <c r="O11" s="785"/>
      <c r="P11" s="785"/>
      <c r="Q11" s="785"/>
      <c r="R11" s="785"/>
      <c r="S11" s="785"/>
      <c r="T11" s="785"/>
      <c r="U11" s="785"/>
      <c r="V11" s="785"/>
      <c r="W11" s="786"/>
      <c r="X11" s="1540">
        <v>0.30261705368570768</v>
      </c>
      <c r="Y11" s="787">
        <f>X11*付加価値率!P11/付加価値率!L11</f>
        <v>0.28973601443482516</v>
      </c>
      <c r="Z11" s="1528">
        <f>Y11*付加価値率!Q11/付加価値率!P11</f>
        <v>0.32162835491960701</v>
      </c>
      <c r="AA11" s="1528">
        <f>Z11*付加価値率!R11/付加価値率!Q11</f>
        <v>0.31624511063131472</v>
      </c>
      <c r="AB11" s="1528">
        <f>AA11*付加価値率!S11/付加価値率!R11</f>
        <v>0.30592716766867289</v>
      </c>
      <c r="AC11" s="1528">
        <f>AB11*付加価値率!T11/付加価値率!S11</f>
        <v>0.30715638557273817</v>
      </c>
      <c r="AD11" s="1528">
        <f>AC11*付加価値率!U11/付加価値率!T11</f>
        <v>0.30543912269762818</v>
      </c>
      <c r="AE11" s="1528">
        <f>AD11*付加価値率!V11/付加価値率!U11</f>
        <v>0.30332360486826065</v>
      </c>
      <c r="AF11" s="788">
        <f t="shared" si="0"/>
        <v>0</v>
      </c>
      <c r="AG11" s="785">
        <f t="shared" si="3"/>
        <v>0</v>
      </c>
      <c r="AH11" s="785">
        <f t="shared" si="4"/>
        <v>0</v>
      </c>
      <c r="AI11" s="785">
        <f t="shared" si="5"/>
        <v>0</v>
      </c>
      <c r="AJ11" s="785">
        <f t="shared" si="6"/>
        <v>0</v>
      </c>
      <c r="AK11" s="785">
        <f t="shared" si="7"/>
        <v>0</v>
      </c>
      <c r="AL11" s="785">
        <f t="shared" si="8"/>
        <v>0</v>
      </c>
      <c r="AM11" s="785">
        <f t="shared" si="8"/>
        <v>0</v>
      </c>
      <c r="AN11" s="784" t="s">
        <v>9834</v>
      </c>
      <c r="AO11" s="187"/>
      <c r="AP11" s="529">
        <f>商業運輸マージン!G12</f>
        <v>0.36937214577161109</v>
      </c>
      <c r="AQ11" s="529">
        <f>商業運輸マージン!H12</f>
        <v>3.1857979795771887E-2</v>
      </c>
      <c r="AR11" s="197">
        <f t="shared" si="1"/>
        <v>0</v>
      </c>
      <c r="AS11" s="197">
        <f t="shared" si="2"/>
        <v>0</v>
      </c>
    </row>
    <row r="12" spans="1:45" ht="15.75" customHeight="1">
      <c r="A12" s="1514">
        <v>9</v>
      </c>
      <c r="B12" s="622" t="s">
        <v>9057</v>
      </c>
      <c r="C12" s="160">
        <f>SUM(CT作業分類比較!H85:H91)</f>
        <v>331148</v>
      </c>
      <c r="D12" s="1506">
        <f>SUM(CT作業分類比較!I85:I91)</f>
        <v>2851</v>
      </c>
      <c r="E12" s="1515">
        <v>1909424</v>
      </c>
      <c r="F12" s="1515">
        <v>2116927</v>
      </c>
      <c r="G12" s="1516">
        <v>2110063</v>
      </c>
      <c r="H12" s="1515">
        <f>QE産出!H17</f>
        <v>2122651.185532683</v>
      </c>
      <c r="I12" s="1515">
        <f>QE産出!H18</f>
        <v>2148467.2305034436</v>
      </c>
      <c r="J12" s="1515">
        <f>QE産出!H19</f>
        <v>2260421.4978237082</v>
      </c>
      <c r="K12" s="1515">
        <f>QE産出!H20</f>
        <v>2366473.5398150962</v>
      </c>
      <c r="L12" s="1516">
        <f>QE産出!H21</f>
        <v>2536289.8372684973</v>
      </c>
      <c r="M12" s="1516">
        <f>QE産出!H22</f>
        <v>2711361.9525548192</v>
      </c>
      <c r="N12" s="1505" t="s">
        <v>9815</v>
      </c>
      <c r="O12" s="1515">
        <f>ROUND(D12*F12/E12,0)</f>
        <v>3161</v>
      </c>
      <c r="P12" s="1515">
        <f>ROUND(D12*G12/E12,0)</f>
        <v>3151</v>
      </c>
      <c r="Q12" s="1516">
        <f>CT作業分類比較!L90</f>
        <v>9045</v>
      </c>
      <c r="R12" s="1515">
        <f>ROUND(Q12*I12/H12,0)</f>
        <v>9155</v>
      </c>
      <c r="S12" s="1515">
        <f t="shared" ref="S12" si="10">ROUND(R12*J12/I12,0)</f>
        <v>9632</v>
      </c>
      <c r="T12" s="1515">
        <f t="shared" ref="T12" si="11">ROUND(S12*K12/J12,0)</f>
        <v>10084</v>
      </c>
      <c r="U12" s="1515">
        <f t="shared" ref="U12:V12" si="12">ROUND(T12*L12/K12,0)</f>
        <v>10808</v>
      </c>
      <c r="V12" s="1515">
        <f t="shared" si="12"/>
        <v>11554</v>
      </c>
      <c r="W12" s="1517" t="s">
        <v>9723</v>
      </c>
      <c r="X12" s="1541">
        <v>0.51267107154504932</v>
      </c>
      <c r="Y12" s="789">
        <f>X12*付加価値率!P11/付加価値率!L11</f>
        <v>0.49084898281959927</v>
      </c>
      <c r="Z12" s="1529">
        <f>Y12*付加価値率!Q11/付加価値率!P11</f>
        <v>0.54487858945040657</v>
      </c>
      <c r="AA12" s="1529">
        <f>Z12*付加価値率!R11/付加価値率!Q11</f>
        <v>0.53575870151265048</v>
      </c>
      <c r="AB12" s="1529">
        <f>AA12*付加価値率!S11/付加価値率!R11</f>
        <v>0.51827881790935537</v>
      </c>
      <c r="AC12" s="1529">
        <f>AB12*付加価値率!T11/付加価値率!S11</f>
        <v>0.52036126651019987</v>
      </c>
      <c r="AD12" s="1529">
        <f>AC12*付加価値率!U11/付加価値率!T11</f>
        <v>0.51745200879460029</v>
      </c>
      <c r="AE12" s="1529">
        <f>AD12*付加価値率!V11/付加価値率!U11</f>
        <v>0.51386805746322251</v>
      </c>
      <c r="AF12" s="1515">
        <f t="shared" si="0"/>
        <v>1462</v>
      </c>
      <c r="AG12" s="1505">
        <f t="shared" si="3"/>
        <v>1552</v>
      </c>
      <c r="AH12" s="1505">
        <f t="shared" si="4"/>
        <v>1717</v>
      </c>
      <c r="AI12" s="1505">
        <f t="shared" si="5"/>
        <v>4905</v>
      </c>
      <c r="AJ12" s="1505">
        <f t="shared" si="6"/>
        <v>4992</v>
      </c>
      <c r="AK12" s="1505">
        <f t="shared" si="7"/>
        <v>5247</v>
      </c>
      <c r="AL12" s="1505">
        <f t="shared" si="8"/>
        <v>5593</v>
      </c>
      <c r="AM12" s="1505">
        <f t="shared" si="8"/>
        <v>5937</v>
      </c>
      <c r="AN12" s="1518">
        <f>ROUND(AK12/AH12*100,1)</f>
        <v>305.60000000000002</v>
      </c>
      <c r="AO12" s="187"/>
      <c r="AP12" s="529">
        <f>商業運輸マージン!G13</f>
        <v>0.33391352806133662</v>
      </c>
      <c r="AQ12" s="529">
        <f>商業運輸マージン!H13</f>
        <v>4.5420296133279831E-2</v>
      </c>
      <c r="AR12" s="197">
        <f t="shared" si="1"/>
        <v>952</v>
      </c>
      <c r="AS12" s="197">
        <f t="shared" si="2"/>
        <v>129</v>
      </c>
    </row>
    <row r="13" spans="1:45" ht="15.75" customHeight="1">
      <c r="A13" s="1514">
        <v>10</v>
      </c>
      <c r="B13" s="622" t="s">
        <v>9058</v>
      </c>
      <c r="C13" s="160">
        <f>SUM(CT作業分類比較!H92:H93)</f>
        <v>57885</v>
      </c>
      <c r="D13" s="1506">
        <f>SUM(CT作業分類比較!I92:I93)</f>
        <v>0</v>
      </c>
      <c r="E13" s="1505"/>
      <c r="F13" s="1505"/>
      <c r="G13" s="1505"/>
      <c r="H13" s="1505"/>
      <c r="I13" s="1505"/>
      <c r="J13" s="1505"/>
      <c r="K13" s="1505"/>
      <c r="L13" s="1505"/>
      <c r="M13" s="1505"/>
      <c r="N13" s="1505"/>
      <c r="O13" s="1505"/>
      <c r="P13" s="1505"/>
      <c r="Q13" s="1505"/>
      <c r="R13" s="1505"/>
      <c r="S13" s="1505"/>
      <c r="T13" s="1505"/>
      <c r="U13" s="1505"/>
      <c r="V13" s="1505"/>
      <c r="W13" s="1517"/>
      <c r="X13" s="1541">
        <v>0.17702340848233566</v>
      </c>
      <c r="Y13" s="789">
        <f>X13*付加価値率!Q11/付加価値率!P11</f>
        <v>0.19650904553062618</v>
      </c>
      <c r="Z13" s="789">
        <f>Y13*付加価値率!Q11/付加価値率!P11</f>
        <v>0.21813954045072526</v>
      </c>
      <c r="AA13" s="789">
        <f>Z13*付加価値率!R11/付加価値率!Q11</f>
        <v>0.21448843687972449</v>
      </c>
      <c r="AB13" s="789">
        <f>AA13*付加価値率!S11/付加価値率!R11</f>
        <v>0.20749044897896848</v>
      </c>
      <c r="AC13" s="789">
        <f>AB13*付加価値率!T11/付加価値率!S11</f>
        <v>0.20832414732864796</v>
      </c>
      <c r="AD13" s="789">
        <f>AC13*付加価値率!U11/付加価値率!T11</f>
        <v>0.20715943989946864</v>
      </c>
      <c r="AE13" s="789">
        <f>AD13*付加価値率!V11/付加価値率!U11</f>
        <v>0.20572462210416295</v>
      </c>
      <c r="AF13" s="1515">
        <f t="shared" si="0"/>
        <v>0</v>
      </c>
      <c r="AG13" s="1505">
        <f t="shared" si="3"/>
        <v>0</v>
      </c>
      <c r="AH13" s="1505">
        <f t="shared" si="4"/>
        <v>0</v>
      </c>
      <c r="AI13" s="1505">
        <f t="shared" si="5"/>
        <v>0</v>
      </c>
      <c r="AJ13" s="1505">
        <f t="shared" si="6"/>
        <v>0</v>
      </c>
      <c r="AK13" s="1505">
        <f t="shared" si="7"/>
        <v>0</v>
      </c>
      <c r="AL13" s="1505">
        <f t="shared" si="8"/>
        <v>0</v>
      </c>
      <c r="AM13" s="1505">
        <f t="shared" si="8"/>
        <v>0</v>
      </c>
      <c r="AN13" s="1506" t="s">
        <v>9834</v>
      </c>
      <c r="AO13" s="187"/>
      <c r="AP13" s="529">
        <f>商業運輸マージン!G14</f>
        <v>0.33259462092300252</v>
      </c>
      <c r="AQ13" s="529">
        <f>商業運輸マージン!H14</f>
        <v>9.9122698963580086E-2</v>
      </c>
      <c r="AR13" s="197">
        <f t="shared" si="1"/>
        <v>0</v>
      </c>
      <c r="AS13" s="197">
        <f t="shared" si="2"/>
        <v>0</v>
      </c>
    </row>
    <row r="14" spans="1:45" ht="15.75" customHeight="1">
      <c r="A14" s="1514">
        <v>11</v>
      </c>
      <c r="B14" s="622" t="s">
        <v>175</v>
      </c>
      <c r="C14" s="160">
        <f>CT作業分類比較!H94</f>
        <v>0</v>
      </c>
      <c r="D14" s="1506">
        <f>CT作業分類比較!I94</f>
        <v>0</v>
      </c>
      <c r="E14" s="1505"/>
      <c r="F14" s="1505"/>
      <c r="G14" s="1505"/>
      <c r="H14" s="1505"/>
      <c r="I14" s="1505"/>
      <c r="J14" s="1505"/>
      <c r="K14" s="1505"/>
      <c r="L14" s="1505"/>
      <c r="M14" s="1505"/>
      <c r="N14" s="1505"/>
      <c r="O14" s="1505"/>
      <c r="P14" s="1505"/>
      <c r="Q14" s="1505"/>
      <c r="R14" s="1505"/>
      <c r="S14" s="1505"/>
      <c r="T14" s="1505"/>
      <c r="U14" s="1505"/>
      <c r="V14" s="1505"/>
      <c r="W14" s="1517"/>
      <c r="X14" s="1541">
        <v>0</v>
      </c>
      <c r="Y14" s="1549">
        <f>X14</f>
        <v>0</v>
      </c>
      <c r="Z14" s="1549">
        <f t="shared" ref="Z14:AE14" si="13">Y14</f>
        <v>0</v>
      </c>
      <c r="AA14" s="1549">
        <f t="shared" si="13"/>
        <v>0</v>
      </c>
      <c r="AB14" s="1549">
        <f t="shared" si="13"/>
        <v>0</v>
      </c>
      <c r="AC14" s="1549">
        <f t="shared" si="13"/>
        <v>0</v>
      </c>
      <c r="AD14" s="1549">
        <f t="shared" si="13"/>
        <v>0</v>
      </c>
      <c r="AE14" s="1549">
        <f t="shared" si="13"/>
        <v>0</v>
      </c>
      <c r="AF14" s="1515">
        <f t="shared" si="0"/>
        <v>0</v>
      </c>
      <c r="AG14" s="1505">
        <f t="shared" si="3"/>
        <v>0</v>
      </c>
      <c r="AH14" s="1505">
        <f t="shared" si="4"/>
        <v>0</v>
      </c>
      <c r="AI14" s="1505">
        <f t="shared" si="5"/>
        <v>0</v>
      </c>
      <c r="AJ14" s="1505">
        <f t="shared" si="6"/>
        <v>0</v>
      </c>
      <c r="AK14" s="1505">
        <f t="shared" si="7"/>
        <v>0</v>
      </c>
      <c r="AL14" s="1505">
        <f t="shared" si="8"/>
        <v>0</v>
      </c>
      <c r="AM14" s="1505">
        <f t="shared" si="8"/>
        <v>0</v>
      </c>
      <c r="AN14" s="1506" t="s">
        <v>9834</v>
      </c>
      <c r="AO14" s="187"/>
      <c r="AP14" s="529">
        <f>商業運輸マージン!G15</f>
        <v>0.37900032217642088</v>
      </c>
      <c r="AQ14" s="529">
        <f>商業運輸マージン!H15</f>
        <v>1.4896663805680232E-2</v>
      </c>
      <c r="AR14" s="197">
        <f t="shared" si="1"/>
        <v>0</v>
      </c>
      <c r="AS14" s="197">
        <f t="shared" si="2"/>
        <v>0</v>
      </c>
    </row>
    <row r="15" spans="1:45" ht="15.75" customHeight="1">
      <c r="A15" s="1514">
        <v>12</v>
      </c>
      <c r="B15" s="622" t="s">
        <v>9059</v>
      </c>
      <c r="C15" s="160">
        <f>SUM(CT作業分類比較!H95:H102)</f>
        <v>32960</v>
      </c>
      <c r="D15" s="1506">
        <f>SUM(CT作業分類比較!I95:I102)</f>
        <v>0</v>
      </c>
      <c r="E15" s="1505"/>
      <c r="F15" s="1505"/>
      <c r="G15" s="1505"/>
      <c r="H15" s="1505"/>
      <c r="I15" s="1505"/>
      <c r="J15" s="1505"/>
      <c r="K15" s="1505"/>
      <c r="L15" s="1505"/>
      <c r="M15" s="1505"/>
      <c r="N15" s="1505"/>
      <c r="O15" s="1505"/>
      <c r="P15" s="1505"/>
      <c r="Q15" s="1505"/>
      <c r="R15" s="1505"/>
      <c r="S15" s="1505"/>
      <c r="T15" s="1505"/>
      <c r="U15" s="1505"/>
      <c r="V15" s="1505"/>
      <c r="W15" s="1517"/>
      <c r="X15" s="1541">
        <v>0.36732402912621359</v>
      </c>
      <c r="Y15" s="789">
        <f>X15*付加価値率!P12/付加価値率!L12</f>
        <v>0.34942600576324184</v>
      </c>
      <c r="Z15" s="1529">
        <f>Y15*付加価値率!Q12/付加価値率!P12</f>
        <v>0.35496077294407469</v>
      </c>
      <c r="AA15" s="1529">
        <f>Z15*付加価値率!R12/付加価値率!Q12</f>
        <v>0.34860529632059256</v>
      </c>
      <c r="AB15" s="1529">
        <f>AA15*付加価値率!S12/付加価値率!R12</f>
        <v>0.36581120809377848</v>
      </c>
      <c r="AC15" s="1529">
        <f>AB15*付加価値率!T12/付加価値率!S12</f>
        <v>0.39486012576857671</v>
      </c>
      <c r="AD15" s="1529">
        <f>AC15*付加価値率!U12/付加価値率!T12</f>
        <v>0.36557456221674733</v>
      </c>
      <c r="AE15" s="1529">
        <f>AD15*付加価値率!V12/付加価値率!U12</f>
        <v>0.3570040054070609</v>
      </c>
      <c r="AF15" s="1515">
        <f t="shared" si="0"/>
        <v>0</v>
      </c>
      <c r="AG15" s="1505">
        <f t="shared" si="3"/>
        <v>0</v>
      </c>
      <c r="AH15" s="1505">
        <f t="shared" si="4"/>
        <v>0</v>
      </c>
      <c r="AI15" s="1505">
        <f t="shared" si="5"/>
        <v>0</v>
      </c>
      <c r="AJ15" s="1505">
        <f t="shared" si="6"/>
        <v>0</v>
      </c>
      <c r="AK15" s="1505">
        <f t="shared" si="7"/>
        <v>0</v>
      </c>
      <c r="AL15" s="1505">
        <f t="shared" si="8"/>
        <v>0</v>
      </c>
      <c r="AM15" s="1505">
        <f t="shared" si="8"/>
        <v>0</v>
      </c>
      <c r="AN15" s="1506" t="s">
        <v>9834</v>
      </c>
      <c r="AO15" s="187"/>
      <c r="AP15" s="529">
        <f>商業運輸マージン!G16</f>
        <v>0.21897658600110856</v>
      </c>
      <c r="AQ15" s="529">
        <f>商業運輸マージン!H16</f>
        <v>2.2144014120508641E-2</v>
      </c>
      <c r="AR15" s="197">
        <f t="shared" si="1"/>
        <v>0</v>
      </c>
      <c r="AS15" s="197">
        <f t="shared" si="2"/>
        <v>0</v>
      </c>
    </row>
    <row r="16" spans="1:45" ht="15.75" customHeight="1">
      <c r="A16" s="1514">
        <v>13</v>
      </c>
      <c r="B16" s="622" t="s">
        <v>9060</v>
      </c>
      <c r="C16" s="160">
        <f>SUM(CT作業分類比較!H103:H109)</f>
        <v>47755</v>
      </c>
      <c r="D16" s="1506">
        <f>SUM(CT作業分類比較!I103:I109)</f>
        <v>1316.796</v>
      </c>
      <c r="E16" s="1515">
        <v>126166</v>
      </c>
      <c r="F16" s="1515">
        <v>119642</v>
      </c>
      <c r="G16" s="1516">
        <v>108810</v>
      </c>
      <c r="H16" s="1515">
        <f>QE産出!I17</f>
        <v>111780.98677148116</v>
      </c>
      <c r="I16" s="1515">
        <f>QE産出!I18</f>
        <v>106978.56060450844</v>
      </c>
      <c r="J16" s="1515">
        <f>QE産出!I19</f>
        <v>107796.75987252516</v>
      </c>
      <c r="K16" s="1515">
        <f>QE産出!I20</f>
        <v>111547.19739848393</v>
      </c>
      <c r="L16" s="1516">
        <f>QE産出!I21</f>
        <v>109449.88473961889</v>
      </c>
      <c r="M16" s="1516">
        <f>QE産出!I22</f>
        <v>105271.11097323647</v>
      </c>
      <c r="N16" s="1505" t="s">
        <v>9816</v>
      </c>
      <c r="O16" s="1515">
        <f>ROUND(D16*F16/E16,0)</f>
        <v>1249</v>
      </c>
      <c r="P16" s="1515">
        <f>ROUND(D16*G16/E16,0)</f>
        <v>1136</v>
      </c>
      <c r="Q16" s="1516">
        <f>SUM(CT作業分類比較!L103:L105)</f>
        <v>1255</v>
      </c>
      <c r="R16" s="1515">
        <f>ROUND(Q16*I16/H16,0)</f>
        <v>1201</v>
      </c>
      <c r="S16" s="1515">
        <f t="shared" ref="S16" si="14">ROUND(R16*J16/I16,0)</f>
        <v>1210</v>
      </c>
      <c r="T16" s="1515">
        <f t="shared" ref="T16" si="15">ROUND(S16*K16/J16,0)</f>
        <v>1252</v>
      </c>
      <c r="U16" s="1515">
        <f t="shared" ref="U16:V16" si="16">ROUND(T16*L16/K16,0)</f>
        <v>1228</v>
      </c>
      <c r="V16" s="1515">
        <f t="shared" si="16"/>
        <v>1181</v>
      </c>
      <c r="W16" s="1517" t="s">
        <v>9724</v>
      </c>
      <c r="X16" s="1541">
        <v>0.37074651868914249</v>
      </c>
      <c r="Y16" s="789">
        <f>X16*付加価値率!P12/付加価値率!L12</f>
        <v>0.35268173303103162</v>
      </c>
      <c r="Z16" s="1529">
        <f>Y16*付加価値率!Q12/付加価値率!P12</f>
        <v>0.35826806962036384</v>
      </c>
      <c r="AA16" s="1529">
        <f>Z16*付加価値率!R12/付加価値率!Q12</f>
        <v>0.35185337674450895</v>
      </c>
      <c r="AB16" s="1529">
        <f>AA16*付加価値率!S12/付加価値率!R12</f>
        <v>0.36921960216122229</v>
      </c>
      <c r="AC16" s="1529">
        <f>AB16*付加価値率!T12/付加価値率!S12</f>
        <v>0.39853917900795893</v>
      </c>
      <c r="AD16" s="1529">
        <f>AC16*付加価値率!U12/付加価値率!T12</f>
        <v>0.3689807513697832</v>
      </c>
      <c r="AE16" s="1529">
        <f>AD16*付加価値率!V12/付加価値率!U12</f>
        <v>0.36033033961213867</v>
      </c>
      <c r="AF16" s="1515">
        <f t="shared" si="0"/>
        <v>488</v>
      </c>
      <c r="AG16" s="1505">
        <f t="shared" si="3"/>
        <v>440</v>
      </c>
      <c r="AH16" s="1505">
        <f t="shared" si="4"/>
        <v>407</v>
      </c>
      <c r="AI16" s="1505">
        <f t="shared" si="5"/>
        <v>423</v>
      </c>
      <c r="AJ16" s="1505">
        <f t="shared" si="6"/>
        <v>447</v>
      </c>
      <c r="AK16" s="1505">
        <f t="shared" si="7"/>
        <v>499</v>
      </c>
      <c r="AL16" s="1505">
        <f t="shared" si="8"/>
        <v>453</v>
      </c>
      <c r="AM16" s="1505">
        <f t="shared" si="8"/>
        <v>426</v>
      </c>
      <c r="AN16" s="1518">
        <f>ROUND(AK16/AH16*100,1)</f>
        <v>122.6</v>
      </c>
      <c r="AO16" s="187"/>
      <c r="AP16" s="529">
        <f>商業運輸マージン!G17</f>
        <v>0.72725141356399536</v>
      </c>
      <c r="AQ16" s="529">
        <f>商業運輸マージン!H17</f>
        <v>3.8644033001289747E-2</v>
      </c>
      <c r="AR16" s="197">
        <f t="shared" si="1"/>
        <v>958</v>
      </c>
      <c r="AS16" s="197">
        <f t="shared" si="2"/>
        <v>51</v>
      </c>
    </row>
    <row r="17" spans="1:45" ht="15.75" customHeight="1">
      <c r="A17" s="1514">
        <v>14</v>
      </c>
      <c r="B17" s="622" t="s">
        <v>9061</v>
      </c>
      <c r="C17" s="160">
        <f>SUM(CT作業分類比較!H110:H114)</f>
        <v>40606</v>
      </c>
      <c r="D17" s="1506">
        <f>SUM(CT作業分類比較!I110:I114)</f>
        <v>0</v>
      </c>
      <c r="E17" s="1505"/>
      <c r="F17" s="1505"/>
      <c r="G17" s="1505"/>
      <c r="H17" s="1505"/>
      <c r="I17" s="1505"/>
      <c r="J17" s="1505"/>
      <c r="K17" s="1505"/>
      <c r="L17" s="1505"/>
      <c r="M17" s="1505"/>
      <c r="N17" s="1505"/>
      <c r="O17" s="1505"/>
      <c r="P17" s="1505"/>
      <c r="Q17" s="1505"/>
      <c r="R17" s="1505"/>
      <c r="S17" s="1505"/>
      <c r="T17" s="1505"/>
      <c r="U17" s="1505"/>
      <c r="V17" s="1505"/>
      <c r="W17" s="1517"/>
      <c r="X17" s="1541">
        <v>0.41685957740235435</v>
      </c>
      <c r="Y17" s="789">
        <f>X17*付加価値率!P13/付加価値率!L13</f>
        <v>0.45423064908744409</v>
      </c>
      <c r="Z17" s="1529">
        <f>Y17*付加価値率!Q13/付加価値率!P13</f>
        <v>0.43598671548692947</v>
      </c>
      <c r="AA17" s="1529">
        <f>Z17*付加価値率!R13/付加価値率!Q13</f>
        <v>0.46046392662126295</v>
      </c>
      <c r="AB17" s="1529">
        <f>AA17*付加価値率!S13/付加価値率!R13</f>
        <v>0.43408529793087247</v>
      </c>
      <c r="AC17" s="1529">
        <f>AB17*付加価値率!T13/付加価値率!S13</f>
        <v>0.47955930301473143</v>
      </c>
      <c r="AD17" s="1529">
        <f>AC17*付加価値率!U13/付加価値率!T13</f>
        <v>0.45795369013623899</v>
      </c>
      <c r="AE17" s="1529">
        <f>AD17*付加価値率!V13/付加価値率!U13</f>
        <v>0.44893129082204297</v>
      </c>
      <c r="AF17" s="1515">
        <f t="shared" si="0"/>
        <v>0</v>
      </c>
      <c r="AG17" s="1505">
        <f t="shared" si="3"/>
        <v>0</v>
      </c>
      <c r="AH17" s="1505">
        <f t="shared" si="4"/>
        <v>0</v>
      </c>
      <c r="AI17" s="1505">
        <f t="shared" si="5"/>
        <v>0</v>
      </c>
      <c r="AJ17" s="1505">
        <f t="shared" si="6"/>
        <v>0</v>
      </c>
      <c r="AK17" s="1505">
        <f t="shared" si="7"/>
        <v>0</v>
      </c>
      <c r="AL17" s="1505">
        <f t="shared" si="8"/>
        <v>0</v>
      </c>
      <c r="AM17" s="1505">
        <f t="shared" si="8"/>
        <v>0</v>
      </c>
      <c r="AN17" s="1506" t="s">
        <v>9834</v>
      </c>
      <c r="AO17" s="187"/>
      <c r="AP17" s="529">
        <f>商業運輸マージン!G18</f>
        <v>0.1864861027932801</v>
      </c>
      <c r="AQ17" s="529">
        <f>商業運輸マージン!H18</f>
        <v>9.5663043141109919E-2</v>
      </c>
      <c r="AR17" s="197">
        <f t="shared" si="1"/>
        <v>0</v>
      </c>
      <c r="AS17" s="197">
        <f t="shared" si="2"/>
        <v>0</v>
      </c>
    </row>
    <row r="18" spans="1:45" ht="15.75" customHeight="1">
      <c r="A18" s="1514">
        <v>15</v>
      </c>
      <c r="B18" s="622" t="s">
        <v>9062</v>
      </c>
      <c r="C18" s="160">
        <f>SUM(CT作業分類比較!H115:H118)</f>
        <v>30877</v>
      </c>
      <c r="D18" s="1506">
        <f>SUM(CT作業分類比較!I115:I118)</f>
        <v>0</v>
      </c>
      <c r="E18" s="1505"/>
      <c r="F18" s="1505"/>
      <c r="G18" s="1505"/>
      <c r="H18" s="1505"/>
      <c r="I18" s="1505"/>
      <c r="J18" s="1505"/>
      <c r="K18" s="1505"/>
      <c r="L18" s="1505"/>
      <c r="M18" s="1505"/>
      <c r="N18" s="1505"/>
      <c r="O18" s="1505"/>
      <c r="P18" s="1505"/>
      <c r="Q18" s="1505"/>
      <c r="R18" s="1505"/>
      <c r="S18" s="1505"/>
      <c r="T18" s="1505"/>
      <c r="U18" s="1505"/>
      <c r="V18" s="1505"/>
      <c r="W18" s="1517"/>
      <c r="X18" s="1541">
        <v>0.38951322991223242</v>
      </c>
      <c r="Y18" s="789">
        <f>X18*付加価値率!P13/付加価値率!L13</f>
        <v>0.42443272709171281</v>
      </c>
      <c r="Z18" s="1529">
        <f>Y18*付加価値率!Q13/付加価値率!P13</f>
        <v>0.40738561125639211</v>
      </c>
      <c r="AA18" s="1529">
        <f>Z18*付加価値率!R13/付加価値率!Q13</f>
        <v>0.43025709624802866</v>
      </c>
      <c r="AB18" s="1529">
        <f>AA18*付加価値率!S13/付加価値率!R13</f>
        <v>0.40560892833048512</v>
      </c>
      <c r="AC18" s="1529">
        <f>AB18*付加価値率!T13/付加価値率!S13</f>
        <v>0.44809979949538775</v>
      </c>
      <c r="AD18" s="1529">
        <f>AC18*付加価値率!U13/付加価値率!T13</f>
        <v>0.42791153343952099</v>
      </c>
      <c r="AE18" s="1529">
        <f>AD18*付加価値率!V13/付加価値率!U13</f>
        <v>0.41948101129503795</v>
      </c>
      <c r="AF18" s="1515">
        <f t="shared" si="0"/>
        <v>0</v>
      </c>
      <c r="AG18" s="1505">
        <f t="shared" si="3"/>
        <v>0</v>
      </c>
      <c r="AH18" s="1505">
        <f t="shared" si="4"/>
        <v>0</v>
      </c>
      <c r="AI18" s="1505">
        <f t="shared" si="5"/>
        <v>0</v>
      </c>
      <c r="AJ18" s="1505">
        <f t="shared" si="6"/>
        <v>0</v>
      </c>
      <c r="AK18" s="1505">
        <f t="shared" si="7"/>
        <v>0</v>
      </c>
      <c r="AL18" s="1505">
        <f t="shared" si="8"/>
        <v>0</v>
      </c>
      <c r="AM18" s="1505">
        <f t="shared" si="8"/>
        <v>0</v>
      </c>
      <c r="AN18" s="1506" t="s">
        <v>9834</v>
      </c>
      <c r="AO18" s="187"/>
      <c r="AP18" s="529">
        <f>商業運輸マージン!G19</f>
        <v>0.48997932009255396</v>
      </c>
      <c r="AQ18" s="529">
        <f>商業運輸マージン!H19</f>
        <v>2.5880747880854524E-2</v>
      </c>
      <c r="AR18" s="197">
        <f t="shared" si="1"/>
        <v>0</v>
      </c>
      <c r="AS18" s="197">
        <f t="shared" si="2"/>
        <v>0</v>
      </c>
    </row>
    <row r="19" spans="1:45" ht="15.75" customHeight="1">
      <c r="A19" s="1514">
        <v>16</v>
      </c>
      <c r="B19" s="622" t="s">
        <v>9063</v>
      </c>
      <c r="C19" s="160">
        <f>SUM(CT作業分類比較!H119:H124)</f>
        <v>145623</v>
      </c>
      <c r="D19" s="1506">
        <f>SUM(CT作業分類比較!I119:I124)</f>
        <v>0</v>
      </c>
      <c r="E19" s="1505"/>
      <c r="F19" s="1505"/>
      <c r="G19" s="1505"/>
      <c r="H19" s="1505"/>
      <c r="I19" s="1505"/>
      <c r="J19" s="1505"/>
      <c r="K19" s="1505"/>
      <c r="L19" s="1505"/>
      <c r="M19" s="1505"/>
      <c r="N19" s="1505"/>
      <c r="O19" s="1505"/>
      <c r="P19" s="1505"/>
      <c r="Q19" s="1505"/>
      <c r="R19" s="1505"/>
      <c r="S19" s="1505"/>
      <c r="T19" s="1505"/>
      <c r="U19" s="1505"/>
      <c r="V19" s="1505"/>
      <c r="W19" s="1517"/>
      <c r="X19" s="1541">
        <v>0.20509122872073779</v>
      </c>
      <c r="Y19" s="789">
        <f>X19*付加価値率!P13/付加価値率!L13</f>
        <v>0.22347746577990954</v>
      </c>
      <c r="Z19" s="1529">
        <f>Y19*付加価値率!Q13/付加価値率!P13</f>
        <v>0.21450161165141574</v>
      </c>
      <c r="AA19" s="1529">
        <f>Z19*付加価値率!R13/付加価値率!Q13</f>
        <v>0.22654418324945771</v>
      </c>
      <c r="AB19" s="1529">
        <f>AA19*付加価値率!S13/付加価値率!R13</f>
        <v>0.21356613101471558</v>
      </c>
      <c r="AC19" s="1529">
        <f>AB19*付加価値率!T13/付加価値率!S13</f>
        <v>0.23593893970875673</v>
      </c>
      <c r="AD19" s="1529">
        <f>AC19*付加価値率!U13/付加価値率!T13</f>
        <v>0.22530916907921528</v>
      </c>
      <c r="AE19" s="1529">
        <f>AD19*付加価値率!V13/付加価値率!U13</f>
        <v>0.22087022833833464</v>
      </c>
      <c r="AF19" s="1515">
        <f t="shared" si="0"/>
        <v>0</v>
      </c>
      <c r="AG19" s="1505">
        <f t="shared" si="3"/>
        <v>0</v>
      </c>
      <c r="AH19" s="1505">
        <f t="shared" si="4"/>
        <v>0</v>
      </c>
      <c r="AI19" s="1505">
        <f t="shared" si="5"/>
        <v>0</v>
      </c>
      <c r="AJ19" s="1505">
        <f t="shared" si="6"/>
        <v>0</v>
      </c>
      <c r="AK19" s="1505">
        <f t="shared" si="7"/>
        <v>0</v>
      </c>
      <c r="AL19" s="1505">
        <f t="shared" si="8"/>
        <v>0</v>
      </c>
      <c r="AM19" s="1505">
        <f t="shared" si="8"/>
        <v>0</v>
      </c>
      <c r="AN19" s="1506" t="s">
        <v>9834</v>
      </c>
      <c r="AO19" s="187"/>
      <c r="AP19" s="529">
        <f>商業運輸マージン!G20</f>
        <v>0.22483810792760545</v>
      </c>
      <c r="AQ19" s="529">
        <f>商業運輸マージン!H20</f>
        <v>6.9898950918780484E-2</v>
      </c>
      <c r="AR19" s="197">
        <f t="shared" si="1"/>
        <v>0</v>
      </c>
      <c r="AS19" s="197">
        <f t="shared" si="2"/>
        <v>0</v>
      </c>
    </row>
    <row r="20" spans="1:45" ht="15.75" customHeight="1">
      <c r="A20" s="1514">
        <v>17</v>
      </c>
      <c r="B20" s="622" t="s">
        <v>9064</v>
      </c>
      <c r="C20" s="160">
        <f>SUM(CT作業分類比較!H125:H128)</f>
        <v>133140</v>
      </c>
      <c r="D20" s="1506">
        <f>SUM(CT作業分類比較!I125:I128)</f>
        <v>0</v>
      </c>
      <c r="E20" s="1505"/>
      <c r="F20" s="1505"/>
      <c r="G20" s="1505"/>
      <c r="H20" s="1505"/>
      <c r="I20" s="1505"/>
      <c r="J20" s="1505"/>
      <c r="K20" s="1505"/>
      <c r="L20" s="1505"/>
      <c r="M20" s="1505"/>
      <c r="N20" s="1505"/>
      <c r="O20" s="1505"/>
      <c r="P20" s="1505"/>
      <c r="Q20" s="1505"/>
      <c r="R20" s="1505"/>
      <c r="S20" s="1505"/>
      <c r="T20" s="1505"/>
      <c r="U20" s="1505"/>
      <c r="V20" s="1505"/>
      <c r="W20" s="1517"/>
      <c r="X20" s="1541">
        <v>0.41921285864503532</v>
      </c>
      <c r="Y20" s="789">
        <f>X20*付加価値率!P13/付加価値率!L13</f>
        <v>0.45679489979510279</v>
      </c>
      <c r="Z20" s="1529">
        <f>Y20*付加価値率!Q13/付加価値率!P13</f>
        <v>0.43844797442214922</v>
      </c>
      <c r="AA20" s="1529">
        <f>Z20*付加価値率!R13/付加価値率!Q13</f>
        <v>0.46306336580939789</v>
      </c>
      <c r="AB20" s="1529">
        <f>AA20*付加価値率!S13/付加価値率!R13</f>
        <v>0.43653582286713499</v>
      </c>
      <c r="AC20" s="1529">
        <f>AB20*付加価値率!T13/付加価値率!S13</f>
        <v>0.48226654059235929</v>
      </c>
      <c r="AD20" s="1529">
        <f>AC20*付加価値率!U13/付加価値率!T13</f>
        <v>0.46053895838347408</v>
      </c>
      <c r="AE20" s="1529">
        <f>AD20*付加価値率!V13/付加価値率!U13</f>
        <v>0.45146562526753514</v>
      </c>
      <c r="AF20" s="1515">
        <f t="shared" si="0"/>
        <v>0</v>
      </c>
      <c r="AG20" s="1505">
        <f t="shared" si="3"/>
        <v>0</v>
      </c>
      <c r="AH20" s="1505">
        <f t="shared" si="4"/>
        <v>0</v>
      </c>
      <c r="AI20" s="1505">
        <f t="shared" si="5"/>
        <v>0</v>
      </c>
      <c r="AJ20" s="1505">
        <f t="shared" si="6"/>
        <v>0</v>
      </c>
      <c r="AK20" s="1505">
        <f t="shared" si="7"/>
        <v>0</v>
      </c>
      <c r="AL20" s="1505">
        <f t="shared" si="8"/>
        <v>0</v>
      </c>
      <c r="AM20" s="1505">
        <f t="shared" si="8"/>
        <v>0</v>
      </c>
      <c r="AN20" s="1506" t="s">
        <v>9834</v>
      </c>
      <c r="AO20" s="187"/>
      <c r="AP20" s="529">
        <f>商業運輸マージン!G21</f>
        <v>0.19821598658091488</v>
      </c>
      <c r="AQ20" s="529">
        <f>商業運輸マージン!H21</f>
        <v>7.3441253571819923E-2</v>
      </c>
      <c r="AR20" s="197">
        <f t="shared" si="1"/>
        <v>0</v>
      </c>
      <c r="AS20" s="197">
        <f t="shared" si="2"/>
        <v>0</v>
      </c>
    </row>
    <row r="21" spans="1:45" ht="15.75" customHeight="1">
      <c r="A21" s="1514">
        <v>18</v>
      </c>
      <c r="B21" s="622" t="s">
        <v>231</v>
      </c>
      <c r="C21" s="160">
        <f>CT作業分類比較!H129</f>
        <v>122242</v>
      </c>
      <c r="D21" s="1506">
        <f>CT作業分類比較!I129</f>
        <v>0</v>
      </c>
      <c r="E21" s="1505"/>
      <c r="F21" s="1505"/>
      <c r="G21" s="1505"/>
      <c r="H21" s="1505"/>
      <c r="I21" s="1505"/>
      <c r="J21" s="1505"/>
      <c r="K21" s="1505"/>
      <c r="L21" s="1505"/>
      <c r="M21" s="1505"/>
      <c r="N21" s="1505"/>
      <c r="O21" s="1505"/>
      <c r="P21" s="1505"/>
      <c r="Q21" s="1505"/>
      <c r="R21" s="1505"/>
      <c r="S21" s="1505"/>
      <c r="T21" s="1505"/>
      <c r="U21" s="1505"/>
      <c r="V21" s="1505"/>
      <c r="W21" s="1517"/>
      <c r="X21" s="1541">
        <v>0.51518299766037856</v>
      </c>
      <c r="Y21" s="789">
        <f>X21*付加価値率!P24/付加価値率!L24</f>
        <v>0.5818847150942168</v>
      </c>
      <c r="Z21" s="1529">
        <f>Y21*付加価値率!Q24/付加価値率!P24</f>
        <v>0.70631266597729736</v>
      </c>
      <c r="AA21" s="1529">
        <f>Z21*付加価値率!R24/付加価値率!Q24</f>
        <v>0.49322878976329892</v>
      </c>
      <c r="AB21" s="1529">
        <f>AA21*付加価値率!S24/付加価値率!R24</f>
        <v>0.57506123745280235</v>
      </c>
      <c r="AC21" s="1529">
        <f>AB21*付加価値率!T24/付加価値率!S24</f>
        <v>0.68233663859201665</v>
      </c>
      <c r="AD21" s="1529">
        <f>AC21*付加価値率!U24/付加価値率!T24</f>
        <v>0.65904767608492398</v>
      </c>
      <c r="AE21" s="1529">
        <f>AD21*付加価値率!V24/付加価値率!U24</f>
        <v>0.60588731109884464</v>
      </c>
      <c r="AF21" s="1515">
        <f t="shared" si="0"/>
        <v>0</v>
      </c>
      <c r="AG21" s="1505">
        <f t="shared" si="3"/>
        <v>0</v>
      </c>
      <c r="AH21" s="1505">
        <f t="shared" si="4"/>
        <v>0</v>
      </c>
      <c r="AI21" s="1505">
        <f t="shared" si="5"/>
        <v>0</v>
      </c>
      <c r="AJ21" s="1505">
        <f t="shared" si="6"/>
        <v>0</v>
      </c>
      <c r="AK21" s="1505">
        <f t="shared" si="7"/>
        <v>0</v>
      </c>
      <c r="AL21" s="1505">
        <f t="shared" si="8"/>
        <v>0</v>
      </c>
      <c r="AM21" s="1505">
        <f t="shared" si="8"/>
        <v>0</v>
      </c>
      <c r="AN21" s="1506" t="s">
        <v>9834</v>
      </c>
      <c r="AO21" s="187"/>
      <c r="AP21" s="529">
        <f>商業運輸マージン!G22</f>
        <v>5.6087586044587502E-2</v>
      </c>
      <c r="AQ21" s="529">
        <f>商業運輸マージン!H22</f>
        <v>3.5329260787641446E-2</v>
      </c>
      <c r="AR21" s="197">
        <f t="shared" si="1"/>
        <v>0</v>
      </c>
      <c r="AS21" s="197">
        <f t="shared" si="2"/>
        <v>0</v>
      </c>
    </row>
    <row r="22" spans="1:45" ht="15.75" customHeight="1">
      <c r="A22" s="1514">
        <v>19</v>
      </c>
      <c r="B22" s="622" t="s">
        <v>234</v>
      </c>
      <c r="C22" s="160">
        <f>CT作業分類比較!H130</f>
        <v>16691</v>
      </c>
      <c r="D22" s="1506">
        <f>CT作業分類比較!I130</f>
        <v>0</v>
      </c>
      <c r="E22" s="1505"/>
      <c r="F22" s="1505"/>
      <c r="G22" s="1505"/>
      <c r="H22" s="1505"/>
      <c r="I22" s="1505"/>
      <c r="J22" s="1505"/>
      <c r="K22" s="1505"/>
      <c r="L22" s="1505"/>
      <c r="M22" s="1505"/>
      <c r="N22" s="1505"/>
      <c r="O22" s="1505"/>
      <c r="P22" s="1505"/>
      <c r="Q22" s="1505"/>
      <c r="R22" s="1505"/>
      <c r="S22" s="1505"/>
      <c r="T22" s="1505"/>
      <c r="U22" s="1505"/>
      <c r="V22" s="1505"/>
      <c r="W22" s="1517"/>
      <c r="X22" s="1541">
        <v>0.26960637469294829</v>
      </c>
      <c r="Y22" s="789">
        <f>X22*付加価値率!P14/付加価値率!L14</f>
        <v>0.2832854854303325</v>
      </c>
      <c r="Z22" s="1529">
        <f>Y22*付加価値率!Q14/付加価値率!P14</f>
        <v>0.23936342804415611</v>
      </c>
      <c r="AA22" s="1529">
        <f>Z22*付加価値率!R14/付加価値率!Q14</f>
        <v>0.28769773886794514</v>
      </c>
      <c r="AB22" s="1529">
        <f>AA22*付加価値率!S14/付加価値率!R14</f>
        <v>0.25357588851782437</v>
      </c>
      <c r="AC22" s="1529">
        <f>AB22*付加価値率!T14/付加価値率!S14</f>
        <v>0.31675293528608461</v>
      </c>
      <c r="AD22" s="1529">
        <f>AC22*付加価値率!U14/付加価値率!T14</f>
        <v>0.29441753643485619</v>
      </c>
      <c r="AE22" s="1529">
        <f>AD22*付加価値率!V14/付加価値率!U14</f>
        <v>0.27967743553363072</v>
      </c>
      <c r="AF22" s="1515">
        <f t="shared" si="0"/>
        <v>0</v>
      </c>
      <c r="AG22" s="1505">
        <f t="shared" si="3"/>
        <v>0</v>
      </c>
      <c r="AH22" s="1505">
        <f t="shared" si="4"/>
        <v>0</v>
      </c>
      <c r="AI22" s="1505">
        <f t="shared" si="5"/>
        <v>0</v>
      </c>
      <c r="AJ22" s="1505">
        <f t="shared" si="6"/>
        <v>0</v>
      </c>
      <c r="AK22" s="1505">
        <f t="shared" si="7"/>
        <v>0</v>
      </c>
      <c r="AL22" s="1505">
        <f t="shared" si="8"/>
        <v>0</v>
      </c>
      <c r="AM22" s="1505">
        <f t="shared" si="8"/>
        <v>0</v>
      </c>
      <c r="AN22" s="1506" t="s">
        <v>9834</v>
      </c>
      <c r="AO22" s="187"/>
      <c r="AP22" s="529">
        <f>商業運輸マージン!G23</f>
        <v>0.2938983405077244</v>
      </c>
      <c r="AQ22" s="529">
        <f>商業運輸マージン!H23</f>
        <v>5.046737477962765E-2</v>
      </c>
      <c r="AR22" s="197">
        <f t="shared" si="1"/>
        <v>0</v>
      </c>
      <c r="AS22" s="197">
        <f t="shared" si="2"/>
        <v>0</v>
      </c>
    </row>
    <row r="23" spans="1:45" ht="15.75" customHeight="1">
      <c r="A23" s="1514">
        <v>20</v>
      </c>
      <c r="B23" s="622" t="s">
        <v>9065</v>
      </c>
      <c r="C23" s="160">
        <f>SUM(CT作業分類比較!H131:H141)</f>
        <v>109782</v>
      </c>
      <c r="D23" s="1506">
        <f>SUM(CT作業分類比較!I131:I141)</f>
        <v>0</v>
      </c>
      <c r="E23" s="1505"/>
      <c r="F23" s="1505"/>
      <c r="G23" s="1505"/>
      <c r="H23" s="1505"/>
      <c r="I23" s="1505"/>
      <c r="J23" s="1505"/>
      <c r="K23" s="1505"/>
      <c r="L23" s="1505"/>
      <c r="M23" s="1505"/>
      <c r="N23" s="1505"/>
      <c r="O23" s="1505"/>
      <c r="P23" s="1505"/>
      <c r="Q23" s="1505"/>
      <c r="R23" s="1505"/>
      <c r="S23" s="1505"/>
      <c r="T23" s="1505"/>
      <c r="U23" s="1505"/>
      <c r="V23" s="1505"/>
      <c r="W23" s="1517"/>
      <c r="X23" s="1541">
        <v>0.34370844036362974</v>
      </c>
      <c r="Y23" s="789">
        <f>X23*付加価値率!P14/付加価値率!L14</f>
        <v>0.36114729292215075</v>
      </c>
      <c r="Z23" s="1529">
        <f>Y23*付加価値率!Q14/付加価値率!P14</f>
        <v>0.30515313529528587</v>
      </c>
      <c r="AA23" s="1529">
        <f>Z23*付加価値率!R14/付加価値率!Q14</f>
        <v>0.366772266549937</v>
      </c>
      <c r="AB23" s="1529">
        <f>AA23*付加価値率!S14/付加価値率!R14</f>
        <v>0.3232719302558934</v>
      </c>
      <c r="AC23" s="1529">
        <f>AB23*付加価値率!T14/付加価値率!S14</f>
        <v>0.40381336491681047</v>
      </c>
      <c r="AD23" s="1529">
        <f>AC23*付加価値率!U14/付加価値率!T14</f>
        <v>0.37533901926085766</v>
      </c>
      <c r="AE23" s="1529">
        <f>AD23*付加価値率!V14/付加価値率!U14</f>
        <v>0.35654756042635238</v>
      </c>
      <c r="AF23" s="1515">
        <f t="shared" si="0"/>
        <v>0</v>
      </c>
      <c r="AG23" s="1505">
        <f t="shared" si="3"/>
        <v>0</v>
      </c>
      <c r="AH23" s="1505">
        <f t="shared" si="4"/>
        <v>0</v>
      </c>
      <c r="AI23" s="1505">
        <f t="shared" si="5"/>
        <v>0</v>
      </c>
      <c r="AJ23" s="1505">
        <f t="shared" si="6"/>
        <v>0</v>
      </c>
      <c r="AK23" s="1505">
        <f t="shared" si="7"/>
        <v>0</v>
      </c>
      <c r="AL23" s="1505">
        <f t="shared" si="8"/>
        <v>0</v>
      </c>
      <c r="AM23" s="1505">
        <f t="shared" si="8"/>
        <v>0</v>
      </c>
      <c r="AN23" s="1506" t="s">
        <v>9834</v>
      </c>
      <c r="AO23" s="187"/>
      <c r="AP23" s="529">
        <f>商業運輸マージン!G24</f>
        <v>0.15085763293310464</v>
      </c>
      <c r="AQ23" s="529">
        <f>商業運輸マージン!H24</f>
        <v>5.0407275918465035E-2</v>
      </c>
      <c r="AR23" s="197">
        <f t="shared" si="1"/>
        <v>0</v>
      </c>
      <c r="AS23" s="197">
        <f t="shared" si="2"/>
        <v>0</v>
      </c>
    </row>
    <row r="24" spans="1:45" ht="15.75" customHeight="1">
      <c r="A24" s="1514">
        <v>21</v>
      </c>
      <c r="B24" s="622" t="s">
        <v>9066</v>
      </c>
      <c r="C24" s="160">
        <f>SUM(CT作業分類比較!H142:H148)</f>
        <v>6306</v>
      </c>
      <c r="D24" s="1506">
        <f>SUM(CT作業分類比較!I142:I148)</f>
        <v>0</v>
      </c>
      <c r="E24" s="1505"/>
      <c r="F24" s="1505"/>
      <c r="G24" s="1505"/>
      <c r="H24" s="1505"/>
      <c r="I24" s="1505"/>
      <c r="J24" s="1505"/>
      <c r="K24" s="1505"/>
      <c r="L24" s="1505"/>
      <c r="M24" s="1505"/>
      <c r="N24" s="1505"/>
      <c r="O24" s="1505"/>
      <c r="P24" s="1505"/>
      <c r="Q24" s="1505"/>
      <c r="R24" s="1505"/>
      <c r="S24" s="1505"/>
      <c r="T24" s="1505"/>
      <c r="U24" s="1505"/>
      <c r="V24" s="1505"/>
      <c r="W24" s="1517"/>
      <c r="X24" s="1541">
        <v>0.11956866476371709</v>
      </c>
      <c r="Y24" s="789">
        <f>X24*付加価値率!P14/付加価値率!L14</f>
        <v>0.12563526095561653</v>
      </c>
      <c r="Z24" s="1529">
        <f>Y24*付加価値率!Q14/付加価値率!P14</f>
        <v>0.10615611562264146</v>
      </c>
      <c r="AA24" s="1529">
        <f>Z24*付加価値率!R14/付加価値率!Q14</f>
        <v>0.12759206651236685</v>
      </c>
      <c r="AB24" s="1529">
        <f>AA24*付加価値率!S14/付加価値率!R14</f>
        <v>0.11245924893608412</v>
      </c>
      <c r="AC24" s="1529">
        <f>AB24*付加価値率!T14/付加価値率!S14</f>
        <v>0.14047785619045244</v>
      </c>
      <c r="AD24" s="1529">
        <f>AC24*付加価値率!U14/付加価値率!T14</f>
        <v>0.13057225280608151</v>
      </c>
      <c r="AE24" s="1529">
        <f>AD24*付加価値率!V14/付加価値率!U14</f>
        <v>0.12403511441219438</v>
      </c>
      <c r="AF24" s="1515">
        <f t="shared" si="0"/>
        <v>0</v>
      </c>
      <c r="AG24" s="1505">
        <f t="shared" si="3"/>
        <v>0</v>
      </c>
      <c r="AH24" s="1505">
        <f t="shared" si="4"/>
        <v>0</v>
      </c>
      <c r="AI24" s="1505">
        <f t="shared" si="5"/>
        <v>0</v>
      </c>
      <c r="AJ24" s="1505">
        <f t="shared" si="6"/>
        <v>0</v>
      </c>
      <c r="AK24" s="1505">
        <f t="shared" si="7"/>
        <v>0</v>
      </c>
      <c r="AL24" s="1505">
        <f t="shared" si="8"/>
        <v>0</v>
      </c>
      <c r="AM24" s="1505">
        <f t="shared" si="8"/>
        <v>0</v>
      </c>
      <c r="AN24" s="1506" t="s">
        <v>9835</v>
      </c>
      <c r="AO24" s="187"/>
      <c r="AP24" s="529">
        <f>商業運輸マージン!G25</f>
        <v>2.2118639751084856E-2</v>
      </c>
      <c r="AQ24" s="529">
        <f>商業運輸マージン!H25</f>
        <v>5.0157890065324673E-2</v>
      </c>
      <c r="AR24" s="197">
        <f t="shared" si="1"/>
        <v>0</v>
      </c>
      <c r="AS24" s="197">
        <f t="shared" si="2"/>
        <v>0</v>
      </c>
    </row>
    <row r="25" spans="1:45" ht="15.75" customHeight="1">
      <c r="A25" s="1514">
        <v>22</v>
      </c>
      <c r="B25" s="622" t="s">
        <v>9067</v>
      </c>
      <c r="C25" s="160">
        <f>SUM(CT作業分類比較!H149:H165)</f>
        <v>268862</v>
      </c>
      <c r="D25" s="1506">
        <f>SUM(CT作業分類比較!I149:I165)</f>
        <v>0</v>
      </c>
      <c r="E25" s="1505"/>
      <c r="F25" s="1505"/>
      <c r="G25" s="1505"/>
      <c r="H25" s="1505"/>
      <c r="I25" s="1505"/>
      <c r="J25" s="1505"/>
      <c r="K25" s="1505"/>
      <c r="L25" s="1505"/>
      <c r="M25" s="1505"/>
      <c r="N25" s="1505"/>
      <c r="O25" s="1505"/>
      <c r="P25" s="1505"/>
      <c r="Q25" s="1505"/>
      <c r="R25" s="1505"/>
      <c r="S25" s="1505"/>
      <c r="T25" s="1505"/>
      <c r="U25" s="1505"/>
      <c r="V25" s="1505"/>
      <c r="W25" s="1517"/>
      <c r="X25" s="1541">
        <v>0.23052346556969747</v>
      </c>
      <c r="Y25" s="789">
        <f>X25*付加価値率!P14/付加価値率!L14</f>
        <v>0.24221961339515147</v>
      </c>
      <c r="Z25" s="1529">
        <f>Y25*付加価値率!Q14/付加価値率!P14</f>
        <v>0.20466462273462338</v>
      </c>
      <c r="AA25" s="1529">
        <f>Z25*付加価値率!R14/付加価値率!Q14</f>
        <v>0.24599225398856725</v>
      </c>
      <c r="AB25" s="1529">
        <f>AA25*付加価値率!S14/付加価値率!R14</f>
        <v>0.21681680439721837</v>
      </c>
      <c r="AC25" s="1529">
        <f>AB25*付加価値率!T14/付加価値率!S14</f>
        <v>0.27083552625446206</v>
      </c>
      <c r="AD25" s="1529">
        <f>AC25*付加価値率!U14/付加価値率!T14</f>
        <v>0.2517379305320665</v>
      </c>
      <c r="AE25" s="1529">
        <f>AD25*付加価値率!V14/付加価値率!U14</f>
        <v>0.23913459670337867</v>
      </c>
      <c r="AF25" s="1515">
        <f t="shared" si="0"/>
        <v>0</v>
      </c>
      <c r="AG25" s="1505">
        <f t="shared" si="3"/>
        <v>0</v>
      </c>
      <c r="AH25" s="1505">
        <f t="shared" si="4"/>
        <v>0</v>
      </c>
      <c r="AI25" s="1505">
        <f t="shared" si="5"/>
        <v>0</v>
      </c>
      <c r="AJ25" s="1505">
        <f t="shared" si="6"/>
        <v>0</v>
      </c>
      <c r="AK25" s="1505">
        <f t="shared" si="7"/>
        <v>0</v>
      </c>
      <c r="AL25" s="1505">
        <f t="shared" si="8"/>
        <v>0</v>
      </c>
      <c r="AM25" s="1505">
        <f t="shared" si="8"/>
        <v>0</v>
      </c>
      <c r="AN25" s="1506" t="s">
        <v>9834</v>
      </c>
      <c r="AO25" s="187"/>
      <c r="AP25" s="529">
        <f>商業運輸マージン!G26</f>
        <v>0.1002321386097631</v>
      </c>
      <c r="AQ25" s="529">
        <f>商業運輸マージン!H26</f>
        <v>3.1103793605145043E-2</v>
      </c>
      <c r="AR25" s="197">
        <f t="shared" si="1"/>
        <v>0</v>
      </c>
      <c r="AS25" s="197">
        <f t="shared" si="2"/>
        <v>0</v>
      </c>
    </row>
    <row r="26" spans="1:45" ht="15.75" customHeight="1">
      <c r="A26" s="1514">
        <v>23</v>
      </c>
      <c r="B26" s="622" t="s">
        <v>9068</v>
      </c>
      <c r="C26" s="160">
        <f>SUM(CT作業分類比較!H166:H173)</f>
        <v>97707</v>
      </c>
      <c r="D26" s="1506">
        <f>SUM(CT作業分類比較!I166:I173)</f>
        <v>0</v>
      </c>
      <c r="E26" s="1505"/>
      <c r="F26" s="1505"/>
      <c r="G26" s="1505"/>
      <c r="H26" s="1505"/>
      <c r="I26" s="1505"/>
      <c r="J26" s="1505"/>
      <c r="K26" s="1505"/>
      <c r="L26" s="1505"/>
      <c r="M26" s="1505"/>
      <c r="N26" s="1505"/>
      <c r="O26" s="1505"/>
      <c r="P26" s="1505"/>
      <c r="Q26" s="1505"/>
      <c r="R26" s="1505"/>
      <c r="S26" s="1505"/>
      <c r="T26" s="1505"/>
      <c r="U26" s="1505"/>
      <c r="V26" s="1505"/>
      <c r="W26" s="1517"/>
      <c r="X26" s="1541">
        <v>0.25204949491848078</v>
      </c>
      <c r="Y26" s="789">
        <f>X26*付加価値率!P14/付加価値率!L14</f>
        <v>0.26483781624885855</v>
      </c>
      <c r="Z26" s="1529">
        <f>Y26*付加価値率!Q14/付加価値率!P14</f>
        <v>0.22377598159241024</v>
      </c>
      <c r="AA26" s="1529">
        <f>Z26*付加価値率!R14/付加価値率!Q14</f>
        <v>0.26896274189896291</v>
      </c>
      <c r="AB26" s="1529">
        <f>AA26*付加価値率!S14/付加価値率!R14</f>
        <v>0.23706292070138615</v>
      </c>
      <c r="AC26" s="1529">
        <f>AB26*付加価値率!T14/付加価値率!S14</f>
        <v>0.29612585178569972</v>
      </c>
      <c r="AD26" s="1529">
        <f>AC26*付加価値率!U14/付加価値率!T14</f>
        <v>0.27524494344046319</v>
      </c>
      <c r="AE26" s="1529">
        <f>AD26*付加価値率!V14/付加価値率!U14</f>
        <v>0.26146472406904597</v>
      </c>
      <c r="AF26" s="1515">
        <f t="shared" si="0"/>
        <v>0</v>
      </c>
      <c r="AG26" s="1505">
        <f t="shared" si="3"/>
        <v>0</v>
      </c>
      <c r="AH26" s="1505">
        <f t="shared" si="4"/>
        <v>0</v>
      </c>
      <c r="AI26" s="1505">
        <f t="shared" si="5"/>
        <v>0</v>
      </c>
      <c r="AJ26" s="1505">
        <f t="shared" si="6"/>
        <v>0</v>
      </c>
      <c r="AK26" s="1505">
        <f t="shared" si="7"/>
        <v>0</v>
      </c>
      <c r="AL26" s="1505">
        <f t="shared" si="8"/>
        <v>0</v>
      </c>
      <c r="AM26" s="1505">
        <f t="shared" si="8"/>
        <v>0</v>
      </c>
      <c r="AN26" s="1506" t="s">
        <v>9834</v>
      </c>
      <c r="AO26" s="187"/>
      <c r="AP26" s="529">
        <f>商業運輸マージン!G27</f>
        <v>0.16405923287196172</v>
      </c>
      <c r="AQ26" s="529">
        <f>商業運輸マージン!H27</f>
        <v>3.5358612723248438E-2</v>
      </c>
      <c r="AR26" s="197">
        <f t="shared" si="1"/>
        <v>0</v>
      </c>
      <c r="AS26" s="197">
        <f t="shared" si="2"/>
        <v>0</v>
      </c>
    </row>
    <row r="27" spans="1:45" ht="15.75" customHeight="1">
      <c r="A27" s="1514">
        <v>24</v>
      </c>
      <c r="B27" s="622" t="s">
        <v>9069</v>
      </c>
      <c r="C27" s="160">
        <f>SUM(CT作業分類比較!H174:H175)</f>
        <v>80519</v>
      </c>
      <c r="D27" s="1506">
        <f>SUM(CT作業分類比較!I174:I175)</f>
        <v>0</v>
      </c>
      <c r="E27" s="1505"/>
      <c r="F27" s="1505"/>
      <c r="G27" s="1505"/>
      <c r="H27" s="1505"/>
      <c r="I27" s="1505"/>
      <c r="J27" s="1505"/>
      <c r="K27" s="1505"/>
      <c r="L27" s="1505"/>
      <c r="M27" s="1505"/>
      <c r="N27" s="1505"/>
      <c r="O27" s="1505"/>
      <c r="P27" s="1505"/>
      <c r="Q27" s="1505"/>
      <c r="R27" s="1505"/>
      <c r="S27" s="1505"/>
      <c r="T27" s="1505"/>
      <c r="U27" s="1505"/>
      <c r="V27" s="1505"/>
      <c r="W27" s="1517"/>
      <c r="X27" s="1541">
        <v>0.30538133856605271</v>
      </c>
      <c r="Y27" s="789">
        <f>X27*付加価値率!P14/付加価値率!L14</f>
        <v>0.32087557586712978</v>
      </c>
      <c r="Z27" s="1529">
        <f>Y27*付加価値率!Q14/付加価値率!P14</f>
        <v>0.27112535504078095</v>
      </c>
      <c r="AA27" s="1529">
        <f>Z27*付加価値率!R14/付加価値率!Q14</f>
        <v>0.32587330584441754</v>
      </c>
      <c r="AB27" s="1529">
        <f>AA27*付加価値率!S14/付加価値率!R14</f>
        <v>0.2872237140232381</v>
      </c>
      <c r="AC27" s="1529">
        <f>AB27*付加価値率!T14/付加価値率!S14</f>
        <v>0.35878393262234992</v>
      </c>
      <c r="AD27" s="1529">
        <f>AC27*付加価値率!U14/付加価値率!T14</f>
        <v>0.33348477563333967</v>
      </c>
      <c r="AE27" s="1529">
        <f>AD27*付加価値率!V14/付加価値率!U14</f>
        <v>0.31678876186533633</v>
      </c>
      <c r="AF27" s="1515">
        <f t="shared" si="0"/>
        <v>0</v>
      </c>
      <c r="AG27" s="1505">
        <f t="shared" si="3"/>
        <v>0</v>
      </c>
      <c r="AH27" s="1505">
        <f t="shared" si="4"/>
        <v>0</v>
      </c>
      <c r="AI27" s="1505">
        <f t="shared" si="5"/>
        <v>0</v>
      </c>
      <c r="AJ27" s="1505">
        <f t="shared" si="6"/>
        <v>0</v>
      </c>
      <c r="AK27" s="1505">
        <f t="shared" si="7"/>
        <v>0</v>
      </c>
      <c r="AL27" s="1505">
        <f t="shared" si="8"/>
        <v>0</v>
      </c>
      <c r="AM27" s="1505">
        <f t="shared" si="8"/>
        <v>0</v>
      </c>
      <c r="AN27" s="1506" t="s">
        <v>9834</v>
      </c>
      <c r="AO27" s="187"/>
      <c r="AP27" s="529">
        <f>商業運輸マージン!G28</f>
        <v>0.19868168322784127</v>
      </c>
      <c r="AQ27" s="529">
        <f>商業運輸マージン!H28</f>
        <v>4.0237025709643506E-2</v>
      </c>
      <c r="AR27" s="197">
        <f t="shared" si="1"/>
        <v>0</v>
      </c>
      <c r="AS27" s="197">
        <f t="shared" si="2"/>
        <v>0</v>
      </c>
    </row>
    <row r="28" spans="1:45" ht="15.75" customHeight="1">
      <c r="A28" s="1514">
        <v>25</v>
      </c>
      <c r="B28" s="622" t="s">
        <v>301</v>
      </c>
      <c r="C28" s="160">
        <f>CT作業分類比較!H176</f>
        <v>284882</v>
      </c>
      <c r="D28" s="1506">
        <f>CT作業分類比較!I176</f>
        <v>2504.0500000000002</v>
      </c>
      <c r="E28" s="1515">
        <v>2048349</v>
      </c>
      <c r="F28" s="1515">
        <v>2261874</v>
      </c>
      <c r="G28" s="1516">
        <v>2203410</v>
      </c>
      <c r="H28" s="1515">
        <f>QE産出!K17</f>
        <v>2098359.6192413261</v>
      </c>
      <c r="I28" s="1515">
        <f>QE産出!K18</f>
        <v>2326317.98395479</v>
      </c>
      <c r="J28" s="1515">
        <f>QE産出!K19</f>
        <v>2401963.9563175966</v>
      </c>
      <c r="K28" s="1515">
        <f>QE産出!K20</f>
        <v>2647367.9483824703</v>
      </c>
      <c r="L28" s="1516">
        <f>QE産出!K21</f>
        <v>2667890.48946667</v>
      </c>
      <c r="M28" s="1516">
        <f>QE産出!K22</f>
        <v>2564004.5739684133</v>
      </c>
      <c r="N28" s="1505" t="s">
        <v>9817</v>
      </c>
      <c r="O28" s="1515">
        <f>ROUND(D28*F28/E28,0)</f>
        <v>2765</v>
      </c>
      <c r="P28" s="1515">
        <f>ROUND(D28*G28/E28,0)</f>
        <v>2694</v>
      </c>
      <c r="Q28" s="1516">
        <f>CT作業分類比較!L176</f>
        <v>4430</v>
      </c>
      <c r="R28" s="1515">
        <f>ROUND(Q28*I28/H28,0)</f>
        <v>4911</v>
      </c>
      <c r="S28" s="1515">
        <f t="shared" ref="S28" si="17">ROUND(R28*J28/I28,0)</f>
        <v>5071</v>
      </c>
      <c r="T28" s="1515">
        <f t="shared" ref="T28" si="18">ROUND(S28*K28/J28,0)</f>
        <v>5589</v>
      </c>
      <c r="U28" s="1515">
        <f t="shared" ref="U28:V28" si="19">ROUND(T28*L28/K28,0)</f>
        <v>5632</v>
      </c>
      <c r="V28" s="1515">
        <f t="shared" si="19"/>
        <v>5413</v>
      </c>
      <c r="W28" s="1517" t="s">
        <v>9725</v>
      </c>
      <c r="X28" s="1541">
        <v>0.51076235072766973</v>
      </c>
      <c r="Y28" s="789">
        <f>X28*付加価値率!P14/付加価値率!L14</f>
        <v>0.53667707460631542</v>
      </c>
      <c r="Z28" s="1529">
        <f>Y28*付加価値率!Q14/付加価値率!P14</f>
        <v>0.45346786523614163</v>
      </c>
      <c r="AA28" s="1529">
        <f>Z28*付加価値率!R14/付加価値率!Q14</f>
        <v>0.54503597539405801</v>
      </c>
      <c r="AB28" s="1529">
        <f>AA28*付加価値率!S14/付加価値率!R14</f>
        <v>0.48039300648854094</v>
      </c>
      <c r="AC28" s="1529">
        <f>AB28*付加価値率!T14/付加価値率!S14</f>
        <v>0.60008029858665513</v>
      </c>
      <c r="AD28" s="1529">
        <f>AC28*付加価値率!U14/付加価値率!T14</f>
        <v>0.557766459254458</v>
      </c>
      <c r="AE28" s="1529">
        <f>AD28*付加価値率!V14/付加価値率!U14</f>
        <v>0.52984171676701752</v>
      </c>
      <c r="AF28" s="1515">
        <f t="shared" si="0"/>
        <v>1279</v>
      </c>
      <c r="AG28" s="1505">
        <f t="shared" si="3"/>
        <v>1484</v>
      </c>
      <c r="AH28" s="1505">
        <f t="shared" si="4"/>
        <v>1222</v>
      </c>
      <c r="AI28" s="1505">
        <f t="shared" si="5"/>
        <v>2677</v>
      </c>
      <c r="AJ28" s="1505">
        <f t="shared" si="6"/>
        <v>2436</v>
      </c>
      <c r="AK28" s="1505">
        <f t="shared" si="7"/>
        <v>3354</v>
      </c>
      <c r="AL28" s="1505">
        <f t="shared" si="8"/>
        <v>3141</v>
      </c>
      <c r="AM28" s="1505">
        <f t="shared" si="8"/>
        <v>2868</v>
      </c>
      <c r="AN28" s="1518">
        <f>ROUND(AK28/AH28*100,1)</f>
        <v>274.5</v>
      </c>
      <c r="AO28" s="187"/>
      <c r="AP28" s="529">
        <f>商業運輸マージン!G29</f>
        <v>0.31326711173478916</v>
      </c>
      <c r="AQ28" s="529">
        <f>商業運輸マージン!H29</f>
        <v>3.489813017618966E-2</v>
      </c>
      <c r="AR28" s="197">
        <f t="shared" si="1"/>
        <v>784</v>
      </c>
      <c r="AS28" s="197">
        <f t="shared" si="2"/>
        <v>87</v>
      </c>
    </row>
    <row r="29" spans="1:45" ht="15.75" customHeight="1">
      <c r="A29" s="1514">
        <v>26</v>
      </c>
      <c r="B29" s="622" t="s">
        <v>9070</v>
      </c>
      <c r="C29" s="160">
        <f>SUM(CT作業分類比較!H177:H187)</f>
        <v>605816</v>
      </c>
      <c r="D29" s="1506">
        <f>SUM(CT作業分類比較!I177:I187)</f>
        <v>0</v>
      </c>
      <c r="E29" s="1505"/>
      <c r="F29" s="1505"/>
      <c r="G29" s="1505"/>
      <c r="H29" s="1505"/>
      <c r="I29" s="1505"/>
      <c r="J29" s="1505"/>
      <c r="K29" s="1505"/>
      <c r="L29" s="1505"/>
      <c r="M29" s="1505"/>
      <c r="N29" s="1505"/>
      <c r="O29" s="1505"/>
      <c r="P29" s="1505"/>
      <c r="Q29" s="1505"/>
      <c r="R29" s="1505"/>
      <c r="S29" s="1505"/>
      <c r="T29" s="1505"/>
      <c r="U29" s="1505"/>
      <c r="V29" s="1505"/>
      <c r="W29" s="1517"/>
      <c r="X29" s="1541">
        <v>0.30649074966656542</v>
      </c>
      <c r="Y29" s="789">
        <f>X29*付加価値率!P14/付加価値率!L14</f>
        <v>0.32204127553765305</v>
      </c>
      <c r="Z29" s="1529">
        <f>Y29*付加価値率!Q14/付加価値率!P14</f>
        <v>0.27211031856188239</v>
      </c>
      <c r="AA29" s="1529">
        <f>Z29*付加価値率!R14/付加価値率!Q14</f>
        <v>0.3270571616247418</v>
      </c>
      <c r="AB29" s="1529">
        <f>AA29*付加価値率!S14/付加価値率!R14</f>
        <v>0.28826716081066828</v>
      </c>
      <c r="AC29" s="1529">
        <f>AB29*付加価値率!T14/付加価値率!S14</f>
        <v>0.3600873484741694</v>
      </c>
      <c r="AD29" s="1529">
        <f>AC29*付加価値率!U14/付加価値率!T14</f>
        <v>0.33469628290381287</v>
      </c>
      <c r="AE29" s="1529">
        <f>AD29*付加価値率!V14/付加価値率!U14</f>
        <v>0.31793961466656301</v>
      </c>
      <c r="AF29" s="1515">
        <f t="shared" si="0"/>
        <v>0</v>
      </c>
      <c r="AG29" s="1505">
        <f t="shared" si="3"/>
        <v>0</v>
      </c>
      <c r="AH29" s="1505">
        <f t="shared" si="4"/>
        <v>0</v>
      </c>
      <c r="AI29" s="1505">
        <f t="shared" si="5"/>
        <v>0</v>
      </c>
      <c r="AJ29" s="1505">
        <f t="shared" si="6"/>
        <v>0</v>
      </c>
      <c r="AK29" s="1505">
        <f t="shared" si="7"/>
        <v>0</v>
      </c>
      <c r="AL29" s="1505">
        <f t="shared" si="8"/>
        <v>0</v>
      </c>
      <c r="AM29" s="1505">
        <f t="shared" si="8"/>
        <v>0</v>
      </c>
      <c r="AN29" s="1506" t="s">
        <v>9834</v>
      </c>
      <c r="AO29" s="187"/>
      <c r="AP29" s="529">
        <f>商業運輸マージン!G30</f>
        <v>0.35773233116888642</v>
      </c>
      <c r="AQ29" s="529">
        <f>商業運輸マージン!H30</f>
        <v>1.8891569588093907E-2</v>
      </c>
      <c r="AR29" s="197">
        <f t="shared" si="1"/>
        <v>0</v>
      </c>
      <c r="AS29" s="197">
        <f t="shared" si="2"/>
        <v>0</v>
      </c>
    </row>
    <row r="30" spans="1:45" ht="15.75" customHeight="1">
      <c r="A30" s="1514">
        <v>27</v>
      </c>
      <c r="B30" s="622" t="s">
        <v>6441</v>
      </c>
      <c r="C30" s="160">
        <f>SUM(CT作業分類比較!H188:H196)</f>
        <v>36284</v>
      </c>
      <c r="D30" s="1506">
        <f>SUM(CT作業分類比較!I188:I196)</f>
        <v>0</v>
      </c>
      <c r="E30" s="1505"/>
      <c r="F30" s="1505"/>
      <c r="G30" s="1505"/>
      <c r="H30" s="1505"/>
      <c r="I30" s="1505"/>
      <c r="J30" s="1505"/>
      <c r="K30" s="1505"/>
      <c r="L30" s="1505"/>
      <c r="M30" s="1505"/>
      <c r="N30" s="1505"/>
      <c r="O30" s="1505"/>
      <c r="P30" s="1505"/>
      <c r="Q30" s="1505"/>
      <c r="R30" s="1505"/>
      <c r="S30" s="1505"/>
      <c r="T30" s="1505"/>
      <c r="U30" s="1505"/>
      <c r="V30" s="1505"/>
      <c r="W30" s="1517"/>
      <c r="X30" s="1541">
        <v>0.30740822401058315</v>
      </c>
      <c r="Y30" s="789">
        <f>X30*付加価値率!P15/付加価値率!L15</f>
        <v>0.28803876405677259</v>
      </c>
      <c r="Z30" s="1529">
        <f>Y30*付加価値率!Q15/付加価値率!P15</f>
        <v>0.33351367432270973</v>
      </c>
      <c r="AA30" s="1529">
        <f>Z30*付加価値率!R15/付加価値率!Q15</f>
        <v>0.39883680003818234</v>
      </c>
      <c r="AB30" s="1529">
        <f>AA30*付加価値率!S15/付加価値率!R15</f>
        <v>0.34593447121550397</v>
      </c>
      <c r="AC30" s="1529">
        <f>AB30*付加価値率!T15/付加価値率!S15</f>
        <v>0.37492197104906444</v>
      </c>
      <c r="AD30" s="1529">
        <f>AC30*付加価値率!U15/付加価値率!T15</f>
        <v>0.45054110097077887</v>
      </c>
      <c r="AE30" s="1529">
        <f>AD30*付加価値率!V15/付加価値率!U15</f>
        <v>0.48633943846610295</v>
      </c>
      <c r="AF30" s="1515">
        <f t="shared" si="0"/>
        <v>0</v>
      </c>
      <c r="AG30" s="1505">
        <f t="shared" si="3"/>
        <v>0</v>
      </c>
      <c r="AH30" s="1505">
        <f t="shared" si="4"/>
        <v>0</v>
      </c>
      <c r="AI30" s="1505">
        <f t="shared" si="5"/>
        <v>0</v>
      </c>
      <c r="AJ30" s="1505">
        <f t="shared" si="6"/>
        <v>0</v>
      </c>
      <c r="AK30" s="1505">
        <f t="shared" si="7"/>
        <v>0</v>
      </c>
      <c r="AL30" s="1505">
        <f t="shared" si="8"/>
        <v>0</v>
      </c>
      <c r="AM30" s="1505">
        <f t="shared" si="8"/>
        <v>0</v>
      </c>
      <c r="AN30" s="1506" t="s">
        <v>9834</v>
      </c>
      <c r="AO30" s="187"/>
      <c r="AP30" s="529">
        <f>商業運輸マージン!G31</f>
        <v>0.23897286876043519</v>
      </c>
      <c r="AQ30" s="529">
        <f>商業運輸マージン!H31</f>
        <v>2.2491691206717554E-2</v>
      </c>
      <c r="AR30" s="197">
        <f t="shared" si="1"/>
        <v>0</v>
      </c>
      <c r="AS30" s="197">
        <f t="shared" si="2"/>
        <v>0</v>
      </c>
    </row>
    <row r="31" spans="1:45" ht="15.75" customHeight="1">
      <c r="A31" s="1514">
        <v>28</v>
      </c>
      <c r="B31" s="622" t="s">
        <v>6454</v>
      </c>
      <c r="C31" s="160">
        <f>SUM(CT作業分類比較!H197:H199)</f>
        <v>78828</v>
      </c>
      <c r="D31" s="1506">
        <f>SUM(CT作業分類比較!I197:I199)</f>
        <v>0</v>
      </c>
      <c r="E31" s="1505"/>
      <c r="F31" s="1505"/>
      <c r="G31" s="1505"/>
      <c r="H31" s="1505"/>
      <c r="I31" s="1505"/>
      <c r="J31" s="1505"/>
      <c r="K31" s="1505"/>
      <c r="L31" s="1505"/>
      <c r="M31" s="1505"/>
      <c r="N31" s="1505"/>
      <c r="O31" s="1505"/>
      <c r="P31" s="1505"/>
      <c r="Q31" s="1505"/>
      <c r="R31" s="1505"/>
      <c r="S31" s="1505"/>
      <c r="T31" s="1505"/>
      <c r="U31" s="1505"/>
      <c r="V31" s="1505"/>
      <c r="W31" s="1517"/>
      <c r="X31" s="1541">
        <v>0.1080199928959253</v>
      </c>
      <c r="Y31" s="789">
        <f>X31*付加価値率!Q15/付加価値率!P15</f>
        <v>0.12507394568576985</v>
      </c>
      <c r="Z31" s="789">
        <f>Y31*付加価値率!Q15/付加価値率!P15</f>
        <v>0.14482033806907429</v>
      </c>
      <c r="AA31" s="789">
        <f>Z31*付加価値率!R15/付加価値率!Q15</f>
        <v>0.1731853433992297</v>
      </c>
      <c r="AB31" s="789">
        <f>AA31*付加価値率!S15/付加価値率!R15</f>
        <v>0.15021377211268486</v>
      </c>
      <c r="AC31" s="789">
        <f>AB31*付加価値率!T15/付加価値率!S15</f>
        <v>0.16280090076400208</v>
      </c>
      <c r="AD31" s="789">
        <f>AC31*付加価値率!U15/付加価値率!T15</f>
        <v>0.1956366997218448</v>
      </c>
      <c r="AE31" s="789">
        <f>AD31*付加価値率!V15/付加価値率!U15</f>
        <v>0.21118127176648988</v>
      </c>
      <c r="AF31" s="1515">
        <f t="shared" si="0"/>
        <v>0</v>
      </c>
      <c r="AG31" s="1505">
        <f t="shared" si="3"/>
        <v>0</v>
      </c>
      <c r="AH31" s="1505">
        <f t="shared" si="4"/>
        <v>0</v>
      </c>
      <c r="AI31" s="1505">
        <f t="shared" si="5"/>
        <v>0</v>
      </c>
      <c r="AJ31" s="1505">
        <f t="shared" si="6"/>
        <v>0</v>
      </c>
      <c r="AK31" s="1505">
        <f t="shared" si="7"/>
        <v>0</v>
      </c>
      <c r="AL31" s="1505">
        <f t="shared" si="8"/>
        <v>0</v>
      </c>
      <c r="AM31" s="1505">
        <f t="shared" si="8"/>
        <v>0</v>
      </c>
      <c r="AN31" s="1506" t="s">
        <v>9834</v>
      </c>
      <c r="AO31" s="187"/>
      <c r="AP31" s="529">
        <f>商業運輸マージン!G32</f>
        <v>5.4778637529102267E-2</v>
      </c>
      <c r="AQ31" s="529">
        <f>商業運輸マージン!H32</f>
        <v>4.8769570524269952E-2</v>
      </c>
      <c r="AR31" s="197">
        <f t="shared" si="1"/>
        <v>0</v>
      </c>
      <c r="AS31" s="197">
        <f t="shared" si="2"/>
        <v>0</v>
      </c>
    </row>
    <row r="32" spans="1:45" ht="15.75" customHeight="1">
      <c r="A32" s="1514">
        <v>29</v>
      </c>
      <c r="B32" s="622" t="s">
        <v>6460</v>
      </c>
      <c r="C32" s="160">
        <f>SUM(CT作業分類比較!H200:H207)</f>
        <v>436677</v>
      </c>
      <c r="D32" s="1506">
        <f>SUM(CT作業分類比較!I200:I207)</f>
        <v>0</v>
      </c>
      <c r="E32" s="1505"/>
      <c r="F32" s="1505"/>
      <c r="G32" s="1505"/>
      <c r="H32" s="1505"/>
      <c r="I32" s="1505"/>
      <c r="J32" s="1505"/>
      <c r="K32" s="1505"/>
      <c r="L32" s="1505"/>
      <c r="M32" s="1505"/>
      <c r="N32" s="1505"/>
      <c r="O32" s="1505"/>
      <c r="P32" s="1505"/>
      <c r="Q32" s="1505"/>
      <c r="R32" s="1505"/>
      <c r="S32" s="1505"/>
      <c r="T32" s="1505"/>
      <c r="U32" s="1505"/>
      <c r="V32" s="1505"/>
      <c r="W32" s="1517"/>
      <c r="X32" s="1541">
        <v>0.33889579712235818</v>
      </c>
      <c r="Y32" s="789">
        <f>X32*付加価値率!P25/付加価値率!L25</f>
        <v>0.30939128229890206</v>
      </c>
      <c r="Z32" s="1529">
        <f>Y32*付加価値率!Q25/付加価値率!P25</f>
        <v>0.32325614751865722</v>
      </c>
      <c r="AA32" s="1529">
        <f>Z32*付加価値率!R25/付加価値率!Q25</f>
        <v>0.36669880923717407</v>
      </c>
      <c r="AB32" s="1529">
        <f>AA32*付加価値率!S25/付加価値率!R25</f>
        <v>0.3614957928043005</v>
      </c>
      <c r="AC32" s="1529">
        <f>AB32*付加価値率!T25/付加価値率!S25</f>
        <v>0.33651647259537354</v>
      </c>
      <c r="AD32" s="1529">
        <f>AC32*付加価値率!U25/付加価値率!T25</f>
        <v>0.33430857550461235</v>
      </c>
      <c r="AE32" s="1529">
        <f>AD32*付加価値率!V25/付加価値率!U25</f>
        <v>0.35678338462896997</v>
      </c>
      <c r="AF32" s="1515">
        <f t="shared" si="0"/>
        <v>0</v>
      </c>
      <c r="AG32" s="1505">
        <f t="shared" si="3"/>
        <v>0</v>
      </c>
      <c r="AH32" s="1505">
        <f t="shared" si="4"/>
        <v>0</v>
      </c>
      <c r="AI32" s="1505">
        <f t="shared" si="5"/>
        <v>0</v>
      </c>
      <c r="AJ32" s="1505">
        <f t="shared" si="6"/>
        <v>0</v>
      </c>
      <c r="AK32" s="1505">
        <f t="shared" si="7"/>
        <v>0</v>
      </c>
      <c r="AL32" s="1505">
        <f t="shared" si="8"/>
        <v>0</v>
      </c>
      <c r="AM32" s="1505">
        <f t="shared" si="8"/>
        <v>0</v>
      </c>
      <c r="AN32" s="1506" t="s">
        <v>9834</v>
      </c>
      <c r="AO32" s="187"/>
      <c r="AP32" s="529">
        <f>商業運輸マージン!G33</f>
        <v>0.18574549447420308</v>
      </c>
      <c r="AQ32" s="529">
        <f>商業運輸マージン!H33</f>
        <v>3.3367191508043778E-2</v>
      </c>
      <c r="AR32" s="197">
        <f t="shared" si="1"/>
        <v>0</v>
      </c>
      <c r="AS32" s="197">
        <f t="shared" si="2"/>
        <v>0</v>
      </c>
    </row>
    <row r="33" spans="1:45" ht="15.75" customHeight="1">
      <c r="A33" s="1514">
        <v>30</v>
      </c>
      <c r="B33" s="622" t="s">
        <v>9071</v>
      </c>
      <c r="C33" s="160">
        <f>SUM(CT作業分類比較!H208:H210)</f>
        <v>123791</v>
      </c>
      <c r="D33" s="1506">
        <f>SUM(CT作業分類比較!I208:I210)</f>
        <v>26.201999999999998</v>
      </c>
      <c r="E33" s="1515">
        <v>971155</v>
      </c>
      <c r="F33" s="1515">
        <v>1008198</v>
      </c>
      <c r="G33" s="1516">
        <v>896627</v>
      </c>
      <c r="H33" s="1515">
        <f>QE産出!V17</f>
        <v>929398.78102371283</v>
      </c>
      <c r="I33" s="1515">
        <f>QE産出!V18</f>
        <v>1010614.7333913199</v>
      </c>
      <c r="J33" s="1515">
        <f>QE産出!V19</f>
        <v>1105873.9464013102</v>
      </c>
      <c r="K33" s="1515">
        <f>QE産出!V20</f>
        <v>1068366.7206865575</v>
      </c>
      <c r="L33" s="1516">
        <f>QE産出!V21</f>
        <v>1045015.1820327051</v>
      </c>
      <c r="M33" s="1516">
        <f>QE産出!V22</f>
        <v>1095423.9380575977</v>
      </c>
      <c r="N33" s="1517" t="s">
        <v>9726</v>
      </c>
      <c r="O33" s="1515">
        <f>ROUND(D33*F33/E33,0)</f>
        <v>27</v>
      </c>
      <c r="P33" s="1515">
        <f>ROUND(D33*G33/E33,0)</f>
        <v>24</v>
      </c>
      <c r="Q33" s="1516">
        <f>CT作業分類比較!L209</f>
        <v>17</v>
      </c>
      <c r="R33" s="1515">
        <f>ROUND(Q33*I33/H33,0)</f>
        <v>18</v>
      </c>
      <c r="S33" s="1515">
        <f t="shared" ref="S33:S34" si="20">ROUND(R33*J33/I33,0)</f>
        <v>20</v>
      </c>
      <c r="T33" s="1515">
        <f t="shared" ref="T33:T34" si="21">ROUND(S33*K33/J33,0)</f>
        <v>19</v>
      </c>
      <c r="U33" s="1515">
        <f t="shared" ref="U33:V34" si="22">ROUND(T33*L33/K33,0)</f>
        <v>19</v>
      </c>
      <c r="V33" s="1515">
        <f t="shared" si="22"/>
        <v>20</v>
      </c>
      <c r="W33" s="1517" t="s">
        <v>9726</v>
      </c>
      <c r="X33" s="1541">
        <v>0.47950174083737912</v>
      </c>
      <c r="Y33" s="789">
        <f>X33*付加価値率!P25/付加価値率!L25</f>
        <v>0.43775597018888229</v>
      </c>
      <c r="Z33" s="1529">
        <f>Y33*付加価値率!Q25/付加価値率!P25</f>
        <v>0.45737328933476679</v>
      </c>
      <c r="AA33" s="1529">
        <f>Z33*付加価値率!R25/付加価値率!Q25</f>
        <v>0.5188400649558208</v>
      </c>
      <c r="AB33" s="1529">
        <f>AA33*付加価値率!S25/付加価値率!R25</f>
        <v>0.51147834652097224</v>
      </c>
      <c r="AC33" s="1529">
        <f>AB33*付加価値率!T25/付加価値率!S25</f>
        <v>0.47613524806174201</v>
      </c>
      <c r="AD33" s="1529">
        <f>AC33*付加価値率!U25/付加価値率!T25</f>
        <v>0.47301130699313221</v>
      </c>
      <c r="AE33" s="1529">
        <f>AD33*付加価値率!V25/付加価値率!U25</f>
        <v>0.50481078692656545</v>
      </c>
      <c r="AF33" s="1515">
        <f t="shared" si="0"/>
        <v>13</v>
      </c>
      <c r="AG33" s="1505">
        <f t="shared" si="3"/>
        <v>12</v>
      </c>
      <c r="AH33" s="1505">
        <f t="shared" si="4"/>
        <v>11</v>
      </c>
      <c r="AI33" s="1505">
        <f t="shared" si="5"/>
        <v>9</v>
      </c>
      <c r="AJ33" s="1505">
        <f t="shared" si="6"/>
        <v>10</v>
      </c>
      <c r="AK33" s="1505">
        <f t="shared" si="7"/>
        <v>9</v>
      </c>
      <c r="AL33" s="1505">
        <f t="shared" si="8"/>
        <v>9</v>
      </c>
      <c r="AM33" s="1505">
        <f t="shared" si="8"/>
        <v>10</v>
      </c>
      <c r="AN33" s="1518">
        <f>ROUND(AK33/AH33*100,1)</f>
        <v>81.8</v>
      </c>
      <c r="AO33" s="187"/>
      <c r="AP33" s="529">
        <f>商業運輸マージン!G34</f>
        <v>0.25052720808543544</v>
      </c>
      <c r="AQ33" s="529">
        <f>商業運輸マージン!H34</f>
        <v>3.4530156933738836E-2</v>
      </c>
      <c r="AR33" s="197">
        <f t="shared" si="1"/>
        <v>7</v>
      </c>
      <c r="AS33" s="197">
        <f t="shared" si="2"/>
        <v>1</v>
      </c>
    </row>
    <row r="34" spans="1:45" ht="15.75" customHeight="1">
      <c r="A34" s="1514">
        <v>31</v>
      </c>
      <c r="B34" s="622" t="s">
        <v>9072</v>
      </c>
      <c r="C34" s="160">
        <f>SUM(CT作業分類比較!H211:H213)</f>
        <v>49714</v>
      </c>
      <c r="D34" s="1506">
        <f>SUM(CT作業分類比較!I211:I213)</f>
        <v>1811.2640000000001</v>
      </c>
      <c r="E34" s="1515">
        <f t="shared" ref="E34:J34" si="23">E33</f>
        <v>971155</v>
      </c>
      <c r="F34" s="1515">
        <f t="shared" si="23"/>
        <v>1008198</v>
      </c>
      <c r="G34" s="1516">
        <f t="shared" si="23"/>
        <v>896627</v>
      </c>
      <c r="H34" s="1515">
        <f t="shared" si="23"/>
        <v>929398.78102371283</v>
      </c>
      <c r="I34" s="1515">
        <f t="shared" si="23"/>
        <v>1010614.7333913199</v>
      </c>
      <c r="J34" s="1515">
        <f t="shared" si="23"/>
        <v>1105873.9464013102</v>
      </c>
      <c r="K34" s="1515">
        <f>K33</f>
        <v>1068366.7206865575</v>
      </c>
      <c r="L34" s="1516">
        <f>L33</f>
        <v>1045015.1820327051</v>
      </c>
      <c r="M34" s="1516">
        <f>M33</f>
        <v>1095423.9380575977</v>
      </c>
      <c r="N34" s="1517" t="s">
        <v>9726</v>
      </c>
      <c r="O34" s="1515">
        <f>ROUND(D34*F34/E34,0)</f>
        <v>1880</v>
      </c>
      <c r="P34" s="1515">
        <f>ROUND(D34*G34/E34,0)</f>
        <v>1672</v>
      </c>
      <c r="Q34" s="1516">
        <f>CT作業分類比較!L211+CT作業分類比較!L213</f>
        <v>1386</v>
      </c>
      <c r="R34" s="1515">
        <f>ROUND(Q34*I34/H34,0)</f>
        <v>1507</v>
      </c>
      <c r="S34" s="1515">
        <f t="shared" si="20"/>
        <v>1649</v>
      </c>
      <c r="T34" s="1515">
        <f t="shared" si="21"/>
        <v>1593</v>
      </c>
      <c r="U34" s="1515">
        <f t="shared" si="22"/>
        <v>1558</v>
      </c>
      <c r="V34" s="1515">
        <f t="shared" si="22"/>
        <v>1633</v>
      </c>
      <c r="W34" s="1517" t="s">
        <v>9726</v>
      </c>
      <c r="X34" s="1541">
        <v>0.38154242265760147</v>
      </c>
      <c r="Y34" s="789">
        <f>X34*付加価値率!P25/付加価値率!L25</f>
        <v>0.348325061567065</v>
      </c>
      <c r="Z34" s="1529">
        <f>Y34*付加価値率!Q25/付加価値率!P25</f>
        <v>0.36393468054341521</v>
      </c>
      <c r="AA34" s="1529">
        <f>Z34*付加価値率!R25/付加価値率!Q25</f>
        <v>0.41284416404696278</v>
      </c>
      <c r="AB34" s="1529">
        <f>AA34*付加価値率!S25/付加価値率!R25</f>
        <v>0.40698640035740852</v>
      </c>
      <c r="AC34" s="1529">
        <f>AB34*付加価値率!T25/付加価値率!S25</f>
        <v>0.3788636840836126</v>
      </c>
      <c r="AD34" s="1529">
        <f>AC34*付加価値率!U25/付加価値率!T25</f>
        <v>0.37637794536350816</v>
      </c>
      <c r="AE34" s="1529">
        <f>AD34*付加価値率!V25/付加価値率!U25</f>
        <v>0.4016809830372936</v>
      </c>
      <c r="AF34" s="1515">
        <f t="shared" si="0"/>
        <v>691</v>
      </c>
      <c r="AG34" s="1505">
        <f t="shared" si="3"/>
        <v>655</v>
      </c>
      <c r="AH34" s="1505">
        <f t="shared" si="4"/>
        <v>608</v>
      </c>
      <c r="AI34" s="1505">
        <f t="shared" si="5"/>
        <v>622</v>
      </c>
      <c r="AJ34" s="1505">
        <f t="shared" si="6"/>
        <v>671</v>
      </c>
      <c r="AK34" s="1505">
        <f t="shared" si="7"/>
        <v>604</v>
      </c>
      <c r="AL34" s="1505">
        <f t="shared" si="8"/>
        <v>586</v>
      </c>
      <c r="AM34" s="1505">
        <f t="shared" si="8"/>
        <v>656</v>
      </c>
      <c r="AN34" s="1518">
        <f>ROUND(AK34/AH34*100,1)</f>
        <v>99.3</v>
      </c>
      <c r="AO34" s="187"/>
      <c r="AP34" s="529">
        <f>商業運輸マージン!G35</f>
        <v>0.72575413673328304</v>
      </c>
      <c r="AQ34" s="529">
        <f>商業運輸マージン!H35</f>
        <v>3.0568602985744115E-2</v>
      </c>
      <c r="AR34" s="197">
        <f t="shared" si="1"/>
        <v>1315</v>
      </c>
      <c r="AS34" s="197">
        <f t="shared" si="2"/>
        <v>55</v>
      </c>
    </row>
    <row r="35" spans="1:45" ht="15.75" customHeight="1">
      <c r="A35" s="1514">
        <v>32</v>
      </c>
      <c r="B35" s="622" t="s">
        <v>9073</v>
      </c>
      <c r="C35" s="160">
        <f>SUM(CT作業分類比較!H214:H218)</f>
        <v>93733</v>
      </c>
      <c r="D35" s="1506">
        <f>SUM(CT作業分類比較!I214:I218)</f>
        <v>0</v>
      </c>
      <c r="E35" s="1505"/>
      <c r="F35" s="1505"/>
      <c r="G35" s="1505"/>
      <c r="H35" s="1505"/>
      <c r="I35" s="1505"/>
      <c r="J35" s="1505"/>
      <c r="K35" s="1505"/>
      <c r="L35" s="1505"/>
      <c r="M35" s="1505"/>
      <c r="N35" s="1505"/>
      <c r="O35" s="1505"/>
      <c r="P35" s="1505"/>
      <c r="Q35" s="1505"/>
      <c r="R35" s="1505"/>
      <c r="S35" s="1505"/>
      <c r="T35" s="1505"/>
      <c r="U35" s="1505"/>
      <c r="V35" s="1505"/>
      <c r="W35" s="1517"/>
      <c r="X35" s="1541">
        <v>0.47990568956504115</v>
      </c>
      <c r="Y35" s="789">
        <f>X35*付加価値率!P16/付加価値率!L16</f>
        <v>0.42941478382450743</v>
      </c>
      <c r="Z35" s="1529">
        <f>Y35*付加価値率!Q16/付加価値率!P16</f>
        <v>0.55896918546288499</v>
      </c>
      <c r="AA35" s="1529">
        <f>Z35*付加価値率!R16/付加価値率!Q16</f>
        <v>0.52348443339085404</v>
      </c>
      <c r="AB35" s="1529">
        <f>AA35*付加価値率!S16/付加価値率!R16</f>
        <v>0.56205572935932535</v>
      </c>
      <c r="AC35" s="1529">
        <f>AB35*付加価値率!T16/付加価値率!S16</f>
        <v>0.47771257304194248</v>
      </c>
      <c r="AD35" s="1529">
        <f>AC35*付加価値率!U16/付加価値率!T16</f>
        <v>0.53061308419121944</v>
      </c>
      <c r="AE35" s="1529">
        <f>AD35*付加価値率!V16/付加価値率!U16</f>
        <v>0.5766193385492252</v>
      </c>
      <c r="AF35" s="1515">
        <f t="shared" si="0"/>
        <v>0</v>
      </c>
      <c r="AG35" s="1505">
        <f t="shared" si="3"/>
        <v>0</v>
      </c>
      <c r="AH35" s="1505">
        <f t="shared" si="4"/>
        <v>0</v>
      </c>
      <c r="AI35" s="1505">
        <f t="shared" si="5"/>
        <v>0</v>
      </c>
      <c r="AJ35" s="1505">
        <f t="shared" si="6"/>
        <v>0</v>
      </c>
      <c r="AK35" s="1505">
        <f t="shared" si="7"/>
        <v>0</v>
      </c>
      <c r="AL35" s="1505">
        <f t="shared" si="8"/>
        <v>0</v>
      </c>
      <c r="AM35" s="1505">
        <f t="shared" si="8"/>
        <v>0</v>
      </c>
      <c r="AN35" s="1506" t="s">
        <v>9834</v>
      </c>
      <c r="AO35" s="187"/>
      <c r="AP35" s="529">
        <f>商業運輸マージン!G36</f>
        <v>0.17709717500474573</v>
      </c>
      <c r="AQ35" s="529">
        <f>商業運輸マージン!H36</f>
        <v>5.9867514403555956E-2</v>
      </c>
      <c r="AR35" s="197">
        <f t="shared" si="1"/>
        <v>0</v>
      </c>
      <c r="AS35" s="197">
        <f t="shared" si="2"/>
        <v>0</v>
      </c>
    </row>
    <row r="36" spans="1:45" ht="15.75" customHeight="1">
      <c r="A36" s="1514">
        <v>33</v>
      </c>
      <c r="B36" s="622" t="s">
        <v>9074</v>
      </c>
      <c r="C36" s="160">
        <f>SUM(CT作業分類比較!H219:H221)</f>
        <v>98857</v>
      </c>
      <c r="D36" s="1506">
        <f>SUM(CT作業分類比較!I219:I221)</f>
        <v>0</v>
      </c>
      <c r="E36" s="1505"/>
      <c r="F36" s="1505"/>
      <c r="G36" s="1505"/>
      <c r="H36" s="1505"/>
      <c r="I36" s="1505"/>
      <c r="J36" s="1505"/>
      <c r="K36" s="1505"/>
      <c r="L36" s="1505"/>
      <c r="M36" s="1505"/>
      <c r="N36" s="1505"/>
      <c r="O36" s="1505"/>
      <c r="P36" s="1505"/>
      <c r="Q36" s="1505"/>
      <c r="R36" s="1505"/>
      <c r="S36" s="1505"/>
      <c r="T36" s="1505"/>
      <c r="U36" s="1505"/>
      <c r="V36" s="1505"/>
      <c r="W36" s="1517"/>
      <c r="X36" s="1541">
        <v>0.44409601747979405</v>
      </c>
      <c r="Y36" s="789">
        <f>X36*付加価値率!Q16/付加価値率!P16</f>
        <v>0.57807974599086076</v>
      </c>
      <c r="Z36" s="1529">
        <f>Y36*付加価値率!Q16/付加価値率!P16</f>
        <v>0.75248635333700731</v>
      </c>
      <c r="AA36" s="1529">
        <f>Z36*付加価値率!R16/付加価値率!Q16</f>
        <v>0.7047166508557543</v>
      </c>
      <c r="AB36" s="1529">
        <f>AA36*付加価値率!S16/付加価値率!R16</f>
        <v>0.75664146997214654</v>
      </c>
      <c r="AC36" s="1529">
        <f>AB36*付加価値率!T16/付加価値率!S16</f>
        <v>0.64309840574465571</v>
      </c>
      <c r="AD36" s="1529">
        <f>AC36*付加価値率!U16/付加価値率!T16</f>
        <v>0.71431326652704186</v>
      </c>
      <c r="AE36" s="1529">
        <f>AD36*付加価値率!V16/付加価値率!U16</f>
        <v>0.77624705370688862</v>
      </c>
      <c r="AF36" s="1515">
        <f t="shared" ref="AF36:AF67" si="24">ROUND(D36*X36,0)</f>
        <v>0</v>
      </c>
      <c r="AG36" s="1505">
        <f t="shared" si="3"/>
        <v>0</v>
      </c>
      <c r="AH36" s="1505">
        <f t="shared" si="4"/>
        <v>0</v>
      </c>
      <c r="AI36" s="1505">
        <f t="shared" si="5"/>
        <v>0</v>
      </c>
      <c r="AJ36" s="1505">
        <f t="shared" si="6"/>
        <v>0</v>
      </c>
      <c r="AK36" s="1505">
        <f t="shared" si="7"/>
        <v>0</v>
      </c>
      <c r="AL36" s="1505">
        <f t="shared" si="8"/>
        <v>0</v>
      </c>
      <c r="AM36" s="1505">
        <f t="shared" si="8"/>
        <v>0</v>
      </c>
      <c r="AN36" s="1506" t="s">
        <v>9834</v>
      </c>
      <c r="AO36" s="187"/>
      <c r="AP36" s="529">
        <f>商業運輸マージン!G37</f>
        <v>0.20282901299555395</v>
      </c>
      <c r="AQ36" s="529">
        <f>商業運輸マージン!H37</f>
        <v>6.0278866957912972E-2</v>
      </c>
      <c r="AR36" s="197">
        <f t="shared" ref="AR36:AR67" si="25">ROUND(D36*AP36,0)</f>
        <v>0</v>
      </c>
      <c r="AS36" s="197">
        <f t="shared" ref="AS36:AS67" si="26">ROUND(D36*AQ36,0)</f>
        <v>0</v>
      </c>
    </row>
    <row r="37" spans="1:45" ht="15.75" customHeight="1">
      <c r="A37" s="1514">
        <v>34</v>
      </c>
      <c r="B37" s="622" t="s">
        <v>6506</v>
      </c>
      <c r="C37" s="160">
        <f>SUM(CT作業分類比較!H222:H224)</f>
        <v>5491</v>
      </c>
      <c r="D37" s="1506">
        <f>SUM(CT作業分類比較!I222:I224)</f>
        <v>0</v>
      </c>
      <c r="E37" s="1505"/>
      <c r="F37" s="1505"/>
      <c r="G37" s="1505"/>
      <c r="H37" s="1505"/>
      <c r="I37" s="1505"/>
      <c r="J37" s="1505"/>
      <c r="K37" s="1505"/>
      <c r="L37" s="1505"/>
      <c r="M37" s="1505"/>
      <c r="N37" s="1505"/>
      <c r="O37" s="1505"/>
      <c r="P37" s="1505"/>
      <c r="Q37" s="1505"/>
      <c r="R37" s="1505"/>
      <c r="S37" s="1505"/>
      <c r="T37" s="1505"/>
      <c r="U37" s="1505"/>
      <c r="V37" s="1505"/>
      <c r="W37" s="1517"/>
      <c r="X37" s="1541">
        <v>0.45875068293571297</v>
      </c>
      <c r="Y37" s="789">
        <f>X37*付加価値率!P16/付加価値率!L16</f>
        <v>0.41048549668316842</v>
      </c>
      <c r="Z37" s="1529">
        <f>Y37*付加価値率!Q16/付加価値率!P16</f>
        <v>0.53432893409438187</v>
      </c>
      <c r="AA37" s="1529">
        <f>Z37*付加価値率!R16/付加価値率!Q16</f>
        <v>0.50040840637235651</v>
      </c>
      <c r="AB37" s="1529">
        <f>AA37*付加価値率!S16/付加価値率!R16</f>
        <v>0.53727941822322478</v>
      </c>
      <c r="AC37" s="1529">
        <f>AB37*付加価値率!T16/付加価値率!S16</f>
        <v>0.4566542424795873</v>
      </c>
      <c r="AD37" s="1529">
        <f>AC37*付加価値率!U16/付加価値率!T16</f>
        <v>0.50722281489925247</v>
      </c>
      <c r="AE37" s="1529">
        <f>AD37*付加価値率!V16/付加価値率!U16</f>
        <v>0.55120104034012607</v>
      </c>
      <c r="AF37" s="1515">
        <f t="shared" si="24"/>
        <v>0</v>
      </c>
      <c r="AG37" s="1505">
        <f t="shared" si="3"/>
        <v>0</v>
      </c>
      <c r="AH37" s="1505">
        <f t="shared" si="4"/>
        <v>0</v>
      </c>
      <c r="AI37" s="1505">
        <f t="shared" si="5"/>
        <v>0</v>
      </c>
      <c r="AJ37" s="1505">
        <f t="shared" si="6"/>
        <v>0</v>
      </c>
      <c r="AK37" s="1505">
        <f t="shared" si="7"/>
        <v>0</v>
      </c>
      <c r="AL37" s="1505">
        <f t="shared" si="8"/>
        <v>0</v>
      </c>
      <c r="AM37" s="1505">
        <f t="shared" si="8"/>
        <v>0</v>
      </c>
      <c r="AN37" s="1506" t="s">
        <v>9834</v>
      </c>
      <c r="AO37" s="187"/>
      <c r="AP37" s="529">
        <f>商業運輸マージン!G38</f>
        <v>0.21077162092180218</v>
      </c>
      <c r="AQ37" s="529">
        <f>商業運輸マージン!H38</f>
        <v>3.7612152897524238E-2</v>
      </c>
      <c r="AR37" s="197">
        <f t="shared" si="25"/>
        <v>0</v>
      </c>
      <c r="AS37" s="197">
        <f t="shared" si="26"/>
        <v>0</v>
      </c>
    </row>
    <row r="38" spans="1:45" ht="15.75" customHeight="1">
      <c r="A38" s="1514">
        <v>35</v>
      </c>
      <c r="B38" s="622" t="s">
        <v>379</v>
      </c>
      <c r="C38" s="160">
        <f>SUM(CT作業分類比較!H225:H229)</f>
        <v>64160</v>
      </c>
      <c r="D38" s="1506">
        <f>SUM(CT作業分類比較!I225:I229)</f>
        <v>0</v>
      </c>
      <c r="E38" s="1505"/>
      <c r="F38" s="1505"/>
      <c r="G38" s="1505"/>
      <c r="H38" s="1505"/>
      <c r="I38" s="1505"/>
      <c r="J38" s="1505"/>
      <c r="K38" s="1505"/>
      <c r="L38" s="1505"/>
      <c r="M38" s="1505"/>
      <c r="N38" s="1505"/>
      <c r="O38" s="1505"/>
      <c r="P38" s="1505"/>
      <c r="Q38" s="1505"/>
      <c r="R38" s="1505"/>
      <c r="S38" s="1505"/>
      <c r="T38" s="1505"/>
      <c r="U38" s="1505"/>
      <c r="V38" s="1505"/>
      <c r="W38" s="1517"/>
      <c r="X38" s="1541">
        <v>0.46984102244389025</v>
      </c>
      <c r="Y38" s="789">
        <f>X38*付加価値率!P16/付加価値率!L16</f>
        <v>0.42040902092135918</v>
      </c>
      <c r="Z38" s="1529">
        <f>Y38*付加価値率!Q16/付加価値率!P16</f>
        <v>0.54724638470225284</v>
      </c>
      <c r="AA38" s="1529">
        <f>Z38*付加価値率!R16/付加価値率!Q16</f>
        <v>0.51250582513563947</v>
      </c>
      <c r="AB38" s="1529">
        <f>AA38*付加価値率!S16/付加価値率!R16</f>
        <v>0.55026819705341679</v>
      </c>
      <c r="AC38" s="1529">
        <f>AB38*付加価値率!T16/付加価値率!S16</f>
        <v>0.46769390034895297</v>
      </c>
      <c r="AD38" s="1529">
        <f>AC38*付加価値率!U16/付加価値率!T16</f>
        <v>0.51948497260881243</v>
      </c>
      <c r="AE38" s="1529">
        <f>AD38*付加価値率!V16/付加価値率!U16</f>
        <v>0.56452637565191932</v>
      </c>
      <c r="AF38" s="1515">
        <f t="shared" si="24"/>
        <v>0</v>
      </c>
      <c r="AG38" s="1505">
        <f t="shared" si="3"/>
        <v>0</v>
      </c>
      <c r="AH38" s="1505">
        <f t="shared" si="4"/>
        <v>0</v>
      </c>
      <c r="AI38" s="1505">
        <f t="shared" si="5"/>
        <v>0</v>
      </c>
      <c r="AJ38" s="1505">
        <f t="shared" si="6"/>
        <v>0</v>
      </c>
      <c r="AK38" s="1505">
        <f t="shared" si="7"/>
        <v>0</v>
      </c>
      <c r="AL38" s="1505">
        <f t="shared" si="8"/>
        <v>0</v>
      </c>
      <c r="AM38" s="1505">
        <f t="shared" si="8"/>
        <v>0</v>
      </c>
      <c r="AN38" s="1506" t="s">
        <v>9834</v>
      </c>
      <c r="AO38" s="187"/>
      <c r="AP38" s="529">
        <f>商業運輸マージン!G39</f>
        <v>0.16972618612513929</v>
      </c>
      <c r="AQ38" s="529">
        <f>商業運輸マージン!H39</f>
        <v>5.8062840866749725E-2</v>
      </c>
      <c r="AR38" s="197">
        <f t="shared" si="25"/>
        <v>0</v>
      </c>
      <c r="AS38" s="197">
        <f t="shared" si="26"/>
        <v>0</v>
      </c>
    </row>
    <row r="39" spans="1:45" ht="15.75" customHeight="1">
      <c r="A39" s="1514">
        <v>36</v>
      </c>
      <c r="B39" s="622" t="s">
        <v>9075</v>
      </c>
      <c r="C39" s="160">
        <f>SUM(CT作業分類比較!H230:H234)</f>
        <v>887467</v>
      </c>
      <c r="D39" s="1506">
        <f>SUM(CT作業分類比較!I230:I234)</f>
        <v>0</v>
      </c>
      <c r="E39" s="1505"/>
      <c r="F39" s="1505"/>
      <c r="G39" s="1505"/>
      <c r="H39" s="1505"/>
      <c r="I39" s="1505"/>
      <c r="J39" s="1505"/>
      <c r="K39" s="1505"/>
      <c r="L39" s="1505"/>
      <c r="M39" s="1505"/>
      <c r="N39" s="1505"/>
      <c r="O39" s="1505"/>
      <c r="P39" s="1505"/>
      <c r="Q39" s="1505"/>
      <c r="R39" s="1505"/>
      <c r="S39" s="1505"/>
      <c r="T39" s="1505"/>
      <c r="U39" s="1505"/>
      <c r="V39" s="1505"/>
      <c r="W39" s="1517"/>
      <c r="X39" s="1541">
        <v>0.25550921893433787</v>
      </c>
      <c r="Y39" s="789">
        <f>X39*付加価値率!P17/付加価値率!L17</f>
        <v>0.23534258447079398</v>
      </c>
      <c r="Z39" s="1529">
        <f>Y39*付加価値率!Q17/付加価値率!P17</f>
        <v>0.22395844658605199</v>
      </c>
      <c r="AA39" s="1529">
        <f>Z39*付加価値率!R17/付加価値率!Q17</f>
        <v>0.29152645707011282</v>
      </c>
      <c r="AB39" s="1529">
        <f>AA39*付加価値率!S17/付加価値率!R17</f>
        <v>0.26427883233350141</v>
      </c>
      <c r="AC39" s="1529">
        <f>AB39*付加価値率!T17/付加価値率!S17</f>
        <v>0.25815158481191985</v>
      </c>
      <c r="AD39" s="1529">
        <f>AC39*付加価値率!U17/付加価値率!T17</f>
        <v>0.25843535052505279</v>
      </c>
      <c r="AE39" s="1529">
        <f>AD39*付加価値率!V17/付加価値率!U17</f>
        <v>0.25405629935454715</v>
      </c>
      <c r="AF39" s="1515">
        <f t="shared" si="24"/>
        <v>0</v>
      </c>
      <c r="AG39" s="1505">
        <f t="shared" si="3"/>
        <v>0</v>
      </c>
      <c r="AH39" s="1505">
        <f t="shared" si="4"/>
        <v>0</v>
      </c>
      <c r="AI39" s="1505">
        <f t="shared" si="5"/>
        <v>0</v>
      </c>
      <c r="AJ39" s="1505">
        <f t="shared" si="6"/>
        <v>0</v>
      </c>
      <c r="AK39" s="1505">
        <f t="shared" si="7"/>
        <v>0</v>
      </c>
      <c r="AL39" s="1505">
        <f t="shared" si="8"/>
        <v>0</v>
      </c>
      <c r="AM39" s="1505">
        <f t="shared" si="8"/>
        <v>0</v>
      </c>
      <c r="AN39" s="1506" t="s">
        <v>9834</v>
      </c>
      <c r="AO39" s="187"/>
      <c r="AP39" s="529">
        <f>商業運輸マージン!G40</f>
        <v>7.4752886789254498E-3</v>
      </c>
      <c r="AQ39" s="529">
        <f>商業運輸マージン!H40</f>
        <v>1.124779526609705E-2</v>
      </c>
      <c r="AR39" s="197">
        <f t="shared" si="25"/>
        <v>0</v>
      </c>
      <c r="AS39" s="197">
        <f t="shared" si="26"/>
        <v>0</v>
      </c>
    </row>
    <row r="40" spans="1:45" ht="15.75" customHeight="1">
      <c r="A40" s="1514">
        <v>37</v>
      </c>
      <c r="B40" s="622" t="s">
        <v>9076</v>
      </c>
      <c r="C40" s="160">
        <f>SUM(CT作業分類比較!H235:H245)</f>
        <v>1618183</v>
      </c>
      <c r="D40" s="1506">
        <f>SUM(CT作業分類比較!I235:I245)</f>
        <v>0</v>
      </c>
      <c r="E40" s="1505"/>
      <c r="F40" s="1505"/>
      <c r="G40" s="1505"/>
      <c r="H40" s="1505"/>
      <c r="I40" s="1505"/>
      <c r="J40" s="1505"/>
      <c r="K40" s="1505"/>
      <c r="L40" s="1505"/>
      <c r="M40" s="1505"/>
      <c r="N40" s="1505"/>
      <c r="O40" s="1505"/>
      <c r="P40" s="1505"/>
      <c r="Q40" s="1505"/>
      <c r="R40" s="1505"/>
      <c r="S40" s="1505"/>
      <c r="T40" s="1505"/>
      <c r="U40" s="1505"/>
      <c r="V40" s="1505"/>
      <c r="W40" s="1517"/>
      <c r="X40" s="1541">
        <v>0.10832829167034878</v>
      </c>
      <c r="Y40" s="789">
        <f>X40*付加価値率!P17/付加価値率!L17</f>
        <v>9.9778239858959922E-2</v>
      </c>
      <c r="Z40" s="1529">
        <f>Y40*付加価値率!Q17/付加価値率!P17</f>
        <v>9.4951704776048793E-2</v>
      </c>
      <c r="AA40" s="1529">
        <f>Z40*付加価値率!R17/付加価値率!Q17</f>
        <v>0.12359852690571736</v>
      </c>
      <c r="AB40" s="1529">
        <f>AA40*付加価値率!S17/付加価値率!R17</f>
        <v>0.11204634631472903</v>
      </c>
      <c r="AC40" s="1529">
        <f>AB40*付加価値率!T17/付加価値率!S17</f>
        <v>0.10944857602909057</v>
      </c>
      <c r="AD40" s="1529">
        <f>AC40*付加価値率!U17/付加価値率!T17</f>
        <v>0.10956888423192769</v>
      </c>
      <c r="AE40" s="1529">
        <f>AD40*付加価値率!V17/付加価値率!U17</f>
        <v>0.10771229708248388</v>
      </c>
      <c r="AF40" s="1515">
        <f t="shared" si="24"/>
        <v>0</v>
      </c>
      <c r="AG40" s="1505">
        <f t="shared" si="3"/>
        <v>0</v>
      </c>
      <c r="AH40" s="1505">
        <f t="shared" si="4"/>
        <v>0</v>
      </c>
      <c r="AI40" s="1505">
        <f t="shared" si="5"/>
        <v>0</v>
      </c>
      <c r="AJ40" s="1505">
        <f t="shared" si="6"/>
        <v>0</v>
      </c>
      <c r="AK40" s="1505">
        <f t="shared" si="7"/>
        <v>0</v>
      </c>
      <c r="AL40" s="1505">
        <f t="shared" si="8"/>
        <v>0</v>
      </c>
      <c r="AM40" s="1505">
        <f t="shared" si="8"/>
        <v>0</v>
      </c>
      <c r="AN40" s="1506" t="s">
        <v>9834</v>
      </c>
      <c r="AO40" s="187"/>
      <c r="AP40" s="529">
        <f>商業運輸マージン!G41</f>
        <v>9.7579797515787145E-2</v>
      </c>
      <c r="AQ40" s="529">
        <f>商業運輸マージン!H41</f>
        <v>3.62480976660381E-2</v>
      </c>
      <c r="AR40" s="197">
        <f t="shared" si="25"/>
        <v>0</v>
      </c>
      <c r="AS40" s="197">
        <f t="shared" si="26"/>
        <v>0</v>
      </c>
    </row>
    <row r="41" spans="1:45" ht="15.75" customHeight="1">
      <c r="A41" s="1514">
        <v>38</v>
      </c>
      <c r="B41" s="622" t="s">
        <v>9077</v>
      </c>
      <c r="C41" s="160">
        <f>SUM(CT作業分類比較!H246:H250)</f>
        <v>161160</v>
      </c>
      <c r="D41" s="1506">
        <f>SUM(CT作業分類比較!I246:I250)</f>
        <v>0</v>
      </c>
      <c r="E41" s="1505"/>
      <c r="F41" s="1505"/>
      <c r="G41" s="1505"/>
      <c r="H41" s="1505"/>
      <c r="I41" s="1505"/>
      <c r="J41" s="1505"/>
      <c r="K41" s="1505"/>
      <c r="L41" s="1505"/>
      <c r="M41" s="1505"/>
      <c r="N41" s="1505"/>
      <c r="O41" s="1505"/>
      <c r="P41" s="1505"/>
      <c r="Q41" s="1505"/>
      <c r="R41" s="1505"/>
      <c r="S41" s="1505"/>
      <c r="T41" s="1505"/>
      <c r="U41" s="1505"/>
      <c r="V41" s="1505"/>
      <c r="W41" s="1517"/>
      <c r="X41" s="1541">
        <v>0.42776743608835938</v>
      </c>
      <c r="Y41" s="789">
        <f>X41*付加価値率!P17/付加価値率!L17</f>
        <v>0.39400493798758346</v>
      </c>
      <c r="Z41" s="1529">
        <f>Y41*付加価値率!Q17/付加価値率!P17</f>
        <v>0.37494588604674567</v>
      </c>
      <c r="AA41" s="1529">
        <f>Z41*付加価値率!R17/付加価値率!Q17</f>
        <v>0.48806663655002136</v>
      </c>
      <c r="AB41" s="1529">
        <f>AA41*付加価値率!S17/付加価値率!R17</f>
        <v>0.44244931353643047</v>
      </c>
      <c r="AC41" s="1529">
        <f>AB41*付加価値率!T17/付加価値率!S17</f>
        <v>0.43219122197512649</v>
      </c>
      <c r="AD41" s="1529">
        <f>AC41*付加価値率!U17/付加価値率!T17</f>
        <v>0.43266629575940296</v>
      </c>
      <c r="AE41" s="1529">
        <f>AD41*付加価値率!V17/付加価値率!U17</f>
        <v>0.42533499280477916</v>
      </c>
      <c r="AF41" s="1515">
        <f t="shared" si="24"/>
        <v>0</v>
      </c>
      <c r="AG41" s="1505">
        <f t="shared" si="3"/>
        <v>0</v>
      </c>
      <c r="AH41" s="1505">
        <f t="shared" si="4"/>
        <v>0</v>
      </c>
      <c r="AI41" s="1505">
        <f t="shared" si="5"/>
        <v>0</v>
      </c>
      <c r="AJ41" s="1505">
        <f t="shared" si="6"/>
        <v>0</v>
      </c>
      <c r="AK41" s="1505">
        <f t="shared" si="7"/>
        <v>0</v>
      </c>
      <c r="AL41" s="1505">
        <f t="shared" si="8"/>
        <v>0</v>
      </c>
      <c r="AM41" s="1505">
        <f t="shared" si="8"/>
        <v>0</v>
      </c>
      <c r="AN41" s="1506" t="s">
        <v>9834</v>
      </c>
      <c r="AO41" s="187"/>
      <c r="AP41" s="529">
        <f>商業運輸マージン!G42</f>
        <v>3.2178967140286507E-2</v>
      </c>
      <c r="AQ41" s="529">
        <f>商業運輸マージン!H42</f>
        <v>3.5424421532073702E-2</v>
      </c>
      <c r="AR41" s="197">
        <f t="shared" si="25"/>
        <v>0</v>
      </c>
      <c r="AS41" s="197">
        <f t="shared" si="26"/>
        <v>0</v>
      </c>
    </row>
    <row r="42" spans="1:45" ht="15.75" customHeight="1">
      <c r="A42" s="1514">
        <v>39</v>
      </c>
      <c r="B42" s="622" t="s">
        <v>412</v>
      </c>
      <c r="C42" s="160">
        <f>SUM(CT作業分類比較!H251:H252)</f>
        <v>183280</v>
      </c>
      <c r="D42" s="1506">
        <f>SUM(CT作業分類比較!I251:I252)</f>
        <v>0</v>
      </c>
      <c r="E42" s="1505"/>
      <c r="F42" s="1505"/>
      <c r="G42" s="1505"/>
      <c r="H42" s="1505"/>
      <c r="I42" s="1505"/>
      <c r="J42" s="1505"/>
      <c r="K42" s="1505"/>
      <c r="L42" s="1505"/>
      <c r="M42" s="1505"/>
      <c r="N42" s="1505"/>
      <c r="O42" s="1505"/>
      <c r="P42" s="1505"/>
      <c r="Q42" s="1505"/>
      <c r="R42" s="1505"/>
      <c r="S42" s="1505"/>
      <c r="T42" s="1505"/>
      <c r="U42" s="1505"/>
      <c r="V42" s="1505"/>
      <c r="W42" s="1517"/>
      <c r="X42" s="1541">
        <v>0.17417066783064164</v>
      </c>
      <c r="Y42" s="789">
        <f>X42*付加価値率!P17/付加価値率!L17</f>
        <v>0.16042385976218396</v>
      </c>
      <c r="Z42" s="1529">
        <f>Y42*付加価値率!Q17/付加価値率!P17</f>
        <v>0.15266373703028691</v>
      </c>
      <c r="AA42" s="1529">
        <f>Z42*付加価値率!R17/付加価値率!Q17</f>
        <v>0.19872221413369415</v>
      </c>
      <c r="AB42" s="1529">
        <f>AA42*付加価値率!S17/付加価値率!R17</f>
        <v>0.18014857120618044</v>
      </c>
      <c r="AC42" s="1529">
        <f>AB42*付加価値率!T17/付加価値率!S17</f>
        <v>0.17597186557791206</v>
      </c>
      <c r="AD42" s="1529">
        <f>AC42*付加価値率!U17/付加価値率!T17</f>
        <v>0.17616529759562921</v>
      </c>
      <c r="AE42" s="1529">
        <f>AD42*付加価値率!V17/付加価値率!U17</f>
        <v>0.17318026922752353</v>
      </c>
      <c r="AF42" s="1515">
        <f t="shared" si="24"/>
        <v>0</v>
      </c>
      <c r="AG42" s="1505">
        <f t="shared" si="3"/>
        <v>0</v>
      </c>
      <c r="AH42" s="1505">
        <f t="shared" si="4"/>
        <v>0</v>
      </c>
      <c r="AI42" s="1505">
        <f t="shared" si="5"/>
        <v>0</v>
      </c>
      <c r="AJ42" s="1505">
        <f t="shared" si="6"/>
        <v>0</v>
      </c>
      <c r="AK42" s="1505">
        <f t="shared" si="7"/>
        <v>0</v>
      </c>
      <c r="AL42" s="1505">
        <f t="shared" si="8"/>
        <v>0</v>
      </c>
      <c r="AM42" s="1505">
        <f t="shared" si="8"/>
        <v>0</v>
      </c>
      <c r="AN42" s="1506" t="s">
        <v>9834</v>
      </c>
      <c r="AO42" s="187"/>
      <c r="AP42" s="529">
        <f>商業運輸マージン!G43</f>
        <v>5.3082091318676652E-2</v>
      </c>
      <c r="AQ42" s="529">
        <f>商業運輸マージン!H43</f>
        <v>3.2857567708090986E-2</v>
      </c>
      <c r="AR42" s="197">
        <f t="shared" si="25"/>
        <v>0</v>
      </c>
      <c r="AS42" s="197">
        <f t="shared" si="26"/>
        <v>0</v>
      </c>
    </row>
    <row r="43" spans="1:45" ht="15.75" customHeight="1">
      <c r="A43" s="1514">
        <v>40</v>
      </c>
      <c r="B43" s="622" t="s">
        <v>9078</v>
      </c>
      <c r="C43" s="160">
        <f>SUM(CT作業分類比較!H253:H257)</f>
        <v>122959</v>
      </c>
      <c r="D43" s="1506">
        <f>SUM(CT作業分類比較!I253:I257)</f>
        <v>0</v>
      </c>
      <c r="E43" s="1505"/>
      <c r="F43" s="1505"/>
      <c r="G43" s="1505"/>
      <c r="H43" s="1505"/>
      <c r="I43" s="1505"/>
      <c r="J43" s="1505"/>
      <c r="K43" s="1505"/>
      <c r="L43" s="1505"/>
      <c r="M43" s="1505"/>
      <c r="N43" s="1505"/>
      <c r="O43" s="1505"/>
      <c r="P43" s="1505"/>
      <c r="Q43" s="1505"/>
      <c r="R43" s="1505"/>
      <c r="S43" s="1505"/>
      <c r="T43" s="1505"/>
      <c r="U43" s="1505"/>
      <c r="V43" s="1505"/>
      <c r="W43" s="1517"/>
      <c r="X43" s="1541">
        <v>0.29183711643718641</v>
      </c>
      <c r="Y43" s="789">
        <f>X43*付加価値率!P17/付加価値率!L17</f>
        <v>0.26880322171264465</v>
      </c>
      <c r="Z43" s="1529">
        <f>Y43*付加価値率!Q17/付加価値率!P17</f>
        <v>0.25580050506992258</v>
      </c>
      <c r="AA43" s="1529">
        <f>Z43*付加価値率!R17/付加価値率!Q17</f>
        <v>0.33297522864861795</v>
      </c>
      <c r="AB43" s="1529">
        <f>AA43*付加価値率!S17/付加価値率!R17</f>
        <v>0.30185357962921899</v>
      </c>
      <c r="AC43" s="1529">
        <f>AB43*付加価値率!T17/付加価値率!S17</f>
        <v>0.29485516972505504</v>
      </c>
      <c r="AD43" s="1529">
        <f>AC43*付加価値率!U17/付加価値率!T17</f>
        <v>0.2951792807994415</v>
      </c>
      <c r="AE43" s="1529">
        <f>AD43*付加価値率!V17/付加価値率!U17</f>
        <v>0.29017762304454198</v>
      </c>
      <c r="AF43" s="1515">
        <f t="shared" si="24"/>
        <v>0</v>
      </c>
      <c r="AG43" s="1505">
        <f t="shared" si="3"/>
        <v>0</v>
      </c>
      <c r="AH43" s="1505">
        <f t="shared" si="4"/>
        <v>0</v>
      </c>
      <c r="AI43" s="1505">
        <f t="shared" si="5"/>
        <v>0</v>
      </c>
      <c r="AJ43" s="1505">
        <f t="shared" si="6"/>
        <v>0</v>
      </c>
      <c r="AK43" s="1505">
        <f t="shared" si="7"/>
        <v>0</v>
      </c>
      <c r="AL43" s="1505">
        <f t="shared" si="8"/>
        <v>0</v>
      </c>
      <c r="AM43" s="1505">
        <f t="shared" si="8"/>
        <v>0</v>
      </c>
      <c r="AN43" s="1506" t="s">
        <v>9834</v>
      </c>
      <c r="AO43" s="187"/>
      <c r="AP43" s="529">
        <f>商業運輸マージン!G44</f>
        <v>0.17345652710991125</v>
      </c>
      <c r="AQ43" s="529">
        <f>商業運輸マージン!H44</f>
        <v>4.7359097565604087E-2</v>
      </c>
      <c r="AR43" s="197">
        <f t="shared" si="25"/>
        <v>0</v>
      </c>
      <c r="AS43" s="197">
        <f t="shared" si="26"/>
        <v>0</v>
      </c>
    </row>
    <row r="44" spans="1:45" ht="15.75" customHeight="1">
      <c r="A44" s="1519">
        <v>41</v>
      </c>
      <c r="B44" s="623" t="s">
        <v>9079</v>
      </c>
      <c r="C44" s="160">
        <f>SUM(CT作業分類比較!H258:H264)</f>
        <v>153644</v>
      </c>
      <c r="D44" s="1506">
        <f>SUM(CT作業分類比較!I258:I264)</f>
        <v>0</v>
      </c>
      <c r="E44" s="1505"/>
      <c r="F44" s="1505"/>
      <c r="G44" s="1505"/>
      <c r="H44" s="1505"/>
      <c r="I44" s="1505"/>
      <c r="J44" s="1505"/>
      <c r="K44" s="1505"/>
      <c r="L44" s="1505"/>
      <c r="M44" s="1505"/>
      <c r="N44" s="1505"/>
      <c r="O44" s="1505"/>
      <c r="P44" s="1505"/>
      <c r="Q44" s="1505"/>
      <c r="R44" s="1505"/>
      <c r="S44" s="1505"/>
      <c r="T44" s="1505"/>
      <c r="U44" s="1505"/>
      <c r="V44" s="1505"/>
      <c r="W44" s="1517"/>
      <c r="X44" s="1541">
        <v>0.21178828981281403</v>
      </c>
      <c r="Y44" s="789">
        <f>X44*付加価値率!P17/付加価値率!L17</f>
        <v>0.19507242710489461</v>
      </c>
      <c r="Z44" s="1529">
        <f>Y44*付加価値率!Q17/付加価値率!P17</f>
        <v>0.18563626232125768</v>
      </c>
      <c r="AA44" s="1529">
        <f>Z44*付加価値率!R17/付加価値率!Q17</f>
        <v>0.24164251307869516</v>
      </c>
      <c r="AB44" s="1529">
        <f>AA44*付加価値率!S17/付加価値率!R17</f>
        <v>0.21905730903597428</v>
      </c>
      <c r="AC44" s="1529">
        <f>AB44*付加価値率!T17/付加価値率!S17</f>
        <v>0.21397851274334795</v>
      </c>
      <c r="AD44" s="1529">
        <f>AC44*付加価値率!U17/付加価値率!T17</f>
        <v>0.2142137224760636</v>
      </c>
      <c r="AE44" s="1529">
        <f>AD44*付加価値率!V17/付加価値率!U17</f>
        <v>0.21058398354816005</v>
      </c>
      <c r="AF44" s="1515">
        <f t="shared" si="24"/>
        <v>0</v>
      </c>
      <c r="AG44" s="1505">
        <f t="shared" si="3"/>
        <v>0</v>
      </c>
      <c r="AH44" s="1505">
        <f t="shared" si="4"/>
        <v>0</v>
      </c>
      <c r="AI44" s="1505">
        <f t="shared" si="5"/>
        <v>0</v>
      </c>
      <c r="AJ44" s="1505">
        <f t="shared" si="6"/>
        <v>0</v>
      </c>
      <c r="AK44" s="1505">
        <f t="shared" si="7"/>
        <v>0</v>
      </c>
      <c r="AL44" s="1505">
        <f t="shared" si="8"/>
        <v>0</v>
      </c>
      <c r="AM44" s="1505">
        <f t="shared" si="8"/>
        <v>0</v>
      </c>
      <c r="AN44" s="1506" t="s">
        <v>9835</v>
      </c>
      <c r="AO44" s="187"/>
      <c r="AP44" s="529">
        <f>商業運輸マージン!G45</f>
        <v>0.10971104553034286</v>
      </c>
      <c r="AQ44" s="529">
        <f>商業運輸マージン!H45</f>
        <v>3.3796739902694752E-2</v>
      </c>
      <c r="AR44" s="197">
        <f t="shared" si="25"/>
        <v>0</v>
      </c>
      <c r="AS44" s="197">
        <f t="shared" si="26"/>
        <v>0</v>
      </c>
    </row>
    <row r="45" spans="1:45" ht="15.75" customHeight="1">
      <c r="A45" s="1519">
        <v>42</v>
      </c>
      <c r="B45" s="623" t="s">
        <v>9080</v>
      </c>
      <c r="C45" s="160">
        <f>SUM(CT作業分類比較!H265:H266)</f>
        <v>126620</v>
      </c>
      <c r="D45" s="1506">
        <f>SUM(CT作業分類比較!I265:I266)</f>
        <v>0</v>
      </c>
      <c r="E45" s="1505"/>
      <c r="F45" s="1505"/>
      <c r="G45" s="1505"/>
      <c r="H45" s="1505"/>
      <c r="I45" s="1505"/>
      <c r="J45" s="1505"/>
      <c r="K45" s="1505"/>
      <c r="L45" s="1505"/>
      <c r="M45" s="1505"/>
      <c r="N45" s="1505"/>
      <c r="O45" s="1505"/>
      <c r="P45" s="1505"/>
      <c r="Q45" s="1505"/>
      <c r="R45" s="1505"/>
      <c r="S45" s="1505"/>
      <c r="T45" s="1505"/>
      <c r="U45" s="1505"/>
      <c r="V45" s="1505"/>
      <c r="W45" s="1517"/>
      <c r="X45" s="1541">
        <v>0.36643500236929394</v>
      </c>
      <c r="Y45" s="789">
        <f>X45*付加価値率!P18/付加価値率!L18</f>
        <v>0.33768572755861359</v>
      </c>
      <c r="Z45" s="1529">
        <f>Y45*付加価値率!Q18/付加価値率!P18</f>
        <v>0.37011327153757412</v>
      </c>
      <c r="AA45" s="1529">
        <f>Z45*付加価値率!R18/付加価値率!Q18</f>
        <v>0.3865898343790094</v>
      </c>
      <c r="AB45" s="1529">
        <f>AA45*付加価値率!S18/付加価値率!R18</f>
        <v>0.3886755308151601</v>
      </c>
      <c r="AC45" s="1529">
        <f>AB45*付加価値率!T18/付加価値率!S18</f>
        <v>0.32765960069500283</v>
      </c>
      <c r="AD45" s="1529">
        <f>AC45*付加価値率!U18/付加価値率!T18</f>
        <v>0.3715709966215559</v>
      </c>
      <c r="AE45" s="1529">
        <f>AD45*付加価値率!V18/付加価値率!U18</f>
        <v>0.40223364478250573</v>
      </c>
      <c r="AF45" s="1515">
        <f t="shared" si="24"/>
        <v>0</v>
      </c>
      <c r="AG45" s="1505">
        <f t="shared" si="3"/>
        <v>0</v>
      </c>
      <c r="AH45" s="1505">
        <f t="shared" si="4"/>
        <v>0</v>
      </c>
      <c r="AI45" s="1505">
        <f t="shared" si="5"/>
        <v>0</v>
      </c>
      <c r="AJ45" s="1505">
        <f t="shared" si="6"/>
        <v>0</v>
      </c>
      <c r="AK45" s="1505">
        <f t="shared" si="7"/>
        <v>0</v>
      </c>
      <c r="AL45" s="1505">
        <f t="shared" si="8"/>
        <v>0</v>
      </c>
      <c r="AM45" s="1505">
        <f t="shared" si="8"/>
        <v>0</v>
      </c>
      <c r="AN45" s="1506" t="s">
        <v>9834</v>
      </c>
      <c r="AO45" s="187"/>
      <c r="AP45" s="529">
        <f>商業運輸マージン!G46</f>
        <v>0.11903657406542706</v>
      </c>
      <c r="AQ45" s="529">
        <f>商業運輸マージン!H46</f>
        <v>7.5372474100152048E-2</v>
      </c>
      <c r="AR45" s="197">
        <f t="shared" si="25"/>
        <v>0</v>
      </c>
      <c r="AS45" s="197">
        <f t="shared" si="26"/>
        <v>0</v>
      </c>
    </row>
    <row r="46" spans="1:45" ht="15.75" customHeight="1">
      <c r="A46" s="1514">
        <v>43</v>
      </c>
      <c r="B46" s="622" t="s">
        <v>6740</v>
      </c>
      <c r="C46" s="160">
        <f>SUM(CT作業分類比較!H267:H275)</f>
        <v>511813</v>
      </c>
      <c r="D46" s="1506">
        <f>SUM(CT作業分類比較!I267:I275)</f>
        <v>0</v>
      </c>
      <c r="E46" s="1505"/>
      <c r="F46" s="1505"/>
      <c r="G46" s="1505"/>
      <c r="H46" s="1505"/>
      <c r="I46" s="1505"/>
      <c r="J46" s="1505"/>
      <c r="K46" s="1505"/>
      <c r="L46" s="1505"/>
      <c r="M46" s="1505"/>
      <c r="N46" s="1505"/>
      <c r="O46" s="1505"/>
      <c r="P46" s="1505"/>
      <c r="Q46" s="1505"/>
      <c r="R46" s="1505"/>
      <c r="S46" s="1505"/>
      <c r="T46" s="1505"/>
      <c r="U46" s="1505"/>
      <c r="V46" s="1505"/>
      <c r="W46" s="1517"/>
      <c r="X46" s="1541">
        <v>0.43967816370432172</v>
      </c>
      <c r="Y46" s="789">
        <f>X46*付加価値率!P18/付加価値率!L18</f>
        <v>0.40518247340492231</v>
      </c>
      <c r="Z46" s="1529">
        <f>Y46*付加価値率!Q18/付加価値率!P18</f>
        <v>0.44409164664962658</v>
      </c>
      <c r="AA46" s="1529">
        <f>Z46*付加価値率!R18/付加価値率!Q18</f>
        <v>0.46386155085484831</v>
      </c>
      <c r="AB46" s="1529">
        <f>AA46*付加価値率!S18/付加価値率!R18</f>
        <v>0.4663641370520239</v>
      </c>
      <c r="AC46" s="1529">
        <f>AB46*付加価値率!T18/付加価値率!S18</f>
        <v>0.39315232066308275</v>
      </c>
      <c r="AD46" s="1529">
        <f>AC46*付加価値率!U18/付加価値率!T18</f>
        <v>0.44584074235273008</v>
      </c>
      <c r="AE46" s="1529">
        <f>AD46*付加価値率!V18/付加価値率!U18</f>
        <v>0.48263225176244318</v>
      </c>
      <c r="AF46" s="1515">
        <f t="shared" si="24"/>
        <v>0</v>
      </c>
      <c r="AG46" s="1505">
        <f t="shared" si="3"/>
        <v>0</v>
      </c>
      <c r="AH46" s="1505">
        <f t="shared" si="4"/>
        <v>0</v>
      </c>
      <c r="AI46" s="1505">
        <f t="shared" si="5"/>
        <v>0</v>
      </c>
      <c r="AJ46" s="1505">
        <f t="shared" si="6"/>
        <v>0</v>
      </c>
      <c r="AK46" s="1505">
        <f t="shared" si="7"/>
        <v>0</v>
      </c>
      <c r="AL46" s="1505">
        <f t="shared" si="8"/>
        <v>0</v>
      </c>
      <c r="AM46" s="1505">
        <f t="shared" si="8"/>
        <v>0</v>
      </c>
      <c r="AN46" s="1506" t="s">
        <v>9834</v>
      </c>
      <c r="AO46" s="187"/>
      <c r="AP46" s="529">
        <f>商業運輸マージン!G47</f>
        <v>0.15843615232016561</v>
      </c>
      <c r="AQ46" s="529">
        <f>商業運輸マージン!H47</f>
        <v>3.1871334310850437E-2</v>
      </c>
      <c r="AR46" s="197">
        <f t="shared" si="25"/>
        <v>0</v>
      </c>
      <c r="AS46" s="197">
        <f t="shared" si="26"/>
        <v>0</v>
      </c>
    </row>
    <row r="47" spans="1:45" ht="15.75" customHeight="1">
      <c r="A47" s="1514">
        <v>44</v>
      </c>
      <c r="B47" s="622" t="s">
        <v>9081</v>
      </c>
      <c r="C47" s="160">
        <f>SUM(CT作業分類比較!H276:H284)</f>
        <v>1078448</v>
      </c>
      <c r="D47" s="1506">
        <f>SUM(CT作業分類比較!I276:I284)</f>
        <v>0</v>
      </c>
      <c r="E47" s="1505"/>
      <c r="F47" s="1505"/>
      <c r="G47" s="1505"/>
      <c r="H47" s="1505"/>
      <c r="I47" s="1505"/>
      <c r="J47" s="1505"/>
      <c r="K47" s="1505"/>
      <c r="L47" s="1505"/>
      <c r="M47" s="1505"/>
      <c r="N47" s="1505"/>
      <c r="O47" s="1505"/>
      <c r="P47" s="1505"/>
      <c r="Q47" s="1505"/>
      <c r="R47" s="1505"/>
      <c r="S47" s="1505"/>
      <c r="T47" s="1505"/>
      <c r="U47" s="1505"/>
      <c r="V47" s="1505"/>
      <c r="W47" s="1517"/>
      <c r="X47" s="1541">
        <v>0.41915604646677446</v>
      </c>
      <c r="Y47" s="789">
        <f>X47*付加価値率!P19/付加価値率!L19</f>
        <v>0.36793387274612804</v>
      </c>
      <c r="Z47" s="1529">
        <f>Y47*付加価値率!Q19/付加価値率!P19</f>
        <v>0.37757723142982835</v>
      </c>
      <c r="AA47" s="1529">
        <f>Z47*付加価値率!R19/付加価値率!Q19</f>
        <v>0.42779118644804437</v>
      </c>
      <c r="AB47" s="1529">
        <f>AA47*付加価値率!S19/付加価値率!R19</f>
        <v>0.38899066914331082</v>
      </c>
      <c r="AC47" s="1529">
        <f>AB47*付加価値率!T19/付加価値率!S19</f>
        <v>0.37431387076592848</v>
      </c>
      <c r="AD47" s="1529">
        <f>AC47*付加価値率!U19/付加価値率!T19</f>
        <v>0.39058214661974544</v>
      </c>
      <c r="AE47" s="1529">
        <f>AD47*付加価値率!V19/付加価値率!U19</f>
        <v>0.40667518271255032</v>
      </c>
      <c r="AF47" s="1515">
        <f t="shared" si="24"/>
        <v>0</v>
      </c>
      <c r="AG47" s="1505">
        <f t="shared" si="3"/>
        <v>0</v>
      </c>
      <c r="AH47" s="1505">
        <f t="shared" si="4"/>
        <v>0</v>
      </c>
      <c r="AI47" s="1505">
        <f t="shared" si="5"/>
        <v>0</v>
      </c>
      <c r="AJ47" s="1505">
        <f t="shared" si="6"/>
        <v>0</v>
      </c>
      <c r="AK47" s="1505">
        <f t="shared" si="7"/>
        <v>0</v>
      </c>
      <c r="AL47" s="1505">
        <f t="shared" si="8"/>
        <v>0</v>
      </c>
      <c r="AM47" s="1505">
        <f t="shared" si="8"/>
        <v>0</v>
      </c>
      <c r="AN47" s="1506" t="s">
        <v>9834</v>
      </c>
      <c r="AO47" s="187"/>
      <c r="AP47" s="529">
        <f>商業運輸マージン!G48</f>
        <v>0.1160004647012375</v>
      </c>
      <c r="AQ47" s="529">
        <f>商業運輸マージン!H48</f>
        <v>1.4882073750878586E-2</v>
      </c>
      <c r="AR47" s="197">
        <f t="shared" si="25"/>
        <v>0</v>
      </c>
      <c r="AS47" s="197">
        <f t="shared" si="26"/>
        <v>0</v>
      </c>
    </row>
    <row r="48" spans="1:45" ht="15.75" customHeight="1">
      <c r="A48" s="1514">
        <v>45</v>
      </c>
      <c r="B48" s="622" t="s">
        <v>9082</v>
      </c>
      <c r="C48" s="160">
        <f>SUM(CT作業分類比較!H285:H303)</f>
        <v>863301</v>
      </c>
      <c r="D48" s="1506">
        <f>SUM(CT作業分類比較!I285:I303)</f>
        <v>0</v>
      </c>
      <c r="E48" s="1505"/>
      <c r="F48" s="1505"/>
      <c r="G48" s="1505"/>
      <c r="H48" s="1505"/>
      <c r="I48" s="1505"/>
      <c r="J48" s="1505"/>
      <c r="K48" s="1505"/>
      <c r="L48" s="1505"/>
      <c r="M48" s="1505"/>
      <c r="N48" s="1505"/>
      <c r="O48" s="1505"/>
      <c r="P48" s="1505"/>
      <c r="Q48" s="1505"/>
      <c r="R48" s="1505"/>
      <c r="S48" s="1505"/>
      <c r="T48" s="1505"/>
      <c r="U48" s="1505"/>
      <c r="V48" s="1505"/>
      <c r="W48" s="1517"/>
      <c r="X48" s="1541">
        <v>0.42478695148042223</v>
      </c>
      <c r="Y48" s="789">
        <f>X48*付加価値率!P19/付加価値率!L19</f>
        <v>0.37287666363797128</v>
      </c>
      <c r="Z48" s="1529">
        <f>Y48*付加価値率!Q19/付加価値率!P19</f>
        <v>0.38264957034374636</v>
      </c>
      <c r="AA48" s="1529">
        <f>Z48*付加価値率!R19/付加価値率!Q19</f>
        <v>0.43353809516347325</v>
      </c>
      <c r="AB48" s="1529">
        <f>AA48*付加価値率!S19/付加価値率!R19</f>
        <v>0.39421633516341176</v>
      </c>
      <c r="AC48" s="1529">
        <f>AB48*付加価値率!T19/付加価値率!S19</f>
        <v>0.37934236998320237</v>
      </c>
      <c r="AD48" s="1529">
        <f>AC48*付加価値率!U19/付加価値率!T19</f>
        <v>0.39582919240658654</v>
      </c>
      <c r="AE48" s="1529">
        <f>AD48*付加価値率!V19/付加価値率!U19</f>
        <v>0.41213842091360964</v>
      </c>
      <c r="AF48" s="1515">
        <f t="shared" si="24"/>
        <v>0</v>
      </c>
      <c r="AG48" s="1505">
        <f t="shared" si="3"/>
        <v>0</v>
      </c>
      <c r="AH48" s="1505">
        <f t="shared" si="4"/>
        <v>0</v>
      </c>
      <c r="AI48" s="1505">
        <f t="shared" si="5"/>
        <v>0</v>
      </c>
      <c r="AJ48" s="1505">
        <f t="shared" si="6"/>
        <v>0</v>
      </c>
      <c r="AK48" s="1505">
        <f t="shared" si="7"/>
        <v>0</v>
      </c>
      <c r="AL48" s="1505">
        <f t="shared" si="8"/>
        <v>0</v>
      </c>
      <c r="AM48" s="1505">
        <f t="shared" si="8"/>
        <v>0</v>
      </c>
      <c r="AN48" s="1506" t="s">
        <v>9834</v>
      </c>
      <c r="AO48" s="187"/>
      <c r="AP48" s="529">
        <f>商業運輸マージン!G49</f>
        <v>0.13510728573469549</v>
      </c>
      <c r="AQ48" s="529">
        <f>商業運輸マージン!H49</f>
        <v>1.2837604484345143E-2</v>
      </c>
      <c r="AR48" s="197">
        <f t="shared" si="25"/>
        <v>0</v>
      </c>
      <c r="AS48" s="197">
        <f t="shared" si="26"/>
        <v>0</v>
      </c>
    </row>
    <row r="49" spans="1:45" ht="15.75" customHeight="1">
      <c r="A49" s="1514">
        <v>46</v>
      </c>
      <c r="B49" s="622" t="s">
        <v>9083</v>
      </c>
      <c r="C49" s="160">
        <f>SUM(CT作業分類比較!H304:H312)</f>
        <v>234037</v>
      </c>
      <c r="D49" s="1506">
        <f>SUM(CT作業分類比較!I304:I312)</f>
        <v>3465.0010000000002</v>
      </c>
      <c r="E49" s="1515">
        <v>2539895</v>
      </c>
      <c r="F49" s="1515">
        <v>2675607</v>
      </c>
      <c r="G49" s="1516">
        <v>2701756</v>
      </c>
      <c r="H49" s="1515">
        <f>QE産出!P17</f>
        <v>2629838.3296516603</v>
      </c>
      <c r="I49" s="1515">
        <f>QE産出!P18</f>
        <v>3002634.8824216058</v>
      </c>
      <c r="J49" s="1515">
        <f>QE産出!P19</f>
        <v>3085137.603942276</v>
      </c>
      <c r="K49" s="1515">
        <f>QE産出!P20</f>
        <v>2863914.4636418764</v>
      </c>
      <c r="L49" s="1516">
        <f>QE産出!P21</f>
        <v>2825561.9539324422</v>
      </c>
      <c r="M49" s="1516">
        <f>QE産出!P22</f>
        <v>2911668.1750003397</v>
      </c>
      <c r="N49" s="1505" t="s">
        <v>9818</v>
      </c>
      <c r="O49" s="1515">
        <f>ROUND(D49*F49/E49,0)</f>
        <v>3650</v>
      </c>
      <c r="P49" s="1515">
        <f>ROUND(D49*G49/E49,0)</f>
        <v>3686</v>
      </c>
      <c r="Q49" s="1516">
        <f>CT作業分類比較!L308</f>
        <v>3036</v>
      </c>
      <c r="R49" s="1515">
        <f>ROUND(Q49*I49/H49,0)</f>
        <v>3466</v>
      </c>
      <c r="S49" s="1515">
        <f t="shared" ref="S49" si="27">ROUND(R49*J49/I49,0)</f>
        <v>3561</v>
      </c>
      <c r="T49" s="1515">
        <f t="shared" ref="T49" si="28">ROUND(S49*K49/J49,0)</f>
        <v>3306</v>
      </c>
      <c r="U49" s="1515">
        <f t="shared" ref="U49:V49" si="29">ROUND(T49*L49/K49,0)</f>
        <v>3262</v>
      </c>
      <c r="V49" s="1515">
        <f t="shared" si="29"/>
        <v>3361</v>
      </c>
      <c r="W49" s="1517" t="s">
        <v>9727</v>
      </c>
      <c r="X49" s="1541">
        <v>0.36341689561906876</v>
      </c>
      <c r="Y49" s="789">
        <f>X49*付加価値率!P19/付加価値率!L19</f>
        <v>0.31900621964926967</v>
      </c>
      <c r="Z49" s="1529">
        <f>Y49*付加価値率!Q19/付加価値率!P19</f>
        <v>0.32736720956152987</v>
      </c>
      <c r="AA49" s="1529">
        <f>Z49*付加価値率!R19/付加価値率!Q19</f>
        <v>0.37090373922226128</v>
      </c>
      <c r="AB49" s="1529">
        <f>AA49*付加価値率!S19/付加価値率!R19</f>
        <v>0.33726289432413586</v>
      </c>
      <c r="AC49" s="1529">
        <f>AB49*付加価値率!T19/付加価値率!S19</f>
        <v>0.3245378088842481</v>
      </c>
      <c r="AD49" s="1529">
        <f>AC49*付加価値率!U19/付加価値率!T19</f>
        <v>0.33864273796186656</v>
      </c>
      <c r="AE49" s="1529">
        <f>AD49*付加価値率!V19/付加価値率!U19</f>
        <v>0.3525957305698269</v>
      </c>
      <c r="AF49" s="1515">
        <f t="shared" si="24"/>
        <v>1259</v>
      </c>
      <c r="AG49" s="1505">
        <f t="shared" si="3"/>
        <v>1164</v>
      </c>
      <c r="AH49" s="1505">
        <f t="shared" si="4"/>
        <v>1207</v>
      </c>
      <c r="AI49" s="1505">
        <f t="shared" si="5"/>
        <v>1286</v>
      </c>
      <c r="AJ49" s="1505">
        <f t="shared" si="6"/>
        <v>1201</v>
      </c>
      <c r="AK49" s="1505">
        <f t="shared" si="7"/>
        <v>1073</v>
      </c>
      <c r="AL49" s="1505">
        <f t="shared" si="8"/>
        <v>1105</v>
      </c>
      <c r="AM49" s="1505">
        <f t="shared" si="8"/>
        <v>1185</v>
      </c>
      <c r="AN49" s="1518">
        <f>ROUND(AK49/AH49*100,1)</f>
        <v>88.9</v>
      </c>
      <c r="AO49" s="187"/>
      <c r="AP49" s="529">
        <f>商業運輸マージン!G50</f>
        <v>0.21684129717317965</v>
      </c>
      <c r="AQ49" s="529">
        <f>商業運輸マージン!H50</f>
        <v>1.71044719177256E-2</v>
      </c>
      <c r="AR49" s="197">
        <f t="shared" si="25"/>
        <v>751</v>
      </c>
      <c r="AS49" s="197">
        <f t="shared" si="26"/>
        <v>59</v>
      </c>
    </row>
    <row r="50" spans="1:45" ht="15.75" customHeight="1">
      <c r="A50" s="1514">
        <v>47</v>
      </c>
      <c r="B50" s="622" t="s">
        <v>9084</v>
      </c>
      <c r="C50" s="160">
        <f>SUM(CT作業分類比較!H313:H317)</f>
        <v>220108</v>
      </c>
      <c r="D50" s="1506">
        <f>SUM(CT作業分類比較!I313:I317)</f>
        <v>0</v>
      </c>
      <c r="E50" s="1505"/>
      <c r="F50" s="1505"/>
      <c r="G50" s="1505"/>
      <c r="H50" s="1505"/>
      <c r="I50" s="1505"/>
      <c r="J50" s="1505"/>
      <c r="K50" s="1505"/>
      <c r="L50" s="1505"/>
      <c r="M50" s="1505"/>
      <c r="N50" s="1505"/>
      <c r="O50" s="1505"/>
      <c r="P50" s="1505"/>
      <c r="Q50" s="1505"/>
      <c r="R50" s="1505"/>
      <c r="S50" s="1505"/>
      <c r="T50" s="1505"/>
      <c r="U50" s="1505"/>
      <c r="V50" s="1505"/>
      <c r="W50" s="1517"/>
      <c r="X50" s="1541">
        <v>0.35084594835262689</v>
      </c>
      <c r="Y50" s="789">
        <f>X50*付加価値率!P20/付加価値率!L20</f>
        <v>0.41447819004779018</v>
      </c>
      <c r="Z50" s="1529">
        <f>Y50*付加価値率!Q20/付加価値率!P20</f>
        <v>0.49290944420825356</v>
      </c>
      <c r="AA50" s="1529">
        <f>Z50*付加価値率!R20/付加価値率!Q20</f>
        <v>0.65019766143313729</v>
      </c>
      <c r="AB50" s="1529">
        <f>AA50*付加価値率!S20/付加価値率!R20</f>
        <v>0.40473621093125794</v>
      </c>
      <c r="AC50" s="1529">
        <f>AB50*付加価値率!T20/付加価値率!S20</f>
        <v>0.28127221329135371</v>
      </c>
      <c r="AD50" s="1529">
        <f>AC50*付加価値率!U20/付加価値率!T20</f>
        <v>0.32288467806767074</v>
      </c>
      <c r="AE50" s="1529">
        <f>AD50*付加価値率!V20/付加価値率!U20</f>
        <v>0.34883649007805634</v>
      </c>
      <c r="AF50" s="1515">
        <f t="shared" si="24"/>
        <v>0</v>
      </c>
      <c r="AG50" s="1505">
        <f t="shared" si="3"/>
        <v>0</v>
      </c>
      <c r="AH50" s="1505">
        <f t="shared" si="4"/>
        <v>0</v>
      </c>
      <c r="AI50" s="1505">
        <f t="shared" si="5"/>
        <v>0</v>
      </c>
      <c r="AJ50" s="1505">
        <f t="shared" si="6"/>
        <v>0</v>
      </c>
      <c r="AK50" s="1505">
        <f t="shared" si="7"/>
        <v>0</v>
      </c>
      <c r="AL50" s="1505">
        <f t="shared" si="8"/>
        <v>0</v>
      </c>
      <c r="AM50" s="1505">
        <f t="shared" si="8"/>
        <v>0</v>
      </c>
      <c r="AN50" s="1506" t="s">
        <v>9834</v>
      </c>
      <c r="AO50" s="187"/>
      <c r="AP50" s="529">
        <f>商業運輸マージン!G51</f>
        <v>8.745129634811101E-2</v>
      </c>
      <c r="AQ50" s="529">
        <f>商業運輸マージン!H51</f>
        <v>1.2662713515663714E-2</v>
      </c>
      <c r="AR50" s="197">
        <f t="shared" si="25"/>
        <v>0</v>
      </c>
      <c r="AS50" s="197">
        <f t="shared" si="26"/>
        <v>0</v>
      </c>
    </row>
    <row r="51" spans="1:45" ht="15.75" customHeight="1">
      <c r="A51" s="1514">
        <v>48</v>
      </c>
      <c r="B51" s="622" t="s">
        <v>6900</v>
      </c>
      <c r="C51" s="160">
        <f>SUM(CT作業分類比較!H318:H320)</f>
        <v>100152</v>
      </c>
      <c r="D51" s="1506">
        <f>SUM(CT作業分類比較!I318:I320)</f>
        <v>0</v>
      </c>
      <c r="E51" s="1505"/>
      <c r="F51" s="1505"/>
      <c r="G51" s="1505"/>
      <c r="H51" s="1505"/>
      <c r="I51" s="1505"/>
      <c r="J51" s="1505"/>
      <c r="K51" s="1505"/>
      <c r="L51" s="1505"/>
      <c r="M51" s="1505"/>
      <c r="N51" s="1505"/>
      <c r="O51" s="1505"/>
      <c r="P51" s="1505"/>
      <c r="Q51" s="1505"/>
      <c r="R51" s="1505"/>
      <c r="S51" s="1505"/>
      <c r="T51" s="1505"/>
      <c r="U51" s="1505"/>
      <c r="V51" s="1505"/>
      <c r="W51" s="1517"/>
      <c r="X51" s="1541">
        <v>0.3447160316319195</v>
      </c>
      <c r="Y51" s="789">
        <f>X51*付加価値率!P20/付加価値率!L20</f>
        <v>0.40723650235131753</v>
      </c>
      <c r="Z51" s="1529">
        <f>Y51*付加価値率!Q20/付加価値率!P20</f>
        <v>0.48429741987668012</v>
      </c>
      <c r="AA51" s="1529">
        <f>Z51*付加価値率!R20/付加価値率!Q20</f>
        <v>0.63883752592267107</v>
      </c>
      <c r="AB51" s="1529">
        <f>AA51*付加価値率!S20/付加価値率!R20</f>
        <v>0.39766473332545216</v>
      </c>
      <c r="AC51" s="1529">
        <f>AB51*付加価値率!T20/付加価値率!S20</f>
        <v>0.27635787623994751</v>
      </c>
      <c r="AD51" s="1529">
        <f>AC51*付加価値率!U20/付加価値率!T20</f>
        <v>0.31724329558558501</v>
      </c>
      <c r="AE51" s="1529">
        <f>AD51*付加価値率!V20/付加価値率!U20</f>
        <v>0.34274168224754603</v>
      </c>
      <c r="AF51" s="1515">
        <f t="shared" si="24"/>
        <v>0</v>
      </c>
      <c r="AG51" s="1505">
        <f t="shared" si="3"/>
        <v>0</v>
      </c>
      <c r="AH51" s="1505">
        <f t="shared" si="4"/>
        <v>0</v>
      </c>
      <c r="AI51" s="1505">
        <f t="shared" si="5"/>
        <v>0</v>
      </c>
      <c r="AJ51" s="1505">
        <f t="shared" si="6"/>
        <v>0</v>
      </c>
      <c r="AK51" s="1505">
        <f t="shared" si="7"/>
        <v>0</v>
      </c>
      <c r="AL51" s="1505">
        <f t="shared" si="8"/>
        <v>0</v>
      </c>
      <c r="AM51" s="1505">
        <f t="shared" si="8"/>
        <v>0</v>
      </c>
      <c r="AN51" s="1506" t="s">
        <v>9834</v>
      </c>
      <c r="AO51" s="187"/>
      <c r="AP51" s="529">
        <f>商業運輸マージン!G52</f>
        <v>6.3591771275623141E-2</v>
      </c>
      <c r="AQ51" s="529">
        <f>商業運輸マージン!H52</f>
        <v>1.1712663795588118E-2</v>
      </c>
      <c r="AR51" s="197">
        <f t="shared" si="25"/>
        <v>0</v>
      </c>
      <c r="AS51" s="197">
        <f t="shared" si="26"/>
        <v>0</v>
      </c>
    </row>
    <row r="52" spans="1:45" ht="15.75" customHeight="1">
      <c r="A52" s="1514">
        <v>49</v>
      </c>
      <c r="B52" s="622" t="s">
        <v>9085</v>
      </c>
      <c r="C52" s="160">
        <f>SUM(CT作業分類比較!H321:H327)</f>
        <v>914462</v>
      </c>
      <c r="D52" s="1506">
        <f>SUM(CT作業分類比較!I321:I327)</f>
        <v>0</v>
      </c>
      <c r="E52" s="1505"/>
      <c r="F52" s="1505"/>
      <c r="G52" s="1505"/>
      <c r="H52" s="1505"/>
      <c r="I52" s="1505"/>
      <c r="J52" s="1505"/>
      <c r="K52" s="1505"/>
      <c r="L52" s="1505"/>
      <c r="M52" s="1505"/>
      <c r="N52" s="1505"/>
      <c r="O52" s="1505"/>
      <c r="P52" s="1505"/>
      <c r="Q52" s="1505"/>
      <c r="R52" s="1505"/>
      <c r="S52" s="1505"/>
      <c r="T52" s="1505"/>
      <c r="U52" s="1505"/>
      <c r="V52" s="1505"/>
      <c r="W52" s="1517"/>
      <c r="X52" s="1541">
        <v>0.33542235762667011</v>
      </c>
      <c r="Y52" s="789">
        <f>X52*付加価値率!P21/付加価値率!L21</f>
        <v>0.296504289569817</v>
      </c>
      <c r="Z52" s="1529">
        <f>Y52*付加価値率!Q21/付加価値率!P21</f>
        <v>0.27922792212390574</v>
      </c>
      <c r="AA52" s="1529">
        <f>Z52*付加価値率!R21/付加価値率!Q21</f>
        <v>0.37833785674430981</v>
      </c>
      <c r="AB52" s="1529">
        <f>AA52*付加価値率!S21/付加価値率!R21</f>
        <v>0.35663629065085356</v>
      </c>
      <c r="AC52" s="1529">
        <f>AB52*付加価値率!T21/付加価値率!S21</f>
        <v>0.35085110370850281</v>
      </c>
      <c r="AD52" s="1529">
        <f>AC52*付加価値率!U21/付加価値率!T21</f>
        <v>0.29820958612640042</v>
      </c>
      <c r="AE52" s="1529">
        <f>AD52*付加価値率!V21/付加価値率!U21</f>
        <v>0.30929815240668651</v>
      </c>
      <c r="AF52" s="1515">
        <f t="shared" si="24"/>
        <v>0</v>
      </c>
      <c r="AG52" s="1505">
        <f t="shared" si="3"/>
        <v>0</v>
      </c>
      <c r="AH52" s="1505">
        <f t="shared" si="4"/>
        <v>0</v>
      </c>
      <c r="AI52" s="1505">
        <f t="shared" si="5"/>
        <v>0</v>
      </c>
      <c r="AJ52" s="1505">
        <f t="shared" si="6"/>
        <v>0</v>
      </c>
      <c r="AK52" s="1505">
        <f t="shared" si="7"/>
        <v>0</v>
      </c>
      <c r="AL52" s="1505">
        <f t="shared" si="8"/>
        <v>0</v>
      </c>
      <c r="AM52" s="1505">
        <f t="shared" si="8"/>
        <v>0</v>
      </c>
      <c r="AN52" s="1506" t="s">
        <v>9834</v>
      </c>
      <c r="AO52" s="187"/>
      <c r="AP52" s="529">
        <f>商業運輸マージン!G53</f>
        <v>0.10613026899978478</v>
      </c>
      <c r="AQ52" s="529">
        <f>商業運輸マージン!H53</f>
        <v>1.1870868754352767E-2</v>
      </c>
      <c r="AR52" s="197">
        <f t="shared" si="25"/>
        <v>0</v>
      </c>
      <c r="AS52" s="197">
        <f t="shared" si="26"/>
        <v>0</v>
      </c>
    </row>
    <row r="53" spans="1:45" ht="15.75" customHeight="1">
      <c r="A53" s="1514">
        <v>50</v>
      </c>
      <c r="B53" s="622" t="s">
        <v>9086</v>
      </c>
      <c r="C53" s="160">
        <f>SUM(CT作業分類比較!H328:H329)</f>
        <v>88281</v>
      </c>
      <c r="D53" s="1506">
        <f>SUM(CT作業分類比較!I328:I329)</f>
        <v>0</v>
      </c>
      <c r="E53" s="1505"/>
      <c r="F53" s="1505"/>
      <c r="G53" s="1505"/>
      <c r="H53" s="1505"/>
      <c r="I53" s="1505"/>
      <c r="J53" s="1505"/>
      <c r="K53" s="1505"/>
      <c r="L53" s="1505"/>
      <c r="M53" s="1505"/>
      <c r="N53" s="1505"/>
      <c r="O53" s="1505"/>
      <c r="P53" s="1505"/>
      <c r="Q53" s="1505"/>
      <c r="R53" s="1505"/>
      <c r="S53" s="1505"/>
      <c r="T53" s="1505"/>
      <c r="U53" s="1505"/>
      <c r="V53" s="1505"/>
      <c r="W53" s="1517"/>
      <c r="X53" s="1541">
        <v>0.31898143428370773</v>
      </c>
      <c r="Y53" s="789">
        <f>X53*付加価値率!P21/付加価値率!L21</f>
        <v>0.28197095813010836</v>
      </c>
      <c r="Z53" s="1529">
        <f>Y53*付加価値率!Q21/付加価値率!P21</f>
        <v>0.26554140195471837</v>
      </c>
      <c r="AA53" s="1529">
        <f>Z53*付加価値率!R21/付加価値率!Q21</f>
        <v>0.35979340507303187</v>
      </c>
      <c r="AB53" s="1529">
        <f>AA53*付加価値率!S21/付加価値率!R21</f>
        <v>0.33915555395400154</v>
      </c>
      <c r="AC53" s="1529">
        <f>AB53*付加価値率!T21/付加価値率!S21</f>
        <v>0.33365393133848009</v>
      </c>
      <c r="AD53" s="1529">
        <f>AC53*付加価値率!U21/付加価値率!T21</f>
        <v>0.28359266857704124</v>
      </c>
      <c r="AE53" s="1529">
        <f>AD53*付加価値率!V21/付加価値率!U21</f>
        <v>0.29413772228563273</v>
      </c>
      <c r="AF53" s="1515">
        <f t="shared" si="24"/>
        <v>0</v>
      </c>
      <c r="AG53" s="1505">
        <f t="shared" si="3"/>
        <v>0</v>
      </c>
      <c r="AH53" s="1505">
        <f t="shared" si="4"/>
        <v>0</v>
      </c>
      <c r="AI53" s="1505">
        <f t="shared" si="5"/>
        <v>0</v>
      </c>
      <c r="AJ53" s="1505">
        <f t="shared" si="6"/>
        <v>0</v>
      </c>
      <c r="AK53" s="1505">
        <f t="shared" si="7"/>
        <v>0</v>
      </c>
      <c r="AL53" s="1505">
        <f t="shared" si="8"/>
        <v>0</v>
      </c>
      <c r="AM53" s="1505">
        <f t="shared" si="8"/>
        <v>0</v>
      </c>
      <c r="AN53" s="1506" t="s">
        <v>9834</v>
      </c>
      <c r="AO53" s="187"/>
      <c r="AP53" s="529">
        <f>商業運輸マージン!G54</f>
        <v>0.43022463564349106</v>
      </c>
      <c r="AQ53" s="529">
        <f>商業運輸マージン!H54</f>
        <v>8.5093972984489983E-3</v>
      </c>
      <c r="AR53" s="197">
        <f t="shared" si="25"/>
        <v>0</v>
      </c>
      <c r="AS53" s="197">
        <f t="shared" si="26"/>
        <v>0</v>
      </c>
    </row>
    <row r="54" spans="1:45" ht="15.75" customHeight="1">
      <c r="A54" s="1514">
        <v>51</v>
      </c>
      <c r="B54" s="622" t="s">
        <v>9087</v>
      </c>
      <c r="C54" s="160">
        <f>SUM(CT作業分類比較!H330:H331)</f>
        <v>110685</v>
      </c>
      <c r="D54" s="1506">
        <f>SUM(CT作業分類比較!I330:I331)</f>
        <v>0</v>
      </c>
      <c r="E54" s="1505"/>
      <c r="F54" s="1505"/>
      <c r="G54" s="1505"/>
      <c r="H54" s="1505"/>
      <c r="I54" s="1505"/>
      <c r="J54" s="1505"/>
      <c r="K54" s="1505"/>
      <c r="L54" s="1505"/>
      <c r="M54" s="1505"/>
      <c r="N54" s="1505"/>
      <c r="O54" s="1505"/>
      <c r="P54" s="1505"/>
      <c r="Q54" s="1505"/>
      <c r="R54" s="1505"/>
      <c r="S54" s="1505"/>
      <c r="T54" s="1505"/>
      <c r="U54" s="1505"/>
      <c r="V54" s="1505"/>
      <c r="W54" s="1517"/>
      <c r="X54" s="1541">
        <v>0.37951845326828387</v>
      </c>
      <c r="Y54" s="789">
        <f>X54*付加価値率!P21/付加価値率!L21</f>
        <v>0.33548404513391</v>
      </c>
      <c r="Z54" s="1529">
        <f>Y54*付加価値率!Q21/付加価値率!P21</f>
        <v>0.31593645058010733</v>
      </c>
      <c r="AA54" s="1529">
        <f>Z54*付加価値率!R21/付加価値率!Q21</f>
        <v>0.42807581229946379</v>
      </c>
      <c r="AB54" s="1529">
        <f>AA54*付加価値率!S21/付加価値率!R21</f>
        <v>0.40352126305723668</v>
      </c>
      <c r="AC54" s="1529">
        <f>AB54*付加価値率!T21/付加価値率!S21</f>
        <v>0.39697553004240727</v>
      </c>
      <c r="AD54" s="1529">
        <f>AC54*付加価値率!U21/付加価値率!T21</f>
        <v>0.33741352746209341</v>
      </c>
      <c r="AE54" s="1529">
        <f>AD54*付加価値率!V21/付加価値率!U21</f>
        <v>0.34995984534451952</v>
      </c>
      <c r="AF54" s="1515">
        <f t="shared" si="24"/>
        <v>0</v>
      </c>
      <c r="AG54" s="1505">
        <f t="shared" si="3"/>
        <v>0</v>
      </c>
      <c r="AH54" s="1505">
        <f t="shared" si="4"/>
        <v>0</v>
      </c>
      <c r="AI54" s="1505">
        <f t="shared" si="5"/>
        <v>0</v>
      </c>
      <c r="AJ54" s="1505">
        <f t="shared" si="6"/>
        <v>0</v>
      </c>
      <c r="AK54" s="1505">
        <f t="shared" si="7"/>
        <v>0</v>
      </c>
      <c r="AL54" s="1505">
        <f t="shared" si="8"/>
        <v>0</v>
      </c>
      <c r="AM54" s="1505">
        <f t="shared" si="8"/>
        <v>0</v>
      </c>
      <c r="AN54" s="1506" t="s">
        <v>9834</v>
      </c>
      <c r="AO54" s="187"/>
      <c r="AP54" s="529">
        <f>商業運輸マージン!G55</f>
        <v>0.14783162467298844</v>
      </c>
      <c r="AQ54" s="529">
        <f>商業運輸マージン!H55</f>
        <v>1.5869570758465998E-2</v>
      </c>
      <c r="AR54" s="197">
        <f t="shared" si="25"/>
        <v>0</v>
      </c>
      <c r="AS54" s="197">
        <f t="shared" si="26"/>
        <v>0</v>
      </c>
    </row>
    <row r="55" spans="1:45" ht="15.75" customHeight="1">
      <c r="A55" s="1514">
        <v>52</v>
      </c>
      <c r="B55" s="622" t="s">
        <v>9088</v>
      </c>
      <c r="C55" s="160">
        <f>SUM(CT作業分類比較!H332:H335)</f>
        <v>413917</v>
      </c>
      <c r="D55" s="1506">
        <f>SUM(CT作業分類比較!I332:I335)</f>
        <v>0</v>
      </c>
      <c r="E55" s="1505"/>
      <c r="F55" s="1505"/>
      <c r="G55" s="1505"/>
      <c r="H55" s="1505"/>
      <c r="I55" s="1505"/>
      <c r="J55" s="1505"/>
      <c r="K55" s="1505"/>
      <c r="L55" s="1505"/>
      <c r="M55" s="1505"/>
      <c r="N55" s="1505"/>
      <c r="O55" s="1505"/>
      <c r="P55" s="1505"/>
      <c r="Q55" s="1505"/>
      <c r="R55" s="1505"/>
      <c r="S55" s="1505"/>
      <c r="T55" s="1505"/>
      <c r="U55" s="1505"/>
      <c r="V55" s="1505"/>
      <c r="W55" s="1517"/>
      <c r="X55" s="1541">
        <v>0.35052679643503409</v>
      </c>
      <c r="Y55" s="789">
        <f>X55*付加価値率!P21/付加価値率!L21</f>
        <v>0.30985620483841514</v>
      </c>
      <c r="Z55" s="1529">
        <f>Y55*付加価値率!Q21/付加価値率!P21</f>
        <v>0.29180186350679166</v>
      </c>
      <c r="AA55" s="1529">
        <f>Z55*付加価値率!R21/付加価値率!Q21</f>
        <v>0.39537482782315003</v>
      </c>
      <c r="AB55" s="1529">
        <f>AA55*付加価値率!S21/付加価値率!R21</f>
        <v>0.37269601626691778</v>
      </c>
      <c r="AC55" s="1529">
        <f>AB55*付加価値率!T21/付加価値率!S21</f>
        <v>0.36665031597422282</v>
      </c>
      <c r="AD55" s="1529">
        <f>AC55*付加価値率!U21/付加価値率!T21</f>
        <v>0.31163829278025756</v>
      </c>
      <c r="AE55" s="1529">
        <f>AD55*付加価値率!V21/付加価値率!U21</f>
        <v>0.32322618943326581</v>
      </c>
      <c r="AF55" s="1515">
        <f t="shared" si="24"/>
        <v>0</v>
      </c>
      <c r="AG55" s="1505">
        <f t="shared" si="3"/>
        <v>0</v>
      </c>
      <c r="AH55" s="1505">
        <f t="shared" si="4"/>
        <v>0</v>
      </c>
      <c r="AI55" s="1505">
        <f t="shared" si="5"/>
        <v>0</v>
      </c>
      <c r="AJ55" s="1505">
        <f t="shared" si="6"/>
        <v>0</v>
      </c>
      <c r="AK55" s="1505">
        <f t="shared" si="7"/>
        <v>0</v>
      </c>
      <c r="AL55" s="1505">
        <f t="shared" si="8"/>
        <v>0</v>
      </c>
      <c r="AM55" s="1505">
        <f t="shared" si="8"/>
        <v>0</v>
      </c>
      <c r="AN55" s="1506" t="s">
        <v>9834</v>
      </c>
      <c r="AO55" s="187"/>
      <c r="AP55" s="529">
        <f>商業運輸マージン!G56</f>
        <v>0.22255266462822948</v>
      </c>
      <c r="AQ55" s="529">
        <f>商業運輸マージン!H56</f>
        <v>1.0016808359096938E-2</v>
      </c>
      <c r="AR55" s="197">
        <f t="shared" si="25"/>
        <v>0</v>
      </c>
      <c r="AS55" s="197">
        <f t="shared" si="26"/>
        <v>0</v>
      </c>
    </row>
    <row r="56" spans="1:45" ht="15.75" customHeight="1">
      <c r="A56" s="1514">
        <v>53</v>
      </c>
      <c r="B56" s="622" t="s">
        <v>9089</v>
      </c>
      <c r="C56" s="160">
        <f>SUM(CT作業分類比較!H336:H342)</f>
        <v>466738</v>
      </c>
      <c r="D56" s="1506">
        <f>SUM(CT作業分類比較!I336:I342)</f>
        <v>0</v>
      </c>
      <c r="E56" s="1505"/>
      <c r="F56" s="1505"/>
      <c r="G56" s="1505"/>
      <c r="H56" s="1505"/>
      <c r="I56" s="1505"/>
      <c r="J56" s="1505"/>
      <c r="K56" s="1505"/>
      <c r="L56" s="1505"/>
      <c r="M56" s="1505"/>
      <c r="N56" s="1505"/>
      <c r="O56" s="1505"/>
      <c r="P56" s="1505"/>
      <c r="Q56" s="1505"/>
      <c r="R56" s="1505"/>
      <c r="S56" s="1505"/>
      <c r="T56" s="1505"/>
      <c r="U56" s="1505"/>
      <c r="V56" s="1505"/>
      <c r="W56" s="1517"/>
      <c r="X56" s="1541">
        <v>0.34788468048455451</v>
      </c>
      <c r="Y56" s="789">
        <f>X56*付加価値率!P22/付加価値率!L22</f>
        <v>0.47146626278371179</v>
      </c>
      <c r="Z56" s="1529">
        <f>Y56*付加価値率!Q22/付加価値率!P22</f>
        <v>0.36035541078147187</v>
      </c>
      <c r="AA56" s="1529">
        <f>Z56*付加価値率!R22/付加価値率!Q22</f>
        <v>0.51634848367308595</v>
      </c>
      <c r="AB56" s="1529">
        <f>AA56*付加価値率!S22/付加価値率!R22</f>
        <v>0.45995662864166026</v>
      </c>
      <c r="AC56" s="1529">
        <f>AB56*付加価値率!T22/付加価値率!S22</f>
        <v>0.47161067994946843</v>
      </c>
      <c r="AD56" s="1529">
        <f>AC56*付加価値率!U22/付加価値率!T22</f>
        <v>0.32515674792625249</v>
      </c>
      <c r="AE56" s="1529">
        <f>AD56*付加価値率!V22/付加価値率!U22</f>
        <v>0.40156240323796005</v>
      </c>
      <c r="AF56" s="1515">
        <f t="shared" si="24"/>
        <v>0</v>
      </c>
      <c r="AG56" s="1505">
        <f t="shared" si="3"/>
        <v>0</v>
      </c>
      <c r="AH56" s="1505">
        <f t="shared" si="4"/>
        <v>0</v>
      </c>
      <c r="AI56" s="1505">
        <f t="shared" si="5"/>
        <v>0</v>
      </c>
      <c r="AJ56" s="1505">
        <f t="shared" si="6"/>
        <v>0</v>
      </c>
      <c r="AK56" s="1505">
        <f t="shared" si="7"/>
        <v>0</v>
      </c>
      <c r="AL56" s="1505">
        <f t="shared" si="8"/>
        <v>0</v>
      </c>
      <c r="AM56" s="1505">
        <f t="shared" si="8"/>
        <v>0</v>
      </c>
      <c r="AN56" s="1506" t="s">
        <v>9834</v>
      </c>
      <c r="AO56" s="187"/>
      <c r="AP56" s="529">
        <f>商業運輸マージン!G57</f>
        <v>0.32963836795526019</v>
      </c>
      <c r="AQ56" s="529">
        <f>商業運輸マージン!H57</f>
        <v>1.4914806677617914E-2</v>
      </c>
      <c r="AR56" s="197">
        <f t="shared" si="25"/>
        <v>0</v>
      </c>
      <c r="AS56" s="197">
        <f t="shared" si="26"/>
        <v>0</v>
      </c>
    </row>
    <row r="57" spans="1:45" ht="15.75" customHeight="1">
      <c r="A57" s="1514">
        <v>54</v>
      </c>
      <c r="B57" s="622" t="s">
        <v>9090</v>
      </c>
      <c r="C57" s="160">
        <f>SUM(CT作業分類比較!H343:H345)</f>
        <v>121170</v>
      </c>
      <c r="D57" s="1506">
        <f>SUM(CT作業分類比較!I343:I345)</f>
        <v>0</v>
      </c>
      <c r="E57" s="1505"/>
      <c r="F57" s="1505"/>
      <c r="G57" s="1505"/>
      <c r="H57" s="1505"/>
      <c r="I57" s="1505"/>
      <c r="J57" s="1505"/>
      <c r="K57" s="1505"/>
      <c r="L57" s="1505"/>
      <c r="M57" s="1505"/>
      <c r="N57" s="1505"/>
      <c r="O57" s="1505"/>
      <c r="P57" s="1505"/>
      <c r="Q57" s="1505"/>
      <c r="R57" s="1505"/>
      <c r="S57" s="1505"/>
      <c r="T57" s="1505"/>
      <c r="U57" s="1505"/>
      <c r="V57" s="1505"/>
      <c r="W57" s="1517"/>
      <c r="X57" s="1541">
        <v>0.28750515804241972</v>
      </c>
      <c r="Y57" s="789">
        <f>X57*付加価値率!P22/付加価値率!L22</f>
        <v>0.38963768742130112</v>
      </c>
      <c r="Z57" s="1529">
        <f>Y57*付加価値率!Q22/付加価値率!P22</f>
        <v>0.29781144482666577</v>
      </c>
      <c r="AA57" s="1529">
        <f>Z57*付加価値率!R22/付加価値率!Q22</f>
        <v>0.42673006525214152</v>
      </c>
      <c r="AB57" s="1529">
        <f>AA57*付加価値率!S22/付加価値率!R22</f>
        <v>0.38012568712737643</v>
      </c>
      <c r="AC57" s="1529">
        <f>AB57*付加価値率!T22/付加価値率!S22</f>
        <v>0.38975703927090555</v>
      </c>
      <c r="AD57" s="1529">
        <f>AC57*付加価値率!U22/付加価値率!T22</f>
        <v>0.26872192840134845</v>
      </c>
      <c r="AE57" s="1529">
        <f>AD57*付加価値率!V22/付加価値率!U22</f>
        <v>0.33186647381544992</v>
      </c>
      <c r="AF57" s="1515">
        <f t="shared" si="24"/>
        <v>0</v>
      </c>
      <c r="AG57" s="1505">
        <f t="shared" si="3"/>
        <v>0</v>
      </c>
      <c r="AH57" s="1505">
        <f t="shared" si="4"/>
        <v>0</v>
      </c>
      <c r="AI57" s="1505">
        <f t="shared" si="5"/>
        <v>0</v>
      </c>
      <c r="AJ57" s="1505">
        <f t="shared" si="6"/>
        <v>0</v>
      </c>
      <c r="AK57" s="1505">
        <f t="shared" si="7"/>
        <v>0</v>
      </c>
      <c r="AL57" s="1505">
        <f t="shared" si="8"/>
        <v>0</v>
      </c>
      <c r="AM57" s="1505">
        <f t="shared" si="8"/>
        <v>0</v>
      </c>
      <c r="AN57" s="1506" t="s">
        <v>9834</v>
      </c>
      <c r="AO57" s="187"/>
      <c r="AP57" s="529">
        <f>商業運輸マージン!G58</f>
        <v>0.29431973420621271</v>
      </c>
      <c r="AQ57" s="529">
        <f>商業運輸マージン!H58</f>
        <v>1.2570878704493686E-2</v>
      </c>
      <c r="AR57" s="197">
        <f t="shared" si="25"/>
        <v>0</v>
      </c>
      <c r="AS57" s="197">
        <f t="shared" si="26"/>
        <v>0</v>
      </c>
    </row>
    <row r="58" spans="1:45" ht="15.75" customHeight="1">
      <c r="A58" s="1514">
        <v>55</v>
      </c>
      <c r="B58" s="622" t="s">
        <v>562</v>
      </c>
      <c r="C58" s="160">
        <f>CT作業分類比較!H346</f>
        <v>0</v>
      </c>
      <c r="D58" s="1506">
        <f>CT作業分類比較!I346</f>
        <v>0</v>
      </c>
      <c r="E58" s="1505"/>
      <c r="F58" s="1505"/>
      <c r="G58" s="1505"/>
      <c r="H58" s="1505"/>
      <c r="I58" s="1505"/>
      <c r="J58" s="1505"/>
      <c r="K58" s="1505"/>
      <c r="L58" s="1505"/>
      <c r="M58" s="1505"/>
      <c r="N58" s="1505"/>
      <c r="O58" s="1505"/>
      <c r="P58" s="1505"/>
      <c r="Q58" s="1505"/>
      <c r="R58" s="1505"/>
      <c r="S58" s="1505"/>
      <c r="T58" s="1505"/>
      <c r="U58" s="1505"/>
      <c r="V58" s="1505"/>
      <c r="W58" s="1517"/>
      <c r="X58" s="1541">
        <v>0</v>
      </c>
      <c r="Y58" s="1549">
        <f>X58</f>
        <v>0</v>
      </c>
      <c r="Z58" s="1549">
        <f>Y58</f>
        <v>0</v>
      </c>
      <c r="AA58" s="1549">
        <f t="shared" ref="AA58:AE58" si="30">Z58</f>
        <v>0</v>
      </c>
      <c r="AB58" s="1549">
        <f t="shared" si="30"/>
        <v>0</v>
      </c>
      <c r="AC58" s="1549">
        <f t="shared" si="30"/>
        <v>0</v>
      </c>
      <c r="AD58" s="1549">
        <f t="shared" si="30"/>
        <v>0</v>
      </c>
      <c r="AE58" s="1549">
        <f t="shared" si="30"/>
        <v>0</v>
      </c>
      <c r="AF58" s="1515">
        <f t="shared" si="24"/>
        <v>0</v>
      </c>
      <c r="AG58" s="1505">
        <f t="shared" si="3"/>
        <v>0</v>
      </c>
      <c r="AH58" s="1505">
        <f t="shared" si="4"/>
        <v>0</v>
      </c>
      <c r="AI58" s="1505">
        <f t="shared" si="5"/>
        <v>0</v>
      </c>
      <c r="AJ58" s="1505">
        <f t="shared" si="6"/>
        <v>0</v>
      </c>
      <c r="AK58" s="1505">
        <f t="shared" si="7"/>
        <v>0</v>
      </c>
      <c r="AL58" s="1505">
        <f t="shared" si="8"/>
        <v>0</v>
      </c>
      <c r="AM58" s="1505">
        <f t="shared" si="8"/>
        <v>0</v>
      </c>
      <c r="AN58" s="1506" t="s">
        <v>9834</v>
      </c>
      <c r="AO58" s="187"/>
      <c r="AP58" s="529">
        <f>商業運輸マージン!G59</f>
        <v>0.1700021237516888</v>
      </c>
      <c r="AQ58" s="529">
        <f>商業運輸マージン!H59</f>
        <v>2.1154044037038473E-2</v>
      </c>
      <c r="AR58" s="197">
        <f t="shared" si="25"/>
        <v>0</v>
      </c>
      <c r="AS58" s="197">
        <f t="shared" si="26"/>
        <v>0</v>
      </c>
    </row>
    <row r="59" spans="1:45" ht="15.75" customHeight="1">
      <c r="A59" s="1514">
        <v>56</v>
      </c>
      <c r="B59" s="622" t="s">
        <v>9091</v>
      </c>
      <c r="C59" s="160">
        <f>SUM(CT作業分類比較!H347:H348)</f>
        <v>172549</v>
      </c>
      <c r="D59" s="1506">
        <f>SUM(CT作業分類比較!I347:I348)</f>
        <v>1395.9990000000003</v>
      </c>
      <c r="E59" s="1515">
        <v>1124620</v>
      </c>
      <c r="F59" s="1515">
        <v>1816983</v>
      </c>
      <c r="G59" s="1516">
        <v>1464522</v>
      </c>
      <c r="H59" s="1515">
        <f>QE産出!T17</f>
        <v>1639407.7757716184</v>
      </c>
      <c r="I59" s="1515">
        <f>QE産出!T18</f>
        <v>1422436.0731600467</v>
      </c>
      <c r="J59" s="1515">
        <f>QE産出!T19</f>
        <v>1688276.7336698654</v>
      </c>
      <c r="K59" s="1515">
        <f>QE産出!T20</f>
        <v>1893026.0641383524</v>
      </c>
      <c r="L59" s="1516">
        <f>QE産出!T21</f>
        <v>1998642.9971041144</v>
      </c>
      <c r="M59" s="1516">
        <f>QE産出!T22</f>
        <v>1999931.5088205764</v>
      </c>
      <c r="N59" s="1505" t="s">
        <v>9819</v>
      </c>
      <c r="O59" s="1515">
        <f>ROUND(D59*F59/E59,0)</f>
        <v>2255</v>
      </c>
      <c r="P59" s="1515">
        <f>ROUND(D59*G59/E59,0)</f>
        <v>1818</v>
      </c>
      <c r="Q59" s="1516">
        <f>CT作業分類比較!L348</f>
        <v>776</v>
      </c>
      <c r="R59" s="1515">
        <f>ROUND(Q59*I59/H59,0)</f>
        <v>673</v>
      </c>
      <c r="S59" s="1515">
        <f t="shared" ref="S59" si="31">ROUND(R59*J59/I59,0)</f>
        <v>799</v>
      </c>
      <c r="T59" s="1515">
        <f t="shared" ref="T59" si="32">ROUND(S59*K59/J59,0)</f>
        <v>896</v>
      </c>
      <c r="U59" s="1515">
        <f t="shared" ref="U59:V59" si="33">ROUND(T59*L59/K59,0)</f>
        <v>946</v>
      </c>
      <c r="V59" s="1515">
        <f t="shared" si="33"/>
        <v>947</v>
      </c>
      <c r="W59" s="1517" t="s">
        <v>9728</v>
      </c>
      <c r="X59" s="1541">
        <v>0.21288445600959727</v>
      </c>
      <c r="Y59" s="789">
        <f>X59*付加価値率!P23/付加価値率!L23</f>
        <v>0.18944951600551579</v>
      </c>
      <c r="Z59" s="1529">
        <f>Y59*付加価値率!Q23/付加価値率!P23</f>
        <v>0.18696207165583609</v>
      </c>
      <c r="AA59" s="1529">
        <f>Z59*付加価値率!R23/付加価値率!Q23</f>
        <v>0.1812339581341246</v>
      </c>
      <c r="AB59" s="1529">
        <f>AA59*付加価値率!S23/付加価値率!R23</f>
        <v>0.25948662422306934</v>
      </c>
      <c r="AC59" s="1529">
        <f>AB59*付加価値率!T23/付加価値率!S23</f>
        <v>0.25468071870885989</v>
      </c>
      <c r="AD59" s="1529">
        <f>AC59*付加価値率!U23/付加価値率!T23</f>
        <v>0.23293547654133281</v>
      </c>
      <c r="AE59" s="1529">
        <f>AD59*付加価値率!V23/付加価値率!U23</f>
        <v>0.22011848692641126</v>
      </c>
      <c r="AF59" s="1515">
        <f t="shared" si="24"/>
        <v>297</v>
      </c>
      <c r="AG59" s="1505">
        <f t="shared" si="3"/>
        <v>427</v>
      </c>
      <c r="AH59" s="1505">
        <f t="shared" si="4"/>
        <v>340</v>
      </c>
      <c r="AI59" s="1505">
        <f t="shared" si="5"/>
        <v>122</v>
      </c>
      <c r="AJ59" s="1505">
        <f t="shared" si="6"/>
        <v>207</v>
      </c>
      <c r="AK59" s="1505">
        <f t="shared" si="7"/>
        <v>228</v>
      </c>
      <c r="AL59" s="1505">
        <f t="shared" si="8"/>
        <v>220</v>
      </c>
      <c r="AM59" s="1505">
        <f t="shared" si="8"/>
        <v>208</v>
      </c>
      <c r="AN59" s="1518">
        <f>ROUND(AK59/AH59*100,1)</f>
        <v>67.099999999999994</v>
      </c>
      <c r="AO59" s="187"/>
      <c r="AP59" s="529">
        <f>商業運輸マージン!G60</f>
        <v>9.6122841287587746E-2</v>
      </c>
      <c r="AQ59" s="529">
        <f>商業運輸マージン!H60</f>
        <v>1.7876406884567229E-2</v>
      </c>
      <c r="AR59" s="197">
        <f t="shared" si="25"/>
        <v>134</v>
      </c>
      <c r="AS59" s="197">
        <f t="shared" si="26"/>
        <v>25</v>
      </c>
    </row>
    <row r="60" spans="1:45" ht="15.75" customHeight="1">
      <c r="A60" s="1514">
        <v>57</v>
      </c>
      <c r="B60" s="622" t="s">
        <v>9092</v>
      </c>
      <c r="C60" s="160">
        <f>SUM(CT作業分類比較!H349:H350)</f>
        <v>299889</v>
      </c>
      <c r="D60" s="1506">
        <f>SUM(CT作業分類比較!I349:I350)</f>
        <v>0</v>
      </c>
      <c r="E60" s="1505"/>
      <c r="F60" s="1505"/>
      <c r="G60" s="1505"/>
      <c r="H60" s="1505"/>
      <c r="I60" s="1505"/>
      <c r="J60" s="1505"/>
      <c r="K60" s="1505"/>
      <c r="L60" s="1505"/>
      <c r="M60" s="1505"/>
      <c r="N60" s="1505"/>
      <c r="O60" s="1505"/>
      <c r="P60" s="1505"/>
      <c r="Q60" s="1505"/>
      <c r="R60" s="1505"/>
      <c r="S60" s="1505"/>
      <c r="T60" s="1505"/>
      <c r="U60" s="1505"/>
      <c r="V60" s="1505"/>
      <c r="W60" s="1517"/>
      <c r="X60" s="1541">
        <v>0.25073610569243954</v>
      </c>
      <c r="Y60" s="789">
        <f>X60*付加価値率!P23/付加価値率!L23</f>
        <v>0.2231343460153758</v>
      </c>
      <c r="Z60" s="1529">
        <f>Y60*付加価値率!Q23/付加価値率!P23</f>
        <v>0.22020462478980524</v>
      </c>
      <c r="AA60" s="1529">
        <f>Z60*付加価値率!R23/付加価値率!Q23</f>
        <v>0.21345803133568572</v>
      </c>
      <c r="AB60" s="1529">
        <f>AA60*付加価値率!S23/付加価値率!R23</f>
        <v>0.30562431309703836</v>
      </c>
      <c r="AC60" s="1529">
        <f>AB60*付加価値率!T23/付加価値率!S23</f>
        <v>0.29996389967115461</v>
      </c>
      <c r="AD60" s="1529">
        <f>AC60*付加価値率!U23/付加価値率!T23</f>
        <v>0.27435227240336124</v>
      </c>
      <c r="AE60" s="1529">
        <f>AD60*付加価値率!V23/付加価値率!U23</f>
        <v>0.25925637426695153</v>
      </c>
      <c r="AF60" s="1515">
        <f t="shared" si="24"/>
        <v>0</v>
      </c>
      <c r="AG60" s="1505">
        <f t="shared" si="3"/>
        <v>0</v>
      </c>
      <c r="AH60" s="1505">
        <f t="shared" si="4"/>
        <v>0</v>
      </c>
      <c r="AI60" s="1505">
        <f t="shared" si="5"/>
        <v>0</v>
      </c>
      <c r="AJ60" s="1505">
        <f t="shared" si="6"/>
        <v>0</v>
      </c>
      <c r="AK60" s="1505">
        <f t="shared" si="7"/>
        <v>0</v>
      </c>
      <c r="AL60" s="1505">
        <f t="shared" si="8"/>
        <v>0</v>
      </c>
      <c r="AM60" s="1505">
        <f t="shared" si="8"/>
        <v>0</v>
      </c>
      <c r="AN60" s="1506" t="s">
        <v>9834</v>
      </c>
      <c r="AO60" s="187"/>
      <c r="AP60" s="529">
        <f>商業運輸マージン!G61</f>
        <v>3.2893742024995551E-2</v>
      </c>
      <c r="AQ60" s="529">
        <f>商業運輸マージン!H61</f>
        <v>1.5594696203792517E-2</v>
      </c>
      <c r="AR60" s="197">
        <f t="shared" si="25"/>
        <v>0</v>
      </c>
      <c r="AS60" s="197">
        <f t="shared" si="26"/>
        <v>0</v>
      </c>
    </row>
    <row r="61" spans="1:45" ht="15.75" customHeight="1">
      <c r="A61" s="1514">
        <v>58</v>
      </c>
      <c r="B61" s="622" t="s">
        <v>9093</v>
      </c>
      <c r="C61" s="160">
        <f>SUM(CT作業分類比較!H351:H354)</f>
        <v>312028</v>
      </c>
      <c r="D61" s="1506">
        <f>SUM(CT作業分類比較!I351:I354)</f>
        <v>0</v>
      </c>
      <c r="E61" s="1505"/>
      <c r="F61" s="1505"/>
      <c r="G61" s="1505"/>
      <c r="H61" s="1505"/>
      <c r="I61" s="1505"/>
      <c r="J61" s="1505"/>
      <c r="K61" s="1505"/>
      <c r="L61" s="1505"/>
      <c r="M61" s="1505"/>
      <c r="N61" s="1505"/>
      <c r="O61" s="1505"/>
      <c r="P61" s="1505"/>
      <c r="Q61" s="1505"/>
      <c r="R61" s="1505"/>
      <c r="S61" s="1505"/>
      <c r="T61" s="1505"/>
      <c r="U61" s="1505"/>
      <c r="V61" s="1505"/>
      <c r="W61" s="1517"/>
      <c r="X61" s="1541">
        <v>0.36051251810734936</v>
      </c>
      <c r="Y61" s="789">
        <f>X61*付加価値率!P23/付加価値率!L23</f>
        <v>0.32082625171228107</v>
      </c>
      <c r="Z61" s="1529">
        <f>Y61*付加価値率!Q23/付加価値率!P23</f>
        <v>0.31661385009797766</v>
      </c>
      <c r="AA61" s="1529">
        <f>Z61*付加価値率!R23/付加価値率!Q23</f>
        <v>0.30691348649029432</v>
      </c>
      <c r="AB61" s="1529">
        <f>AA61*付加価値率!S23/付加価値率!R23</f>
        <v>0.43943169016349826</v>
      </c>
      <c r="AC61" s="1529">
        <f>AB61*付加価値率!T23/付加価値率!S23</f>
        <v>0.43129305415789188</v>
      </c>
      <c r="AD61" s="1529">
        <f>AC61*付加価値率!U23/付加価値率!T23</f>
        <v>0.39446823304311829</v>
      </c>
      <c r="AE61" s="1529">
        <f>AD61*付加価値率!V23/付加価値率!U23</f>
        <v>0.37276310112675698</v>
      </c>
      <c r="AF61" s="1515">
        <f t="shared" si="24"/>
        <v>0</v>
      </c>
      <c r="AG61" s="1505">
        <f t="shared" si="3"/>
        <v>0</v>
      </c>
      <c r="AH61" s="1505">
        <f t="shared" si="4"/>
        <v>0</v>
      </c>
      <c r="AI61" s="1505">
        <f t="shared" si="5"/>
        <v>0</v>
      </c>
      <c r="AJ61" s="1505">
        <f t="shared" si="6"/>
        <v>0</v>
      </c>
      <c r="AK61" s="1505">
        <f t="shared" si="7"/>
        <v>0</v>
      </c>
      <c r="AL61" s="1505">
        <f t="shared" si="8"/>
        <v>0</v>
      </c>
      <c r="AM61" s="1505">
        <f t="shared" si="8"/>
        <v>0</v>
      </c>
      <c r="AN61" s="1506" t="s">
        <v>9834</v>
      </c>
      <c r="AO61" s="187"/>
      <c r="AP61" s="529">
        <f>商業運輸マージン!G62</f>
        <v>7.7070499704575787E-2</v>
      </c>
      <c r="AQ61" s="529">
        <f>商業運輸マージン!H62</f>
        <v>3.5249168435564698E-3</v>
      </c>
      <c r="AR61" s="197">
        <f t="shared" si="25"/>
        <v>0</v>
      </c>
      <c r="AS61" s="197">
        <f t="shared" si="26"/>
        <v>0</v>
      </c>
    </row>
    <row r="62" spans="1:45" ht="15.75" customHeight="1">
      <c r="A62" s="1514">
        <v>59</v>
      </c>
      <c r="B62" s="622" t="s">
        <v>9094</v>
      </c>
      <c r="C62" s="160">
        <f>SUM(CT作業分類比較!H355:H361)</f>
        <v>341702</v>
      </c>
      <c r="D62" s="1506">
        <f>SUM(CT作業分類比較!I355:I361)</f>
        <v>2118.2849999999999</v>
      </c>
      <c r="E62" s="1515">
        <f t="shared" ref="E62:J62" si="34">E59</f>
        <v>1124620</v>
      </c>
      <c r="F62" s="1515">
        <f t="shared" si="34"/>
        <v>1816983</v>
      </c>
      <c r="G62" s="1516">
        <f t="shared" si="34"/>
        <v>1464522</v>
      </c>
      <c r="H62" s="1515">
        <f t="shared" ref="H62:I62" si="35">H59</f>
        <v>1639407.7757716184</v>
      </c>
      <c r="I62" s="1515">
        <f t="shared" si="35"/>
        <v>1422436.0731600467</v>
      </c>
      <c r="J62" s="1515">
        <f t="shared" si="34"/>
        <v>1688276.7336698654</v>
      </c>
      <c r="K62" s="1515">
        <f>QE産出!T20</f>
        <v>1893026.0641383524</v>
      </c>
      <c r="L62" s="1516">
        <f>QE産出!T21</f>
        <v>1998642.9971041144</v>
      </c>
      <c r="M62" s="1516">
        <f>QE産出!T22</f>
        <v>1999931.5088205764</v>
      </c>
      <c r="N62" s="1505" t="s">
        <v>9819</v>
      </c>
      <c r="O62" s="1515">
        <f>ROUND(D62*F62/E62,0)</f>
        <v>3422</v>
      </c>
      <c r="P62" s="1515">
        <f>ROUND(D62*G62/E62,0)</f>
        <v>2759</v>
      </c>
      <c r="Q62" s="1516">
        <f>CT作業分類比較!L359</f>
        <v>1296</v>
      </c>
      <c r="R62" s="1515">
        <f>ROUND(Q62*I62/H62,0)</f>
        <v>1124</v>
      </c>
      <c r="S62" s="1515">
        <f t="shared" ref="S62:S63" si="36">ROUND(R62*J62/I62,0)</f>
        <v>1334</v>
      </c>
      <c r="T62" s="1515">
        <f t="shared" ref="T62:T63" si="37">ROUND(S62*K62/J62,0)</f>
        <v>1496</v>
      </c>
      <c r="U62" s="1515">
        <f t="shared" ref="U62:V63" si="38">ROUND(T62*L62/K62,0)</f>
        <v>1579</v>
      </c>
      <c r="V62" s="1515">
        <f t="shared" si="38"/>
        <v>1580</v>
      </c>
      <c r="W62" s="1517" t="s">
        <v>9728</v>
      </c>
      <c r="X62" s="1541">
        <v>0.35614951039209602</v>
      </c>
      <c r="Y62" s="789">
        <f>X62*付加価値率!P23/付加価値率!L23</f>
        <v>0.31694353657432939</v>
      </c>
      <c r="Z62" s="1529">
        <f>Y62*付加価値率!Q23/付加価値率!P23</f>
        <v>0.31278211444012682</v>
      </c>
      <c r="AA62" s="1529">
        <f>Z62*付加価値率!R23/付加価値率!Q23</f>
        <v>0.30319914692588085</v>
      </c>
      <c r="AB62" s="1529">
        <f>AA62*付加価値率!S23/付加価値率!R23</f>
        <v>0.43411358397241379</v>
      </c>
      <c r="AC62" s="1529">
        <f>AB62*付加価値率!T23/付加価値率!S23</f>
        <v>0.42607344366362959</v>
      </c>
      <c r="AD62" s="1529">
        <f>AC62*付加価値率!U23/付加価値率!T23</f>
        <v>0.38969428523896199</v>
      </c>
      <c r="AE62" s="1529">
        <f>AD62*付加価値率!V23/付加価値率!U23</f>
        <v>0.36825183395990241</v>
      </c>
      <c r="AF62" s="1515">
        <f t="shared" si="24"/>
        <v>754</v>
      </c>
      <c r="AG62" s="1505">
        <f t="shared" si="3"/>
        <v>1085</v>
      </c>
      <c r="AH62" s="1505">
        <f t="shared" si="4"/>
        <v>863</v>
      </c>
      <c r="AI62" s="1505">
        <f t="shared" si="5"/>
        <v>341</v>
      </c>
      <c r="AJ62" s="1505">
        <f t="shared" si="6"/>
        <v>579</v>
      </c>
      <c r="AK62" s="1505">
        <f t="shared" si="7"/>
        <v>637</v>
      </c>
      <c r="AL62" s="1505">
        <f t="shared" si="8"/>
        <v>615</v>
      </c>
      <c r="AM62" s="1505">
        <f t="shared" si="8"/>
        <v>582</v>
      </c>
      <c r="AN62" s="1518">
        <f>ROUND(AK62/AH62*100,1)</f>
        <v>73.8</v>
      </c>
      <c r="AO62" s="187"/>
      <c r="AP62" s="529">
        <f>商業運輸マージン!G63</f>
        <v>0.14394678777364667</v>
      </c>
      <c r="AQ62" s="529">
        <f>商業運輸マージン!H63</f>
        <v>1.4670977175784918E-2</v>
      </c>
      <c r="AR62" s="197">
        <f t="shared" si="25"/>
        <v>305</v>
      </c>
      <c r="AS62" s="197">
        <f t="shared" si="26"/>
        <v>31</v>
      </c>
    </row>
    <row r="63" spans="1:45" ht="15.75" customHeight="1">
      <c r="A63" s="1514">
        <v>60</v>
      </c>
      <c r="B63" s="622" t="s">
        <v>600</v>
      </c>
      <c r="C63" s="160">
        <f>SUM(CT作業分類比較!H362:H370)</f>
        <v>222476</v>
      </c>
      <c r="D63" s="1506">
        <f>SUM(CT作業分類比較!I362:I370)</f>
        <v>58282.741000000002</v>
      </c>
      <c r="E63" s="1515">
        <f t="shared" ref="E63:J63" si="39">E33</f>
        <v>971155</v>
      </c>
      <c r="F63" s="1515">
        <f t="shared" si="39"/>
        <v>1008198</v>
      </c>
      <c r="G63" s="1516">
        <f t="shared" si="39"/>
        <v>896627</v>
      </c>
      <c r="H63" s="1515">
        <f t="shared" ref="H63:I63" si="40">H33</f>
        <v>929398.78102371283</v>
      </c>
      <c r="I63" s="1515">
        <f t="shared" si="40"/>
        <v>1010614.7333913199</v>
      </c>
      <c r="J63" s="1515">
        <f t="shared" si="39"/>
        <v>1105873.9464013102</v>
      </c>
      <c r="K63" s="1515">
        <f>QE産出!V20</f>
        <v>1068366.7206865575</v>
      </c>
      <c r="L63" s="1516">
        <f>QE産出!V21</f>
        <v>1045015.1820327051</v>
      </c>
      <c r="M63" s="1516">
        <f>QE産出!V22</f>
        <v>1095423.9380575977</v>
      </c>
      <c r="N63" s="1505" t="s">
        <v>9820</v>
      </c>
      <c r="O63" s="1515">
        <f>ROUND(D63*F63/E63,0)</f>
        <v>60506</v>
      </c>
      <c r="P63" s="1515">
        <f>ROUND(D63*G63/E63,0)</f>
        <v>53810</v>
      </c>
      <c r="Q63" s="1516">
        <f>CT作業分類比較!L363+CT作業分類比較!L365</f>
        <v>48883</v>
      </c>
      <c r="R63" s="1515">
        <f>ROUND(Q63*I63/H63,0)</f>
        <v>53155</v>
      </c>
      <c r="S63" s="1515">
        <f t="shared" si="36"/>
        <v>58165</v>
      </c>
      <c r="T63" s="1515">
        <f t="shared" si="37"/>
        <v>56192</v>
      </c>
      <c r="U63" s="1515">
        <f t="shared" si="38"/>
        <v>54964</v>
      </c>
      <c r="V63" s="1515">
        <f t="shared" si="38"/>
        <v>57615</v>
      </c>
      <c r="W63" s="1517" t="s">
        <v>9726</v>
      </c>
      <c r="X63" s="1541">
        <v>0.37195023283410344</v>
      </c>
      <c r="Y63" s="789">
        <f>X63*付加価値率!P25/付加価値率!L25</f>
        <v>0.3395679747729935</v>
      </c>
      <c r="Z63" s="1529">
        <f>Y63*付加価値率!Q25/付加価値率!P25</f>
        <v>0.35478515920104187</v>
      </c>
      <c r="AA63" s="1529">
        <f>Z63*付加価値率!R25/付加価値率!Q25</f>
        <v>0.40246503094433628</v>
      </c>
      <c r="AB63" s="1529">
        <f>AA63*付加価値率!S25/付加価値率!R25</f>
        <v>0.39675453470897498</v>
      </c>
      <c r="AC63" s="1529">
        <f>AB63*付加価値率!T25/付加価値率!S25</f>
        <v>0.36933883924553002</v>
      </c>
      <c r="AD63" s="1529">
        <f>AC63*付加価値率!U25/付加価値率!T25</f>
        <v>0.36691559338660934</v>
      </c>
      <c r="AE63" s="1529">
        <f>AD63*付加価値率!V25/付加価値率!U25</f>
        <v>0.39158249854651217</v>
      </c>
      <c r="AF63" s="1515">
        <f t="shared" si="24"/>
        <v>21678</v>
      </c>
      <c r="AG63" s="1505">
        <f t="shared" si="3"/>
        <v>20546</v>
      </c>
      <c r="AH63" s="1505">
        <f t="shared" si="4"/>
        <v>19091</v>
      </c>
      <c r="AI63" s="1505">
        <f t="shared" si="5"/>
        <v>21393</v>
      </c>
      <c r="AJ63" s="1505">
        <f t="shared" si="6"/>
        <v>23077</v>
      </c>
      <c r="AK63" s="1505">
        <f t="shared" si="7"/>
        <v>20754</v>
      </c>
      <c r="AL63" s="1505">
        <f t="shared" si="8"/>
        <v>20167</v>
      </c>
      <c r="AM63" s="1505">
        <f t="shared" si="8"/>
        <v>22561</v>
      </c>
      <c r="AN63" s="1518">
        <f>ROUND(AK63/AH63*100,1)</f>
        <v>108.7</v>
      </c>
      <c r="AO63" s="187"/>
      <c r="AP63" s="529">
        <f>商業運輸マージン!G64</f>
        <v>0.55786669655942323</v>
      </c>
      <c r="AQ63" s="529">
        <f>商業運輸マージン!H64</f>
        <v>5.3623460574041854E-2</v>
      </c>
      <c r="AR63" s="197">
        <f t="shared" si="25"/>
        <v>32514</v>
      </c>
      <c r="AS63" s="197">
        <f t="shared" si="26"/>
        <v>3125</v>
      </c>
    </row>
    <row r="64" spans="1:45" ht="15.75" customHeight="1">
      <c r="A64" s="790">
        <v>61</v>
      </c>
      <c r="B64" s="791" t="s">
        <v>7058</v>
      </c>
      <c r="C64" s="155">
        <f>CT作業分類比較!H371</f>
        <v>63251</v>
      </c>
      <c r="D64" s="643">
        <f>CT作業分類比較!I371</f>
        <v>0</v>
      </c>
      <c r="E64" s="792"/>
      <c r="F64" s="792"/>
      <c r="G64" s="792"/>
      <c r="H64" s="792"/>
      <c r="I64" s="792"/>
      <c r="J64" s="792"/>
      <c r="K64" s="792"/>
      <c r="L64" s="792"/>
      <c r="M64" s="792"/>
      <c r="N64" s="792"/>
      <c r="O64" s="792"/>
      <c r="P64" s="792"/>
      <c r="Q64" s="792"/>
      <c r="R64" s="792"/>
      <c r="S64" s="792"/>
      <c r="T64" s="792"/>
      <c r="U64" s="792"/>
      <c r="V64" s="792"/>
      <c r="W64" s="793"/>
      <c r="X64" s="1542">
        <v>0.31839812809283646</v>
      </c>
      <c r="Y64" s="794">
        <f>X64*付加価値率!P25/付加価値率!L25</f>
        <v>0.2906781552579889</v>
      </c>
      <c r="Z64" s="1530">
        <f>Y64*付加価値率!Q25/付加価値率!P25</f>
        <v>0.30370442223950489</v>
      </c>
      <c r="AA64" s="1530">
        <f>Z64*付加価値率!R25/付加価値率!Q25</f>
        <v>0.34451951138489212</v>
      </c>
      <c r="AB64" s="1530">
        <f>AA64*付加価値率!S25/付加価値率!R25</f>
        <v>0.33963119259566538</v>
      </c>
      <c r="AC64" s="1530">
        <f>AB64*付加価値率!T25/付加価値率!S25</f>
        <v>0.31616271389782441</v>
      </c>
      <c r="AD64" s="1530">
        <f>AC64*付加価値率!U25/付加価値率!T25</f>
        <v>0.31408835857477457</v>
      </c>
      <c r="AE64" s="1530">
        <f>AD64*付加価値率!V25/付加価値率!U25</f>
        <v>0.33520380826521623</v>
      </c>
      <c r="AF64" s="795">
        <f t="shared" si="24"/>
        <v>0</v>
      </c>
      <c r="AG64" s="792">
        <f t="shared" si="3"/>
        <v>0</v>
      </c>
      <c r="AH64" s="792">
        <f t="shared" si="4"/>
        <v>0</v>
      </c>
      <c r="AI64" s="792">
        <f t="shared" si="5"/>
        <v>0</v>
      </c>
      <c r="AJ64" s="792">
        <f t="shared" si="6"/>
        <v>0</v>
      </c>
      <c r="AK64" s="792">
        <f t="shared" si="7"/>
        <v>0</v>
      </c>
      <c r="AL64" s="792">
        <f t="shared" si="8"/>
        <v>0</v>
      </c>
      <c r="AM64" s="792">
        <f t="shared" si="8"/>
        <v>0</v>
      </c>
      <c r="AN64" s="643" t="s">
        <v>9834</v>
      </c>
      <c r="AO64" s="187"/>
      <c r="AP64" s="529">
        <f>商業運輸マージン!G65</f>
        <v>0</v>
      </c>
      <c r="AQ64" s="529">
        <f>商業運輸マージン!H65</f>
        <v>0</v>
      </c>
      <c r="AR64" s="197">
        <f t="shared" si="25"/>
        <v>0</v>
      </c>
      <c r="AS64" s="197">
        <f t="shared" si="26"/>
        <v>0</v>
      </c>
    </row>
    <row r="65" spans="1:45" ht="15.75" customHeight="1">
      <c r="A65" s="621">
        <v>62</v>
      </c>
      <c r="B65" s="622" t="s">
        <v>9095</v>
      </c>
      <c r="C65" s="197">
        <f>SUM(CT作業分類比較!H372:H375)</f>
        <v>1043036</v>
      </c>
      <c r="D65" s="627">
        <f>SUM(CT作業分類比較!I372:I375)</f>
        <v>1380.375</v>
      </c>
      <c r="E65" s="633">
        <f>E67</f>
        <v>1886605</v>
      </c>
      <c r="F65" s="633">
        <v>1969466</v>
      </c>
      <c r="G65" s="1499">
        <f>G67</f>
        <v>2205322</v>
      </c>
      <c r="H65" s="633">
        <f>QE産出!W17</f>
        <v>2183860.3209211305</v>
      </c>
      <c r="I65" s="633">
        <f>QE産出!W18</f>
        <v>2245387.3765464723</v>
      </c>
      <c r="J65" s="633">
        <f>QE産出!W19</f>
        <v>2252704.3966540284</v>
      </c>
      <c r="K65" s="633">
        <f>QE産出!W20</f>
        <v>2410134.4393009995</v>
      </c>
      <c r="L65" s="1499">
        <f>QE産出!W21</f>
        <v>2651099.4414418647</v>
      </c>
      <c r="M65" s="1499">
        <f>QE産出!W22</f>
        <v>2680858.7380578821</v>
      </c>
      <c r="N65" s="612" t="s">
        <v>9821</v>
      </c>
      <c r="O65" s="633">
        <f>ROUND(D65*F65/E65,0)</f>
        <v>1441</v>
      </c>
      <c r="P65" s="633">
        <f>ROUND(D65*G65/E65,0)</f>
        <v>1614</v>
      </c>
      <c r="Q65" s="1499">
        <f>CT作業分類比較!L374+CT作業分類比較!L375+CT作業分類比較!L376</f>
        <v>3842</v>
      </c>
      <c r="R65" s="633">
        <f>ROUND(Q65*I65/H65,0)</f>
        <v>3950</v>
      </c>
      <c r="S65" s="633">
        <f t="shared" ref="S65" si="41">ROUND(R65*J65/I65,0)</f>
        <v>3963</v>
      </c>
      <c r="T65" s="633">
        <f t="shared" ref="T65" si="42">ROUND(S65*K65/J65,0)</f>
        <v>4240</v>
      </c>
      <c r="U65" s="633">
        <f t="shared" ref="U65:V65" si="43">ROUND(T65*L65/K65,0)</f>
        <v>4664</v>
      </c>
      <c r="V65" s="633">
        <f t="shared" si="43"/>
        <v>4716</v>
      </c>
      <c r="W65" s="718" t="s">
        <v>9734</v>
      </c>
      <c r="X65" s="1539">
        <v>0.4306332667328836</v>
      </c>
      <c r="Y65" s="529">
        <f>X65*付加価値率!P29/付加価値率!L29</f>
        <v>0.45478429402581455</v>
      </c>
      <c r="Z65" s="1527">
        <f>Y65*付加価値率!Q29/付加価値率!P29</f>
        <v>0.44560232578171294</v>
      </c>
      <c r="AA65" s="1527">
        <f>Z65*付加価値率!R29/付加価値率!Q29</f>
        <v>0.39628680683391182</v>
      </c>
      <c r="AB65" s="1527">
        <f>AA65*付加価値率!S29/付加価値率!R29</f>
        <v>0.33210315102776111</v>
      </c>
      <c r="AC65" s="1527">
        <f>AB65*付加価値率!T29/付加価値率!S29</f>
        <v>0.30054973416283454</v>
      </c>
      <c r="AD65" s="1527">
        <f>AC65*付加価値率!U29/付加価値率!T29</f>
        <v>0.29531077655100368</v>
      </c>
      <c r="AE65" s="1527">
        <f>AD65*付加価値率!V29/付加価値率!U29</f>
        <v>0.28442533890688648</v>
      </c>
      <c r="AF65" s="633">
        <f t="shared" si="24"/>
        <v>594</v>
      </c>
      <c r="AG65" s="612">
        <f t="shared" si="3"/>
        <v>655</v>
      </c>
      <c r="AH65" s="612">
        <f t="shared" si="4"/>
        <v>719</v>
      </c>
      <c r="AI65" s="612">
        <f t="shared" si="5"/>
        <v>1565</v>
      </c>
      <c r="AJ65" s="612">
        <f t="shared" si="6"/>
        <v>1316</v>
      </c>
      <c r="AK65" s="612">
        <f t="shared" si="7"/>
        <v>1274</v>
      </c>
      <c r="AL65" s="612">
        <f t="shared" si="8"/>
        <v>1377</v>
      </c>
      <c r="AM65" s="612">
        <f t="shared" si="8"/>
        <v>1341</v>
      </c>
      <c r="AN65" s="723">
        <f>ROUND(AK65/AH65*100,1)</f>
        <v>177.2</v>
      </c>
      <c r="AO65" s="187"/>
      <c r="AP65" s="529">
        <f>商業運輸マージン!G66</f>
        <v>0</v>
      </c>
      <c r="AQ65" s="529">
        <f>商業運輸マージン!H66</f>
        <v>0</v>
      </c>
      <c r="AR65" s="197">
        <f t="shared" si="25"/>
        <v>0</v>
      </c>
      <c r="AS65" s="197">
        <f t="shared" si="26"/>
        <v>0</v>
      </c>
    </row>
    <row r="66" spans="1:45" ht="15.75" customHeight="1">
      <c r="A66" s="621">
        <v>63</v>
      </c>
      <c r="B66" s="622" t="s">
        <v>611</v>
      </c>
      <c r="C66" s="197">
        <f>CT作業分類比較!H376</f>
        <v>261108</v>
      </c>
      <c r="D66" s="627">
        <f>CT作業分類比較!I376</f>
        <v>0</v>
      </c>
      <c r="E66" s="612"/>
      <c r="F66" s="612"/>
      <c r="G66" s="612"/>
      <c r="H66" s="1505"/>
      <c r="I66" s="612"/>
      <c r="J66" s="612"/>
      <c r="K66" s="612"/>
      <c r="L66" s="612"/>
      <c r="M66" s="1505"/>
      <c r="N66" s="612"/>
      <c r="O66" s="612"/>
      <c r="P66" s="612"/>
      <c r="Q66" s="612"/>
      <c r="R66" s="612"/>
      <c r="S66" s="612"/>
      <c r="T66" s="612"/>
      <c r="U66" s="612"/>
      <c r="V66" s="1505"/>
      <c r="W66" s="718"/>
      <c r="X66" s="1539">
        <v>0.42837829557118129</v>
      </c>
      <c r="Y66" s="529">
        <f>X66*付加価値率!P29/付加価値率!L29</f>
        <v>0.45240285824960574</v>
      </c>
      <c r="Z66" s="529">
        <f>Y66*付加価値率!Q29/付加価値率!P29</f>
        <v>0.44326897053062281</v>
      </c>
      <c r="AA66" s="529">
        <f>Z66*付加価値率!R29/付加価値率!Q29</f>
        <v>0.39421168772397114</v>
      </c>
      <c r="AB66" s="529">
        <f>AA66*付加価値率!S29/付加価値率!R29</f>
        <v>0.3303641236786673</v>
      </c>
      <c r="AC66" s="529">
        <f>AB66*付加価値率!T29/付加価値率!S29</f>
        <v>0.29897593335469841</v>
      </c>
      <c r="AD66" s="529">
        <f>AC66*付加価値率!U29/付加価値率!T29</f>
        <v>0.29376440905850915</v>
      </c>
      <c r="AE66" s="529">
        <f>AD66*付加価値率!V29/付加価値率!U29</f>
        <v>0.28293597199903375</v>
      </c>
      <c r="AF66" s="633">
        <f t="shared" si="24"/>
        <v>0</v>
      </c>
      <c r="AG66" s="612">
        <f t="shared" si="3"/>
        <v>0</v>
      </c>
      <c r="AH66" s="612">
        <f t="shared" si="4"/>
        <v>0</v>
      </c>
      <c r="AI66" s="612">
        <f t="shared" si="5"/>
        <v>0</v>
      </c>
      <c r="AJ66" s="612">
        <f t="shared" si="6"/>
        <v>0</v>
      </c>
      <c r="AK66" s="612">
        <f t="shared" si="7"/>
        <v>0</v>
      </c>
      <c r="AL66" s="612">
        <f t="shared" si="8"/>
        <v>0</v>
      </c>
      <c r="AM66" s="612">
        <f t="shared" si="8"/>
        <v>0</v>
      </c>
      <c r="AN66" s="627" t="s">
        <v>9834</v>
      </c>
      <c r="AO66" s="187"/>
      <c r="AP66" s="529">
        <f>商業運輸マージン!G67</f>
        <v>0</v>
      </c>
      <c r="AQ66" s="529">
        <f>商業運輸マージン!H67</f>
        <v>0</v>
      </c>
      <c r="AR66" s="197">
        <f t="shared" si="25"/>
        <v>0</v>
      </c>
      <c r="AS66" s="197">
        <f t="shared" si="26"/>
        <v>0</v>
      </c>
    </row>
    <row r="67" spans="1:45" ht="15.75" customHeight="1">
      <c r="A67" s="621">
        <v>64</v>
      </c>
      <c r="B67" s="622" t="s">
        <v>9096</v>
      </c>
      <c r="C67" s="197">
        <f>SUM(CT作業分類比較!H377:H379)</f>
        <v>326987</v>
      </c>
      <c r="D67" s="627">
        <f>SUM(CT作業分類比較!I377:I379)</f>
        <v>385.04599999999999</v>
      </c>
      <c r="E67" s="633">
        <v>1886605</v>
      </c>
      <c r="F67" s="633">
        <f>F65</f>
        <v>1969466</v>
      </c>
      <c r="G67" s="1499">
        <v>2205322</v>
      </c>
      <c r="H67" s="633">
        <f t="shared" ref="H67:I67" si="44">H65</f>
        <v>2183860.3209211305</v>
      </c>
      <c r="I67" s="633">
        <f t="shared" si="44"/>
        <v>2245387.3765464723</v>
      </c>
      <c r="J67" s="633">
        <f>J65</f>
        <v>2252704.3966540284</v>
      </c>
      <c r="K67" s="633">
        <f>K65</f>
        <v>2410134.4393009995</v>
      </c>
      <c r="L67" s="1499">
        <f>L65</f>
        <v>2651099.4414418647</v>
      </c>
      <c r="M67" s="1499">
        <f>M65</f>
        <v>2680858.7380578821</v>
      </c>
      <c r="N67" s="612" t="s">
        <v>9821</v>
      </c>
      <c r="O67" s="633">
        <f>ROUND(D67*F67/E67,0)</f>
        <v>402</v>
      </c>
      <c r="P67" s="633">
        <f>ROUND(D67*G67/E67,0)</f>
        <v>450</v>
      </c>
      <c r="Q67" s="1499">
        <f>CT作業分類比較!L378</f>
        <v>654</v>
      </c>
      <c r="R67" s="633">
        <f>ROUND(Q67*I67/H67,0)</f>
        <v>672</v>
      </c>
      <c r="S67" s="633">
        <f t="shared" ref="S67" si="45">ROUND(R67*J67/I67,0)</f>
        <v>674</v>
      </c>
      <c r="T67" s="633">
        <f t="shared" ref="T67" si="46">ROUND(S67*K67/J67,0)</f>
        <v>721</v>
      </c>
      <c r="U67" s="633">
        <f t="shared" ref="U67:V67" si="47">ROUND(T67*L67/K67,0)</f>
        <v>793</v>
      </c>
      <c r="V67" s="633">
        <f t="shared" si="47"/>
        <v>802</v>
      </c>
      <c r="W67" s="718" t="s">
        <v>9734</v>
      </c>
      <c r="X67" s="1539">
        <v>0.4649267402067972</v>
      </c>
      <c r="Y67" s="529">
        <f>X67*付加価値率!P29/付加価値率!L29</f>
        <v>0.49100103418119334</v>
      </c>
      <c r="Z67" s="1527">
        <f>Y67*付加価値率!Q29/付加価値率!P29</f>
        <v>0.48108786003930692</v>
      </c>
      <c r="AA67" s="1527">
        <f>Z67*付加価値率!R29/付加価値率!Q29</f>
        <v>0.42784510050993291</v>
      </c>
      <c r="AB67" s="1527">
        <f>AA67*付加価値率!S29/付加価値率!R29</f>
        <v>0.35855018027559227</v>
      </c>
      <c r="AC67" s="1527">
        <f>AB67*付加価値率!T29/付加価値率!S29</f>
        <v>0.32448400755118889</v>
      </c>
      <c r="AD67" s="1527">
        <f>AC67*付加価値率!U29/付加価値率!T29</f>
        <v>0.31882784563172212</v>
      </c>
      <c r="AE67" s="1527">
        <f>AD67*付加価値率!V29/付加価値率!U29</f>
        <v>0.30707554633074169</v>
      </c>
      <c r="AF67" s="633">
        <f t="shared" si="24"/>
        <v>179</v>
      </c>
      <c r="AG67" s="612">
        <f t="shared" si="3"/>
        <v>197</v>
      </c>
      <c r="AH67" s="612">
        <f t="shared" si="4"/>
        <v>216</v>
      </c>
      <c r="AI67" s="612">
        <f t="shared" si="5"/>
        <v>288</v>
      </c>
      <c r="AJ67" s="612">
        <f t="shared" si="6"/>
        <v>242</v>
      </c>
      <c r="AK67" s="612">
        <f t="shared" si="7"/>
        <v>234</v>
      </c>
      <c r="AL67" s="612">
        <f t="shared" si="8"/>
        <v>253</v>
      </c>
      <c r="AM67" s="612">
        <f t="shared" si="8"/>
        <v>246</v>
      </c>
      <c r="AN67" s="723">
        <f>ROUND(AK67/AH67*100,1)</f>
        <v>108.3</v>
      </c>
      <c r="AO67" s="187"/>
      <c r="AP67" s="529">
        <f>商業運輸マージン!G68</f>
        <v>0</v>
      </c>
      <c r="AQ67" s="529">
        <f>商業運輸マージン!H68</f>
        <v>0</v>
      </c>
      <c r="AR67" s="197">
        <f t="shared" si="25"/>
        <v>0</v>
      </c>
      <c r="AS67" s="197">
        <f t="shared" si="26"/>
        <v>0</v>
      </c>
    </row>
    <row r="68" spans="1:45" ht="15.75" customHeight="1">
      <c r="A68" s="621">
        <v>65</v>
      </c>
      <c r="B68" s="622" t="s">
        <v>621</v>
      </c>
      <c r="C68" s="197">
        <f>SUM(CT作業分類比較!H380:H383)</f>
        <v>221102</v>
      </c>
      <c r="D68" s="627">
        <f>SUM(CT作業分類比較!I380:I383)</f>
        <v>0</v>
      </c>
      <c r="E68" s="612"/>
      <c r="F68" s="612"/>
      <c r="G68" s="612"/>
      <c r="H68" s="1505"/>
      <c r="I68" s="612"/>
      <c r="J68" s="612"/>
      <c r="K68" s="612"/>
      <c r="L68" s="612"/>
      <c r="M68" s="1505"/>
      <c r="N68" s="612"/>
      <c r="O68" s="612"/>
      <c r="P68" s="612"/>
      <c r="Q68" s="612"/>
      <c r="R68" s="612"/>
      <c r="S68" s="612"/>
      <c r="T68" s="612"/>
      <c r="U68" s="612"/>
      <c r="V68" s="1505"/>
      <c r="W68" s="718"/>
      <c r="X68" s="1539">
        <v>0.48923121455255947</v>
      </c>
      <c r="Y68" s="529">
        <f>X68*付加価値率!P29/付加価値率!L29</f>
        <v>0.51666856630397806</v>
      </c>
      <c r="Z68" s="1527">
        <f>Y68*付加価値率!Q29/付加価値率!P29</f>
        <v>0.50623717183664985</v>
      </c>
      <c r="AA68" s="1527">
        <f>Z68*付加価値率!R29/付加価値率!Q29</f>
        <v>0.45021109792423197</v>
      </c>
      <c r="AB68" s="1527">
        <f>AA68*付加価値率!S29/付加価値率!R29</f>
        <v>0.3772937217941989</v>
      </c>
      <c r="AC68" s="1527">
        <f>AB68*付加価値率!T29/付加価値率!S29</f>
        <v>0.34144670845677705</v>
      </c>
      <c r="AD68" s="1527">
        <f>AC68*付加価値率!U29/付加価値率!T29</f>
        <v>0.33549486545386475</v>
      </c>
      <c r="AE68" s="1527">
        <f>AD68*付加価値率!V29/付加価値率!U29</f>
        <v>0.32312820386273655</v>
      </c>
      <c r="AF68" s="633">
        <f t="shared" ref="AF68:AF99" si="48">ROUND(D68*X68,0)</f>
        <v>0</v>
      </c>
      <c r="AG68" s="612">
        <f t="shared" si="3"/>
        <v>0</v>
      </c>
      <c r="AH68" s="612">
        <f t="shared" si="4"/>
        <v>0</v>
      </c>
      <c r="AI68" s="612">
        <f t="shared" si="5"/>
        <v>0</v>
      </c>
      <c r="AJ68" s="612">
        <f t="shared" si="6"/>
        <v>0</v>
      </c>
      <c r="AK68" s="612">
        <f t="shared" si="7"/>
        <v>0</v>
      </c>
      <c r="AL68" s="612">
        <f t="shared" si="8"/>
        <v>0</v>
      </c>
      <c r="AM68" s="612">
        <f t="shared" si="8"/>
        <v>0</v>
      </c>
      <c r="AN68" s="627" t="s">
        <v>9834</v>
      </c>
      <c r="AO68" s="187"/>
      <c r="AP68" s="529">
        <f>商業運輸マージン!G69</f>
        <v>0</v>
      </c>
      <c r="AQ68" s="529">
        <f>商業運輸マージン!H69</f>
        <v>0</v>
      </c>
      <c r="AR68" s="197">
        <f t="shared" ref="AR68:AR99" si="49">ROUND(D68*AP68,0)</f>
        <v>0</v>
      </c>
      <c r="AS68" s="197">
        <f t="shared" ref="AS68:AS99" si="50">ROUND(D68*AQ68,0)</f>
        <v>0</v>
      </c>
    </row>
    <row r="69" spans="1:45" ht="15.75" customHeight="1">
      <c r="A69" s="621">
        <v>66</v>
      </c>
      <c r="B69" s="622" t="s">
        <v>9097</v>
      </c>
      <c r="C69" s="197">
        <f>SUM(CT作業分類比較!H384:H385)</f>
        <v>779599</v>
      </c>
      <c r="D69" s="627">
        <f>SUM(CT作業分類比較!I384:I385)</f>
        <v>0</v>
      </c>
      <c r="E69" s="612"/>
      <c r="F69" s="612"/>
      <c r="G69" s="612"/>
      <c r="H69" s="1505"/>
      <c r="I69" s="612"/>
      <c r="J69" s="612"/>
      <c r="K69" s="612"/>
      <c r="L69" s="612"/>
      <c r="M69" s="1505"/>
      <c r="N69" s="612"/>
      <c r="O69" s="612"/>
      <c r="P69" s="612"/>
      <c r="Q69" s="612"/>
      <c r="R69" s="612"/>
      <c r="S69" s="612"/>
      <c r="T69" s="612"/>
      <c r="U69" s="612"/>
      <c r="V69" s="1505"/>
      <c r="W69" s="718"/>
      <c r="X69" s="1539">
        <v>0.31184237024418965</v>
      </c>
      <c r="Y69" s="529">
        <f>X69*付加価値率!P27/付加価値率!L27</f>
        <v>0.31065437788779182</v>
      </c>
      <c r="Z69" s="1527">
        <f>Y69*付加価値率!Q27/付加価値率!P27</f>
        <v>0.32137637743129011</v>
      </c>
      <c r="AA69" s="1527">
        <f>Z69*付加価値率!R27/付加価値率!Q27</f>
        <v>0.30958946024666995</v>
      </c>
      <c r="AB69" s="1527">
        <f>AA69*付加価値率!S27/付加価値率!R27</f>
        <v>0.27006810159395556</v>
      </c>
      <c r="AC69" s="1527">
        <f>AB69*付加価値率!T27/付加価値率!S27</f>
        <v>0.22996604666070883</v>
      </c>
      <c r="AD69" s="1527">
        <f>AC69*付加価値率!U27/付加価値率!T27</f>
        <v>0.27535197621750956</v>
      </c>
      <c r="AE69" s="1527">
        <f>AD69*付加価値率!V27/付加価値率!U27</f>
        <v>0.28066517311105188</v>
      </c>
      <c r="AF69" s="633">
        <f t="shared" si="48"/>
        <v>0</v>
      </c>
      <c r="AG69" s="612">
        <f t="shared" ref="AG69:AG109" si="51">ROUND(O69*Y69,0)</f>
        <v>0</v>
      </c>
      <c r="AH69" s="612">
        <f t="shared" ref="AH69:AH109" si="52">ROUND(P69*Z69,0)</f>
        <v>0</v>
      </c>
      <c r="AI69" s="612">
        <f t="shared" ref="AI69:AI109" si="53">ROUND(R69*AA69,0)</f>
        <v>0</v>
      </c>
      <c r="AJ69" s="612">
        <f t="shared" ref="AJ69:AJ109" si="54">ROUND(S69*AB69,0)</f>
        <v>0</v>
      </c>
      <c r="AK69" s="612">
        <f t="shared" ref="AK69:AK109" si="55">ROUND(T69*AC69,0)</f>
        <v>0</v>
      </c>
      <c r="AL69" s="612">
        <f t="shared" ref="AL69:AM109" si="56">ROUND(U69*AD69,0)</f>
        <v>0</v>
      </c>
      <c r="AM69" s="612">
        <f t="shared" si="56"/>
        <v>0</v>
      </c>
      <c r="AN69" s="627" t="s">
        <v>9834</v>
      </c>
      <c r="AO69" s="187"/>
      <c r="AP69" s="529">
        <f>商業運輸マージン!G70</f>
        <v>0</v>
      </c>
      <c r="AQ69" s="529">
        <f>商業運輸マージン!H70</f>
        <v>0</v>
      </c>
      <c r="AR69" s="197">
        <f t="shared" si="49"/>
        <v>0</v>
      </c>
      <c r="AS69" s="197">
        <f t="shared" si="50"/>
        <v>0</v>
      </c>
    </row>
    <row r="70" spans="1:45" ht="15.75" customHeight="1">
      <c r="A70" s="621">
        <v>67</v>
      </c>
      <c r="B70" s="622" t="s">
        <v>9098</v>
      </c>
      <c r="C70" s="197">
        <f>SUM(CT作業分類比較!H386:H387)</f>
        <v>315413</v>
      </c>
      <c r="D70" s="627">
        <f>SUM(CT作業分類比較!I386:I387)</f>
        <v>0</v>
      </c>
      <c r="E70" s="612"/>
      <c r="F70" s="612"/>
      <c r="G70" s="612"/>
      <c r="H70" s="1505"/>
      <c r="I70" s="612"/>
      <c r="J70" s="612"/>
      <c r="K70" s="612"/>
      <c r="L70" s="612"/>
      <c r="M70" s="1505"/>
      <c r="N70" s="612"/>
      <c r="O70" s="612"/>
      <c r="P70" s="612"/>
      <c r="Q70" s="612"/>
      <c r="R70" s="612"/>
      <c r="S70" s="612"/>
      <c r="T70" s="612"/>
      <c r="U70" s="612"/>
      <c r="V70" s="1505"/>
      <c r="W70" s="718"/>
      <c r="X70" s="1539">
        <v>0.29978472669167094</v>
      </c>
      <c r="Y70" s="529">
        <f>X70*付加価値率!P28/付加価値率!L28</f>
        <v>0.29311740955224991</v>
      </c>
      <c r="Z70" s="1527">
        <f>Y70*付加価値率!Q28/付加価値率!P28</f>
        <v>0.31250364540336528</v>
      </c>
      <c r="AA70" s="1527">
        <f>Z70*付加価値率!R28/付加価値率!Q28</f>
        <v>0.29559435011635415</v>
      </c>
      <c r="AB70" s="1527">
        <f>AA70*付加価値率!S28/付加価値率!R28</f>
        <v>0.25785956961912271</v>
      </c>
      <c r="AC70" s="1527">
        <f>AB70*付加価値率!T28/付加価値率!S28</f>
        <v>0.21957034343914036</v>
      </c>
      <c r="AD70" s="1527">
        <f>AC70*付加価値率!U28/付加価値率!T28</f>
        <v>0.26290458466647376</v>
      </c>
      <c r="AE70" s="1527">
        <f>AD70*付加価値率!V28/付加価値率!U28</f>
        <v>0.26797759645936725</v>
      </c>
      <c r="AF70" s="633">
        <f t="shared" si="48"/>
        <v>0</v>
      </c>
      <c r="AG70" s="612">
        <f t="shared" si="51"/>
        <v>0</v>
      </c>
      <c r="AH70" s="612">
        <f t="shared" si="52"/>
        <v>0</v>
      </c>
      <c r="AI70" s="612">
        <f t="shared" si="53"/>
        <v>0</v>
      </c>
      <c r="AJ70" s="612">
        <f t="shared" si="54"/>
        <v>0</v>
      </c>
      <c r="AK70" s="612">
        <f t="shared" si="55"/>
        <v>0</v>
      </c>
      <c r="AL70" s="612">
        <f t="shared" si="56"/>
        <v>0</v>
      </c>
      <c r="AM70" s="612">
        <f t="shared" si="56"/>
        <v>0</v>
      </c>
      <c r="AN70" s="627" t="s">
        <v>9834</v>
      </c>
      <c r="AO70" s="187"/>
      <c r="AP70" s="529">
        <f>商業運輸マージン!G71</f>
        <v>0</v>
      </c>
      <c r="AQ70" s="529">
        <f>商業運輸マージン!H71</f>
        <v>0</v>
      </c>
      <c r="AR70" s="197">
        <f t="shared" si="49"/>
        <v>0</v>
      </c>
      <c r="AS70" s="197">
        <f t="shared" si="50"/>
        <v>0</v>
      </c>
    </row>
    <row r="71" spans="1:45" ht="15.75" customHeight="1">
      <c r="A71" s="621">
        <v>68</v>
      </c>
      <c r="B71" s="622" t="s">
        <v>9099</v>
      </c>
      <c r="C71" s="197">
        <f>SUM(CT作業分類比較!H388:H390)</f>
        <v>187800</v>
      </c>
      <c r="D71" s="627">
        <f>SUM(CT作業分類比較!I388:I390)</f>
        <v>0</v>
      </c>
      <c r="E71" s="612"/>
      <c r="F71" s="612"/>
      <c r="G71" s="612"/>
      <c r="H71" s="1505"/>
      <c r="I71" s="612"/>
      <c r="J71" s="612"/>
      <c r="K71" s="612"/>
      <c r="L71" s="612"/>
      <c r="M71" s="1505"/>
      <c r="N71" s="612"/>
      <c r="O71" s="612"/>
      <c r="P71" s="612"/>
      <c r="Q71" s="612"/>
      <c r="R71" s="612"/>
      <c r="S71" s="612"/>
      <c r="T71" s="612"/>
      <c r="U71" s="612"/>
      <c r="V71" s="1505"/>
      <c r="W71" s="718"/>
      <c r="X71" s="1539">
        <v>0.46980830670926516</v>
      </c>
      <c r="Y71" s="529">
        <f>X71*付加価値率!P28/付加価値率!L28</f>
        <v>0.45935960570260348</v>
      </c>
      <c r="Z71" s="1527">
        <f>Y71*付加価値率!Q28/付加価値率!P28</f>
        <v>0.48974078869077603</v>
      </c>
      <c r="AA71" s="1527">
        <f>Z71*付加価値率!R28/付加価値率!Q28</f>
        <v>0.46324134866223782</v>
      </c>
      <c r="AB71" s="1527">
        <f>AA71*付加価値率!S28/付加価値率!R28</f>
        <v>0.40410520278485462</v>
      </c>
      <c r="AC71" s="1527">
        <f>AB71*付加価値率!T28/付加価値率!S28</f>
        <v>0.34410015611239064</v>
      </c>
      <c r="AD71" s="1527">
        <f>AC71*付加価値率!U28/付加価値率!T28</f>
        <v>0.41201150942987758</v>
      </c>
      <c r="AE71" s="1527">
        <f>AD71*付加価値率!V28/付加価値率!U28</f>
        <v>0.41996169123746074</v>
      </c>
      <c r="AF71" s="633">
        <f t="shared" si="48"/>
        <v>0</v>
      </c>
      <c r="AG71" s="612">
        <f t="shared" si="51"/>
        <v>0</v>
      </c>
      <c r="AH71" s="612">
        <f t="shared" si="52"/>
        <v>0</v>
      </c>
      <c r="AI71" s="612">
        <f t="shared" si="53"/>
        <v>0</v>
      </c>
      <c r="AJ71" s="612">
        <f t="shared" si="54"/>
        <v>0</v>
      </c>
      <c r="AK71" s="612">
        <f t="shared" si="55"/>
        <v>0</v>
      </c>
      <c r="AL71" s="612">
        <f t="shared" si="56"/>
        <v>0</v>
      </c>
      <c r="AM71" s="612">
        <f t="shared" si="56"/>
        <v>0</v>
      </c>
      <c r="AN71" s="627" t="s">
        <v>9834</v>
      </c>
      <c r="AO71" s="187"/>
      <c r="AP71" s="529">
        <f>商業運輸マージン!G72</f>
        <v>0</v>
      </c>
      <c r="AQ71" s="529">
        <f>商業運輸マージン!H72</f>
        <v>0</v>
      </c>
      <c r="AR71" s="197">
        <f t="shared" si="49"/>
        <v>0</v>
      </c>
      <c r="AS71" s="197">
        <f t="shared" si="50"/>
        <v>0</v>
      </c>
    </row>
    <row r="72" spans="1:45" ht="15.75" customHeight="1">
      <c r="A72" s="621">
        <v>69</v>
      </c>
      <c r="B72" s="622" t="s">
        <v>9100</v>
      </c>
      <c r="C72" s="197">
        <f>SUM(CT作業分類比較!H391:H392)</f>
        <v>177936</v>
      </c>
      <c r="D72" s="627">
        <f>SUM(CT作業分類比較!I391:I392)</f>
        <v>0</v>
      </c>
      <c r="E72" s="612"/>
      <c r="F72" s="612"/>
      <c r="G72" s="612"/>
      <c r="H72" s="1505"/>
      <c r="I72" s="612"/>
      <c r="J72" s="612"/>
      <c r="K72" s="612"/>
      <c r="L72" s="612"/>
      <c r="M72" s="1505"/>
      <c r="N72" s="612"/>
      <c r="O72" s="612"/>
      <c r="P72" s="612"/>
      <c r="Q72" s="612"/>
      <c r="R72" s="612"/>
      <c r="S72" s="612"/>
      <c r="T72" s="612"/>
      <c r="U72" s="612"/>
      <c r="V72" s="1505"/>
      <c r="W72" s="718"/>
      <c r="X72" s="1539">
        <v>0.61375438359859724</v>
      </c>
      <c r="Y72" s="529">
        <f>X72*付加価値率!P28/付加価値率!L28</f>
        <v>0.60010427151209833</v>
      </c>
      <c r="Z72" s="1527">
        <f>Y72*付加価値率!Q28/付加価値率!P28</f>
        <v>0.63979404279032581</v>
      </c>
      <c r="AA72" s="1527">
        <f>Z72*付加価値率!R28/付加価値率!Q28</f>
        <v>0.60517535417167534</v>
      </c>
      <c r="AB72" s="1527">
        <f>AA72*付加価値率!S28/付加価値率!R28</f>
        <v>0.52792029451639599</v>
      </c>
      <c r="AC72" s="1527">
        <f>AB72*付加価値率!T28/付加価値率!S28</f>
        <v>0.44953010875909322</v>
      </c>
      <c r="AD72" s="1527">
        <f>AC72*付加価値率!U28/付加価値率!T28</f>
        <v>0.5382490398624431</v>
      </c>
      <c r="AE72" s="1527">
        <f>AD72*付加価値率!V28/付加価値率!U28</f>
        <v>0.54863510342310629</v>
      </c>
      <c r="AF72" s="633">
        <f t="shared" si="48"/>
        <v>0</v>
      </c>
      <c r="AG72" s="612">
        <f t="shared" si="51"/>
        <v>0</v>
      </c>
      <c r="AH72" s="612">
        <f t="shared" si="52"/>
        <v>0</v>
      </c>
      <c r="AI72" s="612">
        <f t="shared" si="53"/>
        <v>0</v>
      </c>
      <c r="AJ72" s="612">
        <f t="shared" si="54"/>
        <v>0</v>
      </c>
      <c r="AK72" s="612">
        <f t="shared" si="55"/>
        <v>0</v>
      </c>
      <c r="AL72" s="612">
        <f t="shared" si="56"/>
        <v>0</v>
      </c>
      <c r="AM72" s="612">
        <f t="shared" si="56"/>
        <v>0</v>
      </c>
      <c r="AN72" s="627" t="s">
        <v>9834</v>
      </c>
      <c r="AO72" s="187"/>
      <c r="AP72" s="529">
        <f>商業運輸マージン!G73</f>
        <v>0</v>
      </c>
      <c r="AQ72" s="529">
        <f>商業運輸マージン!H73</f>
        <v>0</v>
      </c>
      <c r="AR72" s="197">
        <f t="shared" si="49"/>
        <v>0</v>
      </c>
      <c r="AS72" s="197">
        <f t="shared" si="50"/>
        <v>0</v>
      </c>
    </row>
    <row r="73" spans="1:45" ht="15.75" customHeight="1">
      <c r="A73" s="621">
        <v>70</v>
      </c>
      <c r="B73" s="622" t="s">
        <v>9101</v>
      </c>
      <c r="C73" s="197">
        <f>SUM(CT作業分類比較!H393:H394)</f>
        <v>2877665</v>
      </c>
      <c r="D73" s="628">
        <f>SUM(CT作業分類比較!I393:I394)</f>
        <v>37687</v>
      </c>
      <c r="E73" s="633">
        <v>3659579</v>
      </c>
      <c r="F73" s="633">
        <v>3700109</v>
      </c>
      <c r="G73" s="1499">
        <v>3476987</v>
      </c>
      <c r="H73" s="633">
        <f>QE産出!AA17</f>
        <v>3524331.4046056587</v>
      </c>
      <c r="I73" s="633">
        <f>QE産出!AA18</f>
        <v>3610955.0649905396</v>
      </c>
      <c r="J73" s="633">
        <f>QE産出!AA19</f>
        <v>3777420.865942088</v>
      </c>
      <c r="K73" s="633">
        <f>QE産出!AA20</f>
        <v>3922172.9233819749</v>
      </c>
      <c r="L73" s="1499">
        <f>QE産出!AA21</f>
        <v>4027526.9436429078</v>
      </c>
      <c r="M73" s="1499">
        <f>QE産出!AA22</f>
        <v>3950733.5386623172</v>
      </c>
      <c r="N73" s="612" t="s">
        <v>9822</v>
      </c>
      <c r="O73" s="633">
        <f>ROUND(D73*F73/E73,0)</f>
        <v>38104</v>
      </c>
      <c r="P73" s="633">
        <f>ROUND(D73*G73/E73,0)</f>
        <v>35807</v>
      </c>
      <c r="Q73" s="1499">
        <f>CT作業分類比較!L394</f>
        <v>36414</v>
      </c>
      <c r="R73" s="633">
        <f>ROUND(Q73*I73/H73,0)</f>
        <v>37309</v>
      </c>
      <c r="S73" s="633">
        <f t="shared" ref="S73:S75" si="57">ROUND(R73*J73/I73,0)</f>
        <v>39029</v>
      </c>
      <c r="T73" s="633">
        <f t="shared" ref="T73:T75" si="58">ROUND(S73*K73/J73,0)</f>
        <v>40525</v>
      </c>
      <c r="U73" s="633">
        <f t="shared" ref="U73:V75" si="59">ROUND(T73*L73/K73,0)</f>
        <v>41614</v>
      </c>
      <c r="V73" s="633">
        <f t="shared" si="59"/>
        <v>40821</v>
      </c>
      <c r="W73" s="718" t="s">
        <v>9729</v>
      </c>
      <c r="X73" s="1539">
        <v>0.66293540075026103</v>
      </c>
      <c r="Y73" s="529">
        <f>X73*付加価値率!P30/付加価値率!L30</f>
        <v>0.64649711104296792</v>
      </c>
      <c r="Z73" s="1527">
        <f>Y73*付加価値率!Q30/付加価値率!P30</f>
        <v>0.61845299745126991</v>
      </c>
      <c r="AA73" s="1527">
        <f>Z73*付加価値率!R30/付加価値率!Q30</f>
        <v>0.67320488848975801</v>
      </c>
      <c r="AB73" s="1527">
        <f>AA73*付加価値率!S30/付加価値率!R30</f>
        <v>0.68523491618930332</v>
      </c>
      <c r="AC73" s="1527">
        <f>AB73*付加価値率!T30/付加価値率!S30</f>
        <v>0.6833930044781753</v>
      </c>
      <c r="AD73" s="1527">
        <f>AC73*付加価値率!U30/付加価値率!T30</f>
        <v>0.65184183544775187</v>
      </c>
      <c r="AE73" s="1527">
        <f>AD73*付加価値率!V30/付加価値率!U30</f>
        <v>0.62030423852780026</v>
      </c>
      <c r="AF73" s="633">
        <f t="shared" si="48"/>
        <v>24984</v>
      </c>
      <c r="AG73" s="612">
        <f t="shared" si="51"/>
        <v>24634</v>
      </c>
      <c r="AH73" s="612">
        <f t="shared" si="52"/>
        <v>22145</v>
      </c>
      <c r="AI73" s="612">
        <f t="shared" si="53"/>
        <v>25117</v>
      </c>
      <c r="AJ73" s="612">
        <f t="shared" si="54"/>
        <v>26744</v>
      </c>
      <c r="AK73" s="612">
        <f t="shared" si="55"/>
        <v>27695</v>
      </c>
      <c r="AL73" s="612">
        <f t="shared" si="56"/>
        <v>27126</v>
      </c>
      <c r="AM73" s="612">
        <f t="shared" si="56"/>
        <v>25321</v>
      </c>
      <c r="AN73" s="723">
        <f>ROUND(AK73/AH73*100,1)</f>
        <v>125.1</v>
      </c>
      <c r="AO73" s="187"/>
      <c r="AP73" s="529">
        <f>商業運輸マージン!G74</f>
        <v>0</v>
      </c>
      <c r="AQ73" s="529">
        <f>商業運輸マージン!H74</f>
        <v>0</v>
      </c>
      <c r="AR73" s="197">
        <f t="shared" si="49"/>
        <v>0</v>
      </c>
      <c r="AS73" s="197">
        <f t="shared" si="50"/>
        <v>0</v>
      </c>
    </row>
    <row r="74" spans="1:45" ht="15.75" customHeight="1">
      <c r="A74" s="621">
        <v>71</v>
      </c>
      <c r="B74" s="622" t="s">
        <v>1598</v>
      </c>
      <c r="C74" s="197">
        <f>SUM(CT作業分類比較!H395:H400)</f>
        <v>1175506</v>
      </c>
      <c r="D74" s="627">
        <f>SUM(CT作業分類比較!I395:I400)</f>
        <v>155.55100000000002</v>
      </c>
      <c r="E74" s="633">
        <v>1080541</v>
      </c>
      <c r="F74" s="633">
        <v>1016515</v>
      </c>
      <c r="G74" s="1499">
        <v>1076906</v>
      </c>
      <c r="H74" s="633">
        <f>QE産出!AE17</f>
        <v>1106526.3662714253</v>
      </c>
      <c r="I74" s="633">
        <f>QE産出!AE18</f>
        <v>1094533.4102234123</v>
      </c>
      <c r="J74" s="633">
        <f>QE産出!AE19</f>
        <v>1170884.8921917337</v>
      </c>
      <c r="K74" s="633">
        <f>QE産出!AE20</f>
        <v>1219769.556505614</v>
      </c>
      <c r="L74" s="1499">
        <f>QE産出!AE21</f>
        <v>1242240.6317453738</v>
      </c>
      <c r="M74" s="1499">
        <f>QE産出!AE22</f>
        <v>1272246.0669365493</v>
      </c>
      <c r="N74" s="612" t="s">
        <v>9823</v>
      </c>
      <c r="O74" s="633">
        <f>ROUND(D74*F74/E74,0)</f>
        <v>146</v>
      </c>
      <c r="P74" s="633">
        <f>ROUND(D74*G74/E74,0)</f>
        <v>155</v>
      </c>
      <c r="Q74" s="1499">
        <f>CT作業分類比較!L400</f>
        <v>185</v>
      </c>
      <c r="R74" s="633">
        <f>ROUND(Q74*I74/H74,0)</f>
        <v>183</v>
      </c>
      <c r="S74" s="633">
        <f t="shared" si="57"/>
        <v>196</v>
      </c>
      <c r="T74" s="633">
        <f t="shared" si="58"/>
        <v>204</v>
      </c>
      <c r="U74" s="633">
        <f t="shared" si="59"/>
        <v>208</v>
      </c>
      <c r="V74" s="633">
        <f t="shared" si="59"/>
        <v>213</v>
      </c>
      <c r="W74" s="718" t="s">
        <v>9730</v>
      </c>
      <c r="X74" s="1539">
        <v>0.64510687312527537</v>
      </c>
      <c r="Y74" s="529">
        <f>X74*付加価値率!P38/付加価値率!L38</f>
        <v>0.63997152472647967</v>
      </c>
      <c r="Z74" s="1527">
        <f>Y74*付加価値率!Q38/付加価値率!P38</f>
        <v>0.62391043806478896</v>
      </c>
      <c r="AA74" s="1527">
        <f>Z74*付加価値率!R38/付加価値率!Q38</f>
        <v>0.61675782417648994</v>
      </c>
      <c r="AB74" s="1527">
        <f>AA74*付加価値率!S38/付加価値率!R38</f>
        <v>0.67441625941337358</v>
      </c>
      <c r="AC74" s="1527">
        <f>AB74*付加価値率!T38/付加価値率!S38</f>
        <v>0.68105181876869925</v>
      </c>
      <c r="AD74" s="1527">
        <f>AC74*付加価値率!U38/付加価値率!T38</f>
        <v>0.6480710914485901</v>
      </c>
      <c r="AE74" s="1527">
        <f>AD74*付加価値率!V38/付加価値率!U38</f>
        <v>0.64914288356950378</v>
      </c>
      <c r="AF74" s="633">
        <f t="shared" si="48"/>
        <v>100</v>
      </c>
      <c r="AG74" s="612">
        <f t="shared" si="51"/>
        <v>93</v>
      </c>
      <c r="AH74" s="612">
        <f t="shared" si="52"/>
        <v>97</v>
      </c>
      <c r="AI74" s="612">
        <f t="shared" si="53"/>
        <v>113</v>
      </c>
      <c r="AJ74" s="612">
        <f t="shared" si="54"/>
        <v>132</v>
      </c>
      <c r="AK74" s="612">
        <f t="shared" si="55"/>
        <v>139</v>
      </c>
      <c r="AL74" s="612">
        <f t="shared" si="56"/>
        <v>135</v>
      </c>
      <c r="AM74" s="612">
        <f t="shared" si="56"/>
        <v>138</v>
      </c>
      <c r="AN74" s="723">
        <f>ROUND(AK74/AH74*100,1)</f>
        <v>143.30000000000001</v>
      </c>
      <c r="AO74" s="187"/>
      <c r="AP74" s="529">
        <f>商業運輸マージン!G75</f>
        <v>0</v>
      </c>
      <c r="AQ74" s="529">
        <f>商業運輸マージン!H75</f>
        <v>0</v>
      </c>
      <c r="AR74" s="197">
        <f t="shared" si="49"/>
        <v>0</v>
      </c>
      <c r="AS74" s="197">
        <f t="shared" si="50"/>
        <v>0</v>
      </c>
    </row>
    <row r="75" spans="1:45" ht="15.75" customHeight="1">
      <c r="A75" s="621">
        <v>72</v>
      </c>
      <c r="B75" s="622" t="s">
        <v>9102</v>
      </c>
      <c r="C75" s="197">
        <f>SUM(CT作業分類比較!H401:H402)</f>
        <v>590282</v>
      </c>
      <c r="D75" s="627">
        <f>SUM(CT作業分類比較!I401:I402)</f>
        <v>662.62199999999996</v>
      </c>
      <c r="E75" s="633">
        <v>574399</v>
      </c>
      <c r="F75" s="633">
        <f>263271+315217</f>
        <v>578488</v>
      </c>
      <c r="G75" s="1499">
        <f>289303+323793</f>
        <v>613096</v>
      </c>
      <c r="H75" s="633">
        <f>QE産出!AF17</f>
        <v>3542387.1231365474</v>
      </c>
      <c r="I75" s="633">
        <f>QE産出!AF18</f>
        <v>3580681.1973063303</v>
      </c>
      <c r="J75" s="633">
        <f>QE産出!AF19</f>
        <v>3623248.3032119879</v>
      </c>
      <c r="K75" s="633">
        <f>QE産出!AF20</f>
        <v>3649106.7051708214</v>
      </c>
      <c r="L75" s="1499">
        <f>QE産出!AF21</f>
        <v>3673499.2023602603</v>
      </c>
      <c r="M75" s="1499">
        <f>QE産出!AF22</f>
        <v>3721849.9775520652</v>
      </c>
      <c r="N75" s="612" t="s">
        <v>9824</v>
      </c>
      <c r="O75" s="633">
        <f>ROUND(D75*F75/E75,0)</f>
        <v>667</v>
      </c>
      <c r="P75" s="633">
        <f>ROUND(D75*G75/E75,0)</f>
        <v>707</v>
      </c>
      <c r="Q75" s="1499">
        <f>CT作業分類比較!L402</f>
        <v>940</v>
      </c>
      <c r="R75" s="633">
        <f>ROUND(Q75*I75/H75,0)</f>
        <v>950</v>
      </c>
      <c r="S75" s="633">
        <f t="shared" si="57"/>
        <v>961</v>
      </c>
      <c r="T75" s="633">
        <f t="shared" si="58"/>
        <v>968</v>
      </c>
      <c r="U75" s="633">
        <f t="shared" si="59"/>
        <v>974</v>
      </c>
      <c r="V75" s="633">
        <f t="shared" si="59"/>
        <v>987</v>
      </c>
      <c r="W75" s="718" t="s">
        <v>9731</v>
      </c>
      <c r="X75" s="1539">
        <v>0.71130578265981348</v>
      </c>
      <c r="Y75" s="529">
        <f>X75*付加価値率!P41/付加価値率!L41</f>
        <v>0.73108032952658653</v>
      </c>
      <c r="Z75" s="1527">
        <f>Y75*付加価値率!Q41/付加価値率!P41</f>
        <v>0.73537068533507943</v>
      </c>
      <c r="AA75" s="1527">
        <f>Z75*付加価値率!R41/付加価値率!Q41</f>
        <v>0.73650505215427708</v>
      </c>
      <c r="AB75" s="1527">
        <f>AA75*付加価値率!S41/付加価値率!R41</f>
        <v>0.72577615323179512</v>
      </c>
      <c r="AC75" s="1527">
        <f>AB75*付加価値率!T41/付加価値率!S41</f>
        <v>0.72387216827189771</v>
      </c>
      <c r="AD75" s="1527">
        <f>AC75*付加価値率!U41/付加価値率!T41</f>
        <v>0.69808290416885954</v>
      </c>
      <c r="AE75" s="1527">
        <f>AD75*付加価値率!V41/付加価値率!U41</f>
        <v>0.69982975836810968</v>
      </c>
      <c r="AF75" s="633">
        <f t="shared" si="48"/>
        <v>471</v>
      </c>
      <c r="AG75" s="612">
        <f t="shared" si="51"/>
        <v>488</v>
      </c>
      <c r="AH75" s="612">
        <f t="shared" si="52"/>
        <v>520</v>
      </c>
      <c r="AI75" s="612">
        <f t="shared" si="53"/>
        <v>700</v>
      </c>
      <c r="AJ75" s="612">
        <f t="shared" si="54"/>
        <v>697</v>
      </c>
      <c r="AK75" s="612">
        <f t="shared" si="55"/>
        <v>701</v>
      </c>
      <c r="AL75" s="612">
        <f t="shared" si="56"/>
        <v>680</v>
      </c>
      <c r="AM75" s="612">
        <f t="shared" si="56"/>
        <v>691</v>
      </c>
      <c r="AN75" s="723">
        <f>ROUND(AK75/AH75*100,1)</f>
        <v>134.80000000000001</v>
      </c>
      <c r="AO75" s="187"/>
      <c r="AP75" s="529">
        <f>商業運輸マージン!G76</f>
        <v>0</v>
      </c>
      <c r="AQ75" s="529">
        <f>商業運輸マージン!H76</f>
        <v>0</v>
      </c>
      <c r="AR75" s="197">
        <f t="shared" si="49"/>
        <v>0</v>
      </c>
      <c r="AS75" s="197">
        <f t="shared" si="50"/>
        <v>0</v>
      </c>
    </row>
    <row r="76" spans="1:45" ht="15.75" customHeight="1">
      <c r="A76" s="621">
        <v>73</v>
      </c>
      <c r="B76" s="622" t="s">
        <v>7187</v>
      </c>
      <c r="C76" s="197">
        <f>CT作業分類比較!H403</f>
        <v>507673</v>
      </c>
      <c r="D76" s="627">
        <f>CT作業分類比較!I403</f>
        <v>0</v>
      </c>
      <c r="E76" s="612"/>
      <c r="F76" s="612"/>
      <c r="G76" s="612"/>
      <c r="H76" s="1505"/>
      <c r="I76" s="612"/>
      <c r="J76" s="612"/>
      <c r="K76" s="612"/>
      <c r="L76" s="612"/>
      <c r="M76" s="1505"/>
      <c r="N76" s="612"/>
      <c r="O76" s="612"/>
      <c r="P76" s="612"/>
      <c r="Q76" s="612"/>
      <c r="R76" s="612"/>
      <c r="S76" s="612"/>
      <c r="T76" s="612"/>
      <c r="U76" s="612"/>
      <c r="V76" s="1505"/>
      <c r="W76" s="718"/>
      <c r="X76" s="1539">
        <v>0.73100795196908241</v>
      </c>
      <c r="Y76" s="529">
        <f>X76*付加価値率!P40/付加価値率!L40</f>
        <v>0.73024474730489963</v>
      </c>
      <c r="Z76" s="1527">
        <f>Y76*付加価値率!Q40/付加価値率!P40</f>
        <v>0.73088185296068664</v>
      </c>
      <c r="AA76" s="1527">
        <f>Z76*付加価値率!R40/付加価値率!Q40</f>
        <v>0.72807986106751132</v>
      </c>
      <c r="AB76" s="1527">
        <f>AA76*付加価値率!S40/付加価値率!R40</f>
        <v>0.7174736945326865</v>
      </c>
      <c r="AC76" s="1527">
        <f>AB76*付加価値率!T40/付加価値率!S40</f>
        <v>0.71559149005761602</v>
      </c>
      <c r="AD76" s="1527">
        <f>AC76*付加価値率!U40/付加価値率!T40</f>
        <v>0.69009724019435748</v>
      </c>
      <c r="AE76" s="1527">
        <f>AD76*付加価値率!V40/付加価値率!U40</f>
        <v>0.6918241113936453</v>
      </c>
      <c r="AF76" s="633">
        <f t="shared" si="48"/>
        <v>0</v>
      </c>
      <c r="AG76" s="612">
        <f t="shared" si="51"/>
        <v>0</v>
      </c>
      <c r="AH76" s="612">
        <f t="shared" si="52"/>
        <v>0</v>
      </c>
      <c r="AI76" s="612">
        <f t="shared" si="53"/>
        <v>0</v>
      </c>
      <c r="AJ76" s="612">
        <f t="shared" si="54"/>
        <v>0</v>
      </c>
      <c r="AK76" s="612">
        <f t="shared" si="55"/>
        <v>0</v>
      </c>
      <c r="AL76" s="612">
        <f t="shared" si="56"/>
        <v>0</v>
      </c>
      <c r="AM76" s="612">
        <f t="shared" si="56"/>
        <v>0</v>
      </c>
      <c r="AN76" s="627" t="s">
        <v>9834</v>
      </c>
      <c r="AO76" s="187"/>
      <c r="AP76" s="529">
        <f>商業運輸マージン!G77</f>
        <v>0</v>
      </c>
      <c r="AQ76" s="529">
        <f>商業運輸マージン!H77</f>
        <v>0</v>
      </c>
      <c r="AR76" s="197">
        <f t="shared" si="49"/>
        <v>0</v>
      </c>
      <c r="AS76" s="197">
        <f t="shared" si="50"/>
        <v>0</v>
      </c>
    </row>
    <row r="77" spans="1:45" ht="15.75" customHeight="1">
      <c r="A77" s="621">
        <v>74</v>
      </c>
      <c r="B77" s="622" t="s">
        <v>9103</v>
      </c>
      <c r="C77" s="197">
        <f>CT作業分類比較!H404</f>
        <v>2144216</v>
      </c>
      <c r="D77" s="627">
        <f>CT作業分類比較!I404</f>
        <v>0</v>
      </c>
      <c r="E77" s="612"/>
      <c r="F77" s="612"/>
      <c r="G77" s="612"/>
      <c r="H77" s="1505"/>
      <c r="I77" s="612"/>
      <c r="J77" s="612"/>
      <c r="K77" s="612"/>
      <c r="L77" s="612"/>
      <c r="M77" s="1505"/>
      <c r="N77" s="612"/>
      <c r="O77" s="612"/>
      <c r="P77" s="612"/>
      <c r="Q77" s="612"/>
      <c r="R77" s="612"/>
      <c r="S77" s="612"/>
      <c r="T77" s="612"/>
      <c r="U77" s="612"/>
      <c r="V77" s="1505"/>
      <c r="W77" s="718"/>
      <c r="X77" s="1539">
        <v>0.90241468210292242</v>
      </c>
      <c r="Y77" s="529">
        <f>X77*付加価値率!P40/付加価値率!L40</f>
        <v>0.90147252122416222</v>
      </c>
      <c r="Z77" s="1527">
        <f>Y77*付加価値率!Q40/付加価値率!P40</f>
        <v>0.90225901540152975</v>
      </c>
      <c r="AA77" s="1527">
        <f>Z77*付加価値率!R40/付加価値率!Q40</f>
        <v>0.89880001250460684</v>
      </c>
      <c r="AB77" s="1527">
        <f>AA77*付加価値率!S40/付加価値率!R40</f>
        <v>0.88570691225026199</v>
      </c>
      <c r="AC77" s="1527">
        <f>AB77*付加価値率!T40/付加価値率!S40</f>
        <v>0.88338336850706722</v>
      </c>
      <c r="AD77" s="1527">
        <f>AC77*付加価値率!U40/付加価値率!T40</f>
        <v>0.85191122743960868</v>
      </c>
      <c r="AE77" s="1527">
        <f>AD77*付加価値率!V40/付加価値率!U40</f>
        <v>0.85404301536358462</v>
      </c>
      <c r="AF77" s="633">
        <f t="shared" si="48"/>
        <v>0</v>
      </c>
      <c r="AG77" s="612">
        <f t="shared" si="51"/>
        <v>0</v>
      </c>
      <c r="AH77" s="612">
        <f t="shared" si="52"/>
        <v>0</v>
      </c>
      <c r="AI77" s="612">
        <f t="shared" si="53"/>
        <v>0</v>
      </c>
      <c r="AJ77" s="612">
        <f t="shared" si="54"/>
        <v>0</v>
      </c>
      <c r="AK77" s="612">
        <f t="shared" si="55"/>
        <v>0</v>
      </c>
      <c r="AL77" s="612">
        <f t="shared" si="56"/>
        <v>0</v>
      </c>
      <c r="AM77" s="612">
        <f t="shared" si="56"/>
        <v>0</v>
      </c>
      <c r="AN77" s="627" t="s">
        <v>9834</v>
      </c>
      <c r="AO77" s="187"/>
      <c r="AP77" s="529">
        <f>商業運輸マージン!G78</f>
        <v>0</v>
      </c>
      <c r="AQ77" s="529">
        <f>商業運輸マージン!H78</f>
        <v>0</v>
      </c>
      <c r="AR77" s="197">
        <f t="shared" si="49"/>
        <v>0</v>
      </c>
      <c r="AS77" s="197">
        <f t="shared" si="50"/>
        <v>0</v>
      </c>
    </row>
    <row r="78" spans="1:45" ht="15.75" customHeight="1">
      <c r="A78" s="621">
        <v>75</v>
      </c>
      <c r="B78" s="622" t="s">
        <v>9104</v>
      </c>
      <c r="C78" s="197">
        <f>SUM(CT作業分類比較!H405:H406)</f>
        <v>297079</v>
      </c>
      <c r="D78" s="627">
        <f>SUM(CT作業分類比較!I405:I406)</f>
        <v>6725.152</v>
      </c>
      <c r="E78" s="633">
        <v>330180</v>
      </c>
      <c r="F78" s="633">
        <v>326804</v>
      </c>
      <c r="G78" s="1499">
        <v>213329</v>
      </c>
      <c r="H78" s="633">
        <f>QE産出!AB17</f>
        <v>1726848.4355384207</v>
      </c>
      <c r="I78" s="633">
        <f>QE産出!AB18</f>
        <v>1886932.5147601622</v>
      </c>
      <c r="J78" s="633">
        <f>QE産出!AB19</f>
        <v>2008813.6473878357</v>
      </c>
      <c r="K78" s="633">
        <f>QE産出!AB20</f>
        <v>2177387.2872068081</v>
      </c>
      <c r="L78" s="1499">
        <f>QE産出!AB21</f>
        <v>2126000.8334817011</v>
      </c>
      <c r="M78" s="1499">
        <f>QE産出!AB22</f>
        <v>2138762.723433462</v>
      </c>
      <c r="N78" s="612" t="s">
        <v>9825</v>
      </c>
      <c r="O78" s="633">
        <f>ROUND(D78*F78/E78,0)</f>
        <v>6656</v>
      </c>
      <c r="P78" s="633">
        <f>ROUND(D78*G78/E78,0)</f>
        <v>4345</v>
      </c>
      <c r="Q78" s="1499">
        <f>CT作業分類比較!L405</f>
        <v>3900</v>
      </c>
      <c r="R78" s="633">
        <f>ROUND(Q78*I78/H78,0)</f>
        <v>4262</v>
      </c>
      <c r="S78" s="633">
        <f t="shared" ref="S78:S79" si="60">ROUND(R78*J78/I78,0)</f>
        <v>4537</v>
      </c>
      <c r="T78" s="633">
        <f t="shared" ref="T78:T79" si="61">ROUND(S78*K78/J78,0)</f>
        <v>4918</v>
      </c>
      <c r="U78" s="633">
        <f t="shared" ref="U78:V79" si="62">ROUND(T78*L78/K78,0)</f>
        <v>4802</v>
      </c>
      <c r="V78" s="633">
        <f t="shared" si="62"/>
        <v>4831</v>
      </c>
      <c r="W78" s="718" t="s">
        <v>9735</v>
      </c>
      <c r="X78" s="1539">
        <v>0.65809431161408249</v>
      </c>
      <c r="Y78" s="529">
        <f>X78*付加価値率!P33/付加価値率!L33</f>
        <v>0.73975560325571488</v>
      </c>
      <c r="Z78" s="1527">
        <f>Y78*付加価値率!Q33/付加価値率!P33</f>
        <v>0.54059265502591314</v>
      </c>
      <c r="AA78" s="1527">
        <f>Z78*付加価値率!R33/付加価値率!Q33</f>
        <v>0.74167643254209126</v>
      </c>
      <c r="AB78" s="1527">
        <f>AA78*付加価値率!S33/付加価値率!R33</f>
        <v>0.68971075552914729</v>
      </c>
      <c r="AC78" s="1527">
        <f>AB78*付加価値率!T33/付加価値率!S33</f>
        <v>0.70072805203455213</v>
      </c>
      <c r="AD78" s="1527">
        <f>AC78*付加価値率!U33/付加価値率!T33</f>
        <v>0.60973890653855745</v>
      </c>
      <c r="AE78" s="1527">
        <f>AD78*付加価値率!V33/付加価値率!U33</f>
        <v>0.62568263393376755</v>
      </c>
      <c r="AF78" s="633">
        <f t="shared" si="48"/>
        <v>4426</v>
      </c>
      <c r="AG78" s="612">
        <f t="shared" si="51"/>
        <v>4924</v>
      </c>
      <c r="AH78" s="612">
        <f t="shared" si="52"/>
        <v>2349</v>
      </c>
      <c r="AI78" s="612">
        <f t="shared" si="53"/>
        <v>3161</v>
      </c>
      <c r="AJ78" s="612">
        <f t="shared" si="54"/>
        <v>3129</v>
      </c>
      <c r="AK78" s="612">
        <f t="shared" si="55"/>
        <v>3446</v>
      </c>
      <c r="AL78" s="612">
        <f t="shared" si="56"/>
        <v>2928</v>
      </c>
      <c r="AM78" s="612">
        <f t="shared" si="56"/>
        <v>3023</v>
      </c>
      <c r="AN78" s="723">
        <f>ROUND(AK78/AH78*100,1)</f>
        <v>146.69999999999999</v>
      </c>
      <c r="AO78" s="187"/>
      <c r="AP78" s="529">
        <f>商業運輸マージン!G79</f>
        <v>0</v>
      </c>
      <c r="AQ78" s="529">
        <f>商業運輸マージン!H79</f>
        <v>1.5265523674940438E-2</v>
      </c>
      <c r="AR78" s="197">
        <f t="shared" si="49"/>
        <v>0</v>
      </c>
      <c r="AS78" s="197">
        <f t="shared" si="50"/>
        <v>103</v>
      </c>
    </row>
    <row r="79" spans="1:45" ht="15.75" customHeight="1">
      <c r="A79" s="621">
        <v>76</v>
      </c>
      <c r="B79" s="622" t="s">
        <v>9105</v>
      </c>
      <c r="C79" s="197">
        <f>SUM(CT作業分類比較!H407:H409)</f>
        <v>901662</v>
      </c>
      <c r="D79" s="627">
        <f>SUM(CT作業分類比較!I407:I409)</f>
        <v>2576.096</v>
      </c>
      <c r="E79" s="633">
        <v>739835</v>
      </c>
      <c r="F79" s="633">
        <v>632842</v>
      </c>
      <c r="G79" s="1499">
        <v>564399</v>
      </c>
      <c r="H79" s="633">
        <f t="shared" ref="H79:I79" si="63">H78</f>
        <v>1726848.4355384207</v>
      </c>
      <c r="I79" s="633">
        <f t="shared" si="63"/>
        <v>1886932.5147601622</v>
      </c>
      <c r="J79" s="633">
        <f>J78</f>
        <v>2008813.6473878357</v>
      </c>
      <c r="K79" s="633">
        <f>K78</f>
        <v>2177387.2872068081</v>
      </c>
      <c r="L79" s="1499">
        <f>L78</f>
        <v>2126000.8334817011</v>
      </c>
      <c r="M79" s="1499">
        <f>M78</f>
        <v>2138762.723433462</v>
      </c>
      <c r="N79" s="612" t="s">
        <v>9825</v>
      </c>
      <c r="O79" s="633">
        <f>ROUND(D79*F79/E79,0)</f>
        <v>2204</v>
      </c>
      <c r="P79" s="633">
        <f>ROUND(D79*G79/E79,0)</f>
        <v>1965</v>
      </c>
      <c r="Q79" s="1499">
        <f>CT作業分類比較!L407</f>
        <v>1785</v>
      </c>
      <c r="R79" s="633">
        <f>ROUND(Q79*I79/H79,0)</f>
        <v>1950</v>
      </c>
      <c r="S79" s="633">
        <f t="shared" si="60"/>
        <v>2076</v>
      </c>
      <c r="T79" s="633">
        <f t="shared" si="61"/>
        <v>2250</v>
      </c>
      <c r="U79" s="633">
        <f t="shared" si="62"/>
        <v>2197</v>
      </c>
      <c r="V79" s="633">
        <f t="shared" si="62"/>
        <v>2210</v>
      </c>
      <c r="W79" s="718" t="s">
        <v>9736</v>
      </c>
      <c r="X79" s="1539">
        <v>0.73553837247216802</v>
      </c>
      <c r="Y79" s="529">
        <f>X79*付加価値率!P33/付加価値率!L33</f>
        <v>0.8268095056335264</v>
      </c>
      <c r="Z79" s="1527">
        <f>Y79*付加価値率!Q33/付加価値率!P33</f>
        <v>0.60420920623508334</v>
      </c>
      <c r="AA79" s="1527">
        <f>Z79*付加価値率!R33/付加価値率!Q33</f>
        <v>0.82895637671592937</v>
      </c>
      <c r="AB79" s="1527">
        <f>AA79*付加価値率!S33/付加価値率!R33</f>
        <v>0.77087541655572411</v>
      </c>
      <c r="AC79" s="1527">
        <f>AB79*付加価値率!T33/付加価値率!S33</f>
        <v>0.78318922051606121</v>
      </c>
      <c r="AD79" s="1527">
        <f>AC79*付加価値率!U33/付加価値率!T33</f>
        <v>0.68149253843016022</v>
      </c>
      <c r="AE79" s="1527">
        <f>AD79*付加価値率!V33/付加価値率!U33</f>
        <v>0.69931251209115397</v>
      </c>
      <c r="AF79" s="633">
        <f t="shared" si="48"/>
        <v>1895</v>
      </c>
      <c r="AG79" s="612">
        <f t="shared" si="51"/>
        <v>1822</v>
      </c>
      <c r="AH79" s="612">
        <f t="shared" si="52"/>
        <v>1187</v>
      </c>
      <c r="AI79" s="612">
        <f t="shared" si="53"/>
        <v>1616</v>
      </c>
      <c r="AJ79" s="612">
        <f t="shared" si="54"/>
        <v>1600</v>
      </c>
      <c r="AK79" s="612">
        <f t="shared" si="55"/>
        <v>1762</v>
      </c>
      <c r="AL79" s="612">
        <f t="shared" si="56"/>
        <v>1497</v>
      </c>
      <c r="AM79" s="612">
        <f t="shared" si="56"/>
        <v>1545</v>
      </c>
      <c r="AN79" s="723">
        <f>ROUND(AK79/AH79*100,1)</f>
        <v>148.4</v>
      </c>
      <c r="AO79" s="187"/>
      <c r="AP79" s="529">
        <f>商業運輸マージン!G80</f>
        <v>0</v>
      </c>
      <c r="AQ79" s="529">
        <f>商業運輸マージン!H80</f>
        <v>1.623599609848577</v>
      </c>
      <c r="AR79" s="197">
        <f t="shared" si="49"/>
        <v>0</v>
      </c>
      <c r="AS79" s="197">
        <f t="shared" si="50"/>
        <v>4183</v>
      </c>
    </row>
    <row r="80" spans="1:45" ht="15.75" customHeight="1">
      <c r="A80" s="621">
        <v>77</v>
      </c>
      <c r="B80" s="622" t="s">
        <v>9106</v>
      </c>
      <c r="C80" s="197">
        <f>SUM(CT作業分類比較!H410:H413)</f>
        <v>241095</v>
      </c>
      <c r="D80" s="627">
        <f>SUM(CT作業分類比較!I410:I413)</f>
        <v>0</v>
      </c>
      <c r="E80" s="612"/>
      <c r="F80" s="612"/>
      <c r="G80" s="612"/>
      <c r="H80" s="1505"/>
      <c r="I80" s="612"/>
      <c r="J80" s="612"/>
      <c r="K80" s="612"/>
      <c r="L80" s="612"/>
      <c r="M80" s="1505"/>
      <c r="N80" s="612"/>
      <c r="O80" s="612"/>
      <c r="P80" s="612"/>
      <c r="Q80" s="612"/>
      <c r="R80" s="612"/>
      <c r="S80" s="612"/>
      <c r="T80" s="612"/>
      <c r="U80" s="612"/>
      <c r="V80" s="1505"/>
      <c r="W80" s="718"/>
      <c r="X80" s="1539">
        <v>0.38447499948153219</v>
      </c>
      <c r="Y80" s="529">
        <f>X80*付加価値率!P33/付加価値率!L33</f>
        <v>0.43218354901233175</v>
      </c>
      <c r="Z80" s="1527">
        <f>Y80*付加価値率!Q33/付加価値率!P33</f>
        <v>0.31582762089378386</v>
      </c>
      <c r="AA80" s="1527">
        <f>Z80*付加価値率!R33/付加価値率!Q33</f>
        <v>0.43330574506516245</v>
      </c>
      <c r="AB80" s="1527">
        <f>AA80*付加価値率!S33/付加価値率!R33</f>
        <v>0.40294610923484175</v>
      </c>
      <c r="AC80" s="1527">
        <f>AB80*付加価値率!T33/付加価値率!S33</f>
        <v>0.40938268677919748</v>
      </c>
      <c r="AD80" s="1527">
        <f>AC80*付加価値率!U33/付加価値率!T33</f>
        <v>0.35622457395248719</v>
      </c>
      <c r="AE80" s="1527">
        <f>AD80*付加価値率!V33/付加価値率!U33</f>
        <v>0.36553929446264072</v>
      </c>
      <c r="AF80" s="633">
        <f t="shared" si="48"/>
        <v>0</v>
      </c>
      <c r="AG80" s="612">
        <f t="shared" si="51"/>
        <v>0</v>
      </c>
      <c r="AH80" s="612">
        <f t="shared" si="52"/>
        <v>0</v>
      </c>
      <c r="AI80" s="612">
        <f t="shared" si="53"/>
        <v>0</v>
      </c>
      <c r="AJ80" s="612">
        <f t="shared" si="54"/>
        <v>0</v>
      </c>
      <c r="AK80" s="612">
        <f t="shared" si="55"/>
        <v>0</v>
      </c>
      <c r="AL80" s="612">
        <f t="shared" si="56"/>
        <v>0</v>
      </c>
      <c r="AM80" s="612">
        <f t="shared" si="56"/>
        <v>0</v>
      </c>
      <c r="AN80" s="627" t="s">
        <v>9834</v>
      </c>
      <c r="AO80" s="187"/>
      <c r="AP80" s="529">
        <f>商業運輸マージン!G81</f>
        <v>0</v>
      </c>
      <c r="AQ80" s="529">
        <f>商業運輸マージン!H81</f>
        <v>0.26785406693260522</v>
      </c>
      <c r="AR80" s="197">
        <f t="shared" si="49"/>
        <v>0</v>
      </c>
      <c r="AS80" s="197">
        <f t="shared" si="50"/>
        <v>0</v>
      </c>
    </row>
    <row r="81" spans="1:45" ht="15.75" customHeight="1">
      <c r="A81" s="621">
        <v>78</v>
      </c>
      <c r="B81" s="622" t="s">
        <v>9107</v>
      </c>
      <c r="C81" s="197">
        <f>SUM(CT作業分類比較!H414:H417)</f>
        <v>51886</v>
      </c>
      <c r="D81" s="627">
        <f>SUM(CT作業分類比較!I414:I417)</f>
        <v>0</v>
      </c>
      <c r="E81" s="612"/>
      <c r="F81" s="612"/>
      <c r="G81" s="612"/>
      <c r="H81" s="1505"/>
      <c r="I81" s="612"/>
      <c r="J81" s="612"/>
      <c r="K81" s="612"/>
      <c r="L81" s="612"/>
      <c r="M81" s="1505"/>
      <c r="N81" s="612"/>
      <c r="O81" s="612"/>
      <c r="P81" s="612"/>
      <c r="Q81" s="612"/>
      <c r="R81" s="612"/>
      <c r="S81" s="612"/>
      <c r="T81" s="612"/>
      <c r="U81" s="612"/>
      <c r="V81" s="1505"/>
      <c r="W81" s="718"/>
      <c r="X81" s="1539">
        <v>0.16792583741278957</v>
      </c>
      <c r="Y81" s="529">
        <f>X81*付加価値率!P33/付加価値率!L33</f>
        <v>0.18876333827113573</v>
      </c>
      <c r="Z81" s="1527">
        <f>Y81*付加価値率!Q33/付加価値率!P33</f>
        <v>0.13794295542804258</v>
      </c>
      <c r="AA81" s="1527">
        <f>Z81*付加価値率!R33/付加価値率!Q33</f>
        <v>0.18925347602304948</v>
      </c>
      <c r="AB81" s="1527">
        <f>AA81*付加価値率!S33/付加価値率!R33</f>
        <v>0.17599340117493489</v>
      </c>
      <c r="AC81" s="1527">
        <f>AB81*付加価値率!T33/付加価値率!S33</f>
        <v>0.17880468324962337</v>
      </c>
      <c r="AD81" s="1527">
        <f>AC81*付加価値率!U33/付加価値率!T33</f>
        <v>0.15558699517173405</v>
      </c>
      <c r="AE81" s="1527">
        <f>AD81*付加価値率!V33/付加価値率!U33</f>
        <v>0.15965535395720237</v>
      </c>
      <c r="AF81" s="633">
        <f t="shared" si="48"/>
        <v>0</v>
      </c>
      <c r="AG81" s="612">
        <f t="shared" si="51"/>
        <v>0</v>
      </c>
      <c r="AH81" s="612">
        <f t="shared" si="52"/>
        <v>0</v>
      </c>
      <c r="AI81" s="612">
        <f t="shared" si="53"/>
        <v>0</v>
      </c>
      <c r="AJ81" s="612">
        <f t="shared" si="54"/>
        <v>0</v>
      </c>
      <c r="AK81" s="612">
        <f t="shared" si="55"/>
        <v>0</v>
      </c>
      <c r="AL81" s="612">
        <f t="shared" si="56"/>
        <v>0</v>
      </c>
      <c r="AM81" s="612">
        <f t="shared" si="56"/>
        <v>0</v>
      </c>
      <c r="AN81" s="627" t="s">
        <v>9834</v>
      </c>
      <c r="AO81" s="187"/>
      <c r="AP81" s="529">
        <f>商業運輸マージン!G82</f>
        <v>0</v>
      </c>
      <c r="AQ81" s="529">
        <f>商業運輸マージン!H82</f>
        <v>1.1090676388563123E-2</v>
      </c>
      <c r="AR81" s="197">
        <f t="shared" si="49"/>
        <v>0</v>
      </c>
      <c r="AS81" s="197">
        <f t="shared" si="50"/>
        <v>0</v>
      </c>
    </row>
    <row r="82" spans="1:45" ht="15.75" customHeight="1">
      <c r="A82" s="621">
        <v>79</v>
      </c>
      <c r="B82" s="622" t="s">
        <v>9108</v>
      </c>
      <c r="C82" s="197">
        <f>CT作業分類比較!H418</f>
        <v>40412</v>
      </c>
      <c r="D82" s="627">
        <f>CT作業分類比較!I418</f>
        <v>0</v>
      </c>
      <c r="E82" s="612"/>
      <c r="F82" s="612"/>
      <c r="G82" s="612"/>
      <c r="H82" s="1505"/>
      <c r="I82" s="612"/>
      <c r="J82" s="612"/>
      <c r="K82" s="612"/>
      <c r="L82" s="612"/>
      <c r="M82" s="1505"/>
      <c r="N82" s="612"/>
      <c r="O82" s="612"/>
      <c r="P82" s="612"/>
      <c r="Q82" s="612"/>
      <c r="R82" s="612"/>
      <c r="S82" s="612"/>
      <c r="T82" s="612"/>
      <c r="U82" s="612"/>
      <c r="V82" s="1505"/>
      <c r="W82" s="718"/>
      <c r="X82" s="1539">
        <v>0.64574878748886466</v>
      </c>
      <c r="Y82" s="529">
        <f>X82*付加価値率!P33/付加価値率!L33</f>
        <v>0.7258781536476806</v>
      </c>
      <c r="Z82" s="1527">
        <f>Y82*付加価値率!Q33/付加価値率!P33</f>
        <v>0.53045140392138823</v>
      </c>
      <c r="AA82" s="1527">
        <f>Z82*付加価値率!R33/付加価値率!Q33</f>
        <v>0.72776294912571549</v>
      </c>
      <c r="AB82" s="1527">
        <f>AA82*付加価値率!S33/付加価値率!R33</f>
        <v>0.67677212253758834</v>
      </c>
      <c r="AC82" s="1527">
        <f>AB82*付加価値率!T33/付加価値率!S33</f>
        <v>0.68758274000413544</v>
      </c>
      <c r="AD82" s="1527">
        <f>AC82*付加価値率!U33/付加価値率!T33</f>
        <v>0.5983005059204255</v>
      </c>
      <c r="AE82" s="1527">
        <f>AD82*付加価値率!V33/付加価値率!U33</f>
        <v>0.61394513686740659</v>
      </c>
      <c r="AF82" s="633">
        <f t="shared" si="48"/>
        <v>0</v>
      </c>
      <c r="AG82" s="612">
        <f t="shared" si="51"/>
        <v>0</v>
      </c>
      <c r="AH82" s="612">
        <f t="shared" si="52"/>
        <v>0</v>
      </c>
      <c r="AI82" s="612">
        <f t="shared" si="53"/>
        <v>0</v>
      </c>
      <c r="AJ82" s="612">
        <f t="shared" si="54"/>
        <v>0</v>
      </c>
      <c r="AK82" s="612">
        <f t="shared" si="55"/>
        <v>0</v>
      </c>
      <c r="AL82" s="612">
        <f t="shared" si="56"/>
        <v>0</v>
      </c>
      <c r="AM82" s="612">
        <f t="shared" si="56"/>
        <v>0</v>
      </c>
      <c r="AN82" s="627" t="s">
        <v>9834</v>
      </c>
      <c r="AO82" s="187"/>
      <c r="AP82" s="529">
        <f>商業運輸マージン!G83</f>
        <v>0</v>
      </c>
      <c r="AQ82" s="529">
        <f>商業運輸マージン!H83</f>
        <v>10.978491886732421</v>
      </c>
      <c r="AR82" s="197">
        <f t="shared" si="49"/>
        <v>0</v>
      </c>
      <c r="AS82" s="197">
        <f t="shared" si="50"/>
        <v>0</v>
      </c>
    </row>
    <row r="83" spans="1:45" ht="15.75" customHeight="1">
      <c r="A83" s="621">
        <v>80</v>
      </c>
      <c r="B83" s="622" t="s">
        <v>687</v>
      </c>
      <c r="C83" s="197">
        <f>CT作業分類比較!H419</f>
        <v>115064</v>
      </c>
      <c r="D83" s="627">
        <f>CT作業分類比較!I419</f>
        <v>0</v>
      </c>
      <c r="E83" s="612"/>
      <c r="F83" s="612"/>
      <c r="G83" s="612"/>
      <c r="H83" s="1505"/>
      <c r="I83" s="612"/>
      <c r="J83" s="612"/>
      <c r="K83" s="612"/>
      <c r="L83" s="612"/>
      <c r="M83" s="1505"/>
      <c r="N83" s="612"/>
      <c r="O83" s="612"/>
      <c r="P83" s="612"/>
      <c r="Q83" s="612"/>
      <c r="R83" s="612"/>
      <c r="S83" s="612"/>
      <c r="T83" s="612"/>
      <c r="U83" s="612"/>
      <c r="V83" s="1505"/>
      <c r="W83" s="718"/>
      <c r="X83" s="1539">
        <v>0.62134116665507888</v>
      </c>
      <c r="Y83" s="529">
        <f>X83*付加価値率!P33/付加価値率!L33</f>
        <v>0.69844185165374673</v>
      </c>
      <c r="Z83" s="1527">
        <f>Y83*付加価値率!Q33/付加価値率!P33</f>
        <v>0.51040172363006298</v>
      </c>
      <c r="AA83" s="1527">
        <f>Z83*付加価値率!R33/付加価値率!Q33</f>
        <v>0.70025540677598308</v>
      </c>
      <c r="AB83" s="1527">
        <f>AA83*付加価値率!S33/付加価値率!R33</f>
        <v>0.65119190051036724</v>
      </c>
      <c r="AC83" s="1527">
        <f>AB83*付加価値率!T33/付加価値率!S33</f>
        <v>0.66159390481771874</v>
      </c>
      <c r="AD83" s="1527">
        <f>AC83*付加価値率!U33/付加価値率!T33</f>
        <v>0.57568630644208751</v>
      </c>
      <c r="AE83" s="1527">
        <f>AD83*付加価値率!V33/付加価値率!U33</f>
        <v>0.59073961112158413</v>
      </c>
      <c r="AF83" s="633">
        <f t="shared" si="48"/>
        <v>0</v>
      </c>
      <c r="AG83" s="612">
        <f t="shared" si="51"/>
        <v>0</v>
      </c>
      <c r="AH83" s="612">
        <f t="shared" si="52"/>
        <v>0</v>
      </c>
      <c r="AI83" s="612">
        <f t="shared" si="53"/>
        <v>0</v>
      </c>
      <c r="AJ83" s="612">
        <f t="shared" si="54"/>
        <v>0</v>
      </c>
      <c r="AK83" s="612">
        <f t="shared" si="55"/>
        <v>0</v>
      </c>
      <c r="AL83" s="612">
        <f t="shared" si="56"/>
        <v>0</v>
      </c>
      <c r="AM83" s="612">
        <f t="shared" si="56"/>
        <v>0</v>
      </c>
      <c r="AN83" s="627" t="s">
        <v>9834</v>
      </c>
      <c r="AO83" s="187"/>
      <c r="AP83" s="529">
        <f>商業運輸マージン!G84</f>
        <v>0</v>
      </c>
      <c r="AQ83" s="529">
        <f>商業運輸マージン!H84</f>
        <v>7.9940522924552715</v>
      </c>
      <c r="AR83" s="197">
        <f t="shared" si="49"/>
        <v>0</v>
      </c>
      <c r="AS83" s="197">
        <f t="shared" si="50"/>
        <v>0</v>
      </c>
    </row>
    <row r="84" spans="1:45" ht="15.75" customHeight="1">
      <c r="A84" s="621">
        <v>81</v>
      </c>
      <c r="B84" s="622" t="s">
        <v>9109</v>
      </c>
      <c r="C84" s="197">
        <f>SUM(CT作業分類比較!H420:H428)</f>
        <v>342265</v>
      </c>
      <c r="D84" s="627">
        <f>SUM(CT作業分類比較!I420:I428)</f>
        <v>1479.296</v>
      </c>
      <c r="E84" s="633">
        <v>52772</v>
      </c>
      <c r="F84" s="633">
        <v>40177</v>
      </c>
      <c r="G84" s="1499">
        <v>9987</v>
      </c>
      <c r="H84" s="633">
        <f t="shared" ref="H84:I84" si="64">H78</f>
        <v>1726848.4355384207</v>
      </c>
      <c r="I84" s="633">
        <f t="shared" si="64"/>
        <v>1886932.5147601622</v>
      </c>
      <c r="J84" s="633">
        <f>J78</f>
        <v>2008813.6473878357</v>
      </c>
      <c r="K84" s="633">
        <f>K78</f>
        <v>2177387.2872068081</v>
      </c>
      <c r="L84" s="1499">
        <f>L78</f>
        <v>2126000.8334817011</v>
      </c>
      <c r="M84" s="1499">
        <f>M78</f>
        <v>2138762.723433462</v>
      </c>
      <c r="N84" s="612" t="s">
        <v>9825</v>
      </c>
      <c r="O84" s="633">
        <f>ROUND(D84*F84/E84,0)</f>
        <v>1126</v>
      </c>
      <c r="P84" s="633">
        <f>ROUND(D84*G84/E84,0)</f>
        <v>280</v>
      </c>
      <c r="Q84" s="1499">
        <f>CT作業分類比較!L428</f>
        <v>116</v>
      </c>
      <c r="R84" s="633">
        <f>ROUND(Q84*I84/H84,0)</f>
        <v>127</v>
      </c>
      <c r="S84" s="633">
        <f t="shared" ref="S84" si="65">ROUND(R84*J84/I84,0)</f>
        <v>135</v>
      </c>
      <c r="T84" s="633">
        <f t="shared" ref="T84" si="66">ROUND(S84*K84/J84,0)</f>
        <v>146</v>
      </c>
      <c r="U84" s="633">
        <f t="shared" ref="U84:V84" si="67">ROUND(T84*L84/K84,0)</f>
        <v>143</v>
      </c>
      <c r="V84" s="633">
        <f t="shared" si="67"/>
        <v>144</v>
      </c>
      <c r="W84" s="718" t="s">
        <v>9737</v>
      </c>
      <c r="X84" s="1539">
        <v>0.64035761763545795</v>
      </c>
      <c r="Y84" s="529">
        <f>X84*付加価値率!P33/付加価値率!L33</f>
        <v>0.71981800689245434</v>
      </c>
      <c r="Z84" s="1527">
        <f>Y84*付加価値率!Q33/付加価値率!P33</f>
        <v>0.52602281857531408</v>
      </c>
      <c r="AA84" s="1527">
        <f>Z84*付加価値率!R33/付加価値率!Q33</f>
        <v>0.72168706675819227</v>
      </c>
      <c r="AB84" s="1527">
        <f>AA84*付加価値率!S33/付加価値率!R33</f>
        <v>0.67112194783290291</v>
      </c>
      <c r="AC84" s="1527">
        <f>AB84*付加価値率!T33/付加価値率!S33</f>
        <v>0.68184231058103395</v>
      </c>
      <c r="AD84" s="1527">
        <f>AC84*付加価値率!U33/付加価値率!T33</f>
        <v>0.59330546804611606</v>
      </c>
      <c r="AE84" s="1527">
        <f>AD84*付加価値率!V33/付加価値率!U33</f>
        <v>0.60881948649430018</v>
      </c>
      <c r="AF84" s="633">
        <f t="shared" si="48"/>
        <v>947</v>
      </c>
      <c r="AG84" s="612">
        <f t="shared" si="51"/>
        <v>811</v>
      </c>
      <c r="AH84" s="612">
        <f t="shared" si="52"/>
        <v>147</v>
      </c>
      <c r="AI84" s="612">
        <f t="shared" si="53"/>
        <v>92</v>
      </c>
      <c r="AJ84" s="612">
        <f t="shared" si="54"/>
        <v>91</v>
      </c>
      <c r="AK84" s="612">
        <f t="shared" si="55"/>
        <v>100</v>
      </c>
      <c r="AL84" s="612">
        <f t="shared" si="56"/>
        <v>85</v>
      </c>
      <c r="AM84" s="612">
        <f t="shared" si="56"/>
        <v>88</v>
      </c>
      <c r="AN84" s="723">
        <f>ROUND(AK84/AH84*100,1)</f>
        <v>68</v>
      </c>
      <c r="AO84" s="187"/>
      <c r="AP84" s="529">
        <f>商業運輸マージン!G85</f>
        <v>0</v>
      </c>
      <c r="AQ84" s="529">
        <f>商業運輸マージン!H85</f>
        <v>0</v>
      </c>
      <c r="AR84" s="197">
        <f t="shared" si="49"/>
        <v>0</v>
      </c>
      <c r="AS84" s="197">
        <f t="shared" si="50"/>
        <v>0</v>
      </c>
    </row>
    <row r="85" spans="1:45" ht="15.75" customHeight="1">
      <c r="A85" s="621">
        <v>82</v>
      </c>
      <c r="B85" s="622" t="s">
        <v>9110</v>
      </c>
      <c r="C85" s="197">
        <f>CT作業分類比較!H429</f>
        <v>46176</v>
      </c>
      <c r="D85" s="627">
        <f>CT作業分類比較!I429</f>
        <v>0</v>
      </c>
      <c r="E85" s="612"/>
      <c r="F85" s="612"/>
      <c r="G85" s="612"/>
      <c r="H85" s="1505"/>
      <c r="I85" s="612"/>
      <c r="J85" s="612"/>
      <c r="K85" s="612"/>
      <c r="L85" s="612"/>
      <c r="M85" s="1505"/>
      <c r="N85" s="612"/>
      <c r="O85" s="612"/>
      <c r="P85" s="612"/>
      <c r="Q85" s="612"/>
      <c r="R85" s="612"/>
      <c r="S85" s="612"/>
      <c r="T85" s="612"/>
      <c r="U85" s="612"/>
      <c r="V85" s="1505"/>
      <c r="W85" s="718"/>
      <c r="X85" s="1539">
        <v>0.75075796950796947</v>
      </c>
      <c r="Y85" s="529">
        <f>X85*付加価値率!P33/付加価値率!L33</f>
        <v>0.84391766473448293</v>
      </c>
      <c r="Z85" s="1527">
        <f>Y85*付加価値率!Q33/付加価値率!P33</f>
        <v>0.61671136926066683</v>
      </c>
      <c r="AA85" s="1527">
        <f>Z85*付加価値率!R33/付加価値率!Q33</f>
        <v>0.84610895839765776</v>
      </c>
      <c r="AB85" s="1527">
        <f>AA85*付加価値率!S33/付加価値率!R33</f>
        <v>0.78682619987835434</v>
      </c>
      <c r="AC85" s="1527">
        <f>AB85*付加価値率!T33/付加価値率!S33</f>
        <v>0.79939479834196703</v>
      </c>
      <c r="AD85" s="1527">
        <f>AC85*付加価値率!U33/付加価値率!T33</f>
        <v>0.6955938310424703</v>
      </c>
      <c r="AE85" s="1527">
        <f>AD85*付加価値率!V33/付加価値率!U33</f>
        <v>0.71378253165022731</v>
      </c>
      <c r="AF85" s="633">
        <f t="shared" si="48"/>
        <v>0</v>
      </c>
      <c r="AG85" s="612">
        <f t="shared" si="51"/>
        <v>0</v>
      </c>
      <c r="AH85" s="612">
        <f t="shared" si="52"/>
        <v>0</v>
      </c>
      <c r="AI85" s="612">
        <f t="shared" si="53"/>
        <v>0</v>
      </c>
      <c r="AJ85" s="612">
        <f t="shared" si="54"/>
        <v>0</v>
      </c>
      <c r="AK85" s="612">
        <f t="shared" si="55"/>
        <v>0</v>
      </c>
      <c r="AL85" s="612">
        <f t="shared" si="56"/>
        <v>0</v>
      </c>
      <c r="AM85" s="612">
        <f t="shared" si="56"/>
        <v>0</v>
      </c>
      <c r="AN85" s="627" t="s">
        <v>9834</v>
      </c>
      <c r="AO85" s="187"/>
      <c r="AP85" s="529">
        <f>商業運輸マージン!G86</f>
        <v>0</v>
      </c>
      <c r="AQ85" s="529">
        <f>商業運輸マージン!H86</f>
        <v>0</v>
      </c>
      <c r="AR85" s="197">
        <f t="shared" si="49"/>
        <v>0</v>
      </c>
      <c r="AS85" s="197">
        <f t="shared" si="50"/>
        <v>0</v>
      </c>
    </row>
    <row r="86" spans="1:45" ht="15.75" customHeight="1">
      <c r="A86" s="621">
        <v>83</v>
      </c>
      <c r="B86" s="622" t="s">
        <v>9111</v>
      </c>
      <c r="C86" s="197">
        <f>SUM(CT作業分類比較!H430:H432)</f>
        <v>406460</v>
      </c>
      <c r="D86" s="627">
        <f>SUM(CT作業分類比較!I430:I432)</f>
        <v>0</v>
      </c>
      <c r="E86" s="612"/>
      <c r="F86" s="612"/>
      <c r="G86" s="612"/>
      <c r="H86" s="1505"/>
      <c r="I86" s="612"/>
      <c r="J86" s="612"/>
      <c r="K86" s="612"/>
      <c r="L86" s="612"/>
      <c r="M86" s="1505"/>
      <c r="N86" s="612"/>
      <c r="O86" s="612"/>
      <c r="P86" s="612"/>
      <c r="Q86" s="612"/>
      <c r="R86" s="612"/>
      <c r="S86" s="612"/>
      <c r="T86" s="612"/>
      <c r="U86" s="612"/>
      <c r="V86" s="1505"/>
      <c r="W86" s="718"/>
      <c r="X86" s="1539">
        <v>0.52624366481326579</v>
      </c>
      <c r="Y86" s="529">
        <f>X86*付加価値率!P36/付加価値率!L36</f>
        <v>0.47674193404535037</v>
      </c>
      <c r="Z86" s="1527">
        <f>Y86*付加価値率!Q36/付加価値率!P36</f>
        <v>0.49617687902834601</v>
      </c>
      <c r="AA86" s="1527">
        <f>Z86*付加価値率!R36/付加価値率!Q36</f>
        <v>0.4805018933358331</v>
      </c>
      <c r="AB86" s="1527">
        <f>AA86*付加価値率!S36/付加価値率!R36</f>
        <v>0.42249613314286277</v>
      </c>
      <c r="AC86" s="1527">
        <f>AB86*付加価値率!T36/付加価値率!S36</f>
        <v>0.44804031847560283</v>
      </c>
      <c r="AD86" s="1527">
        <f>AC86*付加価値率!U36/付加価値率!T36</f>
        <v>0.51536693713738102</v>
      </c>
      <c r="AE86" s="1527">
        <f>AD86*付加価値率!V36/付加価値率!U36</f>
        <v>0.4777963360952705</v>
      </c>
      <c r="AF86" s="633">
        <f t="shared" si="48"/>
        <v>0</v>
      </c>
      <c r="AG86" s="612">
        <f t="shared" si="51"/>
        <v>0</v>
      </c>
      <c r="AH86" s="612">
        <f t="shared" si="52"/>
        <v>0</v>
      </c>
      <c r="AI86" s="612">
        <f t="shared" si="53"/>
        <v>0</v>
      </c>
      <c r="AJ86" s="612">
        <f t="shared" si="54"/>
        <v>0</v>
      </c>
      <c r="AK86" s="612">
        <f t="shared" si="55"/>
        <v>0</v>
      </c>
      <c r="AL86" s="612">
        <f t="shared" si="56"/>
        <v>0</v>
      </c>
      <c r="AM86" s="612">
        <f t="shared" si="56"/>
        <v>0</v>
      </c>
      <c r="AN86" s="627" t="s">
        <v>9834</v>
      </c>
      <c r="AO86" s="187"/>
      <c r="AP86" s="529">
        <f>商業運輸マージン!G87</f>
        <v>0</v>
      </c>
      <c r="AQ86" s="529">
        <f>商業運輸マージン!H87</f>
        <v>0</v>
      </c>
      <c r="AR86" s="197">
        <f t="shared" si="49"/>
        <v>0</v>
      </c>
      <c r="AS86" s="197">
        <f t="shared" si="50"/>
        <v>0</v>
      </c>
    </row>
    <row r="87" spans="1:45" ht="15.75" customHeight="1">
      <c r="A87" s="621">
        <v>84</v>
      </c>
      <c r="B87" s="622" t="s">
        <v>9112</v>
      </c>
      <c r="C87" s="197">
        <f>SUM(CT作業分類比較!H433:H435)</f>
        <v>47648</v>
      </c>
      <c r="D87" s="627">
        <f>SUM(CT作業分類比較!I433:I435)</f>
        <v>3287.7120000000004</v>
      </c>
      <c r="E87" s="633">
        <v>94528</v>
      </c>
      <c r="F87" s="633">
        <v>99543</v>
      </c>
      <c r="G87" s="1499">
        <v>96452</v>
      </c>
      <c r="H87" s="633">
        <f>QE産出!AD17</f>
        <v>1197311.368419379</v>
      </c>
      <c r="I87" s="633">
        <f>QE産出!AD18</f>
        <v>1242993.2453240436</v>
      </c>
      <c r="J87" s="633">
        <f>QE産出!AD19</f>
        <v>1167426.1181959198</v>
      </c>
      <c r="K87" s="633">
        <f>QE産出!AD20</f>
        <v>1176347.2275225413</v>
      </c>
      <c r="L87" s="1499">
        <f>QE産出!AD21</f>
        <v>1418598.6793311993</v>
      </c>
      <c r="M87" s="1499">
        <f>QE産出!AD22</f>
        <v>1592386.4854467495</v>
      </c>
      <c r="N87" s="612" t="s">
        <v>9830</v>
      </c>
      <c r="O87" s="633">
        <f t="shared" ref="O87:O94" si="68">ROUND(D87*F87/E87,0)</f>
        <v>3462</v>
      </c>
      <c r="P87" s="633">
        <f t="shared" ref="P87:P94" si="69">ROUND(D87*G87/E87,0)</f>
        <v>3355</v>
      </c>
      <c r="Q87" s="1499">
        <f>SUM(CT作業分類比較!L433:L435)</f>
        <v>5018</v>
      </c>
      <c r="R87" s="633">
        <f t="shared" ref="R87:R94" si="70">ROUND(Q87*I87/H87,0)</f>
        <v>5209</v>
      </c>
      <c r="S87" s="633">
        <f t="shared" ref="S87:S94" si="71">ROUND(R87*J87/I87,0)</f>
        <v>4892</v>
      </c>
      <c r="T87" s="633">
        <f t="shared" ref="T87:T94" si="72">ROUND(S87*K87/J87,0)</f>
        <v>4929</v>
      </c>
      <c r="U87" s="633">
        <f t="shared" ref="U87:V94" si="73">ROUND(T87*L87/K87,0)</f>
        <v>5944</v>
      </c>
      <c r="V87" s="633">
        <f t="shared" si="73"/>
        <v>6672</v>
      </c>
      <c r="W87" s="718" t="s">
        <v>9738</v>
      </c>
      <c r="X87" s="1539">
        <v>0.41594610476830085</v>
      </c>
      <c r="Y87" s="529">
        <f>X87*付加価値率!P36/付加価値率!L36</f>
        <v>0.37681964402599472</v>
      </c>
      <c r="Z87" s="1527">
        <f>Y87*付加価値率!Q36/付加価値率!P36</f>
        <v>0.39218113947493621</v>
      </c>
      <c r="AA87" s="1527">
        <f>Z87*付加価値率!R36/付加価値率!Q36</f>
        <v>0.37979153808484029</v>
      </c>
      <c r="AB87" s="1527">
        <f>AA87*付加価値率!S36/付加価値率!R36</f>
        <v>0.33394344219383976</v>
      </c>
      <c r="AC87" s="1527">
        <f>AB87*付加価値率!T36/付加価値率!S36</f>
        <v>0.35413371734404608</v>
      </c>
      <c r="AD87" s="1527">
        <f>AC87*付加価値率!U36/付加価値率!T36</f>
        <v>0.40734907489048716</v>
      </c>
      <c r="AE87" s="1527">
        <f>AD87*付加価値率!V36/付加価値率!U36</f>
        <v>0.37765304964177471</v>
      </c>
      <c r="AF87" s="633">
        <f t="shared" si="48"/>
        <v>1368</v>
      </c>
      <c r="AG87" s="612">
        <f t="shared" si="51"/>
        <v>1305</v>
      </c>
      <c r="AH87" s="612">
        <f t="shared" si="52"/>
        <v>1316</v>
      </c>
      <c r="AI87" s="612">
        <f t="shared" si="53"/>
        <v>1978</v>
      </c>
      <c r="AJ87" s="612">
        <f t="shared" si="54"/>
        <v>1634</v>
      </c>
      <c r="AK87" s="612">
        <f t="shared" si="55"/>
        <v>1746</v>
      </c>
      <c r="AL87" s="612">
        <f t="shared" si="56"/>
        <v>2421</v>
      </c>
      <c r="AM87" s="612">
        <f t="shared" si="56"/>
        <v>2520</v>
      </c>
      <c r="AN87" s="723">
        <f t="shared" ref="AN87:AN94" si="74">ROUND(AK87/AH87*100,1)</f>
        <v>132.69999999999999</v>
      </c>
      <c r="AO87" s="187"/>
      <c r="AP87" s="529">
        <f>商業運輸マージン!G88</f>
        <v>0</v>
      </c>
      <c r="AQ87" s="529">
        <f>商業運輸マージン!H88</f>
        <v>0</v>
      </c>
      <c r="AR87" s="197">
        <f t="shared" si="49"/>
        <v>0</v>
      </c>
      <c r="AS87" s="197">
        <f t="shared" si="50"/>
        <v>0</v>
      </c>
    </row>
    <row r="88" spans="1:45" ht="15.75" customHeight="1">
      <c r="A88" s="621">
        <v>85</v>
      </c>
      <c r="B88" s="622" t="s">
        <v>7357</v>
      </c>
      <c r="C88" s="197">
        <f>SUM(CT作業分類比較!H436:H437)</f>
        <v>263712</v>
      </c>
      <c r="D88" s="627">
        <f>SUM(CT作業分類比較!I436:I437)</f>
        <v>1016.47</v>
      </c>
      <c r="E88" s="633">
        <v>309496</v>
      </c>
      <c r="F88" s="633">
        <v>326282</v>
      </c>
      <c r="G88" s="1499">
        <v>325962</v>
      </c>
      <c r="H88" s="633">
        <f t="shared" ref="H88:I88" si="75">H87</f>
        <v>1197311.368419379</v>
      </c>
      <c r="I88" s="633">
        <f t="shared" si="75"/>
        <v>1242993.2453240436</v>
      </c>
      <c r="J88" s="633">
        <f>J87</f>
        <v>1167426.1181959198</v>
      </c>
      <c r="K88" s="633">
        <f>K87</f>
        <v>1176347.2275225413</v>
      </c>
      <c r="L88" s="1499">
        <f>L87</f>
        <v>1418598.6793311993</v>
      </c>
      <c r="M88" s="1499">
        <f>M87</f>
        <v>1592386.4854467495</v>
      </c>
      <c r="N88" s="612" t="s">
        <v>9830</v>
      </c>
      <c r="O88" s="633">
        <f t="shared" si="68"/>
        <v>1072</v>
      </c>
      <c r="P88" s="633">
        <f t="shared" si="69"/>
        <v>1071</v>
      </c>
      <c r="Q88" s="1499">
        <f>CT作業分類比較!L436</f>
        <v>885</v>
      </c>
      <c r="R88" s="633">
        <f t="shared" si="70"/>
        <v>919</v>
      </c>
      <c r="S88" s="633">
        <f t="shared" si="71"/>
        <v>863</v>
      </c>
      <c r="T88" s="633">
        <f t="shared" si="72"/>
        <v>870</v>
      </c>
      <c r="U88" s="633">
        <f t="shared" si="73"/>
        <v>1049</v>
      </c>
      <c r="V88" s="633">
        <f t="shared" si="73"/>
        <v>1178</v>
      </c>
      <c r="W88" s="718" t="s">
        <v>9739</v>
      </c>
      <c r="X88" s="1539">
        <v>0.57329207620434408</v>
      </c>
      <c r="Y88" s="529">
        <f>X88*付加価値率!P37/付加価値率!L37</f>
        <v>0.5742897021683887</v>
      </c>
      <c r="Z88" s="1527">
        <f>Y88*付加価値率!Q37/付加価値率!P37</f>
        <v>0.56803545899488272</v>
      </c>
      <c r="AA88" s="1527">
        <f>Z88*付加価値率!R37/付加価値率!Q37</f>
        <v>0.58613962505192574</v>
      </c>
      <c r="AB88" s="1527">
        <f>AA88*付加価値率!S37/付加価値率!R37</f>
        <v>0.51538137206290668</v>
      </c>
      <c r="AC88" s="1527">
        <f>AB88*付加価値率!T37/付加価値率!S37</f>
        <v>0.54654141413733948</v>
      </c>
      <c r="AD88" s="1527">
        <f>AC88*付加価値率!U37/付加価値率!T37</f>
        <v>0.62866970450569248</v>
      </c>
      <c r="AE88" s="1527">
        <f>AD88*付加価値率!V37/付加価値率!U37</f>
        <v>0.58283925448412155</v>
      </c>
      <c r="AF88" s="633">
        <f t="shared" si="48"/>
        <v>583</v>
      </c>
      <c r="AG88" s="612">
        <f t="shared" si="51"/>
        <v>616</v>
      </c>
      <c r="AH88" s="612">
        <f t="shared" si="52"/>
        <v>608</v>
      </c>
      <c r="AI88" s="612">
        <f t="shared" si="53"/>
        <v>539</v>
      </c>
      <c r="AJ88" s="612">
        <f t="shared" si="54"/>
        <v>445</v>
      </c>
      <c r="AK88" s="612">
        <f t="shared" si="55"/>
        <v>475</v>
      </c>
      <c r="AL88" s="612">
        <f t="shared" si="56"/>
        <v>659</v>
      </c>
      <c r="AM88" s="612">
        <f t="shared" si="56"/>
        <v>687</v>
      </c>
      <c r="AN88" s="723">
        <f t="shared" si="74"/>
        <v>78.099999999999994</v>
      </c>
      <c r="AO88" s="187"/>
      <c r="AP88" s="529">
        <f>商業運輸マージン!G89</f>
        <v>2.8153543568348149E-2</v>
      </c>
      <c r="AQ88" s="529">
        <f>商業運輸マージン!H89</f>
        <v>2.107651294704574E-3</v>
      </c>
      <c r="AR88" s="197">
        <f t="shared" si="49"/>
        <v>29</v>
      </c>
      <c r="AS88" s="197">
        <f t="shared" si="50"/>
        <v>2</v>
      </c>
    </row>
    <row r="89" spans="1:45" ht="15.75" customHeight="1">
      <c r="A89" s="621">
        <v>86</v>
      </c>
      <c r="B89" s="622" t="s">
        <v>9113</v>
      </c>
      <c r="C89" s="197">
        <f>CT作業分類比較!H438</f>
        <v>19160</v>
      </c>
      <c r="D89" s="627">
        <f>CT作業分類比較!I438</f>
        <v>153.28</v>
      </c>
      <c r="E89" s="633">
        <v>21447</v>
      </c>
      <c r="F89" s="633">
        <v>27487</v>
      </c>
      <c r="G89" s="1499">
        <v>33030</v>
      </c>
      <c r="H89" s="633">
        <f t="shared" ref="H89:I89" si="76">H87</f>
        <v>1197311.368419379</v>
      </c>
      <c r="I89" s="633">
        <f t="shared" si="76"/>
        <v>1242993.2453240436</v>
      </c>
      <c r="J89" s="633">
        <f>J87</f>
        <v>1167426.1181959198</v>
      </c>
      <c r="K89" s="633">
        <f>K87</f>
        <v>1176347.2275225413</v>
      </c>
      <c r="L89" s="1499">
        <f>L87</f>
        <v>1418598.6793311993</v>
      </c>
      <c r="M89" s="1499">
        <f>M87</f>
        <v>1592386.4854467495</v>
      </c>
      <c r="N89" s="612" t="s">
        <v>9830</v>
      </c>
      <c r="O89" s="633">
        <f t="shared" si="68"/>
        <v>196</v>
      </c>
      <c r="P89" s="633">
        <f t="shared" si="69"/>
        <v>236</v>
      </c>
      <c r="Q89" s="1499">
        <f>CT作業分類比較!L438</f>
        <v>451</v>
      </c>
      <c r="R89" s="633">
        <f t="shared" si="70"/>
        <v>468</v>
      </c>
      <c r="S89" s="633">
        <f t="shared" si="71"/>
        <v>440</v>
      </c>
      <c r="T89" s="633">
        <f t="shared" si="72"/>
        <v>443</v>
      </c>
      <c r="U89" s="633">
        <f t="shared" si="73"/>
        <v>534</v>
      </c>
      <c r="V89" s="633">
        <f t="shared" si="73"/>
        <v>599</v>
      </c>
      <c r="W89" s="718" t="s">
        <v>9740</v>
      </c>
      <c r="X89" s="1539">
        <v>0.43272442588726512</v>
      </c>
      <c r="Y89" s="529">
        <f>X89*付加価値率!P37/付加価値率!L37</f>
        <v>0.43347744017171091</v>
      </c>
      <c r="Z89" s="1527">
        <f>Y89*付加価値率!Q37/付加価値率!P37</f>
        <v>0.42875669851323023</v>
      </c>
      <c r="AA89" s="1527">
        <f>Z89*付加価値率!R37/付加価値率!Q37</f>
        <v>0.4424218356891525</v>
      </c>
      <c r="AB89" s="1527">
        <f>AA89*付加価値率!S37/付加価値率!R37</f>
        <v>0.38901306610667291</v>
      </c>
      <c r="AC89" s="1527">
        <f>AB89*付加価値率!T37/付加価値率!S37</f>
        <v>0.41253285972837267</v>
      </c>
      <c r="AD89" s="1527">
        <f>AC89*付加価値率!U37/付加価値率!T37</f>
        <v>0.47452380426408719</v>
      </c>
      <c r="AE89" s="1527">
        <f>AD89*付加価値率!V37/付加価値率!U37</f>
        <v>0.4399306954511365</v>
      </c>
      <c r="AF89" s="633">
        <f t="shared" si="48"/>
        <v>66</v>
      </c>
      <c r="AG89" s="612">
        <f t="shared" si="51"/>
        <v>85</v>
      </c>
      <c r="AH89" s="612">
        <f t="shared" si="52"/>
        <v>101</v>
      </c>
      <c r="AI89" s="612">
        <f t="shared" si="53"/>
        <v>207</v>
      </c>
      <c r="AJ89" s="612">
        <f t="shared" si="54"/>
        <v>171</v>
      </c>
      <c r="AK89" s="612">
        <f t="shared" si="55"/>
        <v>183</v>
      </c>
      <c r="AL89" s="612">
        <f t="shared" si="56"/>
        <v>253</v>
      </c>
      <c r="AM89" s="612">
        <f t="shared" si="56"/>
        <v>264</v>
      </c>
      <c r="AN89" s="723">
        <f t="shared" si="74"/>
        <v>181.2</v>
      </c>
      <c r="AO89" s="187"/>
      <c r="AP89" s="529">
        <f>商業運輸マージン!G90</f>
        <v>0</v>
      </c>
      <c r="AQ89" s="529">
        <f>商業運輸マージン!H90</f>
        <v>0</v>
      </c>
      <c r="AR89" s="197">
        <f t="shared" si="49"/>
        <v>0</v>
      </c>
      <c r="AS89" s="197">
        <f t="shared" si="50"/>
        <v>0</v>
      </c>
    </row>
    <row r="90" spans="1:45" ht="15.75" customHeight="1">
      <c r="A90" s="621">
        <v>87</v>
      </c>
      <c r="B90" s="622" t="s">
        <v>9114</v>
      </c>
      <c r="C90" s="197">
        <f>SUM(CT作業分類比較!H439:H441)</f>
        <v>61510</v>
      </c>
      <c r="D90" s="627">
        <f>SUM(CT作業分類比較!I439:I441)</f>
        <v>4985.55</v>
      </c>
      <c r="E90" s="633">
        <v>74559</v>
      </c>
      <c r="F90" s="633">
        <v>69930</v>
      </c>
      <c r="G90" s="1499">
        <v>63764</v>
      </c>
      <c r="H90" s="633">
        <f t="shared" ref="H90:I90" si="77">H87</f>
        <v>1197311.368419379</v>
      </c>
      <c r="I90" s="633">
        <f t="shared" si="77"/>
        <v>1242993.2453240436</v>
      </c>
      <c r="J90" s="633">
        <f>J87</f>
        <v>1167426.1181959198</v>
      </c>
      <c r="K90" s="633">
        <f>K87</f>
        <v>1176347.2275225413</v>
      </c>
      <c r="L90" s="1499">
        <f>L87</f>
        <v>1418598.6793311993</v>
      </c>
      <c r="M90" s="1499">
        <f>M87</f>
        <v>1592386.4854467495</v>
      </c>
      <c r="N90" s="612" t="s">
        <v>9830</v>
      </c>
      <c r="O90" s="633">
        <f t="shared" si="68"/>
        <v>4676</v>
      </c>
      <c r="P90" s="633">
        <f t="shared" si="69"/>
        <v>4264</v>
      </c>
      <c r="Q90" s="1499">
        <f>SUM(CT作業分類比較!L439:L441)</f>
        <v>4466</v>
      </c>
      <c r="R90" s="633">
        <f t="shared" si="70"/>
        <v>4636</v>
      </c>
      <c r="S90" s="633">
        <f t="shared" si="71"/>
        <v>4354</v>
      </c>
      <c r="T90" s="633">
        <f t="shared" si="72"/>
        <v>4387</v>
      </c>
      <c r="U90" s="633">
        <f t="shared" si="73"/>
        <v>5290</v>
      </c>
      <c r="V90" s="633">
        <f t="shared" si="73"/>
        <v>5938</v>
      </c>
      <c r="W90" s="718" t="s">
        <v>9741</v>
      </c>
      <c r="X90" s="1539">
        <v>0.41479434238335228</v>
      </c>
      <c r="Y90" s="529">
        <f>X90*付加価値率!P37/付加価値率!L37</f>
        <v>0.41551615526526098</v>
      </c>
      <c r="Z90" s="1527">
        <f>Y90*付加価値率!Q37/付加価値率!P37</f>
        <v>0.41099101914017122</v>
      </c>
      <c r="AA90" s="1527">
        <f>Z90*付加価値率!R37/付加価値率!Q37</f>
        <v>0.4240899367176636</v>
      </c>
      <c r="AB90" s="1527">
        <f>AA90*付加価値率!S37/付加価値率!R37</f>
        <v>0.37289417763601623</v>
      </c>
      <c r="AC90" s="1527">
        <f>AB90*付加価値率!T37/付加価値率!S37</f>
        <v>0.39543942062363241</v>
      </c>
      <c r="AD90" s="1527">
        <f>AC90*付加価値率!U37/付加価値率!T37</f>
        <v>0.45486174932553369</v>
      </c>
      <c r="AE90" s="1527">
        <f>AD90*付加価値率!V37/付加価値率!U37</f>
        <v>0.42170201772119414</v>
      </c>
      <c r="AF90" s="633">
        <f t="shared" si="48"/>
        <v>2068</v>
      </c>
      <c r="AG90" s="612">
        <f t="shared" si="51"/>
        <v>1943</v>
      </c>
      <c r="AH90" s="612">
        <f t="shared" si="52"/>
        <v>1752</v>
      </c>
      <c r="AI90" s="612">
        <f t="shared" si="53"/>
        <v>1966</v>
      </c>
      <c r="AJ90" s="612">
        <f t="shared" si="54"/>
        <v>1624</v>
      </c>
      <c r="AK90" s="612">
        <f t="shared" si="55"/>
        <v>1735</v>
      </c>
      <c r="AL90" s="612">
        <f t="shared" si="56"/>
        <v>2406</v>
      </c>
      <c r="AM90" s="612">
        <f t="shared" si="56"/>
        <v>2504</v>
      </c>
      <c r="AN90" s="723">
        <f t="shared" si="74"/>
        <v>99</v>
      </c>
      <c r="AO90" s="187"/>
      <c r="AP90" s="529">
        <f>商業運輸マージン!G91</f>
        <v>0.19951445632179143</v>
      </c>
      <c r="AQ90" s="529">
        <f>商業運輸マージン!H91</f>
        <v>2.1060986490308482E-2</v>
      </c>
      <c r="AR90" s="197">
        <f t="shared" si="49"/>
        <v>995</v>
      </c>
      <c r="AS90" s="197">
        <f t="shared" si="50"/>
        <v>105</v>
      </c>
    </row>
    <row r="91" spans="1:45" ht="15.75" customHeight="1">
      <c r="A91" s="621">
        <v>88</v>
      </c>
      <c r="B91" s="622" t="s">
        <v>9115</v>
      </c>
      <c r="C91" s="197">
        <f>SUM(CT作業分類比較!H442:H443)</f>
        <v>1218517</v>
      </c>
      <c r="D91" s="627">
        <f>SUM(CT作業分類比較!I442:I443)</f>
        <v>1020.5095563709475</v>
      </c>
      <c r="E91" s="633">
        <v>889937</v>
      </c>
      <c r="F91" s="633">
        <v>899020</v>
      </c>
      <c r="G91" s="1499">
        <v>896613</v>
      </c>
      <c r="H91" s="633">
        <f>QE産出!AH17</f>
        <v>895790.22829542914</v>
      </c>
      <c r="I91" s="633">
        <f>QE産出!AH18</f>
        <v>914552.73539815308</v>
      </c>
      <c r="J91" s="633">
        <f>QE産出!AH19</f>
        <v>943415.82536921278</v>
      </c>
      <c r="K91" s="633">
        <f>QE産出!AH20</f>
        <v>962427.46131884982</v>
      </c>
      <c r="L91" s="1499">
        <f>QE産出!AH21</f>
        <v>983369.36272223375</v>
      </c>
      <c r="M91" s="1499">
        <f>QE産出!AH22</f>
        <v>1012662.8878953193</v>
      </c>
      <c r="N91" s="612" t="s">
        <v>9826</v>
      </c>
      <c r="O91" s="633">
        <f t="shared" si="68"/>
        <v>1031</v>
      </c>
      <c r="P91" s="633">
        <f t="shared" si="69"/>
        <v>1028</v>
      </c>
      <c r="Q91" s="1499">
        <f>CT作業分類比較!L443</f>
        <v>1198</v>
      </c>
      <c r="R91" s="633">
        <f t="shared" si="70"/>
        <v>1223</v>
      </c>
      <c r="S91" s="633">
        <f t="shared" si="71"/>
        <v>1262</v>
      </c>
      <c r="T91" s="633">
        <f t="shared" si="72"/>
        <v>1287</v>
      </c>
      <c r="U91" s="633">
        <f t="shared" si="73"/>
        <v>1315</v>
      </c>
      <c r="V91" s="633">
        <f t="shared" si="73"/>
        <v>1354</v>
      </c>
      <c r="W91" s="718" t="s">
        <v>9732</v>
      </c>
      <c r="X91" s="1539">
        <v>0.70125652740175148</v>
      </c>
      <c r="Y91" s="529">
        <f>X91*付加価値率!P43/付加価値率!L43</f>
        <v>0.72020602660429778</v>
      </c>
      <c r="Z91" s="1527">
        <f>Y91*付加価値率!Q43/付加価値率!P43</f>
        <v>0.69771989371042908</v>
      </c>
      <c r="AA91" s="1527">
        <f>Z91*付加価値率!R43/付加価値率!Q43</f>
        <v>0.69082120341168318</v>
      </c>
      <c r="AB91" s="1527">
        <f>AA91*付加価値率!S43/付加価値率!R43</f>
        <v>0.67791479771339713</v>
      </c>
      <c r="AC91" s="1527">
        <f>AB91*付加価値率!T43/付加価値率!S43</f>
        <v>0.67653250851165259</v>
      </c>
      <c r="AD91" s="1527">
        <f>AC91*付加価値率!U43/付加価値率!T43</f>
        <v>0.65588384040955416</v>
      </c>
      <c r="AE91" s="1527">
        <f>AD91*付加価値率!V43/付加価値率!U43</f>
        <v>0.65793239293792904</v>
      </c>
      <c r="AF91" s="633">
        <f t="shared" si="48"/>
        <v>716</v>
      </c>
      <c r="AG91" s="612">
        <f t="shared" si="51"/>
        <v>743</v>
      </c>
      <c r="AH91" s="612">
        <f t="shared" si="52"/>
        <v>717</v>
      </c>
      <c r="AI91" s="612">
        <f t="shared" si="53"/>
        <v>845</v>
      </c>
      <c r="AJ91" s="612">
        <f t="shared" si="54"/>
        <v>856</v>
      </c>
      <c r="AK91" s="612">
        <f t="shared" si="55"/>
        <v>871</v>
      </c>
      <c r="AL91" s="612">
        <f t="shared" si="56"/>
        <v>862</v>
      </c>
      <c r="AM91" s="612">
        <f t="shared" si="56"/>
        <v>891</v>
      </c>
      <c r="AN91" s="723">
        <f t="shared" si="74"/>
        <v>121.5</v>
      </c>
      <c r="AO91" s="187"/>
      <c r="AP91" s="529">
        <f>商業運輸マージン!G92</f>
        <v>0</v>
      </c>
      <c r="AQ91" s="529">
        <f>商業運輸マージン!H92</f>
        <v>0</v>
      </c>
      <c r="AR91" s="197">
        <f t="shared" si="49"/>
        <v>0</v>
      </c>
      <c r="AS91" s="197">
        <f t="shared" si="50"/>
        <v>0</v>
      </c>
    </row>
    <row r="92" spans="1:45" ht="15.75" customHeight="1">
      <c r="A92" s="621">
        <v>89</v>
      </c>
      <c r="B92" s="622" t="s">
        <v>9116</v>
      </c>
      <c r="C92" s="197">
        <f>SUM(CT作業分類比較!H444:H451)</f>
        <v>1059957</v>
      </c>
      <c r="D92" s="627">
        <f>SUM(CT作業分類比較!I444:I451)</f>
        <v>70011.413</v>
      </c>
      <c r="E92" s="633">
        <v>1044365</v>
      </c>
      <c r="F92" s="633">
        <v>1177124</v>
      </c>
      <c r="G92" s="1499">
        <v>1191965</v>
      </c>
      <c r="H92" s="633">
        <f>QE産出!AI17</f>
        <v>1249541.165718921</v>
      </c>
      <c r="I92" s="633">
        <f>QE産出!AI18</f>
        <v>1138676.384318664</v>
      </c>
      <c r="J92" s="633">
        <f>QE産出!AI19</f>
        <v>1288686.3787810011</v>
      </c>
      <c r="K92" s="633">
        <f>QE産出!AI20</f>
        <v>1347090.6351101946</v>
      </c>
      <c r="L92" s="1499">
        <f>QE産出!AI21</f>
        <v>1725693.6339249541</v>
      </c>
      <c r="M92" s="1499">
        <f>QE産出!AI22</f>
        <v>1886875.168116214</v>
      </c>
      <c r="N92" s="612" t="s">
        <v>9827</v>
      </c>
      <c r="O92" s="633">
        <f t="shared" si="68"/>
        <v>78911</v>
      </c>
      <c r="P92" s="633">
        <f t="shared" si="69"/>
        <v>79906</v>
      </c>
      <c r="Q92" s="1499">
        <f>SUM(CT作業分類比較!L444:L445)</f>
        <v>67822</v>
      </c>
      <c r="R92" s="633">
        <f t="shared" si="70"/>
        <v>61805</v>
      </c>
      <c r="S92" s="633">
        <f t="shared" si="71"/>
        <v>69947</v>
      </c>
      <c r="T92" s="633">
        <f t="shared" si="72"/>
        <v>73117</v>
      </c>
      <c r="U92" s="633">
        <f t="shared" si="73"/>
        <v>93667</v>
      </c>
      <c r="V92" s="633">
        <f t="shared" si="73"/>
        <v>102416</v>
      </c>
      <c r="W92" s="718" t="s">
        <v>9742</v>
      </c>
      <c r="X92" s="1539">
        <v>0.82295319527112887</v>
      </c>
      <c r="Y92" s="529">
        <f>X92*付加価値率!P44/付加価値率!L44</f>
        <v>0.79401031404944211</v>
      </c>
      <c r="Z92" s="1527">
        <f>Y92*付加価値率!Q44/付加価値率!P44</f>
        <v>0.79746634064949573</v>
      </c>
      <c r="AA92" s="1527">
        <f>Z92*付加価値率!R44/付加価値率!Q44</f>
        <v>0.67717612531963878</v>
      </c>
      <c r="AB92" s="1527">
        <f>AA92*付加価値率!S44/付加価値率!R44</f>
        <v>0.82318302444952485</v>
      </c>
      <c r="AC92" s="1527">
        <f>AB92*付加価値率!T44/付加価値率!S44</f>
        <v>0.75996722886880552</v>
      </c>
      <c r="AD92" s="1527">
        <f>AC92*付加価値率!U44/付加価値率!T44</f>
        <v>0.898390687114618</v>
      </c>
      <c r="AE92" s="1527">
        <f>AD92*付加価値率!V44/付加価値率!U44</f>
        <v>0.76380743597397138</v>
      </c>
      <c r="AF92" s="633">
        <f t="shared" si="48"/>
        <v>57616</v>
      </c>
      <c r="AG92" s="612">
        <f t="shared" si="51"/>
        <v>62656</v>
      </c>
      <c r="AH92" s="612">
        <f t="shared" si="52"/>
        <v>63722</v>
      </c>
      <c r="AI92" s="612">
        <f t="shared" si="53"/>
        <v>41853</v>
      </c>
      <c r="AJ92" s="612">
        <f t="shared" si="54"/>
        <v>57579</v>
      </c>
      <c r="AK92" s="612">
        <f t="shared" si="55"/>
        <v>55567</v>
      </c>
      <c r="AL92" s="612">
        <f t="shared" si="56"/>
        <v>84150</v>
      </c>
      <c r="AM92" s="612">
        <f t="shared" si="56"/>
        <v>78226</v>
      </c>
      <c r="AN92" s="723">
        <f t="shared" si="74"/>
        <v>87.2</v>
      </c>
      <c r="AO92" s="187"/>
      <c r="AP92" s="529">
        <f>商業運輸マージン!G93</f>
        <v>0</v>
      </c>
      <c r="AQ92" s="529">
        <f>商業運輸マージン!H93</f>
        <v>2.5218997618783076E-5</v>
      </c>
      <c r="AR92" s="197">
        <f t="shared" si="49"/>
        <v>0</v>
      </c>
      <c r="AS92" s="197">
        <f t="shared" si="50"/>
        <v>2</v>
      </c>
    </row>
    <row r="93" spans="1:45" ht="15.75" customHeight="1">
      <c r="A93" s="621">
        <v>90</v>
      </c>
      <c r="B93" s="622" t="s">
        <v>9117</v>
      </c>
      <c r="C93" s="197">
        <f>SUM(CT作業分類比較!H452:H458)</f>
        <v>707088</v>
      </c>
      <c r="D93" s="627">
        <f>SUM(CT作業分類比較!I452:I458)</f>
        <v>4119.6719999999996</v>
      </c>
      <c r="E93" s="633">
        <f>41180+33359+13301</f>
        <v>87840</v>
      </c>
      <c r="F93" s="633">
        <f>33161+14223+46513</f>
        <v>93897</v>
      </c>
      <c r="G93" s="1499">
        <f>31801+32374+14703</f>
        <v>78878</v>
      </c>
      <c r="H93" s="633">
        <f t="shared" ref="H93:I93" si="78">H92</f>
        <v>1249541.165718921</v>
      </c>
      <c r="I93" s="633">
        <f t="shared" si="78"/>
        <v>1138676.384318664</v>
      </c>
      <c r="J93" s="633">
        <f>J92</f>
        <v>1288686.3787810011</v>
      </c>
      <c r="K93" s="633">
        <f>K92</f>
        <v>1347090.6351101946</v>
      </c>
      <c r="L93" s="1499">
        <f>L92</f>
        <v>1725693.6339249541</v>
      </c>
      <c r="M93" s="1499">
        <f>M92</f>
        <v>1886875.168116214</v>
      </c>
      <c r="N93" s="612" t="s">
        <v>9742</v>
      </c>
      <c r="O93" s="633">
        <f t="shared" si="68"/>
        <v>4404</v>
      </c>
      <c r="P93" s="633">
        <f t="shared" si="69"/>
        <v>3699</v>
      </c>
      <c r="Q93" s="1499">
        <f>SUM(CT作業分類比較!L452:L457)</f>
        <v>3956</v>
      </c>
      <c r="R93" s="633">
        <f t="shared" si="70"/>
        <v>3605</v>
      </c>
      <c r="S93" s="633">
        <f t="shared" si="71"/>
        <v>4080</v>
      </c>
      <c r="T93" s="633">
        <f t="shared" si="72"/>
        <v>4265</v>
      </c>
      <c r="U93" s="633">
        <f t="shared" si="73"/>
        <v>5464</v>
      </c>
      <c r="V93" s="633">
        <f t="shared" si="73"/>
        <v>5974</v>
      </c>
      <c r="W93" s="718" t="s">
        <v>9743</v>
      </c>
      <c r="X93" s="1539">
        <v>0.58688876066345352</v>
      </c>
      <c r="Y93" s="529">
        <f>X93*付加価値率!P44/付加価値率!L44</f>
        <v>0.56624815584190114</v>
      </c>
      <c r="Z93" s="1527">
        <f>Y93*付加価値率!Q44/付加価値率!P44</f>
        <v>0.56871281990758615</v>
      </c>
      <c r="AA93" s="1527">
        <f>Z93*付加価値率!R44/付加価値率!Q44</f>
        <v>0.48292789823701532</v>
      </c>
      <c r="AB93" s="1527">
        <f>AA93*付加価値率!S44/付加価値率!R44</f>
        <v>0.58705266325529981</v>
      </c>
      <c r="AC93" s="1527">
        <f>AB93*付加価値率!T44/付加価値率!S44</f>
        <v>0.54197034249160259</v>
      </c>
      <c r="AD93" s="1527">
        <f>AC93*付加価値率!U44/付加価値率!T44</f>
        <v>0.64068697950504694</v>
      </c>
      <c r="AE93" s="1527">
        <f>AD93*付加価値率!V44/付加価値率!U44</f>
        <v>0.54470898473953655</v>
      </c>
      <c r="AF93" s="633">
        <f t="shared" si="48"/>
        <v>2418</v>
      </c>
      <c r="AG93" s="612">
        <f t="shared" si="51"/>
        <v>2494</v>
      </c>
      <c r="AH93" s="612">
        <f t="shared" si="52"/>
        <v>2104</v>
      </c>
      <c r="AI93" s="612">
        <f t="shared" si="53"/>
        <v>1741</v>
      </c>
      <c r="AJ93" s="612">
        <f t="shared" si="54"/>
        <v>2395</v>
      </c>
      <c r="AK93" s="612">
        <f t="shared" si="55"/>
        <v>2312</v>
      </c>
      <c r="AL93" s="612">
        <f t="shared" si="56"/>
        <v>3501</v>
      </c>
      <c r="AM93" s="612">
        <f t="shared" si="56"/>
        <v>3254</v>
      </c>
      <c r="AN93" s="723">
        <f t="shared" si="74"/>
        <v>109.9</v>
      </c>
      <c r="AO93" s="187"/>
      <c r="AP93" s="529">
        <f>商業運輸マージン!G94</f>
        <v>0</v>
      </c>
      <c r="AQ93" s="529">
        <f>商業運輸マージン!H94</f>
        <v>0</v>
      </c>
      <c r="AR93" s="197">
        <f t="shared" si="49"/>
        <v>0</v>
      </c>
      <c r="AS93" s="197">
        <f t="shared" si="50"/>
        <v>0</v>
      </c>
    </row>
    <row r="94" spans="1:45" ht="15.75" customHeight="1">
      <c r="A94" s="621">
        <v>91</v>
      </c>
      <c r="B94" s="622" t="s">
        <v>9118</v>
      </c>
      <c r="C94" s="197">
        <f>SUM(CT作業分類比較!H459:H463)</f>
        <v>2019653</v>
      </c>
      <c r="D94" s="627">
        <f>SUM(CT作業分類比較!I459:I463)</f>
        <v>10285.220000000001</v>
      </c>
      <c r="E94" s="633">
        <v>1951088</v>
      </c>
      <c r="F94" s="633">
        <v>2121103</v>
      </c>
      <c r="G94" s="1499">
        <v>2025475</v>
      </c>
      <c r="H94" s="633">
        <f>QE産出!AJ17</f>
        <v>3157887.4510818082</v>
      </c>
      <c r="I94" s="633">
        <f>QE産出!AJ18</f>
        <v>3248619.4973316742</v>
      </c>
      <c r="J94" s="633">
        <f>QE産出!AJ19</f>
        <v>3329169.2103586821</v>
      </c>
      <c r="K94" s="633">
        <f>QE産出!AJ20</f>
        <v>3479205.4856379759</v>
      </c>
      <c r="L94" s="1499">
        <f>QE産出!AJ21</f>
        <v>3900967.4241377763</v>
      </c>
      <c r="M94" s="1499">
        <f>QE産出!AJ22</f>
        <v>3855922.8265382298</v>
      </c>
      <c r="N94" s="612" t="s">
        <v>9831</v>
      </c>
      <c r="O94" s="633">
        <f t="shared" si="68"/>
        <v>11181</v>
      </c>
      <c r="P94" s="633">
        <f t="shared" si="69"/>
        <v>10677</v>
      </c>
      <c r="Q94" s="1499">
        <f>SUM(CT作業分類比較!L459:L462)</f>
        <v>10666</v>
      </c>
      <c r="R94" s="633">
        <f t="shared" si="70"/>
        <v>10972</v>
      </c>
      <c r="S94" s="633">
        <f t="shared" si="71"/>
        <v>11244</v>
      </c>
      <c r="T94" s="633">
        <f t="shared" si="72"/>
        <v>11751</v>
      </c>
      <c r="U94" s="633">
        <f t="shared" si="73"/>
        <v>13175</v>
      </c>
      <c r="V94" s="633">
        <f t="shared" si="73"/>
        <v>13023</v>
      </c>
      <c r="W94" s="718" t="s">
        <v>9747</v>
      </c>
      <c r="X94" s="1539">
        <v>0.56038042178532654</v>
      </c>
      <c r="Y94" s="529">
        <f>X94*付加価値率!P45/付加価値率!L45</f>
        <v>0.55247717889635339</v>
      </c>
      <c r="Z94" s="1527">
        <f>Y94*付加価値率!Q45/付加価値率!P45</f>
        <v>0.54903049942557147</v>
      </c>
      <c r="AA94" s="1527">
        <f>Z94*付加価値率!R45/付加価値率!Q45</f>
        <v>0.55920546914817026</v>
      </c>
      <c r="AB94" s="1527">
        <f>AA94*付加価値率!S45/付加価値率!R45</f>
        <v>0.55109631766912903</v>
      </c>
      <c r="AC94" s="1527">
        <f>AB94*付加価値率!T45/付加価値率!S45</f>
        <v>0.56138818081166597</v>
      </c>
      <c r="AD94" s="1527">
        <f>AC94*付加価値率!U45/付加価値率!T45</f>
        <v>0.58010899008969108</v>
      </c>
      <c r="AE94" s="1527">
        <f>AD94*付加価値率!V45/付加価値率!U45</f>
        <v>0.50928503860659191</v>
      </c>
      <c r="AF94" s="633">
        <f t="shared" si="48"/>
        <v>5764</v>
      </c>
      <c r="AG94" s="612">
        <f t="shared" si="51"/>
        <v>6177</v>
      </c>
      <c r="AH94" s="612">
        <f t="shared" si="52"/>
        <v>5862</v>
      </c>
      <c r="AI94" s="612">
        <f t="shared" si="53"/>
        <v>6136</v>
      </c>
      <c r="AJ94" s="612">
        <f t="shared" si="54"/>
        <v>6197</v>
      </c>
      <c r="AK94" s="612">
        <f t="shared" si="55"/>
        <v>6597</v>
      </c>
      <c r="AL94" s="612">
        <f t="shared" si="56"/>
        <v>7643</v>
      </c>
      <c r="AM94" s="612">
        <f t="shared" si="56"/>
        <v>6632</v>
      </c>
      <c r="AN94" s="723">
        <f t="shared" si="74"/>
        <v>112.5</v>
      </c>
      <c r="AO94" s="187"/>
      <c r="AP94" s="529">
        <f>商業運輸マージン!G95</f>
        <v>0</v>
      </c>
      <c r="AQ94" s="529">
        <f>商業運輸マージン!H95</f>
        <v>0</v>
      </c>
      <c r="AR94" s="197">
        <f t="shared" si="49"/>
        <v>0</v>
      </c>
      <c r="AS94" s="197">
        <f t="shared" si="50"/>
        <v>0</v>
      </c>
    </row>
    <row r="95" spans="1:45" ht="15.75" customHeight="1">
      <c r="A95" s="621">
        <v>92</v>
      </c>
      <c r="B95" s="622" t="s">
        <v>1599</v>
      </c>
      <c r="C95" s="197">
        <f>SUM(CT作業分類比較!H464:H465)</f>
        <v>63466</v>
      </c>
      <c r="D95" s="627">
        <f>SUM(CT作業分類比較!I464:I465)</f>
        <v>0</v>
      </c>
      <c r="E95" s="612"/>
      <c r="F95" s="612"/>
      <c r="G95" s="612"/>
      <c r="H95" s="1505"/>
      <c r="I95" s="612"/>
      <c r="J95" s="612"/>
      <c r="K95" s="612"/>
      <c r="L95" s="612"/>
      <c r="M95" s="1505"/>
      <c r="N95" s="612"/>
      <c r="O95" s="612"/>
      <c r="P95" s="612"/>
      <c r="Q95" s="612"/>
      <c r="R95" s="612"/>
      <c r="S95" s="612"/>
      <c r="T95" s="612"/>
      <c r="U95" s="612"/>
      <c r="V95" s="1505"/>
      <c r="W95" s="718"/>
      <c r="X95" s="1539">
        <v>0.62264834714650363</v>
      </c>
      <c r="Y95" s="529">
        <f>X95*付加価値率!P45/付加価値率!L45</f>
        <v>0.61386691772711255</v>
      </c>
      <c r="Z95" s="1527">
        <f>Y95*付加価値率!Q45/付加価値率!P45</f>
        <v>0.61003725274918752</v>
      </c>
      <c r="AA95" s="1527">
        <f>Z95*付加価値率!R45/付加価値率!Q45</f>
        <v>0.62134283701613557</v>
      </c>
      <c r="AB95" s="1527">
        <f>AA95*付加価値率!S45/付加価値率!R45</f>
        <v>0.6123326190126237</v>
      </c>
      <c r="AC95" s="1527">
        <f>AB95*付加価値率!T45/付加価値率!S45</f>
        <v>0.62376808557361207</v>
      </c>
      <c r="AD95" s="1527">
        <f>AC95*付加価値率!U45/付加価値率!T45</f>
        <v>0.64456909949388907</v>
      </c>
      <c r="AE95" s="1527">
        <f>AD95*付加価値率!V45/付加価値率!U45</f>
        <v>0.56587538605393362</v>
      </c>
      <c r="AF95" s="633">
        <f t="shared" si="48"/>
        <v>0</v>
      </c>
      <c r="AG95" s="612">
        <f t="shared" si="51"/>
        <v>0</v>
      </c>
      <c r="AH95" s="612">
        <f t="shared" si="52"/>
        <v>0</v>
      </c>
      <c r="AI95" s="612">
        <f t="shared" si="53"/>
        <v>0</v>
      </c>
      <c r="AJ95" s="612">
        <f t="shared" si="54"/>
        <v>0</v>
      </c>
      <c r="AK95" s="612">
        <f t="shared" si="55"/>
        <v>0</v>
      </c>
      <c r="AL95" s="612">
        <f t="shared" si="56"/>
        <v>0</v>
      </c>
      <c r="AM95" s="612">
        <f t="shared" si="56"/>
        <v>0</v>
      </c>
      <c r="AN95" s="627" t="s">
        <v>9834</v>
      </c>
      <c r="AO95" s="187"/>
      <c r="AP95" s="529">
        <f>商業運輸マージン!G96</f>
        <v>0</v>
      </c>
      <c r="AQ95" s="529">
        <f>商業運輸マージン!H96</f>
        <v>0</v>
      </c>
      <c r="AR95" s="197">
        <f t="shared" si="49"/>
        <v>0</v>
      </c>
      <c r="AS95" s="197">
        <f t="shared" si="50"/>
        <v>0</v>
      </c>
    </row>
    <row r="96" spans="1:45" ht="15.75" customHeight="1">
      <c r="A96" s="621">
        <v>93</v>
      </c>
      <c r="B96" s="622" t="s">
        <v>9119</v>
      </c>
      <c r="C96" s="197">
        <f>SUM(CT作業分類比較!H466:H470)</f>
        <v>359334</v>
      </c>
      <c r="D96" s="627">
        <f>SUM(CT作業分類比較!I466:I470)</f>
        <v>0</v>
      </c>
      <c r="E96" s="612"/>
      <c r="F96" s="612"/>
      <c r="G96" s="612"/>
      <c r="H96" s="1505"/>
      <c r="I96" s="612"/>
      <c r="J96" s="612"/>
      <c r="K96" s="612"/>
      <c r="L96" s="612"/>
      <c r="M96" s="1505"/>
      <c r="N96" s="612"/>
      <c r="O96" s="612"/>
      <c r="P96" s="612"/>
      <c r="Q96" s="612"/>
      <c r="R96" s="612"/>
      <c r="S96" s="612"/>
      <c r="T96" s="612"/>
      <c r="U96" s="612"/>
      <c r="V96" s="1505"/>
      <c r="W96" s="718"/>
      <c r="X96" s="1539">
        <v>0.68781968864621768</v>
      </c>
      <c r="Y96" s="529">
        <f>X96*付加価値率!P45/付加価値率!L45</f>
        <v>0.67811912479377212</v>
      </c>
      <c r="Z96" s="1527">
        <f>Y96*付加価値率!Q45/付加価値率!P45</f>
        <v>0.67388861653849852</v>
      </c>
      <c r="AA96" s="1527">
        <f>Z96*付加価値率!R45/付加価値率!Q45</f>
        <v>0.68637753341444119</v>
      </c>
      <c r="AB96" s="1527">
        <f>AA96*付加価値率!S45/付加価値率!R45</f>
        <v>0.67642423414012087</v>
      </c>
      <c r="AC96" s="1527">
        <f>AB96*付加価値率!T45/付加価値率!S45</f>
        <v>0.68905662782678168</v>
      </c>
      <c r="AD96" s="1527">
        <f>AC96*付加価値率!U45/付加価値率!T45</f>
        <v>0.7120348417475908</v>
      </c>
      <c r="AE96" s="1527">
        <f>AD96*付加価値率!V45/付加価値率!U45</f>
        <v>0.62510441669348038</v>
      </c>
      <c r="AF96" s="633">
        <f t="shared" si="48"/>
        <v>0</v>
      </c>
      <c r="AG96" s="612">
        <f t="shared" si="51"/>
        <v>0</v>
      </c>
      <c r="AH96" s="612">
        <f t="shared" si="52"/>
        <v>0</v>
      </c>
      <c r="AI96" s="612">
        <f t="shared" si="53"/>
        <v>0</v>
      </c>
      <c r="AJ96" s="612">
        <f t="shared" si="54"/>
        <v>0</v>
      </c>
      <c r="AK96" s="612">
        <f t="shared" si="55"/>
        <v>0</v>
      </c>
      <c r="AL96" s="612">
        <f t="shared" si="56"/>
        <v>0</v>
      </c>
      <c r="AM96" s="612">
        <f t="shared" si="56"/>
        <v>0</v>
      </c>
      <c r="AN96" s="627" t="s">
        <v>9834</v>
      </c>
      <c r="AO96" s="187"/>
      <c r="AP96" s="529">
        <f>商業運輸マージン!G97</f>
        <v>0</v>
      </c>
      <c r="AQ96" s="529">
        <f>商業運輸マージン!H97</f>
        <v>0</v>
      </c>
      <c r="AR96" s="197">
        <f t="shared" si="49"/>
        <v>0</v>
      </c>
      <c r="AS96" s="197">
        <f t="shared" si="50"/>
        <v>0</v>
      </c>
    </row>
    <row r="97" spans="1:46" ht="15.75" customHeight="1">
      <c r="A97" s="621">
        <v>94</v>
      </c>
      <c r="B97" s="622" t="s">
        <v>9120</v>
      </c>
      <c r="C97" s="197">
        <f>SUM(CT作業分類比較!H471:H472)</f>
        <v>428341</v>
      </c>
      <c r="D97" s="627">
        <f>SUM(CT作業分類比較!I471:I472)</f>
        <v>0</v>
      </c>
      <c r="E97" s="612"/>
      <c r="F97" s="612"/>
      <c r="G97" s="612"/>
      <c r="H97" s="1505"/>
      <c r="I97" s="612"/>
      <c r="J97" s="612"/>
      <c r="K97" s="612"/>
      <c r="L97" s="612"/>
      <c r="M97" s="1505"/>
      <c r="N97" s="612"/>
      <c r="O97" s="612"/>
      <c r="P97" s="612"/>
      <c r="Q97" s="612"/>
      <c r="R97" s="612"/>
      <c r="S97" s="612"/>
      <c r="T97" s="612"/>
      <c r="U97" s="612"/>
      <c r="V97" s="1505"/>
      <c r="W97" s="718"/>
      <c r="X97" s="1539">
        <v>0.75388767360584208</v>
      </c>
      <c r="Y97" s="529">
        <f>X97*付加価値率!P45/付加価値率!L45</f>
        <v>0.74325532964113383</v>
      </c>
      <c r="Z97" s="1527">
        <f>Y97*付加価値率!Q45/付加価値率!P45</f>
        <v>0.73861846320740931</v>
      </c>
      <c r="AA97" s="1527">
        <f>Z97*付加価値率!R45/付加価値率!Q45</f>
        <v>0.75230699327550388</v>
      </c>
      <c r="AB97" s="1527">
        <f>AA97*付加価値率!S45/付加価値率!R45</f>
        <v>0.74139763758464106</v>
      </c>
      <c r="AC97" s="1527">
        <f>AB97*付加価値率!T45/付加価値率!S45</f>
        <v>0.75524342601685945</v>
      </c>
      <c r="AD97" s="1527">
        <f>AC97*付加価値率!U45/付加価値率!T45</f>
        <v>0.78042879439512114</v>
      </c>
      <c r="AE97" s="1527">
        <f>AD97*付加価値率!V45/付加価値率!U45</f>
        <v>0.68514833500815686</v>
      </c>
      <c r="AF97" s="633">
        <f t="shared" si="48"/>
        <v>0</v>
      </c>
      <c r="AG97" s="612">
        <f t="shared" si="51"/>
        <v>0</v>
      </c>
      <c r="AH97" s="612">
        <f t="shared" si="52"/>
        <v>0</v>
      </c>
      <c r="AI97" s="612">
        <f t="shared" si="53"/>
        <v>0</v>
      </c>
      <c r="AJ97" s="612">
        <f t="shared" si="54"/>
        <v>0</v>
      </c>
      <c r="AK97" s="612">
        <f t="shared" si="55"/>
        <v>0</v>
      </c>
      <c r="AL97" s="612">
        <f t="shared" si="56"/>
        <v>0</v>
      </c>
      <c r="AM97" s="612">
        <f t="shared" si="56"/>
        <v>0</v>
      </c>
      <c r="AN97" s="627" t="s">
        <v>9834</v>
      </c>
      <c r="AO97" s="187"/>
      <c r="AP97" s="529">
        <f>商業運輸マージン!G98</f>
        <v>0</v>
      </c>
      <c r="AQ97" s="529">
        <f>商業運輸マージン!H98</f>
        <v>0</v>
      </c>
      <c r="AR97" s="197">
        <f t="shared" si="49"/>
        <v>0</v>
      </c>
      <c r="AS97" s="197">
        <f t="shared" si="50"/>
        <v>0</v>
      </c>
    </row>
    <row r="98" spans="1:46" ht="15.75" customHeight="1">
      <c r="A98" s="621">
        <v>95</v>
      </c>
      <c r="B98" s="622" t="s">
        <v>9121</v>
      </c>
      <c r="C98" s="197">
        <f>SUM(CT作業分類比較!H473:H474)</f>
        <v>178370</v>
      </c>
      <c r="D98" s="627">
        <f>SUM(CT作業分類比較!I473:I474)</f>
        <v>10680.376311363769</v>
      </c>
      <c r="E98" s="633">
        <v>133593</v>
      </c>
      <c r="F98" s="633">
        <v>156853</v>
      </c>
      <c r="G98" s="1499">
        <v>149037</v>
      </c>
      <c r="H98" s="633">
        <f t="shared" ref="H98:I98" si="79">H94</f>
        <v>3157887.4510818082</v>
      </c>
      <c r="I98" s="633">
        <f t="shared" si="79"/>
        <v>3248619.4973316742</v>
      </c>
      <c r="J98" s="633">
        <f>J94</f>
        <v>3329169.2103586821</v>
      </c>
      <c r="K98" s="633">
        <f>K94</f>
        <v>3479205.4856379759</v>
      </c>
      <c r="L98" s="1499">
        <f>L94</f>
        <v>3900967.4241377763</v>
      </c>
      <c r="M98" s="1499">
        <f>M94</f>
        <v>3855922.8265382298</v>
      </c>
      <c r="N98" s="612" t="s">
        <v>9831</v>
      </c>
      <c r="O98" s="633">
        <f>ROUND(D98*F98/E98,0)</f>
        <v>12540</v>
      </c>
      <c r="P98" s="633">
        <f>ROUND(D98*G98/E98,0)</f>
        <v>11915</v>
      </c>
      <c r="Q98" s="1499">
        <f>CT作業分類比較!L474</f>
        <v>11436</v>
      </c>
      <c r="R98" s="633">
        <f>ROUND(Q98*I98/H98,0)</f>
        <v>11765</v>
      </c>
      <c r="S98" s="633">
        <f t="shared" ref="S98:S100" si="80">ROUND(R98*J98/I98,0)</f>
        <v>12057</v>
      </c>
      <c r="T98" s="633">
        <f t="shared" ref="T98:T100" si="81">ROUND(S98*K98/J98,0)</f>
        <v>12600</v>
      </c>
      <c r="U98" s="633">
        <f t="shared" ref="U98:V100" si="82">ROUND(T98*L98/K98,0)</f>
        <v>14127</v>
      </c>
      <c r="V98" s="633">
        <f t="shared" si="82"/>
        <v>13964</v>
      </c>
      <c r="W98" s="718" t="s">
        <v>9896</v>
      </c>
      <c r="X98" s="1539">
        <v>0.57339238661209846</v>
      </c>
      <c r="Y98" s="529">
        <f>X98*付加価値率!P46/付加価値率!L46</f>
        <v>0.57242496817945954</v>
      </c>
      <c r="Z98" s="1527">
        <f>Y98*付加価値率!Q46/付加価値率!P46</f>
        <v>0.4905355527896223</v>
      </c>
      <c r="AA98" s="1527">
        <f>Z98*付加価値率!R46/付加価値率!Q46</f>
        <v>0.61667621083337953</v>
      </c>
      <c r="AB98" s="1527">
        <f>AA98*付加価値率!S46/付加価値率!R46</f>
        <v>0.59505001845583427</v>
      </c>
      <c r="AC98" s="1527">
        <f>AB98*付加価値率!T46/付加価値率!S46</f>
        <v>0.61193750156149485</v>
      </c>
      <c r="AD98" s="1527">
        <f>AC98*付加価値率!U46/付加価値率!T46</f>
        <v>0.55483420709593712</v>
      </c>
      <c r="AE98" s="1527">
        <f>AD98*付加価値率!V46/付加価値率!U46</f>
        <v>0.62024524190702068</v>
      </c>
      <c r="AF98" s="633">
        <f t="shared" si="48"/>
        <v>6124</v>
      </c>
      <c r="AG98" s="612">
        <f t="shared" si="51"/>
        <v>7178</v>
      </c>
      <c r="AH98" s="612">
        <f t="shared" si="52"/>
        <v>5845</v>
      </c>
      <c r="AI98" s="612">
        <f t="shared" si="53"/>
        <v>7255</v>
      </c>
      <c r="AJ98" s="612">
        <f t="shared" si="54"/>
        <v>7175</v>
      </c>
      <c r="AK98" s="612">
        <f t="shared" si="55"/>
        <v>7710</v>
      </c>
      <c r="AL98" s="612">
        <f t="shared" si="56"/>
        <v>7838</v>
      </c>
      <c r="AM98" s="612">
        <f t="shared" si="56"/>
        <v>8661</v>
      </c>
      <c r="AN98" s="723">
        <f>ROUND(AK98/AH98*100,1)</f>
        <v>131.9</v>
      </c>
      <c r="AO98" s="187"/>
      <c r="AP98" s="529">
        <f>商業運輸マージン!G99</f>
        <v>0</v>
      </c>
      <c r="AQ98" s="529">
        <f>商業運輸マージン!H99</f>
        <v>0</v>
      </c>
      <c r="AR98" s="197">
        <f t="shared" si="49"/>
        <v>0</v>
      </c>
      <c r="AS98" s="197">
        <f t="shared" si="50"/>
        <v>0</v>
      </c>
    </row>
    <row r="99" spans="1:46" ht="15.75" customHeight="1">
      <c r="A99" s="621">
        <v>96</v>
      </c>
      <c r="B99" s="622" t="s">
        <v>9122</v>
      </c>
      <c r="C99" s="197">
        <f>SUM(CT作業分類比較!H475:H480)</f>
        <v>221899</v>
      </c>
      <c r="D99" s="627">
        <f>SUM(CT作業分類比較!I475:I480)</f>
        <v>2122</v>
      </c>
      <c r="E99" s="633">
        <v>216400</v>
      </c>
      <c r="F99" s="633">
        <v>244194</v>
      </c>
      <c r="G99" s="1499">
        <v>240720</v>
      </c>
      <c r="H99" s="633">
        <f>QE産出!AG17</f>
        <v>2110190.7185319699</v>
      </c>
      <c r="I99" s="633">
        <f>QE産出!AG18</f>
        <v>2273096.3599169087</v>
      </c>
      <c r="J99" s="633">
        <f>QE産出!AG19</f>
        <v>2375594.0310944337</v>
      </c>
      <c r="K99" s="633">
        <f>QE産出!AG20</f>
        <v>2381338.506487879</v>
      </c>
      <c r="L99" s="1499">
        <f>QE産出!AG21</f>
        <v>2783358.3040796909</v>
      </c>
      <c r="M99" s="1499">
        <f>QE産出!AG22</f>
        <v>3200004.6325701298</v>
      </c>
      <c r="N99" s="612" t="s">
        <v>9832</v>
      </c>
      <c r="O99" s="633">
        <f>ROUND(D99*F99/E99,0)</f>
        <v>2395</v>
      </c>
      <c r="P99" s="633">
        <f>ROUND(D99*G99/E99,0)</f>
        <v>2360</v>
      </c>
      <c r="Q99" s="1499">
        <f>CT作業分類比較!L475</f>
        <v>2117</v>
      </c>
      <c r="R99" s="633">
        <f>ROUND(Q99*I99/H99,0)</f>
        <v>2280</v>
      </c>
      <c r="S99" s="633">
        <f t="shared" si="80"/>
        <v>2383</v>
      </c>
      <c r="T99" s="633">
        <f t="shared" si="81"/>
        <v>2389</v>
      </c>
      <c r="U99" s="633">
        <f t="shared" si="82"/>
        <v>2792</v>
      </c>
      <c r="V99" s="633">
        <f t="shared" si="82"/>
        <v>3210</v>
      </c>
      <c r="W99" s="718" t="s">
        <v>9745</v>
      </c>
      <c r="X99" s="1539">
        <v>0.66182362245886639</v>
      </c>
      <c r="Y99" s="529">
        <f>X99*付加価値率!P42/付加価値率!L42</f>
        <v>0.64126869156576005</v>
      </c>
      <c r="Z99" s="1527">
        <f>Y99*付加価値率!Q42/付加価値率!P42</f>
        <v>0.60884312658619921</v>
      </c>
      <c r="AA99" s="1527">
        <f>Z99*付加価値率!R42/付加価値率!Q42</f>
        <v>0.69077797071288416</v>
      </c>
      <c r="AB99" s="1527">
        <f>AA99*付加価値率!S42/付加価値率!R42</f>
        <v>0.66807157077182622</v>
      </c>
      <c r="AC99" s="1527">
        <f>AB99*付加価値率!T42/付加価値率!S42</f>
        <v>0.64882476683592694</v>
      </c>
      <c r="AD99" s="1527">
        <f>AC99*付加価値率!U42/付加価値率!T42</f>
        <v>0.73139042373439422</v>
      </c>
      <c r="AE99" s="1527">
        <f>AD99*付加価値率!V42/付加価値率!U42</f>
        <v>0.71606210778693968</v>
      </c>
      <c r="AF99" s="633">
        <f t="shared" si="48"/>
        <v>1404</v>
      </c>
      <c r="AG99" s="612">
        <f t="shared" si="51"/>
        <v>1536</v>
      </c>
      <c r="AH99" s="612">
        <f t="shared" si="52"/>
        <v>1437</v>
      </c>
      <c r="AI99" s="612">
        <f t="shared" si="53"/>
        <v>1575</v>
      </c>
      <c r="AJ99" s="612">
        <f t="shared" si="54"/>
        <v>1592</v>
      </c>
      <c r="AK99" s="612">
        <f t="shared" si="55"/>
        <v>1550</v>
      </c>
      <c r="AL99" s="612">
        <f t="shared" si="56"/>
        <v>2042</v>
      </c>
      <c r="AM99" s="612">
        <f t="shared" si="56"/>
        <v>2299</v>
      </c>
      <c r="AN99" s="723">
        <f>ROUND(AK99/AH99*100,1)</f>
        <v>107.9</v>
      </c>
      <c r="AO99" s="187"/>
      <c r="AP99" s="529">
        <f>商業運輸マージン!G100</f>
        <v>0</v>
      </c>
      <c r="AQ99" s="529">
        <f>商業運輸マージン!H100</f>
        <v>0</v>
      </c>
      <c r="AR99" s="197">
        <f t="shared" si="49"/>
        <v>0</v>
      </c>
      <c r="AS99" s="197">
        <f t="shared" si="50"/>
        <v>0</v>
      </c>
    </row>
    <row r="100" spans="1:46" ht="15.75" customHeight="1">
      <c r="A100" s="621">
        <v>97</v>
      </c>
      <c r="B100" s="622" t="s">
        <v>7520</v>
      </c>
      <c r="C100" s="197">
        <f>SUM(CT作業分類比較!H481:H482)</f>
        <v>47742</v>
      </c>
      <c r="D100" s="627">
        <f>SUM(CT作業分類比較!I481:I482)</f>
        <v>238.71</v>
      </c>
      <c r="E100" s="633">
        <v>74553</v>
      </c>
      <c r="F100" s="633">
        <v>74430</v>
      </c>
      <c r="G100" s="1499">
        <v>61322</v>
      </c>
      <c r="H100" s="633">
        <f t="shared" ref="H100:I100" si="83">H99</f>
        <v>2110190.7185319699</v>
      </c>
      <c r="I100" s="633">
        <f t="shared" si="83"/>
        <v>2273096.3599169087</v>
      </c>
      <c r="J100" s="633">
        <f>J99</f>
        <v>2375594.0310944337</v>
      </c>
      <c r="K100" s="633">
        <f>K99</f>
        <v>2381338.506487879</v>
      </c>
      <c r="L100" s="1499">
        <f>L99</f>
        <v>2783358.3040796909</v>
      </c>
      <c r="M100" s="1499">
        <f>M99</f>
        <v>3200004.6325701298</v>
      </c>
      <c r="N100" s="612" t="s">
        <v>9832</v>
      </c>
      <c r="O100" s="633">
        <f>ROUND(D100*F100/E100,0)</f>
        <v>238</v>
      </c>
      <c r="P100" s="633">
        <f>ROUND(D100*G100/E100,0)</f>
        <v>196</v>
      </c>
      <c r="Q100" s="1499">
        <f>SUM(CT作業分類比較!L481:L482)</f>
        <v>214</v>
      </c>
      <c r="R100" s="633">
        <f>ROUND(Q100*I100/H100,0)</f>
        <v>231</v>
      </c>
      <c r="S100" s="633">
        <f t="shared" si="80"/>
        <v>241</v>
      </c>
      <c r="T100" s="633">
        <f t="shared" si="81"/>
        <v>242</v>
      </c>
      <c r="U100" s="633">
        <f t="shared" si="82"/>
        <v>283</v>
      </c>
      <c r="V100" s="633">
        <f t="shared" si="82"/>
        <v>325</v>
      </c>
      <c r="W100" s="718" t="s">
        <v>9744</v>
      </c>
      <c r="X100" s="1539">
        <v>0.27106112018767542</v>
      </c>
      <c r="Y100" s="529">
        <f>X100*付加価値率!P42/付加価値率!L42</f>
        <v>0.26264249866346118</v>
      </c>
      <c r="Z100" s="1527">
        <f>Y100*付加価値率!Q42/付加価値率!P42</f>
        <v>0.2493620570657086</v>
      </c>
      <c r="AA100" s="1527">
        <f>Z100*付加価値率!R42/付加価値率!Q42</f>
        <v>0.28291986594062851</v>
      </c>
      <c r="AB100" s="1527">
        <f>AA100*付加価値率!S42/付加価値率!R42</f>
        <v>0.27362007367787194</v>
      </c>
      <c r="AC100" s="1527">
        <f>AB100*付加価値率!T42/付加価値率!S42</f>
        <v>0.2657372177962482</v>
      </c>
      <c r="AD100" s="1527">
        <f>AC100*付加価値率!U42/付加価値率!T42</f>
        <v>0.29955338677006088</v>
      </c>
      <c r="AE100" s="1527">
        <f>AD100*付加価値率!V42/付加価値率!U42</f>
        <v>0.29327541428568366</v>
      </c>
      <c r="AF100" s="633">
        <f t="shared" ref="AF100:AF109" si="84">ROUND(D100*X100,0)</f>
        <v>65</v>
      </c>
      <c r="AG100" s="612">
        <f t="shared" si="51"/>
        <v>63</v>
      </c>
      <c r="AH100" s="612">
        <f t="shared" si="52"/>
        <v>49</v>
      </c>
      <c r="AI100" s="612">
        <f t="shared" si="53"/>
        <v>65</v>
      </c>
      <c r="AJ100" s="612">
        <f t="shared" si="54"/>
        <v>66</v>
      </c>
      <c r="AK100" s="612">
        <f t="shared" si="55"/>
        <v>64</v>
      </c>
      <c r="AL100" s="612">
        <f t="shared" si="56"/>
        <v>85</v>
      </c>
      <c r="AM100" s="612">
        <f t="shared" si="56"/>
        <v>95</v>
      </c>
      <c r="AN100" s="723">
        <f>ROUND(AK100/AH100*100,1)</f>
        <v>130.6</v>
      </c>
      <c r="AO100" s="187"/>
      <c r="AP100" s="529">
        <f>商業運輸マージン!G101</f>
        <v>0</v>
      </c>
      <c r="AQ100" s="529">
        <f>商業運輸マージン!H101</f>
        <v>0</v>
      </c>
      <c r="AR100" s="197">
        <f t="shared" ref="AR100:AR109" si="85">ROUND(D100*AP100,0)</f>
        <v>0</v>
      </c>
      <c r="AS100" s="197">
        <f t="shared" ref="AS100:AS109" si="86">ROUND(D100*AQ100,0)</f>
        <v>0</v>
      </c>
      <c r="AT100" s="133" t="s">
        <v>9575</v>
      </c>
    </row>
    <row r="101" spans="1:46" ht="15.75" customHeight="1">
      <c r="A101" s="621">
        <v>98</v>
      </c>
      <c r="B101" s="622" t="s">
        <v>9123</v>
      </c>
      <c r="C101" s="197">
        <f>SUM(CT作業分類比較!H483:H484)</f>
        <v>480485</v>
      </c>
      <c r="D101" s="627">
        <f>SUM(CT作業分類比較!I483:I484)</f>
        <v>0</v>
      </c>
      <c r="E101" s="612"/>
      <c r="F101" s="612"/>
      <c r="G101" s="612"/>
      <c r="H101" s="1505"/>
      <c r="I101" s="612"/>
      <c r="J101" s="612"/>
      <c r="K101" s="612"/>
      <c r="L101" s="612"/>
      <c r="M101" s="1505"/>
      <c r="N101" s="612"/>
      <c r="O101" s="612"/>
      <c r="P101" s="612"/>
      <c r="Q101" s="612"/>
      <c r="R101" s="612"/>
      <c r="S101" s="612"/>
      <c r="T101" s="612"/>
      <c r="U101" s="612"/>
      <c r="V101" s="1505"/>
      <c r="W101" s="718"/>
      <c r="X101" s="1539">
        <v>0.32908415455217127</v>
      </c>
      <c r="Y101" s="529">
        <f>X101*付加価値率!P42/付加価値率!L42</f>
        <v>0.31886345250212222</v>
      </c>
      <c r="Z101" s="1527">
        <f>Y101*付加価値率!Q42/付加価値率!P42</f>
        <v>0.30274021471630497</v>
      </c>
      <c r="AA101" s="1527">
        <f>Z101*付加価値率!R42/付加価値率!Q42</f>
        <v>0.34348136990145378</v>
      </c>
      <c r="AB101" s="1527">
        <f>AA101*付加価値率!S42/付加価値率!R42</f>
        <v>0.3321908747091476</v>
      </c>
      <c r="AC101" s="1527">
        <f>AB101*付加価値率!T42/付加価値率!S42</f>
        <v>0.32262062368434308</v>
      </c>
      <c r="AD101" s="1527">
        <f>AC101*付加価値率!U42/付加価値率!T42</f>
        <v>0.36367544323661061</v>
      </c>
      <c r="AE101" s="1527">
        <f>AD101*付加価値率!V42/付加価値率!U42</f>
        <v>0.35605361511942196</v>
      </c>
      <c r="AF101" s="633">
        <f t="shared" si="84"/>
        <v>0</v>
      </c>
      <c r="AG101" s="612">
        <f t="shared" si="51"/>
        <v>0</v>
      </c>
      <c r="AH101" s="612">
        <f t="shared" si="52"/>
        <v>0</v>
      </c>
      <c r="AI101" s="612">
        <f t="shared" si="53"/>
        <v>0</v>
      </c>
      <c r="AJ101" s="612">
        <f t="shared" si="54"/>
        <v>0</v>
      </c>
      <c r="AK101" s="612">
        <f t="shared" si="55"/>
        <v>0</v>
      </c>
      <c r="AL101" s="612">
        <f t="shared" si="56"/>
        <v>0</v>
      </c>
      <c r="AM101" s="612">
        <f t="shared" si="56"/>
        <v>0</v>
      </c>
      <c r="AN101" s="627" t="s">
        <v>9834</v>
      </c>
      <c r="AO101" s="187"/>
      <c r="AP101" s="529">
        <f>商業運輸マージン!G102</f>
        <v>0</v>
      </c>
      <c r="AQ101" s="529">
        <f>商業運輸マージン!H102</f>
        <v>0</v>
      </c>
      <c r="AR101" s="197">
        <f t="shared" si="85"/>
        <v>0</v>
      </c>
      <c r="AS101" s="197">
        <f t="shared" si="86"/>
        <v>0</v>
      </c>
    </row>
    <row r="102" spans="1:46" ht="15.75" customHeight="1">
      <c r="A102" s="621">
        <v>99</v>
      </c>
      <c r="B102" s="622" t="s">
        <v>795</v>
      </c>
      <c r="C102" s="197">
        <f>SUM(CT作業分類比較!H485:H490)</f>
        <v>1120383</v>
      </c>
      <c r="D102" s="627">
        <f>SUM(CT作業分類比較!I485:I490)</f>
        <v>1563.97</v>
      </c>
      <c r="E102" s="633">
        <v>1506587</v>
      </c>
      <c r="F102" s="633">
        <v>1753698</v>
      </c>
      <c r="G102" s="1499">
        <v>1716731</v>
      </c>
      <c r="H102" s="633">
        <f t="shared" ref="H102:I102" si="87">H99</f>
        <v>2110190.7185319699</v>
      </c>
      <c r="I102" s="633">
        <f t="shared" si="87"/>
        <v>2273096.3599169087</v>
      </c>
      <c r="J102" s="633">
        <f>J99</f>
        <v>2375594.0310944337</v>
      </c>
      <c r="K102" s="633">
        <f>K99</f>
        <v>2381338.506487879</v>
      </c>
      <c r="L102" s="1499">
        <f>L99</f>
        <v>2783358.3040796909</v>
      </c>
      <c r="M102" s="1499">
        <f>M99</f>
        <v>3200004.6325701298</v>
      </c>
      <c r="N102" s="612" t="s">
        <v>9832</v>
      </c>
      <c r="O102" s="633">
        <f>ROUND(D102*F102/E102,0)</f>
        <v>1820</v>
      </c>
      <c r="P102" s="633">
        <f>ROUND(D102*G102/E102,0)</f>
        <v>1782</v>
      </c>
      <c r="Q102" s="1499">
        <f>CT作業分類比較!L490+CT作業分類比較!L485</f>
        <v>2379</v>
      </c>
      <c r="R102" s="633">
        <f>ROUND(Q102*I102/H102,0)</f>
        <v>2563</v>
      </c>
      <c r="S102" s="633">
        <f t="shared" ref="S102:S104" si="88">ROUND(R102*J102/I102,0)</f>
        <v>2679</v>
      </c>
      <c r="T102" s="633">
        <f t="shared" ref="T102:T104" si="89">ROUND(S102*K102/J102,0)</f>
        <v>2685</v>
      </c>
      <c r="U102" s="633">
        <f t="shared" ref="U102:V104" si="90">ROUND(T102*L102/K102,0)</f>
        <v>3138</v>
      </c>
      <c r="V102" s="633">
        <f t="shared" si="90"/>
        <v>3608</v>
      </c>
      <c r="W102" s="718" t="s">
        <v>9746</v>
      </c>
      <c r="X102" s="1539">
        <v>0.71314184524399249</v>
      </c>
      <c r="Y102" s="529">
        <f>X102*付加価値率!P42/付加価値率!L42</f>
        <v>0.69099307199302917</v>
      </c>
      <c r="Z102" s="1527">
        <f>Y102*付加価値率!Q42/付加価値率!P42</f>
        <v>0.65605320817147117</v>
      </c>
      <c r="AA102" s="1527">
        <f>Z102*付加価値率!R42/付加価値率!Q42</f>
        <v>0.74434133199696162</v>
      </c>
      <c r="AB102" s="1527">
        <f>AA102*付加価値率!S42/付加価値率!R42</f>
        <v>0.71987426342565131</v>
      </c>
      <c r="AC102" s="1527">
        <f>AB102*付加価値率!T42/付加価値率!S42</f>
        <v>0.69913505012452792</v>
      </c>
      <c r="AD102" s="1527">
        <f>AC102*付加価値率!U42/付加価値率!T42</f>
        <v>0.78810290034358677</v>
      </c>
      <c r="AE102" s="1527">
        <f>AD102*付加価値率!V42/付加価値率!U42</f>
        <v>0.7715860170709139</v>
      </c>
      <c r="AF102" s="633">
        <f t="shared" si="84"/>
        <v>1115</v>
      </c>
      <c r="AG102" s="612">
        <f t="shared" si="51"/>
        <v>1258</v>
      </c>
      <c r="AH102" s="612">
        <f t="shared" si="52"/>
        <v>1169</v>
      </c>
      <c r="AI102" s="612">
        <f t="shared" si="53"/>
        <v>1908</v>
      </c>
      <c r="AJ102" s="612">
        <f t="shared" si="54"/>
        <v>1929</v>
      </c>
      <c r="AK102" s="612">
        <f t="shared" si="55"/>
        <v>1877</v>
      </c>
      <c r="AL102" s="612">
        <f t="shared" si="56"/>
        <v>2473</v>
      </c>
      <c r="AM102" s="612">
        <f t="shared" si="56"/>
        <v>2784</v>
      </c>
      <c r="AN102" s="723">
        <f>ROUND(AK102/AH102*100,1)</f>
        <v>160.6</v>
      </c>
      <c r="AO102" s="187"/>
      <c r="AP102" s="529">
        <f>商業運輸マージン!G103</f>
        <v>0</v>
      </c>
      <c r="AQ102" s="529">
        <f>商業運輸マージン!H103</f>
        <v>0</v>
      </c>
      <c r="AR102" s="197">
        <f t="shared" si="85"/>
        <v>0</v>
      </c>
      <c r="AS102" s="197">
        <f t="shared" si="86"/>
        <v>0</v>
      </c>
    </row>
    <row r="103" spans="1:46" ht="15.75" customHeight="1">
      <c r="A103" s="621">
        <v>100</v>
      </c>
      <c r="B103" s="622" t="s">
        <v>1600</v>
      </c>
      <c r="C103" s="197">
        <f>CT作業分類比較!H491</f>
        <v>230883</v>
      </c>
      <c r="D103" s="627">
        <f>CT作業分類比較!I491</f>
        <v>7388.2560000000012</v>
      </c>
      <c r="E103" s="633">
        <v>246158</v>
      </c>
      <c r="F103" s="633">
        <v>264673</v>
      </c>
      <c r="G103" s="1499">
        <v>140638</v>
      </c>
      <c r="H103" s="633">
        <f>QE産出!AC17</f>
        <v>975331.38282246236</v>
      </c>
      <c r="I103" s="633">
        <f>QE産出!AC18</f>
        <v>869553.09789577383</v>
      </c>
      <c r="J103" s="633">
        <f>QE産出!AC19</f>
        <v>1070338.0721683938</v>
      </c>
      <c r="K103" s="633">
        <f>QE産出!AC20</f>
        <v>1045036.3009384787</v>
      </c>
      <c r="L103" s="1499">
        <f>QE産出!AC21</f>
        <v>1005481.307753633</v>
      </c>
      <c r="M103" s="1499">
        <f>QE産出!AC22</f>
        <v>1154825.1893084811</v>
      </c>
      <c r="N103" s="612" t="s">
        <v>9828</v>
      </c>
      <c r="O103" s="633">
        <f>ROUND(D103*F103/E103,0)</f>
        <v>7944</v>
      </c>
      <c r="P103" s="633">
        <f>ROUND(D103*G103/E103,0)</f>
        <v>4221</v>
      </c>
      <c r="Q103" s="1499">
        <f>CT作業分類比較!L491</f>
        <v>3797</v>
      </c>
      <c r="R103" s="633">
        <f>ROUND(Q103*I103/H103,0)</f>
        <v>3385</v>
      </c>
      <c r="S103" s="633">
        <f t="shared" si="88"/>
        <v>4167</v>
      </c>
      <c r="T103" s="633">
        <f t="shared" si="89"/>
        <v>4068</v>
      </c>
      <c r="U103" s="633">
        <f t="shared" si="90"/>
        <v>3914</v>
      </c>
      <c r="V103" s="633">
        <f t="shared" si="90"/>
        <v>4495</v>
      </c>
      <c r="W103" s="718" t="s">
        <v>9895</v>
      </c>
      <c r="X103" s="1539">
        <v>0.45864788659191019</v>
      </c>
      <c r="Y103" s="529">
        <f>X103*付加価値率!P34/付加価値率!L34</f>
        <v>0.44946373627790653</v>
      </c>
      <c r="Z103" s="1527">
        <f>Y103*付加価値率!Q34/付加価値率!P34</f>
        <v>0.3468522361863795</v>
      </c>
      <c r="AA103" s="1527">
        <f>Z103*付加価値率!R34/付加価値率!Q34</f>
        <v>0.3560470962682713</v>
      </c>
      <c r="AB103" s="1527">
        <f>AA103*付加価値率!S34/付加価値率!R34</f>
        <v>0.50013373854577114</v>
      </c>
      <c r="AC103" s="1527">
        <f>AB103*付加価値率!T34/付加価値率!S34</f>
        <v>0.43589499973521051</v>
      </c>
      <c r="AD103" s="1527">
        <f>AC103*付加価値率!U34/付加価値率!T34</f>
        <v>0.42346417492994021</v>
      </c>
      <c r="AE103" s="1527">
        <f>AD103*付加価値率!V34/付加価値率!U34</f>
        <v>0.5034636983938604</v>
      </c>
      <c r="AF103" s="633">
        <f t="shared" si="84"/>
        <v>3389</v>
      </c>
      <c r="AG103" s="612">
        <f t="shared" si="51"/>
        <v>3571</v>
      </c>
      <c r="AH103" s="612">
        <f t="shared" si="52"/>
        <v>1464</v>
      </c>
      <c r="AI103" s="612">
        <f t="shared" si="53"/>
        <v>1205</v>
      </c>
      <c r="AJ103" s="612">
        <f t="shared" si="54"/>
        <v>2084</v>
      </c>
      <c r="AK103" s="612">
        <f t="shared" si="55"/>
        <v>1773</v>
      </c>
      <c r="AL103" s="612">
        <f t="shared" si="56"/>
        <v>1657</v>
      </c>
      <c r="AM103" s="612">
        <f t="shared" si="56"/>
        <v>2263</v>
      </c>
      <c r="AN103" s="723">
        <f>ROUND(AK103/AH103*100,1)</f>
        <v>121.1</v>
      </c>
      <c r="AO103" s="187"/>
      <c r="AP103" s="529">
        <f>商業運輸マージン!G104</f>
        <v>0</v>
      </c>
      <c r="AQ103" s="529">
        <f>商業運輸マージン!H104</f>
        <v>0</v>
      </c>
      <c r="AR103" s="197">
        <f t="shared" si="85"/>
        <v>0</v>
      </c>
      <c r="AS103" s="197">
        <f t="shared" si="86"/>
        <v>0</v>
      </c>
    </row>
    <row r="104" spans="1:46" ht="15.75" customHeight="1">
      <c r="A104" s="621">
        <v>101</v>
      </c>
      <c r="B104" s="622" t="s">
        <v>9124</v>
      </c>
      <c r="C104" s="197">
        <f>SUM(CT作業分類比較!H492:H493)</f>
        <v>1224254</v>
      </c>
      <c r="D104" s="627">
        <f>SUM(CT作業分類比較!I492:I493)</f>
        <v>7345.5239999999994</v>
      </c>
      <c r="E104" s="633">
        <v>1058286</v>
      </c>
      <c r="F104" s="633">
        <v>1036759</v>
      </c>
      <c r="G104" s="1499">
        <v>733354</v>
      </c>
      <c r="H104" s="633">
        <f t="shared" ref="H104:I104" si="91">H103</f>
        <v>975331.38282246236</v>
      </c>
      <c r="I104" s="633">
        <f t="shared" si="91"/>
        <v>869553.09789577383</v>
      </c>
      <c r="J104" s="633">
        <f>J103</f>
        <v>1070338.0721683938</v>
      </c>
      <c r="K104" s="633">
        <f>K103</f>
        <v>1045036.3009384787</v>
      </c>
      <c r="L104" s="1499">
        <f>L103</f>
        <v>1005481.307753633</v>
      </c>
      <c r="M104" s="1499">
        <f>M103</f>
        <v>1154825.1893084811</v>
      </c>
      <c r="N104" s="612" t="s">
        <v>9828</v>
      </c>
      <c r="O104" s="633">
        <f>ROUND(D104*F104/E104,0)</f>
        <v>7196</v>
      </c>
      <c r="P104" s="633">
        <f>ROUND(D104*G104/E104,0)</f>
        <v>5090</v>
      </c>
      <c r="Q104" s="1499">
        <f>SUM(CT作業分類比較!L492:L493)</f>
        <v>3980</v>
      </c>
      <c r="R104" s="633">
        <f>ROUND(Q104*I104/H104,0)</f>
        <v>3548</v>
      </c>
      <c r="S104" s="633">
        <f t="shared" si="88"/>
        <v>4367</v>
      </c>
      <c r="T104" s="633">
        <f t="shared" si="89"/>
        <v>4264</v>
      </c>
      <c r="U104" s="633">
        <f t="shared" si="90"/>
        <v>4103</v>
      </c>
      <c r="V104" s="633">
        <f t="shared" si="90"/>
        <v>4712</v>
      </c>
      <c r="W104" s="718" t="s">
        <v>9894</v>
      </c>
      <c r="X104" s="1539">
        <v>0.3914040713773449</v>
      </c>
      <c r="Y104" s="529">
        <f>X104*付加価値率!P34/付加価値率!L34</f>
        <v>0.38356643834745369</v>
      </c>
      <c r="Z104" s="1527">
        <f>Y104*付加価値率!Q34/付加価値率!P34</f>
        <v>0.29599913436531239</v>
      </c>
      <c r="AA104" s="1527">
        <f>Z104*付加価値率!R34/付加価値率!Q34</f>
        <v>0.3038459069701967</v>
      </c>
      <c r="AB104" s="1527">
        <f>AA104*付加価値率!S34/付加価値率!R34</f>
        <v>0.42680755155024441</v>
      </c>
      <c r="AC104" s="1527">
        <f>AB104*付加価値率!T34/付加価値率!S34</f>
        <v>0.37198705712382846</v>
      </c>
      <c r="AD104" s="1527">
        <f>AC104*付加価値率!U34/付加価値率!T34</f>
        <v>0.3613787548039043</v>
      </c>
      <c r="AE104" s="1527">
        <f>AD104*付加価値率!V34/付加価値率!U34</f>
        <v>0.42964929546789377</v>
      </c>
      <c r="AF104" s="633">
        <f t="shared" si="84"/>
        <v>2875</v>
      </c>
      <c r="AG104" s="612">
        <f t="shared" si="51"/>
        <v>2760</v>
      </c>
      <c r="AH104" s="612">
        <f t="shared" si="52"/>
        <v>1507</v>
      </c>
      <c r="AI104" s="612">
        <f t="shared" si="53"/>
        <v>1078</v>
      </c>
      <c r="AJ104" s="612">
        <f t="shared" si="54"/>
        <v>1864</v>
      </c>
      <c r="AK104" s="612">
        <f t="shared" si="55"/>
        <v>1586</v>
      </c>
      <c r="AL104" s="612">
        <f t="shared" si="56"/>
        <v>1483</v>
      </c>
      <c r="AM104" s="612">
        <f t="shared" si="56"/>
        <v>2025</v>
      </c>
      <c r="AN104" s="723">
        <f>ROUND(AK104/AH104*100,1)</f>
        <v>105.2</v>
      </c>
      <c r="AO104" s="187"/>
      <c r="AP104" s="529">
        <f>商業運輸マージン!G105</f>
        <v>0</v>
      </c>
      <c r="AQ104" s="529">
        <f>商業運輸マージン!H105</f>
        <v>0</v>
      </c>
      <c r="AR104" s="197">
        <f t="shared" si="85"/>
        <v>0</v>
      </c>
      <c r="AS104" s="197">
        <f t="shared" si="86"/>
        <v>0</v>
      </c>
    </row>
    <row r="105" spans="1:46" ht="15.75" customHeight="1">
      <c r="A105" s="621">
        <v>102</v>
      </c>
      <c r="B105" s="622" t="s">
        <v>1601</v>
      </c>
      <c r="C105" s="197">
        <f>SUM(CT作業分類比較!H494:H498)</f>
        <v>212019</v>
      </c>
      <c r="D105" s="627">
        <f>SUM(CT作業分類比較!I494:I498)</f>
        <v>0</v>
      </c>
      <c r="E105" s="612"/>
      <c r="F105" s="612"/>
      <c r="G105" s="612"/>
      <c r="H105" s="1505"/>
      <c r="I105" s="612"/>
      <c r="J105" s="612"/>
      <c r="K105" s="612"/>
      <c r="L105" s="612"/>
      <c r="M105" s="1505"/>
      <c r="N105" s="612"/>
      <c r="O105" s="612"/>
      <c r="P105" s="612"/>
      <c r="Q105" s="612"/>
      <c r="R105" s="612"/>
      <c r="S105" s="612"/>
      <c r="T105" s="612"/>
      <c r="U105" s="612"/>
      <c r="V105" s="1505"/>
      <c r="W105" s="718"/>
      <c r="X105" s="1539">
        <v>0.6472297294110434</v>
      </c>
      <c r="Y105" s="529">
        <f>X105*付加価値率!P46/付加価値率!L46</f>
        <v>0.64613773379860828</v>
      </c>
      <c r="Z105" s="1527">
        <f>Y105*付加価値率!Q46/付加価値率!P46</f>
        <v>0.55370318914489913</v>
      </c>
      <c r="AA105" s="1527">
        <f>Z105*付加価値率!R46/付加価値率!Q46</f>
        <v>0.69608733284756563</v>
      </c>
      <c r="AB105" s="1527">
        <f>AA105*付加価値率!S46/付加価値率!R46</f>
        <v>0.67167627513643691</v>
      </c>
      <c r="AC105" s="1527">
        <f>AB105*付加価値率!T46/付加価値率!S46</f>
        <v>0.69073840671703024</v>
      </c>
      <c r="AD105" s="1527">
        <f>AC105*付加価値率!U46/付加価値率!T46</f>
        <v>0.62628176116616274</v>
      </c>
      <c r="AE105" s="1527">
        <f>AD105*付加価値率!V46/付加価値率!U46</f>
        <v>0.70011595804383142</v>
      </c>
      <c r="AF105" s="633">
        <f t="shared" si="84"/>
        <v>0</v>
      </c>
      <c r="AG105" s="612">
        <f t="shared" si="51"/>
        <v>0</v>
      </c>
      <c r="AH105" s="612">
        <f t="shared" si="52"/>
        <v>0</v>
      </c>
      <c r="AI105" s="612">
        <f t="shared" si="53"/>
        <v>0</v>
      </c>
      <c r="AJ105" s="612">
        <f t="shared" si="54"/>
        <v>0</v>
      </c>
      <c r="AK105" s="612">
        <f t="shared" si="55"/>
        <v>0</v>
      </c>
      <c r="AL105" s="612">
        <f t="shared" si="56"/>
        <v>0</v>
      </c>
      <c r="AM105" s="612">
        <f t="shared" si="56"/>
        <v>0</v>
      </c>
      <c r="AN105" s="627" t="s">
        <v>9834</v>
      </c>
      <c r="AO105" s="187"/>
      <c r="AP105" s="529">
        <f>商業運輸マージン!G106</f>
        <v>0</v>
      </c>
      <c r="AQ105" s="529">
        <f>商業運輸マージン!H106</f>
        <v>0</v>
      </c>
      <c r="AR105" s="197">
        <f t="shared" si="85"/>
        <v>0</v>
      </c>
      <c r="AS105" s="197">
        <f t="shared" si="86"/>
        <v>0</v>
      </c>
    </row>
    <row r="106" spans="1:46" ht="15.75" customHeight="1">
      <c r="A106" s="621">
        <v>103</v>
      </c>
      <c r="B106" s="622" t="s">
        <v>9125</v>
      </c>
      <c r="C106" s="197">
        <f>SUM(CT作業分類比較!H499:H504)</f>
        <v>403412</v>
      </c>
      <c r="D106" s="627">
        <f>SUM(CT作業分類比較!I499:I504)</f>
        <v>210515.88</v>
      </c>
      <c r="E106" s="633">
        <v>423479</v>
      </c>
      <c r="F106" s="633">
        <v>385596</v>
      </c>
      <c r="G106" s="1499">
        <v>292498</v>
      </c>
      <c r="H106" s="633">
        <f>QE産出!AK17</f>
        <v>1413094.7968856867</v>
      </c>
      <c r="I106" s="633">
        <f>QE産出!AK18</f>
        <v>1500631.1241352106</v>
      </c>
      <c r="J106" s="633">
        <f>QE産出!AK19</f>
        <v>1555136.3583002342</v>
      </c>
      <c r="K106" s="633">
        <f>QE産出!AK20</f>
        <v>1660938.5731516231</v>
      </c>
      <c r="L106" s="1499">
        <f>QE産出!AK21</f>
        <v>1669775.5959257614</v>
      </c>
      <c r="M106" s="1499">
        <f>QE産出!AK22</f>
        <v>1884497.9888583904</v>
      </c>
      <c r="N106" s="612" t="s">
        <v>9829</v>
      </c>
      <c r="O106" s="633">
        <f>ROUND(D106*F106/E106,0)</f>
        <v>191684</v>
      </c>
      <c r="P106" s="633">
        <f>ROUND(D106*G106/E106,0)</f>
        <v>145404</v>
      </c>
      <c r="Q106" s="1499">
        <f>SUM(CT作業分類比較!L500:L502)</f>
        <v>115491</v>
      </c>
      <c r="R106" s="633">
        <f>ROUND(Q106*I106/H106,0)</f>
        <v>122645</v>
      </c>
      <c r="S106" s="633">
        <f t="shared" ref="S106:S107" si="92">ROUND(R106*J106/I106,0)</f>
        <v>127100</v>
      </c>
      <c r="T106" s="633">
        <f t="shared" ref="T106:T107" si="93">ROUND(S106*K106/J106,0)</f>
        <v>135747</v>
      </c>
      <c r="U106" s="633">
        <f t="shared" ref="U106:V107" si="94">ROUND(T106*L106/K106,0)</f>
        <v>136469</v>
      </c>
      <c r="V106" s="633">
        <f t="shared" si="94"/>
        <v>154018</v>
      </c>
      <c r="W106" s="718" t="s">
        <v>9748</v>
      </c>
      <c r="X106" s="1539">
        <v>0.67955836712839479</v>
      </c>
      <c r="Y106" s="529">
        <f>X106*付加価値率!P46/付加価値率!L46</f>
        <v>0.67841182715722703</v>
      </c>
      <c r="Z106" s="1527">
        <f>Y106*付加価値率!Q46/付加価値率!P46</f>
        <v>0.58136024658738761</v>
      </c>
      <c r="AA106" s="1527">
        <f>Z106*付加価値率!R46/付加価値率!Q46</f>
        <v>0.73085637107413737</v>
      </c>
      <c r="AB106" s="1527">
        <f>AA106*付加価値率!S46/付加価値率!R46</f>
        <v>0.70522599940819608</v>
      </c>
      <c r="AC106" s="1527">
        <f>AB106*付加価値率!T46/付加価値率!S46</f>
        <v>0.72524027011031944</v>
      </c>
      <c r="AD106" s="1527">
        <f>AC106*付加価値率!U46/付加価値率!T46</f>
        <v>0.65756406364035458</v>
      </c>
      <c r="AE106" s="1527">
        <f>AD106*付加価値率!V46/付加価値率!U46</f>
        <v>0.73508622306600724</v>
      </c>
      <c r="AF106" s="633">
        <f t="shared" si="84"/>
        <v>143058</v>
      </c>
      <c r="AG106" s="612">
        <f t="shared" si="51"/>
        <v>130041</v>
      </c>
      <c r="AH106" s="612">
        <f t="shared" si="52"/>
        <v>84532</v>
      </c>
      <c r="AI106" s="612">
        <f t="shared" si="53"/>
        <v>89636</v>
      </c>
      <c r="AJ106" s="612">
        <f t="shared" si="54"/>
        <v>89634</v>
      </c>
      <c r="AK106" s="612">
        <f t="shared" si="55"/>
        <v>98449</v>
      </c>
      <c r="AL106" s="612">
        <f t="shared" si="56"/>
        <v>89737</v>
      </c>
      <c r="AM106" s="612">
        <f t="shared" si="56"/>
        <v>113217</v>
      </c>
      <c r="AN106" s="723">
        <f>ROUND(AK106/AH106*100,1)</f>
        <v>116.5</v>
      </c>
      <c r="AO106" s="187"/>
      <c r="AP106" s="529">
        <f>商業運輸マージン!G107</f>
        <v>0</v>
      </c>
      <c r="AQ106" s="529">
        <f>商業運輸マージン!H107</f>
        <v>0</v>
      </c>
      <c r="AR106" s="197">
        <f t="shared" si="85"/>
        <v>0</v>
      </c>
      <c r="AS106" s="197">
        <f t="shared" si="86"/>
        <v>0</v>
      </c>
    </row>
    <row r="107" spans="1:46" ht="15.75" customHeight="1">
      <c r="A107" s="621">
        <v>104</v>
      </c>
      <c r="B107" s="622" t="s">
        <v>820</v>
      </c>
      <c r="C107" s="197">
        <f>SUM(CT作業分類比較!H505:H509)</f>
        <v>297741</v>
      </c>
      <c r="D107" s="627">
        <f>SUM(CT作業分類比較!I505:I509)</f>
        <v>25196.58</v>
      </c>
      <c r="E107" s="633">
        <v>561026</v>
      </c>
      <c r="F107" s="633">
        <v>585046</v>
      </c>
      <c r="G107" s="1499">
        <v>508054</v>
      </c>
      <c r="H107" s="633">
        <f t="shared" ref="H107:I107" si="95">H106</f>
        <v>1413094.7968856867</v>
      </c>
      <c r="I107" s="633">
        <f t="shared" si="95"/>
        <v>1500631.1241352106</v>
      </c>
      <c r="J107" s="633">
        <f>J106</f>
        <v>1555136.3583002342</v>
      </c>
      <c r="K107" s="633">
        <f>K106</f>
        <v>1660938.5731516231</v>
      </c>
      <c r="L107" s="1499">
        <f>L106</f>
        <v>1669775.5959257614</v>
      </c>
      <c r="M107" s="1499">
        <f>M106</f>
        <v>1884497.9888583904</v>
      </c>
      <c r="N107" s="612" t="s">
        <v>9829</v>
      </c>
      <c r="O107" s="633">
        <f>ROUND(D107*F107/E107,0)</f>
        <v>26275</v>
      </c>
      <c r="P107" s="633">
        <f>ROUND(D107*G107/E107,0)</f>
        <v>22818</v>
      </c>
      <c r="Q107" s="1499">
        <f>CT作業分類比較!L507+CT作業分類比較!L509</f>
        <v>23446</v>
      </c>
      <c r="R107" s="633">
        <f>ROUND(Q107*I107/H107,0)</f>
        <v>24898</v>
      </c>
      <c r="S107" s="633">
        <f t="shared" si="92"/>
        <v>25802</v>
      </c>
      <c r="T107" s="633">
        <f t="shared" si="93"/>
        <v>27557</v>
      </c>
      <c r="U107" s="633">
        <f t="shared" si="94"/>
        <v>27704</v>
      </c>
      <c r="V107" s="633">
        <f t="shared" si="94"/>
        <v>31267</v>
      </c>
      <c r="W107" s="718" t="s">
        <v>9749</v>
      </c>
      <c r="X107" s="1539">
        <v>0.69905387568389976</v>
      </c>
      <c r="Y107" s="529">
        <f>X107*付加価値率!P46/付加価値率!L46</f>
        <v>0.69787444320356973</v>
      </c>
      <c r="Z107" s="1527">
        <f>Y107*付加価値率!Q46/付加価値率!P46</f>
        <v>0.59803859860160624</v>
      </c>
      <c r="AA107" s="1527">
        <f>Z107*付加価値率!R46/付加価値率!Q46</f>
        <v>0.75182354229054182</v>
      </c>
      <c r="AB107" s="1527">
        <f>AA107*付加価値率!S46/付加価値率!R46</f>
        <v>0.72545787376966575</v>
      </c>
      <c r="AC107" s="1527">
        <f>AB107*付加価値率!T46/付加価値率!S46</f>
        <v>0.746046323827941</v>
      </c>
      <c r="AD107" s="1527">
        <f>AC107*付加価値率!U46/付加価値率!T46</f>
        <v>0.67642858867396527</v>
      </c>
      <c r="AE107" s="1527">
        <f>AD107*付加価値率!V46/付加価値率!U46</f>
        <v>0.75617474238094873</v>
      </c>
      <c r="AF107" s="633">
        <f t="shared" si="84"/>
        <v>17614</v>
      </c>
      <c r="AG107" s="612">
        <f t="shared" si="51"/>
        <v>18337</v>
      </c>
      <c r="AH107" s="612">
        <f t="shared" si="52"/>
        <v>13646</v>
      </c>
      <c r="AI107" s="612">
        <f t="shared" si="53"/>
        <v>18719</v>
      </c>
      <c r="AJ107" s="612">
        <f t="shared" si="54"/>
        <v>18718</v>
      </c>
      <c r="AK107" s="612">
        <f t="shared" si="55"/>
        <v>20559</v>
      </c>
      <c r="AL107" s="612">
        <f t="shared" si="56"/>
        <v>18740</v>
      </c>
      <c r="AM107" s="612">
        <f t="shared" si="56"/>
        <v>23643</v>
      </c>
      <c r="AN107" s="723">
        <f>ROUND(AK107/AH107*100,1)</f>
        <v>150.69999999999999</v>
      </c>
      <c r="AO107" s="187"/>
      <c r="AP107" s="529">
        <f>商業運輸マージン!G108</f>
        <v>1.3610952774943308E-4</v>
      </c>
      <c r="AQ107" s="529">
        <f>商業運輸マージン!H108</f>
        <v>4.8257014383889908E-5</v>
      </c>
      <c r="AR107" s="197">
        <f t="shared" si="85"/>
        <v>3</v>
      </c>
      <c r="AS107" s="197">
        <f t="shared" si="86"/>
        <v>1</v>
      </c>
    </row>
    <row r="108" spans="1:46" ht="15.75" customHeight="1">
      <c r="A108" s="621">
        <v>105</v>
      </c>
      <c r="B108" s="622" t="s">
        <v>823</v>
      </c>
      <c r="C108" s="197">
        <f>CT作業分類比較!H510</f>
        <v>53866</v>
      </c>
      <c r="D108" s="627">
        <f>CT作業分類比較!I510</f>
        <v>0</v>
      </c>
      <c r="E108" s="612"/>
      <c r="F108" s="612"/>
      <c r="G108" s="612"/>
      <c r="H108" s="1505"/>
      <c r="I108" s="612"/>
      <c r="J108" s="612"/>
      <c r="K108" s="612"/>
      <c r="L108" s="612"/>
      <c r="M108" s="1505"/>
      <c r="N108" s="612"/>
      <c r="O108" s="612"/>
      <c r="P108" s="612"/>
      <c r="Q108" s="612"/>
      <c r="R108" s="612"/>
      <c r="S108" s="612"/>
      <c r="T108" s="612"/>
      <c r="U108" s="612"/>
      <c r="V108" s="1505"/>
      <c r="W108" s="718"/>
      <c r="X108" s="1539">
        <v>0</v>
      </c>
      <c r="Y108" s="1548">
        <f>X108</f>
        <v>0</v>
      </c>
      <c r="Z108" s="1548">
        <f>Y108</f>
        <v>0</v>
      </c>
      <c r="AA108" s="1548">
        <f t="shared" ref="AA108:AE108" si="96">Z108</f>
        <v>0</v>
      </c>
      <c r="AB108" s="1548">
        <f t="shared" si="96"/>
        <v>0</v>
      </c>
      <c r="AC108" s="1548">
        <f t="shared" si="96"/>
        <v>0</v>
      </c>
      <c r="AD108" s="1548">
        <f t="shared" si="96"/>
        <v>0</v>
      </c>
      <c r="AE108" s="1548">
        <f t="shared" si="96"/>
        <v>0</v>
      </c>
      <c r="AF108" s="633">
        <f t="shared" si="84"/>
        <v>0</v>
      </c>
      <c r="AG108" s="612">
        <f t="shared" si="51"/>
        <v>0</v>
      </c>
      <c r="AH108" s="612">
        <f t="shared" si="52"/>
        <v>0</v>
      </c>
      <c r="AI108" s="612">
        <f t="shared" si="53"/>
        <v>0</v>
      </c>
      <c r="AJ108" s="612">
        <f t="shared" si="54"/>
        <v>0</v>
      </c>
      <c r="AK108" s="612">
        <f t="shared" si="55"/>
        <v>0</v>
      </c>
      <c r="AL108" s="612">
        <f t="shared" si="56"/>
        <v>0</v>
      </c>
      <c r="AM108" s="612">
        <f t="shared" si="56"/>
        <v>0</v>
      </c>
      <c r="AN108" s="627" t="s">
        <v>9834</v>
      </c>
      <c r="AO108" s="187"/>
      <c r="AP108" s="529">
        <f>商業運輸マージン!G109</f>
        <v>0</v>
      </c>
      <c r="AQ108" s="529">
        <f>商業運輸マージン!H109</f>
        <v>0</v>
      </c>
      <c r="AR108" s="197">
        <f t="shared" si="85"/>
        <v>0</v>
      </c>
      <c r="AS108" s="197">
        <f t="shared" si="86"/>
        <v>0</v>
      </c>
    </row>
    <row r="109" spans="1:46" ht="15.75" customHeight="1">
      <c r="A109" s="624">
        <v>106</v>
      </c>
      <c r="B109" s="622" t="s">
        <v>7669</v>
      </c>
      <c r="C109" s="197">
        <f>CT作業分類比較!H511</f>
        <v>188430</v>
      </c>
      <c r="D109" s="627">
        <f>CT作業分類比較!I511</f>
        <v>0</v>
      </c>
      <c r="E109" s="612"/>
      <c r="F109" s="612"/>
      <c r="G109" s="612"/>
      <c r="H109" s="1505"/>
      <c r="I109" s="612"/>
      <c r="J109" s="612"/>
      <c r="K109" s="612"/>
      <c r="L109" s="612"/>
      <c r="M109" s="1505"/>
      <c r="N109" s="612"/>
      <c r="O109" s="612"/>
      <c r="P109" s="612"/>
      <c r="Q109" s="612"/>
      <c r="R109" s="612"/>
      <c r="S109" s="612"/>
      <c r="T109" s="612"/>
      <c r="U109" s="612"/>
      <c r="V109" s="1505"/>
      <c r="W109" s="718"/>
      <c r="X109" s="1539">
        <v>0.42786180544499286</v>
      </c>
      <c r="Y109" s="529">
        <f>X109*付加価値率!P47/付加価値率!L47</f>
        <v>0.42842474024684141</v>
      </c>
      <c r="Z109" s="1527">
        <f>Y109*付加価値率!Q47/付加価値率!P47</f>
        <v>0.41613693406358893</v>
      </c>
      <c r="AA109" s="1527">
        <f>Z109*付加価値率!R47/付加価値率!Q47</f>
        <v>0.4487115726132348</v>
      </c>
      <c r="AB109" s="1527">
        <f>AA109*付加価値率!S47/付加価値率!R47</f>
        <v>0.44004057939409497</v>
      </c>
      <c r="AC109" s="1527">
        <f>AB109*付加価値率!T47/付加価値率!S47</f>
        <v>0.43470861974718034</v>
      </c>
      <c r="AD109" s="1527">
        <f>AC109*付加価値率!U47/付加価値率!T47</f>
        <v>0.43674038277745891</v>
      </c>
      <c r="AE109" s="1527">
        <f>AD109*付加価値率!V47/付加価値率!U47</f>
        <v>0.43184343601469616</v>
      </c>
      <c r="AF109" s="633">
        <f t="shared" si="84"/>
        <v>0</v>
      </c>
      <c r="AG109" s="612">
        <f t="shared" si="51"/>
        <v>0</v>
      </c>
      <c r="AH109" s="612">
        <f t="shared" si="52"/>
        <v>0</v>
      </c>
      <c r="AI109" s="612">
        <f t="shared" si="53"/>
        <v>0</v>
      </c>
      <c r="AJ109" s="612">
        <f t="shared" si="54"/>
        <v>0</v>
      </c>
      <c r="AK109" s="612">
        <f t="shared" si="55"/>
        <v>0</v>
      </c>
      <c r="AL109" s="612">
        <f t="shared" si="56"/>
        <v>0</v>
      </c>
      <c r="AM109" s="612">
        <f t="shared" si="56"/>
        <v>0</v>
      </c>
      <c r="AN109" s="627" t="s">
        <v>9834</v>
      </c>
      <c r="AO109" s="187"/>
      <c r="AP109" s="529">
        <f>商業運輸マージン!G110</f>
        <v>2.3745062895242985E-2</v>
      </c>
      <c r="AQ109" s="529">
        <f>商業運輸マージン!H110</f>
        <v>3.0405128280578508E-2</v>
      </c>
      <c r="AR109" s="197">
        <f t="shared" si="85"/>
        <v>0</v>
      </c>
      <c r="AS109" s="197">
        <f t="shared" si="86"/>
        <v>0</v>
      </c>
    </row>
    <row r="110" spans="1:46" ht="15.75" customHeight="1">
      <c r="A110" s="625">
        <v>107</v>
      </c>
      <c r="B110" s="626" t="s">
        <v>9126</v>
      </c>
      <c r="C110" s="538">
        <f>SUM(C4:C109)</f>
        <v>38958572</v>
      </c>
      <c r="D110" s="629">
        <f>SUM(D4:D109)</f>
        <v>484996.64686773479</v>
      </c>
      <c r="E110" s="629">
        <v>40737226</v>
      </c>
      <c r="F110" s="629">
        <v>42049209.471305057</v>
      </c>
      <c r="G110" s="1500">
        <v>40050215</v>
      </c>
      <c r="H110" s="629"/>
      <c r="I110" s="629">
        <v>42410501</v>
      </c>
      <c r="J110" s="629"/>
      <c r="K110" s="629"/>
      <c r="L110" s="629"/>
      <c r="M110" s="629"/>
      <c r="N110" s="613"/>
      <c r="O110" s="629">
        <f t="shared" ref="O110:S110" si="97">SUM(O4:O109)</f>
        <v>484955</v>
      </c>
      <c r="P110" s="629">
        <f t="shared" ref="P110:Q110" si="98">SUM(P4:P109)</f>
        <v>414386</v>
      </c>
      <c r="Q110" s="1500">
        <f t="shared" si="98"/>
        <v>375578</v>
      </c>
      <c r="R110" s="629">
        <f t="shared" si="97"/>
        <v>385068</v>
      </c>
      <c r="S110" s="629">
        <f t="shared" si="97"/>
        <v>409204</v>
      </c>
      <c r="T110" s="629">
        <f t="shared" ref="T110:U110" si="99">SUM(T4:T109)</f>
        <v>425332</v>
      </c>
      <c r="U110" s="629">
        <f t="shared" si="99"/>
        <v>454692</v>
      </c>
      <c r="V110" s="629">
        <f t="shared" ref="V110" si="100">SUM(V4:V109)</f>
        <v>491201</v>
      </c>
      <c r="W110" s="719"/>
      <c r="X110" s="540">
        <v>0.5063294671067512</v>
      </c>
      <c r="Y110" s="1531">
        <f>X110*付加価値率!P47/付加価値率!L47</f>
        <v>0.50699564126534291</v>
      </c>
      <c r="Z110" s="1531">
        <f>Y110*付加価値率!Q47/付加価値率!P47</f>
        <v>0.49245431442218962</v>
      </c>
      <c r="AA110" s="1531">
        <f>Z110*付加価値率!R47/付加価値率!Q47</f>
        <v>0.53100297468618152</v>
      </c>
      <c r="AB110" s="1531">
        <f>AA110*付加価値率!S47/付加価値率!R47</f>
        <v>0.5207417657629706</v>
      </c>
      <c r="AC110" s="1531">
        <f>AB110*付加価値率!T47/付加価値率!S47</f>
        <v>0.51443195205139347</v>
      </c>
      <c r="AD110" s="1531">
        <f>AC110*付加価値率!U47/付加価値率!T47</f>
        <v>0.51683633000548124</v>
      </c>
      <c r="AE110" s="1531">
        <f>AD110*付加価値率!V47/付加価値率!U47</f>
        <v>0.51104130831089212</v>
      </c>
      <c r="AF110" s="629">
        <f t="shared" ref="AF110:AL110" si="101">SUM(AF4:AF109)</f>
        <v>307913</v>
      </c>
      <c r="AG110" s="629">
        <f t="shared" si="101"/>
        <v>301909</v>
      </c>
      <c r="AH110" s="629">
        <f t="shared" si="101"/>
        <v>238852</v>
      </c>
      <c r="AI110" s="629">
        <f t="shared" si="101"/>
        <v>241322</v>
      </c>
      <c r="AJ110" s="629">
        <f t="shared" si="101"/>
        <v>261729</v>
      </c>
      <c r="AK110" s="629">
        <f t="shared" si="101"/>
        <v>271012</v>
      </c>
      <c r="AL110" s="629">
        <f t="shared" si="101"/>
        <v>292104</v>
      </c>
      <c r="AM110" s="629">
        <f t="shared" ref="AM110" si="102">SUM(AM4:AM109)</f>
        <v>317082</v>
      </c>
      <c r="AN110" s="724">
        <f>ROUND(AK110/AH110*100,1)</f>
        <v>113.5</v>
      </c>
      <c r="AO110" s="187"/>
      <c r="AP110" s="539">
        <f>商業運輸マージン!G111</f>
        <v>9.3453481604814551E-2</v>
      </c>
      <c r="AQ110" s="539">
        <f>商業運輸マージン!H111</f>
        <v>2.8356145202595811E-2</v>
      </c>
      <c r="AR110" s="538">
        <f>SUM(AR4:AR109)</f>
        <v>38747</v>
      </c>
      <c r="AS110" s="538">
        <f>SUM(AS4:AS109)</f>
        <v>7959</v>
      </c>
    </row>
    <row r="111" spans="1:46" ht="15.75" customHeight="1">
      <c r="A111" s="1712"/>
      <c r="B111" s="1713"/>
      <c r="C111" s="615" t="s">
        <v>9238</v>
      </c>
      <c r="D111" s="630">
        <f>D110/C110*100</f>
        <v>1.2449035525935981</v>
      </c>
      <c r="E111" s="710"/>
      <c r="F111" s="710"/>
      <c r="G111" s="710"/>
      <c r="H111" s="710"/>
      <c r="I111" s="710"/>
      <c r="J111" s="710"/>
      <c r="K111" s="710"/>
      <c r="L111" s="710"/>
      <c r="M111" s="710"/>
      <c r="N111" s="710"/>
      <c r="O111" s="720">
        <f t="shared" ref="O111:R111" si="103">O110/O112*100</f>
        <v>1.1007272945759221</v>
      </c>
      <c r="P111" s="720">
        <f t="shared" ref="P111:Q111" si="104">P110/P112*100</f>
        <v>0.98774700254695424</v>
      </c>
      <c r="Q111" s="720">
        <f t="shared" si="104"/>
        <v>0.89524270540650497</v>
      </c>
      <c r="R111" s="720">
        <f t="shared" si="103"/>
        <v>0.87908568607319126</v>
      </c>
      <c r="S111" s="720">
        <f>S110/S112*100</f>
        <v>0.87825783848594285</v>
      </c>
      <c r="T111" s="720">
        <f>T110/T112*100</f>
        <v>0.89587938219193086</v>
      </c>
      <c r="U111" s="720">
        <f>U110/U112*100</f>
        <v>0.91715576221610662</v>
      </c>
      <c r="V111" s="720">
        <f>V110/V112*100</f>
        <v>0.98910579743687121</v>
      </c>
      <c r="W111" s="719"/>
      <c r="X111" s="520"/>
      <c r="Y111" s="520"/>
      <c r="Z111" s="299"/>
      <c r="AA111" s="299"/>
      <c r="AB111" s="299"/>
      <c r="AC111" s="299"/>
      <c r="AD111" s="299"/>
      <c r="AE111" s="299"/>
      <c r="AF111" s="630">
        <f t="shared" ref="AF111:AL111" si="105">AF110/AF112*100</f>
        <v>1.4312001093968938</v>
      </c>
      <c r="AG111" s="630">
        <f t="shared" si="105"/>
        <v>1.3480199877855794</v>
      </c>
      <c r="AH111" s="630">
        <f t="shared" si="105"/>
        <v>1.0885327712841582</v>
      </c>
      <c r="AI111" s="630">
        <f t="shared" si="105"/>
        <v>1.0690774135965833</v>
      </c>
      <c r="AJ111" s="630">
        <f t="shared" si="105"/>
        <v>1.1301198049017067</v>
      </c>
      <c r="AK111" s="630">
        <f t="shared" si="105"/>
        <v>1.1142372785330479</v>
      </c>
      <c r="AL111" s="630">
        <f t="shared" si="105"/>
        <v>1.1735489623353794</v>
      </c>
      <c r="AM111" s="630">
        <f t="shared" ref="AM111" si="106">AM110/AM112*100</f>
        <v>452.61865676968097</v>
      </c>
      <c r="AN111" s="630"/>
      <c r="AO111" s="135"/>
    </row>
    <row r="112" spans="1:46" ht="15.75" customHeight="1">
      <c r="A112" s="191"/>
      <c r="B112" s="616"/>
      <c r="C112" s="520"/>
      <c r="D112" s="520"/>
      <c r="E112" s="634"/>
      <c r="F112" s="634"/>
      <c r="G112" s="634"/>
      <c r="H112" s="634"/>
      <c r="I112" s="634"/>
      <c r="J112" s="634"/>
      <c r="K112" s="634"/>
      <c r="L112" s="634"/>
      <c r="M112" s="634"/>
      <c r="N112" s="730"/>
      <c r="O112" s="730">
        <f>QE産出!AN16</f>
        <v>44057688.256639346</v>
      </c>
      <c r="P112" s="730">
        <f>QE産出!AN17</f>
        <v>41952645.66042573</v>
      </c>
      <c r="Q112" s="634">
        <f>P112</f>
        <v>41952645.66042573</v>
      </c>
      <c r="R112" s="634">
        <f>QE産出!AN18</f>
        <v>43803238.535263769</v>
      </c>
      <c r="S112" s="634">
        <f>QE産出!AN19</f>
        <v>46592695.45552136</v>
      </c>
      <c r="T112" s="634">
        <f>QE産出!AN20</f>
        <v>47476480.478806019</v>
      </c>
      <c r="U112" s="634">
        <f>QE産出!AN21</f>
        <v>49576311.759884283</v>
      </c>
      <c r="V112" s="634">
        <f>QE産出!AN22</f>
        <v>49661118.282076433</v>
      </c>
      <c r="W112" s="719"/>
      <c r="X112" s="713" t="s">
        <v>9720</v>
      </c>
      <c r="Y112" s="713"/>
      <c r="Z112" s="300" t="s">
        <v>5312</v>
      </c>
      <c r="AA112" s="300"/>
      <c r="AB112" s="300"/>
      <c r="AC112" s="300"/>
      <c r="AD112" s="300"/>
      <c r="AE112" s="300"/>
      <c r="AF112" s="634">
        <f>QE総生産!C118</f>
        <v>21514322</v>
      </c>
      <c r="AG112" s="634">
        <f>QE総生産!C122</f>
        <v>22396478</v>
      </c>
      <c r="AH112" s="634">
        <f>QE総生産!C123</f>
        <v>21942564</v>
      </c>
      <c r="AI112" s="721">
        <f>QE総生産!C124</f>
        <v>22572921</v>
      </c>
      <c r="AJ112" s="643">
        <f>QE総生産!C125</f>
        <v>23159403</v>
      </c>
      <c r="AK112" s="643">
        <f>QE総生産!C126</f>
        <v>24322647</v>
      </c>
      <c r="AL112" s="643">
        <f>QE総生産!C127</f>
        <v>24890653</v>
      </c>
      <c r="AM112" s="643">
        <f>QE総生産!D127</f>
        <v>70055</v>
      </c>
      <c r="AN112" s="735" t="s">
        <v>9757</v>
      </c>
    </row>
    <row r="113" spans="17:39">
      <c r="Q113" s="208" t="s">
        <v>5312</v>
      </c>
    </row>
    <row r="114" spans="17:39">
      <c r="AJ114" s="750" t="s">
        <v>9834</v>
      </c>
      <c r="AK114" s="750"/>
      <c r="AL114" s="750"/>
      <c r="AM114" s="750"/>
    </row>
    <row r="115" spans="17:39">
      <c r="AJ115" s="750" t="s">
        <v>9834</v>
      </c>
      <c r="AK115" s="750"/>
      <c r="AL115" s="750"/>
      <c r="AM115" s="750"/>
    </row>
    <row r="116" spans="17:39">
      <c r="AJ116" s="133" t="s">
        <v>9834</v>
      </c>
    </row>
  </sheetData>
  <mergeCells count="2">
    <mergeCell ref="A1:B1"/>
    <mergeCell ref="A111:B111"/>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6664E-56E2-434D-B23D-19EED7AEB518}">
  <sheetPr>
    <tabColor theme="5" tint="0.79998168889431442"/>
  </sheetPr>
  <dimension ref="A1:V50"/>
  <sheetViews>
    <sheetView workbookViewId="0">
      <pane xSplit="2" ySplit="4" topLeftCell="L36" activePane="bottomRight" state="frozen"/>
      <selection pane="topRight" activeCell="C1" sqref="C1"/>
      <selection pane="bottomLeft" activeCell="A5" sqref="A5"/>
      <selection pane="bottomRight" activeCell="A48" sqref="A48:XFD50"/>
    </sheetView>
  </sheetViews>
  <sheetFormatPr defaultRowHeight="13"/>
  <cols>
    <col min="1" max="1" width="2.4140625" style="133" customWidth="1"/>
    <col min="2" max="2" width="25.33203125" style="133" customWidth="1"/>
    <col min="3" max="11" width="10" style="133" hidden="1" customWidth="1"/>
    <col min="12" max="22" width="9.58203125" style="133" customWidth="1"/>
    <col min="23" max="16384" width="8.6640625" style="133"/>
  </cols>
  <sheetData>
    <row r="1" spans="1:22">
      <c r="B1" s="133" t="s">
        <v>11854</v>
      </c>
      <c r="I1" s="144"/>
      <c r="J1" s="144"/>
      <c r="V1" s="133" t="s">
        <v>12096</v>
      </c>
    </row>
    <row r="2" spans="1:22">
      <c r="A2" s="137"/>
      <c r="B2" s="137"/>
      <c r="C2" s="1477"/>
      <c r="D2" s="1477"/>
      <c r="E2" s="1300"/>
      <c r="F2" s="1300"/>
      <c r="G2" s="1300"/>
      <c r="H2" s="1300"/>
      <c r="I2" s="1532"/>
      <c r="J2" s="1532"/>
      <c r="K2" s="1532"/>
      <c r="L2" s="631"/>
      <c r="M2" s="1532"/>
      <c r="N2" s="1532"/>
      <c r="O2" s="1532"/>
      <c r="P2" s="136"/>
      <c r="Q2" s="1532"/>
      <c r="R2" s="137"/>
      <c r="S2" s="726"/>
      <c r="T2" s="726"/>
      <c r="U2" s="726"/>
      <c r="V2" s="1647"/>
    </row>
    <row r="3" spans="1:22">
      <c r="C3" s="1533" t="s">
        <v>11757</v>
      </c>
      <c r="D3" s="1533" t="s">
        <v>11758</v>
      </c>
      <c r="E3" s="1318" t="s">
        <v>11759</v>
      </c>
      <c r="F3" s="1318" t="s">
        <v>11760</v>
      </c>
      <c r="G3" s="1318" t="s">
        <v>9659</v>
      </c>
      <c r="H3" s="1318" t="s">
        <v>9660</v>
      </c>
      <c r="I3" s="1318" t="s">
        <v>11761</v>
      </c>
      <c r="J3" s="1318" t="s">
        <v>11762</v>
      </c>
      <c r="K3" s="1318" t="s">
        <v>11763</v>
      </c>
      <c r="L3" s="1535" t="s">
        <v>11764</v>
      </c>
      <c r="M3" s="1318" t="s">
        <v>9665</v>
      </c>
      <c r="N3" s="1318" t="s">
        <v>11765</v>
      </c>
      <c r="O3" s="1318" t="s">
        <v>11766</v>
      </c>
      <c r="P3" s="1543" t="s">
        <v>11767</v>
      </c>
      <c r="Q3" s="1545" t="s">
        <v>11768</v>
      </c>
      <c r="R3" s="1533" t="s">
        <v>11769</v>
      </c>
      <c r="S3" s="1612" t="s">
        <v>11770</v>
      </c>
      <c r="T3" s="1612" t="s">
        <v>11771</v>
      </c>
      <c r="U3" s="1612" t="s">
        <v>11818</v>
      </c>
      <c r="V3" s="1648" t="s">
        <v>12091</v>
      </c>
    </row>
    <row r="4" spans="1:22">
      <c r="A4" s="144"/>
      <c r="B4" s="144"/>
      <c r="C4" s="739">
        <v>2006</v>
      </c>
      <c r="D4" s="739">
        <v>2007</v>
      </c>
      <c r="E4" s="739">
        <v>2008</v>
      </c>
      <c r="F4" s="739">
        <v>2009</v>
      </c>
      <c r="G4" s="739">
        <v>2010</v>
      </c>
      <c r="H4" s="739">
        <v>2011</v>
      </c>
      <c r="I4" s="739">
        <v>2012</v>
      </c>
      <c r="J4" s="739">
        <v>2013</v>
      </c>
      <c r="K4" s="739">
        <v>2014</v>
      </c>
      <c r="L4" s="1536">
        <v>2015</v>
      </c>
      <c r="M4" s="739">
        <v>2016</v>
      </c>
      <c r="N4" s="739">
        <v>2017</v>
      </c>
      <c r="O4" s="739">
        <v>2018</v>
      </c>
      <c r="P4" s="739">
        <v>2019</v>
      </c>
      <c r="Q4" s="1546">
        <v>2020</v>
      </c>
      <c r="R4" s="739">
        <v>2021</v>
      </c>
      <c r="S4" s="1613">
        <v>2022</v>
      </c>
      <c r="T4" s="1613">
        <v>2023</v>
      </c>
      <c r="U4" s="1613">
        <v>2024</v>
      </c>
      <c r="V4" s="1649">
        <v>2025</v>
      </c>
    </row>
    <row r="5" spans="1:22">
      <c r="A5" s="133" t="s">
        <v>11772</v>
      </c>
      <c r="C5" s="866"/>
      <c r="D5" s="866"/>
      <c r="E5" s="1534"/>
      <c r="F5" s="1534"/>
      <c r="G5" s="1534"/>
      <c r="H5" s="1534"/>
      <c r="I5" s="636"/>
      <c r="J5" s="636"/>
      <c r="K5" s="636"/>
      <c r="L5" s="639"/>
      <c r="M5" s="636"/>
      <c r="N5" s="636"/>
      <c r="O5" s="636"/>
      <c r="P5" s="1544"/>
      <c r="Q5" s="1547"/>
      <c r="S5" s="1595"/>
      <c r="T5" s="1595"/>
      <c r="U5" s="1595"/>
      <c r="V5" s="1595"/>
    </row>
    <row r="6" spans="1:22">
      <c r="B6" s="133" t="s">
        <v>11773</v>
      </c>
      <c r="C6" s="1520">
        <v>0.66656122265497231</v>
      </c>
      <c r="D6" s="1520">
        <v>0.61114159912788113</v>
      </c>
      <c r="E6" s="1521">
        <v>0.57191907627909899</v>
      </c>
      <c r="F6" s="1521">
        <v>0.62518647994592391</v>
      </c>
      <c r="G6" s="1521">
        <v>0.64938263682565622</v>
      </c>
      <c r="H6" s="1521">
        <v>0.41776084168008515</v>
      </c>
      <c r="I6" s="1521">
        <v>0.36669379222909237</v>
      </c>
      <c r="J6" s="1522">
        <v>0.37450319740709376</v>
      </c>
      <c r="K6" s="1522">
        <v>0.36396285371183257</v>
      </c>
      <c r="L6" s="1602">
        <v>0.45990326349385996</v>
      </c>
      <c r="M6" s="1602">
        <v>0.4802274050933788</v>
      </c>
      <c r="N6" s="1602">
        <v>0.45193916861132472</v>
      </c>
      <c r="O6" s="1602">
        <v>0.42213677016334716</v>
      </c>
      <c r="P6" s="1603">
        <v>0.42743709628410936</v>
      </c>
      <c r="Q6" s="1604">
        <v>0.44110841789423572</v>
      </c>
      <c r="R6" s="1605">
        <v>0.44921216042658613</v>
      </c>
      <c r="S6" s="1606">
        <v>0.4542685538839219</v>
      </c>
      <c r="T6" s="1606">
        <v>0.44598983981829399</v>
      </c>
      <c r="U6" s="1604">
        <v>0.40380637760352184</v>
      </c>
      <c r="V6" s="1604">
        <v>0.50713378578888402</v>
      </c>
    </row>
    <row r="7" spans="1:22">
      <c r="B7" s="133" t="s">
        <v>11774</v>
      </c>
      <c r="C7" s="1520">
        <v>0.67034887303851087</v>
      </c>
      <c r="D7" s="1520">
        <v>0.59637491755821181</v>
      </c>
      <c r="E7" s="1521">
        <v>0.53867721626770426</v>
      </c>
      <c r="F7" s="1521">
        <v>0.65369050613353386</v>
      </c>
      <c r="G7" s="1521">
        <v>0.65870809162880573</v>
      </c>
      <c r="H7" s="1521">
        <v>0.26773451693480571</v>
      </c>
      <c r="I7" s="1521">
        <v>0.19531619235237216</v>
      </c>
      <c r="J7" s="1522">
        <v>0.24398659305993692</v>
      </c>
      <c r="K7" s="1522">
        <v>0.23418792498202196</v>
      </c>
      <c r="L7" s="1602">
        <v>0.49631125540872878</v>
      </c>
      <c r="M7" s="1602">
        <v>0.46910375704687068</v>
      </c>
      <c r="N7" s="1602">
        <v>0.49214244883361125</v>
      </c>
      <c r="O7" s="1602">
        <v>0.46753989065506507</v>
      </c>
      <c r="P7" s="1603">
        <v>0.51035700720310961</v>
      </c>
      <c r="Q7" s="1604">
        <v>0.44050437433252571</v>
      </c>
      <c r="R7" s="1605">
        <v>0.61270867371106708</v>
      </c>
      <c r="S7" s="1606">
        <v>0.56030478661159899</v>
      </c>
      <c r="T7" s="1606">
        <v>0.38593631561265074</v>
      </c>
      <c r="U7" s="1604">
        <v>0.42156618233456045</v>
      </c>
      <c r="V7" s="1604">
        <v>0.4813522609364918</v>
      </c>
    </row>
    <row r="8" spans="1:22">
      <c r="B8" s="133" t="s">
        <v>11775</v>
      </c>
      <c r="C8" s="1520">
        <v>0.66200026316183957</v>
      </c>
      <c r="D8" s="1520">
        <v>0.62995360696957892</v>
      </c>
      <c r="E8" s="1521">
        <v>0.61274457227152401</v>
      </c>
      <c r="F8" s="1521">
        <v>0.59072921535345579</v>
      </c>
      <c r="G8" s="1521">
        <v>0.63761983877119599</v>
      </c>
      <c r="H8" s="1521">
        <v>0.60182386984339697</v>
      </c>
      <c r="I8" s="1521">
        <v>0.59340908161297679</v>
      </c>
      <c r="J8" s="1522">
        <v>0.57532926171738719</v>
      </c>
      <c r="K8" s="1522">
        <v>0.57636006820448482</v>
      </c>
      <c r="L8" s="1602">
        <v>0.56422450813450487</v>
      </c>
      <c r="M8" s="1602">
        <v>0.61470280635846097</v>
      </c>
      <c r="N8" s="1602">
        <v>0.50336735806212973</v>
      </c>
      <c r="O8" s="1602">
        <v>0.53454413300377623</v>
      </c>
      <c r="P8" s="1603">
        <v>0.46298602291336494</v>
      </c>
      <c r="Q8" s="1604">
        <v>0.49474269019034345</v>
      </c>
      <c r="R8" s="1605">
        <v>0.37019462155802091</v>
      </c>
      <c r="S8" s="1606">
        <v>0.45497755093597714</v>
      </c>
      <c r="T8" s="1606">
        <v>0.51584627821673523</v>
      </c>
      <c r="U8" s="1604">
        <v>0.38179147370101518</v>
      </c>
      <c r="V8" s="1604">
        <v>0.41178381973705752</v>
      </c>
    </row>
    <row r="9" spans="1:22">
      <c r="A9" s="133" t="s">
        <v>11776</v>
      </c>
      <c r="C9" s="1520">
        <v>0.45248975563708138</v>
      </c>
      <c r="D9" s="1520">
        <v>0.45184355344710414</v>
      </c>
      <c r="E9" s="1521">
        <v>0.4470121891572747</v>
      </c>
      <c r="F9" s="1521">
        <v>0.46912705765248203</v>
      </c>
      <c r="G9" s="1521">
        <v>0.46288921038210779</v>
      </c>
      <c r="H9" s="1521">
        <v>0.44685984540078694</v>
      </c>
      <c r="I9" s="1521">
        <v>0.44032889940312864</v>
      </c>
      <c r="J9" s="1522">
        <v>0.43673338303243159</v>
      </c>
      <c r="K9" s="1522">
        <v>0.44561812776191789</v>
      </c>
      <c r="L9" s="1602">
        <v>0.44236882442485465</v>
      </c>
      <c r="M9" s="1602">
        <v>0.36176860247493237</v>
      </c>
      <c r="N9" s="1602">
        <v>0.48628270532584877</v>
      </c>
      <c r="O9" s="1602">
        <v>0.45682982676302392</v>
      </c>
      <c r="P9" s="1603">
        <v>0.46272840270564691</v>
      </c>
      <c r="Q9" s="1604">
        <v>0.44423811379912703</v>
      </c>
      <c r="R9" s="1605">
        <v>0.46629375603329665</v>
      </c>
      <c r="S9" s="1606">
        <v>0.56071596497778486</v>
      </c>
      <c r="T9" s="1606">
        <v>0.41726570574118654</v>
      </c>
      <c r="U9" s="1604">
        <v>0.60766415806527785</v>
      </c>
      <c r="V9" s="1604">
        <v>0.45505744419462146</v>
      </c>
    </row>
    <row r="10" spans="1:22">
      <c r="A10" s="133" t="s">
        <v>11777</v>
      </c>
      <c r="C10" s="1520">
        <v>0.62843152469846253</v>
      </c>
      <c r="D10" s="1520">
        <v>0.61728747660860661</v>
      </c>
      <c r="E10" s="1521">
        <v>0.60546854876272427</v>
      </c>
      <c r="F10" s="1521">
        <v>0.60775935587512175</v>
      </c>
      <c r="G10" s="1521">
        <v>0.60219901171316315</v>
      </c>
      <c r="H10" s="1521">
        <v>0.5999465385137378</v>
      </c>
      <c r="I10" s="1521">
        <v>0.60675246853036646</v>
      </c>
      <c r="J10" s="1522">
        <v>0.60249809676891075</v>
      </c>
      <c r="K10" s="1522">
        <v>0.60531616531311483</v>
      </c>
      <c r="L10" s="1607"/>
      <c r="M10" s="1607"/>
      <c r="N10" s="1607"/>
      <c r="O10" s="1607"/>
      <c r="P10" s="1608"/>
      <c r="Q10" s="1609"/>
      <c r="R10" s="1610"/>
      <c r="S10" s="1611"/>
      <c r="T10" s="1611"/>
      <c r="U10" s="1609"/>
      <c r="V10" s="1609"/>
    </row>
    <row r="11" spans="1:22">
      <c r="A11" s="137"/>
      <c r="B11" s="137" t="s">
        <v>11778</v>
      </c>
      <c r="C11" s="1669">
        <v>0.65431431700961984</v>
      </c>
      <c r="D11" s="1669">
        <v>0.65207905428662449</v>
      </c>
      <c r="E11" s="1670">
        <v>0.64828567331305409</v>
      </c>
      <c r="F11" s="1670">
        <v>0.67274029025840476</v>
      </c>
      <c r="G11" s="1670">
        <v>0.67097344295916739</v>
      </c>
      <c r="H11" s="1670">
        <v>0.68533850927060369</v>
      </c>
      <c r="I11" s="1670">
        <v>0.68698760598537567</v>
      </c>
      <c r="J11" s="1671">
        <v>0.68305373434585592</v>
      </c>
      <c r="K11" s="1671">
        <v>0.68405273105343745</v>
      </c>
      <c r="L11" s="1672">
        <v>0.3791907053614203</v>
      </c>
      <c r="M11" s="1672">
        <v>0.39189186322269048</v>
      </c>
      <c r="N11" s="1672">
        <v>0.39725495323651788</v>
      </c>
      <c r="O11" s="1672">
        <v>0.39041826485306613</v>
      </c>
      <c r="P11" s="1673">
        <v>0.36305027209818752</v>
      </c>
      <c r="Q11" s="1674">
        <v>0.40301259060192546</v>
      </c>
      <c r="R11" s="1675">
        <v>0.39626718027574331</v>
      </c>
      <c r="S11" s="1672">
        <v>0.38333840437818117</v>
      </c>
      <c r="T11" s="1672">
        <v>0.38487866127516851</v>
      </c>
      <c r="U11" s="1674">
        <v>0.38272686542304107</v>
      </c>
      <c r="V11" s="1674">
        <v>0.38007604092999825</v>
      </c>
    </row>
    <row r="12" spans="1:22">
      <c r="B12" s="133" t="s">
        <v>11779</v>
      </c>
      <c r="C12" s="1523">
        <v>0.60383187877746503</v>
      </c>
      <c r="D12" s="1523">
        <v>0.58387345307854366</v>
      </c>
      <c r="E12" s="1521">
        <v>0.56690346637951528</v>
      </c>
      <c r="F12" s="1521">
        <v>0.56160360565134138</v>
      </c>
      <c r="G12" s="1521">
        <v>0.55263720194657162</v>
      </c>
      <c r="H12" s="1521">
        <v>0.53928268308486826</v>
      </c>
      <c r="I12" s="1521">
        <v>0.55164124889352106</v>
      </c>
      <c r="J12" s="1522">
        <v>0.54806021378037473</v>
      </c>
      <c r="K12" s="1522">
        <v>0.55273845812034117</v>
      </c>
      <c r="L12" s="1602">
        <v>0.41693116441974554</v>
      </c>
      <c r="M12" s="1602">
        <v>0.40280685932405103</v>
      </c>
      <c r="N12" s="1602">
        <v>0.40726188156699128</v>
      </c>
      <c r="O12" s="1602">
        <v>0.42192993987554539</v>
      </c>
      <c r="P12" s="1676">
        <v>0.39661601177567068</v>
      </c>
      <c r="Q12" s="1677">
        <v>0.40289824964338156</v>
      </c>
      <c r="R12" s="1605">
        <v>0.39568446546657671</v>
      </c>
      <c r="S12" s="1602">
        <v>0.41521403680325863</v>
      </c>
      <c r="T12" s="1602">
        <v>0.448186012799758</v>
      </c>
      <c r="U12" s="1677">
        <v>0.41494543188432531</v>
      </c>
      <c r="V12" s="1677">
        <v>0.40521742079044631</v>
      </c>
    </row>
    <row r="13" spans="1:22">
      <c r="B13" s="133" t="s">
        <v>11780</v>
      </c>
      <c r="C13" s="1523">
        <v>0.56013729721993499</v>
      </c>
      <c r="D13" s="1523">
        <v>0.56055120290350391</v>
      </c>
      <c r="E13" s="1521">
        <v>0.54399784131002138</v>
      </c>
      <c r="F13" s="1521">
        <v>0.57521842652768251</v>
      </c>
      <c r="G13" s="1521">
        <v>0.56268122782176377</v>
      </c>
      <c r="H13" s="1521">
        <v>0.55102971080318053</v>
      </c>
      <c r="I13" s="1521">
        <v>0.56063426254828963</v>
      </c>
      <c r="J13" s="1522">
        <v>0.53705853444950424</v>
      </c>
      <c r="K13" s="1522">
        <v>0.55422508533308923</v>
      </c>
      <c r="L13" s="1602">
        <v>0.38829079407045569</v>
      </c>
      <c r="M13" s="1602">
        <v>0.39454260452761625</v>
      </c>
      <c r="N13" s="1602">
        <v>0.39105381023623581</v>
      </c>
      <c r="O13" s="1602">
        <v>0.39010234101669716</v>
      </c>
      <c r="P13" s="1676">
        <v>0.42310070101871688</v>
      </c>
      <c r="Q13" s="1677">
        <v>0.40610708530558898</v>
      </c>
      <c r="R13" s="1605">
        <v>0.42890679116147001</v>
      </c>
      <c r="S13" s="1602">
        <v>0.40433597826445639</v>
      </c>
      <c r="T13" s="1602">
        <v>0.44669349744059084</v>
      </c>
      <c r="U13" s="1677">
        <v>0.42656858959213484</v>
      </c>
      <c r="V13" s="1677">
        <v>0.41816452552825828</v>
      </c>
    </row>
    <row r="14" spans="1:22">
      <c r="B14" s="133" t="s">
        <v>11781</v>
      </c>
      <c r="C14" s="1523">
        <v>0.46596091807714463</v>
      </c>
      <c r="D14" s="1523">
        <v>0.46530777889342545</v>
      </c>
      <c r="E14" s="1521">
        <v>0.44601341821572477</v>
      </c>
      <c r="F14" s="1521">
        <v>0.45178515886921444</v>
      </c>
      <c r="G14" s="1521">
        <v>0.4402452434562662</v>
      </c>
      <c r="H14" s="1521">
        <v>0.42586461256541613</v>
      </c>
      <c r="I14" s="1521">
        <v>0.4008660802565665</v>
      </c>
      <c r="J14" s="1522">
        <v>0.41833527037786095</v>
      </c>
      <c r="K14" s="1522">
        <v>0.41792126053707751</v>
      </c>
      <c r="L14" s="1602">
        <v>0.3846754357089831</v>
      </c>
      <c r="M14" s="1602">
        <v>0.39971308118377696</v>
      </c>
      <c r="N14" s="1602">
        <v>0.39704333201629288</v>
      </c>
      <c r="O14" s="1602">
        <v>0.38943336548705126</v>
      </c>
      <c r="P14" s="1676">
        <v>0.40419284470573824</v>
      </c>
      <c r="Q14" s="1677">
        <v>0.34152468049224466</v>
      </c>
      <c r="R14" s="1605">
        <v>0.41048826526285648</v>
      </c>
      <c r="S14" s="1602">
        <v>0.36180307499026632</v>
      </c>
      <c r="T14" s="1602">
        <v>0.45194433377936333</v>
      </c>
      <c r="U14" s="1677">
        <v>0.42007609885867414</v>
      </c>
      <c r="V14" s="1677">
        <v>0.39904486492353086</v>
      </c>
    </row>
    <row r="15" spans="1:22">
      <c r="B15" s="133" t="s">
        <v>11782</v>
      </c>
      <c r="C15" s="1523">
        <v>0.56194376462968199</v>
      </c>
      <c r="D15" s="1523">
        <v>0.55464760672807045</v>
      </c>
      <c r="E15" s="1521">
        <v>0.55667851043441541</v>
      </c>
      <c r="F15" s="1521">
        <v>0.55554576767756747</v>
      </c>
      <c r="G15" s="1521">
        <v>0.55076669392647104</v>
      </c>
      <c r="H15" s="1521">
        <v>0.54245785335796093</v>
      </c>
      <c r="I15" s="1521">
        <v>0.5299778433655955</v>
      </c>
      <c r="J15" s="1522">
        <v>0.5210776462598844</v>
      </c>
      <c r="K15" s="1522">
        <v>0.50668523909217544</v>
      </c>
      <c r="L15" s="1602">
        <v>0.23059398494151126</v>
      </c>
      <c r="M15" s="1602">
        <v>0.27666120117110904</v>
      </c>
      <c r="N15" s="1602">
        <v>0.29032480360812324</v>
      </c>
      <c r="O15" s="1602">
        <v>0.22406801247326893</v>
      </c>
      <c r="P15" s="1676">
        <v>0.2160645071720407</v>
      </c>
      <c r="Q15" s="1677">
        <v>0.25017628413191501</v>
      </c>
      <c r="R15" s="1605">
        <v>0.29917666437889096</v>
      </c>
      <c r="S15" s="1602">
        <v>0.2594934097907261</v>
      </c>
      <c r="T15" s="1602">
        <v>0.28123760066794212</v>
      </c>
      <c r="U15" s="1677">
        <v>0.33796125066976407</v>
      </c>
      <c r="V15" s="1677">
        <v>0.36481440765311046</v>
      </c>
    </row>
    <row r="16" spans="1:22">
      <c r="B16" s="133" t="s">
        <v>11783</v>
      </c>
      <c r="C16" s="1523">
        <v>0.53378890589693129</v>
      </c>
      <c r="D16" s="1523">
        <v>0.52423215796602385</v>
      </c>
      <c r="E16" s="1521">
        <v>0.53810658009612045</v>
      </c>
      <c r="F16" s="1521">
        <v>0.54166503868094085</v>
      </c>
      <c r="G16" s="1521">
        <v>0.54177698379023276</v>
      </c>
      <c r="H16" s="1521">
        <v>0.52391423613388755</v>
      </c>
      <c r="I16" s="1521">
        <v>0.51288935993080009</v>
      </c>
      <c r="J16" s="1522">
        <v>0.50240365110118113</v>
      </c>
      <c r="K16" s="1522">
        <v>0.48617037412250202</v>
      </c>
      <c r="L16" s="1602">
        <v>0.43950053824121471</v>
      </c>
      <c r="M16" s="1602">
        <v>0.4217521179593432</v>
      </c>
      <c r="N16" s="1602">
        <v>0.45772191967340908</v>
      </c>
      <c r="O16" s="1602">
        <v>0.42746901199622656</v>
      </c>
      <c r="P16" s="1676">
        <v>0.39326066084079581</v>
      </c>
      <c r="Q16" s="1677">
        <v>0.5119073668283658</v>
      </c>
      <c r="R16" s="1605">
        <v>0.47941021587950211</v>
      </c>
      <c r="S16" s="1602">
        <v>0.51473404243002452</v>
      </c>
      <c r="T16" s="1602">
        <v>0.43749206884131847</v>
      </c>
      <c r="U16" s="1677">
        <v>0.48593867747480834</v>
      </c>
      <c r="V16" s="1677">
        <v>0.52807148396670855</v>
      </c>
    </row>
    <row r="17" spans="1:22">
      <c r="B17" s="133" t="s">
        <v>11784</v>
      </c>
      <c r="C17" s="1523">
        <v>0.59812738292630374</v>
      </c>
      <c r="D17" s="1523">
        <v>0.59551568457741699</v>
      </c>
      <c r="E17" s="1521">
        <v>0.58267985645660469</v>
      </c>
      <c r="F17" s="1521">
        <v>0.57707340227841963</v>
      </c>
      <c r="G17" s="1521">
        <v>0.56479626244954206</v>
      </c>
      <c r="H17" s="1521">
        <v>0.57217815158176433</v>
      </c>
      <c r="I17" s="1521">
        <v>0.55841539893832615</v>
      </c>
      <c r="J17" s="1522">
        <v>0.55301289292252565</v>
      </c>
      <c r="K17" s="1522">
        <v>0.54439876156430111</v>
      </c>
      <c r="L17" s="1602">
        <v>0.25444853060989614</v>
      </c>
      <c r="M17" s="1602">
        <v>0.25384712391061243</v>
      </c>
      <c r="N17" s="1602">
        <v>0.32845215233075464</v>
      </c>
      <c r="O17" s="1602">
        <v>0.26511520712939646</v>
      </c>
      <c r="P17" s="1676">
        <v>0.23436561333592365</v>
      </c>
      <c r="Q17" s="1677">
        <v>0.22302873410661703</v>
      </c>
      <c r="R17" s="1605">
        <v>0.29031625138528544</v>
      </c>
      <c r="S17" s="1602">
        <v>0.26318173895650948</v>
      </c>
      <c r="T17" s="1602">
        <v>0.25707992730739548</v>
      </c>
      <c r="U17" s="1677">
        <v>0.25736251503180435</v>
      </c>
      <c r="V17" s="1677">
        <v>0.25300164249480578</v>
      </c>
    </row>
    <row r="18" spans="1:22">
      <c r="B18" s="133" t="s">
        <v>11785</v>
      </c>
      <c r="C18" s="1523">
        <v>0.69071776319250033</v>
      </c>
      <c r="D18" s="1523">
        <v>0.68385240036995887</v>
      </c>
      <c r="E18" s="1521">
        <v>0.64858529525128017</v>
      </c>
      <c r="F18" s="1521">
        <v>0.66032430895121141</v>
      </c>
      <c r="G18" s="1521">
        <v>0.6729747090944519</v>
      </c>
      <c r="H18" s="1521">
        <v>0.66980465326661576</v>
      </c>
      <c r="I18" s="1521">
        <v>0.66506360323502711</v>
      </c>
      <c r="J18" s="1522">
        <v>0.66330460588018458</v>
      </c>
      <c r="K18" s="1522">
        <v>0.65754422605240459</v>
      </c>
      <c r="L18" s="1602">
        <v>0.40667256955630243</v>
      </c>
      <c r="M18" s="1602">
        <v>0.39391409231256641</v>
      </c>
      <c r="N18" s="1602">
        <v>0.3852000872026326</v>
      </c>
      <c r="O18" s="1602">
        <v>0.38637889563896399</v>
      </c>
      <c r="P18" s="1676">
        <v>0.37476638869327206</v>
      </c>
      <c r="Q18" s="1677">
        <v>0.41075474283263341</v>
      </c>
      <c r="R18" s="1605">
        <v>0.42904056734409624</v>
      </c>
      <c r="S18" s="1602">
        <v>0.43135529034686498</v>
      </c>
      <c r="T18" s="1602">
        <v>0.36363931090878432</v>
      </c>
      <c r="U18" s="1677">
        <v>0.41237253808083979</v>
      </c>
      <c r="V18" s="1677">
        <v>0.44640219637327372</v>
      </c>
    </row>
    <row r="19" spans="1:22">
      <c r="B19" s="133" t="s">
        <v>11786</v>
      </c>
      <c r="C19" s="1523">
        <v>0.84529047680858793</v>
      </c>
      <c r="D19" s="1523">
        <v>0.83383513637470141</v>
      </c>
      <c r="E19" s="1521">
        <v>0.8281355762777256</v>
      </c>
      <c r="F19" s="1521">
        <v>0.83351504806065235</v>
      </c>
      <c r="G19" s="1521">
        <v>0.8288211339636492</v>
      </c>
      <c r="H19" s="1521">
        <v>0.82562450599617321</v>
      </c>
      <c r="I19" s="1521">
        <v>0.82276255246831209</v>
      </c>
      <c r="J19" s="1522">
        <v>0.82270138727234365</v>
      </c>
      <c r="K19" s="1522">
        <v>0.82229128868818213</v>
      </c>
      <c r="L19" s="1602">
        <v>0.5031593891971905</v>
      </c>
      <c r="M19" s="1602">
        <v>0.46508638057330298</v>
      </c>
      <c r="N19" s="1602">
        <v>0.4712096649378591</v>
      </c>
      <c r="O19" s="1602">
        <v>0.4531709091669156</v>
      </c>
      <c r="P19" s="1676">
        <v>0.44167174549055055</v>
      </c>
      <c r="Q19" s="1677">
        <v>0.45324773611743202</v>
      </c>
      <c r="R19" s="1605">
        <v>0.51352510333929202</v>
      </c>
      <c r="S19" s="1602">
        <v>0.46694854849259421</v>
      </c>
      <c r="T19" s="1602">
        <v>0.44933036316714553</v>
      </c>
      <c r="U19" s="1677">
        <v>0.46885897503114449</v>
      </c>
      <c r="V19" s="1677">
        <v>0.4881772272167918</v>
      </c>
    </row>
    <row r="20" spans="1:22">
      <c r="B20" s="133" t="s">
        <v>11787</v>
      </c>
      <c r="C20" s="1523">
        <v>0.86905459073864266</v>
      </c>
      <c r="D20" s="1523">
        <v>0.8585731528003534</v>
      </c>
      <c r="E20" s="1521">
        <v>0.85808760094075331</v>
      </c>
      <c r="F20" s="1521">
        <v>0.86357489797342057</v>
      </c>
      <c r="G20" s="1521">
        <v>0.86151982482883849</v>
      </c>
      <c r="H20" s="1521">
        <v>0.85828893915914661</v>
      </c>
      <c r="I20" s="1521">
        <v>0.85219482710606287</v>
      </c>
      <c r="J20" s="1522">
        <v>0.84836436110479796</v>
      </c>
      <c r="K20" s="1522">
        <v>0.84707999950582602</v>
      </c>
      <c r="L20" s="1602">
        <v>0.22831728318905717</v>
      </c>
      <c r="M20" s="1602">
        <v>0.26935200843194185</v>
      </c>
      <c r="N20" s="1602">
        <v>0.34062925254325072</v>
      </c>
      <c r="O20" s="1602">
        <v>0.35577229631066543</v>
      </c>
      <c r="P20" s="1676">
        <v>0.26972674114428213</v>
      </c>
      <c r="Q20" s="1677">
        <v>0.32076683709268772</v>
      </c>
      <c r="R20" s="1605">
        <v>0.42312406425479765</v>
      </c>
      <c r="S20" s="1602">
        <v>0.26338702932712976</v>
      </c>
      <c r="T20" s="1602">
        <v>0.18304132590611991</v>
      </c>
      <c r="U20" s="1677">
        <v>0.21012114526598313</v>
      </c>
      <c r="V20" s="1677">
        <v>0.22700960369016038</v>
      </c>
    </row>
    <row r="21" spans="1:22">
      <c r="B21" s="133" t="s">
        <v>11788</v>
      </c>
      <c r="C21" s="1523">
        <v>0.69394407076384412</v>
      </c>
      <c r="D21" s="1523">
        <v>0.67753236724165655</v>
      </c>
      <c r="E21" s="1521">
        <v>0.64764032537717697</v>
      </c>
      <c r="F21" s="1521">
        <v>0.655711775411148</v>
      </c>
      <c r="G21" s="1521">
        <v>0.64488639157293537</v>
      </c>
      <c r="H21" s="1521">
        <v>0.64236197773069814</v>
      </c>
      <c r="I21" s="1521">
        <v>0.65531005736197034</v>
      </c>
      <c r="J21" s="1522">
        <v>0.68001325147547131</v>
      </c>
      <c r="K21" s="1522">
        <v>0.68846332703954993</v>
      </c>
      <c r="L21" s="1602">
        <v>0.35964413321385069</v>
      </c>
      <c r="M21" s="1602">
        <v>0.31061711067090314</v>
      </c>
      <c r="N21" s="1602">
        <v>0.31173183540174104</v>
      </c>
      <c r="O21" s="1602">
        <v>0.3325181424566282</v>
      </c>
      <c r="P21" s="1676">
        <v>0.31791568388894592</v>
      </c>
      <c r="Q21" s="1677">
        <v>0.29939174219605413</v>
      </c>
      <c r="R21" s="1605">
        <v>0.4056586791457647</v>
      </c>
      <c r="S21" s="1602">
        <v>0.3823899829792704</v>
      </c>
      <c r="T21" s="1602">
        <v>0.37618703169694245</v>
      </c>
      <c r="U21" s="1677">
        <v>0.31974412462350066</v>
      </c>
      <c r="V21" s="1677">
        <v>0.33163342692485903</v>
      </c>
    </row>
    <row r="22" spans="1:22">
      <c r="B22" s="133" t="s">
        <v>11789</v>
      </c>
      <c r="C22" s="1523">
        <v>0.70440993821507891</v>
      </c>
      <c r="D22" s="1523">
        <v>0.70765162841145601</v>
      </c>
      <c r="E22" s="1521">
        <v>0.70672364795529474</v>
      </c>
      <c r="F22" s="1521">
        <v>0.70217073445056799</v>
      </c>
      <c r="G22" s="1521">
        <v>0.69288753111694312</v>
      </c>
      <c r="H22" s="1521">
        <v>0.68715871252873928</v>
      </c>
      <c r="I22" s="1521">
        <v>0.68630153987482423</v>
      </c>
      <c r="J22" s="1522">
        <v>0.68963249977150676</v>
      </c>
      <c r="K22" s="1522">
        <v>0.68110801537381083</v>
      </c>
      <c r="L22" s="1602">
        <v>0.30340726645792276</v>
      </c>
      <c r="M22" s="1602">
        <v>0.25490076080352175</v>
      </c>
      <c r="N22" s="1602">
        <v>0.28352992577060582</v>
      </c>
      <c r="O22" s="1602">
        <v>0.33057435253834944</v>
      </c>
      <c r="P22" s="1676">
        <v>0.41118881641782928</v>
      </c>
      <c r="Q22" s="1677">
        <v>0.31428360106642439</v>
      </c>
      <c r="R22" s="1605">
        <v>0.45033279922741515</v>
      </c>
      <c r="S22" s="1602">
        <v>0.40115070083278359</v>
      </c>
      <c r="T22" s="1602">
        <v>0.41131476970048253</v>
      </c>
      <c r="U22" s="1677">
        <v>0.28358512344159464</v>
      </c>
      <c r="V22" s="1677">
        <v>0.3502222371764166</v>
      </c>
    </row>
    <row r="23" spans="1:22">
      <c r="B23" s="133" t="s">
        <v>11790</v>
      </c>
      <c r="C23" s="1523">
        <v>0.7565709494003241</v>
      </c>
      <c r="D23" s="1523">
        <v>0.75868270492376411</v>
      </c>
      <c r="E23" s="1521">
        <v>0.76363917350193544</v>
      </c>
      <c r="F23" s="1521">
        <v>0.73334726721705512</v>
      </c>
      <c r="G23" s="1521">
        <v>0.75659196784702976</v>
      </c>
      <c r="H23" s="1521">
        <v>0.75847093830761636</v>
      </c>
      <c r="I23" s="1521">
        <v>0.7613592926636148</v>
      </c>
      <c r="J23" s="1522">
        <v>0.75287082829550411</v>
      </c>
      <c r="K23" s="1522">
        <v>0.75149442770309294</v>
      </c>
      <c r="L23" s="1602">
        <v>0.42738195827856873</v>
      </c>
      <c r="M23" s="1602">
        <v>0.44785441952686206</v>
      </c>
      <c r="N23" s="1602">
        <v>0.39846005131352352</v>
      </c>
      <c r="O23" s="1602">
        <v>0.40786335625162151</v>
      </c>
      <c r="P23" s="1676">
        <v>0.3803345094472948</v>
      </c>
      <c r="Q23" s="1677">
        <v>0.37534077313980624</v>
      </c>
      <c r="R23" s="1605">
        <v>0.36384114362227754</v>
      </c>
      <c r="S23" s="1602">
        <v>0.52093940387338966</v>
      </c>
      <c r="T23" s="1602">
        <v>0.5112911780307664</v>
      </c>
      <c r="U23" s="1677">
        <v>0.46763592787769531</v>
      </c>
      <c r="V23" s="1677">
        <v>0.44190483306909029</v>
      </c>
    </row>
    <row r="24" spans="1:22">
      <c r="B24" s="133" t="s">
        <v>11791</v>
      </c>
      <c r="C24" s="1523">
        <v>0.80592152507370685</v>
      </c>
      <c r="D24" s="1523">
        <v>0.81000376579105315</v>
      </c>
      <c r="E24" s="1521">
        <v>0.81217802550460261</v>
      </c>
      <c r="F24" s="1521">
        <v>0.79737579980198903</v>
      </c>
      <c r="G24" s="1521">
        <v>0.8109849026272361</v>
      </c>
      <c r="H24" s="1521">
        <v>0.81036820924078379</v>
      </c>
      <c r="I24" s="1521">
        <v>0.81813917420324744</v>
      </c>
      <c r="J24" s="1522">
        <v>0.81284445539940453</v>
      </c>
      <c r="K24" s="1522">
        <v>0.81460193890413723</v>
      </c>
      <c r="L24" s="1602">
        <v>0.44740197415592153</v>
      </c>
      <c r="M24" s="1602">
        <v>0.45524836786691714</v>
      </c>
      <c r="N24" s="1602">
        <v>0.39989877811490016</v>
      </c>
      <c r="O24" s="1602">
        <v>0.47780722792654867</v>
      </c>
      <c r="P24" s="1676">
        <v>0.5053279542348732</v>
      </c>
      <c r="Q24" s="1677">
        <v>0.61338530690000304</v>
      </c>
      <c r="R24" s="1605">
        <v>0.42833621305978753</v>
      </c>
      <c r="S24" s="1602">
        <v>0.49940222030878945</v>
      </c>
      <c r="T24" s="1602">
        <v>0.59256373081285407</v>
      </c>
      <c r="U24" s="1677">
        <v>0.572338824616347</v>
      </c>
      <c r="V24" s="1677">
        <v>0.52617260339081606</v>
      </c>
    </row>
    <row r="25" spans="1:22">
      <c r="A25" s="520"/>
      <c r="B25" s="520" t="s">
        <v>11792</v>
      </c>
      <c r="C25" s="1687">
        <v>0.65114172391492131</v>
      </c>
      <c r="D25" s="1687">
        <v>0.65251033601864405</v>
      </c>
      <c r="E25" s="1688">
        <v>0.65732516457646817</v>
      </c>
      <c r="F25" s="1688">
        <v>0.66376940940910822</v>
      </c>
      <c r="G25" s="1688">
        <v>0.67158565640927692</v>
      </c>
      <c r="H25" s="1688">
        <v>0.658177165650636</v>
      </c>
      <c r="I25" s="1688">
        <v>0.63665692722028455</v>
      </c>
      <c r="J25" s="1689">
        <v>0.6373048877387123</v>
      </c>
      <c r="K25" s="1689">
        <v>0.63100600332135148</v>
      </c>
      <c r="L25" s="1690">
        <v>0.4163171985197649</v>
      </c>
      <c r="M25" s="1690">
        <v>0.4176113408769318</v>
      </c>
      <c r="N25" s="1690">
        <v>0.39400231216224429</v>
      </c>
      <c r="O25" s="1690">
        <v>0.37980769419652499</v>
      </c>
      <c r="P25" s="1691">
        <v>0.38007232012562159</v>
      </c>
      <c r="Q25" s="1692">
        <v>0.39710464066531403</v>
      </c>
      <c r="R25" s="1693">
        <v>0.45047186261514799</v>
      </c>
      <c r="S25" s="1690">
        <v>0.44408020699835038</v>
      </c>
      <c r="T25" s="1690">
        <v>0.41339431269511134</v>
      </c>
      <c r="U25" s="1692">
        <v>0.41068201723659381</v>
      </c>
      <c r="V25" s="1692">
        <v>0.43829124004598974</v>
      </c>
    </row>
    <row r="26" spans="1:22">
      <c r="A26" s="144" t="s">
        <v>11793</v>
      </c>
      <c r="B26" s="144"/>
      <c r="C26" s="1678">
        <v>0.60256831011265255</v>
      </c>
      <c r="D26" s="1678">
        <v>0.60471730200958429</v>
      </c>
      <c r="E26" s="1679">
        <v>0.60060129884574986</v>
      </c>
      <c r="F26" s="1679">
        <v>0.60652808261224211</v>
      </c>
      <c r="G26" s="1679">
        <v>0.60133608501003932</v>
      </c>
      <c r="H26" s="1679">
        <v>0.59882043970886167</v>
      </c>
      <c r="I26" s="1679">
        <v>0.58938031227107035</v>
      </c>
      <c r="J26" s="1680">
        <v>0.58410429348177384</v>
      </c>
      <c r="K26" s="1680">
        <v>0.58469398497480374</v>
      </c>
      <c r="L26" s="1681">
        <v>0.45221261365407717</v>
      </c>
      <c r="M26" s="1681">
        <v>0.49671112558287384</v>
      </c>
      <c r="N26" s="1681">
        <v>0.53573228341980883</v>
      </c>
      <c r="O26" s="1681">
        <v>0.54140955452056072</v>
      </c>
      <c r="P26" s="1682">
        <v>0.55739939796883098</v>
      </c>
      <c r="Q26" s="1683">
        <v>0.54025556427165955</v>
      </c>
      <c r="R26" s="1684">
        <v>0.54369148835826941</v>
      </c>
      <c r="S26" s="1681">
        <v>0.47428529381044848</v>
      </c>
      <c r="T26" s="1681">
        <v>0.40385929831463924</v>
      </c>
      <c r="U26" s="1683">
        <v>0.48356467191359714</v>
      </c>
      <c r="V26" s="1683">
        <v>0.49289554488546422</v>
      </c>
    </row>
    <row r="27" spans="1:22">
      <c r="A27" s="137"/>
      <c r="B27" s="137" t="s">
        <v>11794</v>
      </c>
      <c r="C27" s="1669">
        <v>0.5294928283326632</v>
      </c>
      <c r="D27" s="1669">
        <v>0.5256810788887738</v>
      </c>
      <c r="E27" s="1670">
        <v>0.52173293773339136</v>
      </c>
      <c r="F27" s="1670">
        <v>0.53157597669569534</v>
      </c>
      <c r="G27" s="1670">
        <v>0.53777745498993534</v>
      </c>
      <c r="H27" s="1670">
        <v>0.52224812255702391</v>
      </c>
      <c r="I27" s="1670">
        <v>0.51557142310936532</v>
      </c>
      <c r="J27" s="1671">
        <v>0.51587337586184612</v>
      </c>
      <c r="K27" s="1671">
        <v>0.51256109032584407</v>
      </c>
      <c r="L27" s="1694">
        <v>0.5265406012299646</v>
      </c>
      <c r="M27" s="1694">
        <v>0.53630864834334069</v>
      </c>
      <c r="N27" s="1694">
        <v>0.53014978043507133</v>
      </c>
      <c r="O27" s="1694">
        <v>0.52595584255476224</v>
      </c>
      <c r="P27" s="1695">
        <v>0.52453469610198444</v>
      </c>
      <c r="Q27" s="1696">
        <v>0.54263861213366482</v>
      </c>
      <c r="R27" s="1697">
        <v>0.52273660056231286</v>
      </c>
      <c r="S27" s="1694">
        <f>R27*S26/R26</f>
        <v>0.45600545068639886</v>
      </c>
      <c r="T27" s="1694">
        <f t="shared" ref="T27:V27" si="0">S27*T26/S26</f>
        <v>0.38829380490018217</v>
      </c>
      <c r="U27" s="1694">
        <f t="shared" si="0"/>
        <v>0.46492718418570261</v>
      </c>
      <c r="V27" s="1694">
        <f t="shared" si="0"/>
        <v>0.47389842784508185</v>
      </c>
    </row>
    <row r="28" spans="1:22">
      <c r="A28" s="144"/>
      <c r="B28" s="144" t="s">
        <v>11795</v>
      </c>
      <c r="C28" s="1678">
        <v>0.66200026316183957</v>
      </c>
      <c r="D28" s="1678">
        <v>0.62995360696957892</v>
      </c>
      <c r="E28" s="1679">
        <v>0.61274457227152401</v>
      </c>
      <c r="F28" s="1679">
        <v>0.59072921535345579</v>
      </c>
      <c r="G28" s="1679">
        <v>0.63761983877119599</v>
      </c>
      <c r="H28" s="1679">
        <v>0.60182386984339697</v>
      </c>
      <c r="I28" s="1679">
        <v>0.59340908161297679</v>
      </c>
      <c r="J28" s="1680">
        <v>0.57532926171738719</v>
      </c>
      <c r="K28" s="1680">
        <v>0.57636006820448482</v>
      </c>
      <c r="L28" s="1698">
        <v>0.62907417192037307</v>
      </c>
      <c r="M28" s="1698">
        <v>0.64462092387834835</v>
      </c>
      <c r="N28" s="1698">
        <v>0.63731294118274651</v>
      </c>
      <c r="O28" s="1698">
        <v>0.632453821787066</v>
      </c>
      <c r="P28" s="1699">
        <v>0.61508334238513263</v>
      </c>
      <c r="Q28" s="1700">
        <v>0.65576380132404455</v>
      </c>
      <c r="R28" s="1701">
        <v>0.62028100322481394</v>
      </c>
      <c r="S28" s="1698">
        <f>R28*S26/R26</f>
        <v>0.54109759699909432</v>
      </c>
      <c r="T28" s="1698">
        <f t="shared" ref="T28:V28" si="1">S28*T26/S26</f>
        <v>0.46075073103811581</v>
      </c>
      <c r="U28" s="1698">
        <f t="shared" si="1"/>
        <v>0.55168415588840802</v>
      </c>
      <c r="V28" s="1698">
        <f t="shared" si="1"/>
        <v>0.56232946369969961</v>
      </c>
    </row>
    <row r="29" spans="1:22">
      <c r="A29" s="133" t="s">
        <v>11796</v>
      </c>
      <c r="C29" s="1520">
        <v>0.45248975563708138</v>
      </c>
      <c r="D29" s="1520">
        <v>0.45184355344710414</v>
      </c>
      <c r="E29" s="1521">
        <v>0.4470121891572747</v>
      </c>
      <c r="F29" s="1521">
        <v>0.46912705765248203</v>
      </c>
      <c r="G29" s="1521">
        <v>0.46288921038210779</v>
      </c>
      <c r="H29" s="1521">
        <v>0.44685984540078694</v>
      </c>
      <c r="I29" s="1521">
        <v>0.44032889940312864</v>
      </c>
      <c r="J29" s="1522">
        <v>0.43673338303243159</v>
      </c>
      <c r="K29" s="1522">
        <v>0.44561812776191789</v>
      </c>
      <c r="L29" s="1602">
        <v>0.45347569361684498</v>
      </c>
      <c r="M29" s="1602">
        <v>0.49870717045385327</v>
      </c>
      <c r="N29" s="1602">
        <v>0.47094253821075877</v>
      </c>
      <c r="O29" s="1602">
        <v>0.45961352734728411</v>
      </c>
      <c r="P29" s="1603">
        <v>0.47890778328402467</v>
      </c>
      <c r="Q29" s="1604">
        <v>0.46923876850991852</v>
      </c>
      <c r="R29" s="1605">
        <v>0.41730736680796759</v>
      </c>
      <c r="S29" s="1606">
        <v>0.3497191657003812</v>
      </c>
      <c r="T29" s="1606">
        <v>0.31649203555467526</v>
      </c>
      <c r="U29" s="1604">
        <v>0.31097518369862048</v>
      </c>
      <c r="V29" s="1604">
        <v>0.29951234102638707</v>
      </c>
    </row>
    <row r="30" spans="1:22">
      <c r="A30" s="133" t="s">
        <v>11797</v>
      </c>
      <c r="C30" s="1520">
        <v>0.62843152469846253</v>
      </c>
      <c r="D30" s="1520">
        <v>0.61728747660860661</v>
      </c>
      <c r="E30" s="1521">
        <v>0.60546854876272427</v>
      </c>
      <c r="F30" s="1521">
        <v>0.60775935587512175</v>
      </c>
      <c r="G30" s="1521">
        <v>0.60219901171316315</v>
      </c>
      <c r="H30" s="1521">
        <v>0.5999465385137378</v>
      </c>
      <c r="I30" s="1521">
        <v>0.60675246853036646</v>
      </c>
      <c r="J30" s="1522">
        <v>0.60249809676891075</v>
      </c>
      <c r="K30" s="1522">
        <v>0.60531616531311483</v>
      </c>
      <c r="L30" s="1602">
        <v>0.60609625488440588</v>
      </c>
      <c r="M30" s="1602">
        <v>0.60838351608285146</v>
      </c>
      <c r="N30" s="1602">
        <v>0.63149242398404248</v>
      </c>
      <c r="O30" s="1602">
        <v>0.6192709097469985</v>
      </c>
      <c r="P30" s="1603">
        <v>0.59106736094237222</v>
      </c>
      <c r="Q30" s="1604">
        <v>0.56542771008009429</v>
      </c>
      <c r="R30" s="1605">
        <v>0.61548525123525133</v>
      </c>
      <c r="S30" s="1606">
        <v>0.62648384133407287</v>
      </c>
      <c r="T30" s="1606">
        <v>0.62479985253414005</v>
      </c>
      <c r="U30" s="1604">
        <v>0.59595383621803677</v>
      </c>
      <c r="V30" s="1604">
        <v>0.5671202283588036</v>
      </c>
    </row>
    <row r="31" spans="1:22">
      <c r="A31" s="1477"/>
      <c r="B31" s="1477" t="s">
        <v>11798</v>
      </c>
      <c r="C31" s="1669">
        <v>0.65431431700961984</v>
      </c>
      <c r="D31" s="1669">
        <v>0.65207905428662449</v>
      </c>
      <c r="E31" s="1670">
        <v>0.64828567331305409</v>
      </c>
      <c r="F31" s="1670">
        <v>0.67274029025840476</v>
      </c>
      <c r="G31" s="1670">
        <v>0.67097344295916739</v>
      </c>
      <c r="H31" s="1670">
        <v>0.68533850927060369</v>
      </c>
      <c r="I31" s="1670">
        <v>0.68698760598537567</v>
      </c>
      <c r="J31" s="1671">
        <v>0.68305373434585592</v>
      </c>
      <c r="K31" s="1671">
        <v>0.68405273105343745</v>
      </c>
      <c r="L31" s="1694">
        <v>0.69481909808851461</v>
      </c>
      <c r="M31" s="1694">
        <v>0.69320849930507222</v>
      </c>
      <c r="N31" s="1694">
        <v>0.69567749008250301</v>
      </c>
      <c r="O31" s="1694">
        <v>0.68651319515531561</v>
      </c>
      <c r="P31" s="1695">
        <v>0.68211800795836641</v>
      </c>
      <c r="Q31" s="1696">
        <v>0.6925120796941816</v>
      </c>
      <c r="R31" s="1697">
        <v>0.69543048412804864</v>
      </c>
      <c r="S31" s="1694">
        <f>R31*S30/R30</f>
        <v>0.7078576784788454</v>
      </c>
      <c r="T31" s="1694">
        <f t="shared" ref="T31:V31" si="2">S31*T30/S30</f>
        <v>0.70595495677421782</v>
      </c>
      <c r="U31" s="1694">
        <f t="shared" si="2"/>
        <v>0.67336213825969948</v>
      </c>
      <c r="V31" s="1694">
        <f t="shared" si="2"/>
        <v>0.64078333993356273</v>
      </c>
    </row>
    <row r="32" spans="1:22">
      <c r="A32" s="739"/>
      <c r="B32" s="739" t="s">
        <v>11799</v>
      </c>
      <c r="C32" s="1678">
        <v>0.60383187877746503</v>
      </c>
      <c r="D32" s="1678">
        <v>0.58387345307854366</v>
      </c>
      <c r="E32" s="1679">
        <v>0.56690346637951528</v>
      </c>
      <c r="F32" s="1679">
        <v>0.56160360565134138</v>
      </c>
      <c r="G32" s="1679">
        <v>0.55263720194657162</v>
      </c>
      <c r="H32" s="1679">
        <v>0.53928268308486826</v>
      </c>
      <c r="I32" s="1679">
        <v>0.55164124889352106</v>
      </c>
      <c r="J32" s="1680">
        <v>0.54806021378037473</v>
      </c>
      <c r="K32" s="1680">
        <v>0.55273845812034117</v>
      </c>
      <c r="L32" s="1698">
        <v>0.56024977324625125</v>
      </c>
      <c r="M32" s="1698">
        <v>0.57051827026824864</v>
      </c>
      <c r="N32" s="1698">
        <v>0.57159026782827571</v>
      </c>
      <c r="O32" s="1698">
        <v>0.55007439597731167</v>
      </c>
      <c r="P32" s="1699">
        <v>0.54868781811769762</v>
      </c>
      <c r="Q32" s="1700">
        <v>0.53636697729487059</v>
      </c>
      <c r="R32" s="1701">
        <v>0.54043796394473731</v>
      </c>
      <c r="S32" s="1698">
        <f>R32*S30/R30</f>
        <v>0.55009547503430511</v>
      </c>
      <c r="T32" s="1698">
        <f t="shared" ref="T32:V32" si="3">S32*T30/S30</f>
        <v>0.54861681819157027</v>
      </c>
      <c r="U32" s="1698">
        <f t="shared" si="3"/>
        <v>0.52328805150787783</v>
      </c>
      <c r="V32" s="1698">
        <f t="shared" si="3"/>
        <v>0.49797018029430934</v>
      </c>
    </row>
    <row r="33" spans="1:22">
      <c r="A33" s="740" t="s">
        <v>11800</v>
      </c>
      <c r="B33" s="740"/>
      <c r="C33" s="1520">
        <v>0.56013729721993499</v>
      </c>
      <c r="D33" s="1520">
        <v>0.56055120290350391</v>
      </c>
      <c r="E33" s="1521">
        <v>0.54399784131002138</v>
      </c>
      <c r="F33" s="1521">
        <v>0.57521842652768251</v>
      </c>
      <c r="G33" s="1521">
        <v>0.56268122782176377</v>
      </c>
      <c r="H33" s="1521">
        <v>0.55102971080318053</v>
      </c>
      <c r="I33" s="1521">
        <v>0.56063426254828963</v>
      </c>
      <c r="J33" s="1522">
        <v>0.53705853444950424</v>
      </c>
      <c r="K33" s="1522">
        <v>0.55422508533308923</v>
      </c>
      <c r="L33" s="1602">
        <v>0.55515834812326781</v>
      </c>
      <c r="M33" s="1602">
        <v>0.56707281251609643</v>
      </c>
      <c r="N33" s="1602">
        <v>0.60318061069906725</v>
      </c>
      <c r="O33" s="1602">
        <v>0.55481800916337853</v>
      </c>
      <c r="P33" s="1603">
        <v>0.62404657124464658</v>
      </c>
      <c r="Q33" s="1604">
        <v>0.45603573845772688</v>
      </c>
      <c r="R33" s="1605">
        <v>0.6256669536044881</v>
      </c>
      <c r="S33" s="1606">
        <v>0.58182949915383952</v>
      </c>
      <c r="T33" s="1606">
        <v>0.59112352285345715</v>
      </c>
      <c r="U33" s="1604">
        <v>0.51436646414737008</v>
      </c>
      <c r="V33" s="1604">
        <v>0.52781634998811422</v>
      </c>
    </row>
    <row r="34" spans="1:22">
      <c r="A34" s="133" t="s">
        <v>11801</v>
      </c>
      <c r="C34" s="1520">
        <v>0.46596091807714463</v>
      </c>
      <c r="D34" s="1520">
        <v>0.46530777889342545</v>
      </c>
      <c r="E34" s="1521">
        <v>0.44601341821572477</v>
      </c>
      <c r="F34" s="1521">
        <v>0.45178515886921444</v>
      </c>
      <c r="G34" s="1521">
        <v>0.4402452434562662</v>
      </c>
      <c r="H34" s="1521">
        <v>0.42586461256541613</v>
      </c>
      <c r="I34" s="1521">
        <v>0.4008660802565665</v>
      </c>
      <c r="J34" s="1522">
        <v>0.41833527037786095</v>
      </c>
      <c r="K34" s="1522">
        <v>0.41792126053707751</v>
      </c>
      <c r="L34" s="1602">
        <v>0.40874225016291743</v>
      </c>
      <c r="M34" s="1602">
        <v>0.44956064690535008</v>
      </c>
      <c r="N34" s="1602">
        <v>0.44198452180234343</v>
      </c>
      <c r="O34" s="1602">
        <v>0.46104521282928207</v>
      </c>
      <c r="P34" s="1603">
        <v>0.40055743044626091</v>
      </c>
      <c r="Q34" s="1604">
        <v>0.30911112345101804</v>
      </c>
      <c r="R34" s="1605">
        <v>0.31730548760198529</v>
      </c>
      <c r="S34" s="1606">
        <v>0.44571401210332423</v>
      </c>
      <c r="T34" s="1606">
        <v>0.38846511285696367</v>
      </c>
      <c r="U34" s="1604">
        <v>0.37738689043225621</v>
      </c>
      <c r="V34" s="1604">
        <v>0.448681637859488</v>
      </c>
    </row>
    <row r="35" spans="1:22">
      <c r="A35" s="133" t="s">
        <v>11802</v>
      </c>
      <c r="C35" s="1520">
        <v>0.56194376462968199</v>
      </c>
      <c r="D35" s="1520">
        <v>0.55464760672807045</v>
      </c>
      <c r="E35" s="1521">
        <v>0.55667851043441541</v>
      </c>
      <c r="F35" s="1521">
        <v>0.55554576767756747</v>
      </c>
      <c r="G35" s="1521">
        <v>0.55076669392647104</v>
      </c>
      <c r="H35" s="1521">
        <v>0.54245785335796093</v>
      </c>
      <c r="I35" s="1521">
        <v>0.5299778433655955</v>
      </c>
      <c r="J35" s="1522">
        <v>0.5210776462598844</v>
      </c>
      <c r="K35" s="1522">
        <v>0.50668523909217544</v>
      </c>
      <c r="L35" s="1602">
        <v>0.49792177789224895</v>
      </c>
      <c r="M35" s="1602">
        <v>0.51191010732071818</v>
      </c>
      <c r="N35" s="1602">
        <v>0.4953301744776013</v>
      </c>
      <c r="O35" s="1602">
        <v>0.50581540090582322</v>
      </c>
      <c r="P35" s="1603">
        <v>0.47136115595074735</v>
      </c>
      <c r="Q35" s="1604">
        <v>0.49220585449983156</v>
      </c>
      <c r="R35" s="1605">
        <v>0.49239656078626592</v>
      </c>
      <c r="S35" s="1606">
        <v>0.432954886942852</v>
      </c>
      <c r="T35" s="1606">
        <v>0.45913141024145482</v>
      </c>
      <c r="U35" s="1604">
        <v>0.52812467736112834</v>
      </c>
      <c r="V35" s="1604">
        <v>0.48962402835977609</v>
      </c>
    </row>
    <row r="36" spans="1:22">
      <c r="A36" s="137"/>
      <c r="B36" s="137" t="s">
        <v>11803</v>
      </c>
      <c r="C36" s="1669">
        <v>0.53378890589693129</v>
      </c>
      <c r="D36" s="1669">
        <v>0.52423215796602385</v>
      </c>
      <c r="E36" s="1670">
        <v>0.53810658009612045</v>
      </c>
      <c r="F36" s="1670">
        <v>0.54166503868094085</v>
      </c>
      <c r="G36" s="1670">
        <v>0.54177698379023276</v>
      </c>
      <c r="H36" s="1670">
        <v>0.52391423613388755</v>
      </c>
      <c r="I36" s="1670">
        <v>0.51288935993080009</v>
      </c>
      <c r="J36" s="1671">
        <v>0.50240365110118113</v>
      </c>
      <c r="K36" s="1671">
        <v>0.48617037412250202</v>
      </c>
      <c r="L36" s="1694">
        <v>0.47843807196168475</v>
      </c>
      <c r="M36" s="1694">
        <v>0.48027365465960015</v>
      </c>
      <c r="N36" s="1694">
        <v>0.46972782768640203</v>
      </c>
      <c r="O36" s="1694">
        <v>0.44891501134711986</v>
      </c>
      <c r="P36" s="1695">
        <v>0.43343323064778161</v>
      </c>
      <c r="Q36" s="1696">
        <v>0.45110264546087075</v>
      </c>
      <c r="R36" s="1697">
        <v>0.43685162367343694</v>
      </c>
      <c r="S36" s="1694">
        <f>R36*S35/R35</f>
        <v>0.38411528511961468</v>
      </c>
      <c r="T36" s="1694">
        <f t="shared" ref="T36:V36" si="4">S36*T35/S35</f>
        <v>0.40733895810153031</v>
      </c>
      <c r="U36" s="1694">
        <f t="shared" si="4"/>
        <v>0.46854941967672253</v>
      </c>
      <c r="V36" s="1694">
        <f t="shared" si="4"/>
        <v>0.43439184757291888</v>
      </c>
    </row>
    <row r="37" spans="1:22">
      <c r="A37" s="144"/>
      <c r="B37" s="144" t="s">
        <v>11804</v>
      </c>
      <c r="C37" s="1678">
        <v>0.59812738292630374</v>
      </c>
      <c r="D37" s="1678">
        <v>0.59551568457741699</v>
      </c>
      <c r="E37" s="1679">
        <v>0.58267985645660469</v>
      </c>
      <c r="F37" s="1679">
        <v>0.57707340227841963</v>
      </c>
      <c r="G37" s="1679">
        <v>0.56479626244954206</v>
      </c>
      <c r="H37" s="1679">
        <v>0.57217815158176433</v>
      </c>
      <c r="I37" s="1679">
        <v>0.55841539893832615</v>
      </c>
      <c r="J37" s="1680">
        <v>0.55301289292252565</v>
      </c>
      <c r="K37" s="1680">
        <v>0.54439876156430111</v>
      </c>
      <c r="L37" s="1698">
        <v>0.54358830291190074</v>
      </c>
      <c r="M37" s="1698">
        <v>0.54280916988753558</v>
      </c>
      <c r="N37" s="1698">
        <v>0.53760714716890012</v>
      </c>
      <c r="O37" s="1698">
        <v>0.54320964803498761</v>
      </c>
      <c r="P37" s="1699">
        <v>0.54453423924565636</v>
      </c>
      <c r="Q37" s="1700">
        <v>0.53860404489307878</v>
      </c>
      <c r="R37" s="1701">
        <v>0.55577018639592324</v>
      </c>
      <c r="S37" s="1698">
        <f>R37*S35/R35</f>
        <v>0.48867810496690672</v>
      </c>
      <c r="T37" s="1698">
        <f t="shared" ref="T37:V37" si="5">S37*T35/S35</f>
        <v>0.51822366314389934</v>
      </c>
      <c r="U37" s="1698">
        <f t="shared" si="5"/>
        <v>0.59609667035161784</v>
      </c>
      <c r="V37" s="1698">
        <f t="shared" si="5"/>
        <v>0.55264081672486287</v>
      </c>
    </row>
    <row r="38" spans="1:22">
      <c r="A38" s="133" t="s">
        <v>11805</v>
      </c>
      <c r="C38" s="1520">
        <v>0.69071776319250033</v>
      </c>
      <c r="D38" s="1520">
        <v>0.68385240036995887</v>
      </c>
      <c r="E38" s="1521">
        <v>0.64858529525128017</v>
      </c>
      <c r="F38" s="1521">
        <v>0.66032430895121141</v>
      </c>
      <c r="G38" s="1521">
        <v>0.6729747090944519</v>
      </c>
      <c r="H38" s="1521">
        <v>0.66980465326661576</v>
      </c>
      <c r="I38" s="1521">
        <v>0.66506360323502711</v>
      </c>
      <c r="J38" s="1522">
        <v>0.66330460588018458</v>
      </c>
      <c r="K38" s="1522">
        <v>0.65754422605240459</v>
      </c>
      <c r="L38" s="1602">
        <v>0.66185817277069781</v>
      </c>
      <c r="M38" s="1602">
        <v>0.62759696168822132</v>
      </c>
      <c r="N38" s="1602">
        <v>0.63404286481492445</v>
      </c>
      <c r="O38" s="1602">
        <v>0.63087901353065745</v>
      </c>
      <c r="P38" s="1603">
        <v>0.65658947629672959</v>
      </c>
      <c r="Q38" s="1604">
        <v>0.64011133614125471</v>
      </c>
      <c r="R38" s="1605">
        <v>0.63277299244060614</v>
      </c>
      <c r="S38" s="1606">
        <v>0.69192862723616144</v>
      </c>
      <c r="T38" s="1606">
        <v>0.69873649020148831</v>
      </c>
      <c r="U38" s="1604">
        <v>0.6648993620757474</v>
      </c>
      <c r="V38" s="1604">
        <v>0.66599898510611655</v>
      </c>
    </row>
    <row r="39" spans="1:22">
      <c r="A39" s="133" t="s">
        <v>11806</v>
      </c>
      <c r="C39" s="1520">
        <v>0.84529047680858793</v>
      </c>
      <c r="D39" s="1520">
        <v>0.83383513637470141</v>
      </c>
      <c r="E39" s="1521">
        <v>0.8281355762777256</v>
      </c>
      <c r="F39" s="1521">
        <v>0.83351504806065235</v>
      </c>
      <c r="G39" s="1521">
        <v>0.8288211339636492</v>
      </c>
      <c r="H39" s="1521">
        <v>0.82562450599617321</v>
      </c>
      <c r="I39" s="1521">
        <v>0.82276255246831209</v>
      </c>
      <c r="J39" s="1522">
        <v>0.82270138727234365</v>
      </c>
      <c r="K39" s="1522">
        <v>0.82229128868818213</v>
      </c>
      <c r="L39" s="1602">
        <v>0.82944333009037707</v>
      </c>
      <c r="M39" s="1602">
        <v>0.82568478636633635</v>
      </c>
      <c r="N39" s="1602">
        <v>0.82353586685750668</v>
      </c>
      <c r="O39" s="1602">
        <v>0.82845217450335351</v>
      </c>
      <c r="P39" s="1603">
        <v>0.83521517173189308</v>
      </c>
      <c r="Q39" s="1604">
        <v>0.83677650574279305</v>
      </c>
      <c r="R39" s="1605">
        <v>0.83479808874802375</v>
      </c>
      <c r="S39" s="1606">
        <v>0.82263732448895843</v>
      </c>
      <c r="T39" s="1606">
        <v>0.82047923609448203</v>
      </c>
      <c r="U39" s="1604">
        <v>0.79124816928718389</v>
      </c>
      <c r="V39" s="1604">
        <v>0.79322815644761135</v>
      </c>
    </row>
    <row r="40" spans="1:22">
      <c r="A40" s="137"/>
      <c r="B40" s="137" t="s">
        <v>11807</v>
      </c>
      <c r="C40" s="1669">
        <v>0.86905459073864266</v>
      </c>
      <c r="D40" s="1669">
        <v>0.8585731528003534</v>
      </c>
      <c r="E40" s="1670">
        <v>0.85808760094075331</v>
      </c>
      <c r="F40" s="1670">
        <v>0.86357489797342057</v>
      </c>
      <c r="G40" s="1670">
        <v>0.86151982482883849</v>
      </c>
      <c r="H40" s="1670">
        <v>0.85828893915914661</v>
      </c>
      <c r="I40" s="1670">
        <v>0.85219482710606287</v>
      </c>
      <c r="J40" s="1671">
        <v>0.84836436110479796</v>
      </c>
      <c r="K40" s="1671">
        <v>0.84707999950582602</v>
      </c>
      <c r="L40" s="1694">
        <v>0.84557167506186226</v>
      </c>
      <c r="M40" s="1694">
        <v>0.84468509128786351</v>
      </c>
      <c r="N40" s="1694">
        <v>0.84965737607571756</v>
      </c>
      <c r="O40" s="1694">
        <v>0.84630697132141386</v>
      </c>
      <c r="P40" s="1695">
        <v>0.8446888607989399</v>
      </c>
      <c r="Q40" s="1696">
        <v>0.84542581378981241</v>
      </c>
      <c r="R40" s="1697">
        <v>0.8421846931258854</v>
      </c>
      <c r="S40" s="1694">
        <f>R40*S39/R39</f>
        <v>0.82991632589584441</v>
      </c>
      <c r="T40" s="1694">
        <f t="shared" ref="T40:V40" si="6">S40*T39/S39</f>
        <v>0.82773914193155618</v>
      </c>
      <c r="U40" s="1694">
        <f t="shared" si="6"/>
        <v>0.7982494277591542</v>
      </c>
      <c r="V40" s="1694">
        <f t="shared" si="6"/>
        <v>0.80024693458334761</v>
      </c>
    </row>
    <row r="41" spans="1:22">
      <c r="A41" s="144"/>
      <c r="B41" s="144" t="s">
        <v>11808</v>
      </c>
      <c r="C41" s="1678">
        <v>0.69394407076384412</v>
      </c>
      <c r="D41" s="1678">
        <v>0.67753236724165655</v>
      </c>
      <c r="E41" s="1679">
        <v>0.64764032537717697</v>
      </c>
      <c r="F41" s="1679">
        <v>0.655711775411148</v>
      </c>
      <c r="G41" s="1679">
        <v>0.64488639157293537</v>
      </c>
      <c r="H41" s="1679">
        <v>0.64236197773069814</v>
      </c>
      <c r="I41" s="1679">
        <v>0.65531005736197034</v>
      </c>
      <c r="J41" s="1680">
        <v>0.68001325147547131</v>
      </c>
      <c r="K41" s="1680">
        <v>0.68846332703954993</v>
      </c>
      <c r="L41" s="1698">
        <v>0.70507260632417534</v>
      </c>
      <c r="M41" s="1698">
        <v>0.70865139517856657</v>
      </c>
      <c r="N41" s="1698">
        <v>0.72547519037049091</v>
      </c>
      <c r="O41" s="1698">
        <v>0.7263106581294686</v>
      </c>
      <c r="P41" s="1699">
        <v>0.72467386873216466</v>
      </c>
      <c r="Q41" s="1700">
        <v>0.72892662813001552</v>
      </c>
      <c r="R41" s="1701">
        <v>0.73005105448677676</v>
      </c>
      <c r="S41" s="1698">
        <f>R41*S39/R39</f>
        <v>0.71941617296229898</v>
      </c>
      <c r="T41" s="1698">
        <f t="shared" ref="T41:V41" si="7">S41*T39/S39</f>
        <v>0.71752887263267551</v>
      </c>
      <c r="U41" s="1698">
        <f t="shared" si="7"/>
        <v>0.69196559998737506</v>
      </c>
      <c r="V41" s="1698">
        <f t="shared" si="7"/>
        <v>0.6936971464940378</v>
      </c>
    </row>
    <row r="42" spans="1:22">
      <c r="A42" s="133" t="s">
        <v>11809</v>
      </c>
      <c r="C42" s="1520">
        <v>0.70440993821507891</v>
      </c>
      <c r="D42" s="1520">
        <v>0.70765162841145601</v>
      </c>
      <c r="E42" s="1521">
        <v>0.70672364795529474</v>
      </c>
      <c r="F42" s="1521">
        <v>0.70217073445056799</v>
      </c>
      <c r="G42" s="1521">
        <v>0.69288753111694312</v>
      </c>
      <c r="H42" s="1521">
        <v>0.68715871252873928</v>
      </c>
      <c r="I42" s="1521">
        <v>0.68630153987482423</v>
      </c>
      <c r="J42" s="1522">
        <v>0.68963249977150676</v>
      </c>
      <c r="K42" s="1522">
        <v>0.68110801537381083</v>
      </c>
      <c r="L42" s="1602">
        <v>0.73558298098384856</v>
      </c>
      <c r="M42" s="1602">
        <v>0.73395507467533949</v>
      </c>
      <c r="N42" s="1602">
        <v>0.7136690164988585</v>
      </c>
      <c r="O42" s="1602">
        <v>0.70080782353401949</v>
      </c>
      <c r="P42" s="1603">
        <v>0.71273723050414595</v>
      </c>
      <c r="Q42" s="1604">
        <v>0.67669787962825112</v>
      </c>
      <c r="R42" s="1605">
        <v>0.76776425266769299</v>
      </c>
      <c r="S42" s="1606">
        <v>0.74252725478901282</v>
      </c>
      <c r="T42" s="1606">
        <v>0.72113542026823707</v>
      </c>
      <c r="U42" s="1604">
        <v>0.812902909320109</v>
      </c>
      <c r="V42" s="1604">
        <v>0.79586627303898017</v>
      </c>
    </row>
    <row r="43" spans="1:22">
      <c r="A43" s="133" t="s">
        <v>11810</v>
      </c>
      <c r="C43" s="1520">
        <v>0.7565709494003241</v>
      </c>
      <c r="D43" s="1520">
        <v>0.75868270492376411</v>
      </c>
      <c r="E43" s="1521">
        <v>0.76363917350193544</v>
      </c>
      <c r="F43" s="1521">
        <v>0.73334726721705512</v>
      </c>
      <c r="G43" s="1521">
        <v>0.75659196784702976</v>
      </c>
      <c r="H43" s="1521">
        <v>0.75847093830761636</v>
      </c>
      <c r="I43" s="1521">
        <v>0.7613592926636148</v>
      </c>
      <c r="J43" s="1522">
        <v>0.75287082829550411</v>
      </c>
      <c r="K43" s="1522">
        <v>0.75149442770309294</v>
      </c>
      <c r="L43" s="1602">
        <v>0.76608678828058596</v>
      </c>
      <c r="M43" s="1602">
        <v>0.77025480966804283</v>
      </c>
      <c r="N43" s="1602">
        <v>0.74905972599292314</v>
      </c>
      <c r="O43" s="1602">
        <v>0.76994802152888031</v>
      </c>
      <c r="P43" s="1603">
        <v>0.78678814422716303</v>
      </c>
      <c r="Q43" s="1604">
        <v>0.76222319736907085</v>
      </c>
      <c r="R43" s="1605">
        <v>0.75468673205602721</v>
      </c>
      <c r="S43" s="1606">
        <v>0.74058714580863716</v>
      </c>
      <c r="T43" s="1606">
        <v>0.73907706575424814</v>
      </c>
      <c r="U43" s="1604">
        <v>0.71651945493639435</v>
      </c>
      <c r="V43" s="1604">
        <v>0.71875739350204526</v>
      </c>
    </row>
    <row r="44" spans="1:22">
      <c r="A44" s="133" t="s">
        <v>11811</v>
      </c>
      <c r="C44" s="1520">
        <v>0.80592152507370685</v>
      </c>
      <c r="D44" s="1520">
        <v>0.81000376579105315</v>
      </c>
      <c r="E44" s="1521">
        <v>0.81217802550460261</v>
      </c>
      <c r="F44" s="1521">
        <v>0.79737579980198903</v>
      </c>
      <c r="G44" s="1521">
        <v>0.8109849026272361</v>
      </c>
      <c r="H44" s="1521">
        <v>0.81036820924078379</v>
      </c>
      <c r="I44" s="1521">
        <v>0.81813917420324744</v>
      </c>
      <c r="J44" s="1522">
        <v>0.81284445539940453</v>
      </c>
      <c r="K44" s="1522">
        <v>0.81460193890413723</v>
      </c>
      <c r="L44" s="1602">
        <v>0.86722727658103171</v>
      </c>
      <c r="M44" s="1602">
        <v>0.82240622860348922</v>
      </c>
      <c r="N44" s="1602">
        <v>0.86602177159701554</v>
      </c>
      <c r="O44" s="1602">
        <v>0.7717740472880309</v>
      </c>
      <c r="P44" s="1603">
        <v>0.83672729650619626</v>
      </c>
      <c r="Q44" s="1604">
        <v>0.84036925397519757</v>
      </c>
      <c r="R44" s="1605">
        <v>0.71360754208283528</v>
      </c>
      <c r="S44" s="1606">
        <v>0.86746947034564015</v>
      </c>
      <c r="T44" s="1606">
        <v>0.80085272646106387</v>
      </c>
      <c r="U44" s="1604">
        <v>0.94672323209765041</v>
      </c>
      <c r="V44" s="1604">
        <v>0.80489953297260897</v>
      </c>
    </row>
    <row r="45" spans="1:22">
      <c r="A45" s="133" t="s">
        <v>11812</v>
      </c>
      <c r="C45" s="1523">
        <v>0.65114172391492131</v>
      </c>
      <c r="D45" s="1523">
        <v>0.65251033601864405</v>
      </c>
      <c r="E45" s="1521">
        <v>0.65732516457646817</v>
      </c>
      <c r="F45" s="1521">
        <v>0.66376940940910822</v>
      </c>
      <c r="G45" s="1521">
        <v>0.67158565640927692</v>
      </c>
      <c r="H45" s="1521">
        <v>0.658177165650636</v>
      </c>
      <c r="I45" s="1521">
        <v>0.63665692722028455</v>
      </c>
      <c r="J45" s="1522">
        <v>0.6373048877387123</v>
      </c>
      <c r="K45" s="1522">
        <v>0.63100600332135148</v>
      </c>
      <c r="L45" s="1602">
        <v>0.68451276421968033</v>
      </c>
      <c r="M45" s="1602">
        <v>0.70313828611809537</v>
      </c>
      <c r="N45" s="1602">
        <v>0.66241697615677719</v>
      </c>
      <c r="O45" s="1602">
        <v>0.70722351535301953</v>
      </c>
      <c r="P45" s="1603">
        <v>0.67485883908968536</v>
      </c>
      <c r="Q45" s="1604">
        <v>0.6706486704253205</v>
      </c>
      <c r="R45" s="1605">
        <v>0.6830775426340927</v>
      </c>
      <c r="S45" s="1606">
        <v>0.67317209719274373</v>
      </c>
      <c r="T45" s="1606">
        <v>0.68574375639922369</v>
      </c>
      <c r="U45" s="1604">
        <v>0.70861149483038455</v>
      </c>
      <c r="V45" s="1604">
        <v>0.62209901702431891</v>
      </c>
    </row>
    <row r="46" spans="1:22">
      <c r="A46" s="133" t="s">
        <v>11813</v>
      </c>
      <c r="C46" s="1524">
        <v>0.60256831011265255</v>
      </c>
      <c r="D46" s="1524">
        <v>0.60471730200958429</v>
      </c>
      <c r="E46" s="1525">
        <v>0.60060129884574986</v>
      </c>
      <c r="F46" s="1525">
        <v>0.60652808261224211</v>
      </c>
      <c r="G46" s="1525">
        <v>0.60133608501003932</v>
      </c>
      <c r="H46" s="1525">
        <v>0.59882043970886167</v>
      </c>
      <c r="I46" s="1525">
        <v>0.58938031227107035</v>
      </c>
      <c r="J46" s="1522">
        <v>0.58410429348177384</v>
      </c>
      <c r="K46" s="1522">
        <v>0.58469398497480374</v>
      </c>
      <c r="L46" s="1602">
        <v>0.59138006682064104</v>
      </c>
      <c r="M46" s="1602">
        <v>0.57903627090573784</v>
      </c>
      <c r="N46" s="1602">
        <v>0.61041087607479838</v>
      </c>
      <c r="O46" s="1602">
        <v>0.58544118820766522</v>
      </c>
      <c r="P46" s="1603">
        <v>0.59038229986262847</v>
      </c>
      <c r="Q46" s="1604">
        <v>0.50592396194976974</v>
      </c>
      <c r="R46" s="1605">
        <v>0.63602173186170596</v>
      </c>
      <c r="S46" s="1606">
        <v>0.61371711221219405</v>
      </c>
      <c r="T46" s="1606">
        <v>0.6311343662962009</v>
      </c>
      <c r="U46" s="1604">
        <v>0.57223970552777048</v>
      </c>
      <c r="V46" s="1604">
        <v>0.63970272568739273</v>
      </c>
    </row>
    <row r="47" spans="1:22">
      <c r="A47" s="133" t="s">
        <v>11814</v>
      </c>
      <c r="C47" s="1524">
        <v>0.5294928283326632</v>
      </c>
      <c r="D47" s="1524">
        <v>0.5256810788887738</v>
      </c>
      <c r="E47" s="1525">
        <v>0.52173293773339136</v>
      </c>
      <c r="F47" s="1525">
        <v>0.53157597669569534</v>
      </c>
      <c r="G47" s="1525">
        <v>0.53777745498993534</v>
      </c>
      <c r="H47" s="1525">
        <v>0.52224812255702391</v>
      </c>
      <c r="I47" s="1525">
        <v>0.51557142310936532</v>
      </c>
      <c r="J47" s="1522">
        <v>0.51587337586184612</v>
      </c>
      <c r="K47" s="1522">
        <v>0.51256109032584407</v>
      </c>
      <c r="L47" s="1602">
        <v>0.50987067298894728</v>
      </c>
      <c r="M47" s="1602">
        <v>0.51384099432227337</v>
      </c>
      <c r="N47" s="1602">
        <v>0.52214187666403544</v>
      </c>
      <c r="O47" s="1602">
        <v>0.51476146309437365</v>
      </c>
      <c r="P47" s="1603">
        <v>0.51054150628749073</v>
      </c>
      <c r="Q47" s="1604">
        <v>0.49589847919677704</v>
      </c>
      <c r="R47" s="1605">
        <v>0.53471674403910341</v>
      </c>
      <c r="S47" s="1606">
        <v>0.52438376948549181</v>
      </c>
      <c r="T47" s="1606">
        <v>0.51802982571457068</v>
      </c>
      <c r="U47" s="1604">
        <v>0.52045101959170303</v>
      </c>
      <c r="V47" s="1604">
        <v>0.51461546822968296</v>
      </c>
    </row>
    <row r="48" spans="1:22" s="1703" customFormat="1" hidden="1">
      <c r="A48" s="1703" t="s">
        <v>11815</v>
      </c>
      <c r="C48" s="1704"/>
      <c r="D48" s="1704"/>
      <c r="E48" s="1705"/>
      <c r="F48" s="1705"/>
      <c r="G48" s="1705"/>
      <c r="H48" s="1705"/>
      <c r="I48" s="836"/>
      <c r="J48" s="836"/>
      <c r="K48" s="836"/>
      <c r="L48" s="836"/>
      <c r="M48" s="836"/>
      <c r="N48" s="836"/>
      <c r="O48" s="836"/>
      <c r="P48" s="1706"/>
      <c r="Q48" s="1707"/>
      <c r="S48" s="1707"/>
      <c r="T48" s="1707"/>
      <c r="U48" s="1707"/>
      <c r="V48" s="1707"/>
    </row>
    <row r="49" spans="1:22" s="1703" customFormat="1" hidden="1">
      <c r="A49" s="1703" t="s">
        <v>11816</v>
      </c>
      <c r="C49" s="1704"/>
      <c r="D49" s="1704"/>
      <c r="E49" s="1705"/>
      <c r="F49" s="1705"/>
      <c r="G49" s="1705"/>
      <c r="H49" s="1705"/>
      <c r="I49" s="836"/>
      <c r="J49" s="836"/>
      <c r="K49" s="836"/>
      <c r="L49" s="836"/>
      <c r="M49" s="836"/>
      <c r="N49" s="836"/>
      <c r="O49" s="836"/>
      <c r="P49" s="1706"/>
      <c r="Q49" s="1707"/>
      <c r="S49" s="1707"/>
      <c r="T49" s="1707"/>
      <c r="U49" s="1707"/>
      <c r="V49" s="1707"/>
    </row>
    <row r="50" spans="1:22" s="1703" customFormat="1" hidden="1">
      <c r="A50" s="1703" t="s">
        <v>11817</v>
      </c>
      <c r="E50" s="1708"/>
      <c r="F50" s="1708"/>
      <c r="G50" s="1708"/>
      <c r="H50" s="1708"/>
      <c r="I50" s="1708"/>
      <c r="J50" s="1708"/>
      <c r="K50" s="1708"/>
      <c r="L50" s="1708"/>
      <c r="M50" s="1708"/>
      <c r="N50" s="1708"/>
      <c r="O50" s="1708"/>
      <c r="P50" s="1709"/>
      <c r="Q50" s="1708"/>
      <c r="R50" s="1710"/>
      <c r="S50" s="1708"/>
      <c r="T50" s="1708"/>
      <c r="U50" s="1708"/>
      <c r="V50" s="1708"/>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50DE0-B9B5-44DD-839F-D4F633755410}">
  <dimension ref="A1:AJ21"/>
  <sheetViews>
    <sheetView workbookViewId="0">
      <pane xSplit="2" ySplit="2" topLeftCell="U11" activePane="bottomRight" state="frozen"/>
      <selection pane="topRight" activeCell="C1" sqref="C1"/>
      <selection pane="bottomLeft" activeCell="A3" sqref="A3"/>
      <selection pane="bottomRight" activeCell="AC23" sqref="AC23"/>
    </sheetView>
  </sheetViews>
  <sheetFormatPr defaultRowHeight="18"/>
  <cols>
    <col min="1" max="1" width="5.6640625" customWidth="1"/>
  </cols>
  <sheetData>
    <row r="1" spans="1:36" s="740" customFormat="1" ht="13">
      <c r="B1" s="738" t="s">
        <v>9762</v>
      </c>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row>
    <row r="2" spans="1:36" s="740" customFormat="1" ht="65">
      <c r="A2" s="1664"/>
      <c r="B2" s="1643"/>
      <c r="C2" s="1658" t="s">
        <v>20</v>
      </c>
      <c r="D2" s="1550" t="s">
        <v>79</v>
      </c>
      <c r="E2" s="1550" t="s">
        <v>9671</v>
      </c>
      <c r="F2" s="744" t="s">
        <v>9763</v>
      </c>
      <c r="G2" s="1685" t="s">
        <v>9764</v>
      </c>
      <c r="H2" s="1685" t="s">
        <v>9765</v>
      </c>
      <c r="I2" s="1685" t="s">
        <v>9766</v>
      </c>
      <c r="J2" s="1685" t="s">
        <v>9767</v>
      </c>
      <c r="K2" s="1685" t="s">
        <v>9768</v>
      </c>
      <c r="L2" s="1685" t="s">
        <v>9769</v>
      </c>
      <c r="M2" s="1685" t="s">
        <v>9770</v>
      </c>
      <c r="N2" s="1685" t="s">
        <v>9771</v>
      </c>
      <c r="O2" s="1686" t="s">
        <v>9772</v>
      </c>
      <c r="P2" s="1685" t="s">
        <v>9773</v>
      </c>
      <c r="Q2" s="1685" t="s">
        <v>9774</v>
      </c>
      <c r="R2" s="1685" t="s">
        <v>9775</v>
      </c>
      <c r="S2" s="1685" t="s">
        <v>9776</v>
      </c>
      <c r="T2" s="1685" t="s">
        <v>9777</v>
      </c>
      <c r="U2" s="1685" t="s">
        <v>9778</v>
      </c>
      <c r="V2" s="635" t="s">
        <v>9691</v>
      </c>
      <c r="W2" s="1319" t="s">
        <v>9688</v>
      </c>
      <c r="X2" s="635" t="s">
        <v>9781</v>
      </c>
      <c r="Y2" s="635" t="s">
        <v>9782</v>
      </c>
      <c r="Z2" s="745" t="s">
        <v>9696</v>
      </c>
      <c r="AA2" s="635" t="s">
        <v>9783</v>
      </c>
      <c r="AB2" s="635" t="s">
        <v>9784</v>
      </c>
      <c r="AC2" s="635" t="s">
        <v>9785</v>
      </c>
      <c r="AD2" s="1319" t="s">
        <v>9704</v>
      </c>
      <c r="AE2" s="635" t="s">
        <v>9786</v>
      </c>
      <c r="AF2" s="635" t="s">
        <v>9705</v>
      </c>
      <c r="AG2" s="745" t="s">
        <v>9787</v>
      </c>
      <c r="AH2" s="745" t="s">
        <v>9788</v>
      </c>
      <c r="AI2" s="1702" t="s">
        <v>12095</v>
      </c>
    </row>
    <row r="3" spans="1:36" s="740" customFormat="1" hidden="1">
      <c r="A3" s="1483">
        <v>2007</v>
      </c>
      <c r="B3" s="1659" t="s">
        <v>9793</v>
      </c>
      <c r="C3" s="1653">
        <f>QE総生産!D110/QE産出!D3</f>
        <v>0.45129232975817485</v>
      </c>
      <c r="D3" s="1653">
        <f>QE総生産!E110/QE産出!E3</f>
        <v>0.43754065608463649</v>
      </c>
      <c r="E3" s="1653">
        <f>QE総生産!F110/QE産出!F3</f>
        <v>0.51817250950820581</v>
      </c>
      <c r="F3" s="1653">
        <f>QE総生産!G110/QE産出!G3</f>
        <v>0.42873010677953988</v>
      </c>
      <c r="G3" s="1653">
        <f>QE総生産!I110/QE産出!H3</f>
        <v>0.44048381226581135</v>
      </c>
      <c r="H3" s="1653">
        <f>QE総生産!J110/QE産出!I3</f>
        <v>0.36584359210553741</v>
      </c>
      <c r="I3" s="1653">
        <f>QE総生産!K110/QE産出!J3</f>
        <v>0.35995468456527324</v>
      </c>
      <c r="J3" s="1653">
        <f>QE総生産!L110/QE産出!K3</f>
        <v>0.31004281868610012</v>
      </c>
      <c r="K3" s="1653">
        <f>QE総生産!M110/QE産出!L3</f>
        <v>0.15806057073599447</v>
      </c>
      <c r="L3" s="1653">
        <f>QE総生産!N110/QE産出!M3</f>
        <v>0.60189067844242938</v>
      </c>
      <c r="M3" s="1653">
        <f>QE総生産!O110/QE産出!N3</f>
        <v>0.36478608325905582</v>
      </c>
      <c r="N3" s="1653">
        <f>QE総生産!P110/QE産出!O3</f>
        <v>0.38575032863754571</v>
      </c>
      <c r="O3" s="1653">
        <f>QE総生産!Q110/QE産出!P3</f>
        <v>0.42382610999936404</v>
      </c>
      <c r="P3" s="1653">
        <f>QE総生産!R110/QE産出!Q3</f>
        <v>0.26436825814388304</v>
      </c>
      <c r="Q3" s="1653">
        <f>QE総生産!S110/QE産出!R3</f>
        <v>0.3144227393205476</v>
      </c>
      <c r="R3" s="1653">
        <f>QE総生産!T110/QE産出!S3</f>
        <v>0.33374156022837481</v>
      </c>
      <c r="S3" s="1653">
        <f>QE総生産!U110/QE産出!T3</f>
        <v>0.37230333795180204</v>
      </c>
      <c r="T3" s="1653">
        <f>QE総生産!V110/QE産出!U3</f>
        <v>0.4478267475082634</v>
      </c>
      <c r="U3" s="1653">
        <f>QE総生産!W110/QE産出!V3</f>
        <v>0.36765001035761202</v>
      </c>
      <c r="V3" s="1653">
        <f>QE総生産!X110/QE産出!W3</f>
        <v>0.42508988323121455</v>
      </c>
      <c r="W3" s="1653">
        <f>QE総生産!X110/QE産出!X3</f>
        <v>0.60145484652410497</v>
      </c>
      <c r="X3" s="1653">
        <f>QE総生産!Z110/QE産出!AA3</f>
        <v>0.61914224277399321</v>
      </c>
      <c r="Y3" s="1653">
        <f>QE総生産!AA110/QE産出!AB3</f>
        <v>0.58362125790745289</v>
      </c>
      <c r="Z3" s="1653">
        <f>QE総生産!AB110/QE産出!AC3</f>
        <v>0.45035087114600508</v>
      </c>
      <c r="AA3" s="1653">
        <f>QE総生産!AC110/QE産出!AD3</f>
        <v>0.53073869742222024</v>
      </c>
      <c r="AB3" s="1653">
        <f>QE総生産!AD110/QE産出!AE3</f>
        <v>0.73014334365420153</v>
      </c>
      <c r="AC3" s="1653">
        <f>QE総生産!AE110/QE産出!AF3</f>
        <v>0.8333705409304889</v>
      </c>
      <c r="AD3" s="1653">
        <f>QE総生産!AF110/QE産出!AG3</f>
        <v>0.73305413610719539</v>
      </c>
      <c r="AE3" s="1653">
        <f>QE総生産!AG110/QE産出!AH3</f>
        <v>0.77910154257930442</v>
      </c>
      <c r="AF3" s="1653">
        <f>QE総生産!AH110/QE産出!AI3</f>
        <v>0.82934430342887766</v>
      </c>
      <c r="AG3" s="1653">
        <f>QE総生産!AI110/QE産出!AJ3</f>
        <v>0.58859806739099041</v>
      </c>
      <c r="AH3" s="1653">
        <f>QE総生産!AJ110/QE産出!AK3</f>
        <v>0.60893386264213267</v>
      </c>
      <c r="AI3" s="742"/>
      <c r="AJ3" s="742"/>
    </row>
    <row r="4" spans="1:36" s="740" customFormat="1" hidden="1">
      <c r="A4" s="1483">
        <v>2008</v>
      </c>
      <c r="B4" s="1659" t="s">
        <v>9794</v>
      </c>
      <c r="C4" s="1652">
        <f>QE総生産!D111/QE産出!D4</f>
        <v>0.4659021039416445</v>
      </c>
      <c r="D4" s="1652">
        <f>QE総生産!E111/QE産出!E4</f>
        <v>0.3741240515606139</v>
      </c>
      <c r="E4" s="1652">
        <f>QE総生産!F111/QE産出!F4</f>
        <v>0.40291780722995674</v>
      </c>
      <c r="F4" s="1652">
        <f>QE総生産!G111/QE産出!G4</f>
        <v>0.43423530887597872</v>
      </c>
      <c r="G4" s="1652">
        <f>QE総生産!I111/QE産出!H4</f>
        <v>0.42531524233241785</v>
      </c>
      <c r="H4" s="1652">
        <f>QE総生産!J111/QE産出!I4</f>
        <v>0.46035951416856064</v>
      </c>
      <c r="I4" s="1652">
        <f>QE総生産!K111/QE産出!J4</f>
        <v>0.28344006206857775</v>
      </c>
      <c r="J4" s="1652">
        <f>QE総生産!L111/QE産出!K4</f>
        <v>0.28878339342107073</v>
      </c>
      <c r="K4" s="1652">
        <f>QE総生産!M111/QE産出!L4</f>
        <v>0.20944387465240077</v>
      </c>
      <c r="L4" s="1652">
        <f>QE総生産!N111/QE産出!M4</f>
        <v>0.49962164675517329</v>
      </c>
      <c r="M4" s="1652">
        <f>QE総生産!O111/QE産出!N4</f>
        <v>0.38469630514443032</v>
      </c>
      <c r="N4" s="1652">
        <f>QE総生産!P111/QE産出!O4</f>
        <v>0.34469761715642294</v>
      </c>
      <c r="O4" s="1652">
        <f>QE総生産!Q111/QE産出!P4</f>
        <v>0.46722123290386997</v>
      </c>
      <c r="P4" s="1652">
        <f>QE総生産!R111/QE産出!Q4</f>
        <v>0.17611464807812544</v>
      </c>
      <c r="Q4" s="1652">
        <f>QE総生産!S111/QE産出!R4</f>
        <v>0.33278984674155659</v>
      </c>
      <c r="R4" s="1652">
        <f>QE総生産!T111/QE産出!S4</f>
        <v>0.28172543992736987</v>
      </c>
      <c r="S4" s="1652">
        <f>QE総生産!U111/QE産出!T4</f>
        <v>0.35902101503216205</v>
      </c>
      <c r="T4" s="1652">
        <f>QE総生産!V111/QE産出!U4</f>
        <v>0.41450192584769829</v>
      </c>
      <c r="U4" s="1652">
        <f>QE総生産!W111/QE産出!V4</f>
        <v>0.35971142013242779</v>
      </c>
      <c r="V4" s="1652">
        <f>QE総生産!X111/QE産出!W4</f>
        <v>0.41785486651775894</v>
      </c>
      <c r="W4" s="1652">
        <f>QE総生産!X111/QE産出!X4</f>
        <v>0.60870491483641898</v>
      </c>
      <c r="X4" s="1652">
        <f>QE総生産!Z111/QE産出!AA4</f>
        <v>0.61853496330026547</v>
      </c>
      <c r="Y4" s="1652">
        <f>QE総生産!AA111/QE産出!AB4</f>
        <v>0.55019079267463766</v>
      </c>
      <c r="Z4" s="1652">
        <f>QE総生産!AB111/QE産出!AC4</f>
        <v>0.44729404044547977</v>
      </c>
      <c r="AA4" s="1652">
        <f>QE総生産!AC111/QE産出!AD4</f>
        <v>0.60244989114771075</v>
      </c>
      <c r="AB4" s="1652">
        <f>QE総生産!AD111/QE産出!AE4</f>
        <v>0.57555068426804734</v>
      </c>
      <c r="AC4" s="1652">
        <f>QE総生産!AE111/QE産出!AF4</f>
        <v>0.83405650479556936</v>
      </c>
      <c r="AD4" s="1652">
        <f>QE総生産!AF111/QE産出!AG4</f>
        <v>0.73918891224775163</v>
      </c>
      <c r="AE4" s="1652">
        <f>QE総生産!AG111/QE産出!AH4</f>
        <v>0.74865664837142554</v>
      </c>
      <c r="AF4" s="1652">
        <f>QE総生産!AH111/QE産出!AI4</f>
        <v>0.80240443328814737</v>
      </c>
      <c r="AG4" s="1652">
        <f>QE総生産!AI111/QE産出!AJ4</f>
        <v>0.66573222724654357</v>
      </c>
      <c r="AH4" s="1652">
        <f>QE総生産!AJ111/QE産出!AK4</f>
        <v>0.58883208787451125</v>
      </c>
      <c r="AI4" s="742"/>
      <c r="AJ4" s="742"/>
    </row>
    <row r="5" spans="1:36" s="740" customFormat="1" hidden="1">
      <c r="A5" s="1483">
        <v>2009</v>
      </c>
      <c r="B5" s="1659" t="s">
        <v>9795</v>
      </c>
      <c r="C5" s="1652">
        <f>QE総生産!D112/QE産出!D5</f>
        <v>0.45462827320995081</v>
      </c>
      <c r="D5" s="1652">
        <f>QE総生産!E112/QE産出!E5</f>
        <v>0.38024404490560099</v>
      </c>
      <c r="E5" s="1652">
        <f>QE総生産!F112/QE産出!F5</f>
        <v>0.50224038128881254</v>
      </c>
      <c r="F5" s="1652">
        <f>QE総生産!G112/QE産出!G5</f>
        <v>0.23701171812765306</v>
      </c>
      <c r="G5" s="1652">
        <f>QE総生産!I112/QE産出!H5</f>
        <v>0.42163744810066628</v>
      </c>
      <c r="H5" s="1652">
        <f>QE総生産!J112/QE産出!I5</f>
        <v>0.29744522232912285</v>
      </c>
      <c r="I5" s="1652">
        <f>QE総生産!K112/QE産出!J5</f>
        <v>0.31220362379101507</v>
      </c>
      <c r="J5" s="1652">
        <f>QE総生産!L112/QE産出!K5</f>
        <v>0.28022567967525785</v>
      </c>
      <c r="K5" s="1652">
        <f>QE総生産!M112/QE産出!L5</f>
        <v>7.3140749261118618E-2</v>
      </c>
      <c r="L5" s="1652">
        <f>QE総生産!N112/QE産出!M5</f>
        <v>0.32521348868723787</v>
      </c>
      <c r="M5" s="1652">
        <f>QE総生産!O112/QE産出!N5</f>
        <v>0.16677360126675569</v>
      </c>
      <c r="N5" s="1652">
        <f>QE総生産!P112/QE産出!O5</f>
        <v>0.30422790866390043</v>
      </c>
      <c r="O5" s="1652">
        <f>QE総生産!Q112/QE産出!P5</f>
        <v>0.34465777110435297</v>
      </c>
      <c r="P5" s="1652">
        <f>QE総生産!R112/QE産出!Q5</f>
        <v>0.12081596987287758</v>
      </c>
      <c r="Q5" s="1652">
        <f>QE総生産!S112/QE産出!R5</f>
        <v>0.26585468493013431</v>
      </c>
      <c r="R5" s="1652">
        <f>QE総生産!T112/QE産出!S5</f>
        <v>0.25754853862575983</v>
      </c>
      <c r="S5" s="1652">
        <f>QE総生産!U112/QE産出!T5</f>
        <v>0.30516003139118669</v>
      </c>
      <c r="T5" s="1652">
        <f>QE総生産!V112/QE産出!U5</f>
        <v>0.42340487714194791</v>
      </c>
      <c r="U5" s="1652">
        <f>QE総生産!W112/QE産出!V5</f>
        <v>0.29978022489854317</v>
      </c>
      <c r="V5" s="1652">
        <f>QE総生産!X112/QE産出!W5</f>
        <v>0.37493231381639824</v>
      </c>
      <c r="W5" s="1652">
        <f>QE総生産!X112/QE産出!X5</f>
        <v>0.56812143240656832</v>
      </c>
      <c r="X5" s="1652">
        <f>QE総生産!Z112/QE産出!AA5</f>
        <v>0.57595917825725329</v>
      </c>
      <c r="Y5" s="1652">
        <f>QE総生産!AA112/QE産出!AB5</f>
        <v>0.53681765459462505</v>
      </c>
      <c r="Z5" s="1652">
        <f>QE総生産!AB112/QE産出!AC5</f>
        <v>0.45760010757882924</v>
      </c>
      <c r="AA5" s="1652">
        <f>QE総生産!AC112/QE産出!AD5</f>
        <v>0.51883187181157453</v>
      </c>
      <c r="AB5" s="1652">
        <f>QE総生産!AD112/QE産出!AE5</f>
        <v>0.61397018680625937</v>
      </c>
      <c r="AC5" s="1652">
        <f>QE総生産!AE112/QE産出!AF5</f>
        <v>0.84566251225759559</v>
      </c>
      <c r="AD5" s="1652">
        <f>QE総生産!AF112/QE産出!AG5</f>
        <v>0.6770203300907669</v>
      </c>
      <c r="AE5" s="1652">
        <f>QE総生産!AG112/QE産出!AH5</f>
        <v>0.74088234896691474</v>
      </c>
      <c r="AF5" s="1652">
        <f>QE総生産!AH112/QE産出!AI5</f>
        <v>0.77907326419383383</v>
      </c>
      <c r="AG5" s="1652">
        <f>QE総生産!AI112/QE産出!AJ5</f>
        <v>0.68037608267980332</v>
      </c>
      <c r="AH5" s="1652">
        <f>QE総生産!AJ112/QE産出!AK5</f>
        <v>0.57418144409860683</v>
      </c>
      <c r="AI5" s="742"/>
      <c r="AJ5" s="742"/>
    </row>
    <row r="6" spans="1:36" s="740" customFormat="1" ht="13" hidden="1">
      <c r="A6" s="1483">
        <v>2010</v>
      </c>
      <c r="B6" s="142" t="s">
        <v>9809</v>
      </c>
      <c r="C6" s="1652">
        <f>QE総生産!D113/QE産出!D6</f>
        <v>0.45944968348790577</v>
      </c>
      <c r="D6" s="1652">
        <f>QE総生産!E113/QE産出!E6</f>
        <v>0.42598224759589887</v>
      </c>
      <c r="E6" s="1652">
        <f>QE総生産!F113/QE産出!F6</f>
        <v>0.47498660001386361</v>
      </c>
      <c r="F6" s="1652">
        <f>QE総生産!G113/QE産出!G6</f>
        <v>0.5123406956213109</v>
      </c>
      <c r="G6" s="1652">
        <f>QE総生産!I113/QE産出!H6</f>
        <v>0.41699776671744693</v>
      </c>
      <c r="H6" s="1652">
        <f>QE総生産!J113/QE産出!I6</f>
        <v>0.3488008612090161</v>
      </c>
      <c r="I6" s="1652">
        <f>QE総生産!K113/QE産出!J6</f>
        <v>0.34248291862925978</v>
      </c>
      <c r="J6" s="1652">
        <f>QE総生産!L113/QE産出!K6</f>
        <v>0.3929859796031544</v>
      </c>
      <c r="K6" s="1652">
        <f>QE総生産!M113/QE産出!L6</f>
        <v>0.17459265095558349</v>
      </c>
      <c r="L6" s="1652">
        <f>QE総生産!N113/QE産出!M6</f>
        <v>0.66870302229923784</v>
      </c>
      <c r="M6" s="1652">
        <f>QE総生産!O113/QE産出!N6</f>
        <v>0.29897080673224313</v>
      </c>
      <c r="N6" s="1652">
        <f>QE総生産!P113/QE産出!O6</f>
        <v>0.37751734730126446</v>
      </c>
      <c r="O6" s="1652">
        <f>QE総生産!Q113/QE産出!P6</f>
        <v>0.52326427293445188</v>
      </c>
      <c r="P6" s="1652">
        <f>QE総生産!R113/QE産出!Q6</f>
        <v>0.31803920825111959</v>
      </c>
      <c r="Q6" s="1652">
        <f>QE総生産!S113/QE産出!R6</f>
        <v>0.33891911934905966</v>
      </c>
      <c r="R6" s="1652">
        <f>QE総生産!T113/QE産出!S6</f>
        <v>0.34529690390235279</v>
      </c>
      <c r="S6" s="1652">
        <f>QE総生産!U113/QE産出!T6</f>
        <v>0.32231022873591963</v>
      </c>
      <c r="T6" s="1652">
        <f>QE総生産!V113/QE産出!U6</f>
        <v>0.3896994140360171</v>
      </c>
      <c r="U6" s="1652">
        <f>QE総生産!W113/QE産出!V6</f>
        <v>0.38420463892491863</v>
      </c>
      <c r="V6" s="1652">
        <f>QE総生産!X113/QE産出!W6</f>
        <v>0.49689467931477932</v>
      </c>
      <c r="W6" s="1652">
        <f>QE総生産!X113/QE産出!X6</f>
        <v>0.66717294037397135</v>
      </c>
      <c r="X6" s="1652">
        <f>QE総生産!Z113/QE産出!AA6</f>
        <v>0.62102057276488476</v>
      </c>
      <c r="Y6" s="1652">
        <f>QE総生産!AA113/QE産出!AB6</f>
        <v>0.59276171966723545</v>
      </c>
      <c r="Z6" s="1652">
        <f>QE総生産!AB113/QE産出!AC6</f>
        <v>0.43953086689424842</v>
      </c>
      <c r="AA6" s="1652">
        <f>QE総生産!AC113/QE産出!AD6</f>
        <v>0.57215731540066472</v>
      </c>
      <c r="AB6" s="1652">
        <f>QE総生産!AD113/QE産出!AE6</f>
        <v>0.64946307140918347</v>
      </c>
      <c r="AC6" s="1652">
        <f>QE総生産!AE113/QE産出!AF6</f>
        <v>0.85066978074327138</v>
      </c>
      <c r="AD6" s="1652">
        <f>QE総生産!AF113/QE産出!AG6</f>
        <v>0.72497365689299342</v>
      </c>
      <c r="AE6" s="1652">
        <f>QE総生産!AG113/QE産出!AH6</f>
        <v>0.73214663707223238</v>
      </c>
      <c r="AF6" s="1652">
        <f>QE総生産!AH113/QE産出!AI6</f>
        <v>0.81686975194336353</v>
      </c>
      <c r="AG6" s="1652">
        <f>QE総生産!AI113/QE産出!AJ6</f>
        <v>0.69283871822884568</v>
      </c>
      <c r="AH6" s="1652">
        <f>QE総生産!AJ113/QE産出!AK6</f>
        <v>0.61333285639570578</v>
      </c>
      <c r="AI6" s="742"/>
      <c r="AJ6" s="742"/>
    </row>
    <row r="7" spans="1:36" s="740" customFormat="1" ht="13" hidden="1">
      <c r="A7" s="1483">
        <v>2011</v>
      </c>
      <c r="B7" s="142" t="s">
        <v>9796</v>
      </c>
      <c r="C7" s="1652">
        <f>QE総生産!D114/QE産出!D7</f>
        <v>0.46606327614668563</v>
      </c>
      <c r="D7" s="1652">
        <f>QE総生産!E114/QE産出!E7</f>
        <v>0.45937334174086719</v>
      </c>
      <c r="E7" s="1652">
        <f>QE総生産!F114/QE産出!F7</f>
        <v>0.37742917945039223</v>
      </c>
      <c r="F7" s="1652">
        <f>QE総生産!G114/QE産出!G7</f>
        <v>0.38843065598579452</v>
      </c>
      <c r="G7" s="1652">
        <f>QE総生産!I114/QE産出!H7</f>
        <v>0.4190035377227479</v>
      </c>
      <c r="H7" s="1652">
        <f>QE総生産!J114/QE産出!I7</f>
        <v>0.40122418850107477</v>
      </c>
      <c r="I7" s="1652">
        <f>QE総生産!K114/QE産出!J7</f>
        <v>0.33206664804191927</v>
      </c>
      <c r="J7" s="1652">
        <f>QE総生産!L114/QE産出!K7</f>
        <v>0.37715746344256174</v>
      </c>
      <c r="K7" s="1652">
        <f>QE総生産!M114/QE産出!L7</f>
        <v>0.20727554609861495</v>
      </c>
      <c r="L7" s="1652">
        <f>QE総生産!N114/QE産出!M7</f>
        <v>0.54423358464225369</v>
      </c>
      <c r="M7" s="1652">
        <f>QE総生産!O114/QE産出!N7</f>
        <v>0.24601412361710565</v>
      </c>
      <c r="N7" s="1652">
        <f>QE総生産!P114/QE産出!O7</f>
        <v>0.44727873575376076</v>
      </c>
      <c r="O7" s="1652">
        <f>QE総生産!Q114/QE産出!P7</f>
        <v>0.3937038548460649</v>
      </c>
      <c r="P7" s="1652">
        <f>QE総生産!R114/QE産出!Q7</f>
        <v>0.20706447695695546</v>
      </c>
      <c r="Q7" s="1652">
        <f>QE総生産!S114/QE産出!R7</f>
        <v>0.37878957079243136</v>
      </c>
      <c r="R7" s="1652">
        <f>QE総生産!T114/QE産出!S7</f>
        <v>0.30353560435298765</v>
      </c>
      <c r="S7" s="1652">
        <f>QE総生産!U114/QE産出!T7</f>
        <v>0.38329041968061289</v>
      </c>
      <c r="T7" s="1652">
        <f>QE総生産!V114/QE産出!U7</f>
        <v>0.39068862204324872</v>
      </c>
      <c r="U7" s="1652">
        <f>QE総生産!W114/QE産出!V7</f>
        <v>0.38912295751137932</v>
      </c>
      <c r="V7" s="1652">
        <f>QE総生産!X114/QE産出!W7</f>
        <v>0.44146983649384336</v>
      </c>
      <c r="W7" s="1652">
        <f>QE総生産!X114/QE産出!X7</f>
        <v>0.49222556473236145</v>
      </c>
      <c r="X7" s="1652">
        <f>QE総生産!Z114/QE産出!AA7</f>
        <v>0.6305783953438695</v>
      </c>
      <c r="Y7" s="1652">
        <f>QE総生産!AA114/QE産出!AB7</f>
        <v>0.55341189191360574</v>
      </c>
      <c r="Z7" s="1652">
        <f>QE総生産!AB114/QE産出!AC7</f>
        <v>0.40284517827056426</v>
      </c>
      <c r="AA7" s="1652">
        <f>QE総生産!AC114/QE産出!AD7</f>
        <v>0.5843565095771035</v>
      </c>
      <c r="AB7" s="1652">
        <f>QE総生産!AD114/QE産出!AE7</f>
        <v>0.64275725685383389</v>
      </c>
      <c r="AC7" s="1652">
        <f>QE総生産!AE114/QE産出!AF7</f>
        <v>0.83479198205450122</v>
      </c>
      <c r="AD7" s="1652">
        <f>QE総生産!AF114/QE産出!AG7</f>
        <v>0.66341699131069554</v>
      </c>
      <c r="AE7" s="1652">
        <f>QE総生産!AG114/QE産出!AH7</f>
        <v>0.75139682844747202</v>
      </c>
      <c r="AF7" s="1652">
        <f>QE総生産!AH114/QE産出!AI7</f>
        <v>0.82564086398029213</v>
      </c>
      <c r="AG7" s="1652">
        <f>QE総生産!AI114/QE産出!AJ7</f>
        <v>0.65505802259731583</v>
      </c>
      <c r="AH7" s="1652">
        <f>QE総生産!AJ114/QE産出!AK7</f>
        <v>0.57755874833661502</v>
      </c>
      <c r="AI7" s="742"/>
      <c r="AJ7" s="742"/>
    </row>
    <row r="8" spans="1:36" s="740" customFormat="1" ht="13" hidden="1">
      <c r="A8" s="1483">
        <v>2012</v>
      </c>
      <c r="B8" s="142" t="s">
        <v>9797</v>
      </c>
      <c r="C8" s="1652">
        <f>QE総生産!D115/QE産出!D8</f>
        <v>0.48766185753928754</v>
      </c>
      <c r="D8" s="1652">
        <f>QE総生産!E115/QE産出!E8</f>
        <v>0.42297184740847188</v>
      </c>
      <c r="E8" s="1652">
        <f>QE総生産!F115/QE産出!F8</f>
        <v>0.71060657852327824</v>
      </c>
      <c r="F8" s="1652">
        <f>QE総生産!G115/QE産出!G8</f>
        <v>0.38411313225797306</v>
      </c>
      <c r="G8" s="1652">
        <f>QE総生産!I115/QE産出!H8</f>
        <v>0.40058602778341301</v>
      </c>
      <c r="H8" s="1652">
        <f>QE総生産!J115/QE産出!I8</f>
        <v>0.32879548176533679</v>
      </c>
      <c r="I8" s="1652">
        <f>QE総生産!K115/QE産出!J8</f>
        <v>0.31070163062782014</v>
      </c>
      <c r="J8" s="1652">
        <f>QE総生産!L115/QE産出!K8</f>
        <v>0.25834548059333262</v>
      </c>
      <c r="K8" s="1652">
        <f>QE総生産!M115/QE産出!L8</f>
        <v>0.19255570125031107</v>
      </c>
      <c r="L8" s="1652">
        <f>QE総生産!N115/QE産出!M8</f>
        <v>0.37506145265670099</v>
      </c>
      <c r="M8" s="1652">
        <f>QE総生産!O115/QE産出!N8</f>
        <v>0.20976398509202929</v>
      </c>
      <c r="N8" s="1652">
        <f>QE総生産!P115/QE産出!O8</f>
        <v>0.40835252716186765</v>
      </c>
      <c r="O8" s="1652">
        <f>QE総生産!Q115/QE産出!P8</f>
        <v>0.4189894853768924</v>
      </c>
      <c r="P8" s="1652">
        <f>QE総生産!R115/QE産出!Q8</f>
        <v>0.17486811277367362</v>
      </c>
      <c r="Q8" s="1652">
        <f>QE総生産!S115/QE産出!R8</f>
        <v>0.34797079763878674</v>
      </c>
      <c r="R8" s="1652">
        <f>QE総生産!T115/QE産出!S8</f>
        <v>0.33700967484613437</v>
      </c>
      <c r="S8" s="1652">
        <f>QE総生産!U115/QE産出!T8</f>
        <v>0.40409628125875324</v>
      </c>
      <c r="T8" s="1652">
        <f>QE総生産!V115/QE産出!U8</f>
        <v>0.42237898497651588</v>
      </c>
      <c r="U8" s="1652">
        <f>QE総生産!W115/QE産出!V8</f>
        <v>0.37899606417258108</v>
      </c>
      <c r="V8" s="1652">
        <f>QE総生産!X115/QE産出!W8</f>
        <v>0.37405675178266473</v>
      </c>
      <c r="W8" s="1652">
        <f>QE総生産!X115/QE産出!X8</f>
        <v>0.40988214610377066</v>
      </c>
      <c r="X8" s="1652">
        <f>QE総生産!Z115/QE産出!AA8</f>
        <v>0.62349656696779532</v>
      </c>
      <c r="Y8" s="1652">
        <f>QE総生産!AA115/QE産出!AB8</f>
        <v>0.6166186526756704</v>
      </c>
      <c r="Z8" s="1652">
        <f>QE総生産!AB115/QE産出!AC8</f>
        <v>0.43910028155645836</v>
      </c>
      <c r="AA8" s="1652">
        <f>QE総生産!AC115/QE産出!AD8</f>
        <v>0.52506233940004299</v>
      </c>
      <c r="AB8" s="1652">
        <f>QE総生産!AD115/QE産出!AE8</f>
        <v>0.65723389095481166</v>
      </c>
      <c r="AC8" s="1652">
        <f>QE総生産!AE115/QE産出!AF8</f>
        <v>0.82661442089737225</v>
      </c>
      <c r="AD8" s="1652">
        <f>QE総生産!AF115/QE産出!AG8</f>
        <v>0.71312772866303797</v>
      </c>
      <c r="AE8" s="1652">
        <f>QE総生産!AG115/QE産出!AH8</f>
        <v>0.73142875137366892</v>
      </c>
      <c r="AF8" s="1652">
        <f>QE総生産!AH115/QE産出!AI8</f>
        <v>0.75587299242161976</v>
      </c>
      <c r="AG8" s="1652">
        <f>QE総生産!AI115/QE産出!AJ8</f>
        <v>0.70597484299047397</v>
      </c>
      <c r="AH8" s="1652">
        <f>QE総生産!AJ115/QE産出!AK8</f>
        <v>0.60756342864739943</v>
      </c>
      <c r="AI8" s="742"/>
      <c r="AJ8" s="742"/>
    </row>
    <row r="9" spans="1:36" s="740" customFormat="1" ht="13" hidden="1">
      <c r="A9" s="1483">
        <v>2013</v>
      </c>
      <c r="B9" s="142" t="s">
        <v>9798</v>
      </c>
      <c r="C9" s="1652">
        <f>QE総生産!D116/QE産出!D9</f>
        <v>0.42110634239938588</v>
      </c>
      <c r="D9" s="1652">
        <f>QE総生産!E116/QE産出!E9</f>
        <v>0.473758313448502</v>
      </c>
      <c r="E9" s="1652">
        <f>QE総生産!F116/QE産出!F9</f>
        <v>0.35055827185259092</v>
      </c>
      <c r="F9" s="1652">
        <f>QE総生産!G116/QE産出!G9</f>
        <v>0.45533941332277567</v>
      </c>
      <c r="G9" s="1652">
        <f>QE総生産!I116/QE産出!H9</f>
        <v>0.40050619186441916</v>
      </c>
      <c r="H9" s="1652">
        <f>QE総生産!J116/QE産出!I9</f>
        <v>0.30956787405108477</v>
      </c>
      <c r="I9" s="1652">
        <f>QE総生産!K116/QE産出!J9</f>
        <v>0.34232987800186493</v>
      </c>
      <c r="J9" s="1652">
        <f>QE総生産!L116/QE産出!K9</f>
        <v>0.31165301348188473</v>
      </c>
      <c r="K9" s="1652">
        <f>QE総生産!M116/QE産出!L9</f>
        <v>0.18720479728312683</v>
      </c>
      <c r="L9" s="1652">
        <f>QE総生産!N116/QE産出!M9</f>
        <v>0.41745176965043063</v>
      </c>
      <c r="M9" s="1652">
        <f>QE総生産!O116/QE産出!N9</f>
        <v>0.24010962377096315</v>
      </c>
      <c r="N9" s="1652">
        <f>QE総生産!P116/QE産出!O9</f>
        <v>0.39941137571236429</v>
      </c>
      <c r="O9" s="1652">
        <f>QE総生産!Q116/QE産出!P9</f>
        <v>0.46152549801788961</v>
      </c>
      <c r="P9" s="1652">
        <f>QE総生産!R116/QE産出!Q9</f>
        <v>0.23956737482079418</v>
      </c>
      <c r="Q9" s="1652">
        <f>QE総生産!S116/QE産出!R9</f>
        <v>0.30023946532098811</v>
      </c>
      <c r="R9" s="1652">
        <f>QE総生産!T116/QE産出!S9</f>
        <v>0.33384347988338436</v>
      </c>
      <c r="S9" s="1652">
        <f>QE総生産!U116/QE産出!T9</f>
        <v>0.34776141514402414</v>
      </c>
      <c r="T9" s="1652">
        <f>QE総生産!V116/QE産出!U9</f>
        <v>0.44511579187362782</v>
      </c>
      <c r="U9" s="1652">
        <f>QE総生産!W116/QE産出!V9</f>
        <v>0.38072029675098834</v>
      </c>
      <c r="V9" s="1652">
        <f>QE総生産!X116/QE産出!W9</f>
        <v>0.4081866617361935</v>
      </c>
      <c r="W9" s="1652">
        <f>QE総生産!X116/QE産出!X9</f>
        <v>0.41977596294173847</v>
      </c>
      <c r="X9" s="1652">
        <f>QE総生産!Z116/QE産出!AA9</f>
        <v>0.63442425191498864</v>
      </c>
      <c r="Y9" s="1652">
        <f>QE総生産!AA116/QE産出!AB9</f>
        <v>0.54675161400785588</v>
      </c>
      <c r="Z9" s="1652">
        <f>QE総生産!AB116/QE産出!AC9</f>
        <v>0.41428395351064806</v>
      </c>
      <c r="AA9" s="1652">
        <f>QE総生産!AC116/QE産出!AD9</f>
        <v>0.54029848092591304</v>
      </c>
      <c r="AB9" s="1652">
        <f>QE総生産!AD116/QE産出!AE9</f>
        <v>0.6868155323286651</v>
      </c>
      <c r="AC9" s="1652">
        <f>QE総生産!AE116/QE産出!AF9</f>
        <v>0.82927009854010025</v>
      </c>
      <c r="AD9" s="1652">
        <f>QE総生産!AF116/QE産出!AG9</f>
        <v>0.70381788314476568</v>
      </c>
      <c r="AE9" s="1652">
        <f>QE総生産!AG116/QE産出!AH9</f>
        <v>0.73217162431845451</v>
      </c>
      <c r="AF9" s="1652">
        <f>QE総生産!AH116/QE産出!AI9</f>
        <v>0.82715769755254553</v>
      </c>
      <c r="AG9" s="1652">
        <f>QE総生産!AI116/QE産出!AJ9</f>
        <v>0.66548536611486708</v>
      </c>
      <c r="AH9" s="1652">
        <f>QE総生産!AJ116/QE産出!AK9</f>
        <v>0.58233160702221232</v>
      </c>
      <c r="AI9" s="742"/>
      <c r="AJ9" s="742"/>
    </row>
    <row r="10" spans="1:36" s="740" customFormat="1" ht="13" hidden="1">
      <c r="A10" s="1483">
        <v>2014</v>
      </c>
      <c r="B10" s="142" t="s">
        <v>9799</v>
      </c>
      <c r="C10" s="1652">
        <f>QE総生産!D117/QE産出!D10</f>
        <v>0.41516677280216824</v>
      </c>
      <c r="D10" s="1652">
        <f>QE総生産!E117/QE産出!E10</f>
        <v>0.50381400115807629</v>
      </c>
      <c r="E10" s="1652">
        <f>QE総生産!F117/QE産出!F10</f>
        <v>0.48256302292895181</v>
      </c>
      <c r="F10" s="1652">
        <f>QE総生産!G117/QE産出!G10</f>
        <v>0.50359303840897607</v>
      </c>
      <c r="G10" s="1652">
        <f>QE総生産!I117/QE産出!H10</f>
        <v>0.37741828026797353</v>
      </c>
      <c r="H10" s="1652">
        <f>QE総生産!J117/QE産出!I10</f>
        <v>0.37173623811910661</v>
      </c>
      <c r="I10" s="1652">
        <f>QE総生産!K117/QE産出!J10</f>
        <v>0.34509724369222605</v>
      </c>
      <c r="J10" s="1652">
        <f>QE総生産!L117/QE産出!K10</f>
        <v>0.35157453242195463</v>
      </c>
      <c r="K10" s="1652">
        <f>QE総生産!M117/QE産出!L10</f>
        <v>0.2317037044464294</v>
      </c>
      <c r="L10" s="1652">
        <f>QE総生産!N117/QE産出!M10</f>
        <v>0.42645410329316996</v>
      </c>
      <c r="M10" s="1652">
        <f>QE総生産!O117/QE産出!N10</f>
        <v>0.25940213084824415</v>
      </c>
      <c r="N10" s="1652">
        <f>QE総生産!P117/QE産出!O10</f>
        <v>0.40632515228906463</v>
      </c>
      <c r="O10" s="1652">
        <f>QE総生産!Q117/QE産出!P10</f>
        <v>0.46988333132091209</v>
      </c>
      <c r="P10" s="1652">
        <f>QE総生産!R117/QE産出!Q10</f>
        <v>0.29332699421355063</v>
      </c>
      <c r="Q10" s="1652">
        <f>QE総生産!S117/QE産出!R10</f>
        <v>0.34594825627636527</v>
      </c>
      <c r="R10" s="1652">
        <f>QE総生産!T117/QE産出!S10</f>
        <v>0.42771567318312359</v>
      </c>
      <c r="S10" s="1652">
        <f>QE総生産!U117/QE産出!T10</f>
        <v>0.38938953075180921</v>
      </c>
      <c r="T10" s="1652">
        <f>QE総生産!V117/QE産出!U10</f>
        <v>0.40972997411771594</v>
      </c>
      <c r="U10" s="1652">
        <f>QE総生産!W117/QE産出!V10</f>
        <v>0.39084658235758346</v>
      </c>
      <c r="V10" s="1652">
        <f>QE総生産!X117/QE産出!W10</f>
        <v>0.38259526638288843</v>
      </c>
      <c r="W10" s="1652">
        <f>QE総生産!X117/QE産出!X10</f>
        <v>0.39657514886868844</v>
      </c>
      <c r="X10" s="1652">
        <f>QE総生産!Z117/QE産出!AA10</f>
        <v>0.61188721088195863</v>
      </c>
      <c r="Y10" s="1652">
        <f>QE総生産!AA117/QE産出!AB10</f>
        <v>0.6480353068145559</v>
      </c>
      <c r="Z10" s="1652">
        <f>QE総生産!AB117/QE産出!AC10</f>
        <v>0.39207600185302277</v>
      </c>
      <c r="AA10" s="1652">
        <f>QE総生産!AC117/QE産出!AD10</f>
        <v>0.50301583907172365</v>
      </c>
      <c r="AB10" s="1652">
        <f>QE総生産!AD117/QE産出!AE10</f>
        <v>0.65051492827741619</v>
      </c>
      <c r="AC10" s="1652">
        <f>QE総生産!AE117/QE産出!AF10</f>
        <v>0.81185385061406312</v>
      </c>
      <c r="AD10" s="1652">
        <f>QE総生産!AF117/QE産出!AG10</f>
        <v>0.65439401664138408</v>
      </c>
      <c r="AE10" s="1652">
        <f>QE総生産!AG117/QE産出!AH10</f>
        <v>0.75512074883760805</v>
      </c>
      <c r="AF10" s="1652">
        <f>QE総生産!AH117/QE産出!AI10</f>
        <v>0.77274375400012463</v>
      </c>
      <c r="AG10" s="1652">
        <f>QE総生産!AI117/QE産出!AJ10</f>
        <v>0.66134356762389912</v>
      </c>
      <c r="AH10" s="1652">
        <f>QE総生産!AJ117/QE産出!AK10</f>
        <v>0.54934709268949045</v>
      </c>
      <c r="AI10" s="742"/>
      <c r="AJ10" s="742"/>
    </row>
    <row r="11" spans="1:36" s="740" customFormat="1" ht="13">
      <c r="A11" s="1660">
        <v>2015</v>
      </c>
      <c r="B11" s="1661" t="s">
        <v>9800</v>
      </c>
      <c r="C11" s="1652">
        <f>QE総生産!D118/QE産出!D11</f>
        <v>0.45990326349385996</v>
      </c>
      <c r="D11" s="1652">
        <f>QE総生産!E118/QE産出!E11</f>
        <v>0.49631125540872878</v>
      </c>
      <c r="E11" s="1652">
        <f>QE総生産!F118/QE産出!F11</f>
        <v>0.56422450813450487</v>
      </c>
      <c r="F11" s="1652">
        <f>QE総生産!G118/QE産出!G11</f>
        <v>0.44236882442485465</v>
      </c>
      <c r="G11" s="1652">
        <f>QE総生産!I118/QE産出!H11</f>
        <v>0.3791907053614203</v>
      </c>
      <c r="H11" s="1652">
        <f>QE総生産!J118/QE産出!I11</f>
        <v>0.41693116441974554</v>
      </c>
      <c r="I11" s="1652">
        <f>QE総生産!K118/QE産出!J11</f>
        <v>0.38829079407045569</v>
      </c>
      <c r="J11" s="1652">
        <f>QE総生産!L118/QE産出!K11</f>
        <v>0.3846754357089831</v>
      </c>
      <c r="K11" s="1652">
        <f>QE総生産!M118/QE産出!L11</f>
        <v>0.23059398494151126</v>
      </c>
      <c r="L11" s="1652">
        <f>QE総生産!N118/QE産出!M11</f>
        <v>0.43950053824121471</v>
      </c>
      <c r="M11" s="1652">
        <f>QE総生産!O118/QE産出!N11</f>
        <v>0.25444853060989614</v>
      </c>
      <c r="N11" s="1652">
        <f>QE総生産!P118/QE産出!O11</f>
        <v>0.40667256955630243</v>
      </c>
      <c r="O11" s="1652">
        <f>QE総生産!Q118/QE産出!P11</f>
        <v>0.5031593891971905</v>
      </c>
      <c r="P11" s="1652">
        <f>QE総生産!R118/QE産出!Q11</f>
        <v>0.22831728318905717</v>
      </c>
      <c r="Q11" s="1652">
        <f>QE総生産!S118/QE産出!R11</f>
        <v>0.35964413321385069</v>
      </c>
      <c r="R11" s="1652">
        <f>QE総生産!T118/QE産出!S11</f>
        <v>0.30340726645792276</v>
      </c>
      <c r="S11" s="1652">
        <f>QE総生産!U118/QE産出!T11</f>
        <v>0.42738195827856873</v>
      </c>
      <c r="T11" s="1652">
        <f>QE総生産!V118/QE産出!U11</f>
        <v>0.44740197415592153</v>
      </c>
      <c r="U11" s="1652">
        <f>QE総生産!W118/QE産出!V11</f>
        <v>0.4163171985197649</v>
      </c>
      <c r="V11" s="1652">
        <f>QE総生産!X118/QE産出!W11</f>
        <v>0.45347569361684498</v>
      </c>
      <c r="W11" s="1652">
        <f>QE総生産!X118/QE産出!X11</f>
        <v>0.45221261365407717</v>
      </c>
      <c r="X11" s="1652">
        <f>QE総生産!Z118/QE産出!AA11</f>
        <v>0.60609625488440588</v>
      </c>
      <c r="Y11" s="1652">
        <f>QE総生産!AA118/QE産出!AB11</f>
        <v>0.55515834812326781</v>
      </c>
      <c r="Z11" s="1652">
        <f>QE総生産!AB118/QE産出!AC11</f>
        <v>0.40874225016291743</v>
      </c>
      <c r="AA11" s="1652">
        <f>QE総生産!AC118/QE産出!AD11</f>
        <v>0.49792177789224895</v>
      </c>
      <c r="AB11" s="1652">
        <f>QE総生産!AD118/QE産出!AE11</f>
        <v>0.66185817277069781</v>
      </c>
      <c r="AC11" s="1652">
        <f>QE総生産!AE118/QE産出!AF11</f>
        <v>0.82944333009037707</v>
      </c>
      <c r="AD11" s="1652">
        <f>QE総生産!AF118/QE産出!AG11</f>
        <v>0.73558298098384856</v>
      </c>
      <c r="AE11" s="1652">
        <f>QE総生産!AG118/QE産出!AH11</f>
        <v>0.76608678828058596</v>
      </c>
      <c r="AF11" s="1652">
        <f>QE総生産!AH118/QE産出!AI11</f>
        <v>0.86722727658103171</v>
      </c>
      <c r="AG11" s="1652">
        <f>QE総生産!AI118/QE産出!AJ11</f>
        <v>0.68451276421968033</v>
      </c>
      <c r="AH11" s="1652">
        <f>QE総生産!AJ118/QE産出!AK11</f>
        <v>0.59138006682064104</v>
      </c>
      <c r="AI11" s="1652">
        <f>QE総生産!AK118/QE産出!AL11</f>
        <v>0.50987067298894728</v>
      </c>
      <c r="AJ11" s="742"/>
    </row>
    <row r="12" spans="1:36" s="740" customFormat="1" ht="13">
      <c r="A12" s="1660">
        <v>2016</v>
      </c>
      <c r="B12" s="1661" t="s">
        <v>9801</v>
      </c>
      <c r="C12" s="1652">
        <f>QE総生産!D119/QE産出!D12</f>
        <v>0.4802274050933788</v>
      </c>
      <c r="D12" s="1652">
        <f>QE総生産!E119/QE産出!E12</f>
        <v>0.46910375704687068</v>
      </c>
      <c r="E12" s="1652">
        <f>QE総生産!F119/QE産出!F12</f>
        <v>0.61470280635846097</v>
      </c>
      <c r="F12" s="1652">
        <f>QE総生産!G119/QE産出!G12</f>
        <v>0.36176860247493237</v>
      </c>
      <c r="G12" s="1652">
        <f>QE総生産!I119/QE産出!H12</f>
        <v>0.39189186322269048</v>
      </c>
      <c r="H12" s="1652">
        <f>QE総生産!J119/QE産出!I12</f>
        <v>0.40280685932405103</v>
      </c>
      <c r="I12" s="1652">
        <f>QE総生産!K119/QE産出!J12</f>
        <v>0.39454260452761625</v>
      </c>
      <c r="J12" s="1652">
        <f>QE総生産!L119/QE産出!K12</f>
        <v>0.39971308118377696</v>
      </c>
      <c r="K12" s="1652">
        <f>QE総生産!M119/QE産出!L12</f>
        <v>0.27666120117110904</v>
      </c>
      <c r="L12" s="1652">
        <f>QE総生産!N119/QE産出!M12</f>
        <v>0.4217521179593432</v>
      </c>
      <c r="M12" s="1652">
        <f>QE総生産!O119/QE産出!N12</f>
        <v>0.25384712391061243</v>
      </c>
      <c r="N12" s="1652">
        <f>QE総生産!P119/QE産出!O12</f>
        <v>0.39391409231256641</v>
      </c>
      <c r="O12" s="1652">
        <f>QE総生産!Q119/QE産出!P12</f>
        <v>0.46508638057330298</v>
      </c>
      <c r="P12" s="1652">
        <f>QE総生産!R119/QE産出!Q12</f>
        <v>0.26935200843194185</v>
      </c>
      <c r="Q12" s="1652">
        <f>QE総生産!S119/QE産出!R12</f>
        <v>0.31061711067090314</v>
      </c>
      <c r="R12" s="1652">
        <f>QE総生産!T119/QE産出!S12</f>
        <v>0.25490076080352175</v>
      </c>
      <c r="S12" s="1652">
        <f>QE総生産!U119/QE産出!T12</f>
        <v>0.44785441952686206</v>
      </c>
      <c r="T12" s="1652">
        <f>QE総生産!V119/QE産出!U12</f>
        <v>0.45524836786691714</v>
      </c>
      <c r="U12" s="1652">
        <f>QE総生産!W119/QE産出!V12</f>
        <v>0.4176113408769318</v>
      </c>
      <c r="V12" s="1652">
        <f>QE総生産!X119/QE産出!W12</f>
        <v>0.49870717045385327</v>
      </c>
      <c r="W12" s="1652">
        <f>QE総生産!X119/QE産出!X12</f>
        <v>0.49671112558287384</v>
      </c>
      <c r="X12" s="1652">
        <f>QE総生産!Z119/QE産出!AA12</f>
        <v>0.60838351608285146</v>
      </c>
      <c r="Y12" s="1652">
        <f>QE総生産!AA119/QE産出!AB12</f>
        <v>0.56707281251609643</v>
      </c>
      <c r="Z12" s="1652">
        <f>QE総生産!AB119/QE産出!AC12</f>
        <v>0.44956064690535008</v>
      </c>
      <c r="AA12" s="1652">
        <f>QE総生産!AC119/QE産出!AD12</f>
        <v>0.51191010732071818</v>
      </c>
      <c r="AB12" s="1652">
        <f>QE総生産!AD119/QE産出!AE12</f>
        <v>0.62759696168822132</v>
      </c>
      <c r="AC12" s="1652">
        <f>QE総生産!AE119/QE産出!AF12</f>
        <v>0.82568478636633635</v>
      </c>
      <c r="AD12" s="1652">
        <f>QE総生産!AF119/QE産出!AG12</f>
        <v>0.73395507467533949</v>
      </c>
      <c r="AE12" s="1652">
        <f>QE総生産!AG119/QE産出!AH12</f>
        <v>0.77025480966804283</v>
      </c>
      <c r="AF12" s="1652">
        <f>QE総生産!AH119/QE産出!AI12</f>
        <v>0.82240622860348922</v>
      </c>
      <c r="AG12" s="1652">
        <f>QE総生産!AI119/QE産出!AJ12</f>
        <v>0.70313828611809537</v>
      </c>
      <c r="AH12" s="1652">
        <f>QE総生産!AJ119/QE産出!AK12</f>
        <v>0.57903627090573784</v>
      </c>
      <c r="AI12" s="1652">
        <f>QE総生産!AK119/QE産出!AL12</f>
        <v>0.51384099432227337</v>
      </c>
      <c r="AJ12" s="742"/>
    </row>
    <row r="13" spans="1:36" s="740" customFormat="1" ht="13">
      <c r="A13" s="1660">
        <v>2017</v>
      </c>
      <c r="B13" s="1661" t="s">
        <v>9802</v>
      </c>
      <c r="C13" s="1652">
        <f>QE総生産!D120/QE産出!D13</f>
        <v>0.45193916861132472</v>
      </c>
      <c r="D13" s="1652">
        <f>QE総生産!E120/QE産出!E13</f>
        <v>0.49214244883361125</v>
      </c>
      <c r="E13" s="1652">
        <f>QE総生産!F120/QE産出!F13</f>
        <v>0.50336735806212973</v>
      </c>
      <c r="F13" s="1652">
        <f>QE総生産!G120/QE産出!G13</f>
        <v>0.48628270532584877</v>
      </c>
      <c r="G13" s="1652">
        <f>QE総生産!I120/QE産出!H13</f>
        <v>0.39725495323651788</v>
      </c>
      <c r="H13" s="1652">
        <f>QE総生産!J120/QE産出!I13</f>
        <v>0.40726188156699128</v>
      </c>
      <c r="I13" s="1652">
        <f>QE総生産!K120/QE産出!J13</f>
        <v>0.39105381023623581</v>
      </c>
      <c r="J13" s="1652">
        <f>QE総生産!L120/QE産出!K13</f>
        <v>0.39704333201629288</v>
      </c>
      <c r="K13" s="1652">
        <f>QE総生産!M120/QE産出!L13</f>
        <v>0.29032480360812324</v>
      </c>
      <c r="L13" s="1652">
        <f>QE総生産!N120/QE産出!M13</f>
        <v>0.45772191967340908</v>
      </c>
      <c r="M13" s="1652">
        <f>QE総生産!O120/QE産出!N13</f>
        <v>0.32845215233075464</v>
      </c>
      <c r="N13" s="1652">
        <f>QE総生産!P120/QE産出!O13</f>
        <v>0.3852000872026326</v>
      </c>
      <c r="O13" s="1652">
        <f>QE総生産!Q120/QE産出!P13</f>
        <v>0.4712096649378591</v>
      </c>
      <c r="P13" s="1652">
        <f>QE総生産!R120/QE産出!Q13</f>
        <v>0.34062925254325072</v>
      </c>
      <c r="Q13" s="1652">
        <f>QE総生産!S120/QE産出!R13</f>
        <v>0.31173183540174104</v>
      </c>
      <c r="R13" s="1652">
        <f>QE総生産!T120/QE産出!S13</f>
        <v>0.28352992577060582</v>
      </c>
      <c r="S13" s="1652">
        <f>QE総生産!U120/QE産出!T13</f>
        <v>0.39846005131352352</v>
      </c>
      <c r="T13" s="1652">
        <f>QE総生産!V120/QE産出!U13</f>
        <v>0.39989877811490016</v>
      </c>
      <c r="U13" s="1652">
        <f>QE総生産!W120/QE産出!V13</f>
        <v>0.39400231216224429</v>
      </c>
      <c r="V13" s="1652">
        <f>QE総生産!X120/QE産出!W13</f>
        <v>0.47094253821075877</v>
      </c>
      <c r="W13" s="1652">
        <f>QE総生産!X120/QE産出!X13</f>
        <v>0.53573228341980883</v>
      </c>
      <c r="X13" s="1652">
        <f>QE総生産!Z120/QE産出!AA13</f>
        <v>0.63149242398404248</v>
      </c>
      <c r="Y13" s="1652">
        <f>QE総生産!AA120/QE産出!AB13</f>
        <v>0.60318061069906725</v>
      </c>
      <c r="Z13" s="1652">
        <f>QE総生産!AB120/QE産出!AC13</f>
        <v>0.44198452180234343</v>
      </c>
      <c r="AA13" s="1652">
        <f>QE総生産!AC120/QE産出!AD13</f>
        <v>0.4953301744776013</v>
      </c>
      <c r="AB13" s="1652">
        <f>QE総生産!AD120/QE産出!AE13</f>
        <v>0.63404286481492445</v>
      </c>
      <c r="AC13" s="1652">
        <f>QE総生産!AE120/QE産出!AF13</f>
        <v>0.82353586685750668</v>
      </c>
      <c r="AD13" s="1652">
        <f>QE総生産!AF120/QE産出!AG13</f>
        <v>0.7136690164988585</v>
      </c>
      <c r="AE13" s="1652">
        <f>QE総生産!AG120/QE産出!AH13</f>
        <v>0.74905972599292314</v>
      </c>
      <c r="AF13" s="1652">
        <f>QE総生産!AH120/QE産出!AI13</f>
        <v>0.86602177159701554</v>
      </c>
      <c r="AG13" s="1652">
        <f>QE総生産!AI120/QE産出!AJ13</f>
        <v>0.66241697615677719</v>
      </c>
      <c r="AH13" s="1652">
        <f>QE総生産!AJ120/QE産出!AK13</f>
        <v>0.61041087607479838</v>
      </c>
      <c r="AI13" s="1652">
        <f>QE総生産!AK120/QE産出!AL13</f>
        <v>0.52214187666403544</v>
      </c>
      <c r="AJ13" s="742"/>
    </row>
    <row r="14" spans="1:36" s="740" customFormat="1" ht="13">
      <c r="A14" s="1660">
        <v>2018</v>
      </c>
      <c r="B14" s="1661" t="s">
        <v>9803</v>
      </c>
      <c r="C14" s="1652">
        <f>QE総生産!D121/QE産出!D14</f>
        <v>0.42213677016334716</v>
      </c>
      <c r="D14" s="1652">
        <f>QE総生産!E121/QE産出!E14</f>
        <v>0.46753989065506507</v>
      </c>
      <c r="E14" s="1652">
        <f>QE総生産!F121/QE産出!F14</f>
        <v>0.53454413300377623</v>
      </c>
      <c r="F14" s="1652">
        <f>QE総生産!G121/QE産出!G14</f>
        <v>0.45682982676302392</v>
      </c>
      <c r="G14" s="1652">
        <f>QE総生産!I121/QE産出!H14</f>
        <v>0.39041826485306613</v>
      </c>
      <c r="H14" s="1652">
        <f>QE総生産!J121/QE産出!I14</f>
        <v>0.42192993987554539</v>
      </c>
      <c r="I14" s="1652">
        <f>QE総生産!K121/QE産出!J14</f>
        <v>0.39010234101669716</v>
      </c>
      <c r="J14" s="1652">
        <f>QE総生産!L121/QE産出!K14</f>
        <v>0.38943336548705126</v>
      </c>
      <c r="K14" s="1652">
        <f>QE総生産!M121/QE産出!L14</f>
        <v>0.22406801247326893</v>
      </c>
      <c r="L14" s="1652">
        <f>QE総生産!N121/QE産出!M14</f>
        <v>0.42746901199622656</v>
      </c>
      <c r="M14" s="1652">
        <f>QE総生産!O121/QE産出!N14</f>
        <v>0.26511520712939646</v>
      </c>
      <c r="N14" s="1652">
        <f>QE総生産!P121/QE産出!O14</f>
        <v>0.38637889563896399</v>
      </c>
      <c r="O14" s="1652">
        <f>QE総生産!Q121/QE産出!P14</f>
        <v>0.4531709091669156</v>
      </c>
      <c r="P14" s="1652">
        <f>QE総生産!R121/QE産出!Q14</f>
        <v>0.35577229631066543</v>
      </c>
      <c r="Q14" s="1652">
        <f>QE総生産!S121/QE産出!R14</f>
        <v>0.3325181424566282</v>
      </c>
      <c r="R14" s="1652">
        <f>QE総生産!T121/QE産出!S14</f>
        <v>0.33057435253834944</v>
      </c>
      <c r="S14" s="1652">
        <f>QE総生産!U121/QE産出!T14</f>
        <v>0.40786335625162151</v>
      </c>
      <c r="T14" s="1652">
        <f>QE総生産!V121/QE産出!U14</f>
        <v>0.47780722792654867</v>
      </c>
      <c r="U14" s="1652">
        <f>QE総生産!W121/QE産出!V14</f>
        <v>0.37980769419652499</v>
      </c>
      <c r="V14" s="1652">
        <f>QE総生産!X121/QE産出!W14</f>
        <v>0.45961352734728411</v>
      </c>
      <c r="W14" s="1652">
        <f>QE総生産!X121/QE産出!X14</f>
        <v>0.54140955452056072</v>
      </c>
      <c r="X14" s="1652">
        <f>QE総生産!Z121/QE産出!AA14</f>
        <v>0.6192709097469985</v>
      </c>
      <c r="Y14" s="1652">
        <f>QE総生産!AA121/QE産出!AB14</f>
        <v>0.55481800916337853</v>
      </c>
      <c r="Z14" s="1652">
        <f>QE総生産!AB121/QE産出!AC14</f>
        <v>0.46104521282928207</v>
      </c>
      <c r="AA14" s="1652">
        <f>QE総生産!AC121/QE産出!AD14</f>
        <v>0.50581540090582322</v>
      </c>
      <c r="AB14" s="1652">
        <f>QE総生産!AD121/QE産出!AE14</f>
        <v>0.63087901353065745</v>
      </c>
      <c r="AC14" s="1652">
        <f>QE総生産!AE121/QE産出!AF14</f>
        <v>0.82845217450335351</v>
      </c>
      <c r="AD14" s="1652">
        <f>QE総生産!AF121/QE産出!AG14</f>
        <v>0.70080782353401949</v>
      </c>
      <c r="AE14" s="1652">
        <f>QE総生産!AG121/QE産出!AH14</f>
        <v>0.76994802152888031</v>
      </c>
      <c r="AF14" s="1652">
        <f>QE総生産!AH121/QE産出!AI14</f>
        <v>0.7717740472880309</v>
      </c>
      <c r="AG14" s="1652">
        <f>QE総生産!AI121/QE産出!AJ14</f>
        <v>0.70722351535301953</v>
      </c>
      <c r="AH14" s="1652">
        <f>QE総生産!AJ121/QE産出!AK14</f>
        <v>0.58544118820766522</v>
      </c>
      <c r="AI14" s="1652">
        <f>QE総生産!AK121/QE産出!AL14</f>
        <v>0.51476146309437365</v>
      </c>
      <c r="AJ14" s="742"/>
    </row>
    <row r="15" spans="1:36" s="740" customFormat="1" ht="13">
      <c r="A15" s="1660">
        <v>2019</v>
      </c>
      <c r="B15" s="1661" t="s">
        <v>9804</v>
      </c>
      <c r="C15" s="1652">
        <f>QE総生産!D122/QE産出!D15</f>
        <v>0.42743709628410936</v>
      </c>
      <c r="D15" s="1652">
        <f>QE総生産!E122/QE産出!E15</f>
        <v>0.51035700720310961</v>
      </c>
      <c r="E15" s="1652">
        <f>QE総生産!F122/QE産出!F15</f>
        <v>0.46298602291336494</v>
      </c>
      <c r="F15" s="1652">
        <f>QE総生産!G122/QE産出!G15</f>
        <v>0.46272840270564691</v>
      </c>
      <c r="G15" s="1652">
        <f>QE総生産!I122/QE産出!H15</f>
        <v>0.36305027209818752</v>
      </c>
      <c r="H15" s="1652">
        <f>QE総生産!J122/QE産出!I15</f>
        <v>0.39661601177567068</v>
      </c>
      <c r="I15" s="1652">
        <f>QE総生産!K122/QE産出!J15</f>
        <v>0.42310070101871688</v>
      </c>
      <c r="J15" s="1652">
        <f>QE総生産!L122/QE産出!K15</f>
        <v>0.40419284470573824</v>
      </c>
      <c r="K15" s="1652">
        <f>QE総生産!M122/QE産出!L15</f>
        <v>0.2160645071720407</v>
      </c>
      <c r="L15" s="1652">
        <f>QE総生産!N122/QE産出!M15</f>
        <v>0.39326066084079581</v>
      </c>
      <c r="M15" s="1652">
        <f>QE総生産!O122/QE産出!N15</f>
        <v>0.23436561333592365</v>
      </c>
      <c r="N15" s="1652">
        <f>QE総生産!P122/QE産出!O15</f>
        <v>0.37476638869327206</v>
      </c>
      <c r="O15" s="1652">
        <f>QE総生産!Q122/QE産出!P15</f>
        <v>0.44167174549055055</v>
      </c>
      <c r="P15" s="1652">
        <f>QE総生産!R122/QE産出!Q15</f>
        <v>0.26972674114428213</v>
      </c>
      <c r="Q15" s="1652">
        <f>QE総生産!S122/QE産出!R15</f>
        <v>0.31791568388894592</v>
      </c>
      <c r="R15" s="1652">
        <f>QE総生産!T122/QE産出!S15</f>
        <v>0.41118881641782928</v>
      </c>
      <c r="S15" s="1652">
        <f>QE総生産!U122/QE産出!T15</f>
        <v>0.3803345094472948</v>
      </c>
      <c r="T15" s="1652">
        <f>QE総生産!V122/QE産出!U15</f>
        <v>0.5053279542348732</v>
      </c>
      <c r="U15" s="1652">
        <f>QE総生産!W122/QE産出!V15</f>
        <v>0.38007232012562159</v>
      </c>
      <c r="V15" s="1652">
        <f>QE総生産!X122/QE産出!W15</f>
        <v>0.47890778328402467</v>
      </c>
      <c r="W15" s="1652">
        <f>QE総生産!X122/QE産出!X15</f>
        <v>0.55739939796883098</v>
      </c>
      <c r="X15" s="1652">
        <f>QE総生産!Z122/QE産出!AA15</f>
        <v>0.59106736094237222</v>
      </c>
      <c r="Y15" s="1652">
        <f>QE総生産!AA122/QE産出!AB15</f>
        <v>0.62404657124464658</v>
      </c>
      <c r="Z15" s="1652">
        <f>QE総生産!AB122/QE産出!AC15</f>
        <v>0.40055743044626091</v>
      </c>
      <c r="AA15" s="1652">
        <f>QE総生産!AC122/QE産出!AD15</f>
        <v>0.47136115595074735</v>
      </c>
      <c r="AB15" s="1652">
        <f>QE総生産!AD122/QE産出!AE15</f>
        <v>0.65658947629672959</v>
      </c>
      <c r="AC15" s="1652">
        <f>QE総生産!AE122/QE産出!AF15</f>
        <v>0.83521517173189308</v>
      </c>
      <c r="AD15" s="1652">
        <f>QE総生産!AF122/QE産出!AG15</f>
        <v>0.71273723050414595</v>
      </c>
      <c r="AE15" s="1652">
        <f>QE総生産!AG122/QE産出!AH15</f>
        <v>0.78678814422716303</v>
      </c>
      <c r="AF15" s="1652">
        <f>QE総生産!AH122/QE産出!AI15</f>
        <v>0.83672729650619626</v>
      </c>
      <c r="AG15" s="1652">
        <f>QE総生産!AI122/QE産出!AJ15</f>
        <v>0.67485883908968536</v>
      </c>
      <c r="AH15" s="1652">
        <f>QE総生産!AJ122/QE産出!AK15</f>
        <v>0.59038229986262847</v>
      </c>
      <c r="AI15" s="1652">
        <f>QE総生産!AK122/QE産出!AL15</f>
        <v>0.51054150628749073</v>
      </c>
      <c r="AJ15" s="742"/>
    </row>
    <row r="16" spans="1:36" s="740" customFormat="1" ht="13">
      <c r="A16" s="1660">
        <v>2020</v>
      </c>
      <c r="B16" s="1661" t="s">
        <v>9805</v>
      </c>
      <c r="C16" s="1652">
        <f>QE総生産!D123/QE産出!D16</f>
        <v>0.44110841789423572</v>
      </c>
      <c r="D16" s="1652">
        <f>QE総生産!E123/QE産出!E16</f>
        <v>0.44050437433252571</v>
      </c>
      <c r="E16" s="1652">
        <f>QE総生産!F123/QE産出!F16</f>
        <v>0.49474269019034345</v>
      </c>
      <c r="F16" s="1652">
        <f>QE総生産!G123/QE産出!G16</f>
        <v>0.44423811379912703</v>
      </c>
      <c r="G16" s="1652">
        <f>QE総生産!I123/QE産出!H16</f>
        <v>0.40301259060192546</v>
      </c>
      <c r="H16" s="1652">
        <f>QE総生産!J123/QE産出!I16</f>
        <v>0.40289824964338156</v>
      </c>
      <c r="I16" s="1652">
        <f>QE総生産!K123/QE産出!J16</f>
        <v>0.40610708530558898</v>
      </c>
      <c r="J16" s="1652">
        <f>QE総生産!L123/QE産出!K16</f>
        <v>0.34152468049224466</v>
      </c>
      <c r="K16" s="1652">
        <f>QE総生産!M123/QE産出!L16</f>
        <v>0.25017628413191501</v>
      </c>
      <c r="L16" s="1652">
        <f>QE総生産!N123/QE産出!M16</f>
        <v>0.5119073668283658</v>
      </c>
      <c r="M16" s="1652">
        <f>QE総生産!O123/QE産出!N16</f>
        <v>0.22302873410661703</v>
      </c>
      <c r="N16" s="1652">
        <f>QE総生産!P123/QE産出!O16</f>
        <v>0.41075474283263341</v>
      </c>
      <c r="O16" s="1652">
        <f>QE総生産!Q123/QE産出!P16</f>
        <v>0.45324773611743202</v>
      </c>
      <c r="P16" s="1652">
        <f>QE総生産!R123/QE産出!Q16</f>
        <v>0.32076683709268772</v>
      </c>
      <c r="Q16" s="1652">
        <f>QE総生産!S123/QE産出!R16</f>
        <v>0.29939174219605413</v>
      </c>
      <c r="R16" s="1652">
        <f>QE総生産!T123/QE産出!S16</f>
        <v>0.31428360106642439</v>
      </c>
      <c r="S16" s="1652">
        <f>QE総生産!U123/QE産出!T16</f>
        <v>0.37534077313980624</v>
      </c>
      <c r="T16" s="1652">
        <f>QE総生産!V123/QE産出!U16</f>
        <v>0.61338530690000304</v>
      </c>
      <c r="U16" s="1652">
        <f>QE総生産!W123/QE産出!V16</f>
        <v>0.39710464066531403</v>
      </c>
      <c r="V16" s="1652">
        <f>QE総生産!X123/QE産出!W16</f>
        <v>0.46923876850991852</v>
      </c>
      <c r="W16" s="1652">
        <f>QE総生産!X123/QE産出!X16</f>
        <v>0.54025556427165955</v>
      </c>
      <c r="X16" s="1652">
        <f>QE総生産!Z123/QE産出!AA16</f>
        <v>0.56542771008009429</v>
      </c>
      <c r="Y16" s="1652">
        <f>QE総生産!AA123/QE産出!AB16</f>
        <v>0.45603573845772688</v>
      </c>
      <c r="Z16" s="1652">
        <f>QE総生産!AB123/QE産出!AC16</f>
        <v>0.30911112345101804</v>
      </c>
      <c r="AA16" s="1652">
        <f>QE総生産!AC123/QE産出!AD16</f>
        <v>0.49220585449983156</v>
      </c>
      <c r="AB16" s="1652">
        <f>QE総生産!AD123/QE産出!AE16</f>
        <v>0.64011133614125471</v>
      </c>
      <c r="AC16" s="1652">
        <f>QE総生産!AE123/QE産出!AF16</f>
        <v>0.83677650574279305</v>
      </c>
      <c r="AD16" s="1652">
        <f>QE総生産!AF123/QE産出!AG16</f>
        <v>0.67669787962825112</v>
      </c>
      <c r="AE16" s="1652">
        <f>QE総生産!AG123/QE産出!AH16</f>
        <v>0.76222319736907085</v>
      </c>
      <c r="AF16" s="1652">
        <f>QE総生産!AH123/QE産出!AI16</f>
        <v>0.84036925397519757</v>
      </c>
      <c r="AG16" s="1652">
        <f>QE総生産!AI123/QE産出!AJ16</f>
        <v>0.6706486704253205</v>
      </c>
      <c r="AH16" s="1652">
        <f>QE総生産!AJ123/QE産出!AK16</f>
        <v>0.50592396194976974</v>
      </c>
      <c r="AI16" s="1652">
        <f>QE総生産!AK123/QE産出!AL16</f>
        <v>0.49589847919677704</v>
      </c>
      <c r="AJ16" s="742"/>
    </row>
    <row r="17" spans="1:36" s="740" customFormat="1" ht="13">
      <c r="A17" s="1660">
        <v>2021</v>
      </c>
      <c r="B17" s="1661" t="s">
        <v>9806</v>
      </c>
      <c r="C17" s="1652">
        <f>QE総生産!D124/QE産出!D17</f>
        <v>0.44921216042658613</v>
      </c>
      <c r="D17" s="1652">
        <f>QE総生産!E124/QE産出!E17</f>
        <v>0.61270867371106708</v>
      </c>
      <c r="E17" s="1652">
        <f>QE総生産!F124/QE産出!F17</f>
        <v>0.37019462155802091</v>
      </c>
      <c r="F17" s="1652">
        <f>QE総生産!G124/QE産出!G17</f>
        <v>0.46629375603329665</v>
      </c>
      <c r="G17" s="1652">
        <f>QE総生産!I124/QE産出!H17</f>
        <v>0.39626718027574331</v>
      </c>
      <c r="H17" s="1652">
        <f>QE総生産!J124/QE産出!I17</f>
        <v>0.39568446546657671</v>
      </c>
      <c r="I17" s="1652">
        <f>QE総生産!K124/QE産出!J17</f>
        <v>0.42890679116147001</v>
      </c>
      <c r="J17" s="1652">
        <f>QE総生産!L124/QE産出!K17</f>
        <v>0.41048826526285648</v>
      </c>
      <c r="K17" s="1652">
        <f>QE総生産!M124/QE産出!L17</f>
        <v>0.29917666437889096</v>
      </c>
      <c r="L17" s="1652">
        <f>QE総生産!N124/QE産出!M17</f>
        <v>0.47941021587950211</v>
      </c>
      <c r="M17" s="1652">
        <f>QE総生産!O124/QE産出!N17</f>
        <v>0.29031625138528544</v>
      </c>
      <c r="N17" s="1652">
        <f>QE総生産!P124/QE産出!O17</f>
        <v>0.42904056734409624</v>
      </c>
      <c r="O17" s="1652">
        <f>QE総生産!Q124/QE産出!P17</f>
        <v>0.51352510333929202</v>
      </c>
      <c r="P17" s="1652">
        <f>QE総生産!R124/QE産出!Q17</f>
        <v>0.42312406425479765</v>
      </c>
      <c r="Q17" s="1652">
        <f>QE総生産!S124/QE産出!R17</f>
        <v>0.4056586791457647</v>
      </c>
      <c r="R17" s="1652">
        <f>QE総生産!T124/QE産出!S17</f>
        <v>0.45033279922741515</v>
      </c>
      <c r="S17" s="1652">
        <f>QE総生産!U124/QE産出!T17</f>
        <v>0.36384114362227754</v>
      </c>
      <c r="T17" s="1652">
        <f>QE総生産!V124/QE産出!U17</f>
        <v>0.42833621305978753</v>
      </c>
      <c r="U17" s="1652">
        <f>QE総生産!W124/QE産出!V17</f>
        <v>0.45047186261514799</v>
      </c>
      <c r="V17" s="1652">
        <f>QE総生産!X124/QE産出!W17</f>
        <v>0.41730736680796759</v>
      </c>
      <c r="W17" s="1652">
        <f>QE総生産!X124/QE産出!X17</f>
        <v>0.54369148835826941</v>
      </c>
      <c r="X17" s="1652">
        <f>QE総生産!Z124/QE産出!AA17</f>
        <v>0.61548525123525133</v>
      </c>
      <c r="Y17" s="1652">
        <f>QE総生産!AA124/QE産出!AB17</f>
        <v>0.6256669536044881</v>
      </c>
      <c r="Z17" s="1652">
        <f>QE総生産!AB124/QE産出!AC17</f>
        <v>0.31730548760198529</v>
      </c>
      <c r="AA17" s="1652">
        <f>QE総生産!AC124/QE産出!AD17</f>
        <v>0.49239656078626592</v>
      </c>
      <c r="AB17" s="1652">
        <f>QE総生産!AD124/QE産出!AE17</f>
        <v>0.63277299244060614</v>
      </c>
      <c r="AC17" s="1652">
        <f>QE総生産!AE124/QE産出!AF17</f>
        <v>0.83479808874802375</v>
      </c>
      <c r="AD17" s="1652">
        <f>QE総生産!AF124/QE産出!AG17</f>
        <v>0.76776425266769299</v>
      </c>
      <c r="AE17" s="1652">
        <f>QE総生産!AG124/QE産出!AH17</f>
        <v>0.75468673205602721</v>
      </c>
      <c r="AF17" s="1652">
        <f>QE総生産!AH124/QE産出!AI17</f>
        <v>0.71360754208283528</v>
      </c>
      <c r="AG17" s="1652">
        <f>QE総生産!AI124/QE産出!AJ17</f>
        <v>0.6830775426340927</v>
      </c>
      <c r="AH17" s="1652">
        <f>QE総生産!AJ124/QE産出!AK17</f>
        <v>0.63602173186170596</v>
      </c>
      <c r="AI17" s="1652">
        <f>QE総生産!AK124/QE産出!AL17</f>
        <v>0.53471674403910341</v>
      </c>
      <c r="AJ17" s="742"/>
    </row>
    <row r="18" spans="1:36" s="740" customFormat="1" ht="13">
      <c r="A18" s="1660">
        <v>2022</v>
      </c>
      <c r="B18" s="1661" t="s">
        <v>9807</v>
      </c>
      <c r="C18" s="1652">
        <f>QE総生産!D125/QE産出!D18</f>
        <v>0.4542685538839219</v>
      </c>
      <c r="D18" s="1652">
        <f>QE総生産!E125/QE産出!E18</f>
        <v>0.56030478661159899</v>
      </c>
      <c r="E18" s="1652">
        <f>QE総生産!F125/QE産出!F18</f>
        <v>0.45497755093597714</v>
      </c>
      <c r="F18" s="1652">
        <f>QE総生産!G125/QE産出!G18</f>
        <v>0.56071596497778486</v>
      </c>
      <c r="G18" s="1652">
        <f>QE総生産!I125/QE産出!H18</f>
        <v>0.38333840437818117</v>
      </c>
      <c r="H18" s="1652">
        <f>QE総生産!J125/QE産出!I18</f>
        <v>0.41521403680325863</v>
      </c>
      <c r="I18" s="1652">
        <f>QE総生産!K125/QE産出!J18</f>
        <v>0.40433597826445639</v>
      </c>
      <c r="J18" s="1652">
        <f>QE総生産!L125/QE産出!K18</f>
        <v>0.36180307499026632</v>
      </c>
      <c r="K18" s="1652">
        <f>QE総生産!M125/QE産出!L18</f>
        <v>0.2594934097907261</v>
      </c>
      <c r="L18" s="1652">
        <f>QE総生産!N125/QE産出!M18</f>
        <v>0.51473404243002452</v>
      </c>
      <c r="M18" s="1652">
        <f>QE総生産!O125/QE産出!N18</f>
        <v>0.26318173895650948</v>
      </c>
      <c r="N18" s="1652">
        <f>QE総生産!P125/QE産出!O18</f>
        <v>0.43135529034686498</v>
      </c>
      <c r="O18" s="1652">
        <f>QE総生産!Q125/QE産出!P18</f>
        <v>0.46694854849259421</v>
      </c>
      <c r="P18" s="1652">
        <f>QE総生産!R125/QE産出!Q18</f>
        <v>0.26338702932712976</v>
      </c>
      <c r="Q18" s="1652">
        <f>QE総生産!S125/QE産出!R18</f>
        <v>0.3823899829792704</v>
      </c>
      <c r="R18" s="1652">
        <f>QE総生産!T125/QE産出!S18</f>
        <v>0.40115070083278359</v>
      </c>
      <c r="S18" s="1652">
        <f>QE総生産!U125/QE産出!T18</f>
        <v>0.52093940387338966</v>
      </c>
      <c r="T18" s="1652">
        <f>QE総生産!V125/QE産出!U18</f>
        <v>0.49940222030878945</v>
      </c>
      <c r="U18" s="1652">
        <f>QE総生産!W125/QE産出!V18</f>
        <v>0.44408020699835038</v>
      </c>
      <c r="V18" s="1652">
        <f>QE総生産!X125/QE産出!W18</f>
        <v>0.3497191657003812</v>
      </c>
      <c r="W18" s="1652">
        <f>QE総生産!X125/QE産出!X18</f>
        <v>0.47428529381044848</v>
      </c>
      <c r="X18" s="1652">
        <f>QE総生産!Z125/QE産出!AA18</f>
        <v>0.62648384133407287</v>
      </c>
      <c r="Y18" s="1652">
        <f>QE総生産!AA125/QE産出!AB18</f>
        <v>0.58182949915383952</v>
      </c>
      <c r="Z18" s="1652">
        <f>QE総生産!AB125/QE産出!AC18</f>
        <v>0.44571401210332423</v>
      </c>
      <c r="AA18" s="1652">
        <f>QE総生産!AC125/QE産出!AD18</f>
        <v>0.432954886942852</v>
      </c>
      <c r="AB18" s="1652">
        <f>QE総生産!AD125/QE産出!AE18</f>
        <v>0.69192862723616144</v>
      </c>
      <c r="AC18" s="1652">
        <f>QE総生産!AE125/QE産出!AF18</f>
        <v>0.82263732448895843</v>
      </c>
      <c r="AD18" s="1652">
        <f>QE総生産!AF125/QE産出!AG18</f>
        <v>0.74252725478901282</v>
      </c>
      <c r="AE18" s="1652">
        <f>QE総生産!AG125/QE産出!AH18</f>
        <v>0.74058714580863716</v>
      </c>
      <c r="AF18" s="1652">
        <f>QE総生産!AH125/QE産出!AI18</f>
        <v>0.86746947034564015</v>
      </c>
      <c r="AG18" s="1652">
        <f>QE総生産!AI125/QE産出!AJ18</f>
        <v>0.67317209719274373</v>
      </c>
      <c r="AH18" s="1652">
        <f>QE総生産!AJ125/QE産出!AK18</f>
        <v>0.61371711221219405</v>
      </c>
      <c r="AI18" s="1652">
        <f>QE総生産!AK125/QE産出!AL18</f>
        <v>0.52438376948549181</v>
      </c>
      <c r="AJ18" s="742"/>
    </row>
    <row r="19" spans="1:36" s="740" customFormat="1" ht="13">
      <c r="A19" s="1660">
        <v>2023</v>
      </c>
      <c r="B19" s="1662" t="s">
        <v>10051</v>
      </c>
      <c r="C19" s="1652">
        <f>QE総生産!D126/QE産出!D19</f>
        <v>0.44598983981829399</v>
      </c>
      <c r="D19" s="1652">
        <f>QE総生産!E126/QE産出!E19</f>
        <v>0.38593631561265074</v>
      </c>
      <c r="E19" s="1652">
        <f>QE総生産!F126/QE産出!F19</f>
        <v>0.51584627821673523</v>
      </c>
      <c r="F19" s="1652">
        <f>QE総生産!G126/QE産出!G19</f>
        <v>0.41726570574118654</v>
      </c>
      <c r="G19" s="1652">
        <f>QE総生産!I126/QE産出!H19</f>
        <v>0.38487866127516851</v>
      </c>
      <c r="H19" s="1652">
        <f>QE総生産!J126/QE産出!I19</f>
        <v>0.448186012799758</v>
      </c>
      <c r="I19" s="1652">
        <f>QE総生産!K126/QE産出!J19</f>
        <v>0.44669349744059084</v>
      </c>
      <c r="J19" s="1652">
        <f>QE総生産!L126/QE産出!K19</f>
        <v>0.45194433377936333</v>
      </c>
      <c r="K19" s="1652">
        <f>QE総生産!M126/QE産出!L19</f>
        <v>0.28123760066794212</v>
      </c>
      <c r="L19" s="1652">
        <f>QE総生産!N126/QE産出!M19</f>
        <v>0.43749206884131847</v>
      </c>
      <c r="M19" s="1652">
        <f>QE総生産!O126/QE産出!N19</f>
        <v>0.25707992730739548</v>
      </c>
      <c r="N19" s="1652">
        <f>QE総生産!P126/QE産出!O19</f>
        <v>0.36363931090878432</v>
      </c>
      <c r="O19" s="1652">
        <f>QE総生産!Q126/QE産出!P19</f>
        <v>0.44933036316714553</v>
      </c>
      <c r="P19" s="1652">
        <f>QE総生産!R126/QE産出!Q19</f>
        <v>0.18304132590611991</v>
      </c>
      <c r="Q19" s="1652">
        <f>QE総生産!S126/QE産出!R19</f>
        <v>0.37618703169694245</v>
      </c>
      <c r="R19" s="1652">
        <f>QE総生産!T126/QE産出!S19</f>
        <v>0.41131476970048253</v>
      </c>
      <c r="S19" s="1652">
        <f>QE総生産!U126/QE産出!T19</f>
        <v>0.5112911780307664</v>
      </c>
      <c r="T19" s="1652">
        <f>QE総生産!V126/QE産出!U19</f>
        <v>0.59256373081285407</v>
      </c>
      <c r="U19" s="1652">
        <f>QE総生産!W126/QE産出!V19</f>
        <v>0.41339431269511134</v>
      </c>
      <c r="V19" s="1652">
        <f>QE総生産!X126/QE産出!W19</f>
        <v>0.31649203555467526</v>
      </c>
      <c r="W19" s="1652">
        <f>QE総生産!X126/QE産出!X19</f>
        <v>0.40385929831463924</v>
      </c>
      <c r="X19" s="1652">
        <f>QE総生産!Z126/QE産出!AA19</f>
        <v>0.62479985253414005</v>
      </c>
      <c r="Y19" s="1652">
        <f>QE総生産!AA126/QE産出!AB19</f>
        <v>0.59112352285345715</v>
      </c>
      <c r="Z19" s="1652">
        <f>QE総生産!AB126/QE産出!AC19</f>
        <v>0.38846511285696367</v>
      </c>
      <c r="AA19" s="1652">
        <f>QE総生産!AC126/QE産出!AD19</f>
        <v>0.45913141024145482</v>
      </c>
      <c r="AB19" s="1652">
        <f>QE総生産!AD126/QE産出!AE19</f>
        <v>0.69873649020148831</v>
      </c>
      <c r="AC19" s="1652">
        <f>QE総生産!AE126/QE産出!AF19</f>
        <v>0.82047923609448203</v>
      </c>
      <c r="AD19" s="1652">
        <f>QE総生産!AF126/QE産出!AG19</f>
        <v>0.72113542026823707</v>
      </c>
      <c r="AE19" s="1652">
        <f>QE総生産!AG126/QE産出!AH19</f>
        <v>0.73907706575424814</v>
      </c>
      <c r="AF19" s="1652">
        <f>QE総生産!AH126/QE産出!AI19</f>
        <v>0.80085272646106387</v>
      </c>
      <c r="AG19" s="1652">
        <f>QE総生産!AI126/QE産出!AJ19</f>
        <v>0.68574375639922369</v>
      </c>
      <c r="AH19" s="1652">
        <f>QE総生産!AJ126/QE産出!AK19</f>
        <v>0.6311343662962009</v>
      </c>
      <c r="AI19" s="1652">
        <f>QE総生産!AK126/QE産出!AL19</f>
        <v>0.51802982571457068</v>
      </c>
    </row>
    <row r="20" spans="1:36" s="740" customFormat="1" ht="13">
      <c r="A20" s="1660">
        <v>2024</v>
      </c>
      <c r="B20" s="1662" t="s">
        <v>11749</v>
      </c>
      <c r="C20" s="1652">
        <f>QE総生産!D127/QE産出!D20</f>
        <v>0.40380637760352184</v>
      </c>
      <c r="D20" s="1652">
        <f>QE総生産!E127/QE産出!E20</f>
        <v>0.42156618233456045</v>
      </c>
      <c r="E20" s="1652">
        <f>QE総生産!F127/QE産出!F20</f>
        <v>0.38179147370101518</v>
      </c>
      <c r="F20" s="1652">
        <f>QE総生産!G127/QE産出!G20</f>
        <v>0.60766415806527785</v>
      </c>
      <c r="G20" s="1652">
        <f>QE総生産!I127/QE産出!H20</f>
        <v>0.38272686542304107</v>
      </c>
      <c r="H20" s="1652">
        <f>QE総生産!J127/QE産出!I20</f>
        <v>0.41494543188432531</v>
      </c>
      <c r="I20" s="1652">
        <f>QE総生産!K127/QE産出!J20</f>
        <v>0.42656858959213484</v>
      </c>
      <c r="J20" s="1652">
        <f>QE総生産!L127/QE産出!K20</f>
        <v>0.42007609885867414</v>
      </c>
      <c r="K20" s="1652">
        <f>QE総生産!M127/QE産出!L20</f>
        <v>0.33796125066976407</v>
      </c>
      <c r="L20" s="1652">
        <f>QE総生産!N127/QE産出!M20</f>
        <v>0.48593867747480834</v>
      </c>
      <c r="M20" s="1652">
        <f>QE総生産!O127/QE産出!N20</f>
        <v>0.25736251503180435</v>
      </c>
      <c r="N20" s="1652">
        <f>QE総生産!P127/QE産出!O20</f>
        <v>0.41237253808083979</v>
      </c>
      <c r="O20" s="1652">
        <f>QE総生産!Q127/QE産出!P20</f>
        <v>0.46885897503114449</v>
      </c>
      <c r="P20" s="1652">
        <f>QE総生産!R127/QE産出!Q20</f>
        <v>0.21012114526598313</v>
      </c>
      <c r="Q20" s="1652">
        <f>QE総生産!S127/QE産出!R20</f>
        <v>0.31974412462350066</v>
      </c>
      <c r="R20" s="1652">
        <f>QE総生産!T127/QE産出!S20</f>
        <v>0.28358512344159464</v>
      </c>
      <c r="S20" s="1652">
        <f>QE総生産!U127/QE産出!T20</f>
        <v>0.46763592787769531</v>
      </c>
      <c r="T20" s="1652">
        <f>QE総生産!V127/QE産出!U20</f>
        <v>0.572338824616347</v>
      </c>
      <c r="U20" s="1652">
        <f>QE総生産!W127/QE産出!V20</f>
        <v>0.41068201723659381</v>
      </c>
      <c r="V20" s="1652">
        <f>QE総生産!X127/QE産出!W20</f>
        <v>0.31097518369862048</v>
      </c>
      <c r="W20" s="1652">
        <f>QE総生産!X127/QE産出!X20</f>
        <v>0.48356467191359714</v>
      </c>
      <c r="X20" s="1652">
        <f>QE総生産!Z127/QE産出!AA20</f>
        <v>0.59595383621803677</v>
      </c>
      <c r="Y20" s="1652">
        <f>QE総生産!AA127/QE産出!AB20</f>
        <v>0.51436646414737008</v>
      </c>
      <c r="Z20" s="1652">
        <f>QE総生産!AB127/QE産出!AC20</f>
        <v>0.37738689043225621</v>
      </c>
      <c r="AA20" s="1652">
        <f>QE総生産!AC127/QE産出!AD20</f>
        <v>0.52812467736112834</v>
      </c>
      <c r="AB20" s="1652">
        <f>QE総生産!AD127/QE産出!AE20</f>
        <v>0.6648993620757474</v>
      </c>
      <c r="AC20" s="1652">
        <f>QE総生産!AE127/QE産出!AF20</f>
        <v>0.79124816928718389</v>
      </c>
      <c r="AD20" s="1652">
        <f>QE総生産!AF127/QE産出!AG20</f>
        <v>0.812902909320109</v>
      </c>
      <c r="AE20" s="1652">
        <f>QE総生産!AG127/QE産出!AH20</f>
        <v>0.71651945493639435</v>
      </c>
      <c r="AF20" s="1652">
        <f>QE総生産!AH127/QE産出!AI20</f>
        <v>0.94672323209765041</v>
      </c>
      <c r="AG20" s="1652">
        <f>QE総生産!AI127/QE産出!AJ20</f>
        <v>0.70861149483038455</v>
      </c>
      <c r="AH20" s="1652">
        <f>QE総生産!AJ127/QE産出!AK20</f>
        <v>0.57223970552777048</v>
      </c>
      <c r="AI20" s="1652">
        <f>QE総生産!AK127/QE産出!AL20</f>
        <v>0.52045101959170303</v>
      </c>
    </row>
    <row r="21" spans="1:36" s="740" customFormat="1" ht="13">
      <c r="A21" s="1657">
        <v>2025</v>
      </c>
      <c r="B21" s="1663" t="s">
        <v>11858</v>
      </c>
      <c r="C21" s="1654">
        <f>QE総生産!D128/QE産出!D21</f>
        <v>0.50713378578888402</v>
      </c>
      <c r="D21" s="1654">
        <f>QE総生産!E128/QE産出!E21</f>
        <v>0.4813522609364918</v>
      </c>
      <c r="E21" s="1654">
        <f>QE総生産!F128/QE産出!F21</f>
        <v>0.41178381973705752</v>
      </c>
      <c r="F21" s="1654">
        <f>QE総生産!G128/QE産出!G21</f>
        <v>0.45505744419462146</v>
      </c>
      <c r="G21" s="1654">
        <f>QE総生産!I128/QE産出!H21</f>
        <v>0.38007604092999825</v>
      </c>
      <c r="H21" s="1654">
        <f>QE総生産!J128/QE産出!I21</f>
        <v>0.40521742079044631</v>
      </c>
      <c r="I21" s="1654">
        <f>QE総生産!K128/QE産出!J21</f>
        <v>0.41816452552825828</v>
      </c>
      <c r="J21" s="1654">
        <f>QE総生産!L128/QE産出!K21</f>
        <v>0.39904486492353086</v>
      </c>
      <c r="K21" s="1654">
        <f>QE総生産!M128/QE産出!L21</f>
        <v>0.36481440765311046</v>
      </c>
      <c r="L21" s="1654">
        <f>QE総生産!N128/QE産出!M21</f>
        <v>0.52807148396670855</v>
      </c>
      <c r="M21" s="1654">
        <f>QE総生産!O128/QE産出!N21</f>
        <v>0.25300164249480578</v>
      </c>
      <c r="N21" s="1654">
        <f>QE総生産!P128/QE産出!O21</f>
        <v>0.44640219637327372</v>
      </c>
      <c r="O21" s="1654">
        <f>QE総生産!Q128/QE産出!P21</f>
        <v>0.4881772272167918</v>
      </c>
      <c r="P21" s="1654">
        <f>QE総生産!R128/QE産出!Q21</f>
        <v>0.22700960369016038</v>
      </c>
      <c r="Q21" s="1654">
        <f>QE総生産!S128/QE産出!R21</f>
        <v>0.33163342692485903</v>
      </c>
      <c r="R21" s="1654">
        <f>QE総生産!T128/QE産出!S21</f>
        <v>0.3502222371764166</v>
      </c>
      <c r="S21" s="1654">
        <f>QE総生産!U128/QE産出!T21</f>
        <v>0.44190483306909029</v>
      </c>
      <c r="T21" s="1654">
        <f>QE総生産!V128/QE産出!U21</f>
        <v>0.52617260339081606</v>
      </c>
      <c r="U21" s="1654">
        <f>QE総生産!W128/QE産出!V21</f>
        <v>0.43829124004598974</v>
      </c>
      <c r="V21" s="1654">
        <f>QE総生産!X128/QE産出!W21</f>
        <v>0.29951234102638707</v>
      </c>
      <c r="W21" s="1654">
        <f>QE総生産!X128/QE産出!X21</f>
        <v>0.49289554488546422</v>
      </c>
      <c r="X21" s="1654">
        <f>QE総生産!Z128/QE産出!AA21</f>
        <v>0.5671202283588036</v>
      </c>
      <c r="Y21" s="1654">
        <f>QE総生産!AA128/QE産出!AB21</f>
        <v>0.52781634998811422</v>
      </c>
      <c r="Z21" s="1654">
        <f>QE総生産!AB128/QE産出!AC21</f>
        <v>0.448681637859488</v>
      </c>
      <c r="AA21" s="1654">
        <f>QE総生産!AC128/QE産出!AD21</f>
        <v>0.48962402835977609</v>
      </c>
      <c r="AB21" s="1654">
        <f>QE総生産!AD128/QE産出!AE21</f>
        <v>0.66599898510611655</v>
      </c>
      <c r="AC21" s="1654">
        <f>QE総生産!AE128/QE産出!AF21</f>
        <v>0.79322815644761135</v>
      </c>
      <c r="AD21" s="1654">
        <f>QE総生産!AF128/QE産出!AG21</f>
        <v>0.79586627303898017</v>
      </c>
      <c r="AE21" s="1654">
        <f>QE総生産!AG128/QE産出!AH21</f>
        <v>0.71875739350204526</v>
      </c>
      <c r="AF21" s="1654">
        <f>QE総生産!AH128/QE産出!AI21</f>
        <v>0.80489953297260897</v>
      </c>
      <c r="AG21" s="1654">
        <f>QE総生産!AI128/QE産出!AJ21</f>
        <v>0.62209901702431891</v>
      </c>
      <c r="AH21" s="1654">
        <f>QE総生産!AJ128/QE産出!AK21</f>
        <v>0.63970272568739273</v>
      </c>
      <c r="AI21" s="1654">
        <f>QE総生産!AK128/QE産出!AL21</f>
        <v>0.51461546822968296</v>
      </c>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65000-264F-4491-801D-CE4EEAE0B9D1}">
  <sheetPr>
    <tabColor theme="7" tint="0.79998168889431442"/>
  </sheetPr>
  <dimension ref="A1:FS780"/>
  <sheetViews>
    <sheetView workbookViewId="0">
      <pane xSplit="5" ySplit="9" topLeftCell="F10" activePane="bottomRight" state="frozen"/>
      <selection pane="topRight" activeCell="F1" sqref="F1"/>
      <selection pane="bottomLeft" activeCell="A10" sqref="A10"/>
      <selection pane="bottomRight" activeCell="I23" sqref="I23"/>
    </sheetView>
  </sheetViews>
  <sheetFormatPr defaultColWidth="9" defaultRowHeight="12"/>
  <cols>
    <col min="1" max="1" width="3.83203125" style="212" customWidth="1"/>
    <col min="2" max="2" width="16.08203125" style="212" customWidth="1"/>
    <col min="3" max="3" width="4" style="212" customWidth="1"/>
    <col min="4" max="4" width="4.08203125" style="212" customWidth="1"/>
    <col min="5" max="5" width="30" style="212" customWidth="1"/>
    <col min="6" max="8" width="10.33203125" style="234" customWidth="1"/>
    <col min="9" max="9" width="9.08203125" style="212" bestFit="1" customWidth="1"/>
    <col min="10" max="15" width="9.25" style="212" bestFit="1" customWidth="1"/>
    <col min="16" max="16" width="9.08203125" style="212" bestFit="1" customWidth="1"/>
    <col min="17" max="20" width="9.25" style="212" bestFit="1" customWidth="1"/>
    <col min="21" max="22" width="9.08203125" style="212" bestFit="1" customWidth="1"/>
    <col min="23" max="16384" width="9" style="212"/>
  </cols>
  <sheetData>
    <row r="1" spans="1:175">
      <c r="A1" s="280" t="s">
        <v>3138</v>
      </c>
      <c r="B1" s="280"/>
      <c r="C1" s="280"/>
      <c r="D1" s="280"/>
      <c r="F1" s="232"/>
      <c r="G1" s="232"/>
      <c r="H1" s="232"/>
    </row>
    <row r="2" spans="1:175">
      <c r="A2" s="212" t="s">
        <v>3139</v>
      </c>
      <c r="F2" s="232"/>
      <c r="G2" s="232"/>
      <c r="H2" s="232"/>
    </row>
    <row r="3" spans="1:175">
      <c r="F3" s="232"/>
      <c r="G3" s="232"/>
      <c r="H3" s="232"/>
    </row>
    <row r="4" spans="1:175">
      <c r="A4" s="212" t="s">
        <v>3140</v>
      </c>
      <c r="F4" s="232" t="s">
        <v>5305</v>
      </c>
      <c r="G4" s="232" t="s">
        <v>5305</v>
      </c>
      <c r="H4" s="232"/>
    </row>
    <row r="5" spans="1:175">
      <c r="F5" s="266" t="s">
        <v>3141</v>
      </c>
      <c r="G5" s="266" t="s">
        <v>3141</v>
      </c>
      <c r="H5" s="281" t="s">
        <v>5309</v>
      </c>
      <c r="I5" s="212" t="s">
        <v>3141</v>
      </c>
      <c r="J5" s="212" t="s">
        <v>3141</v>
      </c>
      <c r="K5" s="212" t="s">
        <v>3141</v>
      </c>
      <c r="L5" s="212" t="s">
        <v>3141</v>
      </c>
      <c r="M5" s="212" t="s">
        <v>3141</v>
      </c>
      <c r="N5" s="212" t="s">
        <v>3141</v>
      </c>
      <c r="O5" s="212" t="s">
        <v>3141</v>
      </c>
      <c r="P5" s="212" t="s">
        <v>3141</v>
      </c>
      <c r="Q5" s="212" t="s">
        <v>3141</v>
      </c>
      <c r="R5" s="212" t="s">
        <v>3141</v>
      </c>
      <c r="S5" s="212" t="s">
        <v>3141</v>
      </c>
      <c r="T5" s="212" t="s">
        <v>3141</v>
      </c>
      <c r="U5" s="212" t="s">
        <v>3141</v>
      </c>
      <c r="V5" s="212" t="s">
        <v>3141</v>
      </c>
    </row>
    <row r="6" spans="1:175">
      <c r="F6" s="266" t="s">
        <v>3142</v>
      </c>
      <c r="G6" s="266" t="s">
        <v>3142</v>
      </c>
      <c r="H6" s="282"/>
      <c r="I6" s="212" t="s">
        <v>3142</v>
      </c>
      <c r="J6" s="212" t="s">
        <v>3142</v>
      </c>
      <c r="K6" s="212" t="s">
        <v>3142</v>
      </c>
      <c r="L6" s="212" t="s">
        <v>3142</v>
      </c>
      <c r="M6" s="212" t="s">
        <v>3142</v>
      </c>
      <c r="N6" s="212" t="s">
        <v>3142</v>
      </c>
      <c r="O6" s="212" t="s">
        <v>3142</v>
      </c>
      <c r="P6" s="212" t="s">
        <v>3143</v>
      </c>
      <c r="Q6" s="212" t="s">
        <v>3143</v>
      </c>
      <c r="R6" s="212" t="s">
        <v>3143</v>
      </c>
      <c r="S6" s="212" t="s">
        <v>3143</v>
      </c>
      <c r="T6" s="212" t="s">
        <v>3143</v>
      </c>
      <c r="U6" s="212" t="s">
        <v>3143</v>
      </c>
      <c r="V6" s="212" t="s">
        <v>3143</v>
      </c>
    </row>
    <row r="7" spans="1:175" ht="36">
      <c r="F7" s="266" t="s">
        <v>3144</v>
      </c>
      <c r="G7" s="266" t="s">
        <v>10032</v>
      </c>
      <c r="H7" s="266" t="s">
        <v>3145</v>
      </c>
      <c r="I7" s="209" t="s">
        <v>3144</v>
      </c>
      <c r="J7" s="209" t="s">
        <v>3145</v>
      </c>
      <c r="K7" s="209" t="s">
        <v>3146</v>
      </c>
      <c r="L7" s="209" t="s">
        <v>3147</v>
      </c>
      <c r="M7" s="209" t="s">
        <v>3148</v>
      </c>
      <c r="N7" s="209" t="s">
        <v>3149</v>
      </c>
      <c r="O7" s="209" t="s">
        <v>3150</v>
      </c>
      <c r="P7" s="209" t="s">
        <v>3144</v>
      </c>
      <c r="Q7" s="209" t="s">
        <v>3145</v>
      </c>
      <c r="R7" s="209" t="s">
        <v>3146</v>
      </c>
      <c r="S7" s="209" t="s">
        <v>3147</v>
      </c>
      <c r="T7" s="209" t="s">
        <v>3148</v>
      </c>
      <c r="U7" s="209" t="s">
        <v>3149</v>
      </c>
      <c r="V7" s="209" t="s">
        <v>3150</v>
      </c>
    </row>
    <row r="8" spans="1:175">
      <c r="F8" s="283" t="s">
        <v>3151</v>
      </c>
      <c r="G8" s="283" t="s">
        <v>3152</v>
      </c>
      <c r="H8" s="284" t="s">
        <v>5306</v>
      </c>
      <c r="I8" s="212" t="s">
        <v>3151</v>
      </c>
      <c r="J8" s="212" t="s">
        <v>3152</v>
      </c>
      <c r="K8" s="212" t="s">
        <v>3152</v>
      </c>
      <c r="L8" s="212" t="s">
        <v>3152</v>
      </c>
      <c r="M8" s="212" t="s">
        <v>3152</v>
      </c>
      <c r="N8" s="212" t="s">
        <v>3152</v>
      </c>
      <c r="O8" s="212" t="s">
        <v>3152</v>
      </c>
      <c r="P8" s="212" t="s">
        <v>3151</v>
      </c>
      <c r="Q8" s="212" t="s">
        <v>3152</v>
      </c>
      <c r="R8" s="212" t="s">
        <v>3152</v>
      </c>
      <c r="S8" s="212" t="s">
        <v>3152</v>
      </c>
      <c r="T8" s="212" t="s">
        <v>3152</v>
      </c>
      <c r="U8" s="212" t="s">
        <v>3152</v>
      </c>
      <c r="V8" s="212" t="s">
        <v>3152</v>
      </c>
    </row>
    <row r="9" spans="1:175">
      <c r="A9" s="212" t="s">
        <v>3153</v>
      </c>
      <c r="B9" s="212" t="s">
        <v>3154</v>
      </c>
      <c r="C9" s="212" t="s">
        <v>3155</v>
      </c>
      <c r="D9" s="212" t="s">
        <v>3156</v>
      </c>
      <c r="E9" s="212" t="s">
        <v>3157</v>
      </c>
      <c r="F9" s="285" t="s">
        <v>3158</v>
      </c>
      <c r="G9" s="285"/>
      <c r="H9" s="269"/>
      <c r="I9" s="286" t="s">
        <v>3158</v>
      </c>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row>
    <row r="10" spans="1:175">
      <c r="A10" s="212" t="s">
        <v>3159</v>
      </c>
      <c r="B10" s="212" t="s">
        <v>3160</v>
      </c>
      <c r="C10" s="212" t="s">
        <v>3161</v>
      </c>
      <c r="D10" s="212" t="s">
        <v>3162</v>
      </c>
      <c r="E10" s="212" t="s">
        <v>3163</v>
      </c>
      <c r="F10" s="278">
        <v>5288891</v>
      </c>
      <c r="G10" s="278">
        <v>62427908</v>
      </c>
      <c r="H10" s="287">
        <f>J10/G10*100</f>
        <v>3.8402023659034037</v>
      </c>
      <c r="I10" s="286">
        <v>208090</v>
      </c>
      <c r="J10" s="286">
        <v>2397358</v>
      </c>
      <c r="K10" s="286">
        <v>1260706</v>
      </c>
      <c r="L10" s="286">
        <v>1121281</v>
      </c>
      <c r="M10" s="286">
        <v>2108632</v>
      </c>
      <c r="N10" s="286">
        <v>1082933</v>
      </c>
      <c r="O10" s="286">
        <v>1010691</v>
      </c>
      <c r="P10" s="286">
        <v>203113</v>
      </c>
      <c r="Q10" s="286">
        <v>2221469</v>
      </c>
      <c r="R10" s="286">
        <v>1169275</v>
      </c>
      <c r="S10" s="286">
        <v>1036823</v>
      </c>
      <c r="T10" s="286">
        <v>1934323</v>
      </c>
      <c r="U10" s="286">
        <v>991838</v>
      </c>
      <c r="V10" s="286">
        <v>927477</v>
      </c>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row>
    <row r="11" spans="1:175">
      <c r="A11" s="212" t="s">
        <v>3159</v>
      </c>
      <c r="B11" s="212" t="s">
        <v>3160</v>
      </c>
      <c r="C11" s="212" t="s">
        <v>3161</v>
      </c>
      <c r="D11" s="212" t="s">
        <v>3164</v>
      </c>
      <c r="E11" s="212" t="s">
        <v>3165</v>
      </c>
      <c r="F11" s="278">
        <v>5250079</v>
      </c>
      <c r="G11" s="278">
        <v>60403052</v>
      </c>
      <c r="H11" s="287">
        <f t="shared" ref="H11:H74" si="0">J11/G11*100</f>
        <v>3.8544856971796722</v>
      </c>
      <c r="I11" s="286">
        <v>206825</v>
      </c>
      <c r="J11" s="286">
        <v>2328227</v>
      </c>
      <c r="K11" s="286">
        <v>1212547</v>
      </c>
      <c r="L11" s="286">
        <v>1100309</v>
      </c>
      <c r="M11" s="286">
        <v>2039836</v>
      </c>
      <c r="N11" s="286">
        <v>1034807</v>
      </c>
      <c r="O11" s="286">
        <v>990021</v>
      </c>
      <c r="P11" s="286">
        <v>203113</v>
      </c>
      <c r="Q11" s="286">
        <v>2221469</v>
      </c>
      <c r="R11" s="286">
        <v>1169275</v>
      </c>
      <c r="S11" s="286">
        <v>1036823</v>
      </c>
      <c r="T11" s="286">
        <v>1934323</v>
      </c>
      <c r="U11" s="286">
        <v>991838</v>
      </c>
      <c r="V11" s="286">
        <v>927477</v>
      </c>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row>
    <row r="12" spans="1:175">
      <c r="A12" s="212" t="s">
        <v>3159</v>
      </c>
      <c r="B12" s="212" t="s">
        <v>3160</v>
      </c>
      <c r="C12" s="212" t="s">
        <v>3161</v>
      </c>
      <c r="D12" s="212" t="s">
        <v>3166</v>
      </c>
      <c r="E12" s="212" t="s">
        <v>3167</v>
      </c>
      <c r="F12" s="278">
        <v>43623</v>
      </c>
      <c r="G12" s="278">
        <v>461376</v>
      </c>
      <c r="H12" s="287">
        <f t="shared" si="0"/>
        <v>2.4658846580663063</v>
      </c>
      <c r="I12" s="286">
        <v>1039</v>
      </c>
      <c r="J12" s="286">
        <v>11377</v>
      </c>
      <c r="K12" s="286">
        <v>8657</v>
      </c>
      <c r="L12" s="286">
        <v>2662</v>
      </c>
      <c r="M12" s="286">
        <v>6713</v>
      </c>
      <c r="N12" s="286">
        <v>4692</v>
      </c>
      <c r="O12" s="286">
        <v>1966</v>
      </c>
      <c r="P12" s="286">
        <v>1024</v>
      </c>
      <c r="Q12" s="286">
        <v>11283</v>
      </c>
      <c r="R12" s="286">
        <v>8572</v>
      </c>
      <c r="S12" s="286">
        <v>2653</v>
      </c>
      <c r="T12" s="286">
        <v>6619</v>
      </c>
      <c r="U12" s="286">
        <v>4607</v>
      </c>
      <c r="V12" s="286">
        <v>1957</v>
      </c>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row>
    <row r="13" spans="1:175">
      <c r="A13" s="212" t="s">
        <v>3159</v>
      </c>
      <c r="B13" s="212" t="s">
        <v>3160</v>
      </c>
      <c r="C13" s="212" t="s">
        <v>3168</v>
      </c>
      <c r="D13" s="212" t="s">
        <v>3133</v>
      </c>
      <c r="E13" s="212" t="s">
        <v>3169</v>
      </c>
      <c r="F13" s="278">
        <v>39774</v>
      </c>
      <c r="G13" s="278">
        <v>419895</v>
      </c>
      <c r="H13" s="287">
        <f t="shared" si="0"/>
        <v>2.5130092046821231</v>
      </c>
      <c r="I13" s="286">
        <v>957</v>
      </c>
      <c r="J13" s="286">
        <v>10552</v>
      </c>
      <c r="K13" s="286">
        <v>8093</v>
      </c>
      <c r="L13" s="286">
        <v>2401</v>
      </c>
      <c r="M13" s="286">
        <v>6141</v>
      </c>
      <c r="N13" s="286">
        <v>4297</v>
      </c>
      <c r="O13" s="286">
        <v>1789</v>
      </c>
      <c r="P13" s="286">
        <v>942</v>
      </c>
      <c r="Q13" s="286">
        <v>10458</v>
      </c>
      <c r="R13" s="286">
        <v>8008</v>
      </c>
      <c r="S13" s="286">
        <v>2392</v>
      </c>
      <c r="T13" s="286">
        <v>6047</v>
      </c>
      <c r="U13" s="286">
        <v>4212</v>
      </c>
      <c r="V13" s="286">
        <v>1780</v>
      </c>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row>
    <row r="14" spans="1:175">
      <c r="A14" s="212" t="s">
        <v>3159</v>
      </c>
      <c r="B14" s="212" t="s">
        <v>3160</v>
      </c>
      <c r="C14" s="212" t="s">
        <v>3170</v>
      </c>
      <c r="D14" s="212" t="s">
        <v>3133</v>
      </c>
      <c r="E14" s="212" t="s">
        <v>3171</v>
      </c>
      <c r="F14" s="278">
        <v>34263</v>
      </c>
      <c r="G14" s="278">
        <v>360300</v>
      </c>
      <c r="H14" s="287">
        <f t="shared" si="0"/>
        <v>2.3583125173466559</v>
      </c>
      <c r="I14" s="286">
        <v>779</v>
      </c>
      <c r="J14" s="286">
        <v>8497</v>
      </c>
      <c r="K14" s="286">
        <v>6202</v>
      </c>
      <c r="L14" s="286">
        <v>2237</v>
      </c>
      <c r="M14" s="286">
        <v>4898</v>
      </c>
      <c r="N14" s="286">
        <v>3200</v>
      </c>
      <c r="O14" s="286">
        <v>1643</v>
      </c>
      <c r="P14" s="286">
        <v>773</v>
      </c>
      <c r="Q14" s="286">
        <v>8465</v>
      </c>
      <c r="R14" s="286">
        <v>6177</v>
      </c>
      <c r="S14" s="286">
        <v>2230</v>
      </c>
      <c r="T14" s="286">
        <v>4866</v>
      </c>
      <c r="U14" s="286">
        <v>3175</v>
      </c>
      <c r="V14" s="286">
        <v>1636</v>
      </c>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row>
    <row r="15" spans="1:175">
      <c r="A15" s="212" t="s">
        <v>3159</v>
      </c>
      <c r="B15" s="212" t="s">
        <v>3160</v>
      </c>
      <c r="C15" s="212" t="s">
        <v>3172</v>
      </c>
      <c r="D15" s="212" t="s">
        <v>3133</v>
      </c>
      <c r="E15" s="212" t="s">
        <v>3173</v>
      </c>
      <c r="F15" s="278">
        <v>126</v>
      </c>
      <c r="G15" s="278">
        <v>1508</v>
      </c>
      <c r="H15" s="287">
        <f t="shared" si="0"/>
        <v>0.1326259946949602</v>
      </c>
      <c r="I15" s="286">
        <v>1</v>
      </c>
      <c r="J15" s="286">
        <v>2</v>
      </c>
      <c r="K15" s="286">
        <v>0</v>
      </c>
      <c r="L15" s="286">
        <v>2</v>
      </c>
      <c r="M15" s="286">
        <v>2</v>
      </c>
      <c r="N15" s="286">
        <v>0</v>
      </c>
      <c r="O15" s="286">
        <v>2</v>
      </c>
      <c r="P15" s="286">
        <v>1</v>
      </c>
      <c r="Q15" s="286">
        <v>2</v>
      </c>
      <c r="R15" s="286">
        <v>0</v>
      </c>
      <c r="S15" s="286">
        <v>2</v>
      </c>
      <c r="T15" s="286">
        <v>2</v>
      </c>
      <c r="U15" s="286">
        <v>0</v>
      </c>
      <c r="V15" s="286">
        <v>2</v>
      </c>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row>
    <row r="16" spans="1:175">
      <c r="A16" s="212" t="s">
        <v>3159</v>
      </c>
      <c r="B16" s="212" t="s">
        <v>3160</v>
      </c>
      <c r="C16" s="212" t="s">
        <v>3172</v>
      </c>
      <c r="D16" s="212" t="s">
        <v>3133</v>
      </c>
      <c r="E16" s="212" t="s">
        <v>3174</v>
      </c>
      <c r="F16" s="278">
        <v>17293</v>
      </c>
      <c r="G16" s="278">
        <v>201851</v>
      </c>
      <c r="H16" s="287">
        <f t="shared" si="0"/>
        <v>2.4592397362410887</v>
      </c>
      <c r="I16" s="286">
        <v>374</v>
      </c>
      <c r="J16" s="286">
        <v>4964</v>
      </c>
      <c r="K16" s="286">
        <v>3542</v>
      </c>
      <c r="L16" s="286">
        <v>1416</v>
      </c>
      <c r="M16" s="286">
        <v>2388</v>
      </c>
      <c r="N16" s="286">
        <v>1431</v>
      </c>
      <c r="O16" s="286">
        <v>951</v>
      </c>
      <c r="P16" s="286">
        <v>372</v>
      </c>
      <c r="Q16" s="286">
        <v>4956</v>
      </c>
      <c r="R16" s="286">
        <v>3535</v>
      </c>
      <c r="S16" s="286">
        <v>1415</v>
      </c>
      <c r="T16" s="286">
        <v>2380</v>
      </c>
      <c r="U16" s="286">
        <v>1424</v>
      </c>
      <c r="V16" s="286">
        <v>950</v>
      </c>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row>
    <row r="17" spans="1:175">
      <c r="A17" s="212" t="s">
        <v>3159</v>
      </c>
      <c r="B17" s="212" t="s">
        <v>3160</v>
      </c>
      <c r="C17" s="212" t="s">
        <v>3172</v>
      </c>
      <c r="D17" s="212" t="s">
        <v>3133</v>
      </c>
      <c r="E17" s="212" t="s">
        <v>3175</v>
      </c>
      <c r="F17" s="278">
        <v>7751</v>
      </c>
      <c r="G17" s="278">
        <v>71539</v>
      </c>
      <c r="H17" s="287">
        <f t="shared" si="0"/>
        <v>1.8940717650512306</v>
      </c>
      <c r="I17" s="286">
        <v>151</v>
      </c>
      <c r="J17" s="286">
        <v>1355</v>
      </c>
      <c r="K17" s="286">
        <v>869</v>
      </c>
      <c r="L17" s="286">
        <v>434</v>
      </c>
      <c r="M17" s="286">
        <v>1154</v>
      </c>
      <c r="N17" s="286">
        <v>720</v>
      </c>
      <c r="O17" s="286">
        <v>385</v>
      </c>
      <c r="P17" s="286">
        <v>151</v>
      </c>
      <c r="Q17" s="286">
        <v>1355</v>
      </c>
      <c r="R17" s="286">
        <v>869</v>
      </c>
      <c r="S17" s="286">
        <v>434</v>
      </c>
      <c r="T17" s="286">
        <v>1154</v>
      </c>
      <c r="U17" s="286">
        <v>720</v>
      </c>
      <c r="V17" s="286">
        <v>385</v>
      </c>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row>
    <row r="18" spans="1:175">
      <c r="A18" s="212" t="s">
        <v>3159</v>
      </c>
      <c r="B18" s="212" t="s">
        <v>3160</v>
      </c>
      <c r="C18" s="212" t="s">
        <v>3172</v>
      </c>
      <c r="D18" s="212" t="s">
        <v>3133</v>
      </c>
      <c r="E18" s="212" t="s">
        <v>3176</v>
      </c>
      <c r="F18" s="278">
        <v>6250</v>
      </c>
      <c r="G18" s="278">
        <v>65932</v>
      </c>
      <c r="H18" s="287">
        <f t="shared" si="0"/>
        <v>1.7366377479827702</v>
      </c>
      <c r="I18" s="286">
        <v>125</v>
      </c>
      <c r="J18" s="286">
        <v>1145</v>
      </c>
      <c r="K18" s="286">
        <v>972</v>
      </c>
      <c r="L18" s="286">
        <v>173</v>
      </c>
      <c r="M18" s="286">
        <v>536</v>
      </c>
      <c r="N18" s="286">
        <v>393</v>
      </c>
      <c r="O18" s="286">
        <v>143</v>
      </c>
      <c r="P18" s="286">
        <v>121</v>
      </c>
      <c r="Q18" s="286">
        <v>1121</v>
      </c>
      <c r="R18" s="286">
        <v>954</v>
      </c>
      <c r="S18" s="286">
        <v>167</v>
      </c>
      <c r="T18" s="286">
        <v>512</v>
      </c>
      <c r="U18" s="286">
        <v>375</v>
      </c>
      <c r="V18" s="286">
        <v>137</v>
      </c>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row>
    <row r="19" spans="1:175">
      <c r="A19" s="212" t="s">
        <v>3159</v>
      </c>
      <c r="B19" s="212" t="s">
        <v>3160</v>
      </c>
      <c r="C19" s="212" t="s">
        <v>3172</v>
      </c>
      <c r="D19" s="212" t="s">
        <v>3133</v>
      </c>
      <c r="E19" s="212" t="s">
        <v>3177</v>
      </c>
      <c r="F19" s="278">
        <v>2843</v>
      </c>
      <c r="G19" s="278">
        <v>19470</v>
      </c>
      <c r="H19" s="287">
        <f t="shared" si="0"/>
        <v>5.2953261427837699</v>
      </c>
      <c r="I19" s="286">
        <v>128</v>
      </c>
      <c r="J19" s="286">
        <v>1031</v>
      </c>
      <c r="K19" s="286">
        <v>819</v>
      </c>
      <c r="L19" s="286">
        <v>212</v>
      </c>
      <c r="M19" s="286">
        <v>818</v>
      </c>
      <c r="N19" s="286">
        <v>656</v>
      </c>
      <c r="O19" s="286">
        <v>162</v>
      </c>
      <c r="P19" s="286">
        <v>128</v>
      </c>
      <c r="Q19" s="286">
        <v>1031</v>
      </c>
      <c r="R19" s="286">
        <v>819</v>
      </c>
      <c r="S19" s="286">
        <v>212</v>
      </c>
      <c r="T19" s="286">
        <v>818</v>
      </c>
      <c r="U19" s="286">
        <v>656</v>
      </c>
      <c r="V19" s="286">
        <v>162</v>
      </c>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row>
    <row r="20" spans="1:175">
      <c r="A20" s="212" t="s">
        <v>3159</v>
      </c>
      <c r="B20" s="212" t="s">
        <v>3160</v>
      </c>
      <c r="C20" s="212" t="s">
        <v>3170</v>
      </c>
      <c r="D20" s="212" t="s">
        <v>3133</v>
      </c>
      <c r="E20" s="212" t="s">
        <v>3178</v>
      </c>
      <c r="F20" s="278">
        <v>5506</v>
      </c>
      <c r="G20" s="278">
        <v>59554</v>
      </c>
      <c r="H20" s="287">
        <f t="shared" si="0"/>
        <v>3.4489706820700539</v>
      </c>
      <c r="I20" s="286">
        <v>177</v>
      </c>
      <c r="J20" s="286">
        <v>2054</v>
      </c>
      <c r="K20" s="286">
        <v>1890</v>
      </c>
      <c r="L20" s="286">
        <v>164</v>
      </c>
      <c r="M20" s="286">
        <v>1243</v>
      </c>
      <c r="N20" s="286">
        <v>1097</v>
      </c>
      <c r="O20" s="286">
        <v>146</v>
      </c>
      <c r="P20" s="286">
        <v>168</v>
      </c>
      <c r="Q20" s="286">
        <v>1992</v>
      </c>
      <c r="R20" s="286">
        <v>1830</v>
      </c>
      <c r="S20" s="286">
        <v>162</v>
      </c>
      <c r="T20" s="286">
        <v>1181</v>
      </c>
      <c r="U20" s="286">
        <v>1037</v>
      </c>
      <c r="V20" s="286">
        <v>144</v>
      </c>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row>
    <row r="21" spans="1:175">
      <c r="A21" s="212" t="s">
        <v>3159</v>
      </c>
      <c r="B21" s="212" t="s">
        <v>3160</v>
      </c>
      <c r="C21" s="212" t="s">
        <v>3172</v>
      </c>
      <c r="D21" s="212" t="s">
        <v>3133</v>
      </c>
      <c r="E21" s="212" t="s">
        <v>3179</v>
      </c>
      <c r="F21" s="278">
        <v>8</v>
      </c>
      <c r="G21" s="278">
        <v>43</v>
      </c>
      <c r="H21" s="287">
        <f t="shared" si="0"/>
        <v>0</v>
      </c>
      <c r="I21" s="286">
        <v>0</v>
      </c>
      <c r="J21" s="286">
        <v>0</v>
      </c>
      <c r="K21" s="286">
        <v>0</v>
      </c>
      <c r="L21" s="286">
        <v>0</v>
      </c>
      <c r="M21" s="286">
        <v>0</v>
      </c>
      <c r="N21" s="286">
        <v>0</v>
      </c>
      <c r="O21" s="286">
        <v>0</v>
      </c>
      <c r="P21" s="286">
        <v>0</v>
      </c>
      <c r="Q21" s="286">
        <v>0</v>
      </c>
      <c r="R21" s="286">
        <v>0</v>
      </c>
      <c r="S21" s="286">
        <v>0</v>
      </c>
      <c r="T21" s="286">
        <v>0</v>
      </c>
      <c r="U21" s="286">
        <v>0</v>
      </c>
      <c r="V21" s="286">
        <v>0</v>
      </c>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row>
    <row r="22" spans="1:175">
      <c r="A22" s="212" t="s">
        <v>3159</v>
      </c>
      <c r="B22" s="212" t="s">
        <v>3160</v>
      </c>
      <c r="C22" s="212" t="s">
        <v>3172</v>
      </c>
      <c r="D22" s="212" t="s">
        <v>3133</v>
      </c>
      <c r="E22" s="212" t="s">
        <v>3180</v>
      </c>
      <c r="F22" s="278">
        <v>3412</v>
      </c>
      <c r="G22" s="278">
        <v>35951</v>
      </c>
      <c r="H22" s="287">
        <f t="shared" si="0"/>
        <v>4.67859030346861</v>
      </c>
      <c r="I22" s="286">
        <v>141</v>
      </c>
      <c r="J22" s="286">
        <v>1682</v>
      </c>
      <c r="K22" s="286">
        <v>1559</v>
      </c>
      <c r="L22" s="286">
        <v>123</v>
      </c>
      <c r="M22" s="286">
        <v>1044</v>
      </c>
      <c r="N22" s="286">
        <v>923</v>
      </c>
      <c r="O22" s="286">
        <v>121</v>
      </c>
      <c r="P22" s="286">
        <v>132</v>
      </c>
      <c r="Q22" s="286">
        <v>1620</v>
      </c>
      <c r="R22" s="286">
        <v>1499</v>
      </c>
      <c r="S22" s="286">
        <v>121</v>
      </c>
      <c r="T22" s="286">
        <v>982</v>
      </c>
      <c r="U22" s="286">
        <v>863</v>
      </c>
      <c r="V22" s="286">
        <v>119</v>
      </c>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row>
    <row r="23" spans="1:175">
      <c r="A23" s="212" t="s">
        <v>3159</v>
      </c>
      <c r="B23" s="212" t="s">
        <v>3160</v>
      </c>
      <c r="C23" s="212" t="s">
        <v>3172</v>
      </c>
      <c r="D23" s="212" t="s">
        <v>3133</v>
      </c>
      <c r="E23" s="212" t="s">
        <v>3181</v>
      </c>
      <c r="F23" s="278">
        <v>671</v>
      </c>
      <c r="G23" s="278">
        <v>6890</v>
      </c>
      <c r="H23" s="287">
        <f t="shared" si="0"/>
        <v>1.6400580551523949</v>
      </c>
      <c r="I23" s="286">
        <v>13</v>
      </c>
      <c r="J23" s="286">
        <v>113</v>
      </c>
      <c r="K23" s="286">
        <v>97</v>
      </c>
      <c r="L23" s="286">
        <v>16</v>
      </c>
      <c r="M23" s="286">
        <v>82</v>
      </c>
      <c r="N23" s="286">
        <v>71</v>
      </c>
      <c r="O23" s="286">
        <v>11</v>
      </c>
      <c r="P23" s="286">
        <v>13</v>
      </c>
      <c r="Q23" s="286">
        <v>113</v>
      </c>
      <c r="R23" s="286">
        <v>97</v>
      </c>
      <c r="S23" s="286">
        <v>16</v>
      </c>
      <c r="T23" s="286">
        <v>82</v>
      </c>
      <c r="U23" s="286">
        <v>71</v>
      </c>
      <c r="V23" s="286">
        <v>11</v>
      </c>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row>
    <row r="24" spans="1:175">
      <c r="A24" s="212" t="s">
        <v>3159</v>
      </c>
      <c r="B24" s="212" t="s">
        <v>3160</v>
      </c>
      <c r="C24" s="212" t="s">
        <v>3172</v>
      </c>
      <c r="D24" s="212" t="s">
        <v>3133</v>
      </c>
      <c r="E24" s="212" t="s">
        <v>3182</v>
      </c>
      <c r="F24" s="278">
        <v>85</v>
      </c>
      <c r="G24" s="278">
        <v>586</v>
      </c>
      <c r="H24" s="287">
        <f t="shared" si="0"/>
        <v>3.7542662116040959</v>
      </c>
      <c r="I24" s="286">
        <v>3</v>
      </c>
      <c r="J24" s="286">
        <v>22</v>
      </c>
      <c r="K24" s="286">
        <v>16</v>
      </c>
      <c r="L24" s="286">
        <v>6</v>
      </c>
      <c r="M24" s="286">
        <v>11</v>
      </c>
      <c r="N24" s="286">
        <v>9</v>
      </c>
      <c r="O24" s="286">
        <v>2</v>
      </c>
      <c r="P24" s="286">
        <v>3</v>
      </c>
      <c r="Q24" s="286">
        <v>22</v>
      </c>
      <c r="R24" s="286">
        <v>16</v>
      </c>
      <c r="S24" s="286">
        <v>6</v>
      </c>
      <c r="T24" s="286">
        <v>11</v>
      </c>
      <c r="U24" s="286">
        <v>9</v>
      </c>
      <c r="V24" s="286">
        <v>2</v>
      </c>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row>
    <row r="25" spans="1:175">
      <c r="A25" s="212" t="s">
        <v>3159</v>
      </c>
      <c r="B25" s="212" t="s">
        <v>3160</v>
      </c>
      <c r="C25" s="212" t="s">
        <v>3172</v>
      </c>
      <c r="D25" s="212" t="s">
        <v>3133</v>
      </c>
      <c r="E25" s="212" t="s">
        <v>3183</v>
      </c>
      <c r="F25" s="278">
        <v>1247</v>
      </c>
      <c r="G25" s="278">
        <v>15109</v>
      </c>
      <c r="H25" s="287">
        <f t="shared" si="0"/>
        <v>1.4229929181282679</v>
      </c>
      <c r="I25" s="286">
        <v>16</v>
      </c>
      <c r="J25" s="286">
        <v>215</v>
      </c>
      <c r="K25" s="286">
        <v>200</v>
      </c>
      <c r="L25" s="286">
        <v>15</v>
      </c>
      <c r="M25" s="286">
        <v>96</v>
      </c>
      <c r="N25" s="286">
        <v>88</v>
      </c>
      <c r="O25" s="286">
        <v>8</v>
      </c>
      <c r="P25" s="286">
        <v>16</v>
      </c>
      <c r="Q25" s="286">
        <v>215</v>
      </c>
      <c r="R25" s="286">
        <v>200</v>
      </c>
      <c r="S25" s="286">
        <v>15</v>
      </c>
      <c r="T25" s="286">
        <v>96</v>
      </c>
      <c r="U25" s="286">
        <v>88</v>
      </c>
      <c r="V25" s="286">
        <v>8</v>
      </c>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row>
    <row r="26" spans="1:175">
      <c r="A26" s="212" t="s">
        <v>3159</v>
      </c>
      <c r="B26" s="212" t="s">
        <v>3160</v>
      </c>
      <c r="C26" s="212" t="s">
        <v>3172</v>
      </c>
      <c r="D26" s="212" t="s">
        <v>3133</v>
      </c>
      <c r="E26" s="212" t="s">
        <v>3184</v>
      </c>
      <c r="F26" s="278">
        <v>83</v>
      </c>
      <c r="G26" s="278">
        <v>975</v>
      </c>
      <c r="H26" s="287">
        <f t="shared" si="0"/>
        <v>2.2564102564102564</v>
      </c>
      <c r="I26" s="286">
        <v>4</v>
      </c>
      <c r="J26" s="286">
        <v>22</v>
      </c>
      <c r="K26" s="286">
        <v>18</v>
      </c>
      <c r="L26" s="286">
        <v>4</v>
      </c>
      <c r="M26" s="286">
        <v>10</v>
      </c>
      <c r="N26" s="286">
        <v>6</v>
      </c>
      <c r="O26" s="286">
        <v>4</v>
      </c>
      <c r="P26" s="286">
        <v>4</v>
      </c>
      <c r="Q26" s="286">
        <v>22</v>
      </c>
      <c r="R26" s="286">
        <v>18</v>
      </c>
      <c r="S26" s="286">
        <v>4</v>
      </c>
      <c r="T26" s="286">
        <v>10</v>
      </c>
      <c r="U26" s="286">
        <v>6</v>
      </c>
      <c r="V26" s="286">
        <v>4</v>
      </c>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row>
    <row r="27" spans="1:175">
      <c r="A27" s="212" t="s">
        <v>3159</v>
      </c>
      <c r="B27" s="212" t="s">
        <v>3160</v>
      </c>
      <c r="C27" s="212" t="s">
        <v>3168</v>
      </c>
      <c r="D27" s="212" t="s">
        <v>3134</v>
      </c>
      <c r="E27" s="212" t="s">
        <v>3185</v>
      </c>
      <c r="F27" s="278">
        <v>3833</v>
      </c>
      <c r="G27" s="278">
        <v>41202</v>
      </c>
      <c r="H27" s="287">
        <f t="shared" si="0"/>
        <v>2.00232998398136</v>
      </c>
      <c r="I27" s="286">
        <v>82</v>
      </c>
      <c r="J27" s="286">
        <v>825</v>
      </c>
      <c r="K27" s="286">
        <v>564</v>
      </c>
      <c r="L27" s="286">
        <v>261</v>
      </c>
      <c r="M27" s="286">
        <v>572</v>
      </c>
      <c r="N27" s="286">
        <v>395</v>
      </c>
      <c r="O27" s="286">
        <v>177</v>
      </c>
      <c r="P27" s="286">
        <v>82</v>
      </c>
      <c r="Q27" s="286">
        <v>825</v>
      </c>
      <c r="R27" s="286">
        <v>564</v>
      </c>
      <c r="S27" s="286">
        <v>261</v>
      </c>
      <c r="T27" s="286">
        <v>572</v>
      </c>
      <c r="U27" s="286">
        <v>395</v>
      </c>
      <c r="V27" s="286">
        <v>177</v>
      </c>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row>
    <row r="28" spans="1:175">
      <c r="A28" s="212" t="s">
        <v>3159</v>
      </c>
      <c r="B28" s="212" t="s">
        <v>3160</v>
      </c>
      <c r="C28" s="212" t="s">
        <v>3170</v>
      </c>
      <c r="D28" s="212" t="s">
        <v>3134</v>
      </c>
      <c r="E28" s="212" t="s">
        <v>3186</v>
      </c>
      <c r="F28" s="278">
        <v>1814</v>
      </c>
      <c r="G28" s="278">
        <v>24176</v>
      </c>
      <c r="H28" s="287">
        <f t="shared" si="0"/>
        <v>1.9854401058901392</v>
      </c>
      <c r="I28" s="286">
        <v>45</v>
      </c>
      <c r="J28" s="286">
        <v>480</v>
      </c>
      <c r="K28" s="286">
        <v>359</v>
      </c>
      <c r="L28" s="286">
        <v>121</v>
      </c>
      <c r="M28" s="286">
        <v>331</v>
      </c>
      <c r="N28" s="286">
        <v>265</v>
      </c>
      <c r="O28" s="286">
        <v>66</v>
      </c>
      <c r="P28" s="286">
        <v>45</v>
      </c>
      <c r="Q28" s="286">
        <v>480</v>
      </c>
      <c r="R28" s="286">
        <v>359</v>
      </c>
      <c r="S28" s="286">
        <v>121</v>
      </c>
      <c r="T28" s="286">
        <v>331</v>
      </c>
      <c r="U28" s="286">
        <v>265</v>
      </c>
      <c r="V28" s="286">
        <v>66</v>
      </c>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row>
    <row r="29" spans="1:175">
      <c r="A29" s="212" t="s">
        <v>3159</v>
      </c>
      <c r="B29" s="212" t="s">
        <v>3160</v>
      </c>
      <c r="C29" s="212" t="s">
        <v>3172</v>
      </c>
      <c r="D29" s="212" t="s">
        <v>3134</v>
      </c>
      <c r="E29" s="212" t="s">
        <v>3187</v>
      </c>
      <c r="F29" s="278">
        <v>8</v>
      </c>
      <c r="G29" s="278">
        <v>29</v>
      </c>
      <c r="H29" s="287">
        <f t="shared" si="0"/>
        <v>0</v>
      </c>
      <c r="I29" s="286">
        <v>0</v>
      </c>
      <c r="J29" s="286">
        <v>0</v>
      </c>
      <c r="K29" s="286">
        <v>0</v>
      </c>
      <c r="L29" s="286">
        <v>0</v>
      </c>
      <c r="M29" s="286">
        <v>0</v>
      </c>
      <c r="N29" s="286">
        <v>0</v>
      </c>
      <c r="O29" s="286">
        <v>0</v>
      </c>
      <c r="P29" s="286">
        <v>0</v>
      </c>
      <c r="Q29" s="286">
        <v>0</v>
      </c>
      <c r="R29" s="286">
        <v>0</v>
      </c>
      <c r="S29" s="286">
        <v>0</v>
      </c>
      <c r="T29" s="286">
        <v>0</v>
      </c>
      <c r="U29" s="286">
        <v>0</v>
      </c>
      <c r="V29" s="286">
        <v>0</v>
      </c>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row>
    <row r="30" spans="1:175">
      <c r="A30" s="212" t="s">
        <v>3159</v>
      </c>
      <c r="B30" s="212" t="s">
        <v>3160</v>
      </c>
      <c r="C30" s="212" t="s">
        <v>3172</v>
      </c>
      <c r="D30" s="212" t="s">
        <v>3134</v>
      </c>
      <c r="E30" s="212" t="s">
        <v>3188</v>
      </c>
      <c r="F30" s="278">
        <v>1721</v>
      </c>
      <c r="G30" s="278">
        <v>23460</v>
      </c>
      <c r="H30" s="287">
        <f t="shared" si="0"/>
        <v>2.0119352088661548</v>
      </c>
      <c r="I30" s="286">
        <v>43</v>
      </c>
      <c r="J30" s="286">
        <v>472</v>
      </c>
      <c r="K30" s="286">
        <v>353</v>
      </c>
      <c r="L30" s="286">
        <v>119</v>
      </c>
      <c r="M30" s="286">
        <v>326</v>
      </c>
      <c r="N30" s="286">
        <v>260</v>
      </c>
      <c r="O30" s="286">
        <v>66</v>
      </c>
      <c r="P30" s="286">
        <v>43</v>
      </c>
      <c r="Q30" s="286">
        <v>472</v>
      </c>
      <c r="R30" s="286">
        <v>353</v>
      </c>
      <c r="S30" s="286">
        <v>119</v>
      </c>
      <c r="T30" s="286">
        <v>326</v>
      </c>
      <c r="U30" s="286">
        <v>260</v>
      </c>
      <c r="V30" s="286">
        <v>66</v>
      </c>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row>
    <row r="31" spans="1:175">
      <c r="A31" s="212" t="s">
        <v>3159</v>
      </c>
      <c r="B31" s="212" t="s">
        <v>3160</v>
      </c>
      <c r="C31" s="212" t="s">
        <v>3172</v>
      </c>
      <c r="D31" s="212" t="s">
        <v>3134</v>
      </c>
      <c r="E31" s="212" t="s">
        <v>3189</v>
      </c>
      <c r="F31" s="278">
        <v>85</v>
      </c>
      <c r="G31" s="278">
        <v>687</v>
      </c>
      <c r="H31" s="287">
        <f t="shared" si="0"/>
        <v>1.1644832605531297</v>
      </c>
      <c r="I31" s="286">
        <v>2</v>
      </c>
      <c r="J31" s="286">
        <v>8</v>
      </c>
      <c r="K31" s="286">
        <v>6</v>
      </c>
      <c r="L31" s="286">
        <v>2</v>
      </c>
      <c r="M31" s="286">
        <v>5</v>
      </c>
      <c r="N31" s="286">
        <v>5</v>
      </c>
      <c r="O31" s="286">
        <v>0</v>
      </c>
      <c r="P31" s="286">
        <v>2</v>
      </c>
      <c r="Q31" s="286">
        <v>8</v>
      </c>
      <c r="R31" s="286">
        <v>6</v>
      </c>
      <c r="S31" s="286">
        <v>2</v>
      </c>
      <c r="T31" s="286">
        <v>5</v>
      </c>
      <c r="U31" s="286">
        <v>5</v>
      </c>
      <c r="V31" s="286">
        <v>0</v>
      </c>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row>
    <row r="32" spans="1:175">
      <c r="A32" s="212" t="s">
        <v>3159</v>
      </c>
      <c r="B32" s="212" t="s">
        <v>3160</v>
      </c>
      <c r="C32" s="212" t="s">
        <v>3170</v>
      </c>
      <c r="D32" s="212" t="s">
        <v>3134</v>
      </c>
      <c r="E32" s="212" t="s">
        <v>3190</v>
      </c>
      <c r="F32" s="278">
        <v>2018</v>
      </c>
      <c r="G32" s="278">
        <v>17025</v>
      </c>
      <c r="H32" s="287">
        <f t="shared" si="0"/>
        <v>2.0264317180616742</v>
      </c>
      <c r="I32" s="286">
        <v>37</v>
      </c>
      <c r="J32" s="286">
        <v>345</v>
      </c>
      <c r="K32" s="286">
        <v>205</v>
      </c>
      <c r="L32" s="286">
        <v>140</v>
      </c>
      <c r="M32" s="286">
        <v>241</v>
      </c>
      <c r="N32" s="286">
        <v>130</v>
      </c>
      <c r="O32" s="286">
        <v>111</v>
      </c>
      <c r="P32" s="286">
        <v>37</v>
      </c>
      <c r="Q32" s="286">
        <v>345</v>
      </c>
      <c r="R32" s="286">
        <v>205</v>
      </c>
      <c r="S32" s="286">
        <v>140</v>
      </c>
      <c r="T32" s="286">
        <v>241</v>
      </c>
      <c r="U32" s="286">
        <v>130</v>
      </c>
      <c r="V32" s="286">
        <v>111</v>
      </c>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row>
    <row r="33" spans="1:175">
      <c r="A33" s="212" t="s">
        <v>3159</v>
      </c>
      <c r="B33" s="212" t="s">
        <v>3160</v>
      </c>
      <c r="C33" s="212" t="s">
        <v>3172</v>
      </c>
      <c r="D33" s="212" t="s">
        <v>3134</v>
      </c>
      <c r="E33" s="212" t="s">
        <v>3191</v>
      </c>
      <c r="F33" s="278">
        <v>16</v>
      </c>
      <c r="G33" s="278">
        <v>98</v>
      </c>
      <c r="H33" s="287">
        <f t="shared" si="0"/>
        <v>0</v>
      </c>
      <c r="I33" s="286">
        <v>0</v>
      </c>
      <c r="J33" s="286">
        <v>0</v>
      </c>
      <c r="K33" s="286">
        <v>0</v>
      </c>
      <c r="L33" s="286">
        <v>0</v>
      </c>
      <c r="M33" s="286">
        <v>0</v>
      </c>
      <c r="N33" s="286">
        <v>0</v>
      </c>
      <c r="O33" s="286">
        <v>0</v>
      </c>
      <c r="P33" s="286">
        <v>0</v>
      </c>
      <c r="Q33" s="286">
        <v>0</v>
      </c>
      <c r="R33" s="286">
        <v>0</v>
      </c>
      <c r="S33" s="286">
        <v>0</v>
      </c>
      <c r="T33" s="286">
        <v>0</v>
      </c>
      <c r="U33" s="286">
        <v>0</v>
      </c>
      <c r="V33" s="286">
        <v>0</v>
      </c>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row>
    <row r="34" spans="1:175">
      <c r="A34" s="212" t="s">
        <v>3159</v>
      </c>
      <c r="B34" s="212" t="s">
        <v>3160</v>
      </c>
      <c r="C34" s="212" t="s">
        <v>3172</v>
      </c>
      <c r="D34" s="212" t="s">
        <v>3134</v>
      </c>
      <c r="E34" s="212" t="s">
        <v>3192</v>
      </c>
      <c r="F34" s="278">
        <v>1202</v>
      </c>
      <c r="G34" s="278">
        <v>11380</v>
      </c>
      <c r="H34" s="287">
        <f t="shared" si="0"/>
        <v>2.8031634446397189</v>
      </c>
      <c r="I34" s="286">
        <v>30</v>
      </c>
      <c r="J34" s="286">
        <v>319</v>
      </c>
      <c r="K34" s="286">
        <v>186</v>
      </c>
      <c r="L34" s="286">
        <v>133</v>
      </c>
      <c r="M34" s="286">
        <v>227</v>
      </c>
      <c r="N34" s="286">
        <v>123</v>
      </c>
      <c r="O34" s="286">
        <v>104</v>
      </c>
      <c r="P34" s="286">
        <v>30</v>
      </c>
      <c r="Q34" s="286">
        <v>319</v>
      </c>
      <c r="R34" s="286">
        <v>186</v>
      </c>
      <c r="S34" s="286">
        <v>133</v>
      </c>
      <c r="T34" s="286">
        <v>227</v>
      </c>
      <c r="U34" s="286">
        <v>123</v>
      </c>
      <c r="V34" s="286">
        <v>104</v>
      </c>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row>
    <row r="35" spans="1:175">
      <c r="A35" s="212" t="s">
        <v>3159</v>
      </c>
      <c r="B35" s="212" t="s">
        <v>3160</v>
      </c>
      <c r="C35" s="212" t="s">
        <v>3172</v>
      </c>
      <c r="D35" s="212" t="s">
        <v>3134</v>
      </c>
      <c r="E35" s="212" t="s">
        <v>3193</v>
      </c>
      <c r="F35" s="278">
        <v>800</v>
      </c>
      <c r="G35" s="278">
        <v>5547</v>
      </c>
      <c r="H35" s="287">
        <f t="shared" si="0"/>
        <v>0.46872183162069592</v>
      </c>
      <c r="I35" s="286">
        <v>7</v>
      </c>
      <c r="J35" s="286">
        <v>26</v>
      </c>
      <c r="K35" s="286">
        <v>19</v>
      </c>
      <c r="L35" s="286">
        <v>7</v>
      </c>
      <c r="M35" s="286">
        <v>14</v>
      </c>
      <c r="N35" s="286">
        <v>7</v>
      </c>
      <c r="O35" s="286">
        <v>7</v>
      </c>
      <c r="P35" s="286">
        <v>7</v>
      </c>
      <c r="Q35" s="286">
        <v>26</v>
      </c>
      <c r="R35" s="286">
        <v>19</v>
      </c>
      <c r="S35" s="286">
        <v>7</v>
      </c>
      <c r="T35" s="286">
        <v>14</v>
      </c>
      <c r="U35" s="286">
        <v>7</v>
      </c>
      <c r="V35" s="286">
        <v>7</v>
      </c>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row>
    <row r="36" spans="1:175">
      <c r="A36" s="212" t="s">
        <v>3159</v>
      </c>
      <c r="B36" s="212" t="s">
        <v>3160</v>
      </c>
      <c r="C36" s="212" t="s">
        <v>3161</v>
      </c>
      <c r="D36" s="212" t="s">
        <v>3194</v>
      </c>
      <c r="E36" s="212" t="s">
        <v>3195</v>
      </c>
      <c r="F36" s="278">
        <v>5206456</v>
      </c>
      <c r="G36" s="278">
        <v>59941676</v>
      </c>
      <c r="H36" s="287">
        <f t="shared" si="0"/>
        <v>3.8651738733498213</v>
      </c>
      <c r="I36" s="286">
        <v>205786</v>
      </c>
      <c r="J36" s="286">
        <v>2316850</v>
      </c>
      <c r="K36" s="286">
        <v>1203890</v>
      </c>
      <c r="L36" s="286">
        <v>1097647</v>
      </c>
      <c r="M36" s="286">
        <v>2033123</v>
      </c>
      <c r="N36" s="286">
        <v>1030115</v>
      </c>
      <c r="O36" s="286">
        <v>988055</v>
      </c>
      <c r="P36" s="286">
        <v>202089</v>
      </c>
      <c r="Q36" s="286">
        <v>2210186</v>
      </c>
      <c r="R36" s="286">
        <v>1160703</v>
      </c>
      <c r="S36" s="286">
        <v>1034170</v>
      </c>
      <c r="T36" s="286">
        <v>1927704</v>
      </c>
      <c r="U36" s="286">
        <v>987231</v>
      </c>
      <c r="V36" s="286">
        <v>925520</v>
      </c>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row>
    <row r="37" spans="1:175">
      <c r="A37" s="212" t="s">
        <v>3159</v>
      </c>
      <c r="B37" s="212" t="s">
        <v>3160</v>
      </c>
      <c r="C37" s="212" t="s">
        <v>3168</v>
      </c>
      <c r="D37" s="212" t="s">
        <v>3135</v>
      </c>
      <c r="E37" s="212" t="s">
        <v>3196</v>
      </c>
      <c r="F37" s="278">
        <v>1868</v>
      </c>
      <c r="G37" s="278">
        <v>19716</v>
      </c>
      <c r="H37" s="287">
        <f t="shared" si="0"/>
        <v>1.3948062487319943</v>
      </c>
      <c r="I37" s="286">
        <v>33</v>
      </c>
      <c r="J37" s="286">
        <v>275</v>
      </c>
      <c r="K37" s="286">
        <v>226</v>
      </c>
      <c r="L37" s="286">
        <v>49</v>
      </c>
      <c r="M37" s="286">
        <v>225</v>
      </c>
      <c r="N37" s="286">
        <v>195</v>
      </c>
      <c r="O37" s="286">
        <v>30</v>
      </c>
      <c r="P37" s="286">
        <v>33</v>
      </c>
      <c r="Q37" s="286">
        <v>275</v>
      </c>
      <c r="R37" s="286">
        <v>226</v>
      </c>
      <c r="S37" s="286">
        <v>49</v>
      </c>
      <c r="T37" s="286">
        <v>225</v>
      </c>
      <c r="U37" s="286">
        <v>195</v>
      </c>
      <c r="V37" s="286">
        <v>30</v>
      </c>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row>
    <row r="38" spans="1:175">
      <c r="A38" s="212" t="s">
        <v>3159</v>
      </c>
      <c r="B38" s="212" t="s">
        <v>3160</v>
      </c>
      <c r="C38" s="212" t="s">
        <v>3170</v>
      </c>
      <c r="D38" s="212" t="s">
        <v>3135</v>
      </c>
      <c r="E38" s="212" t="s">
        <v>3197</v>
      </c>
      <c r="F38" s="278">
        <v>1868</v>
      </c>
      <c r="G38" s="278">
        <v>19716</v>
      </c>
      <c r="H38" s="287">
        <f t="shared" si="0"/>
        <v>1.3948062487319943</v>
      </c>
      <c r="I38" s="286">
        <v>33</v>
      </c>
      <c r="J38" s="286">
        <v>275</v>
      </c>
      <c r="K38" s="286">
        <v>226</v>
      </c>
      <c r="L38" s="286">
        <v>49</v>
      </c>
      <c r="M38" s="286">
        <v>225</v>
      </c>
      <c r="N38" s="286">
        <v>195</v>
      </c>
      <c r="O38" s="286">
        <v>30</v>
      </c>
      <c r="P38" s="286">
        <v>33</v>
      </c>
      <c r="Q38" s="286">
        <v>275</v>
      </c>
      <c r="R38" s="286">
        <v>226</v>
      </c>
      <c r="S38" s="286">
        <v>49</v>
      </c>
      <c r="T38" s="286">
        <v>225</v>
      </c>
      <c r="U38" s="286">
        <v>195</v>
      </c>
      <c r="V38" s="286">
        <v>30</v>
      </c>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row>
    <row r="39" spans="1:175">
      <c r="A39" s="212" t="s">
        <v>3159</v>
      </c>
      <c r="B39" s="212" t="s">
        <v>3160</v>
      </c>
      <c r="C39" s="212" t="s">
        <v>3172</v>
      </c>
      <c r="D39" s="212" t="s">
        <v>3135</v>
      </c>
      <c r="E39" s="212" t="s">
        <v>3198</v>
      </c>
      <c r="F39" s="278">
        <v>131</v>
      </c>
      <c r="G39" s="278">
        <v>1926</v>
      </c>
      <c r="H39" s="287">
        <f t="shared" si="0"/>
        <v>0.3115264797507788</v>
      </c>
      <c r="I39" s="286">
        <v>1</v>
      </c>
      <c r="J39" s="286">
        <v>6</v>
      </c>
      <c r="K39" s="286">
        <v>4</v>
      </c>
      <c r="L39" s="286">
        <v>2</v>
      </c>
      <c r="M39" s="286">
        <v>2</v>
      </c>
      <c r="N39" s="286">
        <v>0</v>
      </c>
      <c r="O39" s="286">
        <v>2</v>
      </c>
      <c r="P39" s="286">
        <v>1</v>
      </c>
      <c r="Q39" s="286">
        <v>6</v>
      </c>
      <c r="R39" s="286">
        <v>4</v>
      </c>
      <c r="S39" s="286">
        <v>2</v>
      </c>
      <c r="T39" s="286">
        <v>2</v>
      </c>
      <c r="U39" s="286">
        <v>0</v>
      </c>
      <c r="V39" s="286">
        <v>2</v>
      </c>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row>
    <row r="40" spans="1:175">
      <c r="A40" s="212" t="s">
        <v>3159</v>
      </c>
      <c r="B40" s="212" t="s">
        <v>3160</v>
      </c>
      <c r="C40" s="212" t="s">
        <v>3172</v>
      </c>
      <c r="D40" s="212" t="s">
        <v>3135</v>
      </c>
      <c r="E40" s="212" t="s">
        <v>3199</v>
      </c>
      <c r="F40" s="278">
        <v>7</v>
      </c>
      <c r="G40" s="278">
        <v>339</v>
      </c>
      <c r="H40" s="287">
        <f t="shared" si="0"/>
        <v>0</v>
      </c>
      <c r="I40" s="286">
        <v>0</v>
      </c>
      <c r="J40" s="286">
        <v>0</v>
      </c>
      <c r="K40" s="286">
        <v>0</v>
      </c>
      <c r="L40" s="286">
        <v>0</v>
      </c>
      <c r="M40" s="286">
        <v>0</v>
      </c>
      <c r="N40" s="286">
        <v>0</v>
      </c>
      <c r="O40" s="286">
        <v>0</v>
      </c>
      <c r="P40" s="286">
        <v>0</v>
      </c>
      <c r="Q40" s="286">
        <v>0</v>
      </c>
      <c r="R40" s="286">
        <v>0</v>
      </c>
      <c r="S40" s="286">
        <v>0</v>
      </c>
      <c r="T40" s="286">
        <v>0</v>
      </c>
      <c r="U40" s="286">
        <v>0</v>
      </c>
      <c r="V40" s="286">
        <v>0</v>
      </c>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row>
    <row r="41" spans="1:175">
      <c r="A41" s="212" t="s">
        <v>3159</v>
      </c>
      <c r="B41" s="212" t="s">
        <v>3160</v>
      </c>
      <c r="C41" s="212" t="s">
        <v>3172</v>
      </c>
      <c r="D41" s="212" t="s">
        <v>3135</v>
      </c>
      <c r="E41" s="212" t="s">
        <v>3200</v>
      </c>
      <c r="F41" s="278">
        <v>18</v>
      </c>
      <c r="G41" s="278">
        <v>332</v>
      </c>
      <c r="H41" s="287">
        <f t="shared" si="0"/>
        <v>0</v>
      </c>
      <c r="I41" s="286">
        <v>0</v>
      </c>
      <c r="J41" s="286">
        <v>0</v>
      </c>
      <c r="K41" s="286">
        <v>0</v>
      </c>
      <c r="L41" s="286">
        <v>0</v>
      </c>
      <c r="M41" s="286">
        <v>0</v>
      </c>
      <c r="N41" s="286">
        <v>0</v>
      </c>
      <c r="O41" s="286">
        <v>0</v>
      </c>
      <c r="P41" s="286">
        <v>0</v>
      </c>
      <c r="Q41" s="286">
        <v>0</v>
      </c>
      <c r="R41" s="286">
        <v>0</v>
      </c>
      <c r="S41" s="286">
        <v>0</v>
      </c>
      <c r="T41" s="286">
        <v>0</v>
      </c>
      <c r="U41" s="286">
        <v>0</v>
      </c>
      <c r="V41" s="286">
        <v>0</v>
      </c>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row>
    <row r="42" spans="1:175">
      <c r="A42" s="212" t="s">
        <v>3159</v>
      </c>
      <c r="B42" s="212" t="s">
        <v>3160</v>
      </c>
      <c r="C42" s="212" t="s">
        <v>3172</v>
      </c>
      <c r="D42" s="212" t="s">
        <v>3135</v>
      </c>
      <c r="E42" s="212" t="s">
        <v>3201</v>
      </c>
      <c r="F42" s="278">
        <v>21</v>
      </c>
      <c r="G42" s="278">
        <v>914</v>
      </c>
      <c r="H42" s="287">
        <f t="shared" si="0"/>
        <v>0</v>
      </c>
      <c r="I42" s="286">
        <v>0</v>
      </c>
      <c r="J42" s="286">
        <v>0</v>
      </c>
      <c r="K42" s="286">
        <v>0</v>
      </c>
      <c r="L42" s="286">
        <v>0</v>
      </c>
      <c r="M42" s="286">
        <v>0</v>
      </c>
      <c r="N42" s="286">
        <v>0</v>
      </c>
      <c r="O42" s="286">
        <v>0</v>
      </c>
      <c r="P42" s="286">
        <v>0</v>
      </c>
      <c r="Q42" s="286">
        <v>0</v>
      </c>
      <c r="R42" s="286">
        <v>0</v>
      </c>
      <c r="S42" s="286">
        <v>0</v>
      </c>
      <c r="T42" s="286">
        <v>0</v>
      </c>
      <c r="U42" s="286">
        <v>0</v>
      </c>
      <c r="V42" s="286">
        <v>0</v>
      </c>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row>
    <row r="43" spans="1:175">
      <c r="A43" s="212" t="s">
        <v>3159</v>
      </c>
      <c r="B43" s="212" t="s">
        <v>3160</v>
      </c>
      <c r="C43" s="212" t="s">
        <v>3172</v>
      </c>
      <c r="D43" s="212" t="s">
        <v>3135</v>
      </c>
      <c r="E43" s="212" t="s">
        <v>3202</v>
      </c>
      <c r="F43" s="278">
        <v>1459</v>
      </c>
      <c r="G43" s="278">
        <v>12571</v>
      </c>
      <c r="H43" s="287">
        <f t="shared" si="0"/>
        <v>1.6068729615782356</v>
      </c>
      <c r="I43" s="286">
        <v>29</v>
      </c>
      <c r="J43" s="286">
        <v>202</v>
      </c>
      <c r="K43" s="286">
        <v>164</v>
      </c>
      <c r="L43" s="286">
        <v>38</v>
      </c>
      <c r="M43" s="286">
        <v>157</v>
      </c>
      <c r="N43" s="286">
        <v>138</v>
      </c>
      <c r="O43" s="286">
        <v>19</v>
      </c>
      <c r="P43" s="286">
        <v>29</v>
      </c>
      <c r="Q43" s="286">
        <v>202</v>
      </c>
      <c r="R43" s="286">
        <v>164</v>
      </c>
      <c r="S43" s="286">
        <v>38</v>
      </c>
      <c r="T43" s="286">
        <v>157</v>
      </c>
      <c r="U43" s="286">
        <v>138</v>
      </c>
      <c r="V43" s="286">
        <v>19</v>
      </c>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row>
    <row r="44" spans="1:175">
      <c r="A44" s="212" t="s">
        <v>3159</v>
      </c>
      <c r="B44" s="212" t="s">
        <v>3160</v>
      </c>
      <c r="C44" s="212" t="s">
        <v>3172</v>
      </c>
      <c r="D44" s="212" t="s">
        <v>3135</v>
      </c>
      <c r="E44" s="212" t="s">
        <v>3203</v>
      </c>
      <c r="F44" s="278">
        <v>190</v>
      </c>
      <c r="G44" s="278">
        <v>3192</v>
      </c>
      <c r="H44" s="287">
        <f t="shared" si="0"/>
        <v>2.0050125313283207</v>
      </c>
      <c r="I44" s="286">
        <v>2</v>
      </c>
      <c r="J44" s="286">
        <v>64</v>
      </c>
      <c r="K44" s="286">
        <v>55</v>
      </c>
      <c r="L44" s="286">
        <v>9</v>
      </c>
      <c r="M44" s="286">
        <v>63</v>
      </c>
      <c r="N44" s="286">
        <v>54</v>
      </c>
      <c r="O44" s="286">
        <v>9</v>
      </c>
      <c r="P44" s="286">
        <v>2</v>
      </c>
      <c r="Q44" s="286">
        <v>64</v>
      </c>
      <c r="R44" s="286">
        <v>55</v>
      </c>
      <c r="S44" s="286">
        <v>9</v>
      </c>
      <c r="T44" s="286">
        <v>63</v>
      </c>
      <c r="U44" s="286">
        <v>54</v>
      </c>
      <c r="V44" s="286">
        <v>9</v>
      </c>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6"/>
      <c r="EJ44" s="286"/>
      <c r="EK44" s="286"/>
      <c r="EL44" s="286"/>
      <c r="EM44" s="286"/>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286"/>
      <c r="FS44" s="286"/>
    </row>
    <row r="45" spans="1:175">
      <c r="A45" s="212" t="s">
        <v>3159</v>
      </c>
      <c r="B45" s="212" t="s">
        <v>3160</v>
      </c>
      <c r="C45" s="212" t="s">
        <v>3172</v>
      </c>
      <c r="D45" s="212" t="s">
        <v>3135</v>
      </c>
      <c r="E45" s="212" t="s">
        <v>3204</v>
      </c>
      <c r="F45" s="278">
        <v>35</v>
      </c>
      <c r="G45" s="278">
        <v>275</v>
      </c>
      <c r="H45" s="287">
        <f t="shared" si="0"/>
        <v>1.0909090909090911</v>
      </c>
      <c r="I45" s="286">
        <v>1</v>
      </c>
      <c r="J45" s="286">
        <v>3</v>
      </c>
      <c r="K45" s="286">
        <v>3</v>
      </c>
      <c r="L45" s="286">
        <v>0</v>
      </c>
      <c r="M45" s="286">
        <v>3</v>
      </c>
      <c r="N45" s="286">
        <v>3</v>
      </c>
      <c r="O45" s="286">
        <v>0</v>
      </c>
      <c r="P45" s="286">
        <v>1</v>
      </c>
      <c r="Q45" s="286">
        <v>3</v>
      </c>
      <c r="R45" s="286">
        <v>3</v>
      </c>
      <c r="S45" s="286">
        <v>0</v>
      </c>
      <c r="T45" s="286">
        <v>3</v>
      </c>
      <c r="U45" s="286">
        <v>3</v>
      </c>
      <c r="V45" s="286">
        <v>0</v>
      </c>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row>
    <row r="46" spans="1:175">
      <c r="A46" s="212" t="s">
        <v>3159</v>
      </c>
      <c r="B46" s="212" t="s">
        <v>3160</v>
      </c>
      <c r="C46" s="212" t="s">
        <v>3168</v>
      </c>
      <c r="D46" s="212" t="s">
        <v>3205</v>
      </c>
      <c r="E46" s="212" t="s">
        <v>3206</v>
      </c>
      <c r="F46" s="278">
        <v>485139</v>
      </c>
      <c r="G46" s="278">
        <v>3737447</v>
      </c>
      <c r="H46" s="287">
        <f t="shared" si="0"/>
        <v>2.9505167564917976</v>
      </c>
      <c r="I46" s="286">
        <v>16634</v>
      </c>
      <c r="J46" s="286">
        <v>110274</v>
      </c>
      <c r="K46" s="286">
        <v>86826</v>
      </c>
      <c r="L46" s="286">
        <v>22927</v>
      </c>
      <c r="M46" s="286">
        <v>81253</v>
      </c>
      <c r="N46" s="286">
        <v>65169</v>
      </c>
      <c r="O46" s="286">
        <v>15583</v>
      </c>
      <c r="P46" s="286">
        <v>16634</v>
      </c>
      <c r="Q46" s="286">
        <v>110274</v>
      </c>
      <c r="R46" s="286">
        <v>86826</v>
      </c>
      <c r="S46" s="286">
        <v>22927</v>
      </c>
      <c r="T46" s="286">
        <v>81253</v>
      </c>
      <c r="U46" s="286">
        <v>65169</v>
      </c>
      <c r="V46" s="286">
        <v>15583</v>
      </c>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row>
    <row r="47" spans="1:175">
      <c r="A47" s="212" t="s">
        <v>3159</v>
      </c>
      <c r="B47" s="212" t="s">
        <v>3160</v>
      </c>
      <c r="C47" s="212" t="s">
        <v>3170</v>
      </c>
      <c r="D47" s="212" t="s">
        <v>3205</v>
      </c>
      <c r="E47" s="212" t="s">
        <v>3207</v>
      </c>
      <c r="F47" s="278">
        <v>209730</v>
      </c>
      <c r="G47" s="278">
        <v>1825968</v>
      </c>
      <c r="H47" s="287">
        <f t="shared" si="0"/>
        <v>3.1036140830507435</v>
      </c>
      <c r="I47" s="286">
        <v>7971</v>
      </c>
      <c r="J47" s="286">
        <v>56671</v>
      </c>
      <c r="K47" s="286">
        <v>43743</v>
      </c>
      <c r="L47" s="286">
        <v>12651</v>
      </c>
      <c r="M47" s="286">
        <v>42360</v>
      </c>
      <c r="N47" s="286">
        <v>33166</v>
      </c>
      <c r="O47" s="286">
        <v>8933</v>
      </c>
      <c r="P47" s="286">
        <v>7971</v>
      </c>
      <c r="Q47" s="286">
        <v>56671</v>
      </c>
      <c r="R47" s="286">
        <v>43743</v>
      </c>
      <c r="S47" s="286">
        <v>12651</v>
      </c>
      <c r="T47" s="286">
        <v>42360</v>
      </c>
      <c r="U47" s="286">
        <v>33166</v>
      </c>
      <c r="V47" s="286">
        <v>8933</v>
      </c>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row>
    <row r="48" spans="1:175">
      <c r="A48" s="212" t="s">
        <v>3159</v>
      </c>
      <c r="B48" s="212" t="s">
        <v>3160</v>
      </c>
      <c r="C48" s="212" t="s">
        <v>3172</v>
      </c>
      <c r="D48" s="212" t="s">
        <v>3205</v>
      </c>
      <c r="E48" s="212" t="s">
        <v>3208</v>
      </c>
      <c r="F48" s="278">
        <v>919</v>
      </c>
      <c r="G48" s="278">
        <v>14163</v>
      </c>
      <c r="H48" s="287">
        <f t="shared" si="0"/>
        <v>1.5039186613005719</v>
      </c>
      <c r="I48" s="286">
        <v>35</v>
      </c>
      <c r="J48" s="286">
        <v>213</v>
      </c>
      <c r="K48" s="286">
        <v>157</v>
      </c>
      <c r="L48" s="286">
        <v>56</v>
      </c>
      <c r="M48" s="286">
        <v>171</v>
      </c>
      <c r="N48" s="286">
        <v>124</v>
      </c>
      <c r="O48" s="286">
        <v>47</v>
      </c>
      <c r="P48" s="286">
        <v>35</v>
      </c>
      <c r="Q48" s="286">
        <v>213</v>
      </c>
      <c r="R48" s="286">
        <v>157</v>
      </c>
      <c r="S48" s="286">
        <v>56</v>
      </c>
      <c r="T48" s="286">
        <v>171</v>
      </c>
      <c r="U48" s="286">
        <v>124</v>
      </c>
      <c r="V48" s="286">
        <v>47</v>
      </c>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row>
    <row r="49" spans="1:175">
      <c r="A49" s="212" t="s">
        <v>3159</v>
      </c>
      <c r="B49" s="212" t="s">
        <v>3160</v>
      </c>
      <c r="C49" s="212" t="s">
        <v>3172</v>
      </c>
      <c r="D49" s="212" t="s">
        <v>3205</v>
      </c>
      <c r="E49" s="212" t="s">
        <v>3209</v>
      </c>
      <c r="F49" s="278">
        <v>7617</v>
      </c>
      <c r="G49" s="278">
        <v>186003</v>
      </c>
      <c r="H49" s="287">
        <f t="shared" si="0"/>
        <v>1.9784627129669952</v>
      </c>
      <c r="I49" s="286">
        <v>281</v>
      </c>
      <c r="J49" s="286">
        <v>3680</v>
      </c>
      <c r="K49" s="286">
        <v>2983</v>
      </c>
      <c r="L49" s="286">
        <v>697</v>
      </c>
      <c r="M49" s="286">
        <v>3216</v>
      </c>
      <c r="N49" s="286">
        <v>2632</v>
      </c>
      <c r="O49" s="286">
        <v>584</v>
      </c>
      <c r="P49" s="286">
        <v>281</v>
      </c>
      <c r="Q49" s="286">
        <v>3680</v>
      </c>
      <c r="R49" s="286">
        <v>2983</v>
      </c>
      <c r="S49" s="286">
        <v>697</v>
      </c>
      <c r="T49" s="286">
        <v>3216</v>
      </c>
      <c r="U49" s="286">
        <v>2632</v>
      </c>
      <c r="V49" s="286">
        <v>584</v>
      </c>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row>
    <row r="50" spans="1:175">
      <c r="A50" s="212" t="s">
        <v>3159</v>
      </c>
      <c r="B50" s="212" t="s">
        <v>3160</v>
      </c>
      <c r="C50" s="212" t="s">
        <v>3172</v>
      </c>
      <c r="D50" s="212" t="s">
        <v>3205</v>
      </c>
      <c r="E50" s="212" t="s">
        <v>3210</v>
      </c>
      <c r="F50" s="278">
        <v>74591</v>
      </c>
      <c r="G50" s="278">
        <v>746640</v>
      </c>
      <c r="H50" s="287">
        <f t="shared" si="0"/>
        <v>3.2302046501660775</v>
      </c>
      <c r="I50" s="286">
        <v>3086</v>
      </c>
      <c r="J50" s="286">
        <v>24118</v>
      </c>
      <c r="K50" s="286">
        <v>19965</v>
      </c>
      <c r="L50" s="286">
        <v>4137</v>
      </c>
      <c r="M50" s="286">
        <v>17827</v>
      </c>
      <c r="N50" s="286">
        <v>15282</v>
      </c>
      <c r="O50" s="286">
        <v>2532</v>
      </c>
      <c r="P50" s="286">
        <v>3086</v>
      </c>
      <c r="Q50" s="286">
        <v>24118</v>
      </c>
      <c r="R50" s="286">
        <v>19965</v>
      </c>
      <c r="S50" s="286">
        <v>4137</v>
      </c>
      <c r="T50" s="286">
        <v>17827</v>
      </c>
      <c r="U50" s="286">
        <v>15282</v>
      </c>
      <c r="V50" s="286">
        <v>2532</v>
      </c>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row>
    <row r="51" spans="1:175">
      <c r="A51" s="212" t="s">
        <v>3159</v>
      </c>
      <c r="B51" s="212" t="s">
        <v>3160</v>
      </c>
      <c r="C51" s="212" t="s">
        <v>3172</v>
      </c>
      <c r="D51" s="212" t="s">
        <v>3205</v>
      </c>
      <c r="E51" s="212" t="s">
        <v>3211</v>
      </c>
      <c r="F51" s="278">
        <v>6380</v>
      </c>
      <c r="G51" s="278">
        <v>74342</v>
      </c>
      <c r="H51" s="287">
        <f t="shared" si="0"/>
        <v>2.1589411100051117</v>
      </c>
      <c r="I51" s="286">
        <v>164</v>
      </c>
      <c r="J51" s="286">
        <v>1605</v>
      </c>
      <c r="K51" s="286">
        <v>1348</v>
      </c>
      <c r="L51" s="286">
        <v>257</v>
      </c>
      <c r="M51" s="286">
        <v>1290</v>
      </c>
      <c r="N51" s="286">
        <v>1128</v>
      </c>
      <c r="O51" s="286">
        <v>162</v>
      </c>
      <c r="P51" s="286">
        <v>164</v>
      </c>
      <c r="Q51" s="286">
        <v>1605</v>
      </c>
      <c r="R51" s="286">
        <v>1348</v>
      </c>
      <c r="S51" s="286">
        <v>257</v>
      </c>
      <c r="T51" s="286">
        <v>1290</v>
      </c>
      <c r="U51" s="286">
        <v>1128</v>
      </c>
      <c r="V51" s="286">
        <v>162</v>
      </c>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row>
    <row r="52" spans="1:175">
      <c r="A52" s="212" t="s">
        <v>3159</v>
      </c>
      <c r="B52" s="212" t="s">
        <v>3160</v>
      </c>
      <c r="C52" s="212" t="s">
        <v>3172</v>
      </c>
      <c r="D52" s="212" t="s">
        <v>3205</v>
      </c>
      <c r="E52" s="212" t="s">
        <v>3212</v>
      </c>
      <c r="F52" s="278">
        <v>50005</v>
      </c>
      <c r="G52" s="278">
        <v>464662</v>
      </c>
      <c r="H52" s="287">
        <f t="shared" si="0"/>
        <v>3.2576367337979</v>
      </c>
      <c r="I52" s="286">
        <v>1963</v>
      </c>
      <c r="J52" s="286">
        <v>15137</v>
      </c>
      <c r="K52" s="286">
        <v>11327</v>
      </c>
      <c r="L52" s="286">
        <v>3555</v>
      </c>
      <c r="M52" s="286">
        <v>11574</v>
      </c>
      <c r="N52" s="286">
        <v>8748</v>
      </c>
      <c r="O52" s="286">
        <v>2584</v>
      </c>
      <c r="P52" s="286">
        <v>1963</v>
      </c>
      <c r="Q52" s="286">
        <v>15137</v>
      </c>
      <c r="R52" s="286">
        <v>11327</v>
      </c>
      <c r="S52" s="286">
        <v>3555</v>
      </c>
      <c r="T52" s="286">
        <v>11574</v>
      </c>
      <c r="U52" s="286">
        <v>8748</v>
      </c>
      <c r="V52" s="286">
        <v>2584</v>
      </c>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row>
    <row r="53" spans="1:175">
      <c r="A53" s="212" t="s">
        <v>3159</v>
      </c>
      <c r="B53" s="212" t="s">
        <v>3160</v>
      </c>
      <c r="C53" s="212" t="s">
        <v>3172</v>
      </c>
      <c r="D53" s="212" t="s">
        <v>3205</v>
      </c>
      <c r="E53" s="212" t="s">
        <v>3213</v>
      </c>
      <c r="F53" s="278">
        <v>41884</v>
      </c>
      <c r="G53" s="278">
        <v>200239</v>
      </c>
      <c r="H53" s="287">
        <f t="shared" si="0"/>
        <v>2.948975973711415</v>
      </c>
      <c r="I53" s="286">
        <v>1249</v>
      </c>
      <c r="J53" s="286">
        <v>5905</v>
      </c>
      <c r="K53" s="286">
        <v>4039</v>
      </c>
      <c r="L53" s="286">
        <v>1866</v>
      </c>
      <c r="M53" s="286">
        <v>3961</v>
      </c>
      <c r="N53" s="286">
        <v>2574</v>
      </c>
      <c r="O53" s="286">
        <v>1387</v>
      </c>
      <c r="P53" s="286">
        <v>1249</v>
      </c>
      <c r="Q53" s="286">
        <v>5905</v>
      </c>
      <c r="R53" s="286">
        <v>4039</v>
      </c>
      <c r="S53" s="286">
        <v>1866</v>
      </c>
      <c r="T53" s="286">
        <v>3961</v>
      </c>
      <c r="U53" s="286">
        <v>2574</v>
      </c>
      <c r="V53" s="286">
        <v>1387</v>
      </c>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row>
    <row r="54" spans="1:175">
      <c r="A54" s="212" t="s">
        <v>3159</v>
      </c>
      <c r="B54" s="212" t="s">
        <v>3160</v>
      </c>
      <c r="C54" s="212" t="s">
        <v>3172</v>
      </c>
      <c r="D54" s="212" t="s">
        <v>3205</v>
      </c>
      <c r="E54" s="212" t="s">
        <v>3214</v>
      </c>
      <c r="F54" s="278">
        <v>28334</v>
      </c>
      <c r="G54" s="278">
        <v>139919</v>
      </c>
      <c r="H54" s="287">
        <f t="shared" si="0"/>
        <v>4.2974864028473618</v>
      </c>
      <c r="I54" s="286">
        <v>1193</v>
      </c>
      <c r="J54" s="286">
        <v>6013</v>
      </c>
      <c r="K54" s="286">
        <v>3924</v>
      </c>
      <c r="L54" s="286">
        <v>2083</v>
      </c>
      <c r="M54" s="286">
        <v>4321</v>
      </c>
      <c r="N54" s="286">
        <v>2678</v>
      </c>
      <c r="O54" s="286">
        <v>1637</v>
      </c>
      <c r="P54" s="286">
        <v>1193</v>
      </c>
      <c r="Q54" s="286">
        <v>6013</v>
      </c>
      <c r="R54" s="286">
        <v>3924</v>
      </c>
      <c r="S54" s="286">
        <v>2083</v>
      </c>
      <c r="T54" s="286">
        <v>4321</v>
      </c>
      <c r="U54" s="286">
        <v>2678</v>
      </c>
      <c r="V54" s="286">
        <v>1637</v>
      </c>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row>
    <row r="55" spans="1:175">
      <c r="A55" s="212" t="s">
        <v>3159</v>
      </c>
      <c r="B55" s="212" t="s">
        <v>3160</v>
      </c>
      <c r="C55" s="212" t="s">
        <v>3170</v>
      </c>
      <c r="D55" s="212" t="s">
        <v>3205</v>
      </c>
      <c r="E55" s="212" t="s">
        <v>3215</v>
      </c>
      <c r="F55" s="278">
        <v>149592</v>
      </c>
      <c r="G55" s="278">
        <v>847026</v>
      </c>
      <c r="H55" s="287">
        <f t="shared" si="0"/>
        <v>2.4673386649288216</v>
      </c>
      <c r="I55" s="286">
        <v>4216</v>
      </c>
      <c r="J55" s="286">
        <v>20899</v>
      </c>
      <c r="K55" s="286">
        <v>16613</v>
      </c>
      <c r="L55" s="286">
        <v>4211</v>
      </c>
      <c r="M55" s="286">
        <v>13600</v>
      </c>
      <c r="N55" s="286">
        <v>11005</v>
      </c>
      <c r="O55" s="286">
        <v>2520</v>
      </c>
      <c r="P55" s="286">
        <v>4216</v>
      </c>
      <c r="Q55" s="286">
        <v>20899</v>
      </c>
      <c r="R55" s="286">
        <v>16613</v>
      </c>
      <c r="S55" s="286">
        <v>4211</v>
      </c>
      <c r="T55" s="286">
        <v>13600</v>
      </c>
      <c r="U55" s="286">
        <v>11005</v>
      </c>
      <c r="V55" s="286">
        <v>2520</v>
      </c>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row>
    <row r="56" spans="1:175">
      <c r="A56" s="212" t="s">
        <v>3159</v>
      </c>
      <c r="B56" s="212" t="s">
        <v>3160</v>
      </c>
      <c r="C56" s="212" t="s">
        <v>3172</v>
      </c>
      <c r="D56" s="212" t="s">
        <v>3205</v>
      </c>
      <c r="E56" s="212" t="s">
        <v>3216</v>
      </c>
      <c r="F56" s="278">
        <v>522</v>
      </c>
      <c r="G56" s="278">
        <v>2674</v>
      </c>
      <c r="H56" s="287">
        <f t="shared" si="0"/>
        <v>0.56095736724008971</v>
      </c>
      <c r="I56" s="286">
        <v>7</v>
      </c>
      <c r="J56" s="286">
        <v>15</v>
      </c>
      <c r="K56" s="286">
        <v>9</v>
      </c>
      <c r="L56" s="286">
        <v>6</v>
      </c>
      <c r="M56" s="286">
        <v>8</v>
      </c>
      <c r="N56" s="286">
        <v>6</v>
      </c>
      <c r="O56" s="286">
        <v>2</v>
      </c>
      <c r="P56" s="286">
        <v>7</v>
      </c>
      <c r="Q56" s="286">
        <v>15</v>
      </c>
      <c r="R56" s="286">
        <v>9</v>
      </c>
      <c r="S56" s="286">
        <v>6</v>
      </c>
      <c r="T56" s="286">
        <v>8</v>
      </c>
      <c r="U56" s="286">
        <v>6</v>
      </c>
      <c r="V56" s="286">
        <v>2</v>
      </c>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row>
    <row r="57" spans="1:175">
      <c r="A57" s="212" t="s">
        <v>3159</v>
      </c>
      <c r="B57" s="212" t="s">
        <v>3160</v>
      </c>
      <c r="C57" s="212" t="s">
        <v>3172</v>
      </c>
      <c r="D57" s="212" t="s">
        <v>3205</v>
      </c>
      <c r="E57" s="212" t="s">
        <v>3217</v>
      </c>
      <c r="F57" s="278">
        <v>17013</v>
      </c>
      <c r="G57" s="278">
        <v>68361</v>
      </c>
      <c r="H57" s="287">
        <f t="shared" si="0"/>
        <v>2.3858632846213488</v>
      </c>
      <c r="I57" s="286">
        <v>459</v>
      </c>
      <c r="J57" s="286">
        <v>1631</v>
      </c>
      <c r="K57" s="286">
        <v>1302</v>
      </c>
      <c r="L57" s="286">
        <v>322</v>
      </c>
      <c r="M57" s="286">
        <v>836</v>
      </c>
      <c r="N57" s="286">
        <v>673</v>
      </c>
      <c r="O57" s="286">
        <v>156</v>
      </c>
      <c r="P57" s="286">
        <v>459</v>
      </c>
      <c r="Q57" s="286">
        <v>1631</v>
      </c>
      <c r="R57" s="286">
        <v>1302</v>
      </c>
      <c r="S57" s="286">
        <v>322</v>
      </c>
      <c r="T57" s="286">
        <v>836</v>
      </c>
      <c r="U57" s="286">
        <v>673</v>
      </c>
      <c r="V57" s="286">
        <v>156</v>
      </c>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row>
    <row r="58" spans="1:175">
      <c r="A58" s="212" t="s">
        <v>3159</v>
      </c>
      <c r="B58" s="212" t="s">
        <v>3160</v>
      </c>
      <c r="C58" s="212" t="s">
        <v>3172</v>
      </c>
      <c r="D58" s="212" t="s">
        <v>3205</v>
      </c>
      <c r="E58" s="212" t="s">
        <v>3218</v>
      </c>
      <c r="F58" s="278">
        <v>21514</v>
      </c>
      <c r="G58" s="278">
        <v>193663</v>
      </c>
      <c r="H58" s="287">
        <f t="shared" si="0"/>
        <v>1.9084698677599747</v>
      </c>
      <c r="I58" s="286">
        <v>494</v>
      </c>
      <c r="J58" s="286">
        <v>3696</v>
      </c>
      <c r="K58" s="286">
        <v>3031</v>
      </c>
      <c r="L58" s="286">
        <v>664</v>
      </c>
      <c r="M58" s="286">
        <v>2808</v>
      </c>
      <c r="N58" s="286">
        <v>2380</v>
      </c>
      <c r="O58" s="286">
        <v>427</v>
      </c>
      <c r="P58" s="286">
        <v>494</v>
      </c>
      <c r="Q58" s="286">
        <v>3696</v>
      </c>
      <c r="R58" s="286">
        <v>3031</v>
      </c>
      <c r="S58" s="286">
        <v>664</v>
      </c>
      <c r="T58" s="286">
        <v>2808</v>
      </c>
      <c r="U58" s="286">
        <v>2380</v>
      </c>
      <c r="V58" s="286">
        <v>427</v>
      </c>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row>
    <row r="59" spans="1:175">
      <c r="A59" s="212" t="s">
        <v>3159</v>
      </c>
      <c r="B59" s="212" t="s">
        <v>3160</v>
      </c>
      <c r="C59" s="212" t="s">
        <v>3172</v>
      </c>
      <c r="D59" s="212" t="s">
        <v>3205</v>
      </c>
      <c r="E59" s="212" t="s">
        <v>3219</v>
      </c>
      <c r="F59" s="278">
        <v>8519</v>
      </c>
      <c r="G59" s="278">
        <v>70104</v>
      </c>
      <c r="H59" s="287">
        <f t="shared" si="0"/>
        <v>2.8101106926851536</v>
      </c>
      <c r="I59" s="286">
        <v>248</v>
      </c>
      <c r="J59" s="286">
        <v>1970</v>
      </c>
      <c r="K59" s="286">
        <v>1658</v>
      </c>
      <c r="L59" s="286">
        <v>312</v>
      </c>
      <c r="M59" s="286">
        <v>1420</v>
      </c>
      <c r="N59" s="286">
        <v>1228</v>
      </c>
      <c r="O59" s="286">
        <v>192</v>
      </c>
      <c r="P59" s="286">
        <v>248</v>
      </c>
      <c r="Q59" s="286">
        <v>1970</v>
      </c>
      <c r="R59" s="286">
        <v>1658</v>
      </c>
      <c r="S59" s="286">
        <v>312</v>
      </c>
      <c r="T59" s="286">
        <v>1420</v>
      </c>
      <c r="U59" s="286">
        <v>1228</v>
      </c>
      <c r="V59" s="286">
        <v>192</v>
      </c>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row>
    <row r="60" spans="1:175">
      <c r="A60" s="212" t="s">
        <v>3159</v>
      </c>
      <c r="B60" s="212" t="s">
        <v>3160</v>
      </c>
      <c r="C60" s="212" t="s">
        <v>3172</v>
      </c>
      <c r="D60" s="212" t="s">
        <v>3205</v>
      </c>
      <c r="E60" s="212" t="s">
        <v>3220</v>
      </c>
      <c r="F60" s="278">
        <v>5924</v>
      </c>
      <c r="G60" s="278">
        <v>25561</v>
      </c>
      <c r="H60" s="287">
        <f t="shared" si="0"/>
        <v>3.0319627557607292</v>
      </c>
      <c r="I60" s="286">
        <v>179</v>
      </c>
      <c r="J60" s="286">
        <v>775</v>
      </c>
      <c r="K60" s="286">
        <v>592</v>
      </c>
      <c r="L60" s="286">
        <v>183</v>
      </c>
      <c r="M60" s="286">
        <v>448</v>
      </c>
      <c r="N60" s="286">
        <v>343</v>
      </c>
      <c r="O60" s="286">
        <v>105</v>
      </c>
      <c r="P60" s="286">
        <v>179</v>
      </c>
      <c r="Q60" s="286">
        <v>775</v>
      </c>
      <c r="R60" s="286">
        <v>592</v>
      </c>
      <c r="S60" s="286">
        <v>183</v>
      </c>
      <c r="T60" s="286">
        <v>448</v>
      </c>
      <c r="U60" s="286">
        <v>343</v>
      </c>
      <c r="V60" s="286">
        <v>105</v>
      </c>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row>
    <row r="61" spans="1:175">
      <c r="A61" s="212" t="s">
        <v>3159</v>
      </c>
      <c r="B61" s="212" t="s">
        <v>3160</v>
      </c>
      <c r="C61" s="212" t="s">
        <v>3172</v>
      </c>
      <c r="D61" s="212" t="s">
        <v>3205</v>
      </c>
      <c r="E61" s="212" t="s">
        <v>3221</v>
      </c>
      <c r="F61" s="278">
        <v>9019</v>
      </c>
      <c r="G61" s="278">
        <v>37772</v>
      </c>
      <c r="H61" s="287">
        <f t="shared" si="0"/>
        <v>2.721592714179816</v>
      </c>
      <c r="I61" s="286">
        <v>305</v>
      </c>
      <c r="J61" s="286">
        <v>1028</v>
      </c>
      <c r="K61" s="286">
        <v>879</v>
      </c>
      <c r="L61" s="286">
        <v>149</v>
      </c>
      <c r="M61" s="286">
        <v>545</v>
      </c>
      <c r="N61" s="286">
        <v>481</v>
      </c>
      <c r="O61" s="286">
        <v>64</v>
      </c>
      <c r="P61" s="286">
        <v>305</v>
      </c>
      <c r="Q61" s="286">
        <v>1028</v>
      </c>
      <c r="R61" s="286">
        <v>879</v>
      </c>
      <c r="S61" s="286">
        <v>149</v>
      </c>
      <c r="T61" s="286">
        <v>545</v>
      </c>
      <c r="U61" s="286">
        <v>481</v>
      </c>
      <c r="V61" s="286">
        <v>64</v>
      </c>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row>
    <row r="62" spans="1:175">
      <c r="A62" s="212" t="s">
        <v>3159</v>
      </c>
      <c r="B62" s="212" t="s">
        <v>3160</v>
      </c>
      <c r="C62" s="212" t="s">
        <v>3172</v>
      </c>
      <c r="D62" s="212" t="s">
        <v>3205</v>
      </c>
      <c r="E62" s="212" t="s">
        <v>3222</v>
      </c>
      <c r="F62" s="278">
        <v>11907</v>
      </c>
      <c r="G62" s="278">
        <v>43553</v>
      </c>
      <c r="H62" s="287">
        <f t="shared" si="0"/>
        <v>2.9550203200698002</v>
      </c>
      <c r="I62" s="286">
        <v>345</v>
      </c>
      <c r="J62" s="286">
        <v>1287</v>
      </c>
      <c r="K62" s="286">
        <v>1007</v>
      </c>
      <c r="L62" s="286">
        <v>273</v>
      </c>
      <c r="M62" s="286">
        <v>748</v>
      </c>
      <c r="N62" s="286">
        <v>571</v>
      </c>
      <c r="O62" s="286">
        <v>170</v>
      </c>
      <c r="P62" s="286">
        <v>345</v>
      </c>
      <c r="Q62" s="286">
        <v>1287</v>
      </c>
      <c r="R62" s="286">
        <v>1007</v>
      </c>
      <c r="S62" s="286">
        <v>273</v>
      </c>
      <c r="T62" s="286">
        <v>748</v>
      </c>
      <c r="U62" s="286">
        <v>571</v>
      </c>
      <c r="V62" s="286">
        <v>170</v>
      </c>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row>
    <row r="63" spans="1:175">
      <c r="A63" s="212" t="s">
        <v>3159</v>
      </c>
      <c r="B63" s="212" t="s">
        <v>3160</v>
      </c>
      <c r="C63" s="212" t="s">
        <v>3172</v>
      </c>
      <c r="D63" s="212" t="s">
        <v>3205</v>
      </c>
      <c r="E63" s="212" t="s">
        <v>3223</v>
      </c>
      <c r="F63" s="278">
        <v>22027</v>
      </c>
      <c r="G63" s="278">
        <v>106479</v>
      </c>
      <c r="H63" s="287">
        <f t="shared" si="0"/>
        <v>2.7291766451600785</v>
      </c>
      <c r="I63" s="286">
        <v>600</v>
      </c>
      <c r="J63" s="286">
        <v>2906</v>
      </c>
      <c r="K63" s="286">
        <v>2275</v>
      </c>
      <c r="L63" s="286">
        <v>631</v>
      </c>
      <c r="M63" s="286">
        <v>1830</v>
      </c>
      <c r="N63" s="286">
        <v>1458</v>
      </c>
      <c r="O63" s="286">
        <v>372</v>
      </c>
      <c r="P63" s="286">
        <v>600</v>
      </c>
      <c r="Q63" s="286">
        <v>2906</v>
      </c>
      <c r="R63" s="286">
        <v>2275</v>
      </c>
      <c r="S63" s="286">
        <v>631</v>
      </c>
      <c r="T63" s="286">
        <v>1830</v>
      </c>
      <c r="U63" s="286">
        <v>1458</v>
      </c>
      <c r="V63" s="286">
        <v>372</v>
      </c>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row>
    <row r="64" spans="1:175">
      <c r="A64" s="212" t="s">
        <v>3159</v>
      </c>
      <c r="B64" s="212" t="s">
        <v>3160</v>
      </c>
      <c r="C64" s="212" t="s">
        <v>3172</v>
      </c>
      <c r="D64" s="212" t="s">
        <v>3205</v>
      </c>
      <c r="E64" s="212" t="s">
        <v>3224</v>
      </c>
      <c r="F64" s="278">
        <v>24204</v>
      </c>
      <c r="G64" s="278">
        <v>115987</v>
      </c>
      <c r="H64" s="287">
        <f t="shared" si="0"/>
        <v>2.3813013527378071</v>
      </c>
      <c r="I64" s="286">
        <v>637</v>
      </c>
      <c r="J64" s="286">
        <v>2762</v>
      </c>
      <c r="K64" s="286">
        <v>2078</v>
      </c>
      <c r="L64" s="286">
        <v>679</v>
      </c>
      <c r="M64" s="286">
        <v>1729</v>
      </c>
      <c r="N64" s="286">
        <v>1290</v>
      </c>
      <c r="O64" s="286">
        <v>434</v>
      </c>
      <c r="P64" s="286">
        <v>637</v>
      </c>
      <c r="Q64" s="286">
        <v>2762</v>
      </c>
      <c r="R64" s="286">
        <v>2078</v>
      </c>
      <c r="S64" s="286">
        <v>679</v>
      </c>
      <c r="T64" s="286">
        <v>1729</v>
      </c>
      <c r="U64" s="286">
        <v>1290</v>
      </c>
      <c r="V64" s="286">
        <v>434</v>
      </c>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row>
    <row r="65" spans="1:175">
      <c r="A65" s="212" t="s">
        <v>3159</v>
      </c>
      <c r="B65" s="212" t="s">
        <v>3160</v>
      </c>
      <c r="C65" s="212" t="s">
        <v>3172</v>
      </c>
      <c r="D65" s="212" t="s">
        <v>3205</v>
      </c>
      <c r="E65" s="212" t="s">
        <v>3225</v>
      </c>
      <c r="F65" s="278">
        <v>28943</v>
      </c>
      <c r="G65" s="278">
        <v>182872</v>
      </c>
      <c r="H65" s="287">
        <f t="shared" si="0"/>
        <v>2.6406448226081634</v>
      </c>
      <c r="I65" s="286">
        <v>942</v>
      </c>
      <c r="J65" s="286">
        <v>4829</v>
      </c>
      <c r="K65" s="286">
        <v>3782</v>
      </c>
      <c r="L65" s="286">
        <v>992</v>
      </c>
      <c r="M65" s="286">
        <v>3228</v>
      </c>
      <c r="N65" s="286">
        <v>2575</v>
      </c>
      <c r="O65" s="286">
        <v>598</v>
      </c>
      <c r="P65" s="286">
        <v>942</v>
      </c>
      <c r="Q65" s="286">
        <v>4829</v>
      </c>
      <c r="R65" s="286">
        <v>3782</v>
      </c>
      <c r="S65" s="286">
        <v>992</v>
      </c>
      <c r="T65" s="286">
        <v>3228</v>
      </c>
      <c r="U65" s="286">
        <v>2575</v>
      </c>
      <c r="V65" s="286">
        <v>598</v>
      </c>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row>
    <row r="66" spans="1:175">
      <c r="A66" s="212" t="s">
        <v>3159</v>
      </c>
      <c r="B66" s="212" t="s">
        <v>3160</v>
      </c>
      <c r="C66" s="212" t="s">
        <v>3170</v>
      </c>
      <c r="D66" s="212" t="s">
        <v>3205</v>
      </c>
      <c r="E66" s="212" t="s">
        <v>3226</v>
      </c>
      <c r="F66" s="278">
        <v>125773</v>
      </c>
      <c r="G66" s="278">
        <v>1064262</v>
      </c>
      <c r="H66" s="287">
        <f t="shared" si="0"/>
        <v>3.0729275310027044</v>
      </c>
      <c r="I66" s="286">
        <v>4447</v>
      </c>
      <c r="J66" s="286">
        <v>32704</v>
      </c>
      <c r="K66" s="286">
        <v>26470</v>
      </c>
      <c r="L66" s="286">
        <v>6065</v>
      </c>
      <c r="M66" s="286">
        <v>25293</v>
      </c>
      <c r="N66" s="286">
        <v>20998</v>
      </c>
      <c r="O66" s="286">
        <v>4130</v>
      </c>
      <c r="P66" s="286">
        <v>4447</v>
      </c>
      <c r="Q66" s="286">
        <v>32704</v>
      </c>
      <c r="R66" s="286">
        <v>26470</v>
      </c>
      <c r="S66" s="286">
        <v>6065</v>
      </c>
      <c r="T66" s="286">
        <v>25293</v>
      </c>
      <c r="U66" s="286">
        <v>20998</v>
      </c>
      <c r="V66" s="286">
        <v>4130</v>
      </c>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row>
    <row r="67" spans="1:175">
      <c r="A67" s="212" t="s">
        <v>3159</v>
      </c>
      <c r="B67" s="212" t="s">
        <v>3160</v>
      </c>
      <c r="C67" s="212" t="s">
        <v>3172</v>
      </c>
      <c r="D67" s="212" t="s">
        <v>3205</v>
      </c>
      <c r="E67" s="212" t="s">
        <v>3227</v>
      </c>
      <c r="F67" s="278">
        <v>662</v>
      </c>
      <c r="G67" s="278">
        <v>10544</v>
      </c>
      <c r="H67" s="287">
        <f t="shared" si="0"/>
        <v>2.1433990895295905</v>
      </c>
      <c r="I67" s="286">
        <v>27</v>
      </c>
      <c r="J67" s="286">
        <v>226</v>
      </c>
      <c r="K67" s="286">
        <v>178</v>
      </c>
      <c r="L67" s="286">
        <v>48</v>
      </c>
      <c r="M67" s="286">
        <v>182</v>
      </c>
      <c r="N67" s="286">
        <v>144</v>
      </c>
      <c r="O67" s="286">
        <v>38</v>
      </c>
      <c r="P67" s="286">
        <v>27</v>
      </c>
      <c r="Q67" s="286">
        <v>226</v>
      </c>
      <c r="R67" s="286">
        <v>178</v>
      </c>
      <c r="S67" s="286">
        <v>48</v>
      </c>
      <c r="T67" s="286">
        <v>182</v>
      </c>
      <c r="U67" s="286">
        <v>144</v>
      </c>
      <c r="V67" s="286">
        <v>38</v>
      </c>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row>
    <row r="68" spans="1:175">
      <c r="A68" s="212" t="s">
        <v>3159</v>
      </c>
      <c r="B68" s="212" t="s">
        <v>3160</v>
      </c>
      <c r="C68" s="212" t="s">
        <v>3172</v>
      </c>
      <c r="D68" s="212" t="s">
        <v>3205</v>
      </c>
      <c r="E68" s="212" t="s">
        <v>3228</v>
      </c>
      <c r="F68" s="278">
        <v>51685</v>
      </c>
      <c r="G68" s="278">
        <v>401091</v>
      </c>
      <c r="H68" s="287">
        <f t="shared" si="0"/>
        <v>2.8651852073469612</v>
      </c>
      <c r="I68" s="286">
        <v>1802</v>
      </c>
      <c r="J68" s="286">
        <v>11492</v>
      </c>
      <c r="K68" s="286">
        <v>9385</v>
      </c>
      <c r="L68" s="286">
        <v>2093</v>
      </c>
      <c r="M68" s="286">
        <v>8585</v>
      </c>
      <c r="N68" s="286">
        <v>7231</v>
      </c>
      <c r="O68" s="286">
        <v>1341</v>
      </c>
      <c r="P68" s="286">
        <v>1802</v>
      </c>
      <c r="Q68" s="286">
        <v>11492</v>
      </c>
      <c r="R68" s="286">
        <v>9385</v>
      </c>
      <c r="S68" s="286">
        <v>2093</v>
      </c>
      <c r="T68" s="286">
        <v>8585</v>
      </c>
      <c r="U68" s="286">
        <v>7231</v>
      </c>
      <c r="V68" s="286">
        <v>1341</v>
      </c>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row>
    <row r="69" spans="1:175">
      <c r="A69" s="212" t="s">
        <v>3159</v>
      </c>
      <c r="B69" s="212" t="s">
        <v>3160</v>
      </c>
      <c r="C69" s="212" t="s">
        <v>3172</v>
      </c>
      <c r="D69" s="212" t="s">
        <v>3205</v>
      </c>
      <c r="E69" s="212" t="s">
        <v>3229</v>
      </c>
      <c r="F69" s="278">
        <v>11325</v>
      </c>
      <c r="G69" s="278">
        <v>157029</v>
      </c>
      <c r="H69" s="287">
        <f t="shared" si="0"/>
        <v>1.9251221112023893</v>
      </c>
      <c r="I69" s="286">
        <v>322</v>
      </c>
      <c r="J69" s="286">
        <v>3023</v>
      </c>
      <c r="K69" s="286">
        <v>2557</v>
      </c>
      <c r="L69" s="286">
        <v>466</v>
      </c>
      <c r="M69" s="286">
        <v>2538</v>
      </c>
      <c r="N69" s="286">
        <v>2189</v>
      </c>
      <c r="O69" s="286">
        <v>349</v>
      </c>
      <c r="P69" s="286">
        <v>322</v>
      </c>
      <c r="Q69" s="286">
        <v>3023</v>
      </c>
      <c r="R69" s="286">
        <v>2557</v>
      </c>
      <c r="S69" s="286">
        <v>466</v>
      </c>
      <c r="T69" s="286">
        <v>2538</v>
      </c>
      <c r="U69" s="286">
        <v>2189</v>
      </c>
      <c r="V69" s="286">
        <v>349</v>
      </c>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row>
    <row r="70" spans="1:175">
      <c r="A70" s="212" t="s">
        <v>3159</v>
      </c>
      <c r="B70" s="212" t="s">
        <v>3160</v>
      </c>
      <c r="C70" s="212" t="s">
        <v>3172</v>
      </c>
      <c r="D70" s="212" t="s">
        <v>3205</v>
      </c>
      <c r="E70" s="212" t="s">
        <v>3230</v>
      </c>
      <c r="F70" s="278">
        <v>45649</v>
      </c>
      <c r="G70" s="278">
        <v>322238</v>
      </c>
      <c r="H70" s="287">
        <f t="shared" si="0"/>
        <v>3.0430923727183012</v>
      </c>
      <c r="I70" s="286">
        <v>1621</v>
      </c>
      <c r="J70" s="286">
        <v>9806</v>
      </c>
      <c r="K70" s="286">
        <v>7618</v>
      </c>
      <c r="L70" s="286">
        <v>2185</v>
      </c>
      <c r="M70" s="286">
        <v>7033</v>
      </c>
      <c r="N70" s="286">
        <v>5564</v>
      </c>
      <c r="O70" s="286">
        <v>1466</v>
      </c>
      <c r="P70" s="286">
        <v>1621</v>
      </c>
      <c r="Q70" s="286">
        <v>9806</v>
      </c>
      <c r="R70" s="286">
        <v>7618</v>
      </c>
      <c r="S70" s="286">
        <v>2185</v>
      </c>
      <c r="T70" s="286">
        <v>7033</v>
      </c>
      <c r="U70" s="286">
        <v>5564</v>
      </c>
      <c r="V70" s="286">
        <v>1466</v>
      </c>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row>
    <row r="71" spans="1:175">
      <c r="A71" s="212" t="s">
        <v>3159</v>
      </c>
      <c r="B71" s="212" t="s">
        <v>3160</v>
      </c>
      <c r="C71" s="212" t="s">
        <v>3172</v>
      </c>
      <c r="D71" s="212" t="s">
        <v>3205</v>
      </c>
      <c r="E71" s="212" t="s">
        <v>3231</v>
      </c>
      <c r="F71" s="278">
        <v>10782</v>
      </c>
      <c r="G71" s="278">
        <v>127692</v>
      </c>
      <c r="H71" s="287">
        <f t="shared" si="0"/>
        <v>4.6118785828399584</v>
      </c>
      <c r="I71" s="286">
        <v>489</v>
      </c>
      <c r="J71" s="286">
        <v>5889</v>
      </c>
      <c r="K71" s="286">
        <v>4818</v>
      </c>
      <c r="L71" s="286">
        <v>919</v>
      </c>
      <c r="M71" s="286">
        <v>5049</v>
      </c>
      <c r="N71" s="286">
        <v>4216</v>
      </c>
      <c r="O71" s="286">
        <v>684</v>
      </c>
      <c r="P71" s="286">
        <v>489</v>
      </c>
      <c r="Q71" s="286">
        <v>5889</v>
      </c>
      <c r="R71" s="286">
        <v>4818</v>
      </c>
      <c r="S71" s="286">
        <v>919</v>
      </c>
      <c r="T71" s="286">
        <v>5049</v>
      </c>
      <c r="U71" s="286">
        <v>4216</v>
      </c>
      <c r="V71" s="286">
        <v>684</v>
      </c>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row>
    <row r="72" spans="1:175">
      <c r="A72" s="212" t="s">
        <v>3159</v>
      </c>
      <c r="B72" s="212" t="s">
        <v>3160</v>
      </c>
      <c r="C72" s="212" t="s">
        <v>3172</v>
      </c>
      <c r="D72" s="212" t="s">
        <v>3205</v>
      </c>
      <c r="E72" s="212" t="s">
        <v>3232</v>
      </c>
      <c r="F72" s="278">
        <v>5670</v>
      </c>
      <c r="G72" s="278">
        <v>45668</v>
      </c>
      <c r="H72" s="287">
        <f t="shared" si="0"/>
        <v>4.9662783568362974</v>
      </c>
      <c r="I72" s="286">
        <v>186</v>
      </c>
      <c r="J72" s="286">
        <v>2268</v>
      </c>
      <c r="K72" s="286">
        <v>1914</v>
      </c>
      <c r="L72" s="286">
        <v>354</v>
      </c>
      <c r="M72" s="286">
        <v>1906</v>
      </c>
      <c r="N72" s="286">
        <v>1654</v>
      </c>
      <c r="O72" s="286">
        <v>252</v>
      </c>
      <c r="P72" s="286">
        <v>186</v>
      </c>
      <c r="Q72" s="286">
        <v>2268</v>
      </c>
      <c r="R72" s="286">
        <v>1914</v>
      </c>
      <c r="S72" s="286">
        <v>354</v>
      </c>
      <c r="T72" s="286">
        <v>1906</v>
      </c>
      <c r="U72" s="286">
        <v>1654</v>
      </c>
      <c r="V72" s="286">
        <v>252</v>
      </c>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row>
    <row r="73" spans="1:175">
      <c r="A73" s="212" t="s">
        <v>3159</v>
      </c>
      <c r="B73" s="212" t="s">
        <v>3160</v>
      </c>
      <c r="C73" s="212" t="s">
        <v>3168</v>
      </c>
      <c r="D73" s="212" t="s">
        <v>3233</v>
      </c>
      <c r="E73" s="212" t="s">
        <v>3234</v>
      </c>
      <c r="F73" s="278">
        <v>412682</v>
      </c>
      <c r="G73" s="278">
        <v>8804194</v>
      </c>
      <c r="H73" s="287">
        <f t="shared" si="0"/>
        <v>4.5599063355487166</v>
      </c>
      <c r="I73" s="286">
        <v>16576</v>
      </c>
      <c r="J73" s="286">
        <v>401463</v>
      </c>
      <c r="K73" s="286">
        <v>285301</v>
      </c>
      <c r="L73" s="286">
        <v>115965</v>
      </c>
      <c r="M73" s="286">
        <v>370672</v>
      </c>
      <c r="N73" s="286">
        <v>263405</v>
      </c>
      <c r="O73" s="286">
        <v>107078</v>
      </c>
      <c r="P73" s="286">
        <v>16573</v>
      </c>
      <c r="Q73" s="286">
        <v>401351</v>
      </c>
      <c r="R73" s="286">
        <v>285262</v>
      </c>
      <c r="S73" s="286">
        <v>115892</v>
      </c>
      <c r="T73" s="286">
        <v>370560</v>
      </c>
      <c r="U73" s="286">
        <v>263366</v>
      </c>
      <c r="V73" s="286">
        <v>107005</v>
      </c>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row>
    <row r="74" spans="1:175">
      <c r="A74" s="212" t="s">
        <v>3159</v>
      </c>
      <c r="B74" s="212" t="s">
        <v>3160</v>
      </c>
      <c r="C74" s="212" t="s">
        <v>3170</v>
      </c>
      <c r="D74" s="212" t="s">
        <v>3233</v>
      </c>
      <c r="E74" s="212" t="s">
        <v>3235</v>
      </c>
      <c r="F74" s="278">
        <v>43766</v>
      </c>
      <c r="G74" s="278">
        <v>1277205</v>
      </c>
      <c r="H74" s="287">
        <f t="shared" si="0"/>
        <v>5.0008416816407708</v>
      </c>
      <c r="I74" s="286">
        <v>2103</v>
      </c>
      <c r="J74" s="286">
        <v>63871</v>
      </c>
      <c r="K74" s="286">
        <v>29176</v>
      </c>
      <c r="L74" s="286">
        <v>34643</v>
      </c>
      <c r="M74" s="286">
        <v>59713</v>
      </c>
      <c r="N74" s="286">
        <v>26494</v>
      </c>
      <c r="O74" s="286">
        <v>33168</v>
      </c>
      <c r="P74" s="286">
        <v>2102</v>
      </c>
      <c r="Q74" s="286">
        <v>63768</v>
      </c>
      <c r="R74" s="286">
        <v>29146</v>
      </c>
      <c r="S74" s="286">
        <v>34570</v>
      </c>
      <c r="T74" s="286">
        <v>59610</v>
      </c>
      <c r="U74" s="286">
        <v>26464</v>
      </c>
      <c r="V74" s="286">
        <v>33095</v>
      </c>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row>
    <row r="75" spans="1:175">
      <c r="A75" s="212" t="s">
        <v>3159</v>
      </c>
      <c r="B75" s="212" t="s">
        <v>3160</v>
      </c>
      <c r="C75" s="212" t="s">
        <v>3172</v>
      </c>
      <c r="D75" s="212" t="s">
        <v>3233</v>
      </c>
      <c r="E75" s="212" t="s">
        <v>3236</v>
      </c>
      <c r="F75" s="278">
        <v>612</v>
      </c>
      <c r="G75" s="278">
        <v>19288</v>
      </c>
      <c r="H75" s="287">
        <f t="shared" ref="H75:H138" si="1">J75/G75*100</f>
        <v>5.4541683948569055</v>
      </c>
      <c r="I75" s="286">
        <v>35</v>
      </c>
      <c r="J75" s="286">
        <v>1052</v>
      </c>
      <c r="K75" s="286">
        <v>324</v>
      </c>
      <c r="L75" s="286">
        <v>728</v>
      </c>
      <c r="M75" s="286">
        <v>1024</v>
      </c>
      <c r="N75" s="286">
        <v>300</v>
      </c>
      <c r="O75" s="286">
        <v>724</v>
      </c>
      <c r="P75" s="286">
        <v>35</v>
      </c>
      <c r="Q75" s="286">
        <v>1052</v>
      </c>
      <c r="R75" s="286">
        <v>324</v>
      </c>
      <c r="S75" s="286">
        <v>728</v>
      </c>
      <c r="T75" s="286">
        <v>1024</v>
      </c>
      <c r="U75" s="286">
        <v>300</v>
      </c>
      <c r="V75" s="286">
        <v>724</v>
      </c>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row>
    <row r="76" spans="1:175">
      <c r="A76" s="212" t="s">
        <v>3159</v>
      </c>
      <c r="B76" s="212" t="s">
        <v>3160</v>
      </c>
      <c r="C76" s="212" t="s">
        <v>3172</v>
      </c>
      <c r="D76" s="212" t="s">
        <v>3233</v>
      </c>
      <c r="E76" s="212" t="s">
        <v>3237</v>
      </c>
      <c r="F76" s="278">
        <v>3907</v>
      </c>
      <c r="G76" s="278">
        <v>176999</v>
      </c>
      <c r="H76" s="287">
        <f t="shared" si="1"/>
        <v>4.4294035559522937</v>
      </c>
      <c r="I76" s="286">
        <v>154</v>
      </c>
      <c r="J76" s="286">
        <v>7840</v>
      </c>
      <c r="K76" s="286">
        <v>4427</v>
      </c>
      <c r="L76" s="286">
        <v>3396</v>
      </c>
      <c r="M76" s="286">
        <v>7590</v>
      </c>
      <c r="N76" s="286">
        <v>4250</v>
      </c>
      <c r="O76" s="286">
        <v>3323</v>
      </c>
      <c r="P76" s="286">
        <v>154</v>
      </c>
      <c r="Q76" s="286">
        <v>7840</v>
      </c>
      <c r="R76" s="286">
        <v>4427</v>
      </c>
      <c r="S76" s="286">
        <v>3396</v>
      </c>
      <c r="T76" s="286">
        <v>7590</v>
      </c>
      <c r="U76" s="286">
        <v>4250</v>
      </c>
      <c r="V76" s="286">
        <v>3323</v>
      </c>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row>
    <row r="77" spans="1:175">
      <c r="A77" s="212" t="s">
        <v>3159</v>
      </c>
      <c r="B77" s="212" t="s">
        <v>3160</v>
      </c>
      <c r="C77" s="212" t="s">
        <v>3172</v>
      </c>
      <c r="D77" s="212" t="s">
        <v>3233</v>
      </c>
      <c r="E77" s="212" t="s">
        <v>3238</v>
      </c>
      <c r="F77" s="278">
        <v>7913</v>
      </c>
      <c r="G77" s="278">
        <v>160786</v>
      </c>
      <c r="H77" s="287">
        <f t="shared" si="1"/>
        <v>4.1987486472702846</v>
      </c>
      <c r="I77" s="286">
        <v>381</v>
      </c>
      <c r="J77" s="286">
        <v>6751</v>
      </c>
      <c r="K77" s="286">
        <v>3150</v>
      </c>
      <c r="L77" s="286">
        <v>3598</v>
      </c>
      <c r="M77" s="286">
        <v>5747</v>
      </c>
      <c r="N77" s="286">
        <v>2463</v>
      </c>
      <c r="O77" s="286">
        <v>3282</v>
      </c>
      <c r="P77" s="286">
        <v>381</v>
      </c>
      <c r="Q77" s="286">
        <v>6751</v>
      </c>
      <c r="R77" s="286">
        <v>3150</v>
      </c>
      <c r="S77" s="286">
        <v>3598</v>
      </c>
      <c r="T77" s="286">
        <v>5747</v>
      </c>
      <c r="U77" s="286">
        <v>2463</v>
      </c>
      <c r="V77" s="286">
        <v>3282</v>
      </c>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row>
    <row r="78" spans="1:175">
      <c r="A78" s="212" t="s">
        <v>3159</v>
      </c>
      <c r="B78" s="212" t="s">
        <v>3160</v>
      </c>
      <c r="C78" s="212" t="s">
        <v>3172</v>
      </c>
      <c r="D78" s="212" t="s">
        <v>3233</v>
      </c>
      <c r="E78" s="212" t="s">
        <v>3239</v>
      </c>
      <c r="F78" s="278">
        <v>2808</v>
      </c>
      <c r="G78" s="278">
        <v>53476</v>
      </c>
      <c r="H78" s="287">
        <f t="shared" si="1"/>
        <v>2.3038372353953172</v>
      </c>
      <c r="I78" s="286">
        <v>50</v>
      </c>
      <c r="J78" s="286">
        <v>1232</v>
      </c>
      <c r="K78" s="286">
        <v>534</v>
      </c>
      <c r="L78" s="286">
        <v>698</v>
      </c>
      <c r="M78" s="286">
        <v>1150</v>
      </c>
      <c r="N78" s="286">
        <v>477</v>
      </c>
      <c r="O78" s="286">
        <v>673</v>
      </c>
      <c r="P78" s="286">
        <v>50</v>
      </c>
      <c r="Q78" s="286">
        <v>1232</v>
      </c>
      <c r="R78" s="286">
        <v>534</v>
      </c>
      <c r="S78" s="286">
        <v>698</v>
      </c>
      <c r="T78" s="286">
        <v>1150</v>
      </c>
      <c r="U78" s="286">
        <v>477</v>
      </c>
      <c r="V78" s="286">
        <v>673</v>
      </c>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row>
    <row r="79" spans="1:175">
      <c r="A79" s="212" t="s">
        <v>3159</v>
      </c>
      <c r="B79" s="212" t="s">
        <v>3160</v>
      </c>
      <c r="C79" s="212" t="s">
        <v>3172</v>
      </c>
      <c r="D79" s="212" t="s">
        <v>3233</v>
      </c>
      <c r="E79" s="212" t="s">
        <v>3240</v>
      </c>
      <c r="F79" s="278">
        <v>2650</v>
      </c>
      <c r="G79" s="278">
        <v>57298</v>
      </c>
      <c r="H79" s="287">
        <f t="shared" si="1"/>
        <v>3.9757059583231524</v>
      </c>
      <c r="I79" s="286">
        <v>113</v>
      </c>
      <c r="J79" s="286">
        <v>2278</v>
      </c>
      <c r="K79" s="286">
        <v>1375</v>
      </c>
      <c r="L79" s="286">
        <v>900</v>
      </c>
      <c r="M79" s="286">
        <v>2054</v>
      </c>
      <c r="N79" s="286">
        <v>1232</v>
      </c>
      <c r="O79" s="286">
        <v>819</v>
      </c>
      <c r="P79" s="286">
        <v>113</v>
      </c>
      <c r="Q79" s="286">
        <v>2278</v>
      </c>
      <c r="R79" s="286">
        <v>1375</v>
      </c>
      <c r="S79" s="286">
        <v>900</v>
      </c>
      <c r="T79" s="286">
        <v>2054</v>
      </c>
      <c r="U79" s="286">
        <v>1232</v>
      </c>
      <c r="V79" s="286">
        <v>819</v>
      </c>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row>
    <row r="80" spans="1:175">
      <c r="A80" s="212" t="s">
        <v>3159</v>
      </c>
      <c r="B80" s="212" t="s">
        <v>3160</v>
      </c>
      <c r="C80" s="212" t="s">
        <v>3172</v>
      </c>
      <c r="D80" s="212" t="s">
        <v>3233</v>
      </c>
      <c r="E80" s="212" t="s">
        <v>3241</v>
      </c>
      <c r="F80" s="278">
        <v>192</v>
      </c>
      <c r="G80" s="278">
        <v>7230</v>
      </c>
      <c r="H80" s="287">
        <f t="shared" si="1"/>
        <v>7.6348547717842328</v>
      </c>
      <c r="I80" s="286">
        <v>3</v>
      </c>
      <c r="J80" s="286">
        <v>552</v>
      </c>
      <c r="K80" s="286">
        <v>453</v>
      </c>
      <c r="L80" s="286">
        <v>99</v>
      </c>
      <c r="M80" s="286">
        <v>539</v>
      </c>
      <c r="N80" s="286">
        <v>442</v>
      </c>
      <c r="O80" s="286">
        <v>97</v>
      </c>
      <c r="P80" s="286">
        <v>3</v>
      </c>
      <c r="Q80" s="286">
        <v>552</v>
      </c>
      <c r="R80" s="286">
        <v>453</v>
      </c>
      <c r="S80" s="286">
        <v>99</v>
      </c>
      <c r="T80" s="286">
        <v>539</v>
      </c>
      <c r="U80" s="286">
        <v>442</v>
      </c>
      <c r="V80" s="286">
        <v>97</v>
      </c>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row>
    <row r="81" spans="1:175">
      <c r="A81" s="212" t="s">
        <v>3159</v>
      </c>
      <c r="B81" s="212" t="s">
        <v>3160</v>
      </c>
      <c r="C81" s="212" t="s">
        <v>3172</v>
      </c>
      <c r="D81" s="212" t="s">
        <v>3233</v>
      </c>
      <c r="E81" s="212" t="s">
        <v>3242</v>
      </c>
      <c r="F81" s="278">
        <v>1345</v>
      </c>
      <c r="G81" s="278">
        <v>18664</v>
      </c>
      <c r="H81" s="287">
        <f t="shared" si="1"/>
        <v>5.6900985855122164</v>
      </c>
      <c r="I81" s="286">
        <v>57</v>
      </c>
      <c r="J81" s="286">
        <v>1062</v>
      </c>
      <c r="K81" s="286">
        <v>779</v>
      </c>
      <c r="L81" s="286">
        <v>277</v>
      </c>
      <c r="M81" s="286">
        <v>985</v>
      </c>
      <c r="N81" s="286">
        <v>722</v>
      </c>
      <c r="O81" s="286">
        <v>257</v>
      </c>
      <c r="P81" s="286">
        <v>57</v>
      </c>
      <c r="Q81" s="286">
        <v>1062</v>
      </c>
      <c r="R81" s="286">
        <v>779</v>
      </c>
      <c r="S81" s="286">
        <v>277</v>
      </c>
      <c r="T81" s="286">
        <v>985</v>
      </c>
      <c r="U81" s="286">
        <v>722</v>
      </c>
      <c r="V81" s="286">
        <v>257</v>
      </c>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row>
    <row r="82" spans="1:175">
      <c r="A82" s="212" t="s">
        <v>3159</v>
      </c>
      <c r="B82" s="212" t="s">
        <v>3160</v>
      </c>
      <c r="C82" s="212" t="s">
        <v>3172</v>
      </c>
      <c r="D82" s="212" t="s">
        <v>3233</v>
      </c>
      <c r="E82" s="212" t="s">
        <v>3243</v>
      </c>
      <c r="F82" s="278">
        <v>8597</v>
      </c>
      <c r="G82" s="278">
        <v>278301</v>
      </c>
      <c r="H82" s="287">
        <f t="shared" si="1"/>
        <v>5.4915361425219462</v>
      </c>
      <c r="I82" s="286">
        <v>361</v>
      </c>
      <c r="J82" s="286">
        <v>15283</v>
      </c>
      <c r="K82" s="286">
        <v>5943</v>
      </c>
      <c r="L82" s="286">
        <v>9317</v>
      </c>
      <c r="M82" s="286">
        <v>14693</v>
      </c>
      <c r="N82" s="286">
        <v>5587</v>
      </c>
      <c r="O82" s="286">
        <v>9083</v>
      </c>
      <c r="P82" s="286">
        <v>361</v>
      </c>
      <c r="Q82" s="286">
        <v>15283</v>
      </c>
      <c r="R82" s="286">
        <v>5943</v>
      </c>
      <c r="S82" s="286">
        <v>9317</v>
      </c>
      <c r="T82" s="286">
        <v>14693</v>
      </c>
      <c r="U82" s="286">
        <v>5587</v>
      </c>
      <c r="V82" s="286">
        <v>9083</v>
      </c>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row>
    <row r="83" spans="1:175">
      <c r="A83" s="212" t="s">
        <v>3159</v>
      </c>
      <c r="B83" s="212" t="s">
        <v>3160</v>
      </c>
      <c r="C83" s="212" t="s">
        <v>3172</v>
      </c>
      <c r="D83" s="212" t="s">
        <v>3233</v>
      </c>
      <c r="E83" s="212" t="s">
        <v>3244</v>
      </c>
      <c r="F83" s="278">
        <v>331</v>
      </c>
      <c r="G83" s="278">
        <v>11606</v>
      </c>
      <c r="H83" s="287">
        <f t="shared" si="1"/>
        <v>11.51990349819059</v>
      </c>
      <c r="I83" s="286">
        <v>27</v>
      </c>
      <c r="J83" s="286">
        <v>1337</v>
      </c>
      <c r="K83" s="286">
        <v>967</v>
      </c>
      <c r="L83" s="286">
        <v>370</v>
      </c>
      <c r="M83" s="286">
        <v>1311</v>
      </c>
      <c r="N83" s="286">
        <v>948</v>
      </c>
      <c r="O83" s="286">
        <v>363</v>
      </c>
      <c r="P83" s="286">
        <v>27</v>
      </c>
      <c r="Q83" s="286">
        <v>1337</v>
      </c>
      <c r="R83" s="286">
        <v>967</v>
      </c>
      <c r="S83" s="286">
        <v>370</v>
      </c>
      <c r="T83" s="286">
        <v>1311</v>
      </c>
      <c r="U83" s="286">
        <v>948</v>
      </c>
      <c r="V83" s="286">
        <v>363</v>
      </c>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row>
    <row r="84" spans="1:175">
      <c r="A84" s="212" t="s">
        <v>3159</v>
      </c>
      <c r="B84" s="212" t="s">
        <v>3160</v>
      </c>
      <c r="C84" s="212" t="s">
        <v>3172</v>
      </c>
      <c r="D84" s="212" t="s">
        <v>3233</v>
      </c>
      <c r="E84" s="212" t="s">
        <v>3245</v>
      </c>
      <c r="F84" s="278">
        <v>15411</v>
      </c>
      <c r="G84" s="278">
        <v>493557</v>
      </c>
      <c r="H84" s="287">
        <f t="shared" si="1"/>
        <v>5.3659455746752656</v>
      </c>
      <c r="I84" s="286">
        <v>922</v>
      </c>
      <c r="J84" s="286">
        <v>26484</v>
      </c>
      <c r="K84" s="286">
        <v>11224</v>
      </c>
      <c r="L84" s="286">
        <v>15260</v>
      </c>
      <c r="M84" s="286">
        <v>24620</v>
      </c>
      <c r="N84" s="286">
        <v>10073</v>
      </c>
      <c r="O84" s="286">
        <v>14547</v>
      </c>
      <c r="P84" s="286">
        <v>921</v>
      </c>
      <c r="Q84" s="286">
        <v>26381</v>
      </c>
      <c r="R84" s="286">
        <v>11194</v>
      </c>
      <c r="S84" s="286">
        <v>15187</v>
      </c>
      <c r="T84" s="286">
        <v>24517</v>
      </c>
      <c r="U84" s="286">
        <v>10043</v>
      </c>
      <c r="V84" s="286">
        <v>14474</v>
      </c>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row>
    <row r="85" spans="1:175">
      <c r="A85" s="212" t="s">
        <v>3159</v>
      </c>
      <c r="B85" s="212" t="s">
        <v>3160</v>
      </c>
      <c r="C85" s="212" t="s">
        <v>3170</v>
      </c>
      <c r="D85" s="212" t="s">
        <v>3233</v>
      </c>
      <c r="E85" s="212" t="s">
        <v>3246</v>
      </c>
      <c r="F85" s="278">
        <v>8426</v>
      </c>
      <c r="G85" s="278">
        <v>138160</v>
      </c>
      <c r="H85" s="287">
        <f t="shared" si="1"/>
        <v>4.7177185871453382</v>
      </c>
      <c r="I85" s="286">
        <v>259</v>
      </c>
      <c r="J85" s="286">
        <v>6518</v>
      </c>
      <c r="K85" s="286">
        <v>4519</v>
      </c>
      <c r="L85" s="286">
        <v>1999</v>
      </c>
      <c r="M85" s="286">
        <v>5962</v>
      </c>
      <c r="N85" s="286">
        <v>4128</v>
      </c>
      <c r="O85" s="286">
        <v>1834</v>
      </c>
      <c r="P85" s="286">
        <v>257</v>
      </c>
      <c r="Q85" s="286">
        <v>6509</v>
      </c>
      <c r="R85" s="286">
        <v>4510</v>
      </c>
      <c r="S85" s="286">
        <v>1999</v>
      </c>
      <c r="T85" s="286">
        <v>5953</v>
      </c>
      <c r="U85" s="286">
        <v>4119</v>
      </c>
      <c r="V85" s="286">
        <v>1834</v>
      </c>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row>
    <row r="86" spans="1:175">
      <c r="A86" s="212" t="s">
        <v>3159</v>
      </c>
      <c r="B86" s="212" t="s">
        <v>3160</v>
      </c>
      <c r="C86" s="212" t="s">
        <v>3172</v>
      </c>
      <c r="D86" s="212" t="s">
        <v>3233</v>
      </c>
      <c r="E86" s="212" t="s">
        <v>3247</v>
      </c>
      <c r="F86" s="278">
        <v>125</v>
      </c>
      <c r="G86" s="278">
        <v>5111</v>
      </c>
      <c r="H86" s="287">
        <f t="shared" si="1"/>
        <v>4.5196634709450203</v>
      </c>
      <c r="I86" s="286">
        <v>6</v>
      </c>
      <c r="J86" s="286">
        <v>231</v>
      </c>
      <c r="K86" s="286">
        <v>126</v>
      </c>
      <c r="L86" s="286">
        <v>105</v>
      </c>
      <c r="M86" s="286">
        <v>213</v>
      </c>
      <c r="N86" s="286">
        <v>110</v>
      </c>
      <c r="O86" s="286">
        <v>103</v>
      </c>
      <c r="P86" s="286">
        <v>6</v>
      </c>
      <c r="Q86" s="286">
        <v>231</v>
      </c>
      <c r="R86" s="286">
        <v>126</v>
      </c>
      <c r="S86" s="286">
        <v>105</v>
      </c>
      <c r="T86" s="286">
        <v>213</v>
      </c>
      <c r="U86" s="286">
        <v>110</v>
      </c>
      <c r="V86" s="286">
        <v>103</v>
      </c>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c r="DV86" s="286"/>
      <c r="DW86" s="286"/>
      <c r="DX86" s="286"/>
      <c r="DY86" s="286"/>
      <c r="DZ86" s="286"/>
      <c r="EA86" s="286"/>
      <c r="EB86" s="286"/>
      <c r="EC86" s="286"/>
      <c r="ED86" s="286"/>
      <c r="EE86" s="286"/>
      <c r="EF86" s="286"/>
      <c r="EG86" s="286"/>
      <c r="EH86" s="286"/>
      <c r="EI86" s="286"/>
      <c r="EJ86" s="286"/>
      <c r="EK86" s="286"/>
      <c r="EL86" s="286"/>
      <c r="EM86" s="286"/>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286"/>
      <c r="FS86" s="286"/>
    </row>
    <row r="87" spans="1:175">
      <c r="A87" s="212" t="s">
        <v>3159</v>
      </c>
      <c r="B87" s="212" t="s">
        <v>3160</v>
      </c>
      <c r="C87" s="212" t="s">
        <v>3172</v>
      </c>
      <c r="D87" s="212" t="s">
        <v>3233</v>
      </c>
      <c r="E87" s="212" t="s">
        <v>3248</v>
      </c>
      <c r="F87" s="278">
        <v>1052</v>
      </c>
      <c r="G87" s="278">
        <v>36066</v>
      </c>
      <c r="H87" s="287">
        <f t="shared" si="1"/>
        <v>4.0647701436255756</v>
      </c>
      <c r="I87" s="286">
        <v>33</v>
      </c>
      <c r="J87" s="286">
        <v>1466</v>
      </c>
      <c r="K87" s="286">
        <v>1184</v>
      </c>
      <c r="L87" s="286">
        <v>282</v>
      </c>
      <c r="M87" s="286">
        <v>1410</v>
      </c>
      <c r="N87" s="286">
        <v>1136</v>
      </c>
      <c r="O87" s="286">
        <v>274</v>
      </c>
      <c r="P87" s="286">
        <v>33</v>
      </c>
      <c r="Q87" s="286">
        <v>1466</v>
      </c>
      <c r="R87" s="286">
        <v>1184</v>
      </c>
      <c r="S87" s="286">
        <v>282</v>
      </c>
      <c r="T87" s="286">
        <v>1410</v>
      </c>
      <c r="U87" s="286">
        <v>1136</v>
      </c>
      <c r="V87" s="286">
        <v>274</v>
      </c>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row>
    <row r="88" spans="1:175">
      <c r="A88" s="212" t="s">
        <v>3159</v>
      </c>
      <c r="B88" s="212" t="s">
        <v>3160</v>
      </c>
      <c r="C88" s="212" t="s">
        <v>3172</v>
      </c>
      <c r="D88" s="212" t="s">
        <v>3233</v>
      </c>
      <c r="E88" s="212" t="s">
        <v>3249</v>
      </c>
      <c r="F88" s="278">
        <v>2332</v>
      </c>
      <c r="G88" s="278">
        <v>40898</v>
      </c>
      <c r="H88" s="287">
        <f t="shared" si="1"/>
        <v>6.4893148809232724</v>
      </c>
      <c r="I88" s="286">
        <v>102</v>
      </c>
      <c r="J88" s="286">
        <v>2654</v>
      </c>
      <c r="K88" s="286">
        <v>1819</v>
      </c>
      <c r="L88" s="286">
        <v>835</v>
      </c>
      <c r="M88" s="286">
        <v>2395</v>
      </c>
      <c r="N88" s="286">
        <v>1640</v>
      </c>
      <c r="O88" s="286">
        <v>755</v>
      </c>
      <c r="P88" s="286">
        <v>102</v>
      </c>
      <c r="Q88" s="286">
        <v>2654</v>
      </c>
      <c r="R88" s="286">
        <v>1819</v>
      </c>
      <c r="S88" s="286">
        <v>835</v>
      </c>
      <c r="T88" s="286">
        <v>2395</v>
      </c>
      <c r="U88" s="286">
        <v>1640</v>
      </c>
      <c r="V88" s="286">
        <v>755</v>
      </c>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row>
    <row r="89" spans="1:175">
      <c r="A89" s="212" t="s">
        <v>3159</v>
      </c>
      <c r="B89" s="212" t="s">
        <v>3160</v>
      </c>
      <c r="C89" s="212" t="s">
        <v>3172</v>
      </c>
      <c r="D89" s="212" t="s">
        <v>3233</v>
      </c>
      <c r="E89" s="212" t="s">
        <v>3250</v>
      </c>
      <c r="F89" s="278">
        <v>2691</v>
      </c>
      <c r="G89" s="278">
        <v>29305</v>
      </c>
      <c r="H89" s="287">
        <f t="shared" si="1"/>
        <v>3.562531991127794</v>
      </c>
      <c r="I89" s="286">
        <v>38</v>
      </c>
      <c r="J89" s="286">
        <v>1044</v>
      </c>
      <c r="K89" s="286">
        <v>639</v>
      </c>
      <c r="L89" s="286">
        <v>405</v>
      </c>
      <c r="M89" s="286">
        <v>942</v>
      </c>
      <c r="N89" s="286">
        <v>568</v>
      </c>
      <c r="O89" s="286">
        <v>374</v>
      </c>
      <c r="P89" s="286">
        <v>38</v>
      </c>
      <c r="Q89" s="286">
        <v>1044</v>
      </c>
      <c r="R89" s="286">
        <v>639</v>
      </c>
      <c r="S89" s="286">
        <v>405</v>
      </c>
      <c r="T89" s="286">
        <v>942</v>
      </c>
      <c r="U89" s="286">
        <v>568</v>
      </c>
      <c r="V89" s="286">
        <v>374</v>
      </c>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row>
    <row r="90" spans="1:175">
      <c r="A90" s="212" t="s">
        <v>3159</v>
      </c>
      <c r="B90" s="212" t="s">
        <v>3160</v>
      </c>
      <c r="C90" s="212" t="s">
        <v>3172</v>
      </c>
      <c r="D90" s="212" t="s">
        <v>3233</v>
      </c>
      <c r="E90" s="212" t="s">
        <v>3251</v>
      </c>
      <c r="F90" s="278">
        <v>309</v>
      </c>
      <c r="G90" s="278">
        <v>2551</v>
      </c>
      <c r="H90" s="287">
        <f t="shared" si="1"/>
        <v>4.1944335554684438</v>
      </c>
      <c r="I90" s="286">
        <v>12</v>
      </c>
      <c r="J90" s="286">
        <v>107</v>
      </c>
      <c r="K90" s="286">
        <v>77</v>
      </c>
      <c r="L90" s="286">
        <v>30</v>
      </c>
      <c r="M90" s="286">
        <v>93</v>
      </c>
      <c r="N90" s="286">
        <v>70</v>
      </c>
      <c r="O90" s="286">
        <v>23</v>
      </c>
      <c r="P90" s="286">
        <v>12</v>
      </c>
      <c r="Q90" s="286">
        <v>107</v>
      </c>
      <c r="R90" s="286">
        <v>77</v>
      </c>
      <c r="S90" s="286">
        <v>30</v>
      </c>
      <c r="T90" s="286">
        <v>93</v>
      </c>
      <c r="U90" s="286">
        <v>70</v>
      </c>
      <c r="V90" s="286">
        <v>23</v>
      </c>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c r="DV90" s="286"/>
      <c r="DW90" s="286"/>
      <c r="DX90" s="286"/>
      <c r="DY90" s="286"/>
      <c r="DZ90" s="286"/>
      <c r="EA90" s="286"/>
      <c r="EB90" s="286"/>
      <c r="EC90" s="286"/>
      <c r="ED90" s="286"/>
      <c r="EE90" s="286"/>
      <c r="EF90" s="286"/>
      <c r="EG90" s="286"/>
      <c r="EH90" s="286"/>
      <c r="EI90" s="286"/>
      <c r="EJ90" s="286"/>
      <c r="EK90" s="286"/>
      <c r="EL90" s="286"/>
      <c r="EM90" s="286"/>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286"/>
      <c r="FS90" s="286"/>
    </row>
    <row r="91" spans="1:175">
      <c r="A91" s="212" t="s">
        <v>3159</v>
      </c>
      <c r="B91" s="212" t="s">
        <v>3160</v>
      </c>
      <c r="C91" s="212" t="s">
        <v>3172</v>
      </c>
      <c r="D91" s="212" t="s">
        <v>3233</v>
      </c>
      <c r="E91" s="212" t="s">
        <v>3252</v>
      </c>
      <c r="F91" s="278">
        <v>6</v>
      </c>
      <c r="G91" s="278">
        <v>1403</v>
      </c>
      <c r="H91" s="287">
        <f t="shared" si="1"/>
        <v>0</v>
      </c>
      <c r="I91" s="286">
        <v>0</v>
      </c>
      <c r="J91" s="286">
        <v>0</v>
      </c>
      <c r="K91" s="286">
        <v>0</v>
      </c>
      <c r="L91" s="286">
        <v>0</v>
      </c>
      <c r="M91" s="286">
        <v>0</v>
      </c>
      <c r="N91" s="286">
        <v>0</v>
      </c>
      <c r="O91" s="286">
        <v>0</v>
      </c>
      <c r="P91" s="286">
        <v>0</v>
      </c>
      <c r="Q91" s="286">
        <v>0</v>
      </c>
      <c r="R91" s="286">
        <v>0</v>
      </c>
      <c r="S91" s="286">
        <v>0</v>
      </c>
      <c r="T91" s="286">
        <v>0</v>
      </c>
      <c r="U91" s="286">
        <v>0</v>
      </c>
      <c r="V91" s="286">
        <v>0</v>
      </c>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c r="CG91" s="286"/>
      <c r="CH91" s="286"/>
      <c r="CI91" s="286"/>
      <c r="CJ91" s="286"/>
      <c r="CK91" s="286"/>
      <c r="CL91" s="286"/>
      <c r="CM91" s="286"/>
      <c r="CN91" s="286"/>
      <c r="CO91" s="286"/>
      <c r="CP91" s="286"/>
      <c r="CQ91" s="286"/>
      <c r="CR91" s="286"/>
      <c r="CS91" s="286"/>
      <c r="CT91" s="286"/>
      <c r="CU91" s="286"/>
      <c r="CV91" s="286"/>
      <c r="CW91" s="286"/>
      <c r="CX91" s="286"/>
      <c r="CY91" s="286"/>
      <c r="CZ91" s="286"/>
      <c r="DA91" s="286"/>
      <c r="DB91" s="286"/>
      <c r="DC91" s="286"/>
      <c r="DD91" s="286"/>
      <c r="DE91" s="286"/>
      <c r="DF91" s="286"/>
      <c r="DG91" s="286"/>
      <c r="DH91" s="286"/>
      <c r="DI91" s="286"/>
      <c r="DJ91" s="286"/>
      <c r="DK91" s="286"/>
      <c r="DL91" s="286"/>
      <c r="DM91" s="286"/>
      <c r="DN91" s="286"/>
      <c r="DO91" s="286"/>
      <c r="DP91" s="286"/>
      <c r="DQ91" s="286"/>
      <c r="DR91" s="286"/>
      <c r="DS91" s="286"/>
      <c r="DT91" s="286"/>
      <c r="DU91" s="286"/>
      <c r="DV91" s="286"/>
      <c r="DW91" s="286"/>
      <c r="DX91" s="286"/>
      <c r="DY91" s="286"/>
      <c r="DZ91" s="286"/>
      <c r="EA91" s="286"/>
      <c r="EB91" s="286"/>
      <c r="EC91" s="286"/>
      <c r="ED91" s="286"/>
      <c r="EE91" s="286"/>
      <c r="EF91" s="286"/>
      <c r="EG91" s="286"/>
      <c r="EH91" s="286"/>
      <c r="EI91" s="286"/>
      <c r="EJ91" s="286"/>
      <c r="EK91" s="286"/>
      <c r="EL91" s="286"/>
      <c r="EM91" s="286"/>
      <c r="EN91" s="286"/>
      <c r="EO91" s="286"/>
      <c r="EP91" s="286"/>
      <c r="EQ91" s="286"/>
      <c r="ER91" s="286"/>
      <c r="ES91" s="286"/>
      <c r="ET91" s="286"/>
      <c r="EU91" s="286"/>
      <c r="EV91" s="286"/>
      <c r="EW91" s="286"/>
      <c r="EX91" s="286"/>
      <c r="EY91" s="286"/>
      <c r="EZ91" s="286"/>
      <c r="FA91" s="286"/>
      <c r="FB91" s="286"/>
      <c r="FC91" s="286"/>
      <c r="FD91" s="286"/>
      <c r="FE91" s="286"/>
      <c r="FF91" s="286"/>
      <c r="FG91" s="286"/>
      <c r="FH91" s="286"/>
      <c r="FI91" s="286"/>
      <c r="FJ91" s="286"/>
      <c r="FK91" s="286"/>
      <c r="FL91" s="286"/>
      <c r="FM91" s="286"/>
      <c r="FN91" s="286"/>
      <c r="FO91" s="286"/>
      <c r="FP91" s="286"/>
      <c r="FQ91" s="286"/>
      <c r="FR91" s="286"/>
      <c r="FS91" s="286"/>
    </row>
    <row r="92" spans="1:175">
      <c r="A92" s="212" t="s">
        <v>3159</v>
      </c>
      <c r="B92" s="212" t="s">
        <v>3160</v>
      </c>
      <c r="C92" s="212" t="s">
        <v>3172</v>
      </c>
      <c r="D92" s="212" t="s">
        <v>3233</v>
      </c>
      <c r="E92" s="212" t="s">
        <v>3253</v>
      </c>
      <c r="F92" s="278">
        <v>1911</v>
      </c>
      <c r="G92" s="278">
        <v>22826</v>
      </c>
      <c r="H92" s="287">
        <f t="shared" si="1"/>
        <v>4.4510645754840965</v>
      </c>
      <c r="I92" s="286">
        <v>68</v>
      </c>
      <c r="J92" s="286">
        <v>1016</v>
      </c>
      <c r="K92" s="286">
        <v>674</v>
      </c>
      <c r="L92" s="286">
        <v>342</v>
      </c>
      <c r="M92" s="286">
        <v>909</v>
      </c>
      <c r="N92" s="286">
        <v>604</v>
      </c>
      <c r="O92" s="286">
        <v>305</v>
      </c>
      <c r="P92" s="286">
        <v>66</v>
      </c>
      <c r="Q92" s="286">
        <v>1007</v>
      </c>
      <c r="R92" s="286">
        <v>665</v>
      </c>
      <c r="S92" s="286">
        <v>342</v>
      </c>
      <c r="T92" s="286">
        <v>900</v>
      </c>
      <c r="U92" s="286">
        <v>595</v>
      </c>
      <c r="V92" s="286">
        <v>305</v>
      </c>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286"/>
      <c r="FS92" s="286"/>
    </row>
    <row r="93" spans="1:175">
      <c r="A93" s="212" t="s">
        <v>3159</v>
      </c>
      <c r="B93" s="212" t="s">
        <v>3160</v>
      </c>
      <c r="C93" s="212" t="s">
        <v>3170</v>
      </c>
      <c r="D93" s="212" t="s">
        <v>3233</v>
      </c>
      <c r="E93" s="212" t="s">
        <v>3254</v>
      </c>
      <c r="F93" s="278">
        <v>32577</v>
      </c>
      <c r="G93" s="278">
        <v>320303</v>
      </c>
      <c r="H93" s="287">
        <f t="shared" si="1"/>
        <v>2.9815518430985661</v>
      </c>
      <c r="I93" s="286">
        <v>1045</v>
      </c>
      <c r="J93" s="286">
        <v>9550</v>
      </c>
      <c r="K93" s="286">
        <v>4333</v>
      </c>
      <c r="L93" s="286">
        <v>5200</v>
      </c>
      <c r="M93" s="286">
        <v>7823</v>
      </c>
      <c r="N93" s="286">
        <v>3250</v>
      </c>
      <c r="O93" s="286">
        <v>4556</v>
      </c>
      <c r="P93" s="286">
        <v>1045</v>
      </c>
      <c r="Q93" s="286">
        <v>9550</v>
      </c>
      <c r="R93" s="286">
        <v>4333</v>
      </c>
      <c r="S93" s="286">
        <v>5200</v>
      </c>
      <c r="T93" s="286">
        <v>7823</v>
      </c>
      <c r="U93" s="286">
        <v>3250</v>
      </c>
      <c r="V93" s="286">
        <v>4556</v>
      </c>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c r="CG93" s="286"/>
      <c r="CH93" s="286"/>
      <c r="CI93" s="286"/>
      <c r="CJ93" s="286"/>
      <c r="CK93" s="286"/>
      <c r="CL93" s="286"/>
      <c r="CM93" s="286"/>
      <c r="CN93" s="286"/>
      <c r="CO93" s="286"/>
      <c r="CP93" s="286"/>
      <c r="CQ93" s="286"/>
      <c r="CR93" s="286"/>
      <c r="CS93" s="286"/>
      <c r="CT93" s="286"/>
      <c r="CU93" s="286"/>
      <c r="CV93" s="286"/>
      <c r="CW93" s="286"/>
      <c r="CX93" s="286"/>
      <c r="CY93" s="286"/>
      <c r="CZ93" s="286"/>
      <c r="DA93" s="286"/>
      <c r="DB93" s="286"/>
      <c r="DC93" s="286"/>
      <c r="DD93" s="286"/>
      <c r="DE93" s="286"/>
      <c r="DF93" s="286"/>
      <c r="DG93" s="286"/>
      <c r="DH93" s="286"/>
      <c r="DI93" s="286"/>
      <c r="DJ93" s="286"/>
      <c r="DK93" s="286"/>
      <c r="DL93" s="286"/>
      <c r="DM93" s="286"/>
      <c r="DN93" s="286"/>
      <c r="DO93" s="286"/>
      <c r="DP93" s="286"/>
      <c r="DQ93" s="286"/>
      <c r="DR93" s="286"/>
      <c r="DS93" s="286"/>
      <c r="DT93" s="286"/>
      <c r="DU93" s="286"/>
      <c r="DV93" s="286"/>
      <c r="DW93" s="286"/>
      <c r="DX93" s="286"/>
      <c r="DY93" s="286"/>
      <c r="DZ93" s="286"/>
      <c r="EA93" s="286"/>
      <c r="EB93" s="286"/>
      <c r="EC93" s="286"/>
      <c r="ED93" s="286"/>
      <c r="EE93" s="286"/>
      <c r="EF93" s="286"/>
      <c r="EG93" s="286"/>
      <c r="EH93" s="286"/>
      <c r="EI93" s="286"/>
      <c r="EJ93" s="286"/>
      <c r="EK93" s="286"/>
      <c r="EL93" s="286"/>
      <c r="EM93" s="286"/>
      <c r="EN93" s="286"/>
      <c r="EO93" s="286"/>
      <c r="EP93" s="286"/>
      <c r="EQ93" s="286"/>
      <c r="ER93" s="286"/>
      <c r="ES93" s="286"/>
      <c r="ET93" s="286"/>
      <c r="EU93" s="286"/>
      <c r="EV93" s="286"/>
      <c r="EW93" s="286"/>
      <c r="EX93" s="286"/>
      <c r="EY93" s="286"/>
      <c r="EZ93" s="286"/>
      <c r="FA93" s="286"/>
      <c r="FB93" s="286"/>
      <c r="FC93" s="286"/>
      <c r="FD93" s="286"/>
      <c r="FE93" s="286"/>
      <c r="FF93" s="286"/>
      <c r="FG93" s="286"/>
      <c r="FH93" s="286"/>
      <c r="FI93" s="286"/>
      <c r="FJ93" s="286"/>
      <c r="FK93" s="286"/>
      <c r="FL93" s="286"/>
      <c r="FM93" s="286"/>
      <c r="FN93" s="286"/>
      <c r="FO93" s="286"/>
      <c r="FP93" s="286"/>
      <c r="FQ93" s="286"/>
      <c r="FR93" s="286"/>
      <c r="FS93" s="286"/>
    </row>
    <row r="94" spans="1:175">
      <c r="A94" s="212" t="s">
        <v>3159</v>
      </c>
      <c r="B94" s="212" t="s">
        <v>3160</v>
      </c>
      <c r="C94" s="212" t="s">
        <v>3172</v>
      </c>
      <c r="D94" s="212" t="s">
        <v>3233</v>
      </c>
      <c r="E94" s="212" t="s">
        <v>3255</v>
      </c>
      <c r="F94" s="278">
        <v>252</v>
      </c>
      <c r="G94" s="278">
        <v>3412</v>
      </c>
      <c r="H94" s="287">
        <f t="shared" si="1"/>
        <v>1.992966002344666</v>
      </c>
      <c r="I94" s="286">
        <v>11</v>
      </c>
      <c r="J94" s="286">
        <v>68</v>
      </c>
      <c r="K94" s="286">
        <v>29</v>
      </c>
      <c r="L94" s="286">
        <v>39</v>
      </c>
      <c r="M94" s="286">
        <v>64</v>
      </c>
      <c r="N94" s="286">
        <v>27</v>
      </c>
      <c r="O94" s="286">
        <v>37</v>
      </c>
      <c r="P94" s="286">
        <v>11</v>
      </c>
      <c r="Q94" s="286">
        <v>68</v>
      </c>
      <c r="R94" s="286">
        <v>29</v>
      </c>
      <c r="S94" s="286">
        <v>39</v>
      </c>
      <c r="T94" s="286">
        <v>64</v>
      </c>
      <c r="U94" s="286">
        <v>27</v>
      </c>
      <c r="V94" s="286">
        <v>37</v>
      </c>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c r="CG94" s="286"/>
      <c r="CH94" s="286"/>
      <c r="CI94" s="286"/>
      <c r="CJ94" s="286"/>
      <c r="CK94" s="286"/>
      <c r="CL94" s="286"/>
      <c r="CM94" s="286"/>
      <c r="CN94" s="286"/>
      <c r="CO94" s="286"/>
      <c r="CP94" s="286"/>
      <c r="CQ94" s="286"/>
      <c r="CR94" s="286"/>
      <c r="CS94" s="286"/>
      <c r="CT94" s="286"/>
      <c r="CU94" s="286"/>
      <c r="CV94" s="286"/>
      <c r="CW94" s="286"/>
      <c r="CX94" s="286"/>
      <c r="CY94" s="286"/>
      <c r="CZ94" s="286"/>
      <c r="DA94" s="286"/>
      <c r="DB94" s="286"/>
      <c r="DC94" s="286"/>
      <c r="DD94" s="286"/>
      <c r="DE94" s="286"/>
      <c r="DF94" s="286"/>
      <c r="DG94" s="286"/>
      <c r="DH94" s="286"/>
      <c r="DI94" s="286"/>
      <c r="DJ94" s="286"/>
      <c r="DK94" s="286"/>
      <c r="DL94" s="286"/>
      <c r="DM94" s="286"/>
      <c r="DN94" s="286"/>
      <c r="DO94" s="286"/>
      <c r="DP94" s="286"/>
      <c r="DQ94" s="286"/>
      <c r="DR94" s="286"/>
      <c r="DS94" s="286"/>
      <c r="DT94" s="286"/>
      <c r="DU94" s="286"/>
      <c r="DV94" s="286"/>
      <c r="DW94" s="286"/>
      <c r="DX94" s="286"/>
      <c r="DY94" s="286"/>
      <c r="DZ94" s="286"/>
      <c r="EA94" s="286"/>
      <c r="EB94" s="286"/>
      <c r="EC94" s="286"/>
      <c r="ED94" s="286"/>
      <c r="EE94" s="286"/>
      <c r="EF94" s="286"/>
      <c r="EG94" s="286"/>
      <c r="EH94" s="286"/>
      <c r="EI94" s="286"/>
      <c r="EJ94" s="286"/>
      <c r="EK94" s="286"/>
      <c r="EL94" s="286"/>
      <c r="EM94" s="286"/>
      <c r="EN94" s="286"/>
      <c r="EO94" s="286"/>
      <c r="EP94" s="286"/>
      <c r="EQ94" s="286"/>
      <c r="ER94" s="286"/>
      <c r="ES94" s="286"/>
      <c r="ET94" s="286"/>
      <c r="EU94" s="286"/>
      <c r="EV94" s="286"/>
      <c r="EW94" s="286"/>
      <c r="EX94" s="286"/>
      <c r="EY94" s="286"/>
      <c r="EZ94" s="286"/>
      <c r="FA94" s="286"/>
      <c r="FB94" s="286"/>
      <c r="FC94" s="286"/>
      <c r="FD94" s="286"/>
      <c r="FE94" s="286"/>
      <c r="FF94" s="286"/>
      <c r="FG94" s="286"/>
      <c r="FH94" s="286"/>
      <c r="FI94" s="286"/>
      <c r="FJ94" s="286"/>
      <c r="FK94" s="286"/>
      <c r="FL94" s="286"/>
      <c r="FM94" s="286"/>
      <c r="FN94" s="286"/>
      <c r="FO94" s="286"/>
      <c r="FP94" s="286"/>
      <c r="FQ94" s="286"/>
      <c r="FR94" s="286"/>
      <c r="FS94" s="286"/>
    </row>
    <row r="95" spans="1:175">
      <c r="A95" s="212" t="s">
        <v>3159</v>
      </c>
      <c r="B95" s="212" t="s">
        <v>3160</v>
      </c>
      <c r="C95" s="212" t="s">
        <v>3172</v>
      </c>
      <c r="D95" s="212" t="s">
        <v>3233</v>
      </c>
      <c r="E95" s="212" t="s">
        <v>3256</v>
      </c>
      <c r="F95" s="278">
        <v>1769</v>
      </c>
      <c r="G95" s="278">
        <v>24264</v>
      </c>
      <c r="H95" s="287">
        <f t="shared" si="1"/>
        <v>3.194032311242994</v>
      </c>
      <c r="I95" s="286">
        <v>45</v>
      </c>
      <c r="J95" s="286">
        <v>775</v>
      </c>
      <c r="K95" s="286">
        <v>574</v>
      </c>
      <c r="L95" s="286">
        <v>201</v>
      </c>
      <c r="M95" s="286">
        <v>717</v>
      </c>
      <c r="N95" s="286">
        <v>533</v>
      </c>
      <c r="O95" s="286">
        <v>184</v>
      </c>
      <c r="P95" s="286">
        <v>45</v>
      </c>
      <c r="Q95" s="286">
        <v>775</v>
      </c>
      <c r="R95" s="286">
        <v>574</v>
      </c>
      <c r="S95" s="286">
        <v>201</v>
      </c>
      <c r="T95" s="286">
        <v>717</v>
      </c>
      <c r="U95" s="286">
        <v>533</v>
      </c>
      <c r="V95" s="286">
        <v>184</v>
      </c>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c r="CG95" s="286"/>
      <c r="CH95" s="286"/>
      <c r="CI95" s="286"/>
      <c r="CJ95" s="286"/>
      <c r="CK95" s="286"/>
      <c r="CL95" s="286"/>
      <c r="CM95" s="286"/>
      <c r="CN95" s="286"/>
      <c r="CO95" s="286"/>
      <c r="CP95" s="286"/>
      <c r="CQ95" s="286"/>
      <c r="CR95" s="286"/>
      <c r="CS95" s="286"/>
      <c r="CT95" s="286"/>
      <c r="CU95" s="286"/>
      <c r="CV95" s="286"/>
      <c r="CW95" s="286"/>
      <c r="CX95" s="286"/>
      <c r="CY95" s="286"/>
      <c r="CZ95" s="286"/>
      <c r="DA95" s="286"/>
      <c r="DB95" s="286"/>
      <c r="DC95" s="286"/>
      <c r="DD95" s="286"/>
      <c r="DE95" s="286"/>
      <c r="DF95" s="286"/>
      <c r="DG95" s="286"/>
      <c r="DH95" s="286"/>
      <c r="DI95" s="286"/>
      <c r="DJ95" s="286"/>
      <c r="DK95" s="286"/>
      <c r="DL95" s="286"/>
      <c r="DM95" s="286"/>
      <c r="DN95" s="286"/>
      <c r="DO95" s="286"/>
      <c r="DP95" s="286"/>
      <c r="DQ95" s="286"/>
      <c r="DR95" s="286"/>
      <c r="DS95" s="286"/>
      <c r="DT95" s="286"/>
      <c r="DU95" s="286"/>
      <c r="DV95" s="286"/>
      <c r="DW95" s="286"/>
      <c r="DX95" s="286"/>
      <c r="DY95" s="286"/>
      <c r="DZ95" s="286"/>
      <c r="EA95" s="286"/>
      <c r="EB95" s="286"/>
      <c r="EC95" s="286"/>
      <c r="ED95" s="286"/>
      <c r="EE95" s="286"/>
      <c r="EF95" s="286"/>
      <c r="EG95" s="286"/>
      <c r="EH95" s="286"/>
      <c r="EI95" s="286"/>
      <c r="EJ95" s="286"/>
      <c r="EK95" s="286"/>
      <c r="EL95" s="286"/>
      <c r="EM95" s="286"/>
      <c r="EN95" s="286"/>
      <c r="EO95" s="286"/>
      <c r="EP95" s="286"/>
      <c r="EQ95" s="286"/>
      <c r="ER95" s="286"/>
      <c r="ES95" s="286"/>
      <c r="ET95" s="286"/>
      <c r="EU95" s="286"/>
      <c r="EV95" s="286"/>
      <c r="EW95" s="286"/>
      <c r="EX95" s="286"/>
      <c r="EY95" s="286"/>
      <c r="EZ95" s="286"/>
      <c r="FA95" s="286"/>
      <c r="FB95" s="286"/>
      <c r="FC95" s="286"/>
      <c r="FD95" s="286"/>
      <c r="FE95" s="286"/>
      <c r="FF95" s="286"/>
      <c r="FG95" s="286"/>
      <c r="FH95" s="286"/>
      <c r="FI95" s="286"/>
      <c r="FJ95" s="286"/>
      <c r="FK95" s="286"/>
      <c r="FL95" s="286"/>
      <c r="FM95" s="286"/>
      <c r="FN95" s="286"/>
      <c r="FO95" s="286"/>
      <c r="FP95" s="286"/>
      <c r="FQ95" s="286"/>
      <c r="FR95" s="286"/>
      <c r="FS95" s="286"/>
    </row>
    <row r="96" spans="1:175">
      <c r="A96" s="212" t="s">
        <v>3159</v>
      </c>
      <c r="B96" s="212" t="s">
        <v>3160</v>
      </c>
      <c r="C96" s="212" t="s">
        <v>3172</v>
      </c>
      <c r="D96" s="212" t="s">
        <v>3233</v>
      </c>
      <c r="E96" s="212" t="s">
        <v>3257</v>
      </c>
      <c r="F96" s="278">
        <v>4196</v>
      </c>
      <c r="G96" s="278">
        <v>25040</v>
      </c>
      <c r="H96" s="287">
        <f t="shared" si="1"/>
        <v>3.0071884984025559</v>
      </c>
      <c r="I96" s="286">
        <v>168</v>
      </c>
      <c r="J96" s="286">
        <v>753</v>
      </c>
      <c r="K96" s="286">
        <v>402</v>
      </c>
      <c r="L96" s="286">
        <v>351</v>
      </c>
      <c r="M96" s="286">
        <v>491</v>
      </c>
      <c r="N96" s="286">
        <v>225</v>
      </c>
      <c r="O96" s="286">
        <v>266</v>
      </c>
      <c r="P96" s="286">
        <v>168</v>
      </c>
      <c r="Q96" s="286">
        <v>753</v>
      </c>
      <c r="R96" s="286">
        <v>402</v>
      </c>
      <c r="S96" s="286">
        <v>351</v>
      </c>
      <c r="T96" s="286">
        <v>491</v>
      </c>
      <c r="U96" s="286">
        <v>225</v>
      </c>
      <c r="V96" s="286">
        <v>266</v>
      </c>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6"/>
      <c r="CH96" s="286"/>
      <c r="CI96" s="286"/>
      <c r="CJ96" s="286"/>
      <c r="CK96" s="286"/>
      <c r="CL96" s="286"/>
      <c r="CM96" s="286"/>
      <c r="CN96" s="286"/>
      <c r="CO96" s="286"/>
      <c r="CP96" s="286"/>
      <c r="CQ96" s="286"/>
      <c r="CR96" s="286"/>
      <c r="CS96" s="286"/>
      <c r="CT96" s="286"/>
      <c r="CU96" s="286"/>
      <c r="CV96" s="286"/>
      <c r="CW96" s="286"/>
      <c r="CX96" s="286"/>
      <c r="CY96" s="286"/>
      <c r="CZ96" s="286"/>
      <c r="DA96" s="286"/>
      <c r="DB96" s="286"/>
      <c r="DC96" s="286"/>
      <c r="DD96" s="286"/>
      <c r="DE96" s="286"/>
      <c r="DF96" s="286"/>
      <c r="DG96" s="286"/>
      <c r="DH96" s="286"/>
      <c r="DI96" s="286"/>
      <c r="DJ96" s="286"/>
      <c r="DK96" s="286"/>
      <c r="DL96" s="286"/>
      <c r="DM96" s="286"/>
      <c r="DN96" s="286"/>
      <c r="DO96" s="286"/>
      <c r="DP96" s="286"/>
      <c r="DQ96" s="286"/>
      <c r="DR96" s="286"/>
      <c r="DS96" s="286"/>
      <c r="DT96" s="286"/>
      <c r="DU96" s="286"/>
      <c r="DV96" s="286"/>
      <c r="DW96" s="286"/>
      <c r="DX96" s="286"/>
      <c r="DY96" s="286"/>
      <c r="DZ96" s="286"/>
      <c r="EA96" s="286"/>
      <c r="EB96" s="286"/>
      <c r="EC96" s="286"/>
      <c r="ED96" s="286"/>
      <c r="EE96" s="286"/>
      <c r="EF96" s="286"/>
      <c r="EG96" s="286"/>
      <c r="EH96" s="286"/>
      <c r="EI96" s="286"/>
      <c r="EJ96" s="286"/>
      <c r="EK96" s="286"/>
      <c r="EL96" s="286"/>
      <c r="EM96" s="286"/>
      <c r="EN96" s="286"/>
      <c r="EO96" s="286"/>
      <c r="EP96" s="286"/>
      <c r="EQ96" s="286"/>
      <c r="ER96" s="286"/>
      <c r="ES96" s="286"/>
      <c r="ET96" s="286"/>
      <c r="EU96" s="286"/>
      <c r="EV96" s="286"/>
      <c r="EW96" s="286"/>
      <c r="EX96" s="286"/>
      <c r="EY96" s="286"/>
      <c r="EZ96" s="286"/>
      <c r="FA96" s="286"/>
      <c r="FB96" s="286"/>
      <c r="FC96" s="286"/>
      <c r="FD96" s="286"/>
      <c r="FE96" s="286"/>
      <c r="FF96" s="286"/>
      <c r="FG96" s="286"/>
      <c r="FH96" s="286"/>
      <c r="FI96" s="286"/>
      <c r="FJ96" s="286"/>
      <c r="FK96" s="286"/>
      <c r="FL96" s="286"/>
      <c r="FM96" s="286"/>
      <c r="FN96" s="286"/>
      <c r="FO96" s="286"/>
      <c r="FP96" s="286"/>
      <c r="FQ96" s="286"/>
      <c r="FR96" s="286"/>
      <c r="FS96" s="286"/>
    </row>
    <row r="97" spans="1:175">
      <c r="A97" s="212" t="s">
        <v>3159</v>
      </c>
      <c r="B97" s="212" t="s">
        <v>3160</v>
      </c>
      <c r="C97" s="212" t="s">
        <v>3172</v>
      </c>
      <c r="D97" s="212" t="s">
        <v>3233</v>
      </c>
      <c r="E97" s="212" t="s">
        <v>3258</v>
      </c>
      <c r="F97" s="278">
        <v>646</v>
      </c>
      <c r="G97" s="278">
        <v>5544</v>
      </c>
      <c r="H97" s="287">
        <f t="shared" si="1"/>
        <v>0.97402597402597402</v>
      </c>
      <c r="I97" s="286">
        <v>7</v>
      </c>
      <c r="J97" s="286">
        <v>54</v>
      </c>
      <c r="K97" s="286">
        <v>27</v>
      </c>
      <c r="L97" s="286">
        <v>27</v>
      </c>
      <c r="M97" s="286">
        <v>43</v>
      </c>
      <c r="N97" s="286">
        <v>20</v>
      </c>
      <c r="O97" s="286">
        <v>23</v>
      </c>
      <c r="P97" s="286">
        <v>7</v>
      </c>
      <c r="Q97" s="286">
        <v>54</v>
      </c>
      <c r="R97" s="286">
        <v>27</v>
      </c>
      <c r="S97" s="286">
        <v>27</v>
      </c>
      <c r="T97" s="286">
        <v>43</v>
      </c>
      <c r="U97" s="286">
        <v>20</v>
      </c>
      <c r="V97" s="286">
        <v>23</v>
      </c>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c r="CG97" s="286"/>
      <c r="CH97" s="286"/>
      <c r="CI97" s="286"/>
      <c r="CJ97" s="286"/>
      <c r="CK97" s="286"/>
      <c r="CL97" s="286"/>
      <c r="CM97" s="286"/>
      <c r="CN97" s="286"/>
      <c r="CO97" s="286"/>
      <c r="CP97" s="286"/>
      <c r="CQ97" s="286"/>
      <c r="CR97" s="286"/>
      <c r="CS97" s="286"/>
      <c r="CT97" s="286"/>
      <c r="CU97" s="286"/>
      <c r="CV97" s="286"/>
      <c r="CW97" s="286"/>
      <c r="CX97" s="286"/>
      <c r="CY97" s="286"/>
      <c r="CZ97" s="286"/>
      <c r="DA97" s="286"/>
      <c r="DB97" s="286"/>
      <c r="DC97" s="286"/>
      <c r="DD97" s="286"/>
      <c r="DE97" s="286"/>
      <c r="DF97" s="286"/>
      <c r="DG97" s="286"/>
      <c r="DH97" s="286"/>
      <c r="DI97" s="286"/>
      <c r="DJ97" s="286"/>
      <c r="DK97" s="286"/>
      <c r="DL97" s="286"/>
      <c r="DM97" s="286"/>
      <c r="DN97" s="286"/>
      <c r="DO97" s="286"/>
      <c r="DP97" s="286"/>
      <c r="DQ97" s="286"/>
      <c r="DR97" s="286"/>
      <c r="DS97" s="286"/>
      <c r="DT97" s="286"/>
      <c r="DU97" s="286"/>
      <c r="DV97" s="286"/>
      <c r="DW97" s="286"/>
      <c r="DX97" s="286"/>
      <c r="DY97" s="286"/>
      <c r="DZ97" s="286"/>
      <c r="EA97" s="286"/>
      <c r="EB97" s="286"/>
      <c r="EC97" s="286"/>
      <c r="ED97" s="286"/>
      <c r="EE97" s="286"/>
      <c r="EF97" s="286"/>
      <c r="EG97" s="286"/>
      <c r="EH97" s="286"/>
      <c r="EI97" s="286"/>
      <c r="EJ97" s="286"/>
      <c r="EK97" s="286"/>
      <c r="EL97" s="286"/>
      <c r="EM97" s="286"/>
      <c r="EN97" s="286"/>
      <c r="EO97" s="286"/>
      <c r="EP97" s="286"/>
      <c r="EQ97" s="286"/>
      <c r="ER97" s="286"/>
      <c r="ES97" s="286"/>
      <c r="ET97" s="286"/>
      <c r="EU97" s="286"/>
      <c r="EV97" s="286"/>
      <c r="EW97" s="286"/>
      <c r="EX97" s="286"/>
      <c r="EY97" s="286"/>
      <c r="EZ97" s="286"/>
      <c r="FA97" s="286"/>
      <c r="FB97" s="286"/>
      <c r="FC97" s="286"/>
      <c r="FD97" s="286"/>
      <c r="FE97" s="286"/>
      <c r="FF97" s="286"/>
      <c r="FG97" s="286"/>
      <c r="FH97" s="286"/>
      <c r="FI97" s="286"/>
      <c r="FJ97" s="286"/>
      <c r="FK97" s="286"/>
      <c r="FL97" s="286"/>
      <c r="FM97" s="286"/>
      <c r="FN97" s="286"/>
      <c r="FO97" s="286"/>
      <c r="FP97" s="286"/>
      <c r="FQ97" s="286"/>
      <c r="FR97" s="286"/>
      <c r="FS97" s="286"/>
    </row>
    <row r="98" spans="1:175">
      <c r="A98" s="212" t="s">
        <v>3159</v>
      </c>
      <c r="B98" s="212" t="s">
        <v>3160</v>
      </c>
      <c r="C98" s="212" t="s">
        <v>3172</v>
      </c>
      <c r="D98" s="212" t="s">
        <v>3233</v>
      </c>
      <c r="E98" s="212" t="s">
        <v>3259</v>
      </c>
      <c r="F98" s="278">
        <v>2401</v>
      </c>
      <c r="G98" s="278">
        <v>26338</v>
      </c>
      <c r="H98" s="287">
        <f t="shared" si="1"/>
        <v>2.319842053307009</v>
      </c>
      <c r="I98" s="286">
        <v>28</v>
      </c>
      <c r="J98" s="286">
        <v>611</v>
      </c>
      <c r="K98" s="286">
        <v>349</v>
      </c>
      <c r="L98" s="286">
        <v>262</v>
      </c>
      <c r="M98" s="286">
        <v>541</v>
      </c>
      <c r="N98" s="286">
        <v>297</v>
      </c>
      <c r="O98" s="286">
        <v>244</v>
      </c>
      <c r="P98" s="286">
        <v>28</v>
      </c>
      <c r="Q98" s="286">
        <v>611</v>
      </c>
      <c r="R98" s="286">
        <v>349</v>
      </c>
      <c r="S98" s="286">
        <v>262</v>
      </c>
      <c r="T98" s="286">
        <v>541</v>
      </c>
      <c r="U98" s="286">
        <v>297</v>
      </c>
      <c r="V98" s="286">
        <v>244</v>
      </c>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c r="DV98" s="286"/>
      <c r="DW98" s="286"/>
      <c r="DX98" s="286"/>
      <c r="DY98" s="286"/>
      <c r="DZ98" s="286"/>
      <c r="EA98" s="286"/>
      <c r="EB98" s="286"/>
      <c r="EC98" s="286"/>
      <c r="ED98" s="286"/>
      <c r="EE98" s="286"/>
      <c r="EF98" s="286"/>
      <c r="EG98" s="286"/>
      <c r="EH98" s="286"/>
      <c r="EI98" s="286"/>
      <c r="EJ98" s="286"/>
      <c r="EK98" s="286"/>
      <c r="EL98" s="286"/>
      <c r="EM98" s="286"/>
      <c r="EN98" s="286"/>
      <c r="EO98" s="286"/>
      <c r="EP98" s="286"/>
      <c r="EQ98" s="286"/>
      <c r="ER98" s="286"/>
      <c r="ES98" s="286"/>
      <c r="ET98" s="286"/>
      <c r="EU98" s="286"/>
      <c r="EV98" s="286"/>
      <c r="EW98" s="286"/>
      <c r="EX98" s="286"/>
      <c r="EY98" s="286"/>
      <c r="EZ98" s="286"/>
      <c r="FA98" s="286"/>
      <c r="FB98" s="286"/>
      <c r="FC98" s="286"/>
      <c r="FD98" s="286"/>
      <c r="FE98" s="286"/>
      <c r="FF98" s="286"/>
      <c r="FG98" s="286"/>
      <c r="FH98" s="286"/>
      <c r="FI98" s="286"/>
      <c r="FJ98" s="286"/>
      <c r="FK98" s="286"/>
      <c r="FL98" s="286"/>
      <c r="FM98" s="286"/>
      <c r="FN98" s="286"/>
      <c r="FO98" s="286"/>
      <c r="FP98" s="286"/>
      <c r="FQ98" s="286"/>
      <c r="FR98" s="286"/>
      <c r="FS98" s="286"/>
    </row>
    <row r="99" spans="1:175">
      <c r="A99" s="212" t="s">
        <v>3159</v>
      </c>
      <c r="B99" s="212" t="s">
        <v>3160</v>
      </c>
      <c r="C99" s="212" t="s">
        <v>3172</v>
      </c>
      <c r="D99" s="212" t="s">
        <v>3233</v>
      </c>
      <c r="E99" s="212" t="s">
        <v>3260</v>
      </c>
      <c r="F99" s="278">
        <v>2464</v>
      </c>
      <c r="G99" s="278">
        <v>26662</v>
      </c>
      <c r="H99" s="287">
        <f t="shared" si="1"/>
        <v>3.8369214612557196</v>
      </c>
      <c r="I99" s="286">
        <v>103</v>
      </c>
      <c r="J99" s="286">
        <v>1023</v>
      </c>
      <c r="K99" s="286">
        <v>648</v>
      </c>
      <c r="L99" s="286">
        <v>375</v>
      </c>
      <c r="M99" s="286">
        <v>838</v>
      </c>
      <c r="N99" s="286">
        <v>529</v>
      </c>
      <c r="O99" s="286">
        <v>309</v>
      </c>
      <c r="P99" s="286">
        <v>103</v>
      </c>
      <c r="Q99" s="286">
        <v>1023</v>
      </c>
      <c r="R99" s="286">
        <v>648</v>
      </c>
      <c r="S99" s="286">
        <v>375</v>
      </c>
      <c r="T99" s="286">
        <v>838</v>
      </c>
      <c r="U99" s="286">
        <v>529</v>
      </c>
      <c r="V99" s="286">
        <v>309</v>
      </c>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c r="DV99" s="286"/>
      <c r="DW99" s="286"/>
      <c r="DX99" s="286"/>
      <c r="DY99" s="286"/>
      <c r="DZ99" s="286"/>
      <c r="EA99" s="286"/>
      <c r="EB99" s="286"/>
      <c r="EC99" s="286"/>
      <c r="ED99" s="286"/>
      <c r="EE99" s="286"/>
      <c r="EF99" s="286"/>
      <c r="EG99" s="286"/>
      <c r="EH99" s="286"/>
      <c r="EI99" s="286"/>
      <c r="EJ99" s="286"/>
      <c r="EK99" s="286"/>
      <c r="EL99" s="286"/>
      <c r="EM99" s="286"/>
      <c r="EN99" s="286"/>
      <c r="EO99" s="286"/>
      <c r="EP99" s="286"/>
      <c r="EQ99" s="286"/>
      <c r="ER99" s="286"/>
      <c r="ES99" s="286"/>
      <c r="ET99" s="286"/>
      <c r="EU99" s="286"/>
      <c r="EV99" s="286"/>
      <c r="EW99" s="286"/>
      <c r="EX99" s="286"/>
      <c r="EY99" s="286"/>
      <c r="EZ99" s="286"/>
      <c r="FA99" s="286"/>
      <c r="FB99" s="286"/>
      <c r="FC99" s="286"/>
      <c r="FD99" s="286"/>
      <c r="FE99" s="286"/>
      <c r="FF99" s="286"/>
      <c r="FG99" s="286"/>
      <c r="FH99" s="286"/>
      <c r="FI99" s="286"/>
      <c r="FJ99" s="286"/>
      <c r="FK99" s="286"/>
      <c r="FL99" s="286"/>
      <c r="FM99" s="286"/>
      <c r="FN99" s="286"/>
      <c r="FO99" s="286"/>
      <c r="FP99" s="286"/>
      <c r="FQ99" s="286"/>
      <c r="FR99" s="286"/>
      <c r="FS99" s="286"/>
    </row>
    <row r="100" spans="1:175">
      <c r="A100" s="212" t="s">
        <v>3159</v>
      </c>
      <c r="B100" s="212" t="s">
        <v>3160</v>
      </c>
      <c r="C100" s="212" t="s">
        <v>3172</v>
      </c>
      <c r="D100" s="212" t="s">
        <v>3233</v>
      </c>
      <c r="E100" s="212" t="s">
        <v>3261</v>
      </c>
      <c r="F100" s="278">
        <v>9400</v>
      </c>
      <c r="G100" s="278">
        <v>103993</v>
      </c>
      <c r="H100" s="287">
        <f t="shared" si="1"/>
        <v>1.6597270970161453</v>
      </c>
      <c r="I100" s="286">
        <v>184</v>
      </c>
      <c r="J100" s="286">
        <v>1726</v>
      </c>
      <c r="K100" s="286">
        <v>483</v>
      </c>
      <c r="L100" s="286">
        <v>1241</v>
      </c>
      <c r="M100" s="286">
        <v>1466</v>
      </c>
      <c r="N100" s="286">
        <v>327</v>
      </c>
      <c r="O100" s="286">
        <v>1137</v>
      </c>
      <c r="P100" s="286">
        <v>184</v>
      </c>
      <c r="Q100" s="286">
        <v>1726</v>
      </c>
      <c r="R100" s="286">
        <v>483</v>
      </c>
      <c r="S100" s="286">
        <v>1241</v>
      </c>
      <c r="T100" s="286">
        <v>1466</v>
      </c>
      <c r="U100" s="286">
        <v>327</v>
      </c>
      <c r="V100" s="286">
        <v>1137</v>
      </c>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c r="DV100" s="286"/>
      <c r="DW100" s="286"/>
      <c r="DX100" s="286"/>
      <c r="DY100" s="286"/>
      <c r="DZ100" s="286"/>
      <c r="EA100" s="286"/>
      <c r="EB100" s="286"/>
      <c r="EC100" s="286"/>
      <c r="ED100" s="286"/>
      <c r="EE100" s="286"/>
      <c r="EF100" s="286"/>
      <c r="EG100" s="286"/>
      <c r="EH100" s="286"/>
      <c r="EI100" s="286"/>
      <c r="EJ100" s="286"/>
      <c r="EK100" s="286"/>
      <c r="EL100" s="286"/>
      <c r="EM100" s="286"/>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286"/>
      <c r="FS100" s="286"/>
    </row>
    <row r="101" spans="1:175">
      <c r="A101" s="212" t="s">
        <v>3159</v>
      </c>
      <c r="B101" s="212" t="s">
        <v>3160</v>
      </c>
      <c r="C101" s="212" t="s">
        <v>3172</v>
      </c>
      <c r="D101" s="212" t="s">
        <v>3233</v>
      </c>
      <c r="E101" s="212" t="s">
        <v>3262</v>
      </c>
      <c r="F101" s="278">
        <v>613</v>
      </c>
      <c r="G101" s="278">
        <v>10690</v>
      </c>
      <c r="H101" s="287">
        <f t="shared" si="1"/>
        <v>8.400374181478016</v>
      </c>
      <c r="I101" s="286">
        <v>39</v>
      </c>
      <c r="J101" s="286">
        <v>898</v>
      </c>
      <c r="K101" s="286">
        <v>255</v>
      </c>
      <c r="L101" s="286">
        <v>643</v>
      </c>
      <c r="M101" s="286">
        <v>828</v>
      </c>
      <c r="N101" s="286">
        <v>212</v>
      </c>
      <c r="O101" s="286">
        <v>616</v>
      </c>
      <c r="P101" s="286">
        <v>39</v>
      </c>
      <c r="Q101" s="286">
        <v>898</v>
      </c>
      <c r="R101" s="286">
        <v>255</v>
      </c>
      <c r="S101" s="286">
        <v>643</v>
      </c>
      <c r="T101" s="286">
        <v>828</v>
      </c>
      <c r="U101" s="286">
        <v>212</v>
      </c>
      <c r="V101" s="286">
        <v>616</v>
      </c>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86"/>
      <c r="CY101" s="286"/>
      <c r="CZ101" s="286"/>
      <c r="DA101" s="286"/>
      <c r="DB101" s="286"/>
      <c r="DC101" s="286"/>
      <c r="DD101" s="286"/>
      <c r="DE101" s="286"/>
      <c r="DF101" s="286"/>
      <c r="DG101" s="286"/>
      <c r="DH101" s="286"/>
      <c r="DI101" s="286"/>
      <c r="DJ101" s="286"/>
      <c r="DK101" s="286"/>
      <c r="DL101" s="286"/>
      <c r="DM101" s="286"/>
      <c r="DN101" s="286"/>
      <c r="DO101" s="286"/>
      <c r="DP101" s="286"/>
      <c r="DQ101" s="286"/>
      <c r="DR101" s="286"/>
      <c r="DS101" s="286"/>
      <c r="DT101" s="286"/>
      <c r="DU101" s="286"/>
      <c r="DV101" s="286"/>
      <c r="DW101" s="286"/>
      <c r="DX101" s="286"/>
      <c r="DY101" s="286"/>
      <c r="DZ101" s="286"/>
      <c r="EA101" s="286"/>
      <c r="EB101" s="286"/>
      <c r="EC101" s="286"/>
      <c r="ED101" s="286"/>
      <c r="EE101" s="286"/>
      <c r="EF101" s="286"/>
      <c r="EG101" s="286"/>
      <c r="EH101" s="286"/>
      <c r="EI101" s="286"/>
      <c r="EJ101" s="286"/>
      <c r="EK101" s="286"/>
      <c r="EL101" s="286"/>
      <c r="EM101" s="286"/>
      <c r="EN101" s="286"/>
      <c r="EO101" s="286"/>
      <c r="EP101" s="286"/>
      <c r="EQ101" s="286"/>
      <c r="ER101" s="286"/>
      <c r="ES101" s="286"/>
      <c r="ET101" s="286"/>
      <c r="EU101" s="286"/>
      <c r="EV101" s="286"/>
      <c r="EW101" s="286"/>
      <c r="EX101" s="286"/>
      <c r="EY101" s="286"/>
      <c r="EZ101" s="286"/>
      <c r="FA101" s="286"/>
      <c r="FB101" s="286"/>
      <c r="FC101" s="286"/>
      <c r="FD101" s="286"/>
      <c r="FE101" s="286"/>
      <c r="FF101" s="286"/>
      <c r="FG101" s="286"/>
      <c r="FH101" s="286"/>
      <c r="FI101" s="286"/>
      <c r="FJ101" s="286"/>
      <c r="FK101" s="286"/>
      <c r="FL101" s="286"/>
      <c r="FM101" s="286"/>
      <c r="FN101" s="286"/>
      <c r="FO101" s="286"/>
      <c r="FP101" s="286"/>
      <c r="FQ101" s="286"/>
      <c r="FR101" s="286"/>
      <c r="FS101" s="286"/>
    </row>
    <row r="102" spans="1:175">
      <c r="A102" s="212" t="s">
        <v>3159</v>
      </c>
      <c r="B102" s="212" t="s">
        <v>3160</v>
      </c>
      <c r="C102" s="212" t="s">
        <v>3172</v>
      </c>
      <c r="D102" s="212" t="s">
        <v>3233</v>
      </c>
      <c r="E102" s="212" t="s">
        <v>3263</v>
      </c>
      <c r="F102" s="278">
        <v>3205</v>
      </c>
      <c r="G102" s="278">
        <v>23760</v>
      </c>
      <c r="H102" s="287">
        <f t="shared" si="1"/>
        <v>4.3728956228956228</v>
      </c>
      <c r="I102" s="286">
        <v>132</v>
      </c>
      <c r="J102" s="286">
        <v>1039</v>
      </c>
      <c r="K102" s="286">
        <v>468</v>
      </c>
      <c r="L102" s="286">
        <v>571</v>
      </c>
      <c r="M102" s="286">
        <v>801</v>
      </c>
      <c r="N102" s="286">
        <v>338</v>
      </c>
      <c r="O102" s="286">
        <v>463</v>
      </c>
      <c r="P102" s="286">
        <v>132</v>
      </c>
      <c r="Q102" s="286">
        <v>1039</v>
      </c>
      <c r="R102" s="286">
        <v>468</v>
      </c>
      <c r="S102" s="286">
        <v>571</v>
      </c>
      <c r="T102" s="286">
        <v>801</v>
      </c>
      <c r="U102" s="286">
        <v>338</v>
      </c>
      <c r="V102" s="286">
        <v>463</v>
      </c>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c r="CG102" s="286"/>
      <c r="CH102" s="286"/>
      <c r="CI102" s="286"/>
      <c r="CJ102" s="286"/>
      <c r="CK102" s="286"/>
      <c r="CL102" s="286"/>
      <c r="CM102" s="286"/>
      <c r="CN102" s="286"/>
      <c r="CO102" s="286"/>
      <c r="CP102" s="286"/>
      <c r="CQ102" s="286"/>
      <c r="CR102" s="286"/>
      <c r="CS102" s="286"/>
      <c r="CT102" s="286"/>
      <c r="CU102" s="286"/>
      <c r="CV102" s="286"/>
      <c r="CW102" s="286"/>
      <c r="CX102" s="286"/>
      <c r="CY102" s="286"/>
      <c r="CZ102" s="286"/>
      <c r="DA102" s="286"/>
      <c r="DB102" s="286"/>
      <c r="DC102" s="286"/>
      <c r="DD102" s="286"/>
      <c r="DE102" s="286"/>
      <c r="DF102" s="286"/>
      <c r="DG102" s="286"/>
      <c r="DH102" s="286"/>
      <c r="DI102" s="286"/>
      <c r="DJ102" s="286"/>
      <c r="DK102" s="286"/>
      <c r="DL102" s="286"/>
      <c r="DM102" s="286"/>
      <c r="DN102" s="286"/>
      <c r="DO102" s="286"/>
      <c r="DP102" s="286"/>
      <c r="DQ102" s="286"/>
      <c r="DR102" s="286"/>
      <c r="DS102" s="286"/>
      <c r="DT102" s="286"/>
      <c r="DU102" s="286"/>
      <c r="DV102" s="286"/>
      <c r="DW102" s="286"/>
      <c r="DX102" s="286"/>
      <c r="DY102" s="286"/>
      <c r="DZ102" s="286"/>
      <c r="EA102" s="286"/>
      <c r="EB102" s="286"/>
      <c r="EC102" s="286"/>
      <c r="ED102" s="286"/>
      <c r="EE102" s="286"/>
      <c r="EF102" s="286"/>
      <c r="EG102" s="286"/>
      <c r="EH102" s="286"/>
      <c r="EI102" s="286"/>
      <c r="EJ102" s="286"/>
      <c r="EK102" s="286"/>
      <c r="EL102" s="286"/>
      <c r="EM102" s="286"/>
      <c r="EN102" s="286"/>
      <c r="EO102" s="286"/>
      <c r="EP102" s="286"/>
      <c r="EQ102" s="286"/>
      <c r="ER102" s="286"/>
      <c r="ES102" s="286"/>
      <c r="ET102" s="286"/>
      <c r="EU102" s="286"/>
      <c r="EV102" s="286"/>
      <c r="EW102" s="286"/>
      <c r="EX102" s="286"/>
      <c r="EY102" s="286"/>
      <c r="EZ102" s="286"/>
      <c r="FA102" s="286"/>
      <c r="FB102" s="286"/>
      <c r="FC102" s="286"/>
      <c r="FD102" s="286"/>
      <c r="FE102" s="286"/>
      <c r="FF102" s="286"/>
      <c r="FG102" s="286"/>
      <c r="FH102" s="286"/>
      <c r="FI102" s="286"/>
      <c r="FJ102" s="286"/>
      <c r="FK102" s="286"/>
      <c r="FL102" s="286"/>
      <c r="FM102" s="286"/>
      <c r="FN102" s="286"/>
      <c r="FO102" s="286"/>
      <c r="FP102" s="286"/>
      <c r="FQ102" s="286"/>
      <c r="FR102" s="286"/>
      <c r="FS102" s="286"/>
    </row>
    <row r="103" spans="1:175">
      <c r="A103" s="212" t="s">
        <v>3159</v>
      </c>
      <c r="B103" s="212" t="s">
        <v>3160</v>
      </c>
      <c r="C103" s="212" t="s">
        <v>3172</v>
      </c>
      <c r="D103" s="212" t="s">
        <v>3233</v>
      </c>
      <c r="E103" s="212" t="s">
        <v>3264</v>
      </c>
      <c r="F103" s="278">
        <v>7631</v>
      </c>
      <c r="G103" s="278">
        <v>70600</v>
      </c>
      <c r="H103" s="287">
        <f t="shared" si="1"/>
        <v>3.6869688385269122</v>
      </c>
      <c r="I103" s="286">
        <v>328</v>
      </c>
      <c r="J103" s="286">
        <v>2603</v>
      </c>
      <c r="K103" s="286">
        <v>1098</v>
      </c>
      <c r="L103" s="286">
        <v>1490</v>
      </c>
      <c r="M103" s="286">
        <v>2034</v>
      </c>
      <c r="N103" s="286">
        <v>742</v>
      </c>
      <c r="O103" s="286">
        <v>1277</v>
      </c>
      <c r="P103" s="286">
        <v>328</v>
      </c>
      <c r="Q103" s="286">
        <v>2603</v>
      </c>
      <c r="R103" s="286">
        <v>1098</v>
      </c>
      <c r="S103" s="286">
        <v>1490</v>
      </c>
      <c r="T103" s="286">
        <v>2034</v>
      </c>
      <c r="U103" s="286">
        <v>742</v>
      </c>
      <c r="V103" s="286">
        <v>1277</v>
      </c>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c r="CG103" s="286"/>
      <c r="CH103" s="286"/>
      <c r="CI103" s="286"/>
      <c r="CJ103" s="286"/>
      <c r="CK103" s="286"/>
      <c r="CL103" s="286"/>
      <c r="CM103" s="286"/>
      <c r="CN103" s="286"/>
      <c r="CO103" s="286"/>
      <c r="CP103" s="286"/>
      <c r="CQ103" s="286"/>
      <c r="CR103" s="286"/>
      <c r="CS103" s="286"/>
      <c r="CT103" s="286"/>
      <c r="CU103" s="286"/>
      <c r="CV103" s="286"/>
      <c r="CW103" s="286"/>
      <c r="CX103" s="286"/>
      <c r="CY103" s="286"/>
      <c r="CZ103" s="286"/>
      <c r="DA103" s="286"/>
      <c r="DB103" s="286"/>
      <c r="DC103" s="286"/>
      <c r="DD103" s="286"/>
      <c r="DE103" s="286"/>
      <c r="DF103" s="286"/>
      <c r="DG103" s="286"/>
      <c r="DH103" s="286"/>
      <c r="DI103" s="286"/>
      <c r="DJ103" s="286"/>
      <c r="DK103" s="286"/>
      <c r="DL103" s="286"/>
      <c r="DM103" s="286"/>
      <c r="DN103" s="286"/>
      <c r="DO103" s="286"/>
      <c r="DP103" s="286"/>
      <c r="DQ103" s="286"/>
      <c r="DR103" s="286"/>
      <c r="DS103" s="286"/>
      <c r="DT103" s="286"/>
      <c r="DU103" s="286"/>
      <c r="DV103" s="286"/>
      <c r="DW103" s="286"/>
      <c r="DX103" s="286"/>
      <c r="DY103" s="286"/>
      <c r="DZ103" s="286"/>
      <c r="EA103" s="286"/>
      <c r="EB103" s="286"/>
      <c r="EC103" s="286"/>
      <c r="ED103" s="286"/>
      <c r="EE103" s="286"/>
      <c r="EF103" s="286"/>
      <c r="EG103" s="286"/>
      <c r="EH103" s="286"/>
      <c r="EI103" s="286"/>
      <c r="EJ103" s="286"/>
      <c r="EK103" s="286"/>
      <c r="EL103" s="286"/>
      <c r="EM103" s="286"/>
      <c r="EN103" s="286"/>
      <c r="EO103" s="286"/>
      <c r="EP103" s="286"/>
      <c r="EQ103" s="286"/>
      <c r="ER103" s="286"/>
      <c r="ES103" s="286"/>
      <c r="ET103" s="286"/>
      <c r="EU103" s="286"/>
      <c r="EV103" s="286"/>
      <c r="EW103" s="286"/>
      <c r="EX103" s="286"/>
      <c r="EY103" s="286"/>
      <c r="EZ103" s="286"/>
      <c r="FA103" s="286"/>
      <c r="FB103" s="286"/>
      <c r="FC103" s="286"/>
      <c r="FD103" s="286"/>
      <c r="FE103" s="286"/>
      <c r="FF103" s="286"/>
      <c r="FG103" s="286"/>
      <c r="FH103" s="286"/>
      <c r="FI103" s="286"/>
      <c r="FJ103" s="286"/>
      <c r="FK103" s="286"/>
      <c r="FL103" s="286"/>
      <c r="FM103" s="286"/>
      <c r="FN103" s="286"/>
      <c r="FO103" s="286"/>
      <c r="FP103" s="286"/>
      <c r="FQ103" s="286"/>
      <c r="FR103" s="286"/>
      <c r="FS103" s="286"/>
    </row>
    <row r="104" spans="1:175">
      <c r="A104" s="212" t="s">
        <v>3159</v>
      </c>
      <c r="B104" s="212" t="s">
        <v>3160</v>
      </c>
      <c r="C104" s="212" t="s">
        <v>3170</v>
      </c>
      <c r="D104" s="212" t="s">
        <v>3233</v>
      </c>
      <c r="E104" s="212" t="s">
        <v>3265</v>
      </c>
      <c r="F104" s="278">
        <v>11521</v>
      </c>
      <c r="G104" s="278">
        <v>112689</v>
      </c>
      <c r="H104" s="287">
        <f t="shared" si="1"/>
        <v>2.7083388795712091</v>
      </c>
      <c r="I104" s="286">
        <v>363</v>
      </c>
      <c r="J104" s="286">
        <v>3052</v>
      </c>
      <c r="K104" s="286">
        <v>2354</v>
      </c>
      <c r="L104" s="286">
        <v>698</v>
      </c>
      <c r="M104" s="286">
        <v>2495</v>
      </c>
      <c r="N104" s="286">
        <v>1931</v>
      </c>
      <c r="O104" s="286">
        <v>564</v>
      </c>
      <c r="P104" s="286">
        <v>363</v>
      </c>
      <c r="Q104" s="286">
        <v>3052</v>
      </c>
      <c r="R104" s="286">
        <v>2354</v>
      </c>
      <c r="S104" s="286">
        <v>698</v>
      </c>
      <c r="T104" s="286">
        <v>2495</v>
      </c>
      <c r="U104" s="286">
        <v>1931</v>
      </c>
      <c r="V104" s="286">
        <v>564</v>
      </c>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c r="CG104" s="286"/>
      <c r="CH104" s="286"/>
      <c r="CI104" s="286"/>
      <c r="CJ104" s="286"/>
      <c r="CK104" s="286"/>
      <c r="CL104" s="286"/>
      <c r="CM104" s="286"/>
      <c r="CN104" s="286"/>
      <c r="CO104" s="286"/>
      <c r="CP104" s="286"/>
      <c r="CQ104" s="286"/>
      <c r="CR104" s="286"/>
      <c r="CS104" s="286"/>
      <c r="CT104" s="286"/>
      <c r="CU104" s="286"/>
      <c r="CV104" s="286"/>
      <c r="CW104" s="286"/>
      <c r="CX104" s="286"/>
      <c r="CY104" s="286"/>
      <c r="CZ104" s="286"/>
      <c r="DA104" s="286"/>
      <c r="DB104" s="286"/>
      <c r="DC104" s="286"/>
      <c r="DD104" s="286"/>
      <c r="DE104" s="286"/>
      <c r="DF104" s="286"/>
      <c r="DG104" s="286"/>
      <c r="DH104" s="286"/>
      <c r="DI104" s="286"/>
      <c r="DJ104" s="286"/>
      <c r="DK104" s="286"/>
      <c r="DL104" s="286"/>
      <c r="DM104" s="286"/>
      <c r="DN104" s="286"/>
      <c r="DO104" s="286"/>
      <c r="DP104" s="286"/>
      <c r="DQ104" s="286"/>
      <c r="DR104" s="286"/>
      <c r="DS104" s="286"/>
      <c r="DT104" s="286"/>
      <c r="DU104" s="286"/>
      <c r="DV104" s="286"/>
      <c r="DW104" s="286"/>
      <c r="DX104" s="286"/>
      <c r="DY104" s="286"/>
      <c r="DZ104" s="286"/>
      <c r="EA104" s="286"/>
      <c r="EB104" s="286"/>
      <c r="EC104" s="286"/>
      <c r="ED104" s="286"/>
      <c r="EE104" s="286"/>
      <c r="EF104" s="286"/>
      <c r="EG104" s="286"/>
      <c r="EH104" s="286"/>
      <c r="EI104" s="286"/>
      <c r="EJ104" s="286"/>
      <c r="EK104" s="286"/>
      <c r="EL104" s="286"/>
      <c r="EM104" s="286"/>
      <c r="EN104" s="286"/>
      <c r="EO104" s="286"/>
      <c r="EP104" s="286"/>
      <c r="EQ104" s="286"/>
      <c r="ER104" s="286"/>
      <c r="ES104" s="286"/>
      <c r="ET104" s="286"/>
      <c r="EU104" s="286"/>
      <c r="EV104" s="286"/>
      <c r="EW104" s="286"/>
      <c r="EX104" s="286"/>
      <c r="EY104" s="286"/>
      <c r="EZ104" s="286"/>
      <c r="FA104" s="286"/>
      <c r="FB104" s="286"/>
      <c r="FC104" s="286"/>
      <c r="FD104" s="286"/>
      <c r="FE104" s="286"/>
      <c r="FF104" s="286"/>
      <c r="FG104" s="286"/>
      <c r="FH104" s="286"/>
      <c r="FI104" s="286"/>
      <c r="FJ104" s="286"/>
      <c r="FK104" s="286"/>
      <c r="FL104" s="286"/>
      <c r="FM104" s="286"/>
      <c r="FN104" s="286"/>
      <c r="FO104" s="286"/>
      <c r="FP104" s="286"/>
      <c r="FQ104" s="286"/>
      <c r="FR104" s="286"/>
      <c r="FS104" s="286"/>
    </row>
    <row r="105" spans="1:175">
      <c r="A105" s="212" t="s">
        <v>3159</v>
      </c>
      <c r="B105" s="212" t="s">
        <v>3160</v>
      </c>
      <c r="C105" s="212" t="s">
        <v>3172</v>
      </c>
      <c r="D105" s="212" t="s">
        <v>3233</v>
      </c>
      <c r="E105" s="212" t="s">
        <v>3266</v>
      </c>
      <c r="F105" s="278">
        <v>115</v>
      </c>
      <c r="G105" s="278">
        <v>852</v>
      </c>
      <c r="H105" s="287">
        <f t="shared" si="1"/>
        <v>0.11737089201877934</v>
      </c>
      <c r="I105" s="286">
        <v>1</v>
      </c>
      <c r="J105" s="286">
        <v>1</v>
      </c>
      <c r="K105" s="286">
        <v>1</v>
      </c>
      <c r="L105" s="286">
        <v>0</v>
      </c>
      <c r="M105" s="286">
        <v>1</v>
      </c>
      <c r="N105" s="286">
        <v>1</v>
      </c>
      <c r="O105" s="286">
        <v>0</v>
      </c>
      <c r="P105" s="286">
        <v>1</v>
      </c>
      <c r="Q105" s="286">
        <v>1</v>
      </c>
      <c r="R105" s="286">
        <v>1</v>
      </c>
      <c r="S105" s="286">
        <v>0</v>
      </c>
      <c r="T105" s="286">
        <v>1</v>
      </c>
      <c r="U105" s="286">
        <v>1</v>
      </c>
      <c r="V105" s="286">
        <v>0</v>
      </c>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c r="CG105" s="286"/>
      <c r="CH105" s="286"/>
      <c r="CI105" s="286"/>
      <c r="CJ105" s="286"/>
      <c r="CK105" s="286"/>
      <c r="CL105" s="286"/>
      <c r="CM105" s="286"/>
      <c r="CN105" s="286"/>
      <c r="CO105" s="286"/>
      <c r="CP105" s="286"/>
      <c r="CQ105" s="286"/>
      <c r="CR105" s="286"/>
      <c r="CS105" s="286"/>
      <c r="CT105" s="286"/>
      <c r="CU105" s="286"/>
      <c r="CV105" s="286"/>
      <c r="CW105" s="286"/>
      <c r="CX105" s="286"/>
      <c r="CY105" s="286"/>
      <c r="CZ105" s="286"/>
      <c r="DA105" s="286"/>
      <c r="DB105" s="286"/>
      <c r="DC105" s="286"/>
      <c r="DD105" s="286"/>
      <c r="DE105" s="286"/>
      <c r="DF105" s="286"/>
      <c r="DG105" s="286"/>
      <c r="DH105" s="286"/>
      <c r="DI105" s="286"/>
      <c r="DJ105" s="286"/>
      <c r="DK105" s="286"/>
      <c r="DL105" s="286"/>
      <c r="DM105" s="286"/>
      <c r="DN105" s="286"/>
      <c r="DO105" s="286"/>
      <c r="DP105" s="286"/>
      <c r="DQ105" s="286"/>
      <c r="DR105" s="286"/>
      <c r="DS105" s="286"/>
      <c r="DT105" s="286"/>
      <c r="DU105" s="286"/>
      <c r="DV105" s="286"/>
      <c r="DW105" s="286"/>
      <c r="DX105" s="286"/>
      <c r="DY105" s="286"/>
      <c r="DZ105" s="286"/>
      <c r="EA105" s="286"/>
      <c r="EB105" s="286"/>
      <c r="EC105" s="286"/>
      <c r="ED105" s="286"/>
      <c r="EE105" s="286"/>
      <c r="EF105" s="286"/>
      <c r="EG105" s="286"/>
      <c r="EH105" s="286"/>
      <c r="EI105" s="286"/>
      <c r="EJ105" s="286"/>
      <c r="EK105" s="286"/>
      <c r="EL105" s="286"/>
      <c r="EM105" s="286"/>
      <c r="EN105" s="286"/>
      <c r="EO105" s="286"/>
      <c r="EP105" s="286"/>
      <c r="EQ105" s="286"/>
      <c r="ER105" s="286"/>
      <c r="ES105" s="286"/>
      <c r="ET105" s="286"/>
      <c r="EU105" s="286"/>
      <c r="EV105" s="286"/>
      <c r="EW105" s="286"/>
      <c r="EX105" s="286"/>
      <c r="EY105" s="286"/>
      <c r="EZ105" s="286"/>
      <c r="FA105" s="286"/>
      <c r="FB105" s="286"/>
      <c r="FC105" s="286"/>
      <c r="FD105" s="286"/>
      <c r="FE105" s="286"/>
      <c r="FF105" s="286"/>
      <c r="FG105" s="286"/>
      <c r="FH105" s="286"/>
      <c r="FI105" s="286"/>
      <c r="FJ105" s="286"/>
      <c r="FK105" s="286"/>
      <c r="FL105" s="286"/>
      <c r="FM105" s="286"/>
      <c r="FN105" s="286"/>
      <c r="FO105" s="286"/>
      <c r="FP105" s="286"/>
      <c r="FQ105" s="286"/>
      <c r="FR105" s="286"/>
      <c r="FS105" s="286"/>
    </row>
    <row r="106" spans="1:175">
      <c r="A106" s="212" t="s">
        <v>3159</v>
      </c>
      <c r="B106" s="212" t="s">
        <v>3160</v>
      </c>
      <c r="C106" s="212" t="s">
        <v>3172</v>
      </c>
      <c r="D106" s="212" t="s">
        <v>3233</v>
      </c>
      <c r="E106" s="212" t="s">
        <v>3267</v>
      </c>
      <c r="F106" s="278">
        <v>5419</v>
      </c>
      <c r="G106" s="278">
        <v>42417</v>
      </c>
      <c r="H106" s="287">
        <f t="shared" si="1"/>
        <v>2.3716905957517036</v>
      </c>
      <c r="I106" s="286">
        <v>148</v>
      </c>
      <c r="J106" s="286">
        <v>1006</v>
      </c>
      <c r="K106" s="286">
        <v>823</v>
      </c>
      <c r="L106" s="286">
        <v>183</v>
      </c>
      <c r="M106" s="286">
        <v>785</v>
      </c>
      <c r="N106" s="286">
        <v>653</v>
      </c>
      <c r="O106" s="286">
        <v>132</v>
      </c>
      <c r="P106" s="286">
        <v>148</v>
      </c>
      <c r="Q106" s="286">
        <v>1006</v>
      </c>
      <c r="R106" s="286">
        <v>823</v>
      </c>
      <c r="S106" s="286">
        <v>183</v>
      </c>
      <c r="T106" s="286">
        <v>785</v>
      </c>
      <c r="U106" s="286">
        <v>653</v>
      </c>
      <c r="V106" s="286">
        <v>132</v>
      </c>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c r="CG106" s="286"/>
      <c r="CH106" s="286"/>
      <c r="CI106" s="286"/>
      <c r="CJ106" s="286"/>
      <c r="CK106" s="286"/>
      <c r="CL106" s="286"/>
      <c r="CM106" s="286"/>
      <c r="CN106" s="286"/>
      <c r="CO106" s="286"/>
      <c r="CP106" s="286"/>
      <c r="CQ106" s="286"/>
      <c r="CR106" s="286"/>
      <c r="CS106" s="286"/>
      <c r="CT106" s="286"/>
      <c r="CU106" s="286"/>
      <c r="CV106" s="286"/>
      <c r="CW106" s="286"/>
      <c r="CX106" s="286"/>
      <c r="CY106" s="286"/>
      <c r="CZ106" s="286"/>
      <c r="DA106" s="286"/>
      <c r="DB106" s="286"/>
      <c r="DC106" s="286"/>
      <c r="DD106" s="286"/>
      <c r="DE106" s="286"/>
      <c r="DF106" s="286"/>
      <c r="DG106" s="286"/>
      <c r="DH106" s="286"/>
      <c r="DI106" s="286"/>
      <c r="DJ106" s="286"/>
      <c r="DK106" s="286"/>
      <c r="DL106" s="286"/>
      <c r="DM106" s="286"/>
      <c r="DN106" s="286"/>
      <c r="DO106" s="286"/>
      <c r="DP106" s="286"/>
      <c r="DQ106" s="286"/>
      <c r="DR106" s="286"/>
      <c r="DS106" s="286"/>
      <c r="DT106" s="286"/>
      <c r="DU106" s="286"/>
      <c r="DV106" s="286"/>
      <c r="DW106" s="286"/>
      <c r="DX106" s="286"/>
      <c r="DY106" s="286"/>
      <c r="DZ106" s="286"/>
      <c r="EA106" s="286"/>
      <c r="EB106" s="286"/>
      <c r="EC106" s="286"/>
      <c r="ED106" s="286"/>
      <c r="EE106" s="286"/>
      <c r="EF106" s="286"/>
      <c r="EG106" s="286"/>
      <c r="EH106" s="286"/>
      <c r="EI106" s="286"/>
      <c r="EJ106" s="286"/>
      <c r="EK106" s="286"/>
      <c r="EL106" s="286"/>
      <c r="EM106" s="286"/>
      <c r="EN106" s="286"/>
      <c r="EO106" s="286"/>
      <c r="EP106" s="286"/>
      <c r="EQ106" s="286"/>
      <c r="ER106" s="286"/>
      <c r="ES106" s="286"/>
      <c r="ET106" s="286"/>
      <c r="EU106" s="286"/>
      <c r="EV106" s="286"/>
      <c r="EW106" s="286"/>
      <c r="EX106" s="286"/>
      <c r="EY106" s="286"/>
      <c r="EZ106" s="286"/>
      <c r="FA106" s="286"/>
      <c r="FB106" s="286"/>
      <c r="FC106" s="286"/>
      <c r="FD106" s="286"/>
      <c r="FE106" s="286"/>
      <c r="FF106" s="286"/>
      <c r="FG106" s="286"/>
      <c r="FH106" s="286"/>
      <c r="FI106" s="286"/>
      <c r="FJ106" s="286"/>
      <c r="FK106" s="286"/>
      <c r="FL106" s="286"/>
      <c r="FM106" s="286"/>
      <c r="FN106" s="286"/>
      <c r="FO106" s="286"/>
      <c r="FP106" s="286"/>
      <c r="FQ106" s="286"/>
      <c r="FR106" s="286"/>
      <c r="FS106" s="286"/>
    </row>
    <row r="107" spans="1:175">
      <c r="A107" s="212" t="s">
        <v>3159</v>
      </c>
      <c r="B107" s="212" t="s">
        <v>3160</v>
      </c>
      <c r="C107" s="212" t="s">
        <v>3172</v>
      </c>
      <c r="D107" s="212" t="s">
        <v>3233</v>
      </c>
      <c r="E107" s="212" t="s">
        <v>3268</v>
      </c>
      <c r="F107" s="278">
        <v>2572</v>
      </c>
      <c r="G107" s="278">
        <v>48915</v>
      </c>
      <c r="H107" s="287">
        <f t="shared" si="1"/>
        <v>1.7049984667279976</v>
      </c>
      <c r="I107" s="286">
        <v>60</v>
      </c>
      <c r="J107" s="286">
        <v>834</v>
      </c>
      <c r="K107" s="286">
        <v>683</v>
      </c>
      <c r="L107" s="286">
        <v>151</v>
      </c>
      <c r="M107" s="286">
        <v>735</v>
      </c>
      <c r="N107" s="286">
        <v>603</v>
      </c>
      <c r="O107" s="286">
        <v>132</v>
      </c>
      <c r="P107" s="286">
        <v>60</v>
      </c>
      <c r="Q107" s="286">
        <v>834</v>
      </c>
      <c r="R107" s="286">
        <v>683</v>
      </c>
      <c r="S107" s="286">
        <v>151</v>
      </c>
      <c r="T107" s="286">
        <v>735</v>
      </c>
      <c r="U107" s="286">
        <v>603</v>
      </c>
      <c r="V107" s="286">
        <v>132</v>
      </c>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c r="CG107" s="286"/>
      <c r="CH107" s="286"/>
      <c r="CI107" s="286"/>
      <c r="CJ107" s="286"/>
      <c r="CK107" s="286"/>
      <c r="CL107" s="286"/>
      <c r="CM107" s="286"/>
      <c r="CN107" s="286"/>
      <c r="CO107" s="286"/>
      <c r="CP107" s="286"/>
      <c r="CQ107" s="286"/>
      <c r="CR107" s="286"/>
      <c r="CS107" s="286"/>
      <c r="CT107" s="286"/>
      <c r="CU107" s="286"/>
      <c r="CV107" s="286"/>
      <c r="CW107" s="286"/>
      <c r="CX107" s="286"/>
      <c r="CY107" s="286"/>
      <c r="CZ107" s="286"/>
      <c r="DA107" s="286"/>
      <c r="DB107" s="286"/>
      <c r="DC107" s="286"/>
      <c r="DD107" s="286"/>
      <c r="DE107" s="286"/>
      <c r="DF107" s="286"/>
      <c r="DG107" s="286"/>
      <c r="DH107" s="286"/>
      <c r="DI107" s="286"/>
      <c r="DJ107" s="286"/>
      <c r="DK107" s="286"/>
      <c r="DL107" s="286"/>
      <c r="DM107" s="286"/>
      <c r="DN107" s="286"/>
      <c r="DO107" s="286"/>
      <c r="DP107" s="286"/>
      <c r="DQ107" s="286"/>
      <c r="DR107" s="286"/>
      <c r="DS107" s="286"/>
      <c r="DT107" s="286"/>
      <c r="DU107" s="286"/>
      <c r="DV107" s="286"/>
      <c r="DW107" s="286"/>
      <c r="DX107" s="286"/>
      <c r="DY107" s="286"/>
      <c r="DZ107" s="286"/>
      <c r="EA107" s="286"/>
      <c r="EB107" s="286"/>
      <c r="EC107" s="286"/>
      <c r="ED107" s="286"/>
      <c r="EE107" s="286"/>
      <c r="EF107" s="286"/>
      <c r="EG107" s="286"/>
      <c r="EH107" s="286"/>
      <c r="EI107" s="286"/>
      <c r="EJ107" s="286"/>
      <c r="EK107" s="286"/>
      <c r="EL107" s="286"/>
      <c r="EM107" s="286"/>
      <c r="EN107" s="286"/>
      <c r="EO107" s="286"/>
      <c r="EP107" s="286"/>
      <c r="EQ107" s="286"/>
      <c r="ER107" s="286"/>
      <c r="ES107" s="286"/>
      <c r="ET107" s="286"/>
      <c r="EU107" s="286"/>
      <c r="EV107" s="286"/>
      <c r="EW107" s="286"/>
      <c r="EX107" s="286"/>
      <c r="EY107" s="286"/>
      <c r="EZ107" s="286"/>
      <c r="FA107" s="286"/>
      <c r="FB107" s="286"/>
      <c r="FC107" s="286"/>
      <c r="FD107" s="286"/>
      <c r="FE107" s="286"/>
      <c r="FF107" s="286"/>
      <c r="FG107" s="286"/>
      <c r="FH107" s="286"/>
      <c r="FI107" s="286"/>
      <c r="FJ107" s="286"/>
      <c r="FK107" s="286"/>
      <c r="FL107" s="286"/>
      <c r="FM107" s="286"/>
      <c r="FN107" s="286"/>
      <c r="FO107" s="286"/>
      <c r="FP107" s="286"/>
      <c r="FQ107" s="286"/>
      <c r="FR107" s="286"/>
      <c r="FS107" s="286"/>
    </row>
    <row r="108" spans="1:175">
      <c r="A108" s="212" t="s">
        <v>3159</v>
      </c>
      <c r="B108" s="212" t="s">
        <v>3160</v>
      </c>
      <c r="C108" s="212" t="s">
        <v>3172</v>
      </c>
      <c r="D108" s="212" t="s">
        <v>3233</v>
      </c>
      <c r="E108" s="212" t="s">
        <v>3269</v>
      </c>
      <c r="F108" s="278">
        <v>1120</v>
      </c>
      <c r="G108" s="278">
        <v>7954</v>
      </c>
      <c r="H108" s="287">
        <f t="shared" si="1"/>
        <v>8.4360070404827763</v>
      </c>
      <c r="I108" s="286">
        <v>60</v>
      </c>
      <c r="J108" s="286">
        <v>671</v>
      </c>
      <c r="K108" s="286">
        <v>503</v>
      </c>
      <c r="L108" s="286">
        <v>168</v>
      </c>
      <c r="M108" s="286">
        <v>578</v>
      </c>
      <c r="N108" s="286">
        <v>438</v>
      </c>
      <c r="O108" s="286">
        <v>140</v>
      </c>
      <c r="P108" s="286">
        <v>60</v>
      </c>
      <c r="Q108" s="286">
        <v>671</v>
      </c>
      <c r="R108" s="286">
        <v>503</v>
      </c>
      <c r="S108" s="286">
        <v>168</v>
      </c>
      <c r="T108" s="286">
        <v>578</v>
      </c>
      <c r="U108" s="286">
        <v>438</v>
      </c>
      <c r="V108" s="286">
        <v>140</v>
      </c>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c r="CG108" s="286"/>
      <c r="CH108" s="286"/>
      <c r="CI108" s="286"/>
      <c r="CJ108" s="286"/>
      <c r="CK108" s="286"/>
      <c r="CL108" s="286"/>
      <c r="CM108" s="286"/>
      <c r="CN108" s="286"/>
      <c r="CO108" s="286"/>
      <c r="CP108" s="286"/>
      <c r="CQ108" s="286"/>
      <c r="CR108" s="286"/>
      <c r="CS108" s="286"/>
      <c r="CT108" s="286"/>
      <c r="CU108" s="286"/>
      <c r="CV108" s="286"/>
      <c r="CW108" s="286"/>
      <c r="CX108" s="286"/>
      <c r="CY108" s="286"/>
      <c r="CZ108" s="286"/>
      <c r="DA108" s="286"/>
      <c r="DB108" s="286"/>
      <c r="DC108" s="286"/>
      <c r="DD108" s="286"/>
      <c r="DE108" s="286"/>
      <c r="DF108" s="286"/>
      <c r="DG108" s="286"/>
      <c r="DH108" s="286"/>
      <c r="DI108" s="286"/>
      <c r="DJ108" s="286"/>
      <c r="DK108" s="286"/>
      <c r="DL108" s="286"/>
      <c r="DM108" s="286"/>
      <c r="DN108" s="286"/>
      <c r="DO108" s="286"/>
      <c r="DP108" s="286"/>
      <c r="DQ108" s="286"/>
      <c r="DR108" s="286"/>
      <c r="DS108" s="286"/>
      <c r="DT108" s="286"/>
      <c r="DU108" s="286"/>
      <c r="DV108" s="286"/>
      <c r="DW108" s="286"/>
      <c r="DX108" s="286"/>
      <c r="DY108" s="286"/>
      <c r="DZ108" s="286"/>
      <c r="EA108" s="286"/>
      <c r="EB108" s="286"/>
      <c r="EC108" s="286"/>
      <c r="ED108" s="286"/>
      <c r="EE108" s="286"/>
      <c r="EF108" s="286"/>
      <c r="EG108" s="286"/>
      <c r="EH108" s="286"/>
      <c r="EI108" s="286"/>
      <c r="EJ108" s="286"/>
      <c r="EK108" s="286"/>
      <c r="EL108" s="286"/>
      <c r="EM108" s="286"/>
      <c r="EN108" s="286"/>
      <c r="EO108" s="286"/>
      <c r="EP108" s="286"/>
      <c r="EQ108" s="286"/>
      <c r="ER108" s="286"/>
      <c r="ES108" s="286"/>
      <c r="ET108" s="286"/>
      <c r="EU108" s="286"/>
      <c r="EV108" s="286"/>
      <c r="EW108" s="286"/>
      <c r="EX108" s="286"/>
      <c r="EY108" s="286"/>
      <c r="EZ108" s="286"/>
      <c r="FA108" s="286"/>
      <c r="FB108" s="286"/>
      <c r="FC108" s="286"/>
      <c r="FD108" s="286"/>
      <c r="FE108" s="286"/>
      <c r="FF108" s="286"/>
      <c r="FG108" s="286"/>
      <c r="FH108" s="286"/>
      <c r="FI108" s="286"/>
      <c r="FJ108" s="286"/>
      <c r="FK108" s="286"/>
      <c r="FL108" s="286"/>
      <c r="FM108" s="286"/>
      <c r="FN108" s="286"/>
      <c r="FO108" s="286"/>
      <c r="FP108" s="286"/>
      <c r="FQ108" s="286"/>
      <c r="FR108" s="286"/>
      <c r="FS108" s="286"/>
    </row>
    <row r="109" spans="1:175">
      <c r="A109" s="212" t="s">
        <v>3159</v>
      </c>
      <c r="B109" s="212" t="s">
        <v>3160</v>
      </c>
      <c r="C109" s="212" t="s">
        <v>3172</v>
      </c>
      <c r="D109" s="212" t="s">
        <v>3233</v>
      </c>
      <c r="E109" s="212" t="s">
        <v>3270</v>
      </c>
      <c r="F109" s="278">
        <v>2295</v>
      </c>
      <c r="G109" s="278">
        <v>12551</v>
      </c>
      <c r="H109" s="287">
        <f t="shared" si="1"/>
        <v>4.3024460202374311</v>
      </c>
      <c r="I109" s="286">
        <v>94</v>
      </c>
      <c r="J109" s="286">
        <v>540</v>
      </c>
      <c r="K109" s="286">
        <v>344</v>
      </c>
      <c r="L109" s="286">
        <v>196</v>
      </c>
      <c r="M109" s="286">
        <v>396</v>
      </c>
      <c r="N109" s="286">
        <v>236</v>
      </c>
      <c r="O109" s="286">
        <v>160</v>
      </c>
      <c r="P109" s="286">
        <v>94</v>
      </c>
      <c r="Q109" s="286">
        <v>540</v>
      </c>
      <c r="R109" s="286">
        <v>344</v>
      </c>
      <c r="S109" s="286">
        <v>196</v>
      </c>
      <c r="T109" s="286">
        <v>396</v>
      </c>
      <c r="U109" s="286">
        <v>236</v>
      </c>
      <c r="V109" s="286">
        <v>160</v>
      </c>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c r="CG109" s="286"/>
      <c r="CH109" s="286"/>
      <c r="CI109" s="286"/>
      <c r="CJ109" s="286"/>
      <c r="CK109" s="286"/>
      <c r="CL109" s="286"/>
      <c r="CM109" s="286"/>
      <c r="CN109" s="286"/>
      <c r="CO109" s="286"/>
      <c r="CP109" s="286"/>
      <c r="CQ109" s="286"/>
      <c r="CR109" s="286"/>
      <c r="CS109" s="286"/>
      <c r="CT109" s="286"/>
      <c r="CU109" s="286"/>
      <c r="CV109" s="286"/>
      <c r="CW109" s="286"/>
      <c r="CX109" s="286"/>
      <c r="CY109" s="286"/>
      <c r="CZ109" s="286"/>
      <c r="DA109" s="286"/>
      <c r="DB109" s="286"/>
      <c r="DC109" s="286"/>
      <c r="DD109" s="286"/>
      <c r="DE109" s="286"/>
      <c r="DF109" s="286"/>
      <c r="DG109" s="286"/>
      <c r="DH109" s="286"/>
      <c r="DI109" s="286"/>
      <c r="DJ109" s="286"/>
      <c r="DK109" s="286"/>
      <c r="DL109" s="286"/>
      <c r="DM109" s="286"/>
      <c r="DN109" s="286"/>
      <c r="DO109" s="286"/>
      <c r="DP109" s="286"/>
      <c r="DQ109" s="286"/>
      <c r="DR109" s="286"/>
      <c r="DS109" s="286"/>
      <c r="DT109" s="286"/>
      <c r="DU109" s="286"/>
      <c r="DV109" s="286"/>
      <c r="DW109" s="286"/>
      <c r="DX109" s="286"/>
      <c r="DY109" s="286"/>
      <c r="DZ109" s="286"/>
      <c r="EA109" s="286"/>
      <c r="EB109" s="286"/>
      <c r="EC109" s="286"/>
      <c r="ED109" s="286"/>
      <c r="EE109" s="286"/>
      <c r="EF109" s="286"/>
      <c r="EG109" s="286"/>
      <c r="EH109" s="286"/>
      <c r="EI109" s="286"/>
      <c r="EJ109" s="286"/>
      <c r="EK109" s="286"/>
      <c r="EL109" s="286"/>
      <c r="EM109" s="286"/>
      <c r="EN109" s="286"/>
      <c r="EO109" s="286"/>
      <c r="EP109" s="286"/>
      <c r="EQ109" s="286"/>
      <c r="ER109" s="286"/>
      <c r="ES109" s="286"/>
      <c r="ET109" s="286"/>
      <c r="EU109" s="286"/>
      <c r="EV109" s="286"/>
      <c r="EW109" s="286"/>
      <c r="EX109" s="286"/>
      <c r="EY109" s="286"/>
      <c r="EZ109" s="286"/>
      <c r="FA109" s="286"/>
      <c r="FB109" s="286"/>
      <c r="FC109" s="286"/>
      <c r="FD109" s="286"/>
      <c r="FE109" s="286"/>
      <c r="FF109" s="286"/>
      <c r="FG109" s="286"/>
      <c r="FH109" s="286"/>
      <c r="FI109" s="286"/>
      <c r="FJ109" s="286"/>
      <c r="FK109" s="286"/>
      <c r="FL109" s="286"/>
      <c r="FM109" s="286"/>
      <c r="FN109" s="286"/>
      <c r="FO109" s="286"/>
      <c r="FP109" s="286"/>
      <c r="FQ109" s="286"/>
      <c r="FR109" s="286"/>
      <c r="FS109" s="286"/>
    </row>
    <row r="110" spans="1:175">
      <c r="A110" s="212" t="s">
        <v>3159</v>
      </c>
      <c r="B110" s="212" t="s">
        <v>3160</v>
      </c>
      <c r="C110" s="212" t="s">
        <v>3170</v>
      </c>
      <c r="D110" s="212" t="s">
        <v>3233</v>
      </c>
      <c r="E110" s="212" t="s">
        <v>3271</v>
      </c>
      <c r="F110" s="278">
        <v>17673</v>
      </c>
      <c r="G110" s="278">
        <v>124583</v>
      </c>
      <c r="H110" s="287">
        <f t="shared" si="1"/>
        <v>2.3020797380059879</v>
      </c>
      <c r="I110" s="286">
        <v>454</v>
      </c>
      <c r="J110" s="286">
        <v>2868</v>
      </c>
      <c r="K110" s="286">
        <v>2099</v>
      </c>
      <c r="L110" s="286">
        <v>769</v>
      </c>
      <c r="M110" s="286">
        <v>2147</v>
      </c>
      <c r="N110" s="286">
        <v>1562</v>
      </c>
      <c r="O110" s="286">
        <v>585</v>
      </c>
      <c r="P110" s="286">
        <v>454</v>
      </c>
      <c r="Q110" s="286">
        <v>2868</v>
      </c>
      <c r="R110" s="286">
        <v>2099</v>
      </c>
      <c r="S110" s="286">
        <v>769</v>
      </c>
      <c r="T110" s="286">
        <v>2147</v>
      </c>
      <c r="U110" s="286">
        <v>1562</v>
      </c>
      <c r="V110" s="286">
        <v>585</v>
      </c>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c r="CG110" s="286"/>
      <c r="CH110" s="286"/>
      <c r="CI110" s="286"/>
      <c r="CJ110" s="286"/>
      <c r="CK110" s="286"/>
      <c r="CL110" s="286"/>
      <c r="CM110" s="286"/>
      <c r="CN110" s="286"/>
      <c r="CO110" s="286"/>
      <c r="CP110" s="286"/>
      <c r="CQ110" s="286"/>
      <c r="CR110" s="286"/>
      <c r="CS110" s="286"/>
      <c r="CT110" s="286"/>
      <c r="CU110" s="286"/>
      <c r="CV110" s="286"/>
      <c r="CW110" s="286"/>
      <c r="CX110" s="286"/>
      <c r="CY110" s="286"/>
      <c r="CZ110" s="286"/>
      <c r="DA110" s="286"/>
      <c r="DB110" s="286"/>
      <c r="DC110" s="286"/>
      <c r="DD110" s="286"/>
      <c r="DE110" s="286"/>
      <c r="DF110" s="286"/>
      <c r="DG110" s="286"/>
      <c r="DH110" s="286"/>
      <c r="DI110" s="286"/>
      <c r="DJ110" s="286"/>
      <c r="DK110" s="286"/>
      <c r="DL110" s="286"/>
      <c r="DM110" s="286"/>
      <c r="DN110" s="286"/>
      <c r="DO110" s="286"/>
      <c r="DP110" s="286"/>
      <c r="DQ110" s="286"/>
      <c r="DR110" s="286"/>
      <c r="DS110" s="286"/>
      <c r="DT110" s="286"/>
      <c r="DU110" s="286"/>
      <c r="DV110" s="286"/>
      <c r="DW110" s="286"/>
      <c r="DX110" s="286"/>
      <c r="DY110" s="286"/>
      <c r="DZ110" s="286"/>
      <c r="EA110" s="286"/>
      <c r="EB110" s="286"/>
      <c r="EC110" s="286"/>
      <c r="ED110" s="286"/>
      <c r="EE110" s="286"/>
      <c r="EF110" s="286"/>
      <c r="EG110" s="286"/>
      <c r="EH110" s="286"/>
      <c r="EI110" s="286"/>
      <c r="EJ110" s="286"/>
      <c r="EK110" s="286"/>
      <c r="EL110" s="286"/>
      <c r="EM110" s="286"/>
      <c r="EN110" s="286"/>
      <c r="EO110" s="286"/>
      <c r="EP110" s="286"/>
      <c r="EQ110" s="286"/>
      <c r="ER110" s="286"/>
      <c r="ES110" s="286"/>
      <c r="ET110" s="286"/>
      <c r="EU110" s="286"/>
      <c r="EV110" s="286"/>
      <c r="EW110" s="286"/>
      <c r="EX110" s="286"/>
      <c r="EY110" s="286"/>
      <c r="EZ110" s="286"/>
      <c r="FA110" s="286"/>
      <c r="FB110" s="286"/>
      <c r="FC110" s="286"/>
      <c r="FD110" s="286"/>
      <c r="FE110" s="286"/>
      <c r="FF110" s="286"/>
      <c r="FG110" s="286"/>
      <c r="FH110" s="286"/>
      <c r="FI110" s="286"/>
      <c r="FJ110" s="286"/>
      <c r="FK110" s="286"/>
      <c r="FL110" s="286"/>
      <c r="FM110" s="286"/>
      <c r="FN110" s="286"/>
      <c r="FO110" s="286"/>
      <c r="FP110" s="286"/>
      <c r="FQ110" s="286"/>
      <c r="FR110" s="286"/>
      <c r="FS110" s="286"/>
    </row>
    <row r="111" spans="1:175">
      <c r="A111" s="212" t="s">
        <v>3159</v>
      </c>
      <c r="B111" s="212" t="s">
        <v>3160</v>
      </c>
      <c r="C111" s="212" t="s">
        <v>3172</v>
      </c>
      <c r="D111" s="212" t="s">
        <v>3233</v>
      </c>
      <c r="E111" s="212" t="s">
        <v>3272</v>
      </c>
      <c r="F111" s="278">
        <v>155</v>
      </c>
      <c r="G111" s="278">
        <v>1347</v>
      </c>
      <c r="H111" s="287">
        <f t="shared" si="1"/>
        <v>2.3014105419450632</v>
      </c>
      <c r="I111" s="286">
        <v>3</v>
      </c>
      <c r="J111" s="286">
        <v>31</v>
      </c>
      <c r="K111" s="286">
        <v>26</v>
      </c>
      <c r="L111" s="286">
        <v>5</v>
      </c>
      <c r="M111" s="286">
        <v>30</v>
      </c>
      <c r="N111" s="286">
        <v>26</v>
      </c>
      <c r="O111" s="286">
        <v>4</v>
      </c>
      <c r="P111" s="286">
        <v>3</v>
      </c>
      <c r="Q111" s="286">
        <v>31</v>
      </c>
      <c r="R111" s="286">
        <v>26</v>
      </c>
      <c r="S111" s="286">
        <v>5</v>
      </c>
      <c r="T111" s="286">
        <v>30</v>
      </c>
      <c r="U111" s="286">
        <v>26</v>
      </c>
      <c r="V111" s="286">
        <v>4</v>
      </c>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c r="CR111" s="286"/>
      <c r="CS111" s="286"/>
      <c r="CT111" s="286"/>
      <c r="CU111" s="286"/>
      <c r="CV111" s="286"/>
      <c r="CW111" s="286"/>
      <c r="CX111" s="286"/>
      <c r="CY111" s="286"/>
      <c r="CZ111" s="286"/>
      <c r="DA111" s="286"/>
      <c r="DB111" s="286"/>
      <c r="DC111" s="286"/>
      <c r="DD111" s="286"/>
      <c r="DE111" s="286"/>
      <c r="DF111" s="286"/>
      <c r="DG111" s="286"/>
      <c r="DH111" s="286"/>
      <c r="DI111" s="286"/>
      <c r="DJ111" s="286"/>
      <c r="DK111" s="286"/>
      <c r="DL111" s="286"/>
      <c r="DM111" s="286"/>
      <c r="DN111" s="286"/>
      <c r="DO111" s="286"/>
      <c r="DP111" s="286"/>
      <c r="DQ111" s="286"/>
      <c r="DR111" s="286"/>
      <c r="DS111" s="286"/>
      <c r="DT111" s="286"/>
      <c r="DU111" s="286"/>
      <c r="DV111" s="286"/>
      <c r="DW111" s="286"/>
      <c r="DX111" s="286"/>
      <c r="DY111" s="286"/>
      <c r="DZ111" s="286"/>
      <c r="EA111" s="286"/>
      <c r="EB111" s="286"/>
      <c r="EC111" s="286"/>
      <c r="ED111" s="286"/>
      <c r="EE111" s="286"/>
      <c r="EF111" s="286"/>
      <c r="EG111" s="286"/>
      <c r="EH111" s="286"/>
      <c r="EI111" s="286"/>
      <c r="EJ111" s="286"/>
      <c r="EK111" s="286"/>
      <c r="EL111" s="286"/>
      <c r="EM111" s="286"/>
      <c r="EN111" s="286"/>
      <c r="EO111" s="286"/>
      <c r="EP111" s="286"/>
      <c r="EQ111" s="286"/>
      <c r="ER111" s="286"/>
      <c r="ES111" s="286"/>
      <c r="ET111" s="286"/>
      <c r="EU111" s="286"/>
      <c r="EV111" s="286"/>
      <c r="EW111" s="286"/>
      <c r="EX111" s="286"/>
      <c r="EY111" s="286"/>
      <c r="EZ111" s="286"/>
      <c r="FA111" s="286"/>
      <c r="FB111" s="286"/>
      <c r="FC111" s="286"/>
      <c r="FD111" s="286"/>
      <c r="FE111" s="286"/>
      <c r="FF111" s="286"/>
      <c r="FG111" s="286"/>
      <c r="FH111" s="286"/>
      <c r="FI111" s="286"/>
      <c r="FJ111" s="286"/>
      <c r="FK111" s="286"/>
      <c r="FL111" s="286"/>
      <c r="FM111" s="286"/>
      <c r="FN111" s="286"/>
      <c r="FO111" s="286"/>
      <c r="FP111" s="286"/>
      <c r="FQ111" s="286"/>
      <c r="FR111" s="286"/>
      <c r="FS111" s="286"/>
    </row>
    <row r="112" spans="1:175">
      <c r="A112" s="212" t="s">
        <v>3159</v>
      </c>
      <c r="B112" s="212" t="s">
        <v>3160</v>
      </c>
      <c r="C112" s="212" t="s">
        <v>3172</v>
      </c>
      <c r="D112" s="212" t="s">
        <v>3233</v>
      </c>
      <c r="E112" s="212" t="s">
        <v>3273</v>
      </c>
      <c r="F112" s="278">
        <v>7848</v>
      </c>
      <c r="G112" s="278">
        <v>73963</v>
      </c>
      <c r="H112" s="287">
        <f t="shared" si="1"/>
        <v>2.0713059232318862</v>
      </c>
      <c r="I112" s="286">
        <v>190</v>
      </c>
      <c r="J112" s="286">
        <v>1532</v>
      </c>
      <c r="K112" s="286">
        <v>1176</v>
      </c>
      <c r="L112" s="286">
        <v>356</v>
      </c>
      <c r="M112" s="286">
        <v>1223</v>
      </c>
      <c r="N112" s="286">
        <v>950</v>
      </c>
      <c r="O112" s="286">
        <v>273</v>
      </c>
      <c r="P112" s="286">
        <v>190</v>
      </c>
      <c r="Q112" s="286">
        <v>1532</v>
      </c>
      <c r="R112" s="286">
        <v>1176</v>
      </c>
      <c r="S112" s="286">
        <v>356</v>
      </c>
      <c r="T112" s="286">
        <v>1223</v>
      </c>
      <c r="U112" s="286">
        <v>950</v>
      </c>
      <c r="V112" s="286">
        <v>273</v>
      </c>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c r="CG112" s="286"/>
      <c r="CH112" s="286"/>
      <c r="CI112" s="286"/>
      <c r="CJ112" s="286"/>
      <c r="CK112" s="286"/>
      <c r="CL112" s="286"/>
      <c r="CM112" s="286"/>
      <c r="CN112" s="286"/>
      <c r="CO112" s="286"/>
      <c r="CP112" s="286"/>
      <c r="CQ112" s="286"/>
      <c r="CR112" s="286"/>
      <c r="CS112" s="286"/>
      <c r="CT112" s="286"/>
      <c r="CU112" s="286"/>
      <c r="CV112" s="286"/>
      <c r="CW112" s="286"/>
      <c r="CX112" s="286"/>
      <c r="CY112" s="286"/>
      <c r="CZ112" s="286"/>
      <c r="DA112" s="286"/>
      <c r="DB112" s="286"/>
      <c r="DC112" s="286"/>
      <c r="DD112" s="286"/>
      <c r="DE112" s="286"/>
      <c r="DF112" s="286"/>
      <c r="DG112" s="286"/>
      <c r="DH112" s="286"/>
      <c r="DI112" s="286"/>
      <c r="DJ112" s="286"/>
      <c r="DK112" s="286"/>
      <c r="DL112" s="286"/>
      <c r="DM112" s="286"/>
      <c r="DN112" s="286"/>
      <c r="DO112" s="286"/>
      <c r="DP112" s="286"/>
      <c r="DQ112" s="286"/>
      <c r="DR112" s="286"/>
      <c r="DS112" s="286"/>
      <c r="DT112" s="286"/>
      <c r="DU112" s="286"/>
      <c r="DV112" s="286"/>
      <c r="DW112" s="286"/>
      <c r="DX112" s="286"/>
      <c r="DY112" s="286"/>
      <c r="DZ112" s="286"/>
      <c r="EA112" s="286"/>
      <c r="EB112" s="286"/>
      <c r="EC112" s="286"/>
      <c r="ED112" s="286"/>
      <c r="EE112" s="286"/>
      <c r="EF112" s="286"/>
      <c r="EG112" s="286"/>
      <c r="EH112" s="286"/>
      <c r="EI112" s="286"/>
      <c r="EJ112" s="286"/>
      <c r="EK112" s="286"/>
      <c r="EL112" s="286"/>
      <c r="EM112" s="286"/>
      <c r="EN112" s="286"/>
      <c r="EO112" s="286"/>
      <c r="EP112" s="286"/>
      <c r="EQ112" s="286"/>
      <c r="ER112" s="286"/>
      <c r="ES112" s="286"/>
      <c r="ET112" s="286"/>
      <c r="EU112" s="286"/>
      <c r="EV112" s="286"/>
      <c r="EW112" s="286"/>
      <c r="EX112" s="286"/>
      <c r="EY112" s="286"/>
      <c r="EZ112" s="286"/>
      <c r="FA112" s="286"/>
      <c r="FB112" s="286"/>
      <c r="FC112" s="286"/>
      <c r="FD112" s="286"/>
      <c r="FE112" s="286"/>
      <c r="FF112" s="286"/>
      <c r="FG112" s="286"/>
      <c r="FH112" s="286"/>
      <c r="FI112" s="286"/>
      <c r="FJ112" s="286"/>
      <c r="FK112" s="286"/>
      <c r="FL112" s="286"/>
      <c r="FM112" s="286"/>
      <c r="FN112" s="286"/>
      <c r="FO112" s="286"/>
      <c r="FP112" s="286"/>
      <c r="FQ112" s="286"/>
      <c r="FR112" s="286"/>
      <c r="FS112" s="286"/>
    </row>
    <row r="113" spans="1:175">
      <c r="A113" s="212" t="s">
        <v>3159</v>
      </c>
      <c r="B113" s="212" t="s">
        <v>3160</v>
      </c>
      <c r="C113" s="212" t="s">
        <v>3172</v>
      </c>
      <c r="D113" s="212" t="s">
        <v>3233</v>
      </c>
      <c r="E113" s="212" t="s">
        <v>3274</v>
      </c>
      <c r="F113" s="278">
        <v>1089</v>
      </c>
      <c r="G113" s="278">
        <v>5681</v>
      </c>
      <c r="H113" s="287">
        <f t="shared" si="1"/>
        <v>1.8130610807956347</v>
      </c>
      <c r="I113" s="286">
        <v>18</v>
      </c>
      <c r="J113" s="286">
        <v>103</v>
      </c>
      <c r="K113" s="286">
        <v>59</v>
      </c>
      <c r="L113" s="286">
        <v>44</v>
      </c>
      <c r="M113" s="286">
        <v>74</v>
      </c>
      <c r="N113" s="286">
        <v>39</v>
      </c>
      <c r="O113" s="286">
        <v>35</v>
      </c>
      <c r="P113" s="286">
        <v>18</v>
      </c>
      <c r="Q113" s="286">
        <v>103</v>
      </c>
      <c r="R113" s="286">
        <v>59</v>
      </c>
      <c r="S113" s="286">
        <v>44</v>
      </c>
      <c r="T113" s="286">
        <v>74</v>
      </c>
      <c r="U113" s="286">
        <v>39</v>
      </c>
      <c r="V113" s="286">
        <v>35</v>
      </c>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c r="CG113" s="286"/>
      <c r="CH113" s="286"/>
      <c r="CI113" s="286"/>
      <c r="CJ113" s="286"/>
      <c r="CK113" s="286"/>
      <c r="CL113" s="286"/>
      <c r="CM113" s="286"/>
      <c r="CN113" s="286"/>
      <c r="CO113" s="286"/>
      <c r="CP113" s="286"/>
      <c r="CQ113" s="286"/>
      <c r="CR113" s="286"/>
      <c r="CS113" s="286"/>
      <c r="CT113" s="286"/>
      <c r="CU113" s="286"/>
      <c r="CV113" s="286"/>
      <c r="CW113" s="286"/>
      <c r="CX113" s="286"/>
      <c r="CY113" s="286"/>
      <c r="CZ113" s="286"/>
      <c r="DA113" s="286"/>
      <c r="DB113" s="286"/>
      <c r="DC113" s="286"/>
      <c r="DD113" s="286"/>
      <c r="DE113" s="286"/>
      <c r="DF113" s="286"/>
      <c r="DG113" s="286"/>
      <c r="DH113" s="286"/>
      <c r="DI113" s="286"/>
      <c r="DJ113" s="286"/>
      <c r="DK113" s="286"/>
      <c r="DL113" s="286"/>
      <c r="DM113" s="286"/>
      <c r="DN113" s="286"/>
      <c r="DO113" s="286"/>
      <c r="DP113" s="286"/>
      <c r="DQ113" s="286"/>
      <c r="DR113" s="286"/>
      <c r="DS113" s="286"/>
      <c r="DT113" s="286"/>
      <c r="DU113" s="286"/>
      <c r="DV113" s="286"/>
      <c r="DW113" s="286"/>
      <c r="DX113" s="286"/>
      <c r="DY113" s="286"/>
      <c r="DZ113" s="286"/>
      <c r="EA113" s="286"/>
      <c r="EB113" s="286"/>
      <c r="EC113" s="286"/>
      <c r="ED113" s="286"/>
      <c r="EE113" s="286"/>
      <c r="EF113" s="286"/>
      <c r="EG113" s="286"/>
      <c r="EH113" s="286"/>
      <c r="EI113" s="286"/>
      <c r="EJ113" s="286"/>
      <c r="EK113" s="286"/>
      <c r="EL113" s="286"/>
      <c r="EM113" s="286"/>
      <c r="EN113" s="286"/>
      <c r="EO113" s="286"/>
      <c r="EP113" s="286"/>
      <c r="EQ113" s="286"/>
      <c r="ER113" s="286"/>
      <c r="ES113" s="286"/>
      <c r="ET113" s="286"/>
      <c r="EU113" s="286"/>
      <c r="EV113" s="286"/>
      <c r="EW113" s="286"/>
      <c r="EX113" s="286"/>
      <c r="EY113" s="286"/>
      <c r="EZ113" s="286"/>
      <c r="FA113" s="286"/>
      <c r="FB113" s="286"/>
      <c r="FC113" s="286"/>
      <c r="FD113" s="286"/>
      <c r="FE113" s="286"/>
      <c r="FF113" s="286"/>
      <c r="FG113" s="286"/>
      <c r="FH113" s="286"/>
      <c r="FI113" s="286"/>
      <c r="FJ113" s="286"/>
      <c r="FK113" s="286"/>
      <c r="FL113" s="286"/>
      <c r="FM113" s="286"/>
      <c r="FN113" s="286"/>
      <c r="FO113" s="286"/>
      <c r="FP113" s="286"/>
      <c r="FQ113" s="286"/>
      <c r="FR113" s="286"/>
      <c r="FS113" s="286"/>
    </row>
    <row r="114" spans="1:175">
      <c r="A114" s="212" t="s">
        <v>3159</v>
      </c>
      <c r="B114" s="212" t="s">
        <v>3160</v>
      </c>
      <c r="C114" s="212" t="s">
        <v>3172</v>
      </c>
      <c r="D114" s="212" t="s">
        <v>3233</v>
      </c>
      <c r="E114" s="212" t="s">
        <v>3275</v>
      </c>
      <c r="F114" s="278">
        <v>6607</v>
      </c>
      <c r="G114" s="278">
        <v>23575</v>
      </c>
      <c r="H114" s="287">
        <f t="shared" si="1"/>
        <v>3.5715800636267234</v>
      </c>
      <c r="I114" s="286">
        <v>199</v>
      </c>
      <c r="J114" s="286">
        <v>842</v>
      </c>
      <c r="K114" s="286">
        <v>631</v>
      </c>
      <c r="L114" s="286">
        <v>211</v>
      </c>
      <c r="M114" s="286">
        <v>533</v>
      </c>
      <c r="N114" s="286">
        <v>394</v>
      </c>
      <c r="O114" s="286">
        <v>139</v>
      </c>
      <c r="P114" s="286">
        <v>199</v>
      </c>
      <c r="Q114" s="286">
        <v>842</v>
      </c>
      <c r="R114" s="286">
        <v>631</v>
      </c>
      <c r="S114" s="286">
        <v>211</v>
      </c>
      <c r="T114" s="286">
        <v>533</v>
      </c>
      <c r="U114" s="286">
        <v>394</v>
      </c>
      <c r="V114" s="286">
        <v>139</v>
      </c>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c r="CG114" s="286"/>
      <c r="CH114" s="286"/>
      <c r="CI114" s="286"/>
      <c r="CJ114" s="286"/>
      <c r="CK114" s="286"/>
      <c r="CL114" s="286"/>
      <c r="CM114" s="286"/>
      <c r="CN114" s="286"/>
      <c r="CO114" s="286"/>
      <c r="CP114" s="286"/>
      <c r="CQ114" s="286"/>
      <c r="CR114" s="286"/>
      <c r="CS114" s="286"/>
      <c r="CT114" s="286"/>
      <c r="CU114" s="286"/>
      <c r="CV114" s="286"/>
      <c r="CW114" s="286"/>
      <c r="CX114" s="286"/>
      <c r="CY114" s="286"/>
      <c r="CZ114" s="286"/>
      <c r="DA114" s="286"/>
      <c r="DB114" s="286"/>
      <c r="DC114" s="286"/>
      <c r="DD114" s="286"/>
      <c r="DE114" s="286"/>
      <c r="DF114" s="286"/>
      <c r="DG114" s="286"/>
      <c r="DH114" s="286"/>
      <c r="DI114" s="286"/>
      <c r="DJ114" s="286"/>
      <c r="DK114" s="286"/>
      <c r="DL114" s="286"/>
      <c r="DM114" s="286"/>
      <c r="DN114" s="286"/>
      <c r="DO114" s="286"/>
      <c r="DP114" s="286"/>
      <c r="DQ114" s="286"/>
      <c r="DR114" s="286"/>
      <c r="DS114" s="286"/>
      <c r="DT114" s="286"/>
      <c r="DU114" s="286"/>
      <c r="DV114" s="286"/>
      <c r="DW114" s="286"/>
      <c r="DX114" s="286"/>
      <c r="DY114" s="286"/>
      <c r="DZ114" s="286"/>
      <c r="EA114" s="286"/>
      <c r="EB114" s="286"/>
      <c r="EC114" s="286"/>
      <c r="ED114" s="286"/>
      <c r="EE114" s="286"/>
      <c r="EF114" s="286"/>
      <c r="EG114" s="286"/>
      <c r="EH114" s="286"/>
      <c r="EI114" s="286"/>
      <c r="EJ114" s="286"/>
      <c r="EK114" s="286"/>
      <c r="EL114" s="286"/>
      <c r="EM114" s="286"/>
      <c r="EN114" s="286"/>
      <c r="EO114" s="286"/>
      <c r="EP114" s="286"/>
      <c r="EQ114" s="286"/>
      <c r="ER114" s="286"/>
      <c r="ES114" s="286"/>
      <c r="ET114" s="286"/>
      <c r="EU114" s="286"/>
      <c r="EV114" s="286"/>
      <c r="EW114" s="286"/>
      <c r="EX114" s="286"/>
      <c r="EY114" s="286"/>
      <c r="EZ114" s="286"/>
      <c r="FA114" s="286"/>
      <c r="FB114" s="286"/>
      <c r="FC114" s="286"/>
      <c r="FD114" s="286"/>
      <c r="FE114" s="286"/>
      <c r="FF114" s="286"/>
      <c r="FG114" s="286"/>
      <c r="FH114" s="286"/>
      <c r="FI114" s="286"/>
      <c r="FJ114" s="286"/>
      <c r="FK114" s="286"/>
      <c r="FL114" s="286"/>
      <c r="FM114" s="286"/>
      <c r="FN114" s="286"/>
      <c r="FO114" s="286"/>
      <c r="FP114" s="286"/>
      <c r="FQ114" s="286"/>
      <c r="FR114" s="286"/>
      <c r="FS114" s="286"/>
    </row>
    <row r="115" spans="1:175">
      <c r="A115" s="212" t="s">
        <v>3159</v>
      </c>
      <c r="B115" s="212" t="s">
        <v>3160</v>
      </c>
      <c r="C115" s="212" t="s">
        <v>3172</v>
      </c>
      <c r="D115" s="212" t="s">
        <v>3233</v>
      </c>
      <c r="E115" s="212" t="s">
        <v>3276</v>
      </c>
      <c r="F115" s="278">
        <v>1974</v>
      </c>
      <c r="G115" s="278">
        <v>20017</v>
      </c>
      <c r="H115" s="287">
        <f t="shared" si="1"/>
        <v>1.7984712993955136</v>
      </c>
      <c r="I115" s="286">
        <v>44</v>
      </c>
      <c r="J115" s="286">
        <v>360</v>
      </c>
      <c r="K115" s="286">
        <v>207</v>
      </c>
      <c r="L115" s="286">
        <v>153</v>
      </c>
      <c r="M115" s="286">
        <v>287</v>
      </c>
      <c r="N115" s="286">
        <v>153</v>
      </c>
      <c r="O115" s="286">
        <v>134</v>
      </c>
      <c r="P115" s="286">
        <v>44</v>
      </c>
      <c r="Q115" s="286">
        <v>360</v>
      </c>
      <c r="R115" s="286">
        <v>207</v>
      </c>
      <c r="S115" s="286">
        <v>153</v>
      </c>
      <c r="T115" s="286">
        <v>287</v>
      </c>
      <c r="U115" s="286">
        <v>153</v>
      </c>
      <c r="V115" s="286">
        <v>134</v>
      </c>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c r="CG115" s="286"/>
      <c r="CH115" s="286"/>
      <c r="CI115" s="286"/>
      <c r="CJ115" s="286"/>
      <c r="CK115" s="286"/>
      <c r="CL115" s="286"/>
      <c r="CM115" s="286"/>
      <c r="CN115" s="286"/>
      <c r="CO115" s="286"/>
      <c r="CP115" s="286"/>
      <c r="CQ115" s="286"/>
      <c r="CR115" s="286"/>
      <c r="CS115" s="286"/>
      <c r="CT115" s="286"/>
      <c r="CU115" s="286"/>
      <c r="CV115" s="286"/>
      <c r="CW115" s="286"/>
      <c r="CX115" s="286"/>
      <c r="CY115" s="286"/>
      <c r="CZ115" s="286"/>
      <c r="DA115" s="286"/>
      <c r="DB115" s="286"/>
      <c r="DC115" s="286"/>
      <c r="DD115" s="286"/>
      <c r="DE115" s="286"/>
      <c r="DF115" s="286"/>
      <c r="DG115" s="286"/>
      <c r="DH115" s="286"/>
      <c r="DI115" s="286"/>
      <c r="DJ115" s="286"/>
      <c r="DK115" s="286"/>
      <c r="DL115" s="286"/>
      <c r="DM115" s="286"/>
      <c r="DN115" s="286"/>
      <c r="DO115" s="286"/>
      <c r="DP115" s="286"/>
      <c r="DQ115" s="286"/>
      <c r="DR115" s="286"/>
      <c r="DS115" s="286"/>
      <c r="DT115" s="286"/>
      <c r="DU115" s="286"/>
      <c r="DV115" s="286"/>
      <c r="DW115" s="286"/>
      <c r="DX115" s="286"/>
      <c r="DY115" s="286"/>
      <c r="DZ115" s="286"/>
      <c r="EA115" s="286"/>
      <c r="EB115" s="286"/>
      <c r="EC115" s="286"/>
      <c r="ED115" s="286"/>
      <c r="EE115" s="286"/>
      <c r="EF115" s="286"/>
      <c r="EG115" s="286"/>
      <c r="EH115" s="286"/>
      <c r="EI115" s="286"/>
      <c r="EJ115" s="286"/>
      <c r="EK115" s="286"/>
      <c r="EL115" s="286"/>
      <c r="EM115" s="286"/>
      <c r="EN115" s="286"/>
      <c r="EO115" s="286"/>
      <c r="EP115" s="286"/>
      <c r="EQ115" s="286"/>
      <c r="ER115" s="286"/>
      <c r="ES115" s="286"/>
      <c r="ET115" s="286"/>
      <c r="EU115" s="286"/>
      <c r="EV115" s="286"/>
      <c r="EW115" s="286"/>
      <c r="EX115" s="286"/>
      <c r="EY115" s="286"/>
      <c r="EZ115" s="286"/>
      <c r="FA115" s="286"/>
      <c r="FB115" s="286"/>
      <c r="FC115" s="286"/>
      <c r="FD115" s="286"/>
      <c r="FE115" s="286"/>
      <c r="FF115" s="286"/>
      <c r="FG115" s="286"/>
      <c r="FH115" s="286"/>
      <c r="FI115" s="286"/>
      <c r="FJ115" s="286"/>
      <c r="FK115" s="286"/>
      <c r="FL115" s="286"/>
      <c r="FM115" s="286"/>
      <c r="FN115" s="286"/>
      <c r="FO115" s="286"/>
      <c r="FP115" s="286"/>
      <c r="FQ115" s="286"/>
      <c r="FR115" s="286"/>
      <c r="FS115" s="286"/>
    </row>
    <row r="116" spans="1:175">
      <c r="A116" s="212" t="s">
        <v>3159</v>
      </c>
      <c r="B116" s="212" t="s">
        <v>3160</v>
      </c>
      <c r="C116" s="212" t="s">
        <v>3170</v>
      </c>
      <c r="D116" s="212" t="s">
        <v>3233</v>
      </c>
      <c r="E116" s="212" t="s">
        <v>3277</v>
      </c>
      <c r="F116" s="278">
        <v>9840</v>
      </c>
      <c r="G116" s="278">
        <v>212289</v>
      </c>
      <c r="H116" s="287">
        <f t="shared" si="1"/>
        <v>3.8023637588381876</v>
      </c>
      <c r="I116" s="286">
        <v>317</v>
      </c>
      <c r="J116" s="286">
        <v>8072</v>
      </c>
      <c r="K116" s="286">
        <v>5977</v>
      </c>
      <c r="L116" s="286">
        <v>2095</v>
      </c>
      <c r="M116" s="286">
        <v>7540</v>
      </c>
      <c r="N116" s="286">
        <v>5598</v>
      </c>
      <c r="O116" s="286">
        <v>1942</v>
      </c>
      <c r="P116" s="286">
        <v>317</v>
      </c>
      <c r="Q116" s="286">
        <v>8072</v>
      </c>
      <c r="R116" s="286">
        <v>5977</v>
      </c>
      <c r="S116" s="286">
        <v>2095</v>
      </c>
      <c r="T116" s="286">
        <v>7540</v>
      </c>
      <c r="U116" s="286">
        <v>5598</v>
      </c>
      <c r="V116" s="286">
        <v>1942</v>
      </c>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c r="CG116" s="286"/>
      <c r="CH116" s="286"/>
      <c r="CI116" s="286"/>
      <c r="CJ116" s="286"/>
      <c r="CK116" s="286"/>
      <c r="CL116" s="286"/>
      <c r="CM116" s="286"/>
      <c r="CN116" s="286"/>
      <c r="CO116" s="286"/>
      <c r="CP116" s="286"/>
      <c r="CQ116" s="286"/>
      <c r="CR116" s="286"/>
      <c r="CS116" s="286"/>
      <c r="CT116" s="286"/>
      <c r="CU116" s="286"/>
      <c r="CV116" s="286"/>
      <c r="CW116" s="286"/>
      <c r="CX116" s="286"/>
      <c r="CY116" s="286"/>
      <c r="CZ116" s="286"/>
      <c r="DA116" s="286"/>
      <c r="DB116" s="286"/>
      <c r="DC116" s="286"/>
      <c r="DD116" s="286"/>
      <c r="DE116" s="286"/>
      <c r="DF116" s="286"/>
      <c r="DG116" s="286"/>
      <c r="DH116" s="286"/>
      <c r="DI116" s="286"/>
      <c r="DJ116" s="286"/>
      <c r="DK116" s="286"/>
      <c r="DL116" s="286"/>
      <c r="DM116" s="286"/>
      <c r="DN116" s="286"/>
      <c r="DO116" s="286"/>
      <c r="DP116" s="286"/>
      <c r="DQ116" s="286"/>
      <c r="DR116" s="286"/>
      <c r="DS116" s="286"/>
      <c r="DT116" s="286"/>
      <c r="DU116" s="286"/>
      <c r="DV116" s="286"/>
      <c r="DW116" s="286"/>
      <c r="DX116" s="286"/>
      <c r="DY116" s="286"/>
      <c r="DZ116" s="286"/>
      <c r="EA116" s="286"/>
      <c r="EB116" s="286"/>
      <c r="EC116" s="286"/>
      <c r="ED116" s="286"/>
      <c r="EE116" s="286"/>
      <c r="EF116" s="286"/>
      <c r="EG116" s="286"/>
      <c r="EH116" s="286"/>
      <c r="EI116" s="286"/>
      <c r="EJ116" s="286"/>
      <c r="EK116" s="286"/>
      <c r="EL116" s="286"/>
      <c r="EM116" s="286"/>
      <c r="EN116" s="286"/>
      <c r="EO116" s="286"/>
      <c r="EP116" s="286"/>
      <c r="EQ116" s="286"/>
      <c r="ER116" s="286"/>
      <c r="ES116" s="286"/>
      <c r="ET116" s="286"/>
      <c r="EU116" s="286"/>
      <c r="EV116" s="286"/>
      <c r="EW116" s="286"/>
      <c r="EX116" s="286"/>
      <c r="EY116" s="286"/>
      <c r="EZ116" s="286"/>
      <c r="FA116" s="286"/>
      <c r="FB116" s="286"/>
      <c r="FC116" s="286"/>
      <c r="FD116" s="286"/>
      <c r="FE116" s="286"/>
      <c r="FF116" s="286"/>
      <c r="FG116" s="286"/>
      <c r="FH116" s="286"/>
      <c r="FI116" s="286"/>
      <c r="FJ116" s="286"/>
      <c r="FK116" s="286"/>
      <c r="FL116" s="286"/>
      <c r="FM116" s="286"/>
      <c r="FN116" s="286"/>
      <c r="FO116" s="286"/>
      <c r="FP116" s="286"/>
      <c r="FQ116" s="286"/>
      <c r="FR116" s="286"/>
      <c r="FS116" s="286"/>
    </row>
    <row r="117" spans="1:175">
      <c r="A117" s="212" t="s">
        <v>3159</v>
      </c>
      <c r="B117" s="212" t="s">
        <v>3160</v>
      </c>
      <c r="C117" s="212" t="s">
        <v>3172</v>
      </c>
      <c r="D117" s="212" t="s">
        <v>3233</v>
      </c>
      <c r="E117" s="212" t="s">
        <v>3278</v>
      </c>
      <c r="F117" s="278">
        <v>214</v>
      </c>
      <c r="G117" s="278">
        <v>3951</v>
      </c>
      <c r="H117" s="287">
        <f t="shared" si="1"/>
        <v>1.8223234624145785</v>
      </c>
      <c r="I117" s="286">
        <v>4</v>
      </c>
      <c r="J117" s="286">
        <v>72</v>
      </c>
      <c r="K117" s="286">
        <v>61</v>
      </c>
      <c r="L117" s="286">
        <v>11</v>
      </c>
      <c r="M117" s="286">
        <v>59</v>
      </c>
      <c r="N117" s="286">
        <v>48</v>
      </c>
      <c r="O117" s="286">
        <v>11</v>
      </c>
      <c r="P117" s="286">
        <v>4</v>
      </c>
      <c r="Q117" s="286">
        <v>72</v>
      </c>
      <c r="R117" s="286">
        <v>61</v>
      </c>
      <c r="S117" s="286">
        <v>11</v>
      </c>
      <c r="T117" s="286">
        <v>59</v>
      </c>
      <c r="U117" s="286">
        <v>48</v>
      </c>
      <c r="V117" s="286">
        <v>11</v>
      </c>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c r="CG117" s="286"/>
      <c r="CH117" s="286"/>
      <c r="CI117" s="286"/>
      <c r="CJ117" s="286"/>
      <c r="CK117" s="286"/>
      <c r="CL117" s="286"/>
      <c r="CM117" s="286"/>
      <c r="CN117" s="286"/>
      <c r="CO117" s="286"/>
      <c r="CP117" s="286"/>
      <c r="CQ117" s="286"/>
      <c r="CR117" s="286"/>
      <c r="CS117" s="286"/>
      <c r="CT117" s="286"/>
      <c r="CU117" s="286"/>
      <c r="CV117" s="286"/>
      <c r="CW117" s="286"/>
      <c r="CX117" s="286"/>
      <c r="CY117" s="286"/>
      <c r="CZ117" s="286"/>
      <c r="DA117" s="286"/>
      <c r="DB117" s="286"/>
      <c r="DC117" s="286"/>
      <c r="DD117" s="286"/>
      <c r="DE117" s="286"/>
      <c r="DF117" s="286"/>
      <c r="DG117" s="286"/>
      <c r="DH117" s="286"/>
      <c r="DI117" s="286"/>
      <c r="DJ117" s="286"/>
      <c r="DK117" s="286"/>
      <c r="DL117" s="286"/>
      <c r="DM117" s="286"/>
      <c r="DN117" s="286"/>
      <c r="DO117" s="286"/>
      <c r="DP117" s="286"/>
      <c r="DQ117" s="286"/>
      <c r="DR117" s="286"/>
      <c r="DS117" s="286"/>
      <c r="DT117" s="286"/>
      <c r="DU117" s="286"/>
      <c r="DV117" s="286"/>
      <c r="DW117" s="286"/>
      <c r="DX117" s="286"/>
      <c r="DY117" s="286"/>
      <c r="DZ117" s="286"/>
      <c r="EA117" s="286"/>
      <c r="EB117" s="286"/>
      <c r="EC117" s="286"/>
      <c r="ED117" s="286"/>
      <c r="EE117" s="286"/>
      <c r="EF117" s="286"/>
      <c r="EG117" s="286"/>
      <c r="EH117" s="286"/>
      <c r="EI117" s="286"/>
      <c r="EJ117" s="286"/>
      <c r="EK117" s="286"/>
      <c r="EL117" s="286"/>
      <c r="EM117" s="286"/>
      <c r="EN117" s="286"/>
      <c r="EO117" s="286"/>
      <c r="EP117" s="286"/>
      <c r="EQ117" s="286"/>
      <c r="ER117" s="286"/>
      <c r="ES117" s="286"/>
      <c r="ET117" s="286"/>
      <c r="EU117" s="286"/>
      <c r="EV117" s="286"/>
      <c r="EW117" s="286"/>
      <c r="EX117" s="286"/>
      <c r="EY117" s="286"/>
      <c r="EZ117" s="286"/>
      <c r="FA117" s="286"/>
      <c r="FB117" s="286"/>
      <c r="FC117" s="286"/>
      <c r="FD117" s="286"/>
      <c r="FE117" s="286"/>
      <c r="FF117" s="286"/>
      <c r="FG117" s="286"/>
      <c r="FH117" s="286"/>
      <c r="FI117" s="286"/>
      <c r="FJ117" s="286"/>
      <c r="FK117" s="286"/>
      <c r="FL117" s="286"/>
      <c r="FM117" s="286"/>
      <c r="FN117" s="286"/>
      <c r="FO117" s="286"/>
      <c r="FP117" s="286"/>
      <c r="FQ117" s="286"/>
      <c r="FR117" s="286"/>
      <c r="FS117" s="286"/>
    </row>
    <row r="118" spans="1:175">
      <c r="A118" s="212" t="s">
        <v>3159</v>
      </c>
      <c r="B118" s="212" t="s">
        <v>3160</v>
      </c>
      <c r="C118" s="212" t="s">
        <v>3172</v>
      </c>
      <c r="D118" s="212" t="s">
        <v>3233</v>
      </c>
      <c r="E118" s="212" t="s">
        <v>3279</v>
      </c>
      <c r="F118" s="278">
        <v>57</v>
      </c>
      <c r="G118" s="278">
        <v>3187</v>
      </c>
      <c r="H118" s="287">
        <f t="shared" si="1"/>
        <v>6.432381550047066</v>
      </c>
      <c r="I118" s="286">
        <v>4</v>
      </c>
      <c r="J118" s="286">
        <v>205</v>
      </c>
      <c r="K118" s="286">
        <v>184</v>
      </c>
      <c r="L118" s="286">
        <v>21</v>
      </c>
      <c r="M118" s="286">
        <v>195</v>
      </c>
      <c r="N118" s="286">
        <v>175</v>
      </c>
      <c r="O118" s="286">
        <v>20</v>
      </c>
      <c r="P118" s="286">
        <v>4</v>
      </c>
      <c r="Q118" s="286">
        <v>205</v>
      </c>
      <c r="R118" s="286">
        <v>184</v>
      </c>
      <c r="S118" s="286">
        <v>21</v>
      </c>
      <c r="T118" s="286">
        <v>195</v>
      </c>
      <c r="U118" s="286">
        <v>175</v>
      </c>
      <c r="V118" s="286">
        <v>20</v>
      </c>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c r="CG118" s="286"/>
      <c r="CH118" s="286"/>
      <c r="CI118" s="286"/>
      <c r="CJ118" s="286"/>
      <c r="CK118" s="286"/>
      <c r="CL118" s="286"/>
      <c r="CM118" s="286"/>
      <c r="CN118" s="286"/>
      <c r="CO118" s="286"/>
      <c r="CP118" s="286"/>
      <c r="CQ118" s="286"/>
      <c r="CR118" s="286"/>
      <c r="CS118" s="286"/>
      <c r="CT118" s="286"/>
      <c r="CU118" s="286"/>
      <c r="CV118" s="286"/>
      <c r="CW118" s="286"/>
      <c r="CX118" s="286"/>
      <c r="CY118" s="286"/>
      <c r="CZ118" s="286"/>
      <c r="DA118" s="286"/>
      <c r="DB118" s="286"/>
      <c r="DC118" s="286"/>
      <c r="DD118" s="286"/>
      <c r="DE118" s="286"/>
      <c r="DF118" s="286"/>
      <c r="DG118" s="286"/>
      <c r="DH118" s="286"/>
      <c r="DI118" s="286"/>
      <c r="DJ118" s="286"/>
      <c r="DK118" s="286"/>
      <c r="DL118" s="286"/>
      <c r="DM118" s="286"/>
      <c r="DN118" s="286"/>
      <c r="DO118" s="286"/>
      <c r="DP118" s="286"/>
      <c r="DQ118" s="286"/>
      <c r="DR118" s="286"/>
      <c r="DS118" s="286"/>
      <c r="DT118" s="286"/>
      <c r="DU118" s="286"/>
      <c r="DV118" s="286"/>
      <c r="DW118" s="286"/>
      <c r="DX118" s="286"/>
      <c r="DY118" s="286"/>
      <c r="DZ118" s="286"/>
      <c r="EA118" s="286"/>
      <c r="EB118" s="286"/>
      <c r="EC118" s="286"/>
      <c r="ED118" s="286"/>
      <c r="EE118" s="286"/>
      <c r="EF118" s="286"/>
      <c r="EG118" s="286"/>
      <c r="EH118" s="286"/>
      <c r="EI118" s="286"/>
      <c r="EJ118" s="286"/>
      <c r="EK118" s="286"/>
      <c r="EL118" s="286"/>
      <c r="EM118" s="286"/>
      <c r="EN118" s="286"/>
      <c r="EO118" s="286"/>
      <c r="EP118" s="286"/>
      <c r="EQ118" s="286"/>
      <c r="ER118" s="286"/>
      <c r="ES118" s="286"/>
      <c r="ET118" s="286"/>
      <c r="EU118" s="286"/>
      <c r="EV118" s="286"/>
      <c r="EW118" s="286"/>
      <c r="EX118" s="286"/>
      <c r="EY118" s="286"/>
      <c r="EZ118" s="286"/>
      <c r="FA118" s="286"/>
      <c r="FB118" s="286"/>
      <c r="FC118" s="286"/>
      <c r="FD118" s="286"/>
      <c r="FE118" s="286"/>
      <c r="FF118" s="286"/>
      <c r="FG118" s="286"/>
      <c r="FH118" s="286"/>
      <c r="FI118" s="286"/>
      <c r="FJ118" s="286"/>
      <c r="FK118" s="286"/>
      <c r="FL118" s="286"/>
      <c r="FM118" s="286"/>
      <c r="FN118" s="286"/>
      <c r="FO118" s="286"/>
      <c r="FP118" s="286"/>
      <c r="FQ118" s="286"/>
      <c r="FR118" s="286"/>
      <c r="FS118" s="286"/>
    </row>
    <row r="119" spans="1:175">
      <c r="A119" s="212" t="s">
        <v>3159</v>
      </c>
      <c r="B119" s="212" t="s">
        <v>3160</v>
      </c>
      <c r="C119" s="212" t="s">
        <v>3172</v>
      </c>
      <c r="D119" s="212" t="s">
        <v>3233</v>
      </c>
      <c r="E119" s="212" t="s">
        <v>3280</v>
      </c>
      <c r="F119" s="278">
        <v>627</v>
      </c>
      <c r="G119" s="278">
        <v>31842</v>
      </c>
      <c r="H119" s="287">
        <f t="shared" si="1"/>
        <v>3.5016644683122919</v>
      </c>
      <c r="I119" s="286">
        <v>16</v>
      </c>
      <c r="J119" s="286">
        <v>1115</v>
      </c>
      <c r="K119" s="286">
        <v>966</v>
      </c>
      <c r="L119" s="286">
        <v>149</v>
      </c>
      <c r="M119" s="286">
        <v>1095</v>
      </c>
      <c r="N119" s="286">
        <v>950</v>
      </c>
      <c r="O119" s="286">
        <v>145</v>
      </c>
      <c r="P119" s="286">
        <v>16</v>
      </c>
      <c r="Q119" s="286">
        <v>1115</v>
      </c>
      <c r="R119" s="286">
        <v>966</v>
      </c>
      <c r="S119" s="286">
        <v>149</v>
      </c>
      <c r="T119" s="286">
        <v>1095</v>
      </c>
      <c r="U119" s="286">
        <v>950</v>
      </c>
      <c r="V119" s="286">
        <v>145</v>
      </c>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c r="CG119" s="286"/>
      <c r="CH119" s="286"/>
      <c r="CI119" s="286"/>
      <c r="CJ119" s="286"/>
      <c r="CK119" s="286"/>
      <c r="CL119" s="286"/>
      <c r="CM119" s="286"/>
      <c r="CN119" s="286"/>
      <c r="CO119" s="286"/>
      <c r="CP119" s="286"/>
      <c r="CQ119" s="286"/>
      <c r="CR119" s="286"/>
      <c r="CS119" s="286"/>
      <c r="CT119" s="286"/>
      <c r="CU119" s="286"/>
      <c r="CV119" s="286"/>
      <c r="CW119" s="286"/>
      <c r="CX119" s="286"/>
      <c r="CY119" s="286"/>
      <c r="CZ119" s="286"/>
      <c r="DA119" s="286"/>
      <c r="DB119" s="286"/>
      <c r="DC119" s="286"/>
      <c r="DD119" s="286"/>
      <c r="DE119" s="286"/>
      <c r="DF119" s="286"/>
      <c r="DG119" s="286"/>
      <c r="DH119" s="286"/>
      <c r="DI119" s="286"/>
      <c r="DJ119" s="286"/>
      <c r="DK119" s="286"/>
      <c r="DL119" s="286"/>
      <c r="DM119" s="286"/>
      <c r="DN119" s="286"/>
      <c r="DO119" s="286"/>
      <c r="DP119" s="286"/>
      <c r="DQ119" s="286"/>
      <c r="DR119" s="286"/>
      <c r="DS119" s="286"/>
      <c r="DT119" s="286"/>
      <c r="DU119" s="286"/>
      <c r="DV119" s="286"/>
      <c r="DW119" s="286"/>
      <c r="DX119" s="286"/>
      <c r="DY119" s="286"/>
      <c r="DZ119" s="286"/>
      <c r="EA119" s="286"/>
      <c r="EB119" s="286"/>
      <c r="EC119" s="286"/>
      <c r="ED119" s="286"/>
      <c r="EE119" s="286"/>
      <c r="EF119" s="286"/>
      <c r="EG119" s="286"/>
      <c r="EH119" s="286"/>
      <c r="EI119" s="286"/>
      <c r="EJ119" s="286"/>
      <c r="EK119" s="286"/>
      <c r="EL119" s="286"/>
      <c r="EM119" s="286"/>
      <c r="EN119" s="286"/>
      <c r="EO119" s="286"/>
      <c r="EP119" s="286"/>
      <c r="EQ119" s="286"/>
      <c r="ER119" s="286"/>
      <c r="ES119" s="286"/>
      <c r="ET119" s="286"/>
      <c r="EU119" s="286"/>
      <c r="EV119" s="286"/>
      <c r="EW119" s="286"/>
      <c r="EX119" s="286"/>
      <c r="EY119" s="286"/>
      <c r="EZ119" s="286"/>
      <c r="FA119" s="286"/>
      <c r="FB119" s="286"/>
      <c r="FC119" s="286"/>
      <c r="FD119" s="286"/>
      <c r="FE119" s="286"/>
      <c r="FF119" s="286"/>
      <c r="FG119" s="286"/>
      <c r="FH119" s="286"/>
      <c r="FI119" s="286"/>
      <c r="FJ119" s="286"/>
      <c r="FK119" s="286"/>
      <c r="FL119" s="286"/>
      <c r="FM119" s="286"/>
      <c r="FN119" s="286"/>
      <c r="FO119" s="286"/>
      <c r="FP119" s="286"/>
      <c r="FQ119" s="286"/>
      <c r="FR119" s="286"/>
      <c r="FS119" s="286"/>
    </row>
    <row r="120" spans="1:175">
      <c r="A120" s="212" t="s">
        <v>3159</v>
      </c>
      <c r="B120" s="212" t="s">
        <v>3160</v>
      </c>
      <c r="C120" s="212" t="s">
        <v>3172</v>
      </c>
      <c r="D120" s="212" t="s">
        <v>3233</v>
      </c>
      <c r="E120" s="212" t="s">
        <v>3281</v>
      </c>
      <c r="F120" s="278">
        <v>570</v>
      </c>
      <c r="G120" s="278">
        <v>13055</v>
      </c>
      <c r="H120" s="287">
        <f t="shared" si="1"/>
        <v>5.0402144772117961</v>
      </c>
      <c r="I120" s="286">
        <v>21</v>
      </c>
      <c r="J120" s="286">
        <v>658</v>
      </c>
      <c r="K120" s="286">
        <v>527</v>
      </c>
      <c r="L120" s="286">
        <v>131</v>
      </c>
      <c r="M120" s="286">
        <v>624</v>
      </c>
      <c r="N120" s="286">
        <v>505</v>
      </c>
      <c r="O120" s="286">
        <v>119</v>
      </c>
      <c r="P120" s="286">
        <v>21</v>
      </c>
      <c r="Q120" s="286">
        <v>658</v>
      </c>
      <c r="R120" s="286">
        <v>527</v>
      </c>
      <c r="S120" s="286">
        <v>131</v>
      </c>
      <c r="T120" s="286">
        <v>624</v>
      </c>
      <c r="U120" s="286">
        <v>505</v>
      </c>
      <c r="V120" s="286">
        <v>119</v>
      </c>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86"/>
      <c r="CY120" s="286"/>
      <c r="CZ120" s="286"/>
      <c r="DA120" s="286"/>
      <c r="DB120" s="286"/>
      <c r="DC120" s="286"/>
      <c r="DD120" s="286"/>
      <c r="DE120" s="286"/>
      <c r="DF120" s="286"/>
      <c r="DG120" s="286"/>
      <c r="DH120" s="286"/>
      <c r="DI120" s="286"/>
      <c r="DJ120" s="286"/>
      <c r="DK120" s="286"/>
      <c r="DL120" s="286"/>
      <c r="DM120" s="286"/>
      <c r="DN120" s="286"/>
      <c r="DO120" s="286"/>
      <c r="DP120" s="286"/>
      <c r="DQ120" s="286"/>
      <c r="DR120" s="286"/>
      <c r="DS120" s="286"/>
      <c r="DT120" s="286"/>
      <c r="DU120" s="286"/>
      <c r="DV120" s="286"/>
      <c r="DW120" s="286"/>
      <c r="DX120" s="286"/>
      <c r="DY120" s="286"/>
      <c r="DZ120" s="286"/>
      <c r="EA120" s="286"/>
      <c r="EB120" s="286"/>
      <c r="EC120" s="286"/>
      <c r="ED120" s="286"/>
      <c r="EE120" s="286"/>
      <c r="EF120" s="286"/>
      <c r="EG120" s="286"/>
      <c r="EH120" s="286"/>
      <c r="EI120" s="286"/>
      <c r="EJ120" s="286"/>
      <c r="EK120" s="286"/>
      <c r="EL120" s="286"/>
      <c r="EM120" s="286"/>
      <c r="EN120" s="286"/>
      <c r="EO120" s="286"/>
      <c r="EP120" s="286"/>
      <c r="EQ120" s="286"/>
      <c r="ER120" s="286"/>
      <c r="ES120" s="286"/>
      <c r="ET120" s="286"/>
      <c r="EU120" s="286"/>
      <c r="EV120" s="286"/>
      <c r="EW120" s="286"/>
      <c r="EX120" s="286"/>
      <c r="EY120" s="286"/>
      <c r="EZ120" s="286"/>
      <c r="FA120" s="286"/>
      <c r="FB120" s="286"/>
      <c r="FC120" s="286"/>
      <c r="FD120" s="286"/>
      <c r="FE120" s="286"/>
      <c r="FF120" s="286"/>
      <c r="FG120" s="286"/>
      <c r="FH120" s="286"/>
      <c r="FI120" s="286"/>
      <c r="FJ120" s="286"/>
      <c r="FK120" s="286"/>
      <c r="FL120" s="286"/>
      <c r="FM120" s="286"/>
      <c r="FN120" s="286"/>
      <c r="FO120" s="286"/>
      <c r="FP120" s="286"/>
      <c r="FQ120" s="286"/>
      <c r="FR120" s="286"/>
      <c r="FS120" s="286"/>
    </row>
    <row r="121" spans="1:175">
      <c r="A121" s="212" t="s">
        <v>3159</v>
      </c>
      <c r="B121" s="212" t="s">
        <v>3160</v>
      </c>
      <c r="C121" s="212" t="s">
        <v>3172</v>
      </c>
      <c r="D121" s="212" t="s">
        <v>3233</v>
      </c>
      <c r="E121" s="212" t="s">
        <v>3282</v>
      </c>
      <c r="F121" s="278">
        <v>1484</v>
      </c>
      <c r="G121" s="278">
        <v>23085</v>
      </c>
      <c r="H121" s="287">
        <f t="shared" si="1"/>
        <v>1.5681178254277668</v>
      </c>
      <c r="I121" s="286">
        <v>29</v>
      </c>
      <c r="J121" s="286">
        <v>362</v>
      </c>
      <c r="K121" s="286">
        <v>183</v>
      </c>
      <c r="L121" s="286">
        <v>179</v>
      </c>
      <c r="M121" s="286">
        <v>321</v>
      </c>
      <c r="N121" s="286">
        <v>156</v>
      </c>
      <c r="O121" s="286">
        <v>165</v>
      </c>
      <c r="P121" s="286">
        <v>29</v>
      </c>
      <c r="Q121" s="286">
        <v>362</v>
      </c>
      <c r="R121" s="286">
        <v>183</v>
      </c>
      <c r="S121" s="286">
        <v>179</v>
      </c>
      <c r="T121" s="286">
        <v>321</v>
      </c>
      <c r="U121" s="286">
        <v>156</v>
      </c>
      <c r="V121" s="286">
        <v>165</v>
      </c>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c r="CG121" s="286"/>
      <c r="CH121" s="286"/>
      <c r="CI121" s="286"/>
      <c r="CJ121" s="286"/>
      <c r="CK121" s="286"/>
      <c r="CL121" s="286"/>
      <c r="CM121" s="286"/>
      <c r="CN121" s="286"/>
      <c r="CO121" s="286"/>
      <c r="CP121" s="286"/>
      <c r="CQ121" s="286"/>
      <c r="CR121" s="286"/>
      <c r="CS121" s="286"/>
      <c r="CT121" s="286"/>
      <c r="CU121" s="286"/>
      <c r="CV121" s="286"/>
      <c r="CW121" s="286"/>
      <c r="CX121" s="286"/>
      <c r="CY121" s="286"/>
      <c r="CZ121" s="286"/>
      <c r="DA121" s="286"/>
      <c r="DB121" s="286"/>
      <c r="DC121" s="286"/>
      <c r="DD121" s="286"/>
      <c r="DE121" s="286"/>
      <c r="DF121" s="286"/>
      <c r="DG121" s="286"/>
      <c r="DH121" s="286"/>
      <c r="DI121" s="286"/>
      <c r="DJ121" s="286"/>
      <c r="DK121" s="286"/>
      <c r="DL121" s="286"/>
      <c r="DM121" s="286"/>
      <c r="DN121" s="286"/>
      <c r="DO121" s="286"/>
      <c r="DP121" s="286"/>
      <c r="DQ121" s="286"/>
      <c r="DR121" s="286"/>
      <c r="DS121" s="286"/>
      <c r="DT121" s="286"/>
      <c r="DU121" s="286"/>
      <c r="DV121" s="286"/>
      <c r="DW121" s="286"/>
      <c r="DX121" s="286"/>
      <c r="DY121" s="286"/>
      <c r="DZ121" s="286"/>
      <c r="EA121" s="286"/>
      <c r="EB121" s="286"/>
      <c r="EC121" s="286"/>
      <c r="ED121" s="286"/>
      <c r="EE121" s="286"/>
      <c r="EF121" s="286"/>
      <c r="EG121" s="286"/>
      <c r="EH121" s="286"/>
      <c r="EI121" s="286"/>
      <c r="EJ121" s="286"/>
      <c r="EK121" s="286"/>
      <c r="EL121" s="286"/>
      <c r="EM121" s="286"/>
      <c r="EN121" s="286"/>
      <c r="EO121" s="286"/>
      <c r="EP121" s="286"/>
      <c r="EQ121" s="286"/>
      <c r="ER121" s="286"/>
      <c r="ES121" s="286"/>
      <c r="ET121" s="286"/>
      <c r="EU121" s="286"/>
      <c r="EV121" s="286"/>
      <c r="EW121" s="286"/>
      <c r="EX121" s="286"/>
      <c r="EY121" s="286"/>
      <c r="EZ121" s="286"/>
      <c r="FA121" s="286"/>
      <c r="FB121" s="286"/>
      <c r="FC121" s="286"/>
      <c r="FD121" s="286"/>
      <c r="FE121" s="286"/>
      <c r="FF121" s="286"/>
      <c r="FG121" s="286"/>
      <c r="FH121" s="286"/>
      <c r="FI121" s="286"/>
      <c r="FJ121" s="286"/>
      <c r="FK121" s="286"/>
      <c r="FL121" s="286"/>
      <c r="FM121" s="286"/>
      <c r="FN121" s="286"/>
      <c r="FO121" s="286"/>
      <c r="FP121" s="286"/>
      <c r="FQ121" s="286"/>
      <c r="FR121" s="286"/>
      <c r="FS121" s="286"/>
    </row>
    <row r="122" spans="1:175">
      <c r="A122" s="212" t="s">
        <v>3159</v>
      </c>
      <c r="B122" s="212" t="s">
        <v>3160</v>
      </c>
      <c r="C122" s="212" t="s">
        <v>3172</v>
      </c>
      <c r="D122" s="212" t="s">
        <v>3233</v>
      </c>
      <c r="E122" s="212" t="s">
        <v>3283</v>
      </c>
      <c r="F122" s="278">
        <v>5128</v>
      </c>
      <c r="G122" s="278">
        <v>97095</v>
      </c>
      <c r="H122" s="287">
        <f t="shared" si="1"/>
        <v>4.472938874298368</v>
      </c>
      <c r="I122" s="286">
        <v>200</v>
      </c>
      <c r="J122" s="286">
        <v>4343</v>
      </c>
      <c r="K122" s="286">
        <v>3069</v>
      </c>
      <c r="L122" s="286">
        <v>1274</v>
      </c>
      <c r="M122" s="286">
        <v>3998</v>
      </c>
      <c r="N122" s="286">
        <v>2826</v>
      </c>
      <c r="O122" s="286">
        <v>1172</v>
      </c>
      <c r="P122" s="286">
        <v>200</v>
      </c>
      <c r="Q122" s="286">
        <v>4343</v>
      </c>
      <c r="R122" s="286">
        <v>3069</v>
      </c>
      <c r="S122" s="286">
        <v>1274</v>
      </c>
      <c r="T122" s="286">
        <v>3998</v>
      </c>
      <c r="U122" s="286">
        <v>2826</v>
      </c>
      <c r="V122" s="286">
        <v>1172</v>
      </c>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286"/>
      <c r="CQ122" s="286"/>
      <c r="CR122" s="286"/>
      <c r="CS122" s="286"/>
      <c r="CT122" s="286"/>
      <c r="CU122" s="286"/>
      <c r="CV122" s="286"/>
      <c r="CW122" s="286"/>
      <c r="CX122" s="286"/>
      <c r="CY122" s="286"/>
      <c r="CZ122" s="286"/>
      <c r="DA122" s="286"/>
      <c r="DB122" s="286"/>
      <c r="DC122" s="286"/>
      <c r="DD122" s="286"/>
      <c r="DE122" s="286"/>
      <c r="DF122" s="286"/>
      <c r="DG122" s="286"/>
      <c r="DH122" s="286"/>
      <c r="DI122" s="286"/>
      <c r="DJ122" s="286"/>
      <c r="DK122" s="286"/>
      <c r="DL122" s="286"/>
      <c r="DM122" s="286"/>
      <c r="DN122" s="286"/>
      <c r="DO122" s="286"/>
      <c r="DP122" s="286"/>
      <c r="DQ122" s="286"/>
      <c r="DR122" s="286"/>
      <c r="DS122" s="286"/>
      <c r="DT122" s="286"/>
      <c r="DU122" s="286"/>
      <c r="DV122" s="286"/>
      <c r="DW122" s="286"/>
      <c r="DX122" s="286"/>
      <c r="DY122" s="286"/>
      <c r="DZ122" s="286"/>
      <c r="EA122" s="286"/>
      <c r="EB122" s="286"/>
      <c r="EC122" s="286"/>
      <c r="ED122" s="286"/>
      <c r="EE122" s="286"/>
      <c r="EF122" s="286"/>
      <c r="EG122" s="286"/>
      <c r="EH122" s="286"/>
      <c r="EI122" s="286"/>
      <c r="EJ122" s="286"/>
      <c r="EK122" s="286"/>
      <c r="EL122" s="286"/>
      <c r="EM122" s="286"/>
      <c r="EN122" s="286"/>
      <c r="EO122" s="286"/>
      <c r="EP122" s="286"/>
      <c r="EQ122" s="286"/>
      <c r="ER122" s="286"/>
      <c r="ES122" s="286"/>
      <c r="ET122" s="286"/>
      <c r="EU122" s="286"/>
      <c r="EV122" s="286"/>
      <c r="EW122" s="286"/>
      <c r="EX122" s="286"/>
      <c r="EY122" s="286"/>
      <c r="EZ122" s="286"/>
      <c r="FA122" s="286"/>
      <c r="FB122" s="286"/>
      <c r="FC122" s="286"/>
      <c r="FD122" s="286"/>
      <c r="FE122" s="286"/>
      <c r="FF122" s="286"/>
      <c r="FG122" s="286"/>
      <c r="FH122" s="286"/>
      <c r="FI122" s="286"/>
      <c r="FJ122" s="286"/>
      <c r="FK122" s="286"/>
      <c r="FL122" s="286"/>
      <c r="FM122" s="286"/>
      <c r="FN122" s="286"/>
      <c r="FO122" s="286"/>
      <c r="FP122" s="286"/>
      <c r="FQ122" s="286"/>
      <c r="FR122" s="286"/>
      <c r="FS122" s="286"/>
    </row>
    <row r="123" spans="1:175">
      <c r="A123" s="212" t="s">
        <v>3159</v>
      </c>
      <c r="B123" s="212" t="s">
        <v>3160</v>
      </c>
      <c r="C123" s="212" t="s">
        <v>3172</v>
      </c>
      <c r="D123" s="212" t="s">
        <v>3233</v>
      </c>
      <c r="E123" s="212" t="s">
        <v>3284</v>
      </c>
      <c r="F123" s="278">
        <v>1760</v>
      </c>
      <c r="G123" s="278">
        <v>40074</v>
      </c>
      <c r="H123" s="287">
        <f t="shared" si="1"/>
        <v>3.2864201227728698</v>
      </c>
      <c r="I123" s="286">
        <v>43</v>
      </c>
      <c r="J123" s="286">
        <v>1317</v>
      </c>
      <c r="K123" s="286">
        <v>987</v>
      </c>
      <c r="L123" s="286">
        <v>330</v>
      </c>
      <c r="M123" s="286">
        <v>1248</v>
      </c>
      <c r="N123" s="286">
        <v>938</v>
      </c>
      <c r="O123" s="286">
        <v>310</v>
      </c>
      <c r="P123" s="286">
        <v>43</v>
      </c>
      <c r="Q123" s="286">
        <v>1317</v>
      </c>
      <c r="R123" s="286">
        <v>987</v>
      </c>
      <c r="S123" s="286">
        <v>330</v>
      </c>
      <c r="T123" s="286">
        <v>1248</v>
      </c>
      <c r="U123" s="286">
        <v>938</v>
      </c>
      <c r="V123" s="286">
        <v>310</v>
      </c>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c r="CZ123" s="286"/>
      <c r="DA123" s="286"/>
      <c r="DB123" s="286"/>
      <c r="DC123" s="286"/>
      <c r="DD123" s="286"/>
      <c r="DE123" s="286"/>
      <c r="DF123" s="286"/>
      <c r="DG123" s="286"/>
      <c r="DH123" s="286"/>
      <c r="DI123" s="286"/>
      <c r="DJ123" s="286"/>
      <c r="DK123" s="286"/>
      <c r="DL123" s="286"/>
      <c r="DM123" s="286"/>
      <c r="DN123" s="286"/>
      <c r="DO123" s="286"/>
      <c r="DP123" s="286"/>
      <c r="DQ123" s="286"/>
      <c r="DR123" s="286"/>
      <c r="DS123" s="286"/>
      <c r="DT123" s="286"/>
      <c r="DU123" s="286"/>
      <c r="DV123" s="286"/>
      <c r="DW123" s="286"/>
      <c r="DX123" s="286"/>
      <c r="DY123" s="286"/>
      <c r="DZ123" s="286"/>
      <c r="EA123" s="286"/>
      <c r="EB123" s="286"/>
      <c r="EC123" s="286"/>
      <c r="ED123" s="286"/>
      <c r="EE123" s="286"/>
      <c r="EF123" s="286"/>
      <c r="EG123" s="286"/>
      <c r="EH123" s="286"/>
      <c r="EI123" s="286"/>
      <c r="EJ123" s="286"/>
      <c r="EK123" s="286"/>
      <c r="EL123" s="286"/>
      <c r="EM123" s="286"/>
      <c r="EN123" s="286"/>
      <c r="EO123" s="286"/>
      <c r="EP123" s="286"/>
      <c r="EQ123" s="286"/>
      <c r="ER123" s="286"/>
      <c r="ES123" s="286"/>
      <c r="ET123" s="286"/>
      <c r="EU123" s="286"/>
      <c r="EV123" s="286"/>
      <c r="EW123" s="286"/>
      <c r="EX123" s="286"/>
      <c r="EY123" s="286"/>
      <c r="EZ123" s="286"/>
      <c r="FA123" s="286"/>
      <c r="FB123" s="286"/>
      <c r="FC123" s="286"/>
      <c r="FD123" s="286"/>
      <c r="FE123" s="286"/>
      <c r="FF123" s="286"/>
      <c r="FG123" s="286"/>
      <c r="FH123" s="286"/>
      <c r="FI123" s="286"/>
      <c r="FJ123" s="286"/>
      <c r="FK123" s="286"/>
      <c r="FL123" s="286"/>
      <c r="FM123" s="286"/>
      <c r="FN123" s="286"/>
      <c r="FO123" s="286"/>
      <c r="FP123" s="286"/>
      <c r="FQ123" s="286"/>
      <c r="FR123" s="286"/>
      <c r="FS123" s="286"/>
    </row>
    <row r="124" spans="1:175">
      <c r="A124" s="212" t="s">
        <v>3159</v>
      </c>
      <c r="B124" s="212" t="s">
        <v>3160</v>
      </c>
      <c r="C124" s="212" t="s">
        <v>3170</v>
      </c>
      <c r="D124" s="212" t="s">
        <v>3233</v>
      </c>
      <c r="E124" s="212" t="s">
        <v>3285</v>
      </c>
      <c r="F124" s="278">
        <v>26214</v>
      </c>
      <c r="G124" s="278">
        <v>326677</v>
      </c>
      <c r="H124" s="287">
        <f t="shared" si="1"/>
        <v>2.5661433158747018</v>
      </c>
      <c r="I124" s="286">
        <v>713</v>
      </c>
      <c r="J124" s="286">
        <v>8383</v>
      </c>
      <c r="K124" s="286">
        <v>5681</v>
      </c>
      <c r="L124" s="286">
        <v>2702</v>
      </c>
      <c r="M124" s="286">
        <v>7282</v>
      </c>
      <c r="N124" s="286">
        <v>4925</v>
      </c>
      <c r="O124" s="286">
        <v>2357</v>
      </c>
      <c r="P124" s="286">
        <v>713</v>
      </c>
      <c r="Q124" s="286">
        <v>8383</v>
      </c>
      <c r="R124" s="286">
        <v>5681</v>
      </c>
      <c r="S124" s="286">
        <v>2702</v>
      </c>
      <c r="T124" s="286">
        <v>7282</v>
      </c>
      <c r="U124" s="286">
        <v>4925</v>
      </c>
      <c r="V124" s="286">
        <v>2357</v>
      </c>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286"/>
      <c r="CQ124" s="286"/>
      <c r="CR124" s="286"/>
      <c r="CS124" s="286"/>
      <c r="CT124" s="286"/>
      <c r="CU124" s="286"/>
      <c r="CV124" s="286"/>
      <c r="CW124" s="286"/>
      <c r="CX124" s="286"/>
      <c r="CY124" s="286"/>
      <c r="CZ124" s="286"/>
      <c r="DA124" s="286"/>
      <c r="DB124" s="286"/>
      <c r="DC124" s="286"/>
      <c r="DD124" s="286"/>
      <c r="DE124" s="286"/>
      <c r="DF124" s="286"/>
      <c r="DG124" s="286"/>
      <c r="DH124" s="286"/>
      <c r="DI124" s="286"/>
      <c r="DJ124" s="286"/>
      <c r="DK124" s="286"/>
      <c r="DL124" s="286"/>
      <c r="DM124" s="286"/>
      <c r="DN124" s="286"/>
      <c r="DO124" s="286"/>
      <c r="DP124" s="286"/>
      <c r="DQ124" s="286"/>
      <c r="DR124" s="286"/>
      <c r="DS124" s="286"/>
      <c r="DT124" s="286"/>
      <c r="DU124" s="286"/>
      <c r="DV124" s="286"/>
      <c r="DW124" s="286"/>
      <c r="DX124" s="286"/>
      <c r="DY124" s="286"/>
      <c r="DZ124" s="286"/>
      <c r="EA124" s="286"/>
      <c r="EB124" s="286"/>
      <c r="EC124" s="286"/>
      <c r="ED124" s="286"/>
      <c r="EE124" s="286"/>
      <c r="EF124" s="286"/>
      <c r="EG124" s="286"/>
      <c r="EH124" s="286"/>
      <c r="EI124" s="286"/>
      <c r="EJ124" s="286"/>
      <c r="EK124" s="286"/>
      <c r="EL124" s="286"/>
      <c r="EM124" s="286"/>
      <c r="EN124" s="286"/>
      <c r="EO124" s="286"/>
      <c r="EP124" s="286"/>
      <c r="EQ124" s="286"/>
      <c r="ER124" s="286"/>
      <c r="ES124" s="286"/>
      <c r="ET124" s="286"/>
      <c r="EU124" s="286"/>
      <c r="EV124" s="286"/>
      <c r="EW124" s="286"/>
      <c r="EX124" s="286"/>
      <c r="EY124" s="286"/>
      <c r="EZ124" s="286"/>
      <c r="FA124" s="286"/>
      <c r="FB124" s="286"/>
      <c r="FC124" s="286"/>
      <c r="FD124" s="286"/>
      <c r="FE124" s="286"/>
      <c r="FF124" s="286"/>
      <c r="FG124" s="286"/>
      <c r="FH124" s="286"/>
      <c r="FI124" s="286"/>
      <c r="FJ124" s="286"/>
      <c r="FK124" s="286"/>
      <c r="FL124" s="286"/>
      <c r="FM124" s="286"/>
      <c r="FN124" s="286"/>
      <c r="FO124" s="286"/>
      <c r="FP124" s="286"/>
      <c r="FQ124" s="286"/>
      <c r="FR124" s="286"/>
      <c r="FS124" s="286"/>
    </row>
    <row r="125" spans="1:175">
      <c r="A125" s="212" t="s">
        <v>3159</v>
      </c>
      <c r="B125" s="212" t="s">
        <v>3160</v>
      </c>
      <c r="C125" s="212" t="s">
        <v>3172</v>
      </c>
      <c r="D125" s="212" t="s">
        <v>3233</v>
      </c>
      <c r="E125" s="212" t="s">
        <v>3286</v>
      </c>
      <c r="F125" s="278">
        <v>230</v>
      </c>
      <c r="G125" s="278">
        <v>4087</v>
      </c>
      <c r="H125" s="287">
        <f t="shared" si="1"/>
        <v>1.7861512111573281</v>
      </c>
      <c r="I125" s="286">
        <v>6</v>
      </c>
      <c r="J125" s="286">
        <v>73</v>
      </c>
      <c r="K125" s="286">
        <v>47</v>
      </c>
      <c r="L125" s="286">
        <v>26</v>
      </c>
      <c r="M125" s="286">
        <v>64</v>
      </c>
      <c r="N125" s="286">
        <v>40</v>
      </c>
      <c r="O125" s="286">
        <v>24</v>
      </c>
      <c r="P125" s="286">
        <v>6</v>
      </c>
      <c r="Q125" s="286">
        <v>73</v>
      </c>
      <c r="R125" s="286">
        <v>47</v>
      </c>
      <c r="S125" s="286">
        <v>26</v>
      </c>
      <c r="T125" s="286">
        <v>64</v>
      </c>
      <c r="U125" s="286">
        <v>40</v>
      </c>
      <c r="V125" s="286">
        <v>24</v>
      </c>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R125" s="286"/>
      <c r="DS125" s="286"/>
      <c r="DT125" s="286"/>
      <c r="DU125" s="286"/>
      <c r="DV125" s="286"/>
      <c r="DW125" s="286"/>
      <c r="DX125" s="286"/>
      <c r="DY125" s="286"/>
      <c r="DZ125" s="286"/>
      <c r="EA125" s="286"/>
      <c r="EB125" s="286"/>
      <c r="EC125" s="286"/>
      <c r="ED125" s="286"/>
      <c r="EE125" s="286"/>
      <c r="EF125" s="286"/>
      <c r="EG125" s="286"/>
      <c r="EH125" s="286"/>
      <c r="EI125" s="286"/>
      <c r="EJ125" s="286"/>
      <c r="EK125" s="286"/>
      <c r="EL125" s="286"/>
      <c r="EM125" s="286"/>
      <c r="EN125" s="286"/>
      <c r="EO125" s="286"/>
      <c r="EP125" s="286"/>
      <c r="EQ125" s="286"/>
      <c r="ER125" s="286"/>
      <c r="ES125" s="286"/>
      <c r="ET125" s="286"/>
      <c r="EU125" s="286"/>
      <c r="EV125" s="286"/>
      <c r="EW125" s="286"/>
      <c r="EX125" s="286"/>
      <c r="EY125" s="286"/>
      <c r="EZ125" s="286"/>
      <c r="FA125" s="286"/>
      <c r="FB125" s="286"/>
      <c r="FC125" s="286"/>
      <c r="FD125" s="286"/>
      <c r="FE125" s="286"/>
      <c r="FF125" s="286"/>
      <c r="FG125" s="286"/>
      <c r="FH125" s="286"/>
      <c r="FI125" s="286"/>
      <c r="FJ125" s="286"/>
      <c r="FK125" s="286"/>
      <c r="FL125" s="286"/>
      <c r="FM125" s="286"/>
      <c r="FN125" s="286"/>
      <c r="FO125" s="286"/>
      <c r="FP125" s="286"/>
      <c r="FQ125" s="286"/>
      <c r="FR125" s="286"/>
      <c r="FS125" s="286"/>
    </row>
    <row r="126" spans="1:175">
      <c r="A126" s="212" t="s">
        <v>3159</v>
      </c>
      <c r="B126" s="212" t="s">
        <v>3160</v>
      </c>
      <c r="C126" s="212" t="s">
        <v>3172</v>
      </c>
      <c r="D126" s="212" t="s">
        <v>3233</v>
      </c>
      <c r="E126" s="212" t="s">
        <v>3287</v>
      </c>
      <c r="F126" s="278">
        <v>21648</v>
      </c>
      <c r="G126" s="278">
        <v>273801</v>
      </c>
      <c r="H126" s="287">
        <f t="shared" si="1"/>
        <v>2.7841388453657951</v>
      </c>
      <c r="I126" s="286">
        <v>643</v>
      </c>
      <c r="J126" s="286">
        <v>7623</v>
      </c>
      <c r="K126" s="286">
        <v>5233</v>
      </c>
      <c r="L126" s="286">
        <v>2390</v>
      </c>
      <c r="M126" s="286">
        <v>6623</v>
      </c>
      <c r="N126" s="286">
        <v>4543</v>
      </c>
      <c r="O126" s="286">
        <v>2080</v>
      </c>
      <c r="P126" s="286">
        <v>643</v>
      </c>
      <c r="Q126" s="286">
        <v>7623</v>
      </c>
      <c r="R126" s="286">
        <v>5233</v>
      </c>
      <c r="S126" s="286">
        <v>2390</v>
      </c>
      <c r="T126" s="286">
        <v>6623</v>
      </c>
      <c r="U126" s="286">
        <v>4543</v>
      </c>
      <c r="V126" s="286">
        <v>2080</v>
      </c>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6"/>
      <c r="DU126" s="286"/>
      <c r="DV126" s="286"/>
      <c r="DW126" s="286"/>
      <c r="DX126" s="286"/>
      <c r="DY126" s="286"/>
      <c r="DZ126" s="286"/>
      <c r="EA126" s="286"/>
      <c r="EB126" s="286"/>
      <c r="EC126" s="286"/>
      <c r="ED126" s="286"/>
      <c r="EE126" s="286"/>
      <c r="EF126" s="286"/>
      <c r="EG126" s="286"/>
      <c r="EH126" s="286"/>
      <c r="EI126" s="286"/>
      <c r="EJ126" s="286"/>
      <c r="EK126" s="286"/>
      <c r="EL126" s="286"/>
      <c r="EM126" s="286"/>
      <c r="EN126" s="286"/>
      <c r="EO126" s="286"/>
      <c r="EP126" s="286"/>
      <c r="EQ126" s="286"/>
      <c r="ER126" s="286"/>
      <c r="ES126" s="286"/>
      <c r="ET126" s="286"/>
      <c r="EU126" s="286"/>
      <c r="EV126" s="286"/>
      <c r="EW126" s="286"/>
      <c r="EX126" s="286"/>
      <c r="EY126" s="286"/>
      <c r="EZ126" s="286"/>
      <c r="FA126" s="286"/>
      <c r="FB126" s="286"/>
      <c r="FC126" s="286"/>
      <c r="FD126" s="286"/>
      <c r="FE126" s="286"/>
      <c r="FF126" s="286"/>
      <c r="FG126" s="286"/>
      <c r="FH126" s="286"/>
      <c r="FI126" s="286"/>
      <c r="FJ126" s="286"/>
      <c r="FK126" s="286"/>
      <c r="FL126" s="286"/>
      <c r="FM126" s="286"/>
      <c r="FN126" s="286"/>
      <c r="FO126" s="286"/>
      <c r="FP126" s="286"/>
      <c r="FQ126" s="286"/>
      <c r="FR126" s="286"/>
      <c r="FS126" s="286"/>
    </row>
    <row r="127" spans="1:175">
      <c r="A127" s="212" t="s">
        <v>3159</v>
      </c>
      <c r="B127" s="212" t="s">
        <v>3160</v>
      </c>
      <c r="C127" s="212" t="s">
        <v>3172</v>
      </c>
      <c r="D127" s="212" t="s">
        <v>3233</v>
      </c>
      <c r="E127" s="212" t="s">
        <v>3288</v>
      </c>
      <c r="F127" s="278">
        <v>1300</v>
      </c>
      <c r="G127" s="278">
        <v>20284</v>
      </c>
      <c r="H127" s="287">
        <f t="shared" si="1"/>
        <v>0.52750936698875961</v>
      </c>
      <c r="I127" s="286">
        <v>22</v>
      </c>
      <c r="J127" s="286">
        <v>107</v>
      </c>
      <c r="K127" s="286">
        <v>65</v>
      </c>
      <c r="L127" s="286">
        <v>42</v>
      </c>
      <c r="M127" s="286">
        <v>70</v>
      </c>
      <c r="N127" s="286">
        <v>44</v>
      </c>
      <c r="O127" s="286">
        <v>26</v>
      </c>
      <c r="P127" s="286">
        <v>22</v>
      </c>
      <c r="Q127" s="286">
        <v>107</v>
      </c>
      <c r="R127" s="286">
        <v>65</v>
      </c>
      <c r="S127" s="286">
        <v>42</v>
      </c>
      <c r="T127" s="286">
        <v>70</v>
      </c>
      <c r="U127" s="286">
        <v>44</v>
      </c>
      <c r="V127" s="286">
        <v>26</v>
      </c>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6"/>
      <c r="DU127" s="286"/>
      <c r="DV127" s="286"/>
      <c r="DW127" s="286"/>
      <c r="DX127" s="286"/>
      <c r="DY127" s="286"/>
      <c r="DZ127" s="286"/>
      <c r="EA127" s="286"/>
      <c r="EB127" s="286"/>
      <c r="EC127" s="286"/>
      <c r="ED127" s="286"/>
      <c r="EE127" s="286"/>
      <c r="EF127" s="286"/>
      <c r="EG127" s="286"/>
      <c r="EH127" s="286"/>
      <c r="EI127" s="286"/>
      <c r="EJ127" s="286"/>
      <c r="EK127" s="286"/>
      <c r="EL127" s="286"/>
      <c r="EM127" s="286"/>
      <c r="EN127" s="286"/>
      <c r="EO127" s="286"/>
      <c r="EP127" s="286"/>
      <c r="EQ127" s="286"/>
      <c r="ER127" s="286"/>
      <c r="ES127" s="286"/>
      <c r="ET127" s="286"/>
      <c r="EU127" s="286"/>
      <c r="EV127" s="286"/>
      <c r="EW127" s="286"/>
      <c r="EX127" s="286"/>
      <c r="EY127" s="286"/>
      <c r="EZ127" s="286"/>
      <c r="FA127" s="286"/>
      <c r="FB127" s="286"/>
      <c r="FC127" s="286"/>
      <c r="FD127" s="286"/>
      <c r="FE127" s="286"/>
      <c r="FF127" s="286"/>
      <c r="FG127" s="286"/>
      <c r="FH127" s="286"/>
      <c r="FI127" s="286"/>
      <c r="FJ127" s="286"/>
      <c r="FK127" s="286"/>
      <c r="FL127" s="286"/>
      <c r="FM127" s="286"/>
      <c r="FN127" s="286"/>
      <c r="FO127" s="286"/>
      <c r="FP127" s="286"/>
      <c r="FQ127" s="286"/>
      <c r="FR127" s="286"/>
      <c r="FS127" s="286"/>
    </row>
    <row r="128" spans="1:175">
      <c r="A128" s="212" t="s">
        <v>3159</v>
      </c>
      <c r="B128" s="212" t="s">
        <v>3160</v>
      </c>
      <c r="C128" s="212" t="s">
        <v>3172</v>
      </c>
      <c r="D128" s="212" t="s">
        <v>3233</v>
      </c>
      <c r="E128" s="212" t="s">
        <v>3289</v>
      </c>
      <c r="F128" s="278">
        <v>2812</v>
      </c>
      <c r="G128" s="278">
        <v>26257</v>
      </c>
      <c r="H128" s="287">
        <f t="shared" si="1"/>
        <v>2.0984880222416882</v>
      </c>
      <c r="I128" s="286">
        <v>37</v>
      </c>
      <c r="J128" s="286">
        <v>551</v>
      </c>
      <c r="K128" s="286">
        <v>320</v>
      </c>
      <c r="L128" s="286">
        <v>231</v>
      </c>
      <c r="M128" s="286">
        <v>504</v>
      </c>
      <c r="N128" s="286">
        <v>287</v>
      </c>
      <c r="O128" s="286">
        <v>217</v>
      </c>
      <c r="P128" s="286">
        <v>37</v>
      </c>
      <c r="Q128" s="286">
        <v>551</v>
      </c>
      <c r="R128" s="286">
        <v>320</v>
      </c>
      <c r="S128" s="286">
        <v>231</v>
      </c>
      <c r="T128" s="286">
        <v>504</v>
      </c>
      <c r="U128" s="286">
        <v>287</v>
      </c>
      <c r="V128" s="286">
        <v>217</v>
      </c>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R128" s="286"/>
      <c r="DS128" s="286"/>
      <c r="DT128" s="286"/>
      <c r="DU128" s="286"/>
      <c r="DV128" s="286"/>
      <c r="DW128" s="286"/>
      <c r="DX128" s="286"/>
      <c r="DY128" s="286"/>
      <c r="DZ128" s="286"/>
      <c r="EA128" s="286"/>
      <c r="EB128" s="286"/>
      <c r="EC128" s="286"/>
      <c r="ED128" s="286"/>
      <c r="EE128" s="286"/>
      <c r="EF128" s="286"/>
      <c r="EG128" s="286"/>
      <c r="EH128" s="286"/>
      <c r="EI128" s="286"/>
      <c r="EJ128" s="286"/>
      <c r="EK128" s="286"/>
      <c r="EL128" s="286"/>
      <c r="EM128" s="286"/>
      <c r="EN128" s="286"/>
      <c r="EO128" s="286"/>
      <c r="EP128" s="286"/>
      <c r="EQ128" s="286"/>
      <c r="ER128" s="286"/>
      <c r="ES128" s="286"/>
      <c r="ET128" s="286"/>
      <c r="EU128" s="286"/>
      <c r="EV128" s="286"/>
      <c r="EW128" s="286"/>
      <c r="EX128" s="286"/>
      <c r="EY128" s="286"/>
      <c r="EZ128" s="286"/>
      <c r="FA128" s="286"/>
      <c r="FB128" s="286"/>
      <c r="FC128" s="286"/>
      <c r="FD128" s="286"/>
      <c r="FE128" s="286"/>
      <c r="FF128" s="286"/>
      <c r="FG128" s="286"/>
      <c r="FH128" s="286"/>
      <c r="FI128" s="286"/>
      <c r="FJ128" s="286"/>
      <c r="FK128" s="286"/>
      <c r="FL128" s="286"/>
      <c r="FM128" s="286"/>
      <c r="FN128" s="286"/>
      <c r="FO128" s="286"/>
      <c r="FP128" s="286"/>
      <c r="FQ128" s="286"/>
      <c r="FR128" s="286"/>
      <c r="FS128" s="286"/>
    </row>
    <row r="129" spans="1:175">
      <c r="A129" s="212" t="s">
        <v>3159</v>
      </c>
      <c r="B129" s="212" t="s">
        <v>3160</v>
      </c>
      <c r="C129" s="212" t="s">
        <v>3172</v>
      </c>
      <c r="D129" s="212" t="s">
        <v>3233</v>
      </c>
      <c r="E129" s="212" t="s">
        <v>3290</v>
      </c>
      <c r="F129" s="278">
        <v>224</v>
      </c>
      <c r="G129" s="278">
        <v>2248</v>
      </c>
      <c r="H129" s="287">
        <f t="shared" si="1"/>
        <v>1.290035587188612</v>
      </c>
      <c r="I129" s="286">
        <v>5</v>
      </c>
      <c r="J129" s="286">
        <v>29</v>
      </c>
      <c r="K129" s="286">
        <v>16</v>
      </c>
      <c r="L129" s="286">
        <v>13</v>
      </c>
      <c r="M129" s="286">
        <v>21</v>
      </c>
      <c r="N129" s="286">
        <v>11</v>
      </c>
      <c r="O129" s="286">
        <v>10</v>
      </c>
      <c r="P129" s="286">
        <v>5</v>
      </c>
      <c r="Q129" s="286">
        <v>29</v>
      </c>
      <c r="R129" s="286">
        <v>16</v>
      </c>
      <c r="S129" s="286">
        <v>13</v>
      </c>
      <c r="T129" s="286">
        <v>21</v>
      </c>
      <c r="U129" s="286">
        <v>11</v>
      </c>
      <c r="V129" s="286">
        <v>10</v>
      </c>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86"/>
      <c r="DQ129" s="286"/>
      <c r="DR129" s="286"/>
      <c r="DS129" s="286"/>
      <c r="DT129" s="286"/>
      <c r="DU129" s="286"/>
      <c r="DV129" s="286"/>
      <c r="DW129" s="286"/>
      <c r="DX129" s="286"/>
      <c r="DY129" s="286"/>
      <c r="DZ129" s="286"/>
      <c r="EA129" s="286"/>
      <c r="EB129" s="286"/>
      <c r="EC129" s="286"/>
      <c r="ED129" s="286"/>
      <c r="EE129" s="286"/>
      <c r="EF129" s="286"/>
      <c r="EG129" s="286"/>
      <c r="EH129" s="286"/>
      <c r="EI129" s="286"/>
      <c r="EJ129" s="286"/>
      <c r="EK129" s="286"/>
      <c r="EL129" s="286"/>
      <c r="EM129" s="286"/>
      <c r="EN129" s="286"/>
      <c r="EO129" s="286"/>
      <c r="EP129" s="286"/>
      <c r="EQ129" s="286"/>
      <c r="ER129" s="286"/>
      <c r="ES129" s="286"/>
      <c r="ET129" s="286"/>
      <c r="EU129" s="286"/>
      <c r="EV129" s="286"/>
      <c r="EW129" s="286"/>
      <c r="EX129" s="286"/>
      <c r="EY129" s="286"/>
      <c r="EZ129" s="286"/>
      <c r="FA129" s="286"/>
      <c r="FB129" s="286"/>
      <c r="FC129" s="286"/>
      <c r="FD129" s="286"/>
      <c r="FE129" s="286"/>
      <c r="FF129" s="286"/>
      <c r="FG129" s="286"/>
      <c r="FH129" s="286"/>
      <c r="FI129" s="286"/>
      <c r="FJ129" s="286"/>
      <c r="FK129" s="286"/>
      <c r="FL129" s="286"/>
      <c r="FM129" s="286"/>
      <c r="FN129" s="286"/>
      <c r="FO129" s="286"/>
      <c r="FP129" s="286"/>
      <c r="FQ129" s="286"/>
      <c r="FR129" s="286"/>
      <c r="FS129" s="286"/>
    </row>
    <row r="130" spans="1:175">
      <c r="A130" s="212" t="s">
        <v>3159</v>
      </c>
      <c r="B130" s="212" t="s">
        <v>3160</v>
      </c>
      <c r="C130" s="212" t="s">
        <v>3170</v>
      </c>
      <c r="D130" s="212" t="s">
        <v>3233</v>
      </c>
      <c r="E130" s="212" t="s">
        <v>3291</v>
      </c>
      <c r="F130" s="278">
        <v>9417</v>
      </c>
      <c r="G130" s="278">
        <v>453074</v>
      </c>
      <c r="H130" s="287">
        <f t="shared" si="1"/>
        <v>5.5613431801427584</v>
      </c>
      <c r="I130" s="286">
        <v>511</v>
      </c>
      <c r="J130" s="286">
        <v>25197</v>
      </c>
      <c r="K130" s="286">
        <v>18676</v>
      </c>
      <c r="L130" s="286">
        <v>6521</v>
      </c>
      <c r="M130" s="286">
        <v>24430</v>
      </c>
      <c r="N130" s="286">
        <v>18083</v>
      </c>
      <c r="O130" s="286">
        <v>6347</v>
      </c>
      <c r="P130" s="286">
        <v>511</v>
      </c>
      <c r="Q130" s="286">
        <v>25197</v>
      </c>
      <c r="R130" s="286">
        <v>18676</v>
      </c>
      <c r="S130" s="286">
        <v>6521</v>
      </c>
      <c r="T130" s="286">
        <v>24430</v>
      </c>
      <c r="U130" s="286">
        <v>18083</v>
      </c>
      <c r="V130" s="286">
        <v>6347</v>
      </c>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86"/>
      <c r="DQ130" s="286"/>
      <c r="DR130" s="286"/>
      <c r="DS130" s="286"/>
      <c r="DT130" s="286"/>
      <c r="DU130" s="286"/>
      <c r="DV130" s="286"/>
      <c r="DW130" s="286"/>
      <c r="DX130" s="286"/>
      <c r="DY130" s="286"/>
      <c r="DZ130" s="286"/>
      <c r="EA130" s="286"/>
      <c r="EB130" s="286"/>
      <c r="EC130" s="286"/>
      <c r="ED130" s="286"/>
      <c r="EE130" s="286"/>
      <c r="EF130" s="286"/>
      <c r="EG130" s="286"/>
      <c r="EH130" s="286"/>
      <c r="EI130" s="286"/>
      <c r="EJ130" s="286"/>
      <c r="EK130" s="286"/>
      <c r="EL130" s="286"/>
      <c r="EM130" s="286"/>
      <c r="EN130" s="286"/>
      <c r="EO130" s="286"/>
      <c r="EP130" s="286"/>
      <c r="EQ130" s="286"/>
      <c r="ER130" s="286"/>
      <c r="ES130" s="286"/>
      <c r="ET130" s="286"/>
      <c r="EU130" s="286"/>
      <c r="EV130" s="286"/>
      <c r="EW130" s="286"/>
      <c r="EX130" s="286"/>
      <c r="EY130" s="286"/>
      <c r="EZ130" s="286"/>
      <c r="FA130" s="286"/>
      <c r="FB130" s="286"/>
      <c r="FC130" s="286"/>
      <c r="FD130" s="286"/>
      <c r="FE130" s="286"/>
      <c r="FF130" s="286"/>
      <c r="FG130" s="286"/>
      <c r="FH130" s="286"/>
      <c r="FI130" s="286"/>
      <c r="FJ130" s="286"/>
      <c r="FK130" s="286"/>
      <c r="FL130" s="286"/>
      <c r="FM130" s="286"/>
      <c r="FN130" s="286"/>
      <c r="FO130" s="286"/>
      <c r="FP130" s="286"/>
      <c r="FQ130" s="286"/>
      <c r="FR130" s="286"/>
      <c r="FS130" s="286"/>
    </row>
    <row r="131" spans="1:175">
      <c r="A131" s="212" t="s">
        <v>3159</v>
      </c>
      <c r="B131" s="212" t="s">
        <v>3160</v>
      </c>
      <c r="C131" s="212" t="s">
        <v>3172</v>
      </c>
      <c r="D131" s="212" t="s">
        <v>3233</v>
      </c>
      <c r="E131" s="212" t="s">
        <v>3292</v>
      </c>
      <c r="F131" s="278">
        <v>549</v>
      </c>
      <c r="G131" s="278">
        <v>30660</v>
      </c>
      <c r="H131" s="287">
        <f t="shared" si="1"/>
        <v>1.0991519895629485</v>
      </c>
      <c r="I131" s="286">
        <v>17</v>
      </c>
      <c r="J131" s="286">
        <v>337</v>
      </c>
      <c r="K131" s="286">
        <v>130</v>
      </c>
      <c r="L131" s="286">
        <v>207</v>
      </c>
      <c r="M131" s="286">
        <v>331</v>
      </c>
      <c r="N131" s="286">
        <v>127</v>
      </c>
      <c r="O131" s="286">
        <v>204</v>
      </c>
      <c r="P131" s="286">
        <v>17</v>
      </c>
      <c r="Q131" s="286">
        <v>337</v>
      </c>
      <c r="R131" s="286">
        <v>130</v>
      </c>
      <c r="S131" s="286">
        <v>207</v>
      </c>
      <c r="T131" s="286">
        <v>331</v>
      </c>
      <c r="U131" s="286">
        <v>127</v>
      </c>
      <c r="V131" s="286">
        <v>204</v>
      </c>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86"/>
      <c r="DQ131" s="286"/>
      <c r="DR131" s="286"/>
      <c r="DS131" s="286"/>
      <c r="DT131" s="286"/>
      <c r="DU131" s="286"/>
      <c r="DV131" s="286"/>
      <c r="DW131" s="286"/>
      <c r="DX131" s="286"/>
      <c r="DY131" s="286"/>
      <c r="DZ131" s="286"/>
      <c r="EA131" s="286"/>
      <c r="EB131" s="286"/>
      <c r="EC131" s="286"/>
      <c r="ED131" s="286"/>
      <c r="EE131" s="286"/>
      <c r="EF131" s="286"/>
      <c r="EG131" s="286"/>
      <c r="EH131" s="286"/>
      <c r="EI131" s="286"/>
      <c r="EJ131" s="286"/>
      <c r="EK131" s="286"/>
      <c r="EL131" s="286"/>
      <c r="EM131" s="286"/>
      <c r="EN131" s="286"/>
      <c r="EO131" s="286"/>
      <c r="EP131" s="286"/>
      <c r="EQ131" s="286"/>
      <c r="ER131" s="286"/>
      <c r="ES131" s="286"/>
      <c r="ET131" s="286"/>
      <c r="EU131" s="286"/>
      <c r="EV131" s="286"/>
      <c r="EW131" s="286"/>
      <c r="EX131" s="286"/>
      <c r="EY131" s="286"/>
      <c r="EZ131" s="286"/>
      <c r="FA131" s="286"/>
      <c r="FB131" s="286"/>
      <c r="FC131" s="286"/>
      <c r="FD131" s="286"/>
      <c r="FE131" s="286"/>
      <c r="FF131" s="286"/>
      <c r="FG131" s="286"/>
      <c r="FH131" s="286"/>
      <c r="FI131" s="286"/>
      <c r="FJ131" s="286"/>
      <c r="FK131" s="286"/>
      <c r="FL131" s="286"/>
      <c r="FM131" s="286"/>
      <c r="FN131" s="286"/>
      <c r="FO131" s="286"/>
      <c r="FP131" s="286"/>
      <c r="FQ131" s="286"/>
      <c r="FR131" s="286"/>
      <c r="FS131" s="286"/>
    </row>
    <row r="132" spans="1:175">
      <c r="A132" s="212" t="s">
        <v>3159</v>
      </c>
      <c r="B132" s="212" t="s">
        <v>3160</v>
      </c>
      <c r="C132" s="212" t="s">
        <v>3172</v>
      </c>
      <c r="D132" s="212" t="s">
        <v>3233</v>
      </c>
      <c r="E132" s="212" t="s">
        <v>3293</v>
      </c>
      <c r="F132" s="278">
        <v>288</v>
      </c>
      <c r="G132" s="278">
        <v>5286</v>
      </c>
      <c r="H132" s="287">
        <f t="shared" si="1"/>
        <v>8.3995459704880808</v>
      </c>
      <c r="I132" s="286">
        <v>13</v>
      </c>
      <c r="J132" s="286">
        <v>444</v>
      </c>
      <c r="K132" s="286">
        <v>358</v>
      </c>
      <c r="L132" s="286">
        <v>86</v>
      </c>
      <c r="M132" s="286">
        <v>428</v>
      </c>
      <c r="N132" s="286">
        <v>348</v>
      </c>
      <c r="O132" s="286">
        <v>80</v>
      </c>
      <c r="P132" s="286">
        <v>13</v>
      </c>
      <c r="Q132" s="286">
        <v>444</v>
      </c>
      <c r="R132" s="286">
        <v>358</v>
      </c>
      <c r="S132" s="286">
        <v>86</v>
      </c>
      <c r="T132" s="286">
        <v>428</v>
      </c>
      <c r="U132" s="286">
        <v>348</v>
      </c>
      <c r="V132" s="286">
        <v>80</v>
      </c>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c r="CG132" s="286"/>
      <c r="CH132" s="286"/>
      <c r="CI132" s="286"/>
      <c r="CJ132" s="286"/>
      <c r="CK132" s="286"/>
      <c r="CL132" s="286"/>
      <c r="CM132" s="286"/>
      <c r="CN132" s="286"/>
      <c r="CO132" s="286"/>
      <c r="CP132" s="286"/>
      <c r="CQ132" s="286"/>
      <c r="CR132" s="286"/>
      <c r="CS132" s="286"/>
      <c r="CT132" s="286"/>
      <c r="CU132" s="286"/>
      <c r="CV132" s="286"/>
      <c r="CW132" s="286"/>
      <c r="CX132" s="286"/>
      <c r="CY132" s="286"/>
      <c r="CZ132" s="286"/>
      <c r="DA132" s="286"/>
      <c r="DB132" s="286"/>
      <c r="DC132" s="286"/>
      <c r="DD132" s="286"/>
      <c r="DE132" s="286"/>
      <c r="DF132" s="286"/>
      <c r="DG132" s="286"/>
      <c r="DH132" s="286"/>
      <c r="DI132" s="286"/>
      <c r="DJ132" s="286"/>
      <c r="DK132" s="286"/>
      <c r="DL132" s="286"/>
      <c r="DM132" s="286"/>
      <c r="DN132" s="286"/>
      <c r="DO132" s="286"/>
      <c r="DP132" s="286"/>
      <c r="DQ132" s="286"/>
      <c r="DR132" s="286"/>
      <c r="DS132" s="286"/>
      <c r="DT132" s="286"/>
      <c r="DU132" s="286"/>
      <c r="DV132" s="286"/>
      <c r="DW132" s="286"/>
      <c r="DX132" s="286"/>
      <c r="DY132" s="286"/>
      <c r="DZ132" s="286"/>
      <c r="EA132" s="286"/>
      <c r="EB132" s="286"/>
      <c r="EC132" s="286"/>
      <c r="ED132" s="286"/>
      <c r="EE132" s="286"/>
      <c r="EF132" s="286"/>
      <c r="EG132" s="286"/>
      <c r="EH132" s="286"/>
      <c r="EI132" s="286"/>
      <c r="EJ132" s="286"/>
      <c r="EK132" s="286"/>
      <c r="EL132" s="286"/>
      <c r="EM132" s="286"/>
      <c r="EN132" s="286"/>
      <c r="EO132" s="286"/>
      <c r="EP132" s="286"/>
      <c r="EQ132" s="286"/>
      <c r="ER132" s="286"/>
      <c r="ES132" s="286"/>
      <c r="ET132" s="286"/>
      <c r="EU132" s="286"/>
      <c r="EV132" s="286"/>
      <c r="EW132" s="286"/>
      <c r="EX132" s="286"/>
      <c r="EY132" s="286"/>
      <c r="EZ132" s="286"/>
      <c r="FA132" s="286"/>
      <c r="FB132" s="286"/>
      <c r="FC132" s="286"/>
      <c r="FD132" s="286"/>
      <c r="FE132" s="286"/>
      <c r="FF132" s="286"/>
      <c r="FG132" s="286"/>
      <c r="FH132" s="286"/>
      <c r="FI132" s="286"/>
      <c r="FJ132" s="286"/>
      <c r="FK132" s="286"/>
      <c r="FL132" s="286"/>
      <c r="FM132" s="286"/>
      <c r="FN132" s="286"/>
      <c r="FO132" s="286"/>
      <c r="FP132" s="286"/>
      <c r="FQ132" s="286"/>
      <c r="FR132" s="286"/>
      <c r="FS132" s="286"/>
    </row>
    <row r="133" spans="1:175">
      <c r="A133" s="212" t="s">
        <v>3159</v>
      </c>
      <c r="B133" s="212" t="s">
        <v>3160</v>
      </c>
      <c r="C133" s="212" t="s">
        <v>3172</v>
      </c>
      <c r="D133" s="212" t="s">
        <v>3233</v>
      </c>
      <c r="E133" s="212" t="s">
        <v>3294</v>
      </c>
      <c r="F133" s="278">
        <v>1450</v>
      </c>
      <c r="G133" s="278">
        <v>40302</v>
      </c>
      <c r="H133" s="287">
        <f t="shared" si="1"/>
        <v>6.716788248722148</v>
      </c>
      <c r="I133" s="286">
        <v>72</v>
      </c>
      <c r="J133" s="286">
        <v>2707</v>
      </c>
      <c r="K133" s="286">
        <v>2239</v>
      </c>
      <c r="L133" s="286">
        <v>468</v>
      </c>
      <c r="M133" s="286">
        <v>2610</v>
      </c>
      <c r="N133" s="286">
        <v>2165</v>
      </c>
      <c r="O133" s="286">
        <v>445</v>
      </c>
      <c r="P133" s="286">
        <v>72</v>
      </c>
      <c r="Q133" s="286">
        <v>2707</v>
      </c>
      <c r="R133" s="286">
        <v>2239</v>
      </c>
      <c r="S133" s="286">
        <v>468</v>
      </c>
      <c r="T133" s="286">
        <v>2610</v>
      </c>
      <c r="U133" s="286">
        <v>2165</v>
      </c>
      <c r="V133" s="286">
        <v>445</v>
      </c>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c r="CG133" s="286"/>
      <c r="CH133" s="286"/>
      <c r="CI133" s="286"/>
      <c r="CJ133" s="286"/>
      <c r="CK133" s="286"/>
      <c r="CL133" s="286"/>
      <c r="CM133" s="286"/>
      <c r="CN133" s="286"/>
      <c r="CO133" s="286"/>
      <c r="CP133" s="286"/>
      <c r="CQ133" s="286"/>
      <c r="CR133" s="286"/>
      <c r="CS133" s="286"/>
      <c r="CT133" s="286"/>
      <c r="CU133" s="286"/>
      <c r="CV133" s="286"/>
      <c r="CW133" s="286"/>
      <c r="CX133" s="286"/>
      <c r="CY133" s="286"/>
      <c r="CZ133" s="286"/>
      <c r="DA133" s="286"/>
      <c r="DB133" s="286"/>
      <c r="DC133" s="286"/>
      <c r="DD133" s="286"/>
      <c r="DE133" s="286"/>
      <c r="DF133" s="286"/>
      <c r="DG133" s="286"/>
      <c r="DH133" s="286"/>
      <c r="DI133" s="286"/>
      <c r="DJ133" s="286"/>
      <c r="DK133" s="286"/>
      <c r="DL133" s="286"/>
      <c r="DM133" s="286"/>
      <c r="DN133" s="286"/>
      <c r="DO133" s="286"/>
      <c r="DP133" s="286"/>
      <c r="DQ133" s="286"/>
      <c r="DR133" s="286"/>
      <c r="DS133" s="286"/>
      <c r="DT133" s="286"/>
      <c r="DU133" s="286"/>
      <c r="DV133" s="286"/>
      <c r="DW133" s="286"/>
      <c r="DX133" s="286"/>
      <c r="DY133" s="286"/>
      <c r="DZ133" s="286"/>
      <c r="EA133" s="286"/>
      <c r="EB133" s="286"/>
      <c r="EC133" s="286"/>
      <c r="ED133" s="286"/>
      <c r="EE133" s="286"/>
      <c r="EF133" s="286"/>
      <c r="EG133" s="286"/>
      <c r="EH133" s="286"/>
      <c r="EI133" s="286"/>
      <c r="EJ133" s="286"/>
      <c r="EK133" s="286"/>
      <c r="EL133" s="286"/>
      <c r="EM133" s="286"/>
      <c r="EN133" s="286"/>
      <c r="EO133" s="286"/>
      <c r="EP133" s="286"/>
      <c r="EQ133" s="286"/>
      <c r="ER133" s="286"/>
      <c r="ES133" s="286"/>
      <c r="ET133" s="286"/>
      <c r="EU133" s="286"/>
      <c r="EV133" s="286"/>
      <c r="EW133" s="286"/>
      <c r="EX133" s="286"/>
      <c r="EY133" s="286"/>
      <c r="EZ133" s="286"/>
      <c r="FA133" s="286"/>
      <c r="FB133" s="286"/>
      <c r="FC133" s="286"/>
      <c r="FD133" s="286"/>
      <c r="FE133" s="286"/>
      <c r="FF133" s="286"/>
      <c r="FG133" s="286"/>
      <c r="FH133" s="286"/>
      <c r="FI133" s="286"/>
      <c r="FJ133" s="286"/>
      <c r="FK133" s="286"/>
      <c r="FL133" s="286"/>
      <c r="FM133" s="286"/>
      <c r="FN133" s="286"/>
      <c r="FO133" s="286"/>
      <c r="FP133" s="286"/>
      <c r="FQ133" s="286"/>
      <c r="FR133" s="286"/>
      <c r="FS133" s="286"/>
    </row>
    <row r="134" spans="1:175">
      <c r="A134" s="212" t="s">
        <v>3159</v>
      </c>
      <c r="B134" s="212" t="s">
        <v>3160</v>
      </c>
      <c r="C134" s="212" t="s">
        <v>3172</v>
      </c>
      <c r="D134" s="212" t="s">
        <v>3233</v>
      </c>
      <c r="E134" s="212" t="s">
        <v>3295</v>
      </c>
      <c r="F134" s="278">
        <v>1249</v>
      </c>
      <c r="G134" s="278">
        <v>100230</v>
      </c>
      <c r="H134" s="287">
        <f t="shared" si="1"/>
        <v>6.5190062855432513</v>
      </c>
      <c r="I134" s="286">
        <v>81</v>
      </c>
      <c r="J134" s="286">
        <v>6534</v>
      </c>
      <c r="K134" s="286">
        <v>5643</v>
      </c>
      <c r="L134" s="286">
        <v>891</v>
      </c>
      <c r="M134" s="286">
        <v>6416</v>
      </c>
      <c r="N134" s="286">
        <v>5538</v>
      </c>
      <c r="O134" s="286">
        <v>878</v>
      </c>
      <c r="P134" s="286">
        <v>81</v>
      </c>
      <c r="Q134" s="286">
        <v>6534</v>
      </c>
      <c r="R134" s="286">
        <v>5643</v>
      </c>
      <c r="S134" s="286">
        <v>891</v>
      </c>
      <c r="T134" s="286">
        <v>6416</v>
      </c>
      <c r="U134" s="286">
        <v>5538</v>
      </c>
      <c r="V134" s="286">
        <v>878</v>
      </c>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c r="CG134" s="286"/>
      <c r="CH134" s="286"/>
      <c r="CI134" s="286"/>
      <c r="CJ134" s="286"/>
      <c r="CK134" s="286"/>
      <c r="CL134" s="286"/>
      <c r="CM134" s="286"/>
      <c r="CN134" s="286"/>
      <c r="CO134" s="286"/>
      <c r="CP134" s="286"/>
      <c r="CQ134" s="286"/>
      <c r="CR134" s="286"/>
      <c r="CS134" s="286"/>
      <c r="CT134" s="286"/>
      <c r="CU134" s="286"/>
      <c r="CV134" s="286"/>
      <c r="CW134" s="286"/>
      <c r="CX134" s="286"/>
      <c r="CY134" s="286"/>
      <c r="CZ134" s="286"/>
      <c r="DA134" s="286"/>
      <c r="DB134" s="286"/>
      <c r="DC134" s="286"/>
      <c r="DD134" s="286"/>
      <c r="DE134" s="286"/>
      <c r="DF134" s="286"/>
      <c r="DG134" s="286"/>
      <c r="DH134" s="286"/>
      <c r="DI134" s="286"/>
      <c r="DJ134" s="286"/>
      <c r="DK134" s="286"/>
      <c r="DL134" s="286"/>
      <c r="DM134" s="286"/>
      <c r="DN134" s="286"/>
      <c r="DO134" s="286"/>
      <c r="DP134" s="286"/>
      <c r="DQ134" s="286"/>
      <c r="DR134" s="286"/>
      <c r="DS134" s="286"/>
      <c r="DT134" s="286"/>
      <c r="DU134" s="286"/>
      <c r="DV134" s="286"/>
      <c r="DW134" s="286"/>
      <c r="DX134" s="286"/>
      <c r="DY134" s="286"/>
      <c r="DZ134" s="286"/>
      <c r="EA134" s="286"/>
      <c r="EB134" s="286"/>
      <c r="EC134" s="286"/>
      <c r="ED134" s="286"/>
      <c r="EE134" s="286"/>
      <c r="EF134" s="286"/>
      <c r="EG134" s="286"/>
      <c r="EH134" s="286"/>
      <c r="EI134" s="286"/>
      <c r="EJ134" s="286"/>
      <c r="EK134" s="286"/>
      <c r="EL134" s="286"/>
      <c r="EM134" s="286"/>
      <c r="EN134" s="286"/>
      <c r="EO134" s="286"/>
      <c r="EP134" s="286"/>
      <c r="EQ134" s="286"/>
      <c r="ER134" s="286"/>
      <c r="ES134" s="286"/>
      <c r="ET134" s="286"/>
      <c r="EU134" s="286"/>
      <c r="EV134" s="286"/>
      <c r="EW134" s="286"/>
      <c r="EX134" s="286"/>
      <c r="EY134" s="286"/>
      <c r="EZ134" s="286"/>
      <c r="FA134" s="286"/>
      <c r="FB134" s="286"/>
      <c r="FC134" s="286"/>
      <c r="FD134" s="286"/>
      <c r="FE134" s="286"/>
      <c r="FF134" s="286"/>
      <c r="FG134" s="286"/>
      <c r="FH134" s="286"/>
      <c r="FI134" s="286"/>
      <c r="FJ134" s="286"/>
      <c r="FK134" s="286"/>
      <c r="FL134" s="286"/>
      <c r="FM134" s="286"/>
      <c r="FN134" s="286"/>
      <c r="FO134" s="286"/>
      <c r="FP134" s="286"/>
      <c r="FQ134" s="286"/>
      <c r="FR134" s="286"/>
      <c r="FS134" s="286"/>
    </row>
    <row r="135" spans="1:175">
      <c r="A135" s="212" t="s">
        <v>3159</v>
      </c>
      <c r="B135" s="212" t="s">
        <v>3160</v>
      </c>
      <c r="C135" s="212" t="s">
        <v>3172</v>
      </c>
      <c r="D135" s="212" t="s">
        <v>3233</v>
      </c>
      <c r="E135" s="212" t="s">
        <v>3296</v>
      </c>
      <c r="F135" s="278">
        <v>1551</v>
      </c>
      <c r="G135" s="278">
        <v>45831</v>
      </c>
      <c r="H135" s="287">
        <f t="shared" si="1"/>
        <v>7.4709257925858044</v>
      </c>
      <c r="I135" s="286">
        <v>109</v>
      </c>
      <c r="J135" s="286">
        <v>3424</v>
      </c>
      <c r="K135" s="286">
        <v>2794</v>
      </c>
      <c r="L135" s="286">
        <v>630</v>
      </c>
      <c r="M135" s="286">
        <v>3278</v>
      </c>
      <c r="N135" s="286">
        <v>2681</v>
      </c>
      <c r="O135" s="286">
        <v>597</v>
      </c>
      <c r="P135" s="286">
        <v>109</v>
      </c>
      <c r="Q135" s="286">
        <v>3424</v>
      </c>
      <c r="R135" s="286">
        <v>2794</v>
      </c>
      <c r="S135" s="286">
        <v>630</v>
      </c>
      <c r="T135" s="286">
        <v>3278</v>
      </c>
      <c r="U135" s="286">
        <v>2681</v>
      </c>
      <c r="V135" s="286">
        <v>597</v>
      </c>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c r="CG135" s="286"/>
      <c r="CH135" s="286"/>
      <c r="CI135" s="286"/>
      <c r="CJ135" s="286"/>
      <c r="CK135" s="286"/>
      <c r="CL135" s="286"/>
      <c r="CM135" s="286"/>
      <c r="CN135" s="286"/>
      <c r="CO135" s="286"/>
      <c r="CP135" s="286"/>
      <c r="CQ135" s="286"/>
      <c r="CR135" s="286"/>
      <c r="CS135" s="286"/>
      <c r="CT135" s="286"/>
      <c r="CU135" s="286"/>
      <c r="CV135" s="286"/>
      <c r="CW135" s="286"/>
      <c r="CX135" s="286"/>
      <c r="CY135" s="286"/>
      <c r="CZ135" s="286"/>
      <c r="DA135" s="286"/>
      <c r="DB135" s="286"/>
      <c r="DC135" s="286"/>
      <c r="DD135" s="286"/>
      <c r="DE135" s="286"/>
      <c r="DF135" s="286"/>
      <c r="DG135" s="286"/>
      <c r="DH135" s="286"/>
      <c r="DI135" s="286"/>
      <c r="DJ135" s="286"/>
      <c r="DK135" s="286"/>
      <c r="DL135" s="286"/>
      <c r="DM135" s="286"/>
      <c r="DN135" s="286"/>
      <c r="DO135" s="286"/>
      <c r="DP135" s="286"/>
      <c r="DQ135" s="286"/>
      <c r="DR135" s="286"/>
      <c r="DS135" s="286"/>
      <c r="DT135" s="286"/>
      <c r="DU135" s="286"/>
      <c r="DV135" s="286"/>
      <c r="DW135" s="286"/>
      <c r="DX135" s="286"/>
      <c r="DY135" s="286"/>
      <c r="DZ135" s="286"/>
      <c r="EA135" s="286"/>
      <c r="EB135" s="286"/>
      <c r="EC135" s="286"/>
      <c r="ED135" s="286"/>
      <c r="EE135" s="286"/>
      <c r="EF135" s="286"/>
      <c r="EG135" s="286"/>
      <c r="EH135" s="286"/>
      <c r="EI135" s="286"/>
      <c r="EJ135" s="286"/>
      <c r="EK135" s="286"/>
      <c r="EL135" s="286"/>
      <c r="EM135" s="286"/>
      <c r="EN135" s="286"/>
      <c r="EO135" s="286"/>
      <c r="EP135" s="286"/>
      <c r="EQ135" s="286"/>
      <c r="ER135" s="286"/>
      <c r="ES135" s="286"/>
      <c r="ET135" s="286"/>
      <c r="EU135" s="286"/>
      <c r="EV135" s="286"/>
      <c r="EW135" s="286"/>
      <c r="EX135" s="286"/>
      <c r="EY135" s="286"/>
      <c r="EZ135" s="286"/>
      <c r="FA135" s="286"/>
      <c r="FB135" s="286"/>
      <c r="FC135" s="286"/>
      <c r="FD135" s="286"/>
      <c r="FE135" s="286"/>
      <c r="FF135" s="286"/>
      <c r="FG135" s="286"/>
      <c r="FH135" s="286"/>
      <c r="FI135" s="286"/>
      <c r="FJ135" s="286"/>
      <c r="FK135" s="286"/>
      <c r="FL135" s="286"/>
      <c r="FM135" s="286"/>
      <c r="FN135" s="286"/>
      <c r="FO135" s="286"/>
      <c r="FP135" s="286"/>
      <c r="FQ135" s="286"/>
      <c r="FR135" s="286"/>
      <c r="FS135" s="286"/>
    </row>
    <row r="136" spans="1:175">
      <c r="A136" s="212" t="s">
        <v>3159</v>
      </c>
      <c r="B136" s="212" t="s">
        <v>3160</v>
      </c>
      <c r="C136" s="212" t="s">
        <v>3172</v>
      </c>
      <c r="D136" s="212" t="s">
        <v>3233</v>
      </c>
      <c r="E136" s="212" t="s">
        <v>3297</v>
      </c>
      <c r="F136" s="278">
        <v>1352</v>
      </c>
      <c r="G136" s="278">
        <v>118010</v>
      </c>
      <c r="H136" s="287">
        <f t="shared" si="1"/>
        <v>4.4936869756800268</v>
      </c>
      <c r="I136" s="286">
        <v>77</v>
      </c>
      <c r="J136" s="286">
        <v>5303</v>
      </c>
      <c r="K136" s="286">
        <v>3264</v>
      </c>
      <c r="L136" s="286">
        <v>2039</v>
      </c>
      <c r="M136" s="286">
        <v>5176</v>
      </c>
      <c r="N136" s="286">
        <v>3154</v>
      </c>
      <c r="O136" s="286">
        <v>2022</v>
      </c>
      <c r="P136" s="286">
        <v>77</v>
      </c>
      <c r="Q136" s="286">
        <v>5303</v>
      </c>
      <c r="R136" s="286">
        <v>3264</v>
      </c>
      <c r="S136" s="286">
        <v>2039</v>
      </c>
      <c r="T136" s="286">
        <v>5176</v>
      </c>
      <c r="U136" s="286">
        <v>3154</v>
      </c>
      <c r="V136" s="286">
        <v>2022</v>
      </c>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c r="CG136" s="286"/>
      <c r="CH136" s="286"/>
      <c r="CI136" s="286"/>
      <c r="CJ136" s="286"/>
      <c r="CK136" s="286"/>
      <c r="CL136" s="286"/>
      <c r="CM136" s="286"/>
      <c r="CN136" s="286"/>
      <c r="CO136" s="286"/>
      <c r="CP136" s="286"/>
      <c r="CQ136" s="286"/>
      <c r="CR136" s="286"/>
      <c r="CS136" s="286"/>
      <c r="CT136" s="286"/>
      <c r="CU136" s="286"/>
      <c r="CV136" s="286"/>
      <c r="CW136" s="286"/>
      <c r="CX136" s="286"/>
      <c r="CY136" s="286"/>
      <c r="CZ136" s="286"/>
      <c r="DA136" s="286"/>
      <c r="DB136" s="286"/>
      <c r="DC136" s="286"/>
      <c r="DD136" s="286"/>
      <c r="DE136" s="286"/>
      <c r="DF136" s="286"/>
      <c r="DG136" s="286"/>
      <c r="DH136" s="286"/>
      <c r="DI136" s="286"/>
      <c r="DJ136" s="286"/>
      <c r="DK136" s="286"/>
      <c r="DL136" s="286"/>
      <c r="DM136" s="286"/>
      <c r="DN136" s="286"/>
      <c r="DO136" s="286"/>
      <c r="DP136" s="286"/>
      <c r="DQ136" s="286"/>
      <c r="DR136" s="286"/>
      <c r="DS136" s="286"/>
      <c r="DT136" s="286"/>
      <c r="DU136" s="286"/>
      <c r="DV136" s="286"/>
      <c r="DW136" s="286"/>
      <c r="DX136" s="286"/>
      <c r="DY136" s="286"/>
      <c r="DZ136" s="286"/>
      <c r="EA136" s="286"/>
      <c r="EB136" s="286"/>
      <c r="EC136" s="286"/>
      <c r="ED136" s="286"/>
      <c r="EE136" s="286"/>
      <c r="EF136" s="286"/>
      <c r="EG136" s="286"/>
      <c r="EH136" s="286"/>
      <c r="EI136" s="286"/>
      <c r="EJ136" s="286"/>
      <c r="EK136" s="286"/>
      <c r="EL136" s="286"/>
      <c r="EM136" s="286"/>
      <c r="EN136" s="286"/>
      <c r="EO136" s="286"/>
      <c r="EP136" s="286"/>
      <c r="EQ136" s="286"/>
      <c r="ER136" s="286"/>
      <c r="ES136" s="286"/>
      <c r="ET136" s="286"/>
      <c r="EU136" s="286"/>
      <c r="EV136" s="286"/>
      <c r="EW136" s="286"/>
      <c r="EX136" s="286"/>
      <c r="EY136" s="286"/>
      <c r="EZ136" s="286"/>
      <c r="FA136" s="286"/>
      <c r="FB136" s="286"/>
      <c r="FC136" s="286"/>
      <c r="FD136" s="286"/>
      <c r="FE136" s="286"/>
      <c r="FF136" s="286"/>
      <c r="FG136" s="286"/>
      <c r="FH136" s="286"/>
      <c r="FI136" s="286"/>
      <c r="FJ136" s="286"/>
      <c r="FK136" s="286"/>
      <c r="FL136" s="286"/>
      <c r="FM136" s="286"/>
      <c r="FN136" s="286"/>
      <c r="FO136" s="286"/>
      <c r="FP136" s="286"/>
      <c r="FQ136" s="286"/>
      <c r="FR136" s="286"/>
      <c r="FS136" s="286"/>
    </row>
    <row r="137" spans="1:175">
      <c r="A137" s="212" t="s">
        <v>3159</v>
      </c>
      <c r="B137" s="212" t="s">
        <v>3160</v>
      </c>
      <c r="C137" s="212" t="s">
        <v>3172</v>
      </c>
      <c r="D137" s="212" t="s">
        <v>3233</v>
      </c>
      <c r="E137" s="212" t="s">
        <v>3298</v>
      </c>
      <c r="F137" s="278">
        <v>1360</v>
      </c>
      <c r="G137" s="278">
        <v>57924</v>
      </c>
      <c r="H137" s="287">
        <f t="shared" si="1"/>
        <v>4.2072370692631731</v>
      </c>
      <c r="I137" s="286">
        <v>47</v>
      </c>
      <c r="J137" s="286">
        <v>2437</v>
      </c>
      <c r="K137" s="286">
        <v>959</v>
      </c>
      <c r="L137" s="286">
        <v>1478</v>
      </c>
      <c r="M137" s="286">
        <v>2353</v>
      </c>
      <c r="N137" s="286">
        <v>896</v>
      </c>
      <c r="O137" s="286">
        <v>1457</v>
      </c>
      <c r="P137" s="286">
        <v>47</v>
      </c>
      <c r="Q137" s="286">
        <v>2437</v>
      </c>
      <c r="R137" s="286">
        <v>959</v>
      </c>
      <c r="S137" s="286">
        <v>1478</v>
      </c>
      <c r="T137" s="286">
        <v>2353</v>
      </c>
      <c r="U137" s="286">
        <v>896</v>
      </c>
      <c r="V137" s="286">
        <v>1457</v>
      </c>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c r="CG137" s="286"/>
      <c r="CH137" s="286"/>
      <c r="CI137" s="286"/>
      <c r="CJ137" s="286"/>
      <c r="CK137" s="286"/>
      <c r="CL137" s="286"/>
      <c r="CM137" s="286"/>
      <c r="CN137" s="286"/>
      <c r="CO137" s="286"/>
      <c r="CP137" s="286"/>
      <c r="CQ137" s="286"/>
      <c r="CR137" s="286"/>
      <c r="CS137" s="286"/>
      <c r="CT137" s="286"/>
      <c r="CU137" s="286"/>
      <c r="CV137" s="286"/>
      <c r="CW137" s="286"/>
      <c r="CX137" s="286"/>
      <c r="CY137" s="286"/>
      <c r="CZ137" s="286"/>
      <c r="DA137" s="286"/>
      <c r="DB137" s="286"/>
      <c r="DC137" s="286"/>
      <c r="DD137" s="286"/>
      <c r="DE137" s="286"/>
      <c r="DF137" s="286"/>
      <c r="DG137" s="286"/>
      <c r="DH137" s="286"/>
      <c r="DI137" s="286"/>
      <c r="DJ137" s="286"/>
      <c r="DK137" s="286"/>
      <c r="DL137" s="286"/>
      <c r="DM137" s="286"/>
      <c r="DN137" s="286"/>
      <c r="DO137" s="286"/>
      <c r="DP137" s="286"/>
      <c r="DQ137" s="286"/>
      <c r="DR137" s="286"/>
      <c r="DS137" s="286"/>
      <c r="DT137" s="286"/>
      <c r="DU137" s="286"/>
      <c r="DV137" s="286"/>
      <c r="DW137" s="286"/>
      <c r="DX137" s="286"/>
      <c r="DY137" s="286"/>
      <c r="DZ137" s="286"/>
      <c r="EA137" s="286"/>
      <c r="EB137" s="286"/>
      <c r="EC137" s="286"/>
      <c r="ED137" s="286"/>
      <c r="EE137" s="286"/>
      <c r="EF137" s="286"/>
      <c r="EG137" s="286"/>
      <c r="EH137" s="286"/>
      <c r="EI137" s="286"/>
      <c r="EJ137" s="286"/>
      <c r="EK137" s="286"/>
      <c r="EL137" s="286"/>
      <c r="EM137" s="286"/>
      <c r="EN137" s="286"/>
      <c r="EO137" s="286"/>
      <c r="EP137" s="286"/>
      <c r="EQ137" s="286"/>
      <c r="ER137" s="286"/>
      <c r="ES137" s="286"/>
      <c r="ET137" s="286"/>
      <c r="EU137" s="286"/>
      <c r="EV137" s="286"/>
      <c r="EW137" s="286"/>
      <c r="EX137" s="286"/>
      <c r="EY137" s="286"/>
      <c r="EZ137" s="286"/>
      <c r="FA137" s="286"/>
      <c r="FB137" s="286"/>
      <c r="FC137" s="286"/>
      <c r="FD137" s="286"/>
      <c r="FE137" s="286"/>
      <c r="FF137" s="286"/>
      <c r="FG137" s="286"/>
      <c r="FH137" s="286"/>
      <c r="FI137" s="286"/>
      <c r="FJ137" s="286"/>
      <c r="FK137" s="286"/>
      <c r="FL137" s="286"/>
      <c r="FM137" s="286"/>
      <c r="FN137" s="286"/>
      <c r="FO137" s="286"/>
      <c r="FP137" s="286"/>
      <c r="FQ137" s="286"/>
      <c r="FR137" s="286"/>
      <c r="FS137" s="286"/>
    </row>
    <row r="138" spans="1:175">
      <c r="A138" s="212" t="s">
        <v>3159</v>
      </c>
      <c r="B138" s="212" t="s">
        <v>3160</v>
      </c>
      <c r="C138" s="212" t="s">
        <v>3172</v>
      </c>
      <c r="D138" s="212" t="s">
        <v>3233</v>
      </c>
      <c r="E138" s="212" t="s">
        <v>3299</v>
      </c>
      <c r="F138" s="278">
        <v>1618</v>
      </c>
      <c r="G138" s="278">
        <v>54831</v>
      </c>
      <c r="H138" s="287">
        <f t="shared" si="1"/>
        <v>7.3152049023362693</v>
      </c>
      <c r="I138" s="286">
        <v>95</v>
      </c>
      <c r="J138" s="286">
        <v>4011</v>
      </c>
      <c r="K138" s="286">
        <v>3289</v>
      </c>
      <c r="L138" s="286">
        <v>722</v>
      </c>
      <c r="M138" s="286">
        <v>3838</v>
      </c>
      <c r="N138" s="286">
        <v>3174</v>
      </c>
      <c r="O138" s="286">
        <v>664</v>
      </c>
      <c r="P138" s="286">
        <v>95</v>
      </c>
      <c r="Q138" s="286">
        <v>4011</v>
      </c>
      <c r="R138" s="286">
        <v>3289</v>
      </c>
      <c r="S138" s="286">
        <v>722</v>
      </c>
      <c r="T138" s="286">
        <v>3838</v>
      </c>
      <c r="U138" s="286">
        <v>3174</v>
      </c>
      <c r="V138" s="286">
        <v>664</v>
      </c>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c r="CG138" s="286"/>
      <c r="CH138" s="286"/>
      <c r="CI138" s="286"/>
      <c r="CJ138" s="286"/>
      <c r="CK138" s="286"/>
      <c r="CL138" s="286"/>
      <c r="CM138" s="286"/>
      <c r="CN138" s="286"/>
      <c r="CO138" s="286"/>
      <c r="CP138" s="286"/>
      <c r="CQ138" s="286"/>
      <c r="CR138" s="286"/>
      <c r="CS138" s="286"/>
      <c r="CT138" s="286"/>
      <c r="CU138" s="286"/>
      <c r="CV138" s="286"/>
      <c r="CW138" s="286"/>
      <c r="CX138" s="286"/>
      <c r="CY138" s="286"/>
      <c r="CZ138" s="286"/>
      <c r="DA138" s="286"/>
      <c r="DB138" s="286"/>
      <c r="DC138" s="286"/>
      <c r="DD138" s="286"/>
      <c r="DE138" s="286"/>
      <c r="DF138" s="286"/>
      <c r="DG138" s="286"/>
      <c r="DH138" s="286"/>
      <c r="DI138" s="286"/>
      <c r="DJ138" s="286"/>
      <c r="DK138" s="286"/>
      <c r="DL138" s="286"/>
      <c r="DM138" s="286"/>
      <c r="DN138" s="286"/>
      <c r="DO138" s="286"/>
      <c r="DP138" s="286"/>
      <c r="DQ138" s="286"/>
      <c r="DR138" s="286"/>
      <c r="DS138" s="286"/>
      <c r="DT138" s="286"/>
      <c r="DU138" s="286"/>
      <c r="DV138" s="286"/>
      <c r="DW138" s="286"/>
      <c r="DX138" s="286"/>
      <c r="DY138" s="286"/>
      <c r="DZ138" s="286"/>
      <c r="EA138" s="286"/>
      <c r="EB138" s="286"/>
      <c r="EC138" s="286"/>
      <c r="ED138" s="286"/>
      <c r="EE138" s="286"/>
      <c r="EF138" s="286"/>
      <c r="EG138" s="286"/>
      <c r="EH138" s="286"/>
      <c r="EI138" s="286"/>
      <c r="EJ138" s="286"/>
      <c r="EK138" s="286"/>
      <c r="EL138" s="286"/>
      <c r="EM138" s="286"/>
      <c r="EN138" s="286"/>
      <c r="EO138" s="286"/>
      <c r="EP138" s="286"/>
      <c r="EQ138" s="286"/>
      <c r="ER138" s="286"/>
      <c r="ES138" s="286"/>
      <c r="ET138" s="286"/>
      <c r="EU138" s="286"/>
      <c r="EV138" s="286"/>
      <c r="EW138" s="286"/>
      <c r="EX138" s="286"/>
      <c r="EY138" s="286"/>
      <c r="EZ138" s="286"/>
      <c r="FA138" s="286"/>
      <c r="FB138" s="286"/>
      <c r="FC138" s="286"/>
      <c r="FD138" s="286"/>
      <c r="FE138" s="286"/>
      <c r="FF138" s="286"/>
      <c r="FG138" s="286"/>
      <c r="FH138" s="286"/>
      <c r="FI138" s="286"/>
      <c r="FJ138" s="286"/>
      <c r="FK138" s="286"/>
      <c r="FL138" s="286"/>
      <c r="FM138" s="286"/>
      <c r="FN138" s="286"/>
      <c r="FO138" s="286"/>
      <c r="FP138" s="286"/>
      <c r="FQ138" s="286"/>
      <c r="FR138" s="286"/>
      <c r="FS138" s="286"/>
    </row>
    <row r="139" spans="1:175">
      <c r="A139" s="212" t="s">
        <v>3159</v>
      </c>
      <c r="B139" s="212" t="s">
        <v>3160</v>
      </c>
      <c r="C139" s="212" t="s">
        <v>3170</v>
      </c>
      <c r="D139" s="212" t="s">
        <v>3233</v>
      </c>
      <c r="E139" s="212" t="s">
        <v>3300</v>
      </c>
      <c r="F139" s="278">
        <v>1709</v>
      </c>
      <c r="G139" s="278">
        <v>31971</v>
      </c>
      <c r="H139" s="287">
        <f t="shared" ref="H139:H202" si="2">J139/G139*100</f>
        <v>4.4165024553501606</v>
      </c>
      <c r="I139" s="286">
        <v>64</v>
      </c>
      <c r="J139" s="286">
        <v>1412</v>
      </c>
      <c r="K139" s="286">
        <v>1179</v>
      </c>
      <c r="L139" s="286">
        <v>233</v>
      </c>
      <c r="M139" s="286">
        <v>1345</v>
      </c>
      <c r="N139" s="286">
        <v>1121</v>
      </c>
      <c r="O139" s="286">
        <v>224</v>
      </c>
      <c r="P139" s="286">
        <v>64</v>
      </c>
      <c r="Q139" s="286">
        <v>1412</v>
      </c>
      <c r="R139" s="286">
        <v>1179</v>
      </c>
      <c r="S139" s="286">
        <v>233</v>
      </c>
      <c r="T139" s="286">
        <v>1345</v>
      </c>
      <c r="U139" s="286">
        <v>1121</v>
      </c>
      <c r="V139" s="286">
        <v>224</v>
      </c>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c r="CG139" s="286"/>
      <c r="CH139" s="286"/>
      <c r="CI139" s="286"/>
      <c r="CJ139" s="286"/>
      <c r="CK139" s="286"/>
      <c r="CL139" s="286"/>
      <c r="CM139" s="286"/>
      <c r="CN139" s="286"/>
      <c r="CO139" s="286"/>
      <c r="CP139" s="286"/>
      <c r="CQ139" s="286"/>
      <c r="CR139" s="286"/>
      <c r="CS139" s="286"/>
      <c r="CT139" s="286"/>
      <c r="CU139" s="286"/>
      <c r="CV139" s="286"/>
      <c r="CW139" s="286"/>
      <c r="CX139" s="286"/>
      <c r="CY139" s="286"/>
      <c r="CZ139" s="286"/>
      <c r="DA139" s="286"/>
      <c r="DB139" s="286"/>
      <c r="DC139" s="286"/>
      <c r="DD139" s="286"/>
      <c r="DE139" s="286"/>
      <c r="DF139" s="286"/>
      <c r="DG139" s="286"/>
      <c r="DH139" s="286"/>
      <c r="DI139" s="286"/>
      <c r="DJ139" s="286"/>
      <c r="DK139" s="286"/>
      <c r="DL139" s="286"/>
      <c r="DM139" s="286"/>
      <c r="DN139" s="286"/>
      <c r="DO139" s="286"/>
      <c r="DP139" s="286"/>
      <c r="DQ139" s="286"/>
      <c r="DR139" s="286"/>
      <c r="DS139" s="286"/>
      <c r="DT139" s="286"/>
      <c r="DU139" s="286"/>
      <c r="DV139" s="286"/>
      <c r="DW139" s="286"/>
      <c r="DX139" s="286"/>
      <c r="DY139" s="286"/>
      <c r="DZ139" s="286"/>
      <c r="EA139" s="286"/>
      <c r="EB139" s="286"/>
      <c r="EC139" s="286"/>
      <c r="ED139" s="286"/>
      <c r="EE139" s="286"/>
      <c r="EF139" s="286"/>
      <c r="EG139" s="286"/>
      <c r="EH139" s="286"/>
      <c r="EI139" s="286"/>
      <c r="EJ139" s="286"/>
      <c r="EK139" s="286"/>
      <c r="EL139" s="286"/>
      <c r="EM139" s="286"/>
      <c r="EN139" s="286"/>
      <c r="EO139" s="286"/>
      <c r="EP139" s="286"/>
      <c r="EQ139" s="286"/>
      <c r="ER139" s="286"/>
      <c r="ES139" s="286"/>
      <c r="ET139" s="286"/>
      <c r="EU139" s="286"/>
      <c r="EV139" s="286"/>
      <c r="EW139" s="286"/>
      <c r="EX139" s="286"/>
      <c r="EY139" s="286"/>
      <c r="EZ139" s="286"/>
      <c r="FA139" s="286"/>
      <c r="FB139" s="286"/>
      <c r="FC139" s="286"/>
      <c r="FD139" s="286"/>
      <c r="FE139" s="286"/>
      <c r="FF139" s="286"/>
      <c r="FG139" s="286"/>
      <c r="FH139" s="286"/>
      <c r="FI139" s="286"/>
      <c r="FJ139" s="286"/>
      <c r="FK139" s="286"/>
      <c r="FL139" s="286"/>
      <c r="FM139" s="286"/>
      <c r="FN139" s="286"/>
      <c r="FO139" s="286"/>
      <c r="FP139" s="286"/>
      <c r="FQ139" s="286"/>
      <c r="FR139" s="286"/>
      <c r="FS139" s="286"/>
    </row>
    <row r="140" spans="1:175">
      <c r="A140" s="212" t="s">
        <v>3159</v>
      </c>
      <c r="B140" s="212" t="s">
        <v>3160</v>
      </c>
      <c r="C140" s="212" t="s">
        <v>3172</v>
      </c>
      <c r="D140" s="212" t="s">
        <v>3233</v>
      </c>
      <c r="E140" s="212" t="s">
        <v>3301</v>
      </c>
      <c r="F140" s="278">
        <v>60</v>
      </c>
      <c r="G140" s="278">
        <v>2693</v>
      </c>
      <c r="H140" s="287">
        <f t="shared" si="2"/>
        <v>2.636464909023394</v>
      </c>
      <c r="I140" s="286">
        <v>3</v>
      </c>
      <c r="J140" s="286">
        <v>71</v>
      </c>
      <c r="K140" s="286">
        <v>52</v>
      </c>
      <c r="L140" s="286">
        <v>19</v>
      </c>
      <c r="M140" s="286">
        <v>63</v>
      </c>
      <c r="N140" s="286">
        <v>45</v>
      </c>
      <c r="O140" s="286">
        <v>18</v>
      </c>
      <c r="P140" s="286">
        <v>3</v>
      </c>
      <c r="Q140" s="286">
        <v>71</v>
      </c>
      <c r="R140" s="286">
        <v>52</v>
      </c>
      <c r="S140" s="286">
        <v>19</v>
      </c>
      <c r="T140" s="286">
        <v>63</v>
      </c>
      <c r="U140" s="286">
        <v>45</v>
      </c>
      <c r="V140" s="286">
        <v>18</v>
      </c>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c r="CG140" s="286"/>
      <c r="CH140" s="286"/>
      <c r="CI140" s="286"/>
      <c r="CJ140" s="286"/>
      <c r="CK140" s="286"/>
      <c r="CL140" s="286"/>
      <c r="CM140" s="286"/>
      <c r="CN140" s="286"/>
      <c r="CO140" s="286"/>
      <c r="CP140" s="286"/>
      <c r="CQ140" s="286"/>
      <c r="CR140" s="286"/>
      <c r="CS140" s="286"/>
      <c r="CT140" s="286"/>
      <c r="CU140" s="286"/>
      <c r="CV140" s="286"/>
      <c r="CW140" s="286"/>
      <c r="CX140" s="286"/>
      <c r="CY140" s="286"/>
      <c r="CZ140" s="286"/>
      <c r="DA140" s="286"/>
      <c r="DB140" s="286"/>
      <c r="DC140" s="286"/>
      <c r="DD140" s="286"/>
      <c r="DE140" s="286"/>
      <c r="DF140" s="286"/>
      <c r="DG140" s="286"/>
      <c r="DH140" s="286"/>
      <c r="DI140" s="286"/>
      <c r="DJ140" s="286"/>
      <c r="DK140" s="286"/>
      <c r="DL140" s="286"/>
      <c r="DM140" s="286"/>
      <c r="DN140" s="286"/>
      <c r="DO140" s="286"/>
      <c r="DP140" s="286"/>
      <c r="DQ140" s="286"/>
      <c r="DR140" s="286"/>
      <c r="DS140" s="286"/>
      <c r="DT140" s="286"/>
      <c r="DU140" s="286"/>
      <c r="DV140" s="286"/>
      <c r="DW140" s="286"/>
      <c r="DX140" s="286"/>
      <c r="DY140" s="286"/>
      <c r="DZ140" s="286"/>
      <c r="EA140" s="286"/>
      <c r="EB140" s="286"/>
      <c r="EC140" s="286"/>
      <c r="ED140" s="286"/>
      <c r="EE140" s="286"/>
      <c r="EF140" s="286"/>
      <c r="EG140" s="286"/>
      <c r="EH140" s="286"/>
      <c r="EI140" s="286"/>
      <c r="EJ140" s="286"/>
      <c r="EK140" s="286"/>
      <c r="EL140" s="286"/>
      <c r="EM140" s="286"/>
      <c r="EN140" s="286"/>
      <c r="EO140" s="286"/>
      <c r="EP140" s="286"/>
      <c r="EQ140" s="286"/>
      <c r="ER140" s="286"/>
      <c r="ES140" s="286"/>
      <c r="ET140" s="286"/>
      <c r="EU140" s="286"/>
      <c r="EV140" s="286"/>
      <c r="EW140" s="286"/>
      <c r="EX140" s="286"/>
      <c r="EY140" s="286"/>
      <c r="EZ140" s="286"/>
      <c r="FA140" s="286"/>
      <c r="FB140" s="286"/>
      <c r="FC140" s="286"/>
      <c r="FD140" s="286"/>
      <c r="FE140" s="286"/>
      <c r="FF140" s="286"/>
      <c r="FG140" s="286"/>
      <c r="FH140" s="286"/>
      <c r="FI140" s="286"/>
      <c r="FJ140" s="286"/>
      <c r="FK140" s="286"/>
      <c r="FL140" s="286"/>
      <c r="FM140" s="286"/>
      <c r="FN140" s="286"/>
      <c r="FO140" s="286"/>
      <c r="FP140" s="286"/>
      <c r="FQ140" s="286"/>
      <c r="FR140" s="286"/>
      <c r="FS140" s="286"/>
    </row>
    <row r="141" spans="1:175">
      <c r="A141" s="212" t="s">
        <v>3159</v>
      </c>
      <c r="B141" s="212" t="s">
        <v>3160</v>
      </c>
      <c r="C141" s="212" t="s">
        <v>3172</v>
      </c>
      <c r="D141" s="212" t="s">
        <v>3233</v>
      </c>
      <c r="E141" s="212" t="s">
        <v>3302</v>
      </c>
      <c r="F141" s="278">
        <v>56</v>
      </c>
      <c r="G141" s="278">
        <v>11928</v>
      </c>
      <c r="H141" s="287">
        <f t="shared" si="2"/>
        <v>0.25150905432595572</v>
      </c>
      <c r="I141" s="286">
        <v>2</v>
      </c>
      <c r="J141" s="286">
        <v>30</v>
      </c>
      <c r="K141" s="286">
        <v>27</v>
      </c>
      <c r="L141" s="286">
        <v>3</v>
      </c>
      <c r="M141" s="286">
        <v>27</v>
      </c>
      <c r="N141" s="286">
        <v>24</v>
      </c>
      <c r="O141" s="286">
        <v>3</v>
      </c>
      <c r="P141" s="286">
        <v>2</v>
      </c>
      <c r="Q141" s="286">
        <v>30</v>
      </c>
      <c r="R141" s="286">
        <v>27</v>
      </c>
      <c r="S141" s="286">
        <v>3</v>
      </c>
      <c r="T141" s="286">
        <v>27</v>
      </c>
      <c r="U141" s="286">
        <v>24</v>
      </c>
      <c r="V141" s="286">
        <v>3</v>
      </c>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c r="CG141" s="286"/>
      <c r="CH141" s="286"/>
      <c r="CI141" s="286"/>
      <c r="CJ141" s="286"/>
      <c r="CK141" s="286"/>
      <c r="CL141" s="286"/>
      <c r="CM141" s="286"/>
      <c r="CN141" s="286"/>
      <c r="CO141" s="286"/>
      <c r="CP141" s="286"/>
      <c r="CQ141" s="286"/>
      <c r="CR141" s="286"/>
      <c r="CS141" s="286"/>
      <c r="CT141" s="286"/>
      <c r="CU141" s="286"/>
      <c r="CV141" s="286"/>
      <c r="CW141" s="286"/>
      <c r="CX141" s="286"/>
      <c r="CY141" s="286"/>
      <c r="CZ141" s="286"/>
      <c r="DA141" s="286"/>
      <c r="DB141" s="286"/>
      <c r="DC141" s="286"/>
      <c r="DD141" s="286"/>
      <c r="DE141" s="286"/>
      <c r="DF141" s="286"/>
      <c r="DG141" s="286"/>
      <c r="DH141" s="286"/>
      <c r="DI141" s="286"/>
      <c r="DJ141" s="286"/>
      <c r="DK141" s="286"/>
      <c r="DL141" s="286"/>
      <c r="DM141" s="286"/>
      <c r="DN141" s="286"/>
      <c r="DO141" s="286"/>
      <c r="DP141" s="286"/>
      <c r="DQ141" s="286"/>
      <c r="DR141" s="286"/>
      <c r="DS141" s="286"/>
      <c r="DT141" s="286"/>
      <c r="DU141" s="286"/>
      <c r="DV141" s="286"/>
      <c r="DW141" s="286"/>
      <c r="DX141" s="286"/>
      <c r="DY141" s="286"/>
      <c r="DZ141" s="286"/>
      <c r="EA141" s="286"/>
      <c r="EB141" s="286"/>
      <c r="EC141" s="286"/>
      <c r="ED141" s="286"/>
      <c r="EE141" s="286"/>
      <c r="EF141" s="286"/>
      <c r="EG141" s="286"/>
      <c r="EH141" s="286"/>
      <c r="EI141" s="286"/>
      <c r="EJ141" s="286"/>
      <c r="EK141" s="286"/>
      <c r="EL141" s="286"/>
      <c r="EM141" s="286"/>
      <c r="EN141" s="286"/>
      <c r="EO141" s="286"/>
      <c r="EP141" s="286"/>
      <c r="EQ141" s="286"/>
      <c r="ER141" s="286"/>
      <c r="ES141" s="286"/>
      <c r="ET141" s="286"/>
      <c r="EU141" s="286"/>
      <c r="EV141" s="286"/>
      <c r="EW141" s="286"/>
      <c r="EX141" s="286"/>
      <c r="EY141" s="286"/>
      <c r="EZ141" s="286"/>
      <c r="FA141" s="286"/>
      <c r="FB141" s="286"/>
      <c r="FC141" s="286"/>
      <c r="FD141" s="286"/>
      <c r="FE141" s="286"/>
      <c r="FF141" s="286"/>
      <c r="FG141" s="286"/>
      <c r="FH141" s="286"/>
      <c r="FI141" s="286"/>
      <c r="FJ141" s="286"/>
      <c r="FK141" s="286"/>
      <c r="FL141" s="286"/>
      <c r="FM141" s="286"/>
      <c r="FN141" s="286"/>
      <c r="FO141" s="286"/>
      <c r="FP141" s="286"/>
      <c r="FQ141" s="286"/>
      <c r="FR141" s="286"/>
      <c r="FS141" s="286"/>
    </row>
    <row r="142" spans="1:175">
      <c r="A142" s="212" t="s">
        <v>3159</v>
      </c>
      <c r="B142" s="212" t="s">
        <v>3160</v>
      </c>
      <c r="C142" s="212" t="s">
        <v>3172</v>
      </c>
      <c r="D142" s="212" t="s">
        <v>3233</v>
      </c>
      <c r="E142" s="212" t="s">
        <v>3303</v>
      </c>
      <c r="F142" s="278">
        <v>167</v>
      </c>
      <c r="G142" s="278">
        <v>4363</v>
      </c>
      <c r="H142" s="287">
        <f t="shared" si="2"/>
        <v>11.230804492321797</v>
      </c>
      <c r="I142" s="286">
        <v>13</v>
      </c>
      <c r="J142" s="286">
        <v>490</v>
      </c>
      <c r="K142" s="286">
        <v>403</v>
      </c>
      <c r="L142" s="286">
        <v>87</v>
      </c>
      <c r="M142" s="286">
        <v>465</v>
      </c>
      <c r="N142" s="286">
        <v>382</v>
      </c>
      <c r="O142" s="286">
        <v>83</v>
      </c>
      <c r="P142" s="286">
        <v>13</v>
      </c>
      <c r="Q142" s="286">
        <v>490</v>
      </c>
      <c r="R142" s="286">
        <v>403</v>
      </c>
      <c r="S142" s="286">
        <v>87</v>
      </c>
      <c r="T142" s="286">
        <v>465</v>
      </c>
      <c r="U142" s="286">
        <v>382</v>
      </c>
      <c r="V142" s="286">
        <v>83</v>
      </c>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c r="CG142" s="286"/>
      <c r="CH142" s="286"/>
      <c r="CI142" s="286"/>
      <c r="CJ142" s="286"/>
      <c r="CK142" s="286"/>
      <c r="CL142" s="286"/>
      <c r="CM142" s="286"/>
      <c r="CN142" s="286"/>
      <c r="CO142" s="286"/>
      <c r="CP142" s="286"/>
      <c r="CQ142" s="286"/>
      <c r="CR142" s="286"/>
      <c r="CS142" s="286"/>
      <c r="CT142" s="286"/>
      <c r="CU142" s="286"/>
      <c r="CV142" s="286"/>
      <c r="CW142" s="286"/>
      <c r="CX142" s="286"/>
      <c r="CY142" s="286"/>
      <c r="CZ142" s="286"/>
      <c r="DA142" s="286"/>
      <c r="DB142" s="286"/>
      <c r="DC142" s="286"/>
      <c r="DD142" s="286"/>
      <c r="DE142" s="286"/>
      <c r="DF142" s="286"/>
      <c r="DG142" s="286"/>
      <c r="DH142" s="286"/>
      <c r="DI142" s="286"/>
      <c r="DJ142" s="286"/>
      <c r="DK142" s="286"/>
      <c r="DL142" s="286"/>
      <c r="DM142" s="286"/>
      <c r="DN142" s="286"/>
      <c r="DO142" s="286"/>
      <c r="DP142" s="286"/>
      <c r="DQ142" s="286"/>
      <c r="DR142" s="286"/>
      <c r="DS142" s="286"/>
      <c r="DT142" s="286"/>
      <c r="DU142" s="286"/>
      <c r="DV142" s="286"/>
      <c r="DW142" s="286"/>
      <c r="DX142" s="286"/>
      <c r="DY142" s="286"/>
      <c r="DZ142" s="286"/>
      <c r="EA142" s="286"/>
      <c r="EB142" s="286"/>
      <c r="EC142" s="286"/>
      <c r="ED142" s="286"/>
      <c r="EE142" s="286"/>
      <c r="EF142" s="286"/>
      <c r="EG142" s="286"/>
      <c r="EH142" s="286"/>
      <c r="EI142" s="286"/>
      <c r="EJ142" s="286"/>
      <c r="EK142" s="286"/>
      <c r="EL142" s="286"/>
      <c r="EM142" s="286"/>
      <c r="EN142" s="286"/>
      <c r="EO142" s="286"/>
      <c r="EP142" s="286"/>
      <c r="EQ142" s="286"/>
      <c r="ER142" s="286"/>
      <c r="ES142" s="286"/>
      <c r="ET142" s="286"/>
      <c r="EU142" s="286"/>
      <c r="EV142" s="286"/>
      <c r="EW142" s="286"/>
      <c r="EX142" s="286"/>
      <c r="EY142" s="286"/>
      <c r="EZ142" s="286"/>
      <c r="FA142" s="286"/>
      <c r="FB142" s="286"/>
      <c r="FC142" s="286"/>
      <c r="FD142" s="286"/>
      <c r="FE142" s="286"/>
      <c r="FF142" s="286"/>
      <c r="FG142" s="286"/>
      <c r="FH142" s="286"/>
      <c r="FI142" s="286"/>
      <c r="FJ142" s="286"/>
      <c r="FK142" s="286"/>
      <c r="FL142" s="286"/>
      <c r="FM142" s="286"/>
      <c r="FN142" s="286"/>
      <c r="FO142" s="286"/>
      <c r="FP142" s="286"/>
      <c r="FQ142" s="286"/>
      <c r="FR142" s="286"/>
      <c r="FS142" s="286"/>
    </row>
    <row r="143" spans="1:175">
      <c r="A143" s="212" t="s">
        <v>3159</v>
      </c>
      <c r="B143" s="212" t="s">
        <v>3160</v>
      </c>
      <c r="C143" s="212" t="s">
        <v>3172</v>
      </c>
      <c r="D143" s="212" t="s">
        <v>3233</v>
      </c>
      <c r="E143" s="212" t="s">
        <v>3304</v>
      </c>
      <c r="F143" s="278">
        <v>12</v>
      </c>
      <c r="G143" s="278">
        <v>1747</v>
      </c>
      <c r="H143" s="287">
        <f t="shared" si="2"/>
        <v>26.273611906124785</v>
      </c>
      <c r="I143" s="286">
        <v>2</v>
      </c>
      <c r="J143" s="286">
        <v>459</v>
      </c>
      <c r="K143" s="286">
        <v>422</v>
      </c>
      <c r="L143" s="286">
        <v>37</v>
      </c>
      <c r="M143" s="286">
        <v>451</v>
      </c>
      <c r="N143" s="286">
        <v>415</v>
      </c>
      <c r="O143" s="286">
        <v>36</v>
      </c>
      <c r="P143" s="286">
        <v>2</v>
      </c>
      <c r="Q143" s="286">
        <v>459</v>
      </c>
      <c r="R143" s="286">
        <v>422</v>
      </c>
      <c r="S143" s="286">
        <v>37</v>
      </c>
      <c r="T143" s="286">
        <v>451</v>
      </c>
      <c r="U143" s="286">
        <v>415</v>
      </c>
      <c r="V143" s="286">
        <v>36</v>
      </c>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c r="CG143" s="286"/>
      <c r="CH143" s="286"/>
      <c r="CI143" s="286"/>
      <c r="CJ143" s="286"/>
      <c r="CK143" s="286"/>
      <c r="CL143" s="286"/>
      <c r="CM143" s="286"/>
      <c r="CN143" s="286"/>
      <c r="CO143" s="286"/>
      <c r="CP143" s="286"/>
      <c r="CQ143" s="286"/>
      <c r="CR143" s="286"/>
      <c r="CS143" s="286"/>
      <c r="CT143" s="286"/>
      <c r="CU143" s="286"/>
      <c r="CV143" s="286"/>
      <c r="CW143" s="286"/>
      <c r="CX143" s="286"/>
      <c r="CY143" s="286"/>
      <c r="CZ143" s="286"/>
      <c r="DA143" s="286"/>
      <c r="DB143" s="286"/>
      <c r="DC143" s="286"/>
      <c r="DD143" s="286"/>
      <c r="DE143" s="286"/>
      <c r="DF143" s="286"/>
      <c r="DG143" s="286"/>
      <c r="DH143" s="286"/>
      <c r="DI143" s="286"/>
      <c r="DJ143" s="286"/>
      <c r="DK143" s="286"/>
      <c r="DL143" s="286"/>
      <c r="DM143" s="286"/>
      <c r="DN143" s="286"/>
      <c r="DO143" s="286"/>
      <c r="DP143" s="286"/>
      <c r="DQ143" s="286"/>
      <c r="DR143" s="286"/>
      <c r="DS143" s="286"/>
      <c r="DT143" s="286"/>
      <c r="DU143" s="286"/>
      <c r="DV143" s="286"/>
      <c r="DW143" s="286"/>
      <c r="DX143" s="286"/>
      <c r="DY143" s="286"/>
      <c r="DZ143" s="286"/>
      <c r="EA143" s="286"/>
      <c r="EB143" s="286"/>
      <c r="EC143" s="286"/>
      <c r="ED143" s="286"/>
      <c r="EE143" s="286"/>
      <c r="EF143" s="286"/>
      <c r="EG143" s="286"/>
      <c r="EH143" s="286"/>
      <c r="EI143" s="286"/>
      <c r="EJ143" s="286"/>
      <c r="EK143" s="286"/>
      <c r="EL143" s="286"/>
      <c r="EM143" s="286"/>
      <c r="EN143" s="286"/>
      <c r="EO143" s="286"/>
      <c r="EP143" s="286"/>
      <c r="EQ143" s="286"/>
      <c r="ER143" s="286"/>
      <c r="ES143" s="286"/>
      <c r="ET143" s="286"/>
      <c r="EU143" s="286"/>
      <c r="EV143" s="286"/>
      <c r="EW143" s="286"/>
      <c r="EX143" s="286"/>
      <c r="EY143" s="286"/>
      <c r="EZ143" s="286"/>
      <c r="FA143" s="286"/>
      <c r="FB143" s="286"/>
      <c r="FC143" s="286"/>
      <c r="FD143" s="286"/>
      <c r="FE143" s="286"/>
      <c r="FF143" s="286"/>
      <c r="FG143" s="286"/>
      <c r="FH143" s="286"/>
      <c r="FI143" s="286"/>
      <c r="FJ143" s="286"/>
      <c r="FK143" s="286"/>
      <c r="FL143" s="286"/>
      <c r="FM143" s="286"/>
      <c r="FN143" s="286"/>
      <c r="FO143" s="286"/>
      <c r="FP143" s="286"/>
      <c r="FQ143" s="286"/>
      <c r="FR143" s="286"/>
      <c r="FS143" s="286"/>
    </row>
    <row r="144" spans="1:175">
      <c r="A144" s="212" t="s">
        <v>3159</v>
      </c>
      <c r="B144" s="212" t="s">
        <v>3160</v>
      </c>
      <c r="C144" s="212" t="s">
        <v>3172</v>
      </c>
      <c r="D144" s="212" t="s">
        <v>3233</v>
      </c>
      <c r="E144" s="212" t="s">
        <v>3305</v>
      </c>
      <c r="F144" s="278">
        <v>1199</v>
      </c>
      <c r="G144" s="278">
        <v>7999</v>
      </c>
      <c r="H144" s="287">
        <f t="shared" si="2"/>
        <v>3.762970371296412</v>
      </c>
      <c r="I144" s="286">
        <v>37</v>
      </c>
      <c r="J144" s="286">
        <v>301</v>
      </c>
      <c r="K144" s="286">
        <v>229</v>
      </c>
      <c r="L144" s="286">
        <v>72</v>
      </c>
      <c r="M144" s="286">
        <v>284</v>
      </c>
      <c r="N144" s="286">
        <v>215</v>
      </c>
      <c r="O144" s="286">
        <v>69</v>
      </c>
      <c r="P144" s="286">
        <v>37</v>
      </c>
      <c r="Q144" s="286">
        <v>301</v>
      </c>
      <c r="R144" s="286">
        <v>229</v>
      </c>
      <c r="S144" s="286">
        <v>72</v>
      </c>
      <c r="T144" s="286">
        <v>284</v>
      </c>
      <c r="U144" s="286">
        <v>215</v>
      </c>
      <c r="V144" s="286">
        <v>69</v>
      </c>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c r="CG144" s="286"/>
      <c r="CH144" s="286"/>
      <c r="CI144" s="286"/>
      <c r="CJ144" s="286"/>
      <c r="CK144" s="286"/>
      <c r="CL144" s="286"/>
      <c r="CM144" s="286"/>
      <c r="CN144" s="286"/>
      <c r="CO144" s="286"/>
      <c r="CP144" s="286"/>
      <c r="CQ144" s="286"/>
      <c r="CR144" s="286"/>
      <c r="CS144" s="286"/>
      <c r="CT144" s="286"/>
      <c r="CU144" s="286"/>
      <c r="CV144" s="286"/>
      <c r="CW144" s="286"/>
      <c r="CX144" s="286"/>
      <c r="CY144" s="286"/>
      <c r="CZ144" s="286"/>
      <c r="DA144" s="286"/>
      <c r="DB144" s="286"/>
      <c r="DC144" s="286"/>
      <c r="DD144" s="286"/>
      <c r="DE144" s="286"/>
      <c r="DF144" s="286"/>
      <c r="DG144" s="286"/>
      <c r="DH144" s="286"/>
      <c r="DI144" s="286"/>
      <c r="DJ144" s="286"/>
      <c r="DK144" s="286"/>
      <c r="DL144" s="286"/>
      <c r="DM144" s="286"/>
      <c r="DN144" s="286"/>
      <c r="DO144" s="286"/>
      <c r="DP144" s="286"/>
      <c r="DQ144" s="286"/>
      <c r="DR144" s="286"/>
      <c r="DS144" s="286"/>
      <c r="DT144" s="286"/>
      <c r="DU144" s="286"/>
      <c r="DV144" s="286"/>
      <c r="DW144" s="286"/>
      <c r="DX144" s="286"/>
      <c r="DY144" s="286"/>
      <c r="DZ144" s="286"/>
      <c r="EA144" s="286"/>
      <c r="EB144" s="286"/>
      <c r="EC144" s="286"/>
      <c r="ED144" s="286"/>
      <c r="EE144" s="286"/>
      <c r="EF144" s="286"/>
      <c r="EG144" s="286"/>
      <c r="EH144" s="286"/>
      <c r="EI144" s="286"/>
      <c r="EJ144" s="286"/>
      <c r="EK144" s="286"/>
      <c r="EL144" s="286"/>
      <c r="EM144" s="286"/>
      <c r="EN144" s="286"/>
      <c r="EO144" s="286"/>
      <c r="EP144" s="286"/>
      <c r="EQ144" s="286"/>
      <c r="ER144" s="286"/>
      <c r="ES144" s="286"/>
      <c r="ET144" s="286"/>
      <c r="EU144" s="286"/>
      <c r="EV144" s="286"/>
      <c r="EW144" s="286"/>
      <c r="EX144" s="286"/>
      <c r="EY144" s="286"/>
      <c r="EZ144" s="286"/>
      <c r="FA144" s="286"/>
      <c r="FB144" s="286"/>
      <c r="FC144" s="286"/>
      <c r="FD144" s="286"/>
      <c r="FE144" s="286"/>
      <c r="FF144" s="286"/>
      <c r="FG144" s="286"/>
      <c r="FH144" s="286"/>
      <c r="FI144" s="286"/>
      <c r="FJ144" s="286"/>
      <c r="FK144" s="286"/>
      <c r="FL144" s="286"/>
      <c r="FM144" s="286"/>
      <c r="FN144" s="286"/>
      <c r="FO144" s="286"/>
      <c r="FP144" s="286"/>
      <c r="FQ144" s="286"/>
      <c r="FR144" s="286"/>
      <c r="FS144" s="286"/>
    </row>
    <row r="145" spans="1:175">
      <c r="A145" s="212" t="s">
        <v>3159</v>
      </c>
      <c r="B145" s="212" t="s">
        <v>3160</v>
      </c>
      <c r="C145" s="212" t="s">
        <v>3172</v>
      </c>
      <c r="D145" s="212" t="s">
        <v>3233</v>
      </c>
      <c r="E145" s="212" t="s">
        <v>3306</v>
      </c>
      <c r="F145" s="278">
        <v>215</v>
      </c>
      <c r="G145" s="278">
        <v>3241</v>
      </c>
      <c r="H145" s="287">
        <f t="shared" si="2"/>
        <v>1.8821351434742364</v>
      </c>
      <c r="I145" s="286">
        <v>7</v>
      </c>
      <c r="J145" s="286">
        <v>61</v>
      </c>
      <c r="K145" s="286">
        <v>46</v>
      </c>
      <c r="L145" s="286">
        <v>15</v>
      </c>
      <c r="M145" s="286">
        <v>55</v>
      </c>
      <c r="N145" s="286">
        <v>40</v>
      </c>
      <c r="O145" s="286">
        <v>15</v>
      </c>
      <c r="P145" s="286">
        <v>7</v>
      </c>
      <c r="Q145" s="286">
        <v>61</v>
      </c>
      <c r="R145" s="286">
        <v>46</v>
      </c>
      <c r="S145" s="286">
        <v>15</v>
      </c>
      <c r="T145" s="286">
        <v>55</v>
      </c>
      <c r="U145" s="286">
        <v>40</v>
      </c>
      <c r="V145" s="286">
        <v>15</v>
      </c>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c r="CG145" s="286"/>
      <c r="CH145" s="286"/>
      <c r="CI145" s="286"/>
      <c r="CJ145" s="286"/>
      <c r="CK145" s="286"/>
      <c r="CL145" s="286"/>
      <c r="CM145" s="286"/>
      <c r="CN145" s="286"/>
      <c r="CO145" s="286"/>
      <c r="CP145" s="286"/>
      <c r="CQ145" s="286"/>
      <c r="CR145" s="286"/>
      <c r="CS145" s="286"/>
      <c r="CT145" s="286"/>
      <c r="CU145" s="286"/>
      <c r="CV145" s="286"/>
      <c r="CW145" s="286"/>
      <c r="CX145" s="286"/>
      <c r="CY145" s="286"/>
      <c r="CZ145" s="286"/>
      <c r="DA145" s="286"/>
      <c r="DB145" s="286"/>
      <c r="DC145" s="286"/>
      <c r="DD145" s="286"/>
      <c r="DE145" s="286"/>
      <c r="DF145" s="286"/>
      <c r="DG145" s="286"/>
      <c r="DH145" s="286"/>
      <c r="DI145" s="286"/>
      <c r="DJ145" s="286"/>
      <c r="DK145" s="286"/>
      <c r="DL145" s="286"/>
      <c r="DM145" s="286"/>
      <c r="DN145" s="286"/>
      <c r="DO145" s="286"/>
      <c r="DP145" s="286"/>
      <c r="DQ145" s="286"/>
      <c r="DR145" s="286"/>
      <c r="DS145" s="286"/>
      <c r="DT145" s="286"/>
      <c r="DU145" s="286"/>
      <c r="DV145" s="286"/>
      <c r="DW145" s="286"/>
      <c r="DX145" s="286"/>
      <c r="DY145" s="286"/>
      <c r="DZ145" s="286"/>
      <c r="EA145" s="286"/>
      <c r="EB145" s="286"/>
      <c r="EC145" s="286"/>
      <c r="ED145" s="286"/>
      <c r="EE145" s="286"/>
      <c r="EF145" s="286"/>
      <c r="EG145" s="286"/>
      <c r="EH145" s="286"/>
      <c r="EI145" s="286"/>
      <c r="EJ145" s="286"/>
      <c r="EK145" s="286"/>
      <c r="EL145" s="286"/>
      <c r="EM145" s="286"/>
      <c r="EN145" s="286"/>
      <c r="EO145" s="286"/>
      <c r="EP145" s="286"/>
      <c r="EQ145" s="286"/>
      <c r="ER145" s="286"/>
      <c r="ES145" s="286"/>
      <c r="ET145" s="286"/>
      <c r="EU145" s="286"/>
      <c r="EV145" s="286"/>
      <c r="EW145" s="286"/>
      <c r="EX145" s="286"/>
      <c r="EY145" s="286"/>
      <c r="EZ145" s="286"/>
      <c r="FA145" s="286"/>
      <c r="FB145" s="286"/>
      <c r="FC145" s="286"/>
      <c r="FD145" s="286"/>
      <c r="FE145" s="286"/>
      <c r="FF145" s="286"/>
      <c r="FG145" s="286"/>
      <c r="FH145" s="286"/>
      <c r="FI145" s="286"/>
      <c r="FJ145" s="286"/>
      <c r="FK145" s="286"/>
      <c r="FL145" s="286"/>
      <c r="FM145" s="286"/>
      <c r="FN145" s="286"/>
      <c r="FO145" s="286"/>
      <c r="FP145" s="286"/>
      <c r="FQ145" s="286"/>
      <c r="FR145" s="286"/>
      <c r="FS145" s="286"/>
    </row>
    <row r="146" spans="1:175">
      <c r="A146" s="212" t="s">
        <v>3159</v>
      </c>
      <c r="B146" s="212" t="s">
        <v>3160</v>
      </c>
      <c r="C146" s="212" t="s">
        <v>3170</v>
      </c>
      <c r="D146" s="212" t="s">
        <v>3233</v>
      </c>
      <c r="E146" s="212" t="s">
        <v>3307</v>
      </c>
      <c r="F146" s="278">
        <v>22060</v>
      </c>
      <c r="G146" s="278">
        <v>494945</v>
      </c>
      <c r="H146" s="287">
        <f t="shared" si="2"/>
        <v>3.2730909494994394</v>
      </c>
      <c r="I146" s="286">
        <v>653</v>
      </c>
      <c r="J146" s="286">
        <v>16200</v>
      </c>
      <c r="K146" s="286">
        <v>10924</v>
      </c>
      <c r="L146" s="286">
        <v>5194</v>
      </c>
      <c r="M146" s="286">
        <v>15078</v>
      </c>
      <c r="N146" s="286">
        <v>10156</v>
      </c>
      <c r="O146" s="286">
        <v>4844</v>
      </c>
      <c r="P146" s="286">
        <v>653</v>
      </c>
      <c r="Q146" s="286">
        <v>16200</v>
      </c>
      <c r="R146" s="286">
        <v>10924</v>
      </c>
      <c r="S146" s="286">
        <v>5194</v>
      </c>
      <c r="T146" s="286">
        <v>15078</v>
      </c>
      <c r="U146" s="286">
        <v>10156</v>
      </c>
      <c r="V146" s="286">
        <v>4844</v>
      </c>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c r="CG146" s="286"/>
      <c r="CH146" s="286"/>
      <c r="CI146" s="286"/>
      <c r="CJ146" s="286"/>
      <c r="CK146" s="286"/>
      <c r="CL146" s="286"/>
      <c r="CM146" s="286"/>
      <c r="CN146" s="286"/>
      <c r="CO146" s="286"/>
      <c r="CP146" s="286"/>
      <c r="CQ146" s="286"/>
      <c r="CR146" s="286"/>
      <c r="CS146" s="286"/>
      <c r="CT146" s="286"/>
      <c r="CU146" s="286"/>
      <c r="CV146" s="286"/>
      <c r="CW146" s="286"/>
      <c r="CX146" s="286"/>
      <c r="CY146" s="286"/>
      <c r="CZ146" s="286"/>
      <c r="DA146" s="286"/>
      <c r="DB146" s="286"/>
      <c r="DC146" s="286"/>
      <c r="DD146" s="286"/>
      <c r="DE146" s="286"/>
      <c r="DF146" s="286"/>
      <c r="DG146" s="286"/>
      <c r="DH146" s="286"/>
      <c r="DI146" s="286"/>
      <c r="DJ146" s="286"/>
      <c r="DK146" s="286"/>
      <c r="DL146" s="286"/>
      <c r="DM146" s="286"/>
      <c r="DN146" s="286"/>
      <c r="DO146" s="286"/>
      <c r="DP146" s="286"/>
      <c r="DQ146" s="286"/>
      <c r="DR146" s="286"/>
      <c r="DS146" s="286"/>
      <c r="DT146" s="286"/>
      <c r="DU146" s="286"/>
      <c r="DV146" s="286"/>
      <c r="DW146" s="286"/>
      <c r="DX146" s="286"/>
      <c r="DY146" s="286"/>
      <c r="DZ146" s="286"/>
      <c r="EA146" s="286"/>
      <c r="EB146" s="286"/>
      <c r="EC146" s="286"/>
      <c r="ED146" s="286"/>
      <c r="EE146" s="286"/>
      <c r="EF146" s="286"/>
      <c r="EG146" s="286"/>
      <c r="EH146" s="286"/>
      <c r="EI146" s="286"/>
      <c r="EJ146" s="286"/>
      <c r="EK146" s="286"/>
      <c r="EL146" s="286"/>
      <c r="EM146" s="286"/>
      <c r="EN146" s="286"/>
      <c r="EO146" s="286"/>
      <c r="EP146" s="286"/>
      <c r="EQ146" s="286"/>
      <c r="ER146" s="286"/>
      <c r="ES146" s="286"/>
      <c r="ET146" s="286"/>
      <c r="EU146" s="286"/>
      <c r="EV146" s="286"/>
      <c r="EW146" s="286"/>
      <c r="EX146" s="286"/>
      <c r="EY146" s="286"/>
      <c r="EZ146" s="286"/>
      <c r="FA146" s="286"/>
      <c r="FB146" s="286"/>
      <c r="FC146" s="286"/>
      <c r="FD146" s="286"/>
      <c r="FE146" s="286"/>
      <c r="FF146" s="286"/>
      <c r="FG146" s="286"/>
      <c r="FH146" s="286"/>
      <c r="FI146" s="286"/>
      <c r="FJ146" s="286"/>
      <c r="FK146" s="286"/>
      <c r="FL146" s="286"/>
      <c r="FM146" s="286"/>
      <c r="FN146" s="286"/>
      <c r="FO146" s="286"/>
      <c r="FP146" s="286"/>
      <c r="FQ146" s="286"/>
      <c r="FR146" s="286"/>
      <c r="FS146" s="286"/>
    </row>
    <row r="147" spans="1:175">
      <c r="A147" s="212" t="s">
        <v>3159</v>
      </c>
      <c r="B147" s="212" t="s">
        <v>3160</v>
      </c>
      <c r="C147" s="212" t="s">
        <v>3172</v>
      </c>
      <c r="D147" s="212" t="s">
        <v>3233</v>
      </c>
      <c r="E147" s="212" t="s">
        <v>3308</v>
      </c>
      <c r="F147" s="278">
        <v>458</v>
      </c>
      <c r="G147" s="278">
        <v>8201</v>
      </c>
      <c r="H147" s="287">
        <f t="shared" si="2"/>
        <v>1.9265943177661262</v>
      </c>
      <c r="I147" s="286">
        <v>17</v>
      </c>
      <c r="J147" s="286">
        <v>158</v>
      </c>
      <c r="K147" s="286">
        <v>127</v>
      </c>
      <c r="L147" s="286">
        <v>31</v>
      </c>
      <c r="M147" s="286">
        <v>140</v>
      </c>
      <c r="N147" s="286">
        <v>117</v>
      </c>
      <c r="O147" s="286">
        <v>23</v>
      </c>
      <c r="P147" s="286">
        <v>17</v>
      </c>
      <c r="Q147" s="286">
        <v>158</v>
      </c>
      <c r="R147" s="286">
        <v>127</v>
      </c>
      <c r="S147" s="286">
        <v>31</v>
      </c>
      <c r="T147" s="286">
        <v>140</v>
      </c>
      <c r="U147" s="286">
        <v>117</v>
      </c>
      <c r="V147" s="286">
        <v>23</v>
      </c>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c r="CG147" s="286"/>
      <c r="CH147" s="286"/>
      <c r="CI147" s="286"/>
      <c r="CJ147" s="286"/>
      <c r="CK147" s="286"/>
      <c r="CL147" s="286"/>
      <c r="CM147" s="286"/>
      <c r="CN147" s="286"/>
      <c r="CO147" s="286"/>
      <c r="CP147" s="286"/>
      <c r="CQ147" s="286"/>
      <c r="CR147" s="286"/>
      <c r="CS147" s="286"/>
      <c r="CT147" s="286"/>
      <c r="CU147" s="286"/>
      <c r="CV147" s="286"/>
      <c r="CW147" s="286"/>
      <c r="CX147" s="286"/>
      <c r="CY147" s="286"/>
      <c r="CZ147" s="286"/>
      <c r="DA147" s="286"/>
      <c r="DB147" s="286"/>
      <c r="DC147" s="286"/>
      <c r="DD147" s="286"/>
      <c r="DE147" s="286"/>
      <c r="DF147" s="286"/>
      <c r="DG147" s="286"/>
      <c r="DH147" s="286"/>
      <c r="DI147" s="286"/>
      <c r="DJ147" s="286"/>
      <c r="DK147" s="286"/>
      <c r="DL147" s="286"/>
      <c r="DM147" s="286"/>
      <c r="DN147" s="286"/>
      <c r="DO147" s="286"/>
      <c r="DP147" s="286"/>
      <c r="DQ147" s="286"/>
      <c r="DR147" s="286"/>
      <c r="DS147" s="286"/>
      <c r="DT147" s="286"/>
      <c r="DU147" s="286"/>
      <c r="DV147" s="286"/>
      <c r="DW147" s="286"/>
      <c r="DX147" s="286"/>
      <c r="DY147" s="286"/>
      <c r="DZ147" s="286"/>
      <c r="EA147" s="286"/>
      <c r="EB147" s="286"/>
      <c r="EC147" s="286"/>
      <c r="ED147" s="286"/>
      <c r="EE147" s="286"/>
      <c r="EF147" s="286"/>
      <c r="EG147" s="286"/>
      <c r="EH147" s="286"/>
      <c r="EI147" s="286"/>
      <c r="EJ147" s="286"/>
      <c r="EK147" s="286"/>
      <c r="EL147" s="286"/>
      <c r="EM147" s="286"/>
      <c r="EN147" s="286"/>
      <c r="EO147" s="286"/>
      <c r="EP147" s="286"/>
      <c r="EQ147" s="286"/>
      <c r="ER147" s="286"/>
      <c r="ES147" s="286"/>
      <c r="ET147" s="286"/>
      <c r="EU147" s="286"/>
      <c r="EV147" s="286"/>
      <c r="EW147" s="286"/>
      <c r="EX147" s="286"/>
      <c r="EY147" s="286"/>
      <c r="EZ147" s="286"/>
      <c r="FA147" s="286"/>
      <c r="FB147" s="286"/>
      <c r="FC147" s="286"/>
      <c r="FD147" s="286"/>
      <c r="FE147" s="286"/>
      <c r="FF147" s="286"/>
      <c r="FG147" s="286"/>
      <c r="FH147" s="286"/>
      <c r="FI147" s="286"/>
      <c r="FJ147" s="286"/>
      <c r="FK147" s="286"/>
      <c r="FL147" s="286"/>
      <c r="FM147" s="286"/>
      <c r="FN147" s="286"/>
      <c r="FO147" s="286"/>
      <c r="FP147" s="286"/>
      <c r="FQ147" s="286"/>
      <c r="FR147" s="286"/>
      <c r="FS147" s="286"/>
    </row>
    <row r="148" spans="1:175">
      <c r="A148" s="212" t="s">
        <v>3159</v>
      </c>
      <c r="B148" s="212" t="s">
        <v>3160</v>
      </c>
      <c r="C148" s="212" t="s">
        <v>3172</v>
      </c>
      <c r="D148" s="212" t="s">
        <v>3233</v>
      </c>
      <c r="E148" s="212" t="s">
        <v>3309</v>
      </c>
      <c r="F148" s="278">
        <v>1813</v>
      </c>
      <c r="G148" s="278">
        <v>33867</v>
      </c>
      <c r="H148" s="287">
        <f t="shared" si="2"/>
        <v>4.3729884548380431</v>
      </c>
      <c r="I148" s="286">
        <v>47</v>
      </c>
      <c r="J148" s="286">
        <v>1481</v>
      </c>
      <c r="K148" s="286">
        <v>1076</v>
      </c>
      <c r="L148" s="286">
        <v>405</v>
      </c>
      <c r="M148" s="286">
        <v>1383</v>
      </c>
      <c r="N148" s="286">
        <v>1003</v>
      </c>
      <c r="O148" s="286">
        <v>380</v>
      </c>
      <c r="P148" s="286">
        <v>47</v>
      </c>
      <c r="Q148" s="286">
        <v>1481</v>
      </c>
      <c r="R148" s="286">
        <v>1076</v>
      </c>
      <c r="S148" s="286">
        <v>405</v>
      </c>
      <c r="T148" s="286">
        <v>1383</v>
      </c>
      <c r="U148" s="286">
        <v>1003</v>
      </c>
      <c r="V148" s="286">
        <v>380</v>
      </c>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c r="CG148" s="286"/>
      <c r="CH148" s="286"/>
      <c r="CI148" s="286"/>
      <c r="CJ148" s="286"/>
      <c r="CK148" s="286"/>
      <c r="CL148" s="286"/>
      <c r="CM148" s="286"/>
      <c r="CN148" s="286"/>
      <c r="CO148" s="286"/>
      <c r="CP148" s="286"/>
      <c r="CQ148" s="286"/>
      <c r="CR148" s="286"/>
      <c r="CS148" s="286"/>
      <c r="CT148" s="286"/>
      <c r="CU148" s="286"/>
      <c r="CV148" s="286"/>
      <c r="CW148" s="286"/>
      <c r="CX148" s="286"/>
      <c r="CY148" s="286"/>
      <c r="CZ148" s="286"/>
      <c r="DA148" s="286"/>
      <c r="DB148" s="286"/>
      <c r="DC148" s="286"/>
      <c r="DD148" s="286"/>
      <c r="DE148" s="286"/>
      <c r="DF148" s="286"/>
      <c r="DG148" s="286"/>
      <c r="DH148" s="286"/>
      <c r="DI148" s="286"/>
      <c r="DJ148" s="286"/>
      <c r="DK148" s="286"/>
      <c r="DL148" s="286"/>
      <c r="DM148" s="286"/>
      <c r="DN148" s="286"/>
      <c r="DO148" s="286"/>
      <c r="DP148" s="286"/>
      <c r="DQ148" s="286"/>
      <c r="DR148" s="286"/>
      <c r="DS148" s="286"/>
      <c r="DT148" s="286"/>
      <c r="DU148" s="286"/>
      <c r="DV148" s="286"/>
      <c r="DW148" s="286"/>
      <c r="DX148" s="286"/>
      <c r="DY148" s="286"/>
      <c r="DZ148" s="286"/>
      <c r="EA148" s="286"/>
      <c r="EB148" s="286"/>
      <c r="EC148" s="286"/>
      <c r="ED148" s="286"/>
      <c r="EE148" s="286"/>
      <c r="EF148" s="286"/>
      <c r="EG148" s="286"/>
      <c r="EH148" s="286"/>
      <c r="EI148" s="286"/>
      <c r="EJ148" s="286"/>
      <c r="EK148" s="286"/>
      <c r="EL148" s="286"/>
      <c r="EM148" s="286"/>
      <c r="EN148" s="286"/>
      <c r="EO148" s="286"/>
      <c r="EP148" s="286"/>
      <c r="EQ148" s="286"/>
      <c r="ER148" s="286"/>
      <c r="ES148" s="286"/>
      <c r="ET148" s="286"/>
      <c r="EU148" s="286"/>
      <c r="EV148" s="286"/>
      <c r="EW148" s="286"/>
      <c r="EX148" s="286"/>
      <c r="EY148" s="286"/>
      <c r="EZ148" s="286"/>
      <c r="FA148" s="286"/>
      <c r="FB148" s="286"/>
      <c r="FC148" s="286"/>
      <c r="FD148" s="286"/>
      <c r="FE148" s="286"/>
      <c r="FF148" s="286"/>
      <c r="FG148" s="286"/>
      <c r="FH148" s="286"/>
      <c r="FI148" s="286"/>
      <c r="FJ148" s="286"/>
      <c r="FK148" s="286"/>
      <c r="FL148" s="286"/>
      <c r="FM148" s="286"/>
      <c r="FN148" s="286"/>
      <c r="FO148" s="286"/>
      <c r="FP148" s="286"/>
      <c r="FQ148" s="286"/>
      <c r="FR148" s="286"/>
      <c r="FS148" s="286"/>
    </row>
    <row r="149" spans="1:175">
      <c r="A149" s="212" t="s">
        <v>3159</v>
      </c>
      <c r="B149" s="212" t="s">
        <v>3160</v>
      </c>
      <c r="C149" s="212" t="s">
        <v>3172</v>
      </c>
      <c r="D149" s="212" t="s">
        <v>3233</v>
      </c>
      <c r="E149" s="212" t="s">
        <v>3310</v>
      </c>
      <c r="F149" s="278">
        <v>3315</v>
      </c>
      <c r="G149" s="278">
        <v>95985</v>
      </c>
      <c r="H149" s="287">
        <f t="shared" si="2"/>
        <v>4.5152888472157109</v>
      </c>
      <c r="I149" s="286">
        <v>116</v>
      </c>
      <c r="J149" s="286">
        <v>4334</v>
      </c>
      <c r="K149" s="286">
        <v>3325</v>
      </c>
      <c r="L149" s="286">
        <v>996</v>
      </c>
      <c r="M149" s="286">
        <v>4165</v>
      </c>
      <c r="N149" s="286">
        <v>3200</v>
      </c>
      <c r="O149" s="286">
        <v>952</v>
      </c>
      <c r="P149" s="286">
        <v>116</v>
      </c>
      <c r="Q149" s="286">
        <v>4334</v>
      </c>
      <c r="R149" s="286">
        <v>3325</v>
      </c>
      <c r="S149" s="286">
        <v>996</v>
      </c>
      <c r="T149" s="286">
        <v>4165</v>
      </c>
      <c r="U149" s="286">
        <v>3200</v>
      </c>
      <c r="V149" s="286">
        <v>952</v>
      </c>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c r="CG149" s="286"/>
      <c r="CH149" s="286"/>
      <c r="CI149" s="286"/>
      <c r="CJ149" s="286"/>
      <c r="CK149" s="286"/>
      <c r="CL149" s="286"/>
      <c r="CM149" s="286"/>
      <c r="CN149" s="286"/>
      <c r="CO149" s="286"/>
      <c r="CP149" s="286"/>
      <c r="CQ149" s="286"/>
      <c r="CR149" s="286"/>
      <c r="CS149" s="286"/>
      <c r="CT149" s="286"/>
      <c r="CU149" s="286"/>
      <c r="CV149" s="286"/>
      <c r="CW149" s="286"/>
      <c r="CX149" s="286"/>
      <c r="CY149" s="286"/>
      <c r="CZ149" s="286"/>
      <c r="DA149" s="286"/>
      <c r="DB149" s="286"/>
      <c r="DC149" s="286"/>
      <c r="DD149" s="286"/>
      <c r="DE149" s="286"/>
      <c r="DF149" s="286"/>
      <c r="DG149" s="286"/>
      <c r="DH149" s="286"/>
      <c r="DI149" s="286"/>
      <c r="DJ149" s="286"/>
      <c r="DK149" s="286"/>
      <c r="DL149" s="286"/>
      <c r="DM149" s="286"/>
      <c r="DN149" s="286"/>
      <c r="DO149" s="286"/>
      <c r="DP149" s="286"/>
      <c r="DQ149" s="286"/>
      <c r="DR149" s="286"/>
      <c r="DS149" s="286"/>
      <c r="DT149" s="286"/>
      <c r="DU149" s="286"/>
      <c r="DV149" s="286"/>
      <c r="DW149" s="286"/>
      <c r="DX149" s="286"/>
      <c r="DY149" s="286"/>
      <c r="DZ149" s="286"/>
      <c r="EA149" s="286"/>
      <c r="EB149" s="286"/>
      <c r="EC149" s="286"/>
      <c r="ED149" s="286"/>
      <c r="EE149" s="286"/>
      <c r="EF149" s="286"/>
      <c r="EG149" s="286"/>
      <c r="EH149" s="286"/>
      <c r="EI149" s="286"/>
      <c r="EJ149" s="286"/>
      <c r="EK149" s="286"/>
      <c r="EL149" s="286"/>
      <c r="EM149" s="286"/>
      <c r="EN149" s="286"/>
      <c r="EO149" s="286"/>
      <c r="EP149" s="286"/>
      <c r="EQ149" s="286"/>
      <c r="ER149" s="286"/>
      <c r="ES149" s="286"/>
      <c r="ET149" s="286"/>
      <c r="EU149" s="286"/>
      <c r="EV149" s="286"/>
      <c r="EW149" s="286"/>
      <c r="EX149" s="286"/>
      <c r="EY149" s="286"/>
      <c r="EZ149" s="286"/>
      <c r="FA149" s="286"/>
      <c r="FB149" s="286"/>
      <c r="FC149" s="286"/>
      <c r="FD149" s="286"/>
      <c r="FE149" s="286"/>
      <c r="FF149" s="286"/>
      <c r="FG149" s="286"/>
      <c r="FH149" s="286"/>
      <c r="FI149" s="286"/>
      <c r="FJ149" s="286"/>
      <c r="FK149" s="286"/>
      <c r="FL149" s="286"/>
      <c r="FM149" s="286"/>
      <c r="FN149" s="286"/>
      <c r="FO149" s="286"/>
      <c r="FP149" s="286"/>
      <c r="FQ149" s="286"/>
      <c r="FR149" s="286"/>
      <c r="FS149" s="286"/>
    </row>
    <row r="150" spans="1:175">
      <c r="A150" s="212" t="s">
        <v>3159</v>
      </c>
      <c r="B150" s="212" t="s">
        <v>3160</v>
      </c>
      <c r="C150" s="212" t="s">
        <v>3172</v>
      </c>
      <c r="D150" s="212" t="s">
        <v>3233</v>
      </c>
      <c r="E150" s="212" t="s">
        <v>3311</v>
      </c>
      <c r="F150" s="278">
        <v>7023</v>
      </c>
      <c r="G150" s="278">
        <v>168167</v>
      </c>
      <c r="H150" s="287">
        <f t="shared" si="2"/>
        <v>2.4880029970208186</v>
      </c>
      <c r="I150" s="286">
        <v>175</v>
      </c>
      <c r="J150" s="286">
        <v>4184</v>
      </c>
      <c r="K150" s="286">
        <v>2492</v>
      </c>
      <c r="L150" s="286">
        <v>1623</v>
      </c>
      <c r="M150" s="286">
        <v>3809</v>
      </c>
      <c r="N150" s="286">
        <v>2254</v>
      </c>
      <c r="O150" s="286">
        <v>1490</v>
      </c>
      <c r="P150" s="286">
        <v>175</v>
      </c>
      <c r="Q150" s="286">
        <v>4184</v>
      </c>
      <c r="R150" s="286">
        <v>2492</v>
      </c>
      <c r="S150" s="286">
        <v>1623</v>
      </c>
      <c r="T150" s="286">
        <v>3809</v>
      </c>
      <c r="U150" s="286">
        <v>2254</v>
      </c>
      <c r="V150" s="286">
        <v>1490</v>
      </c>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c r="CG150" s="286"/>
      <c r="CH150" s="286"/>
      <c r="CI150" s="286"/>
      <c r="CJ150" s="286"/>
      <c r="CK150" s="286"/>
      <c r="CL150" s="286"/>
      <c r="CM150" s="286"/>
      <c r="CN150" s="286"/>
      <c r="CO150" s="286"/>
      <c r="CP150" s="286"/>
      <c r="CQ150" s="286"/>
      <c r="CR150" s="286"/>
      <c r="CS150" s="286"/>
      <c r="CT150" s="286"/>
      <c r="CU150" s="286"/>
      <c r="CV150" s="286"/>
      <c r="CW150" s="286"/>
      <c r="CX150" s="286"/>
      <c r="CY150" s="286"/>
      <c r="CZ150" s="286"/>
      <c r="DA150" s="286"/>
      <c r="DB150" s="286"/>
      <c r="DC150" s="286"/>
      <c r="DD150" s="286"/>
      <c r="DE150" s="286"/>
      <c r="DF150" s="286"/>
      <c r="DG150" s="286"/>
      <c r="DH150" s="286"/>
      <c r="DI150" s="286"/>
      <c r="DJ150" s="286"/>
      <c r="DK150" s="286"/>
      <c r="DL150" s="286"/>
      <c r="DM150" s="286"/>
      <c r="DN150" s="286"/>
      <c r="DO150" s="286"/>
      <c r="DP150" s="286"/>
      <c r="DQ150" s="286"/>
      <c r="DR150" s="286"/>
      <c r="DS150" s="286"/>
      <c r="DT150" s="286"/>
      <c r="DU150" s="286"/>
      <c r="DV150" s="286"/>
      <c r="DW150" s="286"/>
      <c r="DX150" s="286"/>
      <c r="DY150" s="286"/>
      <c r="DZ150" s="286"/>
      <c r="EA150" s="286"/>
      <c r="EB150" s="286"/>
      <c r="EC150" s="286"/>
      <c r="ED150" s="286"/>
      <c r="EE150" s="286"/>
      <c r="EF150" s="286"/>
      <c r="EG150" s="286"/>
      <c r="EH150" s="286"/>
      <c r="EI150" s="286"/>
      <c r="EJ150" s="286"/>
      <c r="EK150" s="286"/>
      <c r="EL150" s="286"/>
      <c r="EM150" s="286"/>
      <c r="EN150" s="286"/>
      <c r="EO150" s="286"/>
      <c r="EP150" s="286"/>
      <c r="EQ150" s="286"/>
      <c r="ER150" s="286"/>
      <c r="ES150" s="286"/>
      <c r="ET150" s="286"/>
      <c r="EU150" s="286"/>
      <c r="EV150" s="286"/>
      <c r="EW150" s="286"/>
      <c r="EX150" s="286"/>
      <c r="EY150" s="286"/>
      <c r="EZ150" s="286"/>
      <c r="FA150" s="286"/>
      <c r="FB150" s="286"/>
      <c r="FC150" s="286"/>
      <c r="FD150" s="286"/>
      <c r="FE150" s="286"/>
      <c r="FF150" s="286"/>
      <c r="FG150" s="286"/>
      <c r="FH150" s="286"/>
      <c r="FI150" s="286"/>
      <c r="FJ150" s="286"/>
      <c r="FK150" s="286"/>
      <c r="FL150" s="286"/>
      <c r="FM150" s="286"/>
      <c r="FN150" s="286"/>
      <c r="FO150" s="286"/>
      <c r="FP150" s="286"/>
      <c r="FQ150" s="286"/>
      <c r="FR150" s="286"/>
      <c r="FS150" s="286"/>
    </row>
    <row r="151" spans="1:175">
      <c r="A151" s="212" t="s">
        <v>3159</v>
      </c>
      <c r="B151" s="212" t="s">
        <v>3160</v>
      </c>
      <c r="C151" s="212" t="s">
        <v>3172</v>
      </c>
      <c r="D151" s="212" t="s">
        <v>3233</v>
      </c>
      <c r="E151" s="212" t="s">
        <v>3312</v>
      </c>
      <c r="F151" s="278">
        <v>2135</v>
      </c>
      <c r="G151" s="278">
        <v>38678</v>
      </c>
      <c r="H151" s="287">
        <f t="shared" si="2"/>
        <v>4.0152024406639431</v>
      </c>
      <c r="I151" s="286">
        <v>76</v>
      </c>
      <c r="J151" s="286">
        <v>1553</v>
      </c>
      <c r="K151" s="286">
        <v>1083</v>
      </c>
      <c r="L151" s="286">
        <v>470</v>
      </c>
      <c r="M151" s="286">
        <v>1417</v>
      </c>
      <c r="N151" s="286">
        <v>982</v>
      </c>
      <c r="O151" s="286">
        <v>435</v>
      </c>
      <c r="P151" s="286">
        <v>76</v>
      </c>
      <c r="Q151" s="286">
        <v>1553</v>
      </c>
      <c r="R151" s="286">
        <v>1083</v>
      </c>
      <c r="S151" s="286">
        <v>470</v>
      </c>
      <c r="T151" s="286">
        <v>1417</v>
      </c>
      <c r="U151" s="286">
        <v>982</v>
      </c>
      <c r="V151" s="286">
        <v>435</v>
      </c>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c r="CG151" s="286"/>
      <c r="CH151" s="286"/>
      <c r="CI151" s="286"/>
      <c r="CJ151" s="286"/>
      <c r="CK151" s="286"/>
      <c r="CL151" s="286"/>
      <c r="CM151" s="286"/>
      <c r="CN151" s="286"/>
      <c r="CO151" s="286"/>
      <c r="CP151" s="286"/>
      <c r="CQ151" s="286"/>
      <c r="CR151" s="286"/>
      <c r="CS151" s="286"/>
      <c r="CT151" s="286"/>
      <c r="CU151" s="286"/>
      <c r="CV151" s="286"/>
      <c r="CW151" s="286"/>
      <c r="CX151" s="286"/>
      <c r="CY151" s="286"/>
      <c r="CZ151" s="286"/>
      <c r="DA151" s="286"/>
      <c r="DB151" s="286"/>
      <c r="DC151" s="286"/>
      <c r="DD151" s="286"/>
      <c r="DE151" s="286"/>
      <c r="DF151" s="286"/>
      <c r="DG151" s="286"/>
      <c r="DH151" s="286"/>
      <c r="DI151" s="286"/>
      <c r="DJ151" s="286"/>
      <c r="DK151" s="286"/>
      <c r="DL151" s="286"/>
      <c r="DM151" s="286"/>
      <c r="DN151" s="286"/>
      <c r="DO151" s="286"/>
      <c r="DP151" s="286"/>
      <c r="DQ151" s="286"/>
      <c r="DR151" s="286"/>
      <c r="DS151" s="286"/>
      <c r="DT151" s="286"/>
      <c r="DU151" s="286"/>
      <c r="DV151" s="286"/>
      <c r="DW151" s="286"/>
      <c r="DX151" s="286"/>
      <c r="DY151" s="286"/>
      <c r="DZ151" s="286"/>
      <c r="EA151" s="286"/>
      <c r="EB151" s="286"/>
      <c r="EC151" s="286"/>
      <c r="ED151" s="286"/>
      <c r="EE151" s="286"/>
      <c r="EF151" s="286"/>
      <c r="EG151" s="286"/>
      <c r="EH151" s="286"/>
      <c r="EI151" s="286"/>
      <c r="EJ151" s="286"/>
      <c r="EK151" s="286"/>
      <c r="EL151" s="286"/>
      <c r="EM151" s="286"/>
      <c r="EN151" s="286"/>
      <c r="EO151" s="286"/>
      <c r="EP151" s="286"/>
      <c r="EQ151" s="286"/>
      <c r="ER151" s="286"/>
      <c r="ES151" s="286"/>
      <c r="ET151" s="286"/>
      <c r="EU151" s="286"/>
      <c r="EV151" s="286"/>
      <c r="EW151" s="286"/>
      <c r="EX151" s="286"/>
      <c r="EY151" s="286"/>
      <c r="EZ151" s="286"/>
      <c r="FA151" s="286"/>
      <c r="FB151" s="286"/>
      <c r="FC151" s="286"/>
      <c r="FD151" s="286"/>
      <c r="FE151" s="286"/>
      <c r="FF151" s="286"/>
      <c r="FG151" s="286"/>
      <c r="FH151" s="286"/>
      <c r="FI151" s="286"/>
      <c r="FJ151" s="286"/>
      <c r="FK151" s="286"/>
      <c r="FL151" s="286"/>
      <c r="FM151" s="286"/>
      <c r="FN151" s="286"/>
      <c r="FO151" s="286"/>
      <c r="FP151" s="286"/>
      <c r="FQ151" s="286"/>
      <c r="FR151" s="286"/>
      <c r="FS151" s="286"/>
    </row>
    <row r="152" spans="1:175">
      <c r="A152" s="212" t="s">
        <v>3159</v>
      </c>
      <c r="B152" s="212" t="s">
        <v>3160</v>
      </c>
      <c r="C152" s="212" t="s">
        <v>3172</v>
      </c>
      <c r="D152" s="212" t="s">
        <v>3233</v>
      </c>
      <c r="E152" s="212" t="s">
        <v>3313</v>
      </c>
      <c r="F152" s="278">
        <v>1439</v>
      </c>
      <c r="G152" s="278">
        <v>20992</v>
      </c>
      <c r="H152" s="287">
        <f t="shared" si="2"/>
        <v>2.5866996951219514</v>
      </c>
      <c r="I152" s="286">
        <v>47</v>
      </c>
      <c r="J152" s="286">
        <v>543</v>
      </c>
      <c r="K152" s="286">
        <v>436</v>
      </c>
      <c r="L152" s="286">
        <v>107</v>
      </c>
      <c r="M152" s="286">
        <v>489</v>
      </c>
      <c r="N152" s="286">
        <v>391</v>
      </c>
      <c r="O152" s="286">
        <v>98</v>
      </c>
      <c r="P152" s="286">
        <v>47</v>
      </c>
      <c r="Q152" s="286">
        <v>543</v>
      </c>
      <c r="R152" s="286">
        <v>436</v>
      </c>
      <c r="S152" s="286">
        <v>107</v>
      </c>
      <c r="T152" s="286">
        <v>489</v>
      </c>
      <c r="U152" s="286">
        <v>391</v>
      </c>
      <c r="V152" s="286">
        <v>98</v>
      </c>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c r="CG152" s="286"/>
      <c r="CH152" s="286"/>
      <c r="CI152" s="286"/>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c r="DV152" s="286"/>
      <c r="DW152" s="286"/>
      <c r="DX152" s="286"/>
      <c r="DY152" s="286"/>
      <c r="DZ152" s="286"/>
      <c r="EA152" s="286"/>
      <c r="EB152" s="286"/>
      <c r="EC152" s="286"/>
      <c r="ED152" s="286"/>
      <c r="EE152" s="286"/>
      <c r="EF152" s="286"/>
      <c r="EG152" s="286"/>
      <c r="EH152" s="286"/>
      <c r="EI152" s="286"/>
      <c r="EJ152" s="286"/>
      <c r="EK152" s="286"/>
      <c r="EL152" s="286"/>
      <c r="EM152" s="286"/>
      <c r="EN152" s="286"/>
      <c r="EO152" s="286"/>
      <c r="EP152" s="286"/>
      <c r="EQ152" s="286"/>
      <c r="ER152" s="286"/>
      <c r="ES152" s="286"/>
      <c r="ET152" s="286"/>
      <c r="EU152" s="286"/>
      <c r="EV152" s="286"/>
      <c r="EW152" s="286"/>
      <c r="EX152" s="286"/>
      <c r="EY152" s="286"/>
      <c r="EZ152" s="286"/>
      <c r="FA152" s="286"/>
      <c r="FB152" s="286"/>
      <c r="FC152" s="286"/>
      <c r="FD152" s="286"/>
      <c r="FE152" s="286"/>
      <c r="FF152" s="286"/>
      <c r="FG152" s="286"/>
      <c r="FH152" s="286"/>
      <c r="FI152" s="286"/>
      <c r="FJ152" s="286"/>
      <c r="FK152" s="286"/>
      <c r="FL152" s="286"/>
      <c r="FM152" s="286"/>
      <c r="FN152" s="286"/>
      <c r="FO152" s="286"/>
      <c r="FP152" s="286"/>
      <c r="FQ152" s="286"/>
      <c r="FR152" s="286"/>
      <c r="FS152" s="286"/>
    </row>
    <row r="153" spans="1:175">
      <c r="A153" s="212" t="s">
        <v>3159</v>
      </c>
      <c r="B153" s="212" t="s">
        <v>3160</v>
      </c>
      <c r="C153" s="212" t="s">
        <v>3172</v>
      </c>
      <c r="D153" s="212" t="s">
        <v>3233</v>
      </c>
      <c r="E153" s="212" t="s">
        <v>3314</v>
      </c>
      <c r="F153" s="278">
        <v>5877</v>
      </c>
      <c r="G153" s="278">
        <v>129055</v>
      </c>
      <c r="H153" s="287">
        <f t="shared" si="2"/>
        <v>3.0583859594746428</v>
      </c>
      <c r="I153" s="286">
        <v>175</v>
      </c>
      <c r="J153" s="286">
        <v>3947</v>
      </c>
      <c r="K153" s="286">
        <v>2385</v>
      </c>
      <c r="L153" s="286">
        <v>1562</v>
      </c>
      <c r="M153" s="286">
        <v>3675</v>
      </c>
      <c r="N153" s="286">
        <v>2209</v>
      </c>
      <c r="O153" s="286">
        <v>1466</v>
      </c>
      <c r="P153" s="286">
        <v>175</v>
      </c>
      <c r="Q153" s="286">
        <v>3947</v>
      </c>
      <c r="R153" s="286">
        <v>2385</v>
      </c>
      <c r="S153" s="286">
        <v>1562</v>
      </c>
      <c r="T153" s="286">
        <v>3675</v>
      </c>
      <c r="U153" s="286">
        <v>2209</v>
      </c>
      <c r="V153" s="286">
        <v>1466</v>
      </c>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c r="CG153" s="286"/>
      <c r="CH153" s="286"/>
      <c r="CI153" s="286"/>
      <c r="CJ153" s="286"/>
      <c r="CK153" s="286"/>
      <c r="CL153" s="286"/>
      <c r="CM153" s="286"/>
      <c r="CN153" s="286"/>
      <c r="CO153" s="286"/>
      <c r="CP153" s="286"/>
      <c r="CQ153" s="286"/>
      <c r="CR153" s="286"/>
      <c r="CS153" s="286"/>
      <c r="CT153" s="286"/>
      <c r="CU153" s="286"/>
      <c r="CV153" s="286"/>
      <c r="CW153" s="286"/>
      <c r="CX153" s="286"/>
      <c r="CY153" s="286"/>
      <c r="CZ153" s="286"/>
      <c r="DA153" s="286"/>
      <c r="DB153" s="286"/>
      <c r="DC153" s="286"/>
      <c r="DD153" s="286"/>
      <c r="DE153" s="286"/>
      <c r="DF153" s="286"/>
      <c r="DG153" s="286"/>
      <c r="DH153" s="286"/>
      <c r="DI153" s="286"/>
      <c r="DJ153" s="286"/>
      <c r="DK153" s="286"/>
      <c r="DL153" s="286"/>
      <c r="DM153" s="286"/>
      <c r="DN153" s="286"/>
      <c r="DO153" s="286"/>
      <c r="DP153" s="286"/>
      <c r="DQ153" s="286"/>
      <c r="DR153" s="286"/>
      <c r="DS153" s="286"/>
      <c r="DT153" s="286"/>
      <c r="DU153" s="286"/>
      <c r="DV153" s="286"/>
      <c r="DW153" s="286"/>
      <c r="DX153" s="286"/>
      <c r="DY153" s="286"/>
      <c r="DZ153" s="286"/>
      <c r="EA153" s="286"/>
      <c r="EB153" s="286"/>
      <c r="EC153" s="286"/>
      <c r="ED153" s="286"/>
      <c r="EE153" s="286"/>
      <c r="EF153" s="286"/>
      <c r="EG153" s="286"/>
      <c r="EH153" s="286"/>
      <c r="EI153" s="286"/>
      <c r="EJ153" s="286"/>
      <c r="EK153" s="286"/>
      <c r="EL153" s="286"/>
      <c r="EM153" s="286"/>
      <c r="EN153" s="286"/>
      <c r="EO153" s="286"/>
      <c r="EP153" s="286"/>
      <c r="EQ153" s="286"/>
      <c r="ER153" s="286"/>
      <c r="ES153" s="286"/>
      <c r="ET153" s="286"/>
      <c r="EU153" s="286"/>
      <c r="EV153" s="286"/>
      <c r="EW153" s="286"/>
      <c r="EX153" s="286"/>
      <c r="EY153" s="286"/>
      <c r="EZ153" s="286"/>
      <c r="FA153" s="286"/>
      <c r="FB153" s="286"/>
      <c r="FC153" s="286"/>
      <c r="FD153" s="286"/>
      <c r="FE153" s="286"/>
      <c r="FF153" s="286"/>
      <c r="FG153" s="286"/>
      <c r="FH153" s="286"/>
      <c r="FI153" s="286"/>
      <c r="FJ153" s="286"/>
      <c r="FK153" s="286"/>
      <c r="FL153" s="286"/>
      <c r="FM153" s="286"/>
      <c r="FN153" s="286"/>
      <c r="FO153" s="286"/>
      <c r="FP153" s="286"/>
      <c r="FQ153" s="286"/>
      <c r="FR153" s="286"/>
      <c r="FS153" s="286"/>
    </row>
    <row r="154" spans="1:175">
      <c r="A154" s="212" t="s">
        <v>3159</v>
      </c>
      <c r="B154" s="212" t="s">
        <v>3160</v>
      </c>
      <c r="C154" s="212" t="s">
        <v>3170</v>
      </c>
      <c r="D154" s="212" t="s">
        <v>3233</v>
      </c>
      <c r="E154" s="212" t="s">
        <v>3315</v>
      </c>
      <c r="F154" s="278">
        <v>4539</v>
      </c>
      <c r="G154" s="278">
        <v>131795</v>
      </c>
      <c r="H154" s="287">
        <f t="shared" si="2"/>
        <v>5.5548389544368142</v>
      </c>
      <c r="I154" s="286">
        <v>394</v>
      </c>
      <c r="J154" s="286">
        <v>7321</v>
      </c>
      <c r="K154" s="286">
        <v>5161</v>
      </c>
      <c r="L154" s="286">
        <v>2159</v>
      </c>
      <c r="M154" s="286">
        <v>6578</v>
      </c>
      <c r="N154" s="286">
        <v>4682</v>
      </c>
      <c r="O154" s="286">
        <v>1895</v>
      </c>
      <c r="P154" s="286">
        <v>394</v>
      </c>
      <c r="Q154" s="286">
        <v>7321</v>
      </c>
      <c r="R154" s="286">
        <v>5161</v>
      </c>
      <c r="S154" s="286">
        <v>2159</v>
      </c>
      <c r="T154" s="286">
        <v>6578</v>
      </c>
      <c r="U154" s="286">
        <v>4682</v>
      </c>
      <c r="V154" s="286">
        <v>1895</v>
      </c>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c r="CG154" s="286"/>
      <c r="CH154" s="286"/>
      <c r="CI154" s="286"/>
      <c r="CJ154" s="286"/>
      <c r="CK154" s="286"/>
      <c r="CL154" s="286"/>
      <c r="CM154" s="286"/>
      <c r="CN154" s="286"/>
      <c r="CO154" s="286"/>
      <c r="CP154" s="286"/>
      <c r="CQ154" s="286"/>
      <c r="CR154" s="286"/>
      <c r="CS154" s="286"/>
      <c r="CT154" s="286"/>
      <c r="CU154" s="286"/>
      <c r="CV154" s="286"/>
      <c r="CW154" s="286"/>
      <c r="CX154" s="286"/>
      <c r="CY154" s="286"/>
      <c r="CZ154" s="286"/>
      <c r="DA154" s="286"/>
      <c r="DB154" s="286"/>
      <c r="DC154" s="286"/>
      <c r="DD154" s="286"/>
      <c r="DE154" s="286"/>
      <c r="DF154" s="286"/>
      <c r="DG154" s="286"/>
      <c r="DH154" s="286"/>
      <c r="DI154" s="286"/>
      <c r="DJ154" s="286"/>
      <c r="DK154" s="286"/>
      <c r="DL154" s="286"/>
      <c r="DM154" s="286"/>
      <c r="DN154" s="286"/>
      <c r="DO154" s="286"/>
      <c r="DP154" s="286"/>
      <c r="DQ154" s="286"/>
      <c r="DR154" s="286"/>
      <c r="DS154" s="286"/>
      <c r="DT154" s="286"/>
      <c r="DU154" s="286"/>
      <c r="DV154" s="286"/>
      <c r="DW154" s="286"/>
      <c r="DX154" s="286"/>
      <c r="DY154" s="286"/>
      <c r="DZ154" s="286"/>
      <c r="EA154" s="286"/>
      <c r="EB154" s="286"/>
      <c r="EC154" s="286"/>
      <c r="ED154" s="286"/>
      <c r="EE154" s="286"/>
      <c r="EF154" s="286"/>
      <c r="EG154" s="286"/>
      <c r="EH154" s="286"/>
      <c r="EI154" s="286"/>
      <c r="EJ154" s="286"/>
      <c r="EK154" s="286"/>
      <c r="EL154" s="286"/>
      <c r="EM154" s="286"/>
      <c r="EN154" s="286"/>
      <c r="EO154" s="286"/>
      <c r="EP154" s="286"/>
      <c r="EQ154" s="286"/>
      <c r="ER154" s="286"/>
      <c r="ES154" s="286"/>
      <c r="ET154" s="286"/>
      <c r="EU154" s="286"/>
      <c r="EV154" s="286"/>
      <c r="EW154" s="286"/>
      <c r="EX154" s="286"/>
      <c r="EY154" s="286"/>
      <c r="EZ154" s="286"/>
      <c r="FA154" s="286"/>
      <c r="FB154" s="286"/>
      <c r="FC154" s="286"/>
      <c r="FD154" s="286"/>
      <c r="FE154" s="286"/>
      <c r="FF154" s="286"/>
      <c r="FG154" s="286"/>
      <c r="FH154" s="286"/>
      <c r="FI154" s="286"/>
      <c r="FJ154" s="286"/>
      <c r="FK154" s="286"/>
      <c r="FL154" s="286"/>
      <c r="FM154" s="286"/>
      <c r="FN154" s="286"/>
      <c r="FO154" s="286"/>
      <c r="FP154" s="286"/>
      <c r="FQ154" s="286"/>
      <c r="FR154" s="286"/>
      <c r="FS154" s="286"/>
    </row>
    <row r="155" spans="1:175">
      <c r="A155" s="212" t="s">
        <v>3159</v>
      </c>
      <c r="B155" s="212" t="s">
        <v>3160</v>
      </c>
      <c r="C155" s="212" t="s">
        <v>3172</v>
      </c>
      <c r="D155" s="212" t="s">
        <v>3233</v>
      </c>
      <c r="E155" s="212" t="s">
        <v>3316</v>
      </c>
      <c r="F155" s="278">
        <v>97</v>
      </c>
      <c r="G155" s="278">
        <v>4917</v>
      </c>
      <c r="H155" s="287">
        <f t="shared" si="2"/>
        <v>0.89485458612975388</v>
      </c>
      <c r="I155" s="286">
        <v>5</v>
      </c>
      <c r="J155" s="286">
        <v>44</v>
      </c>
      <c r="K155" s="286">
        <v>20</v>
      </c>
      <c r="L155" s="286">
        <v>24</v>
      </c>
      <c r="M155" s="286">
        <v>37</v>
      </c>
      <c r="N155" s="286">
        <v>14</v>
      </c>
      <c r="O155" s="286">
        <v>23</v>
      </c>
      <c r="P155" s="286">
        <v>5</v>
      </c>
      <c r="Q155" s="286">
        <v>44</v>
      </c>
      <c r="R155" s="286">
        <v>20</v>
      </c>
      <c r="S155" s="286">
        <v>24</v>
      </c>
      <c r="T155" s="286">
        <v>37</v>
      </c>
      <c r="U155" s="286">
        <v>14</v>
      </c>
      <c r="V155" s="286">
        <v>23</v>
      </c>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c r="CG155" s="286"/>
      <c r="CH155" s="286"/>
      <c r="CI155" s="286"/>
      <c r="CJ155" s="286"/>
      <c r="CK155" s="286"/>
      <c r="CL155" s="286"/>
      <c r="CM155" s="286"/>
      <c r="CN155" s="286"/>
      <c r="CO155" s="286"/>
      <c r="CP155" s="286"/>
      <c r="CQ155" s="286"/>
      <c r="CR155" s="286"/>
      <c r="CS155" s="286"/>
      <c r="CT155" s="286"/>
      <c r="CU155" s="286"/>
      <c r="CV155" s="286"/>
      <c r="CW155" s="286"/>
      <c r="CX155" s="286"/>
      <c r="CY155" s="286"/>
      <c r="CZ155" s="286"/>
      <c r="DA155" s="286"/>
      <c r="DB155" s="286"/>
      <c r="DC155" s="286"/>
      <c r="DD155" s="286"/>
      <c r="DE155" s="286"/>
      <c r="DF155" s="286"/>
      <c r="DG155" s="286"/>
      <c r="DH155" s="286"/>
      <c r="DI155" s="286"/>
      <c r="DJ155" s="286"/>
      <c r="DK155" s="286"/>
      <c r="DL155" s="286"/>
      <c r="DM155" s="286"/>
      <c r="DN155" s="286"/>
      <c r="DO155" s="286"/>
      <c r="DP155" s="286"/>
      <c r="DQ155" s="286"/>
      <c r="DR155" s="286"/>
      <c r="DS155" s="286"/>
      <c r="DT155" s="286"/>
      <c r="DU155" s="286"/>
      <c r="DV155" s="286"/>
      <c r="DW155" s="286"/>
      <c r="DX155" s="286"/>
      <c r="DY155" s="286"/>
      <c r="DZ155" s="286"/>
      <c r="EA155" s="286"/>
      <c r="EB155" s="286"/>
      <c r="EC155" s="286"/>
      <c r="ED155" s="286"/>
      <c r="EE155" s="286"/>
      <c r="EF155" s="286"/>
      <c r="EG155" s="286"/>
      <c r="EH155" s="286"/>
      <c r="EI155" s="286"/>
      <c r="EJ155" s="286"/>
      <c r="EK155" s="286"/>
      <c r="EL155" s="286"/>
      <c r="EM155" s="286"/>
      <c r="EN155" s="286"/>
      <c r="EO155" s="286"/>
      <c r="EP155" s="286"/>
      <c r="EQ155" s="286"/>
      <c r="ER155" s="286"/>
      <c r="ES155" s="286"/>
      <c r="ET155" s="286"/>
      <c r="EU155" s="286"/>
      <c r="EV155" s="286"/>
      <c r="EW155" s="286"/>
      <c r="EX155" s="286"/>
      <c r="EY155" s="286"/>
      <c r="EZ155" s="286"/>
      <c r="FA155" s="286"/>
      <c r="FB155" s="286"/>
      <c r="FC155" s="286"/>
      <c r="FD155" s="286"/>
      <c r="FE155" s="286"/>
      <c r="FF155" s="286"/>
      <c r="FG155" s="286"/>
      <c r="FH155" s="286"/>
      <c r="FI155" s="286"/>
      <c r="FJ155" s="286"/>
      <c r="FK155" s="286"/>
      <c r="FL155" s="286"/>
      <c r="FM155" s="286"/>
      <c r="FN155" s="286"/>
      <c r="FO155" s="286"/>
      <c r="FP155" s="286"/>
      <c r="FQ155" s="286"/>
      <c r="FR155" s="286"/>
      <c r="FS155" s="286"/>
    </row>
    <row r="156" spans="1:175">
      <c r="A156" s="212" t="s">
        <v>3159</v>
      </c>
      <c r="B156" s="212" t="s">
        <v>3160</v>
      </c>
      <c r="C156" s="212" t="s">
        <v>3172</v>
      </c>
      <c r="D156" s="212" t="s">
        <v>3233</v>
      </c>
      <c r="E156" s="212" t="s">
        <v>3317</v>
      </c>
      <c r="F156" s="278">
        <v>83</v>
      </c>
      <c r="G156" s="278">
        <v>25984</v>
      </c>
      <c r="H156" s="287">
        <f t="shared" si="2"/>
        <v>5.0492610837438425</v>
      </c>
      <c r="I156" s="286">
        <v>6</v>
      </c>
      <c r="J156" s="286">
        <v>1312</v>
      </c>
      <c r="K156" s="286">
        <v>1016</v>
      </c>
      <c r="L156" s="286">
        <v>296</v>
      </c>
      <c r="M156" s="286">
        <v>1284</v>
      </c>
      <c r="N156" s="286">
        <v>988</v>
      </c>
      <c r="O156" s="286">
        <v>296</v>
      </c>
      <c r="P156" s="286">
        <v>6</v>
      </c>
      <c r="Q156" s="286">
        <v>1312</v>
      </c>
      <c r="R156" s="286">
        <v>1016</v>
      </c>
      <c r="S156" s="286">
        <v>296</v>
      </c>
      <c r="T156" s="286">
        <v>1284</v>
      </c>
      <c r="U156" s="286">
        <v>988</v>
      </c>
      <c r="V156" s="286">
        <v>296</v>
      </c>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286"/>
      <c r="ET156" s="286"/>
      <c r="EU156" s="286"/>
      <c r="EV156" s="286"/>
      <c r="EW156" s="286"/>
      <c r="EX156" s="286"/>
      <c r="EY156" s="286"/>
      <c r="EZ156" s="286"/>
      <c r="FA156" s="286"/>
      <c r="FB156" s="286"/>
      <c r="FC156" s="286"/>
      <c r="FD156" s="286"/>
      <c r="FE156" s="286"/>
      <c r="FF156" s="286"/>
      <c r="FG156" s="286"/>
      <c r="FH156" s="286"/>
      <c r="FI156" s="286"/>
      <c r="FJ156" s="286"/>
      <c r="FK156" s="286"/>
      <c r="FL156" s="286"/>
      <c r="FM156" s="286"/>
      <c r="FN156" s="286"/>
      <c r="FO156" s="286"/>
      <c r="FP156" s="286"/>
      <c r="FQ156" s="286"/>
      <c r="FR156" s="286"/>
      <c r="FS156" s="286"/>
    </row>
    <row r="157" spans="1:175">
      <c r="A157" s="212" t="s">
        <v>3159</v>
      </c>
      <c r="B157" s="212" t="s">
        <v>3160</v>
      </c>
      <c r="C157" s="212" t="s">
        <v>3172</v>
      </c>
      <c r="D157" s="212" t="s">
        <v>3233</v>
      </c>
      <c r="E157" s="212" t="s">
        <v>3318</v>
      </c>
      <c r="F157" s="278">
        <v>516</v>
      </c>
      <c r="G157" s="278">
        <v>5251</v>
      </c>
      <c r="H157" s="287">
        <f t="shared" si="2"/>
        <v>22.014854313464102</v>
      </c>
      <c r="I157" s="286">
        <v>196</v>
      </c>
      <c r="J157" s="286">
        <v>1156</v>
      </c>
      <c r="K157" s="286">
        <v>639</v>
      </c>
      <c r="L157" s="286">
        <v>517</v>
      </c>
      <c r="M157" s="286">
        <v>782</v>
      </c>
      <c r="N157" s="286">
        <v>415</v>
      </c>
      <c r="O157" s="286">
        <v>367</v>
      </c>
      <c r="P157" s="286">
        <v>196</v>
      </c>
      <c r="Q157" s="286">
        <v>1156</v>
      </c>
      <c r="R157" s="286">
        <v>639</v>
      </c>
      <c r="S157" s="286">
        <v>517</v>
      </c>
      <c r="T157" s="286">
        <v>782</v>
      </c>
      <c r="U157" s="286">
        <v>415</v>
      </c>
      <c r="V157" s="286">
        <v>367</v>
      </c>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c r="CG157" s="286"/>
      <c r="CH157" s="286"/>
      <c r="CI157" s="286"/>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286"/>
      <c r="ET157" s="286"/>
      <c r="EU157" s="286"/>
      <c r="EV157" s="286"/>
      <c r="EW157" s="286"/>
      <c r="EX157" s="286"/>
      <c r="EY157" s="286"/>
      <c r="EZ157" s="286"/>
      <c r="FA157" s="286"/>
      <c r="FB157" s="286"/>
      <c r="FC157" s="286"/>
      <c r="FD157" s="286"/>
      <c r="FE157" s="286"/>
      <c r="FF157" s="286"/>
      <c r="FG157" s="286"/>
      <c r="FH157" s="286"/>
      <c r="FI157" s="286"/>
      <c r="FJ157" s="286"/>
      <c r="FK157" s="286"/>
      <c r="FL157" s="286"/>
      <c r="FM157" s="286"/>
      <c r="FN157" s="286"/>
      <c r="FO157" s="286"/>
      <c r="FP157" s="286"/>
      <c r="FQ157" s="286"/>
      <c r="FR157" s="286"/>
      <c r="FS157" s="286"/>
    </row>
    <row r="158" spans="1:175">
      <c r="A158" s="212" t="s">
        <v>3159</v>
      </c>
      <c r="B158" s="212" t="s">
        <v>3160</v>
      </c>
      <c r="C158" s="212" t="s">
        <v>3172</v>
      </c>
      <c r="D158" s="212" t="s">
        <v>3233</v>
      </c>
      <c r="E158" s="212" t="s">
        <v>3319</v>
      </c>
      <c r="F158" s="278">
        <v>3151</v>
      </c>
      <c r="G158" s="278">
        <v>82927</v>
      </c>
      <c r="H158" s="287">
        <f t="shared" si="2"/>
        <v>4.9995779420454136</v>
      </c>
      <c r="I158" s="286">
        <v>144</v>
      </c>
      <c r="J158" s="286">
        <v>4146</v>
      </c>
      <c r="K158" s="286">
        <v>3055</v>
      </c>
      <c r="L158" s="286">
        <v>1091</v>
      </c>
      <c r="M158" s="286">
        <v>3861</v>
      </c>
      <c r="N158" s="286">
        <v>2872</v>
      </c>
      <c r="O158" s="286">
        <v>989</v>
      </c>
      <c r="P158" s="286">
        <v>144</v>
      </c>
      <c r="Q158" s="286">
        <v>4146</v>
      </c>
      <c r="R158" s="286">
        <v>3055</v>
      </c>
      <c r="S158" s="286">
        <v>1091</v>
      </c>
      <c r="T158" s="286">
        <v>3861</v>
      </c>
      <c r="U158" s="286">
        <v>2872</v>
      </c>
      <c r="V158" s="286">
        <v>989</v>
      </c>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c r="CG158" s="286"/>
      <c r="CH158" s="286"/>
      <c r="CI158" s="286"/>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286"/>
      <c r="ET158" s="286"/>
      <c r="EU158" s="286"/>
      <c r="EV158" s="286"/>
      <c r="EW158" s="286"/>
      <c r="EX158" s="286"/>
      <c r="EY158" s="286"/>
      <c r="EZ158" s="286"/>
      <c r="FA158" s="286"/>
      <c r="FB158" s="286"/>
      <c r="FC158" s="286"/>
      <c r="FD158" s="286"/>
      <c r="FE158" s="286"/>
      <c r="FF158" s="286"/>
      <c r="FG158" s="286"/>
      <c r="FH158" s="286"/>
      <c r="FI158" s="286"/>
      <c r="FJ158" s="286"/>
      <c r="FK158" s="286"/>
      <c r="FL158" s="286"/>
      <c r="FM158" s="286"/>
      <c r="FN158" s="286"/>
      <c r="FO158" s="286"/>
      <c r="FP158" s="286"/>
      <c r="FQ158" s="286"/>
      <c r="FR158" s="286"/>
      <c r="FS158" s="286"/>
    </row>
    <row r="159" spans="1:175">
      <c r="A159" s="212" t="s">
        <v>3159</v>
      </c>
      <c r="B159" s="212" t="s">
        <v>3160</v>
      </c>
      <c r="C159" s="212" t="s">
        <v>3172</v>
      </c>
      <c r="D159" s="212" t="s">
        <v>3233</v>
      </c>
      <c r="E159" s="212" t="s">
        <v>3320</v>
      </c>
      <c r="F159" s="278">
        <v>692</v>
      </c>
      <c r="G159" s="278">
        <v>12716</v>
      </c>
      <c r="H159" s="287">
        <f t="shared" si="2"/>
        <v>5.213903743315508</v>
      </c>
      <c r="I159" s="286">
        <v>43</v>
      </c>
      <c r="J159" s="286">
        <v>663</v>
      </c>
      <c r="K159" s="286">
        <v>431</v>
      </c>
      <c r="L159" s="286">
        <v>231</v>
      </c>
      <c r="M159" s="286">
        <v>614</v>
      </c>
      <c r="N159" s="286">
        <v>393</v>
      </c>
      <c r="O159" s="286">
        <v>220</v>
      </c>
      <c r="P159" s="286">
        <v>43</v>
      </c>
      <c r="Q159" s="286">
        <v>663</v>
      </c>
      <c r="R159" s="286">
        <v>431</v>
      </c>
      <c r="S159" s="286">
        <v>231</v>
      </c>
      <c r="T159" s="286">
        <v>614</v>
      </c>
      <c r="U159" s="286">
        <v>393</v>
      </c>
      <c r="V159" s="286">
        <v>220</v>
      </c>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6"/>
      <c r="DM159" s="286"/>
      <c r="DN159" s="286"/>
      <c r="DO159" s="286"/>
      <c r="DP159" s="286"/>
      <c r="DQ159" s="286"/>
      <c r="DR159" s="286"/>
      <c r="DS159" s="286"/>
      <c r="DT159" s="286"/>
      <c r="DU159" s="286"/>
      <c r="DV159" s="286"/>
      <c r="DW159" s="286"/>
      <c r="DX159" s="286"/>
      <c r="DY159" s="286"/>
      <c r="DZ159" s="286"/>
      <c r="EA159" s="286"/>
      <c r="EB159" s="286"/>
      <c r="EC159" s="286"/>
      <c r="ED159" s="286"/>
      <c r="EE159" s="286"/>
      <c r="EF159" s="286"/>
      <c r="EG159" s="286"/>
      <c r="EH159" s="286"/>
      <c r="EI159" s="286"/>
      <c r="EJ159" s="286"/>
      <c r="EK159" s="286"/>
      <c r="EL159" s="286"/>
      <c r="EM159" s="286"/>
      <c r="EN159" s="286"/>
      <c r="EO159" s="286"/>
      <c r="EP159" s="286"/>
      <c r="EQ159" s="286"/>
      <c r="ER159" s="286"/>
      <c r="ES159" s="286"/>
      <c r="ET159" s="286"/>
      <c r="EU159" s="286"/>
      <c r="EV159" s="286"/>
      <c r="EW159" s="286"/>
      <c r="EX159" s="286"/>
      <c r="EY159" s="286"/>
      <c r="EZ159" s="286"/>
      <c r="FA159" s="286"/>
      <c r="FB159" s="286"/>
      <c r="FC159" s="286"/>
      <c r="FD159" s="286"/>
      <c r="FE159" s="286"/>
      <c r="FF159" s="286"/>
      <c r="FG159" s="286"/>
      <c r="FH159" s="286"/>
      <c r="FI159" s="286"/>
      <c r="FJ159" s="286"/>
      <c r="FK159" s="286"/>
      <c r="FL159" s="286"/>
      <c r="FM159" s="286"/>
      <c r="FN159" s="286"/>
      <c r="FO159" s="286"/>
      <c r="FP159" s="286"/>
      <c r="FQ159" s="286"/>
      <c r="FR159" s="286"/>
      <c r="FS159" s="286"/>
    </row>
    <row r="160" spans="1:175">
      <c r="A160" s="212" t="s">
        <v>3159</v>
      </c>
      <c r="B160" s="212" t="s">
        <v>3160</v>
      </c>
      <c r="C160" s="212" t="s">
        <v>3170</v>
      </c>
      <c r="D160" s="212" t="s">
        <v>3233</v>
      </c>
      <c r="E160" s="212" t="s">
        <v>3321</v>
      </c>
      <c r="F160" s="278">
        <v>4085</v>
      </c>
      <c r="G160" s="278">
        <v>29509</v>
      </c>
      <c r="H160" s="287">
        <f t="shared" si="2"/>
        <v>16.120505608458437</v>
      </c>
      <c r="I160" s="286">
        <v>640</v>
      </c>
      <c r="J160" s="286">
        <v>4757</v>
      </c>
      <c r="K160" s="286">
        <v>2230</v>
      </c>
      <c r="L160" s="286">
        <v>2527</v>
      </c>
      <c r="M160" s="286">
        <v>3612</v>
      </c>
      <c r="N160" s="286">
        <v>1504</v>
      </c>
      <c r="O160" s="286">
        <v>2108</v>
      </c>
      <c r="P160" s="286">
        <v>640</v>
      </c>
      <c r="Q160" s="286">
        <v>4757</v>
      </c>
      <c r="R160" s="286">
        <v>2230</v>
      </c>
      <c r="S160" s="286">
        <v>2527</v>
      </c>
      <c r="T160" s="286">
        <v>3612</v>
      </c>
      <c r="U160" s="286">
        <v>1504</v>
      </c>
      <c r="V160" s="286">
        <v>2108</v>
      </c>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c r="DV160" s="286"/>
      <c r="DW160" s="286"/>
      <c r="DX160" s="286"/>
      <c r="DY160" s="286"/>
      <c r="DZ160" s="286"/>
      <c r="EA160" s="286"/>
      <c r="EB160" s="286"/>
      <c r="EC160" s="286"/>
      <c r="ED160" s="286"/>
      <c r="EE160" s="286"/>
      <c r="EF160" s="286"/>
      <c r="EG160" s="286"/>
      <c r="EH160" s="286"/>
      <c r="EI160" s="286"/>
      <c r="EJ160" s="286"/>
      <c r="EK160" s="286"/>
      <c r="EL160" s="286"/>
      <c r="EM160" s="286"/>
      <c r="EN160" s="286"/>
      <c r="EO160" s="286"/>
      <c r="EP160" s="286"/>
      <c r="EQ160" s="286"/>
      <c r="ER160" s="286"/>
      <c r="ES160" s="286"/>
      <c r="ET160" s="286"/>
      <c r="EU160" s="286"/>
      <c r="EV160" s="286"/>
      <c r="EW160" s="286"/>
      <c r="EX160" s="286"/>
      <c r="EY160" s="286"/>
      <c r="EZ160" s="286"/>
      <c r="FA160" s="286"/>
      <c r="FB160" s="286"/>
      <c r="FC160" s="286"/>
      <c r="FD160" s="286"/>
      <c r="FE160" s="286"/>
      <c r="FF160" s="286"/>
      <c r="FG160" s="286"/>
      <c r="FH160" s="286"/>
      <c r="FI160" s="286"/>
      <c r="FJ160" s="286"/>
      <c r="FK160" s="286"/>
      <c r="FL160" s="286"/>
      <c r="FM160" s="286"/>
      <c r="FN160" s="286"/>
      <c r="FO160" s="286"/>
      <c r="FP160" s="286"/>
      <c r="FQ160" s="286"/>
      <c r="FR160" s="286"/>
      <c r="FS160" s="286"/>
    </row>
    <row r="161" spans="1:175">
      <c r="A161" s="212" t="s">
        <v>3159</v>
      </c>
      <c r="B161" s="212" t="s">
        <v>3160</v>
      </c>
      <c r="C161" s="212" t="s">
        <v>3172</v>
      </c>
      <c r="D161" s="212" t="s">
        <v>3233</v>
      </c>
      <c r="E161" s="212" t="s">
        <v>3322</v>
      </c>
      <c r="F161" s="278">
        <v>16</v>
      </c>
      <c r="G161" s="278">
        <v>62</v>
      </c>
      <c r="H161" s="287">
        <f t="shared" si="2"/>
        <v>27.419354838709676</v>
      </c>
      <c r="I161" s="286">
        <v>1</v>
      </c>
      <c r="J161" s="286">
        <v>17</v>
      </c>
      <c r="K161" s="286">
        <v>6</v>
      </c>
      <c r="L161" s="286">
        <v>11</v>
      </c>
      <c r="M161" s="286">
        <v>17</v>
      </c>
      <c r="N161" s="286">
        <v>6</v>
      </c>
      <c r="O161" s="286">
        <v>11</v>
      </c>
      <c r="P161" s="286">
        <v>1</v>
      </c>
      <c r="Q161" s="286">
        <v>17</v>
      </c>
      <c r="R161" s="286">
        <v>6</v>
      </c>
      <c r="S161" s="286">
        <v>11</v>
      </c>
      <c r="T161" s="286">
        <v>17</v>
      </c>
      <c r="U161" s="286">
        <v>6</v>
      </c>
      <c r="V161" s="286">
        <v>11</v>
      </c>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6"/>
      <c r="EP161" s="286"/>
      <c r="EQ161" s="286"/>
      <c r="ER161" s="286"/>
      <c r="ES161" s="286"/>
      <c r="ET161" s="286"/>
      <c r="EU161" s="286"/>
      <c r="EV161" s="286"/>
      <c r="EW161" s="286"/>
      <c r="EX161" s="286"/>
      <c r="EY161" s="286"/>
      <c r="EZ161" s="286"/>
      <c r="FA161" s="286"/>
      <c r="FB161" s="286"/>
      <c r="FC161" s="286"/>
      <c r="FD161" s="286"/>
      <c r="FE161" s="286"/>
      <c r="FF161" s="286"/>
      <c r="FG161" s="286"/>
      <c r="FH161" s="286"/>
      <c r="FI161" s="286"/>
      <c r="FJ161" s="286"/>
      <c r="FK161" s="286"/>
      <c r="FL161" s="286"/>
      <c r="FM161" s="286"/>
      <c r="FN161" s="286"/>
      <c r="FO161" s="286"/>
      <c r="FP161" s="286"/>
      <c r="FQ161" s="286"/>
      <c r="FR161" s="286"/>
      <c r="FS161" s="286"/>
    </row>
    <row r="162" spans="1:175">
      <c r="A162" s="212" t="s">
        <v>3159</v>
      </c>
      <c r="B162" s="212" t="s">
        <v>3160</v>
      </c>
      <c r="C162" s="212" t="s">
        <v>3172</v>
      </c>
      <c r="D162" s="212" t="s">
        <v>3233</v>
      </c>
      <c r="E162" s="212" t="s">
        <v>3323</v>
      </c>
      <c r="F162" s="278">
        <v>350</v>
      </c>
      <c r="G162" s="278">
        <v>2387</v>
      </c>
      <c r="H162" s="287">
        <f t="shared" si="2"/>
        <v>51.864264767490575</v>
      </c>
      <c r="I162" s="286">
        <v>205</v>
      </c>
      <c r="J162" s="286">
        <v>1238</v>
      </c>
      <c r="K162" s="286">
        <v>782</v>
      </c>
      <c r="L162" s="286">
        <v>456</v>
      </c>
      <c r="M162" s="286">
        <v>870</v>
      </c>
      <c r="N162" s="286">
        <v>537</v>
      </c>
      <c r="O162" s="286">
        <v>333</v>
      </c>
      <c r="P162" s="286">
        <v>205</v>
      </c>
      <c r="Q162" s="286">
        <v>1238</v>
      </c>
      <c r="R162" s="286">
        <v>782</v>
      </c>
      <c r="S162" s="286">
        <v>456</v>
      </c>
      <c r="T162" s="286">
        <v>870</v>
      </c>
      <c r="U162" s="286">
        <v>537</v>
      </c>
      <c r="V162" s="286">
        <v>333</v>
      </c>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c r="DV162" s="286"/>
      <c r="DW162" s="286"/>
      <c r="DX162" s="286"/>
      <c r="DY162" s="286"/>
      <c r="DZ162" s="286"/>
      <c r="EA162" s="286"/>
      <c r="EB162" s="286"/>
      <c r="EC162" s="286"/>
      <c r="ED162" s="286"/>
      <c r="EE162" s="286"/>
      <c r="EF162" s="286"/>
      <c r="EG162" s="286"/>
      <c r="EH162" s="286"/>
      <c r="EI162" s="286"/>
      <c r="EJ162" s="286"/>
      <c r="EK162" s="286"/>
      <c r="EL162" s="286"/>
      <c r="EM162" s="286"/>
      <c r="EN162" s="286"/>
      <c r="EO162" s="286"/>
      <c r="EP162" s="286"/>
      <c r="EQ162" s="286"/>
      <c r="ER162" s="286"/>
      <c r="ES162" s="286"/>
      <c r="ET162" s="286"/>
      <c r="EU162" s="286"/>
      <c r="EV162" s="286"/>
      <c r="EW162" s="286"/>
      <c r="EX162" s="286"/>
      <c r="EY162" s="286"/>
      <c r="EZ162" s="286"/>
      <c r="FA162" s="286"/>
      <c r="FB162" s="286"/>
      <c r="FC162" s="286"/>
      <c r="FD162" s="286"/>
      <c r="FE162" s="286"/>
      <c r="FF162" s="286"/>
      <c r="FG162" s="286"/>
      <c r="FH162" s="286"/>
      <c r="FI162" s="286"/>
      <c r="FJ162" s="286"/>
      <c r="FK162" s="286"/>
      <c r="FL162" s="286"/>
      <c r="FM162" s="286"/>
      <c r="FN162" s="286"/>
      <c r="FO162" s="286"/>
      <c r="FP162" s="286"/>
      <c r="FQ162" s="286"/>
      <c r="FR162" s="286"/>
      <c r="FS162" s="286"/>
    </row>
    <row r="163" spans="1:175">
      <c r="A163" s="212" t="s">
        <v>3159</v>
      </c>
      <c r="B163" s="212" t="s">
        <v>3160</v>
      </c>
      <c r="C163" s="212" t="s">
        <v>3172</v>
      </c>
      <c r="D163" s="212" t="s">
        <v>3233</v>
      </c>
      <c r="E163" s="212" t="s">
        <v>3324</v>
      </c>
      <c r="F163" s="278">
        <v>65</v>
      </c>
      <c r="G163" s="278">
        <v>1379</v>
      </c>
      <c r="H163" s="287">
        <f t="shared" si="2"/>
        <v>1.9579405366207396</v>
      </c>
      <c r="I163" s="286">
        <v>6</v>
      </c>
      <c r="J163" s="286">
        <v>27</v>
      </c>
      <c r="K163" s="286">
        <v>10</v>
      </c>
      <c r="L163" s="286">
        <v>17</v>
      </c>
      <c r="M163" s="286">
        <v>17</v>
      </c>
      <c r="N163" s="286">
        <v>2</v>
      </c>
      <c r="O163" s="286">
        <v>15</v>
      </c>
      <c r="P163" s="286">
        <v>6</v>
      </c>
      <c r="Q163" s="286">
        <v>27</v>
      </c>
      <c r="R163" s="286">
        <v>10</v>
      </c>
      <c r="S163" s="286">
        <v>17</v>
      </c>
      <c r="T163" s="286">
        <v>17</v>
      </c>
      <c r="U163" s="286">
        <v>2</v>
      </c>
      <c r="V163" s="286">
        <v>15</v>
      </c>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286"/>
      <c r="ET163" s="286"/>
      <c r="EU163" s="286"/>
      <c r="EV163" s="286"/>
      <c r="EW163" s="286"/>
      <c r="EX163" s="286"/>
      <c r="EY163" s="286"/>
      <c r="EZ163" s="286"/>
      <c r="FA163" s="286"/>
      <c r="FB163" s="286"/>
      <c r="FC163" s="286"/>
      <c r="FD163" s="286"/>
      <c r="FE163" s="286"/>
      <c r="FF163" s="286"/>
      <c r="FG163" s="286"/>
      <c r="FH163" s="286"/>
      <c r="FI163" s="286"/>
      <c r="FJ163" s="286"/>
      <c r="FK163" s="286"/>
      <c r="FL163" s="286"/>
      <c r="FM163" s="286"/>
      <c r="FN163" s="286"/>
      <c r="FO163" s="286"/>
      <c r="FP163" s="286"/>
      <c r="FQ163" s="286"/>
      <c r="FR163" s="286"/>
      <c r="FS163" s="286"/>
    </row>
    <row r="164" spans="1:175">
      <c r="A164" s="212" t="s">
        <v>3159</v>
      </c>
      <c r="B164" s="212" t="s">
        <v>3160</v>
      </c>
      <c r="C164" s="212" t="s">
        <v>3172</v>
      </c>
      <c r="D164" s="212" t="s">
        <v>3233</v>
      </c>
      <c r="E164" s="212" t="s">
        <v>3325</v>
      </c>
      <c r="F164" s="278">
        <v>360</v>
      </c>
      <c r="G164" s="278">
        <v>1787</v>
      </c>
      <c r="H164" s="287">
        <f t="shared" si="2"/>
        <v>13.262451035254616</v>
      </c>
      <c r="I164" s="286">
        <v>74</v>
      </c>
      <c r="J164" s="286">
        <v>237</v>
      </c>
      <c r="K164" s="286">
        <v>125</v>
      </c>
      <c r="L164" s="286">
        <v>112</v>
      </c>
      <c r="M164" s="286">
        <v>112</v>
      </c>
      <c r="N164" s="286">
        <v>54</v>
      </c>
      <c r="O164" s="286">
        <v>58</v>
      </c>
      <c r="P164" s="286">
        <v>74</v>
      </c>
      <c r="Q164" s="286">
        <v>237</v>
      </c>
      <c r="R164" s="286">
        <v>125</v>
      </c>
      <c r="S164" s="286">
        <v>112</v>
      </c>
      <c r="T164" s="286">
        <v>112</v>
      </c>
      <c r="U164" s="286">
        <v>54</v>
      </c>
      <c r="V164" s="286">
        <v>58</v>
      </c>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86"/>
      <c r="EP164" s="286"/>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86"/>
      <c r="FL164" s="286"/>
      <c r="FM164" s="286"/>
      <c r="FN164" s="286"/>
      <c r="FO164" s="286"/>
      <c r="FP164" s="286"/>
      <c r="FQ164" s="286"/>
      <c r="FR164" s="286"/>
      <c r="FS164" s="286"/>
    </row>
    <row r="165" spans="1:175">
      <c r="A165" s="212" t="s">
        <v>3159</v>
      </c>
      <c r="B165" s="212" t="s">
        <v>3160</v>
      </c>
      <c r="C165" s="212" t="s">
        <v>3172</v>
      </c>
      <c r="D165" s="212" t="s">
        <v>3233</v>
      </c>
      <c r="E165" s="212" t="s">
        <v>3326</v>
      </c>
      <c r="F165" s="278">
        <v>666</v>
      </c>
      <c r="G165" s="278">
        <v>6768</v>
      </c>
      <c r="H165" s="287">
        <f t="shared" si="2"/>
        <v>17.833924349881798</v>
      </c>
      <c r="I165" s="286">
        <v>140</v>
      </c>
      <c r="J165" s="286">
        <v>1207</v>
      </c>
      <c r="K165" s="286">
        <v>556</v>
      </c>
      <c r="L165" s="286">
        <v>651</v>
      </c>
      <c r="M165" s="286">
        <v>951</v>
      </c>
      <c r="N165" s="286">
        <v>395</v>
      </c>
      <c r="O165" s="286">
        <v>556</v>
      </c>
      <c r="P165" s="286">
        <v>140</v>
      </c>
      <c r="Q165" s="286">
        <v>1207</v>
      </c>
      <c r="R165" s="286">
        <v>556</v>
      </c>
      <c r="S165" s="286">
        <v>651</v>
      </c>
      <c r="T165" s="286">
        <v>951</v>
      </c>
      <c r="U165" s="286">
        <v>395</v>
      </c>
      <c r="V165" s="286">
        <v>556</v>
      </c>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c r="CG165" s="286"/>
      <c r="CH165" s="286"/>
      <c r="CI165" s="286"/>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6"/>
      <c r="EJ165" s="286"/>
      <c r="EK165" s="286"/>
      <c r="EL165" s="286"/>
      <c r="EM165" s="286"/>
      <c r="EN165" s="286"/>
      <c r="EO165" s="286"/>
      <c r="EP165" s="286"/>
      <c r="EQ165" s="286"/>
      <c r="ER165" s="286"/>
      <c r="ES165" s="286"/>
      <c r="ET165" s="286"/>
      <c r="EU165" s="286"/>
      <c r="EV165" s="286"/>
      <c r="EW165" s="286"/>
      <c r="EX165" s="286"/>
      <c r="EY165" s="286"/>
      <c r="EZ165" s="286"/>
      <c r="FA165" s="286"/>
      <c r="FB165" s="286"/>
      <c r="FC165" s="286"/>
      <c r="FD165" s="286"/>
      <c r="FE165" s="286"/>
      <c r="FF165" s="286"/>
      <c r="FG165" s="286"/>
      <c r="FH165" s="286"/>
      <c r="FI165" s="286"/>
      <c r="FJ165" s="286"/>
      <c r="FK165" s="286"/>
      <c r="FL165" s="286"/>
      <c r="FM165" s="286"/>
      <c r="FN165" s="286"/>
      <c r="FO165" s="286"/>
      <c r="FP165" s="286"/>
      <c r="FQ165" s="286"/>
      <c r="FR165" s="286"/>
      <c r="FS165" s="286"/>
    </row>
    <row r="166" spans="1:175">
      <c r="A166" s="212" t="s">
        <v>3159</v>
      </c>
      <c r="B166" s="212" t="s">
        <v>3160</v>
      </c>
      <c r="C166" s="212" t="s">
        <v>3172</v>
      </c>
      <c r="D166" s="212" t="s">
        <v>3233</v>
      </c>
      <c r="E166" s="212" t="s">
        <v>3327</v>
      </c>
      <c r="F166" s="278">
        <v>55</v>
      </c>
      <c r="G166" s="278">
        <v>448</v>
      </c>
      <c r="H166" s="287">
        <f t="shared" si="2"/>
        <v>21.428571428571427</v>
      </c>
      <c r="I166" s="286">
        <v>17</v>
      </c>
      <c r="J166" s="286">
        <v>96</v>
      </c>
      <c r="K166" s="286">
        <v>31</v>
      </c>
      <c r="L166" s="286">
        <v>65</v>
      </c>
      <c r="M166" s="286">
        <v>67</v>
      </c>
      <c r="N166" s="286">
        <v>10</v>
      </c>
      <c r="O166" s="286">
        <v>57</v>
      </c>
      <c r="P166" s="286">
        <v>17</v>
      </c>
      <c r="Q166" s="286">
        <v>96</v>
      </c>
      <c r="R166" s="286">
        <v>31</v>
      </c>
      <c r="S166" s="286">
        <v>65</v>
      </c>
      <c r="T166" s="286">
        <v>67</v>
      </c>
      <c r="U166" s="286">
        <v>10</v>
      </c>
      <c r="V166" s="286">
        <v>57</v>
      </c>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c r="CG166" s="286"/>
      <c r="CH166" s="286"/>
      <c r="CI166" s="286"/>
      <c r="CJ166" s="286"/>
      <c r="CK166" s="286"/>
      <c r="CL166" s="286"/>
      <c r="CM166" s="286"/>
      <c r="CN166" s="286"/>
      <c r="CO166" s="286"/>
      <c r="CP166" s="286"/>
      <c r="CQ166" s="286"/>
      <c r="CR166" s="286"/>
      <c r="CS166" s="286"/>
      <c r="CT166" s="286"/>
      <c r="CU166" s="286"/>
      <c r="CV166" s="286"/>
      <c r="CW166" s="286"/>
      <c r="CX166" s="286"/>
      <c r="CY166" s="286"/>
      <c r="CZ166" s="286"/>
      <c r="DA166" s="286"/>
      <c r="DB166" s="286"/>
      <c r="DC166" s="286"/>
      <c r="DD166" s="286"/>
      <c r="DE166" s="286"/>
      <c r="DF166" s="286"/>
      <c r="DG166" s="286"/>
      <c r="DH166" s="286"/>
      <c r="DI166" s="286"/>
      <c r="DJ166" s="286"/>
      <c r="DK166" s="286"/>
      <c r="DL166" s="286"/>
      <c r="DM166" s="286"/>
      <c r="DN166" s="286"/>
      <c r="DO166" s="286"/>
      <c r="DP166" s="286"/>
      <c r="DQ166" s="286"/>
      <c r="DR166" s="286"/>
      <c r="DS166" s="286"/>
      <c r="DT166" s="286"/>
      <c r="DU166" s="286"/>
      <c r="DV166" s="286"/>
      <c r="DW166" s="286"/>
      <c r="DX166" s="286"/>
      <c r="DY166" s="286"/>
      <c r="DZ166" s="286"/>
      <c r="EA166" s="286"/>
      <c r="EB166" s="286"/>
      <c r="EC166" s="286"/>
      <c r="ED166" s="286"/>
      <c r="EE166" s="286"/>
      <c r="EF166" s="286"/>
      <c r="EG166" s="286"/>
      <c r="EH166" s="286"/>
      <c r="EI166" s="286"/>
      <c r="EJ166" s="286"/>
      <c r="EK166" s="286"/>
      <c r="EL166" s="286"/>
      <c r="EM166" s="286"/>
      <c r="EN166" s="286"/>
      <c r="EO166" s="286"/>
      <c r="EP166" s="286"/>
      <c r="EQ166" s="286"/>
      <c r="ER166" s="286"/>
      <c r="ES166" s="286"/>
      <c r="ET166" s="286"/>
      <c r="EU166" s="286"/>
      <c r="EV166" s="286"/>
      <c r="EW166" s="286"/>
      <c r="EX166" s="286"/>
      <c r="EY166" s="286"/>
      <c r="EZ166" s="286"/>
      <c r="FA166" s="286"/>
      <c r="FB166" s="286"/>
      <c r="FC166" s="286"/>
      <c r="FD166" s="286"/>
      <c r="FE166" s="286"/>
      <c r="FF166" s="286"/>
      <c r="FG166" s="286"/>
      <c r="FH166" s="286"/>
      <c r="FI166" s="286"/>
      <c r="FJ166" s="286"/>
      <c r="FK166" s="286"/>
      <c r="FL166" s="286"/>
      <c r="FM166" s="286"/>
      <c r="FN166" s="286"/>
      <c r="FO166" s="286"/>
      <c r="FP166" s="286"/>
      <c r="FQ166" s="286"/>
      <c r="FR166" s="286"/>
      <c r="FS166" s="286"/>
    </row>
    <row r="167" spans="1:175">
      <c r="A167" s="212" t="s">
        <v>3159</v>
      </c>
      <c r="B167" s="212" t="s">
        <v>3160</v>
      </c>
      <c r="C167" s="212" t="s">
        <v>3172</v>
      </c>
      <c r="D167" s="212" t="s">
        <v>3233</v>
      </c>
      <c r="E167" s="212" t="s">
        <v>3328</v>
      </c>
      <c r="F167" s="278">
        <v>919</v>
      </c>
      <c r="G167" s="278">
        <v>7308</v>
      </c>
      <c r="H167" s="287">
        <f t="shared" si="2"/>
        <v>22.879036672140121</v>
      </c>
      <c r="I167" s="286">
        <v>150</v>
      </c>
      <c r="J167" s="286">
        <v>1672</v>
      </c>
      <c r="K167" s="286">
        <v>609</v>
      </c>
      <c r="L167" s="286">
        <v>1063</v>
      </c>
      <c r="M167" s="286">
        <v>1404</v>
      </c>
      <c r="N167" s="286">
        <v>444</v>
      </c>
      <c r="O167" s="286">
        <v>960</v>
      </c>
      <c r="P167" s="286">
        <v>150</v>
      </c>
      <c r="Q167" s="286">
        <v>1672</v>
      </c>
      <c r="R167" s="286">
        <v>609</v>
      </c>
      <c r="S167" s="286">
        <v>1063</v>
      </c>
      <c r="T167" s="286">
        <v>1404</v>
      </c>
      <c r="U167" s="286">
        <v>444</v>
      </c>
      <c r="V167" s="286">
        <v>960</v>
      </c>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c r="CI167" s="286"/>
      <c r="CJ167" s="286"/>
      <c r="CK167" s="286"/>
      <c r="CL167" s="286"/>
      <c r="CM167" s="286"/>
      <c r="CN167" s="286"/>
      <c r="CO167" s="286"/>
      <c r="CP167" s="286"/>
      <c r="CQ167" s="286"/>
      <c r="CR167" s="286"/>
      <c r="CS167" s="286"/>
      <c r="CT167" s="286"/>
      <c r="CU167" s="286"/>
      <c r="CV167" s="286"/>
      <c r="CW167" s="286"/>
      <c r="CX167" s="286"/>
      <c r="CY167" s="286"/>
      <c r="CZ167" s="286"/>
      <c r="DA167" s="286"/>
      <c r="DB167" s="286"/>
      <c r="DC167" s="286"/>
      <c r="DD167" s="286"/>
      <c r="DE167" s="286"/>
      <c r="DF167" s="286"/>
      <c r="DG167" s="286"/>
      <c r="DH167" s="286"/>
      <c r="DI167" s="286"/>
      <c r="DJ167" s="286"/>
      <c r="DK167" s="286"/>
      <c r="DL167" s="286"/>
      <c r="DM167" s="286"/>
      <c r="DN167" s="286"/>
      <c r="DO167" s="286"/>
      <c r="DP167" s="286"/>
      <c r="DQ167" s="286"/>
      <c r="DR167" s="286"/>
      <c r="DS167" s="286"/>
      <c r="DT167" s="286"/>
      <c r="DU167" s="286"/>
      <c r="DV167" s="286"/>
      <c r="DW167" s="286"/>
      <c r="DX167" s="286"/>
      <c r="DY167" s="286"/>
      <c r="DZ167" s="286"/>
      <c r="EA167" s="286"/>
      <c r="EB167" s="286"/>
      <c r="EC167" s="286"/>
      <c r="ED167" s="286"/>
      <c r="EE167" s="286"/>
      <c r="EF167" s="286"/>
      <c r="EG167" s="286"/>
      <c r="EH167" s="286"/>
      <c r="EI167" s="286"/>
      <c r="EJ167" s="286"/>
      <c r="EK167" s="286"/>
      <c r="EL167" s="286"/>
      <c r="EM167" s="286"/>
      <c r="EN167" s="286"/>
      <c r="EO167" s="286"/>
      <c r="EP167" s="286"/>
      <c r="EQ167" s="286"/>
      <c r="ER167" s="286"/>
      <c r="ES167" s="286"/>
      <c r="ET167" s="286"/>
      <c r="EU167" s="286"/>
      <c r="EV167" s="286"/>
      <c r="EW167" s="286"/>
      <c r="EX167" s="286"/>
      <c r="EY167" s="286"/>
      <c r="EZ167" s="286"/>
      <c r="FA167" s="286"/>
      <c r="FB167" s="286"/>
      <c r="FC167" s="286"/>
      <c r="FD167" s="286"/>
      <c r="FE167" s="286"/>
      <c r="FF167" s="286"/>
      <c r="FG167" s="286"/>
      <c r="FH167" s="286"/>
      <c r="FI167" s="286"/>
      <c r="FJ167" s="286"/>
      <c r="FK167" s="286"/>
      <c r="FL167" s="286"/>
      <c r="FM167" s="286"/>
      <c r="FN167" s="286"/>
      <c r="FO167" s="286"/>
      <c r="FP167" s="286"/>
      <c r="FQ167" s="286"/>
      <c r="FR167" s="286"/>
      <c r="FS167" s="286"/>
    </row>
    <row r="168" spans="1:175">
      <c r="A168" s="212" t="s">
        <v>3159</v>
      </c>
      <c r="B168" s="212" t="s">
        <v>3160</v>
      </c>
      <c r="C168" s="212" t="s">
        <v>3172</v>
      </c>
      <c r="D168" s="212" t="s">
        <v>3233</v>
      </c>
      <c r="E168" s="212" t="s">
        <v>3329</v>
      </c>
      <c r="F168" s="278">
        <v>1336</v>
      </c>
      <c r="G168" s="278">
        <v>7542</v>
      </c>
      <c r="H168" s="287">
        <f t="shared" si="2"/>
        <v>2.373375762397242</v>
      </c>
      <c r="I168" s="286">
        <v>30</v>
      </c>
      <c r="J168" s="286">
        <v>179</v>
      </c>
      <c r="K168" s="286">
        <v>69</v>
      </c>
      <c r="L168" s="286">
        <v>110</v>
      </c>
      <c r="M168" s="286">
        <v>122</v>
      </c>
      <c r="N168" s="286">
        <v>32</v>
      </c>
      <c r="O168" s="286">
        <v>90</v>
      </c>
      <c r="P168" s="286">
        <v>30</v>
      </c>
      <c r="Q168" s="286">
        <v>179</v>
      </c>
      <c r="R168" s="286">
        <v>69</v>
      </c>
      <c r="S168" s="286">
        <v>110</v>
      </c>
      <c r="T168" s="286">
        <v>122</v>
      </c>
      <c r="U168" s="286">
        <v>32</v>
      </c>
      <c r="V168" s="286">
        <v>90</v>
      </c>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c r="CG168" s="286"/>
      <c r="CH168" s="286"/>
      <c r="CI168" s="286"/>
      <c r="CJ168" s="286"/>
      <c r="CK168" s="286"/>
      <c r="CL168" s="286"/>
      <c r="CM168" s="286"/>
      <c r="CN168" s="286"/>
      <c r="CO168" s="286"/>
      <c r="CP168" s="286"/>
      <c r="CQ168" s="286"/>
      <c r="CR168" s="286"/>
      <c r="CS168" s="286"/>
      <c r="CT168" s="286"/>
      <c r="CU168" s="286"/>
      <c r="CV168" s="286"/>
      <c r="CW168" s="286"/>
      <c r="CX168" s="286"/>
      <c r="CY168" s="286"/>
      <c r="CZ168" s="286"/>
      <c r="DA168" s="286"/>
      <c r="DB168" s="286"/>
      <c r="DC168" s="286"/>
      <c r="DD168" s="286"/>
      <c r="DE168" s="286"/>
      <c r="DF168" s="286"/>
      <c r="DG168" s="286"/>
      <c r="DH168" s="286"/>
      <c r="DI168" s="286"/>
      <c r="DJ168" s="286"/>
      <c r="DK168" s="286"/>
      <c r="DL168" s="286"/>
      <c r="DM168" s="286"/>
      <c r="DN168" s="286"/>
      <c r="DO168" s="286"/>
      <c r="DP168" s="286"/>
      <c r="DQ168" s="286"/>
      <c r="DR168" s="286"/>
      <c r="DS168" s="286"/>
      <c r="DT168" s="286"/>
      <c r="DU168" s="286"/>
      <c r="DV168" s="286"/>
      <c r="DW168" s="286"/>
      <c r="DX168" s="286"/>
      <c r="DY168" s="286"/>
      <c r="DZ168" s="286"/>
      <c r="EA168" s="286"/>
      <c r="EB168" s="286"/>
      <c r="EC168" s="286"/>
      <c r="ED168" s="286"/>
      <c r="EE168" s="286"/>
      <c r="EF168" s="286"/>
      <c r="EG168" s="286"/>
      <c r="EH168" s="286"/>
      <c r="EI168" s="286"/>
      <c r="EJ168" s="286"/>
      <c r="EK168" s="286"/>
      <c r="EL168" s="286"/>
      <c r="EM168" s="286"/>
      <c r="EN168" s="286"/>
      <c r="EO168" s="286"/>
      <c r="EP168" s="286"/>
      <c r="EQ168" s="286"/>
      <c r="ER168" s="286"/>
      <c r="ES168" s="286"/>
      <c r="ET168" s="286"/>
      <c r="EU168" s="286"/>
      <c r="EV168" s="286"/>
      <c r="EW168" s="286"/>
      <c r="EX168" s="286"/>
      <c r="EY168" s="286"/>
      <c r="EZ168" s="286"/>
      <c r="FA168" s="286"/>
      <c r="FB168" s="286"/>
      <c r="FC168" s="286"/>
      <c r="FD168" s="286"/>
      <c r="FE168" s="286"/>
      <c r="FF168" s="286"/>
      <c r="FG168" s="286"/>
      <c r="FH168" s="286"/>
      <c r="FI168" s="286"/>
      <c r="FJ168" s="286"/>
      <c r="FK168" s="286"/>
      <c r="FL168" s="286"/>
      <c r="FM168" s="286"/>
      <c r="FN168" s="286"/>
      <c r="FO168" s="286"/>
      <c r="FP168" s="286"/>
      <c r="FQ168" s="286"/>
      <c r="FR168" s="286"/>
      <c r="FS168" s="286"/>
    </row>
    <row r="169" spans="1:175">
      <c r="A169" s="212" t="s">
        <v>3159</v>
      </c>
      <c r="B169" s="212" t="s">
        <v>3160</v>
      </c>
      <c r="C169" s="212" t="s">
        <v>3172</v>
      </c>
      <c r="D169" s="212" t="s">
        <v>3233</v>
      </c>
      <c r="E169" s="212" t="s">
        <v>3330</v>
      </c>
      <c r="F169" s="278">
        <v>15</v>
      </c>
      <c r="G169" s="278">
        <v>51</v>
      </c>
      <c r="H169" s="287">
        <f t="shared" si="2"/>
        <v>15.686274509803921</v>
      </c>
      <c r="I169" s="286">
        <v>2</v>
      </c>
      <c r="J169" s="286">
        <v>8</v>
      </c>
      <c r="K169" s="286">
        <v>3</v>
      </c>
      <c r="L169" s="286">
        <v>5</v>
      </c>
      <c r="M169" s="286">
        <v>5</v>
      </c>
      <c r="N169" s="286">
        <v>2</v>
      </c>
      <c r="O169" s="286">
        <v>3</v>
      </c>
      <c r="P169" s="286">
        <v>2</v>
      </c>
      <c r="Q169" s="286">
        <v>8</v>
      </c>
      <c r="R169" s="286">
        <v>3</v>
      </c>
      <c r="S169" s="286">
        <v>5</v>
      </c>
      <c r="T169" s="286">
        <v>5</v>
      </c>
      <c r="U169" s="286">
        <v>2</v>
      </c>
      <c r="V169" s="286">
        <v>3</v>
      </c>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c r="CG169" s="286"/>
      <c r="CH169" s="286"/>
      <c r="CI169" s="286"/>
      <c r="CJ169" s="286"/>
      <c r="CK169" s="286"/>
      <c r="CL169" s="286"/>
      <c r="CM169" s="286"/>
      <c r="CN169" s="286"/>
      <c r="CO169" s="286"/>
      <c r="CP169" s="286"/>
      <c r="CQ169" s="286"/>
      <c r="CR169" s="286"/>
      <c r="CS169" s="286"/>
      <c r="CT169" s="286"/>
      <c r="CU169" s="286"/>
      <c r="CV169" s="286"/>
      <c r="CW169" s="286"/>
      <c r="CX169" s="286"/>
      <c r="CY169" s="286"/>
      <c r="CZ169" s="286"/>
      <c r="DA169" s="286"/>
      <c r="DB169" s="286"/>
      <c r="DC169" s="286"/>
      <c r="DD169" s="286"/>
      <c r="DE169" s="286"/>
      <c r="DF169" s="286"/>
      <c r="DG169" s="286"/>
      <c r="DH169" s="286"/>
      <c r="DI169" s="286"/>
      <c r="DJ169" s="286"/>
      <c r="DK169" s="286"/>
      <c r="DL169" s="286"/>
      <c r="DM169" s="286"/>
      <c r="DN169" s="286"/>
      <c r="DO169" s="286"/>
      <c r="DP169" s="286"/>
      <c r="DQ169" s="286"/>
      <c r="DR169" s="286"/>
      <c r="DS169" s="286"/>
      <c r="DT169" s="286"/>
      <c r="DU169" s="286"/>
      <c r="DV169" s="286"/>
      <c r="DW169" s="286"/>
      <c r="DX169" s="286"/>
      <c r="DY169" s="286"/>
      <c r="DZ169" s="286"/>
      <c r="EA169" s="286"/>
      <c r="EB169" s="286"/>
      <c r="EC169" s="286"/>
      <c r="ED169" s="286"/>
      <c r="EE169" s="286"/>
      <c r="EF169" s="286"/>
      <c r="EG169" s="286"/>
      <c r="EH169" s="286"/>
      <c r="EI169" s="286"/>
      <c r="EJ169" s="286"/>
      <c r="EK169" s="286"/>
      <c r="EL169" s="286"/>
      <c r="EM169" s="286"/>
      <c r="EN169" s="286"/>
      <c r="EO169" s="286"/>
      <c r="EP169" s="286"/>
      <c r="EQ169" s="286"/>
      <c r="ER169" s="286"/>
      <c r="ES169" s="286"/>
      <c r="ET169" s="286"/>
      <c r="EU169" s="286"/>
      <c r="EV169" s="286"/>
      <c r="EW169" s="286"/>
      <c r="EX169" s="286"/>
      <c r="EY169" s="286"/>
      <c r="EZ169" s="286"/>
      <c r="FA169" s="286"/>
      <c r="FB169" s="286"/>
      <c r="FC169" s="286"/>
      <c r="FD169" s="286"/>
      <c r="FE169" s="286"/>
      <c r="FF169" s="286"/>
      <c r="FG169" s="286"/>
      <c r="FH169" s="286"/>
      <c r="FI169" s="286"/>
      <c r="FJ169" s="286"/>
      <c r="FK169" s="286"/>
      <c r="FL169" s="286"/>
      <c r="FM169" s="286"/>
      <c r="FN169" s="286"/>
      <c r="FO169" s="286"/>
      <c r="FP169" s="286"/>
      <c r="FQ169" s="286"/>
      <c r="FR169" s="286"/>
      <c r="FS169" s="286"/>
    </row>
    <row r="170" spans="1:175">
      <c r="A170" s="212" t="s">
        <v>3159</v>
      </c>
      <c r="B170" s="212" t="s">
        <v>3160</v>
      </c>
      <c r="C170" s="212" t="s">
        <v>3172</v>
      </c>
      <c r="D170" s="212" t="s">
        <v>3233</v>
      </c>
      <c r="E170" s="212" t="s">
        <v>3331</v>
      </c>
      <c r="F170" s="278">
        <v>303</v>
      </c>
      <c r="G170" s="278">
        <v>1777</v>
      </c>
      <c r="H170" s="287">
        <f t="shared" si="2"/>
        <v>4.2768711311198651</v>
      </c>
      <c r="I170" s="286">
        <v>15</v>
      </c>
      <c r="J170" s="286">
        <v>76</v>
      </c>
      <c r="K170" s="286">
        <v>39</v>
      </c>
      <c r="L170" s="286">
        <v>37</v>
      </c>
      <c r="M170" s="286">
        <v>47</v>
      </c>
      <c r="N170" s="286">
        <v>22</v>
      </c>
      <c r="O170" s="286">
        <v>25</v>
      </c>
      <c r="P170" s="286">
        <v>15</v>
      </c>
      <c r="Q170" s="286">
        <v>76</v>
      </c>
      <c r="R170" s="286">
        <v>39</v>
      </c>
      <c r="S170" s="286">
        <v>37</v>
      </c>
      <c r="T170" s="286">
        <v>47</v>
      </c>
      <c r="U170" s="286">
        <v>22</v>
      </c>
      <c r="V170" s="286">
        <v>25</v>
      </c>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c r="CG170" s="286"/>
      <c r="CH170" s="286"/>
      <c r="CI170" s="286"/>
      <c r="CJ170" s="286"/>
      <c r="CK170" s="286"/>
      <c r="CL170" s="286"/>
      <c r="CM170" s="286"/>
      <c r="CN170" s="286"/>
      <c r="CO170" s="286"/>
      <c r="CP170" s="286"/>
      <c r="CQ170" s="286"/>
      <c r="CR170" s="286"/>
      <c r="CS170" s="286"/>
      <c r="CT170" s="286"/>
      <c r="CU170" s="286"/>
      <c r="CV170" s="286"/>
      <c r="CW170" s="286"/>
      <c r="CX170" s="286"/>
      <c r="CY170" s="286"/>
      <c r="CZ170" s="286"/>
      <c r="DA170" s="286"/>
      <c r="DB170" s="286"/>
      <c r="DC170" s="286"/>
      <c r="DD170" s="286"/>
      <c r="DE170" s="286"/>
      <c r="DF170" s="286"/>
      <c r="DG170" s="286"/>
      <c r="DH170" s="286"/>
      <c r="DI170" s="286"/>
      <c r="DJ170" s="286"/>
      <c r="DK170" s="286"/>
      <c r="DL170" s="286"/>
      <c r="DM170" s="286"/>
      <c r="DN170" s="286"/>
      <c r="DO170" s="286"/>
      <c r="DP170" s="286"/>
      <c r="DQ170" s="286"/>
      <c r="DR170" s="286"/>
      <c r="DS170" s="286"/>
      <c r="DT170" s="286"/>
      <c r="DU170" s="286"/>
      <c r="DV170" s="286"/>
      <c r="DW170" s="286"/>
      <c r="DX170" s="286"/>
      <c r="DY170" s="286"/>
      <c r="DZ170" s="286"/>
      <c r="EA170" s="286"/>
      <c r="EB170" s="286"/>
      <c r="EC170" s="286"/>
      <c r="ED170" s="286"/>
      <c r="EE170" s="286"/>
      <c r="EF170" s="286"/>
      <c r="EG170" s="286"/>
      <c r="EH170" s="286"/>
      <c r="EI170" s="286"/>
      <c r="EJ170" s="286"/>
      <c r="EK170" s="286"/>
      <c r="EL170" s="286"/>
      <c r="EM170" s="286"/>
      <c r="EN170" s="286"/>
      <c r="EO170" s="286"/>
      <c r="EP170" s="286"/>
      <c r="EQ170" s="286"/>
      <c r="ER170" s="286"/>
      <c r="ES170" s="286"/>
      <c r="ET170" s="286"/>
      <c r="EU170" s="286"/>
      <c r="EV170" s="286"/>
      <c r="EW170" s="286"/>
      <c r="EX170" s="286"/>
      <c r="EY170" s="286"/>
      <c r="EZ170" s="286"/>
      <c r="FA170" s="286"/>
      <c r="FB170" s="286"/>
      <c r="FC170" s="286"/>
      <c r="FD170" s="286"/>
      <c r="FE170" s="286"/>
      <c r="FF170" s="286"/>
      <c r="FG170" s="286"/>
      <c r="FH170" s="286"/>
      <c r="FI170" s="286"/>
      <c r="FJ170" s="286"/>
      <c r="FK170" s="286"/>
      <c r="FL170" s="286"/>
      <c r="FM170" s="286"/>
      <c r="FN170" s="286"/>
      <c r="FO170" s="286"/>
      <c r="FP170" s="286"/>
      <c r="FQ170" s="286"/>
      <c r="FR170" s="286"/>
      <c r="FS170" s="286"/>
    </row>
    <row r="171" spans="1:175">
      <c r="A171" s="212" t="s">
        <v>3159</v>
      </c>
      <c r="B171" s="212" t="s">
        <v>3160</v>
      </c>
      <c r="C171" s="212" t="s">
        <v>3170</v>
      </c>
      <c r="D171" s="212" t="s">
        <v>3233</v>
      </c>
      <c r="E171" s="212" t="s">
        <v>3332</v>
      </c>
      <c r="F171" s="278">
        <v>19095</v>
      </c>
      <c r="G171" s="278">
        <v>277021</v>
      </c>
      <c r="H171" s="287">
        <f t="shared" si="2"/>
        <v>3.5556871139733088</v>
      </c>
      <c r="I171" s="286">
        <v>640</v>
      </c>
      <c r="J171" s="286">
        <v>9850</v>
      </c>
      <c r="K171" s="286">
        <v>7987</v>
      </c>
      <c r="L171" s="286">
        <v>1853</v>
      </c>
      <c r="M171" s="286">
        <v>8624</v>
      </c>
      <c r="N171" s="286">
        <v>7041</v>
      </c>
      <c r="O171" s="286">
        <v>1573</v>
      </c>
      <c r="P171" s="286">
        <v>640</v>
      </c>
      <c r="Q171" s="286">
        <v>9850</v>
      </c>
      <c r="R171" s="286">
        <v>7987</v>
      </c>
      <c r="S171" s="286">
        <v>1853</v>
      </c>
      <c r="T171" s="286">
        <v>8624</v>
      </c>
      <c r="U171" s="286">
        <v>7041</v>
      </c>
      <c r="V171" s="286">
        <v>1573</v>
      </c>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c r="CL171" s="286"/>
      <c r="CM171" s="286"/>
      <c r="CN171" s="286"/>
      <c r="CO171" s="286"/>
      <c r="CP171" s="286"/>
      <c r="CQ171" s="286"/>
      <c r="CR171" s="286"/>
      <c r="CS171" s="286"/>
      <c r="CT171" s="286"/>
      <c r="CU171" s="286"/>
      <c r="CV171" s="286"/>
      <c r="CW171" s="286"/>
      <c r="CX171" s="286"/>
      <c r="CY171" s="286"/>
      <c r="CZ171" s="286"/>
      <c r="DA171" s="286"/>
      <c r="DB171" s="286"/>
      <c r="DC171" s="286"/>
      <c r="DD171" s="286"/>
      <c r="DE171" s="286"/>
      <c r="DF171" s="286"/>
      <c r="DG171" s="286"/>
      <c r="DH171" s="286"/>
      <c r="DI171" s="286"/>
      <c r="DJ171" s="286"/>
      <c r="DK171" s="286"/>
      <c r="DL171" s="286"/>
      <c r="DM171" s="286"/>
      <c r="DN171" s="286"/>
      <c r="DO171" s="286"/>
      <c r="DP171" s="286"/>
      <c r="DQ171" s="286"/>
      <c r="DR171" s="286"/>
      <c r="DS171" s="286"/>
      <c r="DT171" s="286"/>
      <c r="DU171" s="286"/>
      <c r="DV171" s="286"/>
      <c r="DW171" s="286"/>
      <c r="DX171" s="286"/>
      <c r="DY171" s="286"/>
      <c r="DZ171" s="286"/>
      <c r="EA171" s="286"/>
      <c r="EB171" s="286"/>
      <c r="EC171" s="286"/>
      <c r="ED171" s="286"/>
      <c r="EE171" s="286"/>
      <c r="EF171" s="286"/>
      <c r="EG171" s="286"/>
      <c r="EH171" s="286"/>
      <c r="EI171" s="286"/>
      <c r="EJ171" s="286"/>
      <c r="EK171" s="286"/>
      <c r="EL171" s="286"/>
      <c r="EM171" s="286"/>
      <c r="EN171" s="286"/>
      <c r="EO171" s="286"/>
      <c r="EP171" s="286"/>
      <c r="EQ171" s="286"/>
      <c r="ER171" s="286"/>
      <c r="ES171" s="286"/>
      <c r="ET171" s="286"/>
      <c r="EU171" s="286"/>
      <c r="EV171" s="286"/>
      <c r="EW171" s="286"/>
      <c r="EX171" s="286"/>
      <c r="EY171" s="286"/>
      <c r="EZ171" s="286"/>
      <c r="FA171" s="286"/>
      <c r="FB171" s="286"/>
      <c r="FC171" s="286"/>
      <c r="FD171" s="286"/>
      <c r="FE171" s="286"/>
      <c r="FF171" s="286"/>
      <c r="FG171" s="286"/>
      <c r="FH171" s="286"/>
      <c r="FI171" s="286"/>
      <c r="FJ171" s="286"/>
      <c r="FK171" s="286"/>
      <c r="FL171" s="286"/>
      <c r="FM171" s="286"/>
      <c r="FN171" s="286"/>
      <c r="FO171" s="286"/>
      <c r="FP171" s="286"/>
      <c r="FQ171" s="286"/>
      <c r="FR171" s="286"/>
      <c r="FS171" s="286"/>
    </row>
    <row r="172" spans="1:175">
      <c r="A172" s="212" t="s">
        <v>3159</v>
      </c>
      <c r="B172" s="212" t="s">
        <v>3160</v>
      </c>
      <c r="C172" s="212" t="s">
        <v>3172</v>
      </c>
      <c r="D172" s="212" t="s">
        <v>3233</v>
      </c>
      <c r="E172" s="212" t="s">
        <v>3333</v>
      </c>
      <c r="F172" s="278">
        <v>503</v>
      </c>
      <c r="G172" s="278">
        <v>4240</v>
      </c>
      <c r="H172" s="287">
        <f t="shared" si="2"/>
        <v>1.1556603773584906</v>
      </c>
      <c r="I172" s="286">
        <v>15</v>
      </c>
      <c r="J172" s="286">
        <v>49</v>
      </c>
      <c r="K172" s="286">
        <v>37</v>
      </c>
      <c r="L172" s="286">
        <v>12</v>
      </c>
      <c r="M172" s="286">
        <v>30</v>
      </c>
      <c r="N172" s="286">
        <v>19</v>
      </c>
      <c r="O172" s="286">
        <v>11</v>
      </c>
      <c r="P172" s="286">
        <v>15</v>
      </c>
      <c r="Q172" s="286">
        <v>49</v>
      </c>
      <c r="R172" s="286">
        <v>37</v>
      </c>
      <c r="S172" s="286">
        <v>12</v>
      </c>
      <c r="T172" s="286">
        <v>30</v>
      </c>
      <c r="U172" s="286">
        <v>19</v>
      </c>
      <c r="V172" s="286">
        <v>11</v>
      </c>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c r="CG172" s="286"/>
      <c r="CH172" s="286"/>
      <c r="CI172" s="286"/>
      <c r="CJ172" s="286"/>
      <c r="CK172" s="286"/>
      <c r="CL172" s="286"/>
      <c r="CM172" s="286"/>
      <c r="CN172" s="286"/>
      <c r="CO172" s="286"/>
      <c r="CP172" s="286"/>
      <c r="CQ172" s="286"/>
      <c r="CR172" s="286"/>
      <c r="CS172" s="286"/>
      <c r="CT172" s="286"/>
      <c r="CU172" s="286"/>
      <c r="CV172" s="286"/>
      <c r="CW172" s="286"/>
      <c r="CX172" s="286"/>
      <c r="CY172" s="286"/>
      <c r="CZ172" s="286"/>
      <c r="DA172" s="286"/>
      <c r="DB172" s="286"/>
      <c r="DC172" s="286"/>
      <c r="DD172" s="286"/>
      <c r="DE172" s="286"/>
      <c r="DF172" s="286"/>
      <c r="DG172" s="286"/>
      <c r="DH172" s="286"/>
      <c r="DI172" s="286"/>
      <c r="DJ172" s="286"/>
      <c r="DK172" s="286"/>
      <c r="DL172" s="286"/>
      <c r="DM172" s="286"/>
      <c r="DN172" s="286"/>
      <c r="DO172" s="286"/>
      <c r="DP172" s="286"/>
      <c r="DQ172" s="286"/>
      <c r="DR172" s="286"/>
      <c r="DS172" s="286"/>
      <c r="DT172" s="286"/>
      <c r="DU172" s="286"/>
      <c r="DV172" s="286"/>
      <c r="DW172" s="286"/>
      <c r="DX172" s="286"/>
      <c r="DY172" s="286"/>
      <c r="DZ172" s="286"/>
      <c r="EA172" s="286"/>
      <c r="EB172" s="286"/>
      <c r="EC172" s="286"/>
      <c r="ED172" s="286"/>
      <c r="EE172" s="286"/>
      <c r="EF172" s="286"/>
      <c r="EG172" s="286"/>
      <c r="EH172" s="286"/>
      <c r="EI172" s="286"/>
      <c r="EJ172" s="286"/>
      <c r="EK172" s="286"/>
      <c r="EL172" s="286"/>
      <c r="EM172" s="286"/>
      <c r="EN172" s="286"/>
      <c r="EO172" s="286"/>
      <c r="EP172" s="286"/>
      <c r="EQ172" s="286"/>
      <c r="ER172" s="286"/>
      <c r="ES172" s="286"/>
      <c r="ET172" s="286"/>
      <c r="EU172" s="286"/>
      <c r="EV172" s="286"/>
      <c r="EW172" s="286"/>
      <c r="EX172" s="286"/>
      <c r="EY172" s="286"/>
      <c r="EZ172" s="286"/>
      <c r="FA172" s="286"/>
      <c r="FB172" s="286"/>
      <c r="FC172" s="286"/>
      <c r="FD172" s="286"/>
      <c r="FE172" s="286"/>
      <c r="FF172" s="286"/>
      <c r="FG172" s="286"/>
      <c r="FH172" s="286"/>
      <c r="FI172" s="286"/>
      <c r="FJ172" s="286"/>
      <c r="FK172" s="286"/>
      <c r="FL172" s="286"/>
      <c r="FM172" s="286"/>
      <c r="FN172" s="286"/>
      <c r="FO172" s="286"/>
      <c r="FP172" s="286"/>
      <c r="FQ172" s="286"/>
      <c r="FR172" s="286"/>
      <c r="FS172" s="286"/>
    </row>
    <row r="173" spans="1:175">
      <c r="A173" s="212" t="s">
        <v>3159</v>
      </c>
      <c r="B173" s="212" t="s">
        <v>3160</v>
      </c>
      <c r="C173" s="212" t="s">
        <v>3172</v>
      </c>
      <c r="D173" s="212" t="s">
        <v>3233</v>
      </c>
      <c r="E173" s="212" t="s">
        <v>3334</v>
      </c>
      <c r="F173" s="278">
        <v>1770</v>
      </c>
      <c r="G173" s="278">
        <v>49171</v>
      </c>
      <c r="H173" s="287">
        <f t="shared" si="2"/>
        <v>5.6496715543714791</v>
      </c>
      <c r="I173" s="286">
        <v>70</v>
      </c>
      <c r="J173" s="286">
        <v>2778</v>
      </c>
      <c r="K173" s="286">
        <v>2223</v>
      </c>
      <c r="L173" s="286">
        <v>555</v>
      </c>
      <c r="M173" s="286">
        <v>2682</v>
      </c>
      <c r="N173" s="286">
        <v>2151</v>
      </c>
      <c r="O173" s="286">
        <v>531</v>
      </c>
      <c r="P173" s="286">
        <v>70</v>
      </c>
      <c r="Q173" s="286">
        <v>2778</v>
      </c>
      <c r="R173" s="286">
        <v>2223</v>
      </c>
      <c r="S173" s="286">
        <v>555</v>
      </c>
      <c r="T173" s="286">
        <v>2682</v>
      </c>
      <c r="U173" s="286">
        <v>2151</v>
      </c>
      <c r="V173" s="286">
        <v>531</v>
      </c>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c r="CG173" s="286"/>
      <c r="CH173" s="286"/>
      <c r="CI173" s="286"/>
      <c r="CJ173" s="286"/>
      <c r="CK173" s="286"/>
      <c r="CL173" s="286"/>
      <c r="CM173" s="286"/>
      <c r="CN173" s="286"/>
      <c r="CO173" s="286"/>
      <c r="CP173" s="286"/>
      <c r="CQ173" s="286"/>
      <c r="CR173" s="286"/>
      <c r="CS173" s="286"/>
      <c r="CT173" s="286"/>
      <c r="CU173" s="286"/>
      <c r="CV173" s="286"/>
      <c r="CW173" s="286"/>
      <c r="CX173" s="286"/>
      <c r="CY173" s="286"/>
      <c r="CZ173" s="286"/>
      <c r="DA173" s="286"/>
      <c r="DB173" s="286"/>
      <c r="DC173" s="286"/>
      <c r="DD173" s="286"/>
      <c r="DE173" s="286"/>
      <c r="DF173" s="286"/>
      <c r="DG173" s="286"/>
      <c r="DH173" s="286"/>
      <c r="DI173" s="286"/>
      <c r="DJ173" s="286"/>
      <c r="DK173" s="286"/>
      <c r="DL173" s="286"/>
      <c r="DM173" s="286"/>
      <c r="DN173" s="286"/>
      <c r="DO173" s="286"/>
      <c r="DP173" s="286"/>
      <c r="DQ173" s="286"/>
      <c r="DR173" s="286"/>
      <c r="DS173" s="286"/>
      <c r="DT173" s="286"/>
      <c r="DU173" s="286"/>
      <c r="DV173" s="286"/>
      <c r="DW173" s="286"/>
      <c r="DX173" s="286"/>
      <c r="DY173" s="286"/>
      <c r="DZ173" s="286"/>
      <c r="EA173" s="286"/>
      <c r="EB173" s="286"/>
      <c r="EC173" s="286"/>
      <c r="ED173" s="286"/>
      <c r="EE173" s="286"/>
      <c r="EF173" s="286"/>
      <c r="EG173" s="286"/>
      <c r="EH173" s="286"/>
      <c r="EI173" s="286"/>
      <c r="EJ173" s="286"/>
      <c r="EK173" s="286"/>
      <c r="EL173" s="286"/>
      <c r="EM173" s="286"/>
      <c r="EN173" s="286"/>
      <c r="EO173" s="286"/>
      <c r="EP173" s="286"/>
      <c r="EQ173" s="286"/>
      <c r="ER173" s="286"/>
      <c r="ES173" s="286"/>
      <c r="ET173" s="286"/>
      <c r="EU173" s="286"/>
      <c r="EV173" s="286"/>
      <c r="EW173" s="286"/>
      <c r="EX173" s="286"/>
      <c r="EY173" s="286"/>
      <c r="EZ173" s="286"/>
      <c r="FA173" s="286"/>
      <c r="FB173" s="286"/>
      <c r="FC173" s="286"/>
      <c r="FD173" s="286"/>
      <c r="FE173" s="286"/>
      <c r="FF173" s="286"/>
      <c r="FG173" s="286"/>
      <c r="FH173" s="286"/>
      <c r="FI173" s="286"/>
      <c r="FJ173" s="286"/>
      <c r="FK173" s="286"/>
      <c r="FL173" s="286"/>
      <c r="FM173" s="286"/>
      <c r="FN173" s="286"/>
      <c r="FO173" s="286"/>
      <c r="FP173" s="286"/>
      <c r="FQ173" s="286"/>
      <c r="FR173" s="286"/>
      <c r="FS173" s="286"/>
    </row>
    <row r="174" spans="1:175">
      <c r="A174" s="212" t="s">
        <v>3159</v>
      </c>
      <c r="B174" s="212" t="s">
        <v>3160</v>
      </c>
      <c r="C174" s="212" t="s">
        <v>3172</v>
      </c>
      <c r="D174" s="212" t="s">
        <v>3233</v>
      </c>
      <c r="E174" s="212" t="s">
        <v>3335</v>
      </c>
      <c r="F174" s="278">
        <v>5909</v>
      </c>
      <c r="G174" s="278">
        <v>96440</v>
      </c>
      <c r="H174" s="287">
        <f t="shared" si="2"/>
        <v>3.386561592700124</v>
      </c>
      <c r="I174" s="286">
        <v>212</v>
      </c>
      <c r="J174" s="286">
        <v>3266</v>
      </c>
      <c r="K174" s="286">
        <v>2865</v>
      </c>
      <c r="L174" s="286">
        <v>391</v>
      </c>
      <c r="M174" s="286">
        <v>2861</v>
      </c>
      <c r="N174" s="286">
        <v>2532</v>
      </c>
      <c r="O174" s="286">
        <v>319</v>
      </c>
      <c r="P174" s="286">
        <v>212</v>
      </c>
      <c r="Q174" s="286">
        <v>3266</v>
      </c>
      <c r="R174" s="286">
        <v>2865</v>
      </c>
      <c r="S174" s="286">
        <v>391</v>
      </c>
      <c r="T174" s="286">
        <v>2861</v>
      </c>
      <c r="U174" s="286">
        <v>2532</v>
      </c>
      <c r="V174" s="286">
        <v>319</v>
      </c>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c r="CG174" s="286"/>
      <c r="CH174" s="286"/>
      <c r="CI174" s="286"/>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c r="DV174" s="286"/>
      <c r="DW174" s="286"/>
      <c r="DX174" s="286"/>
      <c r="DY174" s="286"/>
      <c r="DZ174" s="286"/>
      <c r="EA174" s="286"/>
      <c r="EB174" s="286"/>
      <c r="EC174" s="286"/>
      <c r="ED174" s="286"/>
      <c r="EE174" s="286"/>
      <c r="EF174" s="286"/>
      <c r="EG174" s="286"/>
      <c r="EH174" s="286"/>
      <c r="EI174" s="286"/>
      <c r="EJ174" s="286"/>
      <c r="EK174" s="286"/>
      <c r="EL174" s="286"/>
      <c r="EM174" s="286"/>
      <c r="EN174" s="286"/>
      <c r="EO174" s="286"/>
      <c r="EP174" s="286"/>
      <c r="EQ174" s="286"/>
      <c r="ER174" s="286"/>
      <c r="ES174" s="286"/>
      <c r="ET174" s="286"/>
      <c r="EU174" s="286"/>
      <c r="EV174" s="286"/>
      <c r="EW174" s="286"/>
      <c r="EX174" s="286"/>
      <c r="EY174" s="286"/>
      <c r="EZ174" s="286"/>
      <c r="FA174" s="286"/>
      <c r="FB174" s="286"/>
      <c r="FC174" s="286"/>
      <c r="FD174" s="286"/>
      <c r="FE174" s="286"/>
      <c r="FF174" s="286"/>
      <c r="FG174" s="286"/>
      <c r="FH174" s="286"/>
      <c r="FI174" s="286"/>
      <c r="FJ174" s="286"/>
      <c r="FK174" s="286"/>
      <c r="FL174" s="286"/>
      <c r="FM174" s="286"/>
      <c r="FN174" s="286"/>
      <c r="FO174" s="286"/>
      <c r="FP174" s="286"/>
      <c r="FQ174" s="286"/>
      <c r="FR174" s="286"/>
      <c r="FS174" s="286"/>
    </row>
    <row r="175" spans="1:175">
      <c r="A175" s="212" t="s">
        <v>3159</v>
      </c>
      <c r="B175" s="212" t="s">
        <v>3160</v>
      </c>
      <c r="C175" s="212" t="s">
        <v>3172</v>
      </c>
      <c r="D175" s="212" t="s">
        <v>3233</v>
      </c>
      <c r="E175" s="212" t="s">
        <v>3336</v>
      </c>
      <c r="F175" s="278">
        <v>355</v>
      </c>
      <c r="G175" s="278">
        <v>3331</v>
      </c>
      <c r="H175" s="287">
        <f t="shared" si="2"/>
        <v>12.728910237166016</v>
      </c>
      <c r="I175" s="286">
        <v>85</v>
      </c>
      <c r="J175" s="286">
        <v>424</v>
      </c>
      <c r="K175" s="286">
        <v>318</v>
      </c>
      <c r="L175" s="286">
        <v>106</v>
      </c>
      <c r="M175" s="286">
        <v>260</v>
      </c>
      <c r="N175" s="286">
        <v>191</v>
      </c>
      <c r="O175" s="286">
        <v>69</v>
      </c>
      <c r="P175" s="286">
        <v>85</v>
      </c>
      <c r="Q175" s="286">
        <v>424</v>
      </c>
      <c r="R175" s="286">
        <v>318</v>
      </c>
      <c r="S175" s="286">
        <v>106</v>
      </c>
      <c r="T175" s="286">
        <v>260</v>
      </c>
      <c r="U175" s="286">
        <v>191</v>
      </c>
      <c r="V175" s="286">
        <v>69</v>
      </c>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c r="CG175" s="286"/>
      <c r="CH175" s="286"/>
      <c r="CI175" s="286"/>
      <c r="CJ175" s="286"/>
      <c r="CK175" s="286"/>
      <c r="CL175" s="286"/>
      <c r="CM175" s="286"/>
      <c r="CN175" s="286"/>
      <c r="CO175" s="286"/>
      <c r="CP175" s="286"/>
      <c r="CQ175" s="286"/>
      <c r="CR175" s="286"/>
      <c r="CS175" s="286"/>
      <c r="CT175" s="286"/>
      <c r="CU175" s="286"/>
      <c r="CV175" s="286"/>
      <c r="CW175" s="286"/>
      <c r="CX175" s="286"/>
      <c r="CY175" s="286"/>
      <c r="CZ175" s="286"/>
      <c r="DA175" s="286"/>
      <c r="DB175" s="286"/>
      <c r="DC175" s="286"/>
      <c r="DD175" s="286"/>
      <c r="DE175" s="286"/>
      <c r="DF175" s="286"/>
      <c r="DG175" s="286"/>
      <c r="DH175" s="286"/>
      <c r="DI175" s="286"/>
      <c r="DJ175" s="286"/>
      <c r="DK175" s="286"/>
      <c r="DL175" s="286"/>
      <c r="DM175" s="286"/>
      <c r="DN175" s="286"/>
      <c r="DO175" s="286"/>
      <c r="DP175" s="286"/>
      <c r="DQ175" s="286"/>
      <c r="DR175" s="286"/>
      <c r="DS175" s="286"/>
      <c r="DT175" s="286"/>
      <c r="DU175" s="286"/>
      <c r="DV175" s="286"/>
      <c r="DW175" s="286"/>
      <c r="DX175" s="286"/>
      <c r="DY175" s="286"/>
      <c r="DZ175" s="286"/>
      <c r="EA175" s="286"/>
      <c r="EB175" s="286"/>
      <c r="EC175" s="286"/>
      <c r="ED175" s="286"/>
      <c r="EE175" s="286"/>
      <c r="EF175" s="286"/>
      <c r="EG175" s="286"/>
      <c r="EH175" s="286"/>
      <c r="EI175" s="286"/>
      <c r="EJ175" s="286"/>
      <c r="EK175" s="286"/>
      <c r="EL175" s="286"/>
      <c r="EM175" s="286"/>
      <c r="EN175" s="286"/>
      <c r="EO175" s="286"/>
      <c r="EP175" s="286"/>
      <c r="EQ175" s="286"/>
      <c r="ER175" s="286"/>
      <c r="ES175" s="286"/>
      <c r="ET175" s="286"/>
      <c r="EU175" s="286"/>
      <c r="EV175" s="286"/>
      <c r="EW175" s="286"/>
      <c r="EX175" s="286"/>
      <c r="EY175" s="286"/>
      <c r="EZ175" s="286"/>
      <c r="FA175" s="286"/>
      <c r="FB175" s="286"/>
      <c r="FC175" s="286"/>
      <c r="FD175" s="286"/>
      <c r="FE175" s="286"/>
      <c r="FF175" s="286"/>
      <c r="FG175" s="286"/>
      <c r="FH175" s="286"/>
      <c r="FI175" s="286"/>
      <c r="FJ175" s="286"/>
      <c r="FK175" s="286"/>
      <c r="FL175" s="286"/>
      <c r="FM175" s="286"/>
      <c r="FN175" s="286"/>
      <c r="FO175" s="286"/>
      <c r="FP175" s="286"/>
      <c r="FQ175" s="286"/>
      <c r="FR175" s="286"/>
      <c r="FS175" s="286"/>
    </row>
    <row r="176" spans="1:175">
      <c r="A176" s="212" t="s">
        <v>3159</v>
      </c>
      <c r="B176" s="212" t="s">
        <v>3160</v>
      </c>
      <c r="C176" s="212" t="s">
        <v>3172</v>
      </c>
      <c r="D176" s="212" t="s">
        <v>3233</v>
      </c>
      <c r="E176" s="212" t="s">
        <v>3337</v>
      </c>
      <c r="F176" s="278">
        <v>4374</v>
      </c>
      <c r="G176" s="278">
        <v>42213</v>
      </c>
      <c r="H176" s="287">
        <f t="shared" si="2"/>
        <v>0.74621562078032833</v>
      </c>
      <c r="I176" s="286">
        <v>74</v>
      </c>
      <c r="J176" s="286">
        <v>315</v>
      </c>
      <c r="K176" s="286">
        <v>195</v>
      </c>
      <c r="L176" s="286">
        <v>120</v>
      </c>
      <c r="M176" s="286">
        <v>204</v>
      </c>
      <c r="N176" s="286">
        <v>124</v>
      </c>
      <c r="O176" s="286">
        <v>80</v>
      </c>
      <c r="P176" s="286">
        <v>74</v>
      </c>
      <c r="Q176" s="286">
        <v>315</v>
      </c>
      <c r="R176" s="286">
        <v>195</v>
      </c>
      <c r="S176" s="286">
        <v>120</v>
      </c>
      <c r="T176" s="286">
        <v>204</v>
      </c>
      <c r="U176" s="286">
        <v>124</v>
      </c>
      <c r="V176" s="286">
        <v>80</v>
      </c>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c r="CG176" s="286"/>
      <c r="CH176" s="286"/>
      <c r="CI176" s="286"/>
      <c r="CJ176" s="286"/>
      <c r="CK176" s="286"/>
      <c r="CL176" s="286"/>
      <c r="CM176" s="286"/>
      <c r="CN176" s="286"/>
      <c r="CO176" s="286"/>
      <c r="CP176" s="286"/>
      <c r="CQ176" s="286"/>
      <c r="CR176" s="286"/>
      <c r="CS176" s="286"/>
      <c r="CT176" s="286"/>
      <c r="CU176" s="286"/>
      <c r="CV176" s="286"/>
      <c r="CW176" s="286"/>
      <c r="CX176" s="286"/>
      <c r="CY176" s="286"/>
      <c r="CZ176" s="286"/>
      <c r="DA176" s="286"/>
      <c r="DB176" s="286"/>
      <c r="DC176" s="286"/>
      <c r="DD176" s="286"/>
      <c r="DE176" s="286"/>
      <c r="DF176" s="286"/>
      <c r="DG176" s="286"/>
      <c r="DH176" s="286"/>
      <c r="DI176" s="286"/>
      <c r="DJ176" s="286"/>
      <c r="DK176" s="286"/>
      <c r="DL176" s="286"/>
      <c r="DM176" s="286"/>
      <c r="DN176" s="286"/>
      <c r="DO176" s="286"/>
      <c r="DP176" s="286"/>
      <c r="DQ176" s="286"/>
      <c r="DR176" s="286"/>
      <c r="DS176" s="286"/>
      <c r="DT176" s="286"/>
      <c r="DU176" s="286"/>
      <c r="DV176" s="286"/>
      <c r="DW176" s="286"/>
      <c r="DX176" s="286"/>
      <c r="DY176" s="286"/>
      <c r="DZ176" s="286"/>
      <c r="EA176" s="286"/>
      <c r="EB176" s="286"/>
      <c r="EC176" s="286"/>
      <c r="ED176" s="286"/>
      <c r="EE176" s="286"/>
      <c r="EF176" s="286"/>
      <c r="EG176" s="286"/>
      <c r="EH176" s="286"/>
      <c r="EI176" s="286"/>
      <c r="EJ176" s="286"/>
      <c r="EK176" s="286"/>
      <c r="EL176" s="286"/>
      <c r="EM176" s="286"/>
      <c r="EN176" s="286"/>
      <c r="EO176" s="286"/>
      <c r="EP176" s="286"/>
      <c r="EQ176" s="286"/>
      <c r="ER176" s="286"/>
      <c r="ES176" s="286"/>
      <c r="ET176" s="286"/>
      <c r="EU176" s="286"/>
      <c r="EV176" s="286"/>
      <c r="EW176" s="286"/>
      <c r="EX176" s="286"/>
      <c r="EY176" s="286"/>
      <c r="EZ176" s="286"/>
      <c r="FA176" s="286"/>
      <c r="FB176" s="286"/>
      <c r="FC176" s="286"/>
      <c r="FD176" s="286"/>
      <c r="FE176" s="286"/>
      <c r="FF176" s="286"/>
      <c r="FG176" s="286"/>
      <c r="FH176" s="286"/>
      <c r="FI176" s="286"/>
      <c r="FJ176" s="286"/>
      <c r="FK176" s="286"/>
      <c r="FL176" s="286"/>
      <c r="FM176" s="286"/>
      <c r="FN176" s="286"/>
      <c r="FO176" s="286"/>
      <c r="FP176" s="286"/>
      <c r="FQ176" s="286"/>
      <c r="FR176" s="286"/>
      <c r="FS176" s="286"/>
    </row>
    <row r="177" spans="1:175">
      <c r="A177" s="212" t="s">
        <v>3159</v>
      </c>
      <c r="B177" s="212" t="s">
        <v>3160</v>
      </c>
      <c r="C177" s="212" t="s">
        <v>3172</v>
      </c>
      <c r="D177" s="212" t="s">
        <v>3233</v>
      </c>
      <c r="E177" s="212" t="s">
        <v>3338</v>
      </c>
      <c r="F177" s="278">
        <v>274</v>
      </c>
      <c r="G177" s="278">
        <v>9064</v>
      </c>
      <c r="H177" s="287">
        <f t="shared" si="2"/>
        <v>7.9876434245366283</v>
      </c>
      <c r="I177" s="286">
        <v>14</v>
      </c>
      <c r="J177" s="286">
        <v>724</v>
      </c>
      <c r="K177" s="286">
        <v>628</v>
      </c>
      <c r="L177" s="286">
        <v>96</v>
      </c>
      <c r="M177" s="286">
        <v>714</v>
      </c>
      <c r="N177" s="286">
        <v>620</v>
      </c>
      <c r="O177" s="286">
        <v>94</v>
      </c>
      <c r="P177" s="286">
        <v>14</v>
      </c>
      <c r="Q177" s="286">
        <v>724</v>
      </c>
      <c r="R177" s="286">
        <v>628</v>
      </c>
      <c r="S177" s="286">
        <v>96</v>
      </c>
      <c r="T177" s="286">
        <v>714</v>
      </c>
      <c r="U177" s="286">
        <v>620</v>
      </c>
      <c r="V177" s="286">
        <v>94</v>
      </c>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c r="CG177" s="286"/>
      <c r="CH177" s="286"/>
      <c r="CI177" s="286"/>
      <c r="CJ177" s="286"/>
      <c r="CK177" s="286"/>
      <c r="CL177" s="286"/>
      <c r="CM177" s="286"/>
      <c r="CN177" s="286"/>
      <c r="CO177" s="286"/>
      <c r="CP177" s="286"/>
      <c r="CQ177" s="286"/>
      <c r="CR177" s="286"/>
      <c r="CS177" s="286"/>
      <c r="CT177" s="286"/>
      <c r="CU177" s="286"/>
      <c r="CV177" s="286"/>
      <c r="CW177" s="286"/>
      <c r="CX177" s="286"/>
      <c r="CY177" s="286"/>
      <c r="CZ177" s="286"/>
      <c r="DA177" s="286"/>
      <c r="DB177" s="286"/>
      <c r="DC177" s="286"/>
      <c r="DD177" s="286"/>
      <c r="DE177" s="286"/>
      <c r="DF177" s="286"/>
      <c r="DG177" s="286"/>
      <c r="DH177" s="286"/>
      <c r="DI177" s="286"/>
      <c r="DJ177" s="286"/>
      <c r="DK177" s="286"/>
      <c r="DL177" s="286"/>
      <c r="DM177" s="286"/>
      <c r="DN177" s="286"/>
      <c r="DO177" s="286"/>
      <c r="DP177" s="286"/>
      <c r="DQ177" s="286"/>
      <c r="DR177" s="286"/>
      <c r="DS177" s="286"/>
      <c r="DT177" s="286"/>
      <c r="DU177" s="286"/>
      <c r="DV177" s="286"/>
      <c r="DW177" s="286"/>
      <c r="DX177" s="286"/>
      <c r="DY177" s="286"/>
      <c r="DZ177" s="286"/>
      <c r="EA177" s="286"/>
      <c r="EB177" s="286"/>
      <c r="EC177" s="286"/>
      <c r="ED177" s="286"/>
      <c r="EE177" s="286"/>
      <c r="EF177" s="286"/>
      <c r="EG177" s="286"/>
      <c r="EH177" s="286"/>
      <c r="EI177" s="286"/>
      <c r="EJ177" s="286"/>
      <c r="EK177" s="286"/>
      <c r="EL177" s="286"/>
      <c r="EM177" s="286"/>
      <c r="EN177" s="286"/>
      <c r="EO177" s="286"/>
      <c r="EP177" s="286"/>
      <c r="EQ177" s="286"/>
      <c r="ER177" s="286"/>
      <c r="ES177" s="286"/>
      <c r="ET177" s="286"/>
      <c r="EU177" s="286"/>
      <c r="EV177" s="286"/>
      <c r="EW177" s="286"/>
      <c r="EX177" s="286"/>
      <c r="EY177" s="286"/>
      <c r="EZ177" s="286"/>
      <c r="FA177" s="286"/>
      <c r="FB177" s="286"/>
      <c r="FC177" s="286"/>
      <c r="FD177" s="286"/>
      <c r="FE177" s="286"/>
      <c r="FF177" s="286"/>
      <c r="FG177" s="286"/>
      <c r="FH177" s="286"/>
      <c r="FI177" s="286"/>
      <c r="FJ177" s="286"/>
      <c r="FK177" s="286"/>
      <c r="FL177" s="286"/>
      <c r="FM177" s="286"/>
      <c r="FN177" s="286"/>
      <c r="FO177" s="286"/>
      <c r="FP177" s="286"/>
      <c r="FQ177" s="286"/>
      <c r="FR177" s="286"/>
      <c r="FS177" s="286"/>
    </row>
    <row r="178" spans="1:175">
      <c r="A178" s="212" t="s">
        <v>3159</v>
      </c>
      <c r="B178" s="212" t="s">
        <v>3160</v>
      </c>
      <c r="C178" s="212" t="s">
        <v>3172</v>
      </c>
      <c r="D178" s="212" t="s">
        <v>3233</v>
      </c>
      <c r="E178" s="212" t="s">
        <v>3339</v>
      </c>
      <c r="F178" s="278">
        <v>213</v>
      </c>
      <c r="G178" s="278">
        <v>7787</v>
      </c>
      <c r="H178" s="287">
        <f t="shared" si="2"/>
        <v>2.902273019134455</v>
      </c>
      <c r="I178" s="286">
        <v>9</v>
      </c>
      <c r="J178" s="286">
        <v>226</v>
      </c>
      <c r="K178" s="286">
        <v>160</v>
      </c>
      <c r="L178" s="286">
        <v>66</v>
      </c>
      <c r="M178" s="286">
        <v>211</v>
      </c>
      <c r="N178" s="286">
        <v>151</v>
      </c>
      <c r="O178" s="286">
        <v>60</v>
      </c>
      <c r="P178" s="286">
        <v>9</v>
      </c>
      <c r="Q178" s="286">
        <v>226</v>
      </c>
      <c r="R178" s="286">
        <v>160</v>
      </c>
      <c r="S178" s="286">
        <v>66</v>
      </c>
      <c r="T178" s="286">
        <v>211</v>
      </c>
      <c r="U178" s="286">
        <v>151</v>
      </c>
      <c r="V178" s="286">
        <v>60</v>
      </c>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c r="CG178" s="286"/>
      <c r="CH178" s="286"/>
      <c r="CI178" s="286"/>
      <c r="CJ178" s="286"/>
      <c r="CK178" s="286"/>
      <c r="CL178" s="286"/>
      <c r="CM178" s="286"/>
      <c r="CN178" s="286"/>
      <c r="CO178" s="286"/>
      <c r="CP178" s="286"/>
      <c r="CQ178" s="286"/>
      <c r="CR178" s="286"/>
      <c r="CS178" s="286"/>
      <c r="CT178" s="286"/>
      <c r="CU178" s="286"/>
      <c r="CV178" s="286"/>
      <c r="CW178" s="286"/>
      <c r="CX178" s="286"/>
      <c r="CY178" s="286"/>
      <c r="CZ178" s="286"/>
      <c r="DA178" s="286"/>
      <c r="DB178" s="286"/>
      <c r="DC178" s="286"/>
      <c r="DD178" s="286"/>
      <c r="DE178" s="286"/>
      <c r="DF178" s="286"/>
      <c r="DG178" s="286"/>
      <c r="DH178" s="286"/>
      <c r="DI178" s="286"/>
      <c r="DJ178" s="286"/>
      <c r="DK178" s="286"/>
      <c r="DL178" s="286"/>
      <c r="DM178" s="286"/>
      <c r="DN178" s="286"/>
      <c r="DO178" s="286"/>
      <c r="DP178" s="286"/>
      <c r="DQ178" s="286"/>
      <c r="DR178" s="286"/>
      <c r="DS178" s="286"/>
      <c r="DT178" s="286"/>
      <c r="DU178" s="286"/>
      <c r="DV178" s="286"/>
      <c r="DW178" s="286"/>
      <c r="DX178" s="286"/>
      <c r="DY178" s="286"/>
      <c r="DZ178" s="286"/>
      <c r="EA178" s="286"/>
      <c r="EB178" s="286"/>
      <c r="EC178" s="286"/>
      <c r="ED178" s="286"/>
      <c r="EE178" s="286"/>
      <c r="EF178" s="286"/>
      <c r="EG178" s="286"/>
      <c r="EH178" s="286"/>
      <c r="EI178" s="286"/>
      <c r="EJ178" s="286"/>
      <c r="EK178" s="286"/>
      <c r="EL178" s="286"/>
      <c r="EM178" s="286"/>
      <c r="EN178" s="286"/>
      <c r="EO178" s="286"/>
      <c r="EP178" s="286"/>
      <c r="EQ178" s="286"/>
      <c r="ER178" s="286"/>
      <c r="ES178" s="286"/>
      <c r="ET178" s="286"/>
      <c r="EU178" s="286"/>
      <c r="EV178" s="286"/>
      <c r="EW178" s="286"/>
      <c r="EX178" s="286"/>
      <c r="EY178" s="286"/>
      <c r="EZ178" s="286"/>
      <c r="FA178" s="286"/>
      <c r="FB178" s="286"/>
      <c r="FC178" s="286"/>
      <c r="FD178" s="286"/>
      <c r="FE178" s="286"/>
      <c r="FF178" s="286"/>
      <c r="FG178" s="286"/>
      <c r="FH178" s="286"/>
      <c r="FI178" s="286"/>
      <c r="FJ178" s="286"/>
      <c r="FK178" s="286"/>
      <c r="FL178" s="286"/>
      <c r="FM178" s="286"/>
      <c r="FN178" s="286"/>
      <c r="FO178" s="286"/>
      <c r="FP178" s="286"/>
      <c r="FQ178" s="286"/>
      <c r="FR178" s="286"/>
      <c r="FS178" s="286"/>
    </row>
    <row r="179" spans="1:175">
      <c r="A179" s="212" t="s">
        <v>3159</v>
      </c>
      <c r="B179" s="212" t="s">
        <v>3160</v>
      </c>
      <c r="C179" s="212" t="s">
        <v>3172</v>
      </c>
      <c r="D179" s="212" t="s">
        <v>3233</v>
      </c>
      <c r="E179" s="212" t="s">
        <v>3340</v>
      </c>
      <c r="F179" s="278">
        <v>375</v>
      </c>
      <c r="G179" s="278">
        <v>9944</v>
      </c>
      <c r="H179" s="287">
        <f t="shared" si="2"/>
        <v>3.3286403861625105</v>
      </c>
      <c r="I179" s="286">
        <v>14</v>
      </c>
      <c r="J179" s="286">
        <v>331</v>
      </c>
      <c r="K179" s="286">
        <v>157</v>
      </c>
      <c r="L179" s="286">
        <v>174</v>
      </c>
      <c r="M179" s="286">
        <v>281</v>
      </c>
      <c r="N179" s="286">
        <v>133</v>
      </c>
      <c r="O179" s="286">
        <v>148</v>
      </c>
      <c r="P179" s="286">
        <v>14</v>
      </c>
      <c r="Q179" s="286">
        <v>331</v>
      </c>
      <c r="R179" s="286">
        <v>157</v>
      </c>
      <c r="S179" s="286">
        <v>174</v>
      </c>
      <c r="T179" s="286">
        <v>281</v>
      </c>
      <c r="U179" s="286">
        <v>133</v>
      </c>
      <c r="V179" s="286">
        <v>148</v>
      </c>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c r="CG179" s="286"/>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c r="DV179" s="286"/>
      <c r="DW179" s="286"/>
      <c r="DX179" s="286"/>
      <c r="DY179" s="286"/>
      <c r="DZ179" s="286"/>
      <c r="EA179" s="286"/>
      <c r="EB179" s="286"/>
      <c r="EC179" s="286"/>
      <c r="ED179" s="286"/>
      <c r="EE179" s="286"/>
      <c r="EF179" s="286"/>
      <c r="EG179" s="286"/>
      <c r="EH179" s="286"/>
      <c r="EI179" s="286"/>
      <c r="EJ179" s="286"/>
      <c r="EK179" s="286"/>
      <c r="EL179" s="286"/>
      <c r="EM179" s="286"/>
      <c r="EN179" s="286"/>
      <c r="EO179" s="286"/>
      <c r="EP179" s="286"/>
      <c r="EQ179" s="286"/>
      <c r="ER179" s="286"/>
      <c r="ES179" s="286"/>
      <c r="ET179" s="286"/>
      <c r="EU179" s="286"/>
      <c r="EV179" s="286"/>
      <c r="EW179" s="286"/>
      <c r="EX179" s="286"/>
      <c r="EY179" s="286"/>
      <c r="EZ179" s="286"/>
      <c r="FA179" s="286"/>
      <c r="FB179" s="286"/>
      <c r="FC179" s="286"/>
      <c r="FD179" s="286"/>
      <c r="FE179" s="286"/>
      <c r="FF179" s="286"/>
      <c r="FG179" s="286"/>
      <c r="FH179" s="286"/>
      <c r="FI179" s="286"/>
      <c r="FJ179" s="286"/>
      <c r="FK179" s="286"/>
      <c r="FL179" s="286"/>
      <c r="FM179" s="286"/>
      <c r="FN179" s="286"/>
      <c r="FO179" s="286"/>
      <c r="FP179" s="286"/>
      <c r="FQ179" s="286"/>
      <c r="FR179" s="286"/>
      <c r="FS179" s="286"/>
    </row>
    <row r="180" spans="1:175">
      <c r="A180" s="212" t="s">
        <v>3159</v>
      </c>
      <c r="B180" s="212" t="s">
        <v>3160</v>
      </c>
      <c r="C180" s="212" t="s">
        <v>3172</v>
      </c>
      <c r="D180" s="212" t="s">
        <v>3233</v>
      </c>
      <c r="E180" s="212" t="s">
        <v>3341</v>
      </c>
      <c r="F180" s="278">
        <v>3843</v>
      </c>
      <c r="G180" s="278">
        <v>31110</v>
      </c>
      <c r="H180" s="287">
        <f t="shared" si="2"/>
        <v>2.1954355512696884</v>
      </c>
      <c r="I180" s="286">
        <v>96</v>
      </c>
      <c r="J180" s="286">
        <v>683</v>
      </c>
      <c r="K180" s="286">
        <v>551</v>
      </c>
      <c r="L180" s="286">
        <v>132</v>
      </c>
      <c r="M180" s="286">
        <v>506</v>
      </c>
      <c r="N180" s="286">
        <v>422</v>
      </c>
      <c r="O180" s="286">
        <v>84</v>
      </c>
      <c r="P180" s="286">
        <v>96</v>
      </c>
      <c r="Q180" s="286">
        <v>683</v>
      </c>
      <c r="R180" s="286">
        <v>551</v>
      </c>
      <c r="S180" s="286">
        <v>132</v>
      </c>
      <c r="T180" s="286">
        <v>506</v>
      </c>
      <c r="U180" s="286">
        <v>422</v>
      </c>
      <c r="V180" s="286">
        <v>84</v>
      </c>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c r="CG180" s="286"/>
      <c r="CH180" s="286"/>
      <c r="CI180" s="286"/>
      <c r="CJ180" s="286"/>
      <c r="CK180" s="286"/>
      <c r="CL180" s="286"/>
      <c r="CM180" s="286"/>
      <c r="CN180" s="286"/>
      <c r="CO180" s="286"/>
      <c r="CP180" s="286"/>
      <c r="CQ180" s="286"/>
      <c r="CR180" s="286"/>
      <c r="CS180" s="286"/>
      <c r="CT180" s="286"/>
      <c r="CU180" s="286"/>
      <c r="CV180" s="286"/>
      <c r="CW180" s="286"/>
      <c r="CX180" s="286"/>
      <c r="CY180" s="286"/>
      <c r="CZ180" s="286"/>
      <c r="DA180" s="286"/>
      <c r="DB180" s="286"/>
      <c r="DC180" s="286"/>
      <c r="DD180" s="286"/>
      <c r="DE180" s="286"/>
      <c r="DF180" s="286"/>
      <c r="DG180" s="286"/>
      <c r="DH180" s="286"/>
      <c r="DI180" s="286"/>
      <c r="DJ180" s="286"/>
      <c r="DK180" s="286"/>
      <c r="DL180" s="286"/>
      <c r="DM180" s="286"/>
      <c r="DN180" s="286"/>
      <c r="DO180" s="286"/>
      <c r="DP180" s="286"/>
      <c r="DQ180" s="286"/>
      <c r="DR180" s="286"/>
      <c r="DS180" s="286"/>
      <c r="DT180" s="286"/>
      <c r="DU180" s="286"/>
      <c r="DV180" s="286"/>
      <c r="DW180" s="286"/>
      <c r="DX180" s="286"/>
      <c r="DY180" s="286"/>
      <c r="DZ180" s="286"/>
      <c r="EA180" s="286"/>
      <c r="EB180" s="286"/>
      <c r="EC180" s="286"/>
      <c r="ED180" s="286"/>
      <c r="EE180" s="286"/>
      <c r="EF180" s="286"/>
      <c r="EG180" s="286"/>
      <c r="EH180" s="286"/>
      <c r="EI180" s="286"/>
      <c r="EJ180" s="286"/>
      <c r="EK180" s="286"/>
      <c r="EL180" s="286"/>
      <c r="EM180" s="286"/>
      <c r="EN180" s="286"/>
      <c r="EO180" s="286"/>
      <c r="EP180" s="286"/>
      <c r="EQ180" s="286"/>
      <c r="ER180" s="286"/>
      <c r="ES180" s="286"/>
      <c r="ET180" s="286"/>
      <c r="EU180" s="286"/>
      <c r="EV180" s="286"/>
      <c r="EW180" s="286"/>
      <c r="EX180" s="286"/>
      <c r="EY180" s="286"/>
      <c r="EZ180" s="286"/>
      <c r="FA180" s="286"/>
      <c r="FB180" s="286"/>
      <c r="FC180" s="286"/>
      <c r="FD180" s="286"/>
      <c r="FE180" s="286"/>
      <c r="FF180" s="286"/>
      <c r="FG180" s="286"/>
      <c r="FH180" s="286"/>
      <c r="FI180" s="286"/>
      <c r="FJ180" s="286"/>
      <c r="FK180" s="286"/>
      <c r="FL180" s="286"/>
      <c r="FM180" s="286"/>
      <c r="FN180" s="286"/>
      <c r="FO180" s="286"/>
      <c r="FP180" s="286"/>
      <c r="FQ180" s="286"/>
      <c r="FR180" s="286"/>
      <c r="FS180" s="286"/>
    </row>
    <row r="181" spans="1:175">
      <c r="A181" s="212" t="s">
        <v>3159</v>
      </c>
      <c r="B181" s="212" t="s">
        <v>3160</v>
      </c>
      <c r="C181" s="212" t="s">
        <v>3172</v>
      </c>
      <c r="D181" s="212" t="s">
        <v>3233</v>
      </c>
      <c r="E181" s="212" t="s">
        <v>3342</v>
      </c>
      <c r="F181" s="278">
        <v>1479</v>
      </c>
      <c r="G181" s="278">
        <v>23721</v>
      </c>
      <c r="H181" s="287">
        <f t="shared" si="2"/>
        <v>4.4433202647443197</v>
      </c>
      <c r="I181" s="286">
        <v>51</v>
      </c>
      <c r="J181" s="286">
        <v>1054</v>
      </c>
      <c r="K181" s="286">
        <v>853</v>
      </c>
      <c r="L181" s="286">
        <v>201</v>
      </c>
      <c r="M181" s="286">
        <v>875</v>
      </c>
      <c r="N181" s="286">
        <v>698</v>
      </c>
      <c r="O181" s="286">
        <v>177</v>
      </c>
      <c r="P181" s="286">
        <v>51</v>
      </c>
      <c r="Q181" s="286">
        <v>1054</v>
      </c>
      <c r="R181" s="286">
        <v>853</v>
      </c>
      <c r="S181" s="286">
        <v>201</v>
      </c>
      <c r="T181" s="286">
        <v>875</v>
      </c>
      <c r="U181" s="286">
        <v>698</v>
      </c>
      <c r="V181" s="286">
        <v>177</v>
      </c>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c r="CG181" s="286"/>
      <c r="CH181" s="286"/>
      <c r="CI181" s="286"/>
      <c r="CJ181" s="286"/>
      <c r="CK181" s="286"/>
      <c r="CL181" s="286"/>
      <c r="CM181" s="286"/>
      <c r="CN181" s="286"/>
      <c r="CO181" s="286"/>
      <c r="CP181" s="286"/>
      <c r="CQ181" s="286"/>
      <c r="CR181" s="286"/>
      <c r="CS181" s="286"/>
      <c r="CT181" s="286"/>
      <c r="CU181" s="286"/>
      <c r="CV181" s="286"/>
      <c r="CW181" s="286"/>
      <c r="CX181" s="286"/>
      <c r="CY181" s="286"/>
      <c r="CZ181" s="286"/>
      <c r="DA181" s="286"/>
      <c r="DB181" s="286"/>
      <c r="DC181" s="286"/>
      <c r="DD181" s="286"/>
      <c r="DE181" s="286"/>
      <c r="DF181" s="286"/>
      <c r="DG181" s="286"/>
      <c r="DH181" s="286"/>
      <c r="DI181" s="286"/>
      <c r="DJ181" s="286"/>
      <c r="DK181" s="286"/>
      <c r="DL181" s="286"/>
      <c r="DM181" s="286"/>
      <c r="DN181" s="286"/>
      <c r="DO181" s="286"/>
      <c r="DP181" s="286"/>
      <c r="DQ181" s="286"/>
      <c r="DR181" s="286"/>
      <c r="DS181" s="286"/>
      <c r="DT181" s="286"/>
      <c r="DU181" s="286"/>
      <c r="DV181" s="286"/>
      <c r="DW181" s="286"/>
      <c r="DX181" s="286"/>
      <c r="DY181" s="286"/>
      <c r="DZ181" s="286"/>
      <c r="EA181" s="286"/>
      <c r="EB181" s="286"/>
      <c r="EC181" s="286"/>
      <c r="ED181" s="286"/>
      <c r="EE181" s="286"/>
      <c r="EF181" s="286"/>
      <c r="EG181" s="286"/>
      <c r="EH181" s="286"/>
      <c r="EI181" s="286"/>
      <c r="EJ181" s="286"/>
      <c r="EK181" s="286"/>
      <c r="EL181" s="286"/>
      <c r="EM181" s="286"/>
      <c r="EN181" s="286"/>
      <c r="EO181" s="286"/>
      <c r="EP181" s="286"/>
      <c r="EQ181" s="286"/>
      <c r="ER181" s="286"/>
      <c r="ES181" s="286"/>
      <c r="ET181" s="286"/>
      <c r="EU181" s="286"/>
      <c r="EV181" s="286"/>
      <c r="EW181" s="286"/>
      <c r="EX181" s="286"/>
      <c r="EY181" s="286"/>
      <c r="EZ181" s="286"/>
      <c r="FA181" s="286"/>
      <c r="FB181" s="286"/>
      <c r="FC181" s="286"/>
      <c r="FD181" s="286"/>
      <c r="FE181" s="286"/>
      <c r="FF181" s="286"/>
      <c r="FG181" s="286"/>
      <c r="FH181" s="286"/>
      <c r="FI181" s="286"/>
      <c r="FJ181" s="286"/>
      <c r="FK181" s="286"/>
      <c r="FL181" s="286"/>
      <c r="FM181" s="286"/>
      <c r="FN181" s="286"/>
      <c r="FO181" s="286"/>
      <c r="FP181" s="286"/>
      <c r="FQ181" s="286"/>
      <c r="FR181" s="286"/>
      <c r="FS181" s="286"/>
    </row>
    <row r="182" spans="1:175">
      <c r="A182" s="212" t="s">
        <v>3159</v>
      </c>
      <c r="B182" s="212" t="s">
        <v>3160</v>
      </c>
      <c r="C182" s="212" t="s">
        <v>3170</v>
      </c>
      <c r="D182" s="212" t="s">
        <v>3233</v>
      </c>
      <c r="E182" s="212" t="s">
        <v>3343</v>
      </c>
      <c r="F182" s="278">
        <v>7653</v>
      </c>
      <c r="G182" s="278">
        <v>246330</v>
      </c>
      <c r="H182" s="287">
        <f t="shared" si="2"/>
        <v>10.127065318881176</v>
      </c>
      <c r="I182" s="286">
        <v>487</v>
      </c>
      <c r="J182" s="286">
        <v>24946</v>
      </c>
      <c r="K182" s="286">
        <v>22302</v>
      </c>
      <c r="L182" s="286">
        <v>2639</v>
      </c>
      <c r="M182" s="286">
        <v>23996</v>
      </c>
      <c r="N182" s="286">
        <v>21577</v>
      </c>
      <c r="O182" s="286">
        <v>2414</v>
      </c>
      <c r="P182" s="286">
        <v>487</v>
      </c>
      <c r="Q182" s="286">
        <v>24946</v>
      </c>
      <c r="R182" s="286">
        <v>22302</v>
      </c>
      <c r="S182" s="286">
        <v>2639</v>
      </c>
      <c r="T182" s="286">
        <v>23996</v>
      </c>
      <c r="U182" s="286">
        <v>21577</v>
      </c>
      <c r="V182" s="286">
        <v>2414</v>
      </c>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c r="CG182" s="286"/>
      <c r="CH182" s="286"/>
      <c r="CI182" s="286"/>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c r="DV182" s="286"/>
      <c r="DW182" s="286"/>
      <c r="DX182" s="286"/>
      <c r="DY182" s="286"/>
      <c r="DZ182" s="286"/>
      <c r="EA182" s="286"/>
      <c r="EB182" s="286"/>
      <c r="EC182" s="286"/>
      <c r="ED182" s="286"/>
      <c r="EE182" s="286"/>
      <c r="EF182" s="286"/>
      <c r="EG182" s="286"/>
      <c r="EH182" s="286"/>
      <c r="EI182" s="286"/>
      <c r="EJ182" s="286"/>
      <c r="EK182" s="286"/>
      <c r="EL182" s="286"/>
      <c r="EM182" s="286"/>
      <c r="EN182" s="286"/>
      <c r="EO182" s="286"/>
      <c r="EP182" s="286"/>
      <c r="EQ182" s="286"/>
      <c r="ER182" s="286"/>
      <c r="ES182" s="286"/>
      <c r="ET182" s="286"/>
      <c r="EU182" s="286"/>
      <c r="EV182" s="286"/>
      <c r="EW182" s="286"/>
      <c r="EX182" s="286"/>
      <c r="EY182" s="286"/>
      <c r="EZ182" s="286"/>
      <c r="FA182" s="286"/>
      <c r="FB182" s="286"/>
      <c r="FC182" s="286"/>
      <c r="FD182" s="286"/>
      <c r="FE182" s="286"/>
      <c r="FF182" s="286"/>
      <c r="FG182" s="286"/>
      <c r="FH182" s="286"/>
      <c r="FI182" s="286"/>
      <c r="FJ182" s="286"/>
      <c r="FK182" s="286"/>
      <c r="FL182" s="286"/>
      <c r="FM182" s="286"/>
      <c r="FN182" s="286"/>
      <c r="FO182" s="286"/>
      <c r="FP182" s="286"/>
      <c r="FQ182" s="286"/>
      <c r="FR182" s="286"/>
      <c r="FS182" s="286"/>
    </row>
    <row r="183" spans="1:175">
      <c r="A183" s="212" t="s">
        <v>3159</v>
      </c>
      <c r="B183" s="212" t="s">
        <v>3160</v>
      </c>
      <c r="C183" s="212" t="s">
        <v>3172</v>
      </c>
      <c r="D183" s="212" t="s">
        <v>3233</v>
      </c>
      <c r="E183" s="212" t="s">
        <v>3344</v>
      </c>
      <c r="F183" s="278">
        <v>191</v>
      </c>
      <c r="G183" s="278">
        <v>7193</v>
      </c>
      <c r="H183" s="287">
        <f t="shared" si="2"/>
        <v>18.962880578340052</v>
      </c>
      <c r="I183" s="286">
        <v>10</v>
      </c>
      <c r="J183" s="286">
        <v>1364</v>
      </c>
      <c r="K183" s="286">
        <v>1149</v>
      </c>
      <c r="L183" s="286">
        <v>215</v>
      </c>
      <c r="M183" s="286">
        <v>1350</v>
      </c>
      <c r="N183" s="286">
        <v>1135</v>
      </c>
      <c r="O183" s="286">
        <v>215</v>
      </c>
      <c r="P183" s="286">
        <v>10</v>
      </c>
      <c r="Q183" s="286">
        <v>1364</v>
      </c>
      <c r="R183" s="286">
        <v>1149</v>
      </c>
      <c r="S183" s="286">
        <v>215</v>
      </c>
      <c r="T183" s="286">
        <v>1350</v>
      </c>
      <c r="U183" s="286">
        <v>1135</v>
      </c>
      <c r="V183" s="286">
        <v>215</v>
      </c>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c r="CG183" s="286"/>
      <c r="CH183" s="286"/>
      <c r="CI183" s="286"/>
      <c r="CJ183" s="286"/>
      <c r="CK183" s="286"/>
      <c r="CL183" s="286"/>
      <c r="CM183" s="286"/>
      <c r="CN183" s="286"/>
      <c r="CO183" s="286"/>
      <c r="CP183" s="286"/>
      <c r="CQ183" s="286"/>
      <c r="CR183" s="286"/>
      <c r="CS183" s="286"/>
      <c r="CT183" s="286"/>
      <c r="CU183" s="286"/>
      <c r="CV183" s="286"/>
      <c r="CW183" s="286"/>
      <c r="CX183" s="286"/>
      <c r="CY183" s="286"/>
      <c r="CZ183" s="286"/>
      <c r="DA183" s="286"/>
      <c r="DB183" s="286"/>
      <c r="DC183" s="286"/>
      <c r="DD183" s="286"/>
      <c r="DE183" s="286"/>
      <c r="DF183" s="286"/>
      <c r="DG183" s="286"/>
      <c r="DH183" s="286"/>
      <c r="DI183" s="286"/>
      <c r="DJ183" s="286"/>
      <c r="DK183" s="286"/>
      <c r="DL183" s="286"/>
      <c r="DM183" s="286"/>
      <c r="DN183" s="286"/>
      <c r="DO183" s="286"/>
      <c r="DP183" s="286"/>
      <c r="DQ183" s="286"/>
      <c r="DR183" s="286"/>
      <c r="DS183" s="286"/>
      <c r="DT183" s="286"/>
      <c r="DU183" s="286"/>
      <c r="DV183" s="286"/>
      <c r="DW183" s="286"/>
      <c r="DX183" s="286"/>
      <c r="DY183" s="286"/>
      <c r="DZ183" s="286"/>
      <c r="EA183" s="286"/>
      <c r="EB183" s="286"/>
      <c r="EC183" s="286"/>
      <c r="ED183" s="286"/>
      <c r="EE183" s="286"/>
      <c r="EF183" s="286"/>
      <c r="EG183" s="286"/>
      <c r="EH183" s="286"/>
      <c r="EI183" s="286"/>
      <c r="EJ183" s="286"/>
      <c r="EK183" s="286"/>
      <c r="EL183" s="286"/>
      <c r="EM183" s="286"/>
      <c r="EN183" s="286"/>
      <c r="EO183" s="286"/>
      <c r="EP183" s="286"/>
      <c r="EQ183" s="286"/>
      <c r="ER183" s="286"/>
      <c r="ES183" s="286"/>
      <c r="ET183" s="286"/>
      <c r="EU183" s="286"/>
      <c r="EV183" s="286"/>
      <c r="EW183" s="286"/>
      <c r="EX183" s="286"/>
      <c r="EY183" s="286"/>
      <c r="EZ183" s="286"/>
      <c r="FA183" s="286"/>
      <c r="FB183" s="286"/>
      <c r="FC183" s="286"/>
      <c r="FD183" s="286"/>
      <c r="FE183" s="286"/>
      <c r="FF183" s="286"/>
      <c r="FG183" s="286"/>
      <c r="FH183" s="286"/>
      <c r="FI183" s="286"/>
      <c r="FJ183" s="286"/>
      <c r="FK183" s="286"/>
      <c r="FL183" s="286"/>
      <c r="FM183" s="286"/>
      <c r="FN183" s="286"/>
      <c r="FO183" s="286"/>
      <c r="FP183" s="286"/>
      <c r="FQ183" s="286"/>
      <c r="FR183" s="286"/>
      <c r="FS183" s="286"/>
    </row>
    <row r="184" spans="1:175">
      <c r="A184" s="212" t="s">
        <v>3159</v>
      </c>
      <c r="B184" s="212" t="s">
        <v>3160</v>
      </c>
      <c r="C184" s="212" t="s">
        <v>3172</v>
      </c>
      <c r="D184" s="212" t="s">
        <v>3233</v>
      </c>
      <c r="E184" s="212" t="s">
        <v>3345</v>
      </c>
      <c r="F184" s="278">
        <v>55</v>
      </c>
      <c r="G184" s="278">
        <v>41042</v>
      </c>
      <c r="H184" s="287">
        <f t="shared" si="2"/>
        <v>7.9966863213293697</v>
      </c>
      <c r="I184" s="286">
        <v>4</v>
      </c>
      <c r="J184" s="286">
        <v>3282</v>
      </c>
      <c r="K184" s="286">
        <v>3121</v>
      </c>
      <c r="L184" s="286">
        <v>161</v>
      </c>
      <c r="M184" s="286">
        <v>3281</v>
      </c>
      <c r="N184" s="286">
        <v>3120</v>
      </c>
      <c r="O184" s="286">
        <v>161</v>
      </c>
      <c r="P184" s="286">
        <v>4</v>
      </c>
      <c r="Q184" s="286">
        <v>3282</v>
      </c>
      <c r="R184" s="286">
        <v>3121</v>
      </c>
      <c r="S184" s="286">
        <v>161</v>
      </c>
      <c r="T184" s="286">
        <v>3281</v>
      </c>
      <c r="U184" s="286">
        <v>3120</v>
      </c>
      <c r="V184" s="286">
        <v>161</v>
      </c>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c r="CG184" s="286"/>
      <c r="CH184" s="286"/>
      <c r="CI184" s="286"/>
      <c r="CJ184" s="286"/>
      <c r="CK184" s="286"/>
      <c r="CL184" s="286"/>
      <c r="CM184" s="286"/>
      <c r="CN184" s="286"/>
      <c r="CO184" s="286"/>
      <c r="CP184" s="286"/>
      <c r="CQ184" s="286"/>
      <c r="CR184" s="286"/>
      <c r="CS184" s="286"/>
      <c r="CT184" s="286"/>
      <c r="CU184" s="286"/>
      <c r="CV184" s="286"/>
      <c r="CW184" s="286"/>
      <c r="CX184" s="286"/>
      <c r="CY184" s="286"/>
      <c r="CZ184" s="286"/>
      <c r="DA184" s="286"/>
      <c r="DB184" s="286"/>
      <c r="DC184" s="286"/>
      <c r="DD184" s="286"/>
      <c r="DE184" s="286"/>
      <c r="DF184" s="286"/>
      <c r="DG184" s="286"/>
      <c r="DH184" s="286"/>
      <c r="DI184" s="286"/>
      <c r="DJ184" s="286"/>
      <c r="DK184" s="286"/>
      <c r="DL184" s="286"/>
      <c r="DM184" s="286"/>
      <c r="DN184" s="286"/>
      <c r="DO184" s="286"/>
      <c r="DP184" s="286"/>
      <c r="DQ184" s="286"/>
      <c r="DR184" s="286"/>
      <c r="DS184" s="286"/>
      <c r="DT184" s="286"/>
      <c r="DU184" s="286"/>
      <c r="DV184" s="286"/>
      <c r="DW184" s="286"/>
      <c r="DX184" s="286"/>
      <c r="DY184" s="286"/>
      <c r="DZ184" s="286"/>
      <c r="EA184" s="286"/>
      <c r="EB184" s="286"/>
      <c r="EC184" s="286"/>
      <c r="ED184" s="286"/>
      <c r="EE184" s="286"/>
      <c r="EF184" s="286"/>
      <c r="EG184" s="286"/>
      <c r="EH184" s="286"/>
      <c r="EI184" s="286"/>
      <c r="EJ184" s="286"/>
      <c r="EK184" s="286"/>
      <c r="EL184" s="286"/>
      <c r="EM184" s="286"/>
      <c r="EN184" s="286"/>
      <c r="EO184" s="286"/>
      <c r="EP184" s="286"/>
      <c r="EQ184" s="286"/>
      <c r="ER184" s="286"/>
      <c r="ES184" s="286"/>
      <c r="ET184" s="286"/>
      <c r="EU184" s="286"/>
      <c r="EV184" s="286"/>
      <c r="EW184" s="286"/>
      <c r="EX184" s="286"/>
      <c r="EY184" s="286"/>
      <c r="EZ184" s="286"/>
      <c r="FA184" s="286"/>
      <c r="FB184" s="286"/>
      <c r="FC184" s="286"/>
      <c r="FD184" s="286"/>
      <c r="FE184" s="286"/>
      <c r="FF184" s="286"/>
      <c r="FG184" s="286"/>
      <c r="FH184" s="286"/>
      <c r="FI184" s="286"/>
      <c r="FJ184" s="286"/>
      <c r="FK184" s="286"/>
      <c r="FL184" s="286"/>
      <c r="FM184" s="286"/>
      <c r="FN184" s="286"/>
      <c r="FO184" s="286"/>
      <c r="FP184" s="286"/>
      <c r="FQ184" s="286"/>
      <c r="FR184" s="286"/>
      <c r="FS184" s="286"/>
    </row>
    <row r="185" spans="1:175">
      <c r="A185" s="212" t="s">
        <v>3159</v>
      </c>
      <c r="B185" s="212" t="s">
        <v>3160</v>
      </c>
      <c r="C185" s="212" t="s">
        <v>3172</v>
      </c>
      <c r="D185" s="212" t="s">
        <v>3233</v>
      </c>
      <c r="E185" s="212" t="s">
        <v>3346</v>
      </c>
      <c r="F185" s="278">
        <v>99</v>
      </c>
      <c r="G185" s="278">
        <v>26170</v>
      </c>
      <c r="H185" s="287">
        <f t="shared" si="2"/>
        <v>16.809323653037829</v>
      </c>
      <c r="I185" s="286">
        <v>8</v>
      </c>
      <c r="J185" s="286">
        <v>4399</v>
      </c>
      <c r="K185" s="286">
        <v>4043</v>
      </c>
      <c r="L185" s="286">
        <v>356</v>
      </c>
      <c r="M185" s="286">
        <v>4334</v>
      </c>
      <c r="N185" s="286">
        <v>3982</v>
      </c>
      <c r="O185" s="286">
        <v>352</v>
      </c>
      <c r="P185" s="286">
        <v>8</v>
      </c>
      <c r="Q185" s="286">
        <v>4399</v>
      </c>
      <c r="R185" s="286">
        <v>4043</v>
      </c>
      <c r="S185" s="286">
        <v>356</v>
      </c>
      <c r="T185" s="286">
        <v>4334</v>
      </c>
      <c r="U185" s="286">
        <v>3982</v>
      </c>
      <c r="V185" s="286">
        <v>352</v>
      </c>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c r="CG185" s="286"/>
      <c r="CH185" s="286"/>
      <c r="CI185" s="286"/>
      <c r="CJ185" s="286"/>
      <c r="CK185" s="286"/>
      <c r="CL185" s="286"/>
      <c r="CM185" s="286"/>
      <c r="CN185" s="286"/>
      <c r="CO185" s="286"/>
      <c r="CP185" s="286"/>
      <c r="CQ185" s="286"/>
      <c r="CR185" s="286"/>
      <c r="CS185" s="286"/>
      <c r="CT185" s="286"/>
      <c r="CU185" s="286"/>
      <c r="CV185" s="286"/>
      <c r="CW185" s="286"/>
      <c r="CX185" s="286"/>
      <c r="CY185" s="286"/>
      <c r="CZ185" s="286"/>
      <c r="DA185" s="286"/>
      <c r="DB185" s="286"/>
      <c r="DC185" s="286"/>
      <c r="DD185" s="286"/>
      <c r="DE185" s="286"/>
      <c r="DF185" s="286"/>
      <c r="DG185" s="286"/>
      <c r="DH185" s="286"/>
      <c r="DI185" s="286"/>
      <c r="DJ185" s="286"/>
      <c r="DK185" s="286"/>
      <c r="DL185" s="286"/>
      <c r="DM185" s="286"/>
      <c r="DN185" s="286"/>
      <c r="DO185" s="286"/>
      <c r="DP185" s="286"/>
      <c r="DQ185" s="286"/>
      <c r="DR185" s="286"/>
      <c r="DS185" s="286"/>
      <c r="DT185" s="286"/>
      <c r="DU185" s="286"/>
      <c r="DV185" s="286"/>
      <c r="DW185" s="286"/>
      <c r="DX185" s="286"/>
      <c r="DY185" s="286"/>
      <c r="DZ185" s="286"/>
      <c r="EA185" s="286"/>
      <c r="EB185" s="286"/>
      <c r="EC185" s="286"/>
      <c r="ED185" s="286"/>
      <c r="EE185" s="286"/>
      <c r="EF185" s="286"/>
      <c r="EG185" s="286"/>
      <c r="EH185" s="286"/>
      <c r="EI185" s="286"/>
      <c r="EJ185" s="286"/>
      <c r="EK185" s="286"/>
      <c r="EL185" s="286"/>
      <c r="EM185" s="286"/>
      <c r="EN185" s="286"/>
      <c r="EO185" s="286"/>
      <c r="EP185" s="286"/>
      <c r="EQ185" s="286"/>
      <c r="ER185" s="286"/>
      <c r="ES185" s="286"/>
      <c r="ET185" s="286"/>
      <c r="EU185" s="286"/>
      <c r="EV185" s="286"/>
      <c r="EW185" s="286"/>
      <c r="EX185" s="286"/>
      <c r="EY185" s="286"/>
      <c r="EZ185" s="286"/>
      <c r="FA185" s="286"/>
      <c r="FB185" s="286"/>
      <c r="FC185" s="286"/>
      <c r="FD185" s="286"/>
      <c r="FE185" s="286"/>
      <c r="FF185" s="286"/>
      <c r="FG185" s="286"/>
      <c r="FH185" s="286"/>
      <c r="FI185" s="286"/>
      <c r="FJ185" s="286"/>
      <c r="FK185" s="286"/>
      <c r="FL185" s="286"/>
      <c r="FM185" s="286"/>
      <c r="FN185" s="286"/>
      <c r="FO185" s="286"/>
      <c r="FP185" s="286"/>
      <c r="FQ185" s="286"/>
      <c r="FR185" s="286"/>
      <c r="FS185" s="286"/>
    </row>
    <row r="186" spans="1:175">
      <c r="A186" s="212" t="s">
        <v>3159</v>
      </c>
      <c r="B186" s="212" t="s">
        <v>3160</v>
      </c>
      <c r="C186" s="212" t="s">
        <v>3172</v>
      </c>
      <c r="D186" s="212" t="s">
        <v>3233</v>
      </c>
      <c r="E186" s="212" t="s">
        <v>3347</v>
      </c>
      <c r="F186" s="278">
        <v>616</v>
      </c>
      <c r="G186" s="278">
        <v>43163</v>
      </c>
      <c r="H186" s="287">
        <f t="shared" si="2"/>
        <v>17.389894122280658</v>
      </c>
      <c r="I186" s="286">
        <v>44</v>
      </c>
      <c r="J186" s="286">
        <v>7506</v>
      </c>
      <c r="K186" s="286">
        <v>6765</v>
      </c>
      <c r="L186" s="286">
        <v>741</v>
      </c>
      <c r="M186" s="286">
        <v>7434</v>
      </c>
      <c r="N186" s="286">
        <v>6696</v>
      </c>
      <c r="O186" s="286">
        <v>738</v>
      </c>
      <c r="P186" s="286">
        <v>44</v>
      </c>
      <c r="Q186" s="286">
        <v>7506</v>
      </c>
      <c r="R186" s="286">
        <v>6765</v>
      </c>
      <c r="S186" s="286">
        <v>741</v>
      </c>
      <c r="T186" s="286">
        <v>7434</v>
      </c>
      <c r="U186" s="286">
        <v>6696</v>
      </c>
      <c r="V186" s="286">
        <v>738</v>
      </c>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c r="CG186" s="286"/>
      <c r="CH186" s="286"/>
      <c r="CI186" s="286"/>
      <c r="CJ186" s="286"/>
      <c r="CK186" s="286"/>
      <c r="CL186" s="286"/>
      <c r="CM186" s="286"/>
      <c r="CN186" s="286"/>
      <c r="CO186" s="286"/>
      <c r="CP186" s="286"/>
      <c r="CQ186" s="286"/>
      <c r="CR186" s="286"/>
      <c r="CS186" s="286"/>
      <c r="CT186" s="286"/>
      <c r="CU186" s="286"/>
      <c r="CV186" s="286"/>
      <c r="CW186" s="286"/>
      <c r="CX186" s="286"/>
      <c r="CY186" s="286"/>
      <c r="CZ186" s="286"/>
      <c r="DA186" s="286"/>
      <c r="DB186" s="286"/>
      <c r="DC186" s="286"/>
      <c r="DD186" s="286"/>
      <c r="DE186" s="286"/>
      <c r="DF186" s="286"/>
      <c r="DG186" s="286"/>
      <c r="DH186" s="286"/>
      <c r="DI186" s="286"/>
      <c r="DJ186" s="286"/>
      <c r="DK186" s="286"/>
      <c r="DL186" s="286"/>
      <c r="DM186" s="286"/>
      <c r="DN186" s="286"/>
      <c r="DO186" s="286"/>
      <c r="DP186" s="286"/>
      <c r="DQ186" s="286"/>
      <c r="DR186" s="286"/>
      <c r="DS186" s="286"/>
      <c r="DT186" s="286"/>
      <c r="DU186" s="286"/>
      <c r="DV186" s="286"/>
      <c r="DW186" s="286"/>
      <c r="DX186" s="286"/>
      <c r="DY186" s="286"/>
      <c r="DZ186" s="286"/>
      <c r="EA186" s="286"/>
      <c r="EB186" s="286"/>
      <c r="EC186" s="286"/>
      <c r="ED186" s="286"/>
      <c r="EE186" s="286"/>
      <c r="EF186" s="286"/>
      <c r="EG186" s="286"/>
      <c r="EH186" s="286"/>
      <c r="EI186" s="286"/>
      <c r="EJ186" s="286"/>
      <c r="EK186" s="286"/>
      <c r="EL186" s="286"/>
      <c r="EM186" s="286"/>
      <c r="EN186" s="286"/>
      <c r="EO186" s="286"/>
      <c r="EP186" s="286"/>
      <c r="EQ186" s="286"/>
      <c r="ER186" s="286"/>
      <c r="ES186" s="286"/>
      <c r="ET186" s="286"/>
      <c r="EU186" s="286"/>
      <c r="EV186" s="286"/>
      <c r="EW186" s="286"/>
      <c r="EX186" s="286"/>
      <c r="EY186" s="286"/>
      <c r="EZ186" s="286"/>
      <c r="FA186" s="286"/>
      <c r="FB186" s="286"/>
      <c r="FC186" s="286"/>
      <c r="FD186" s="286"/>
      <c r="FE186" s="286"/>
      <c r="FF186" s="286"/>
      <c r="FG186" s="286"/>
      <c r="FH186" s="286"/>
      <c r="FI186" s="286"/>
      <c r="FJ186" s="286"/>
      <c r="FK186" s="286"/>
      <c r="FL186" s="286"/>
      <c r="FM186" s="286"/>
      <c r="FN186" s="286"/>
      <c r="FO186" s="286"/>
      <c r="FP186" s="286"/>
      <c r="FQ186" s="286"/>
      <c r="FR186" s="286"/>
      <c r="FS186" s="286"/>
    </row>
    <row r="187" spans="1:175">
      <c r="A187" s="212" t="s">
        <v>3159</v>
      </c>
      <c r="B187" s="212" t="s">
        <v>3160</v>
      </c>
      <c r="C187" s="212" t="s">
        <v>3172</v>
      </c>
      <c r="D187" s="212" t="s">
        <v>3233</v>
      </c>
      <c r="E187" s="212" t="s">
        <v>3348</v>
      </c>
      <c r="F187" s="278">
        <v>138</v>
      </c>
      <c r="G187" s="278">
        <v>4201</v>
      </c>
      <c r="H187" s="287">
        <f t="shared" si="2"/>
        <v>3.9038324208521784</v>
      </c>
      <c r="I187" s="286">
        <v>6</v>
      </c>
      <c r="J187" s="286">
        <v>164</v>
      </c>
      <c r="K187" s="286">
        <v>139</v>
      </c>
      <c r="L187" s="286">
        <v>25</v>
      </c>
      <c r="M187" s="286">
        <v>155</v>
      </c>
      <c r="N187" s="286">
        <v>133</v>
      </c>
      <c r="O187" s="286">
        <v>22</v>
      </c>
      <c r="P187" s="286">
        <v>6</v>
      </c>
      <c r="Q187" s="286">
        <v>164</v>
      </c>
      <c r="R187" s="286">
        <v>139</v>
      </c>
      <c r="S187" s="286">
        <v>25</v>
      </c>
      <c r="T187" s="286">
        <v>155</v>
      </c>
      <c r="U187" s="286">
        <v>133</v>
      </c>
      <c r="V187" s="286">
        <v>22</v>
      </c>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c r="CG187" s="286"/>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c r="DV187" s="286"/>
      <c r="DW187" s="286"/>
      <c r="DX187" s="286"/>
      <c r="DY187" s="286"/>
      <c r="DZ187" s="286"/>
      <c r="EA187" s="286"/>
      <c r="EB187" s="286"/>
      <c r="EC187" s="286"/>
      <c r="ED187" s="286"/>
      <c r="EE187" s="286"/>
      <c r="EF187" s="286"/>
      <c r="EG187" s="286"/>
      <c r="EH187" s="286"/>
      <c r="EI187" s="286"/>
      <c r="EJ187" s="286"/>
      <c r="EK187" s="286"/>
      <c r="EL187" s="286"/>
      <c r="EM187" s="286"/>
      <c r="EN187" s="286"/>
      <c r="EO187" s="286"/>
      <c r="EP187" s="286"/>
      <c r="EQ187" s="286"/>
      <c r="ER187" s="286"/>
      <c r="ES187" s="286"/>
      <c r="ET187" s="286"/>
      <c r="EU187" s="286"/>
      <c r="EV187" s="286"/>
      <c r="EW187" s="286"/>
      <c r="EX187" s="286"/>
      <c r="EY187" s="286"/>
      <c r="EZ187" s="286"/>
      <c r="FA187" s="286"/>
      <c r="FB187" s="286"/>
      <c r="FC187" s="286"/>
      <c r="FD187" s="286"/>
      <c r="FE187" s="286"/>
      <c r="FF187" s="286"/>
      <c r="FG187" s="286"/>
      <c r="FH187" s="286"/>
      <c r="FI187" s="286"/>
      <c r="FJ187" s="286"/>
      <c r="FK187" s="286"/>
      <c r="FL187" s="286"/>
      <c r="FM187" s="286"/>
      <c r="FN187" s="286"/>
      <c r="FO187" s="286"/>
      <c r="FP187" s="286"/>
      <c r="FQ187" s="286"/>
      <c r="FR187" s="286"/>
      <c r="FS187" s="286"/>
    </row>
    <row r="188" spans="1:175">
      <c r="A188" s="212" t="s">
        <v>3159</v>
      </c>
      <c r="B188" s="212" t="s">
        <v>3160</v>
      </c>
      <c r="C188" s="212" t="s">
        <v>3172</v>
      </c>
      <c r="D188" s="212" t="s">
        <v>3233</v>
      </c>
      <c r="E188" s="212" t="s">
        <v>3349</v>
      </c>
      <c r="F188" s="278">
        <v>1911</v>
      </c>
      <c r="G188" s="278">
        <v>50690</v>
      </c>
      <c r="H188" s="287">
        <f t="shared" si="2"/>
        <v>3.9613335963700926</v>
      </c>
      <c r="I188" s="286">
        <v>115</v>
      </c>
      <c r="J188" s="286">
        <v>2008</v>
      </c>
      <c r="K188" s="286">
        <v>1690</v>
      </c>
      <c r="L188" s="286">
        <v>318</v>
      </c>
      <c r="M188" s="286">
        <v>1759</v>
      </c>
      <c r="N188" s="286">
        <v>1510</v>
      </c>
      <c r="O188" s="286">
        <v>249</v>
      </c>
      <c r="P188" s="286">
        <v>115</v>
      </c>
      <c r="Q188" s="286">
        <v>2008</v>
      </c>
      <c r="R188" s="286">
        <v>1690</v>
      </c>
      <c r="S188" s="286">
        <v>318</v>
      </c>
      <c r="T188" s="286">
        <v>1759</v>
      </c>
      <c r="U188" s="286">
        <v>1510</v>
      </c>
      <c r="V188" s="286">
        <v>249</v>
      </c>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c r="CG188" s="286"/>
      <c r="CH188" s="286"/>
      <c r="CI188" s="286"/>
      <c r="CJ188" s="286"/>
      <c r="CK188" s="286"/>
      <c r="CL188" s="286"/>
      <c r="CM188" s="286"/>
      <c r="CN188" s="286"/>
      <c r="CO188" s="286"/>
      <c r="CP188" s="286"/>
      <c r="CQ188" s="286"/>
      <c r="CR188" s="286"/>
      <c r="CS188" s="286"/>
      <c r="CT188" s="286"/>
      <c r="CU188" s="286"/>
      <c r="CV188" s="286"/>
      <c r="CW188" s="286"/>
      <c r="CX188" s="286"/>
      <c r="CY188" s="286"/>
      <c r="CZ188" s="286"/>
      <c r="DA188" s="286"/>
      <c r="DB188" s="286"/>
      <c r="DC188" s="286"/>
      <c r="DD188" s="286"/>
      <c r="DE188" s="286"/>
      <c r="DF188" s="286"/>
      <c r="DG188" s="286"/>
      <c r="DH188" s="286"/>
      <c r="DI188" s="286"/>
      <c r="DJ188" s="286"/>
      <c r="DK188" s="286"/>
      <c r="DL188" s="286"/>
      <c r="DM188" s="286"/>
      <c r="DN188" s="286"/>
      <c r="DO188" s="286"/>
      <c r="DP188" s="286"/>
      <c r="DQ188" s="286"/>
      <c r="DR188" s="286"/>
      <c r="DS188" s="286"/>
      <c r="DT188" s="286"/>
      <c r="DU188" s="286"/>
      <c r="DV188" s="286"/>
      <c r="DW188" s="286"/>
      <c r="DX188" s="286"/>
      <c r="DY188" s="286"/>
      <c r="DZ188" s="286"/>
      <c r="EA188" s="286"/>
      <c r="EB188" s="286"/>
      <c r="EC188" s="286"/>
      <c r="ED188" s="286"/>
      <c r="EE188" s="286"/>
      <c r="EF188" s="286"/>
      <c r="EG188" s="286"/>
      <c r="EH188" s="286"/>
      <c r="EI188" s="286"/>
      <c r="EJ188" s="286"/>
      <c r="EK188" s="286"/>
      <c r="EL188" s="286"/>
      <c r="EM188" s="286"/>
      <c r="EN188" s="286"/>
      <c r="EO188" s="286"/>
      <c r="EP188" s="286"/>
      <c r="EQ188" s="286"/>
      <c r="ER188" s="286"/>
      <c r="ES188" s="286"/>
      <c r="ET188" s="286"/>
      <c r="EU188" s="286"/>
      <c r="EV188" s="286"/>
      <c r="EW188" s="286"/>
      <c r="EX188" s="286"/>
      <c r="EY188" s="286"/>
      <c r="EZ188" s="286"/>
      <c r="FA188" s="286"/>
      <c r="FB188" s="286"/>
      <c r="FC188" s="286"/>
      <c r="FD188" s="286"/>
      <c r="FE188" s="286"/>
      <c r="FF188" s="286"/>
      <c r="FG188" s="286"/>
      <c r="FH188" s="286"/>
      <c r="FI188" s="286"/>
      <c r="FJ188" s="286"/>
      <c r="FK188" s="286"/>
      <c r="FL188" s="286"/>
      <c r="FM188" s="286"/>
      <c r="FN188" s="286"/>
      <c r="FO188" s="286"/>
      <c r="FP188" s="286"/>
      <c r="FQ188" s="286"/>
      <c r="FR188" s="286"/>
      <c r="FS188" s="286"/>
    </row>
    <row r="189" spans="1:175">
      <c r="A189" s="212" t="s">
        <v>3159</v>
      </c>
      <c r="B189" s="212" t="s">
        <v>3160</v>
      </c>
      <c r="C189" s="212" t="s">
        <v>3172</v>
      </c>
      <c r="D189" s="212" t="s">
        <v>3233</v>
      </c>
      <c r="E189" s="212" t="s">
        <v>3350</v>
      </c>
      <c r="F189" s="278">
        <v>4643</v>
      </c>
      <c r="G189" s="278">
        <v>73871</v>
      </c>
      <c r="H189" s="287">
        <f t="shared" si="2"/>
        <v>8.424144792949873</v>
      </c>
      <c r="I189" s="286">
        <v>300</v>
      </c>
      <c r="J189" s="286">
        <v>6223</v>
      </c>
      <c r="K189" s="286">
        <v>5395</v>
      </c>
      <c r="L189" s="286">
        <v>823</v>
      </c>
      <c r="M189" s="286">
        <v>5683</v>
      </c>
      <c r="N189" s="286">
        <v>5001</v>
      </c>
      <c r="O189" s="286">
        <v>677</v>
      </c>
      <c r="P189" s="286">
        <v>300</v>
      </c>
      <c r="Q189" s="286">
        <v>6223</v>
      </c>
      <c r="R189" s="286">
        <v>5395</v>
      </c>
      <c r="S189" s="286">
        <v>823</v>
      </c>
      <c r="T189" s="286">
        <v>5683</v>
      </c>
      <c r="U189" s="286">
        <v>5001</v>
      </c>
      <c r="V189" s="286">
        <v>677</v>
      </c>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286"/>
      <c r="DV189" s="286"/>
      <c r="DW189" s="286"/>
      <c r="DX189" s="286"/>
      <c r="DY189" s="286"/>
      <c r="DZ189" s="286"/>
      <c r="EA189" s="286"/>
      <c r="EB189" s="286"/>
      <c r="EC189" s="286"/>
      <c r="ED189" s="286"/>
      <c r="EE189" s="286"/>
      <c r="EF189" s="286"/>
      <c r="EG189" s="286"/>
      <c r="EH189" s="286"/>
      <c r="EI189" s="286"/>
      <c r="EJ189" s="286"/>
      <c r="EK189" s="286"/>
      <c r="EL189" s="286"/>
      <c r="EM189" s="286"/>
      <c r="EN189" s="286"/>
      <c r="EO189" s="286"/>
      <c r="EP189" s="286"/>
      <c r="EQ189" s="286"/>
      <c r="ER189" s="286"/>
      <c r="ES189" s="286"/>
      <c r="ET189" s="286"/>
      <c r="EU189" s="286"/>
      <c r="EV189" s="286"/>
      <c r="EW189" s="286"/>
      <c r="EX189" s="286"/>
      <c r="EY189" s="286"/>
      <c r="EZ189" s="286"/>
      <c r="FA189" s="286"/>
      <c r="FB189" s="286"/>
      <c r="FC189" s="286"/>
      <c r="FD189" s="286"/>
      <c r="FE189" s="286"/>
      <c r="FF189" s="286"/>
      <c r="FG189" s="286"/>
      <c r="FH189" s="286"/>
      <c r="FI189" s="286"/>
      <c r="FJ189" s="286"/>
      <c r="FK189" s="286"/>
      <c r="FL189" s="286"/>
      <c r="FM189" s="286"/>
      <c r="FN189" s="286"/>
      <c r="FO189" s="286"/>
      <c r="FP189" s="286"/>
      <c r="FQ189" s="286"/>
      <c r="FR189" s="286"/>
      <c r="FS189" s="286"/>
    </row>
    <row r="190" spans="1:175">
      <c r="A190" s="212" t="s">
        <v>3159</v>
      </c>
      <c r="B190" s="212" t="s">
        <v>3160</v>
      </c>
      <c r="C190" s="212" t="s">
        <v>3170</v>
      </c>
      <c r="D190" s="212" t="s">
        <v>3233</v>
      </c>
      <c r="E190" s="212" t="s">
        <v>3351</v>
      </c>
      <c r="F190" s="278">
        <v>4883</v>
      </c>
      <c r="G190" s="278">
        <v>154142</v>
      </c>
      <c r="H190" s="287">
        <f t="shared" si="2"/>
        <v>4.5879773196143816</v>
      </c>
      <c r="I190" s="286">
        <v>224</v>
      </c>
      <c r="J190" s="286">
        <v>7072</v>
      </c>
      <c r="K190" s="286">
        <v>5612</v>
      </c>
      <c r="L190" s="286">
        <v>1460</v>
      </c>
      <c r="M190" s="286">
        <v>6636</v>
      </c>
      <c r="N190" s="286">
        <v>5294</v>
      </c>
      <c r="O190" s="286">
        <v>1342</v>
      </c>
      <c r="P190" s="286">
        <v>224</v>
      </c>
      <c r="Q190" s="286">
        <v>7072</v>
      </c>
      <c r="R190" s="286">
        <v>5612</v>
      </c>
      <c r="S190" s="286">
        <v>1460</v>
      </c>
      <c r="T190" s="286">
        <v>6636</v>
      </c>
      <c r="U190" s="286">
        <v>5294</v>
      </c>
      <c r="V190" s="286">
        <v>1342</v>
      </c>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c r="CG190" s="286"/>
      <c r="CH190" s="286"/>
      <c r="CI190" s="286"/>
      <c r="CJ190" s="286"/>
      <c r="CK190" s="286"/>
      <c r="CL190" s="286"/>
      <c r="CM190" s="286"/>
      <c r="CN190" s="286"/>
      <c r="CO190" s="286"/>
      <c r="CP190" s="286"/>
      <c r="CQ190" s="286"/>
      <c r="CR190" s="286"/>
      <c r="CS190" s="286"/>
      <c r="CT190" s="286"/>
      <c r="CU190" s="286"/>
      <c r="CV190" s="286"/>
      <c r="CW190" s="286"/>
      <c r="CX190" s="286"/>
      <c r="CY190" s="286"/>
      <c r="CZ190" s="286"/>
      <c r="DA190" s="286"/>
      <c r="DB190" s="286"/>
      <c r="DC190" s="286"/>
      <c r="DD190" s="286"/>
      <c r="DE190" s="286"/>
      <c r="DF190" s="286"/>
      <c r="DG190" s="286"/>
      <c r="DH190" s="286"/>
      <c r="DI190" s="286"/>
      <c r="DJ190" s="286"/>
      <c r="DK190" s="286"/>
      <c r="DL190" s="286"/>
      <c r="DM190" s="286"/>
      <c r="DN190" s="286"/>
      <c r="DO190" s="286"/>
      <c r="DP190" s="286"/>
      <c r="DQ190" s="286"/>
      <c r="DR190" s="286"/>
      <c r="DS190" s="286"/>
      <c r="DT190" s="286"/>
      <c r="DU190" s="286"/>
      <c r="DV190" s="286"/>
      <c r="DW190" s="286"/>
      <c r="DX190" s="286"/>
      <c r="DY190" s="286"/>
      <c r="DZ190" s="286"/>
      <c r="EA190" s="286"/>
      <c r="EB190" s="286"/>
      <c r="EC190" s="286"/>
      <c r="ED190" s="286"/>
      <c r="EE190" s="286"/>
      <c r="EF190" s="286"/>
      <c r="EG190" s="286"/>
      <c r="EH190" s="286"/>
      <c r="EI190" s="286"/>
      <c r="EJ190" s="286"/>
      <c r="EK190" s="286"/>
      <c r="EL190" s="286"/>
      <c r="EM190" s="286"/>
      <c r="EN190" s="286"/>
      <c r="EO190" s="286"/>
      <c r="EP190" s="286"/>
      <c r="EQ190" s="286"/>
      <c r="ER190" s="286"/>
      <c r="ES190" s="286"/>
      <c r="ET190" s="286"/>
      <c r="EU190" s="286"/>
      <c r="EV190" s="286"/>
      <c r="EW190" s="286"/>
      <c r="EX190" s="286"/>
      <c r="EY190" s="286"/>
      <c r="EZ190" s="286"/>
      <c r="FA190" s="286"/>
      <c r="FB190" s="286"/>
      <c r="FC190" s="286"/>
      <c r="FD190" s="286"/>
      <c r="FE190" s="286"/>
      <c r="FF190" s="286"/>
      <c r="FG190" s="286"/>
      <c r="FH190" s="286"/>
      <c r="FI190" s="286"/>
      <c r="FJ190" s="286"/>
      <c r="FK190" s="286"/>
      <c r="FL190" s="286"/>
      <c r="FM190" s="286"/>
      <c r="FN190" s="286"/>
      <c r="FO190" s="286"/>
      <c r="FP190" s="286"/>
      <c r="FQ190" s="286"/>
      <c r="FR190" s="286"/>
      <c r="FS190" s="286"/>
    </row>
    <row r="191" spans="1:175">
      <c r="A191" s="212" t="s">
        <v>3159</v>
      </c>
      <c r="B191" s="212" t="s">
        <v>3160</v>
      </c>
      <c r="C191" s="212" t="s">
        <v>3172</v>
      </c>
      <c r="D191" s="212" t="s">
        <v>3233</v>
      </c>
      <c r="E191" s="212" t="s">
        <v>3352</v>
      </c>
      <c r="F191" s="278">
        <v>124</v>
      </c>
      <c r="G191" s="278">
        <v>3294</v>
      </c>
      <c r="H191" s="287">
        <f t="shared" si="2"/>
        <v>1.2143290831815421</v>
      </c>
      <c r="I191" s="286">
        <v>4</v>
      </c>
      <c r="J191" s="286">
        <v>40</v>
      </c>
      <c r="K191" s="286">
        <v>26</v>
      </c>
      <c r="L191" s="286">
        <v>14</v>
      </c>
      <c r="M191" s="286">
        <v>38</v>
      </c>
      <c r="N191" s="286">
        <v>26</v>
      </c>
      <c r="O191" s="286">
        <v>12</v>
      </c>
      <c r="P191" s="286">
        <v>4</v>
      </c>
      <c r="Q191" s="286">
        <v>40</v>
      </c>
      <c r="R191" s="286">
        <v>26</v>
      </c>
      <c r="S191" s="286">
        <v>14</v>
      </c>
      <c r="T191" s="286">
        <v>38</v>
      </c>
      <c r="U191" s="286">
        <v>26</v>
      </c>
      <c r="V191" s="286">
        <v>12</v>
      </c>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c r="CG191" s="286"/>
      <c r="CH191" s="286"/>
      <c r="CI191" s="286"/>
      <c r="CJ191" s="286"/>
      <c r="CK191" s="286"/>
      <c r="CL191" s="286"/>
      <c r="CM191" s="286"/>
      <c r="CN191" s="286"/>
      <c r="CO191" s="286"/>
      <c r="CP191" s="286"/>
      <c r="CQ191" s="286"/>
      <c r="CR191" s="286"/>
      <c r="CS191" s="286"/>
      <c r="CT191" s="286"/>
      <c r="CU191" s="286"/>
      <c r="CV191" s="286"/>
      <c r="CW191" s="286"/>
      <c r="CX191" s="286"/>
      <c r="CY191" s="286"/>
      <c r="CZ191" s="286"/>
      <c r="DA191" s="286"/>
      <c r="DB191" s="286"/>
      <c r="DC191" s="286"/>
      <c r="DD191" s="286"/>
      <c r="DE191" s="286"/>
      <c r="DF191" s="286"/>
      <c r="DG191" s="286"/>
      <c r="DH191" s="286"/>
      <c r="DI191" s="286"/>
      <c r="DJ191" s="286"/>
      <c r="DK191" s="286"/>
      <c r="DL191" s="286"/>
      <c r="DM191" s="286"/>
      <c r="DN191" s="286"/>
      <c r="DO191" s="286"/>
      <c r="DP191" s="286"/>
      <c r="DQ191" s="286"/>
      <c r="DR191" s="286"/>
      <c r="DS191" s="286"/>
      <c r="DT191" s="286"/>
      <c r="DU191" s="286"/>
      <c r="DV191" s="286"/>
      <c r="DW191" s="286"/>
      <c r="DX191" s="286"/>
      <c r="DY191" s="286"/>
      <c r="DZ191" s="286"/>
      <c r="EA191" s="286"/>
      <c r="EB191" s="286"/>
      <c r="EC191" s="286"/>
      <c r="ED191" s="286"/>
      <c r="EE191" s="286"/>
      <c r="EF191" s="286"/>
      <c r="EG191" s="286"/>
      <c r="EH191" s="286"/>
      <c r="EI191" s="286"/>
      <c r="EJ191" s="286"/>
      <c r="EK191" s="286"/>
      <c r="EL191" s="286"/>
      <c r="EM191" s="286"/>
      <c r="EN191" s="286"/>
      <c r="EO191" s="286"/>
      <c r="EP191" s="286"/>
      <c r="EQ191" s="286"/>
      <c r="ER191" s="286"/>
      <c r="ES191" s="286"/>
      <c r="ET191" s="286"/>
      <c r="EU191" s="286"/>
      <c r="EV191" s="286"/>
      <c r="EW191" s="286"/>
      <c r="EX191" s="286"/>
      <c r="EY191" s="286"/>
      <c r="EZ191" s="286"/>
      <c r="FA191" s="286"/>
      <c r="FB191" s="286"/>
      <c r="FC191" s="286"/>
      <c r="FD191" s="286"/>
      <c r="FE191" s="286"/>
      <c r="FF191" s="286"/>
      <c r="FG191" s="286"/>
      <c r="FH191" s="286"/>
      <c r="FI191" s="286"/>
      <c r="FJ191" s="286"/>
      <c r="FK191" s="286"/>
      <c r="FL191" s="286"/>
      <c r="FM191" s="286"/>
      <c r="FN191" s="286"/>
      <c r="FO191" s="286"/>
      <c r="FP191" s="286"/>
      <c r="FQ191" s="286"/>
      <c r="FR191" s="286"/>
      <c r="FS191" s="286"/>
    </row>
    <row r="192" spans="1:175">
      <c r="A192" s="212" t="s">
        <v>3159</v>
      </c>
      <c r="B192" s="212" t="s">
        <v>3160</v>
      </c>
      <c r="C192" s="212" t="s">
        <v>3172</v>
      </c>
      <c r="D192" s="212" t="s">
        <v>3233</v>
      </c>
      <c r="E192" s="212" t="s">
        <v>3353</v>
      </c>
      <c r="F192" s="278">
        <v>95</v>
      </c>
      <c r="G192" s="278">
        <v>11428</v>
      </c>
      <c r="H192" s="287">
        <f t="shared" si="2"/>
        <v>9.0742037101855093</v>
      </c>
      <c r="I192" s="286">
        <v>7</v>
      </c>
      <c r="J192" s="286">
        <v>1037</v>
      </c>
      <c r="K192" s="286">
        <v>954</v>
      </c>
      <c r="L192" s="286">
        <v>83</v>
      </c>
      <c r="M192" s="286">
        <v>1011</v>
      </c>
      <c r="N192" s="286">
        <v>931</v>
      </c>
      <c r="O192" s="286">
        <v>80</v>
      </c>
      <c r="P192" s="286">
        <v>7</v>
      </c>
      <c r="Q192" s="286">
        <v>1037</v>
      </c>
      <c r="R192" s="286">
        <v>954</v>
      </c>
      <c r="S192" s="286">
        <v>83</v>
      </c>
      <c r="T192" s="286">
        <v>1011</v>
      </c>
      <c r="U192" s="286">
        <v>931</v>
      </c>
      <c r="V192" s="286">
        <v>80</v>
      </c>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6"/>
      <c r="CH192" s="286"/>
      <c r="CI192" s="286"/>
      <c r="CJ192" s="286"/>
      <c r="CK192" s="286"/>
      <c r="CL192" s="286"/>
      <c r="CM192" s="286"/>
      <c r="CN192" s="286"/>
      <c r="CO192" s="286"/>
      <c r="CP192" s="286"/>
      <c r="CQ192" s="286"/>
      <c r="CR192" s="286"/>
      <c r="CS192" s="286"/>
      <c r="CT192" s="286"/>
      <c r="CU192" s="286"/>
      <c r="CV192" s="286"/>
      <c r="CW192" s="286"/>
      <c r="CX192" s="286"/>
      <c r="CY192" s="286"/>
      <c r="CZ192" s="286"/>
      <c r="DA192" s="286"/>
      <c r="DB192" s="286"/>
      <c r="DC192" s="286"/>
      <c r="DD192" s="286"/>
      <c r="DE192" s="286"/>
      <c r="DF192" s="286"/>
      <c r="DG192" s="286"/>
      <c r="DH192" s="286"/>
      <c r="DI192" s="286"/>
      <c r="DJ192" s="286"/>
      <c r="DK192" s="286"/>
      <c r="DL192" s="286"/>
      <c r="DM192" s="286"/>
      <c r="DN192" s="286"/>
      <c r="DO192" s="286"/>
      <c r="DP192" s="286"/>
      <c r="DQ192" s="286"/>
      <c r="DR192" s="286"/>
      <c r="DS192" s="286"/>
      <c r="DT192" s="286"/>
      <c r="DU192" s="286"/>
      <c r="DV192" s="286"/>
      <c r="DW192" s="286"/>
      <c r="DX192" s="286"/>
      <c r="DY192" s="286"/>
      <c r="DZ192" s="286"/>
      <c r="EA192" s="286"/>
      <c r="EB192" s="286"/>
      <c r="EC192" s="286"/>
      <c r="ED192" s="286"/>
      <c r="EE192" s="286"/>
      <c r="EF192" s="286"/>
      <c r="EG192" s="286"/>
      <c r="EH192" s="286"/>
      <c r="EI192" s="286"/>
      <c r="EJ192" s="286"/>
      <c r="EK192" s="286"/>
      <c r="EL192" s="286"/>
      <c r="EM192" s="286"/>
      <c r="EN192" s="286"/>
      <c r="EO192" s="286"/>
      <c r="EP192" s="286"/>
      <c r="EQ192" s="286"/>
      <c r="ER192" s="286"/>
      <c r="ES192" s="286"/>
      <c r="ET192" s="286"/>
      <c r="EU192" s="286"/>
      <c r="EV192" s="286"/>
      <c r="EW192" s="286"/>
      <c r="EX192" s="286"/>
      <c r="EY192" s="286"/>
      <c r="EZ192" s="286"/>
      <c r="FA192" s="286"/>
      <c r="FB192" s="286"/>
      <c r="FC192" s="286"/>
      <c r="FD192" s="286"/>
      <c r="FE192" s="286"/>
      <c r="FF192" s="286"/>
      <c r="FG192" s="286"/>
      <c r="FH192" s="286"/>
      <c r="FI192" s="286"/>
      <c r="FJ192" s="286"/>
      <c r="FK192" s="286"/>
      <c r="FL192" s="286"/>
      <c r="FM192" s="286"/>
      <c r="FN192" s="286"/>
      <c r="FO192" s="286"/>
      <c r="FP192" s="286"/>
      <c r="FQ192" s="286"/>
      <c r="FR192" s="286"/>
      <c r="FS192" s="286"/>
    </row>
    <row r="193" spans="1:175">
      <c r="A193" s="212" t="s">
        <v>3159</v>
      </c>
      <c r="B193" s="212" t="s">
        <v>3160</v>
      </c>
      <c r="C193" s="212" t="s">
        <v>3172</v>
      </c>
      <c r="D193" s="212" t="s">
        <v>3233</v>
      </c>
      <c r="E193" s="212" t="s">
        <v>3354</v>
      </c>
      <c r="F193" s="278">
        <v>625</v>
      </c>
      <c r="G193" s="278">
        <v>14389</v>
      </c>
      <c r="H193" s="287">
        <f t="shared" si="2"/>
        <v>5.0524706372923767</v>
      </c>
      <c r="I193" s="286">
        <v>29</v>
      </c>
      <c r="J193" s="286">
        <v>727</v>
      </c>
      <c r="K193" s="286">
        <v>611</v>
      </c>
      <c r="L193" s="286">
        <v>116</v>
      </c>
      <c r="M193" s="286">
        <v>683</v>
      </c>
      <c r="N193" s="286">
        <v>578</v>
      </c>
      <c r="O193" s="286">
        <v>105</v>
      </c>
      <c r="P193" s="286">
        <v>29</v>
      </c>
      <c r="Q193" s="286">
        <v>727</v>
      </c>
      <c r="R193" s="286">
        <v>611</v>
      </c>
      <c r="S193" s="286">
        <v>116</v>
      </c>
      <c r="T193" s="286">
        <v>683</v>
      </c>
      <c r="U193" s="286">
        <v>578</v>
      </c>
      <c r="V193" s="286">
        <v>105</v>
      </c>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c r="CG193" s="286"/>
      <c r="CH193" s="286"/>
      <c r="CI193" s="286"/>
      <c r="CJ193" s="286"/>
      <c r="CK193" s="286"/>
      <c r="CL193" s="286"/>
      <c r="CM193" s="286"/>
      <c r="CN193" s="286"/>
      <c r="CO193" s="286"/>
      <c r="CP193" s="286"/>
      <c r="CQ193" s="286"/>
      <c r="CR193" s="286"/>
      <c r="CS193" s="286"/>
      <c r="CT193" s="286"/>
      <c r="CU193" s="286"/>
      <c r="CV193" s="286"/>
      <c r="CW193" s="286"/>
      <c r="CX193" s="286"/>
      <c r="CY193" s="286"/>
      <c r="CZ193" s="286"/>
      <c r="DA193" s="286"/>
      <c r="DB193" s="286"/>
      <c r="DC193" s="286"/>
      <c r="DD193" s="286"/>
      <c r="DE193" s="286"/>
      <c r="DF193" s="286"/>
      <c r="DG193" s="286"/>
      <c r="DH193" s="286"/>
      <c r="DI193" s="286"/>
      <c r="DJ193" s="286"/>
      <c r="DK193" s="286"/>
      <c r="DL193" s="286"/>
      <c r="DM193" s="286"/>
      <c r="DN193" s="286"/>
      <c r="DO193" s="286"/>
      <c r="DP193" s="286"/>
      <c r="DQ193" s="286"/>
      <c r="DR193" s="286"/>
      <c r="DS193" s="286"/>
      <c r="DT193" s="286"/>
      <c r="DU193" s="286"/>
      <c r="DV193" s="286"/>
      <c r="DW193" s="286"/>
      <c r="DX193" s="286"/>
      <c r="DY193" s="286"/>
      <c r="DZ193" s="286"/>
      <c r="EA193" s="286"/>
      <c r="EB193" s="286"/>
      <c r="EC193" s="286"/>
      <c r="ED193" s="286"/>
      <c r="EE193" s="286"/>
      <c r="EF193" s="286"/>
      <c r="EG193" s="286"/>
      <c r="EH193" s="286"/>
      <c r="EI193" s="286"/>
      <c r="EJ193" s="286"/>
      <c r="EK193" s="286"/>
      <c r="EL193" s="286"/>
      <c r="EM193" s="286"/>
      <c r="EN193" s="286"/>
      <c r="EO193" s="286"/>
      <c r="EP193" s="286"/>
      <c r="EQ193" s="286"/>
      <c r="ER193" s="286"/>
      <c r="ES193" s="286"/>
      <c r="ET193" s="286"/>
      <c r="EU193" s="286"/>
      <c r="EV193" s="286"/>
      <c r="EW193" s="286"/>
      <c r="EX193" s="286"/>
      <c r="EY193" s="286"/>
      <c r="EZ193" s="286"/>
      <c r="FA193" s="286"/>
      <c r="FB193" s="286"/>
      <c r="FC193" s="286"/>
      <c r="FD193" s="286"/>
      <c r="FE193" s="286"/>
      <c r="FF193" s="286"/>
      <c r="FG193" s="286"/>
      <c r="FH193" s="286"/>
      <c r="FI193" s="286"/>
      <c r="FJ193" s="286"/>
      <c r="FK193" s="286"/>
      <c r="FL193" s="286"/>
      <c r="FM193" s="286"/>
      <c r="FN193" s="286"/>
      <c r="FO193" s="286"/>
      <c r="FP193" s="286"/>
      <c r="FQ193" s="286"/>
      <c r="FR193" s="286"/>
      <c r="FS193" s="286"/>
    </row>
    <row r="194" spans="1:175">
      <c r="A194" s="212" t="s">
        <v>3159</v>
      </c>
      <c r="B194" s="212" t="s">
        <v>3160</v>
      </c>
      <c r="C194" s="212" t="s">
        <v>3172</v>
      </c>
      <c r="D194" s="212" t="s">
        <v>3233</v>
      </c>
      <c r="E194" s="212" t="s">
        <v>3355</v>
      </c>
      <c r="F194" s="278">
        <v>765</v>
      </c>
      <c r="G194" s="278">
        <v>33486</v>
      </c>
      <c r="H194" s="287">
        <f t="shared" si="2"/>
        <v>1.9769455892014571</v>
      </c>
      <c r="I194" s="286">
        <v>26</v>
      </c>
      <c r="J194" s="286">
        <v>662</v>
      </c>
      <c r="K194" s="286">
        <v>552</v>
      </c>
      <c r="L194" s="286">
        <v>110</v>
      </c>
      <c r="M194" s="286">
        <v>580</v>
      </c>
      <c r="N194" s="286">
        <v>485</v>
      </c>
      <c r="O194" s="286">
        <v>95</v>
      </c>
      <c r="P194" s="286">
        <v>26</v>
      </c>
      <c r="Q194" s="286">
        <v>662</v>
      </c>
      <c r="R194" s="286">
        <v>552</v>
      </c>
      <c r="S194" s="286">
        <v>110</v>
      </c>
      <c r="T194" s="286">
        <v>580</v>
      </c>
      <c r="U194" s="286">
        <v>485</v>
      </c>
      <c r="V194" s="286">
        <v>95</v>
      </c>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c r="CG194" s="286"/>
      <c r="CH194" s="286"/>
      <c r="CI194" s="286"/>
      <c r="CJ194" s="286"/>
      <c r="CK194" s="286"/>
      <c r="CL194" s="286"/>
      <c r="CM194" s="286"/>
      <c r="CN194" s="286"/>
      <c r="CO194" s="286"/>
      <c r="CP194" s="286"/>
      <c r="CQ194" s="286"/>
      <c r="CR194" s="286"/>
      <c r="CS194" s="286"/>
      <c r="CT194" s="286"/>
      <c r="CU194" s="286"/>
      <c r="CV194" s="286"/>
      <c r="CW194" s="286"/>
      <c r="CX194" s="286"/>
      <c r="CY194" s="286"/>
      <c r="CZ194" s="286"/>
      <c r="DA194" s="286"/>
      <c r="DB194" s="286"/>
      <c r="DC194" s="286"/>
      <c r="DD194" s="286"/>
      <c r="DE194" s="286"/>
      <c r="DF194" s="286"/>
      <c r="DG194" s="286"/>
      <c r="DH194" s="286"/>
      <c r="DI194" s="286"/>
      <c r="DJ194" s="286"/>
      <c r="DK194" s="286"/>
      <c r="DL194" s="286"/>
      <c r="DM194" s="286"/>
      <c r="DN194" s="286"/>
      <c r="DO194" s="286"/>
      <c r="DP194" s="286"/>
      <c r="DQ194" s="286"/>
      <c r="DR194" s="286"/>
      <c r="DS194" s="286"/>
      <c r="DT194" s="286"/>
      <c r="DU194" s="286"/>
      <c r="DV194" s="286"/>
      <c r="DW194" s="286"/>
      <c r="DX194" s="286"/>
      <c r="DY194" s="286"/>
      <c r="DZ194" s="286"/>
      <c r="EA194" s="286"/>
      <c r="EB194" s="286"/>
      <c r="EC194" s="286"/>
      <c r="ED194" s="286"/>
      <c r="EE194" s="286"/>
      <c r="EF194" s="286"/>
      <c r="EG194" s="286"/>
      <c r="EH194" s="286"/>
      <c r="EI194" s="286"/>
      <c r="EJ194" s="286"/>
      <c r="EK194" s="286"/>
      <c r="EL194" s="286"/>
      <c r="EM194" s="286"/>
      <c r="EN194" s="286"/>
      <c r="EO194" s="286"/>
      <c r="EP194" s="286"/>
      <c r="EQ194" s="286"/>
      <c r="ER194" s="286"/>
      <c r="ES194" s="286"/>
      <c r="ET194" s="286"/>
      <c r="EU194" s="286"/>
      <c r="EV194" s="286"/>
      <c r="EW194" s="286"/>
      <c r="EX194" s="286"/>
      <c r="EY194" s="286"/>
      <c r="EZ194" s="286"/>
      <c r="FA194" s="286"/>
      <c r="FB194" s="286"/>
      <c r="FC194" s="286"/>
      <c r="FD194" s="286"/>
      <c r="FE194" s="286"/>
      <c r="FF194" s="286"/>
      <c r="FG194" s="286"/>
      <c r="FH194" s="286"/>
      <c r="FI194" s="286"/>
      <c r="FJ194" s="286"/>
      <c r="FK194" s="286"/>
      <c r="FL194" s="286"/>
      <c r="FM194" s="286"/>
      <c r="FN194" s="286"/>
      <c r="FO194" s="286"/>
      <c r="FP194" s="286"/>
      <c r="FQ194" s="286"/>
      <c r="FR194" s="286"/>
      <c r="FS194" s="286"/>
    </row>
    <row r="195" spans="1:175">
      <c r="A195" s="212" t="s">
        <v>3159</v>
      </c>
      <c r="B195" s="212" t="s">
        <v>3160</v>
      </c>
      <c r="C195" s="212" t="s">
        <v>3172</v>
      </c>
      <c r="D195" s="212" t="s">
        <v>3233</v>
      </c>
      <c r="E195" s="212" t="s">
        <v>3356</v>
      </c>
      <c r="F195" s="278">
        <v>704</v>
      </c>
      <c r="G195" s="278">
        <v>28117</v>
      </c>
      <c r="H195" s="287">
        <f t="shared" si="2"/>
        <v>3.4320873492904651</v>
      </c>
      <c r="I195" s="286">
        <v>35</v>
      </c>
      <c r="J195" s="286">
        <v>965</v>
      </c>
      <c r="K195" s="286">
        <v>775</v>
      </c>
      <c r="L195" s="286">
        <v>190</v>
      </c>
      <c r="M195" s="286">
        <v>899</v>
      </c>
      <c r="N195" s="286">
        <v>729</v>
      </c>
      <c r="O195" s="286">
        <v>170</v>
      </c>
      <c r="P195" s="286">
        <v>35</v>
      </c>
      <c r="Q195" s="286">
        <v>965</v>
      </c>
      <c r="R195" s="286">
        <v>775</v>
      </c>
      <c r="S195" s="286">
        <v>190</v>
      </c>
      <c r="T195" s="286">
        <v>899</v>
      </c>
      <c r="U195" s="286">
        <v>729</v>
      </c>
      <c r="V195" s="286">
        <v>170</v>
      </c>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c r="CG195" s="286"/>
      <c r="CH195" s="286"/>
      <c r="CI195" s="286"/>
      <c r="CJ195" s="286"/>
      <c r="CK195" s="286"/>
      <c r="CL195" s="286"/>
      <c r="CM195" s="286"/>
      <c r="CN195" s="286"/>
      <c r="CO195" s="286"/>
      <c r="CP195" s="286"/>
      <c r="CQ195" s="286"/>
      <c r="CR195" s="286"/>
      <c r="CS195" s="286"/>
      <c r="CT195" s="286"/>
      <c r="CU195" s="286"/>
      <c r="CV195" s="286"/>
      <c r="CW195" s="286"/>
      <c r="CX195" s="286"/>
      <c r="CY195" s="286"/>
      <c r="CZ195" s="286"/>
      <c r="DA195" s="286"/>
      <c r="DB195" s="286"/>
      <c r="DC195" s="286"/>
      <c r="DD195" s="286"/>
      <c r="DE195" s="286"/>
      <c r="DF195" s="286"/>
      <c r="DG195" s="286"/>
      <c r="DH195" s="286"/>
      <c r="DI195" s="286"/>
      <c r="DJ195" s="286"/>
      <c r="DK195" s="286"/>
      <c r="DL195" s="286"/>
      <c r="DM195" s="286"/>
      <c r="DN195" s="286"/>
      <c r="DO195" s="286"/>
      <c r="DP195" s="286"/>
      <c r="DQ195" s="286"/>
      <c r="DR195" s="286"/>
      <c r="DS195" s="286"/>
      <c r="DT195" s="286"/>
      <c r="DU195" s="286"/>
      <c r="DV195" s="286"/>
      <c r="DW195" s="286"/>
      <c r="DX195" s="286"/>
      <c r="DY195" s="286"/>
      <c r="DZ195" s="286"/>
      <c r="EA195" s="286"/>
      <c r="EB195" s="286"/>
      <c r="EC195" s="286"/>
      <c r="ED195" s="286"/>
      <c r="EE195" s="286"/>
      <c r="EF195" s="286"/>
      <c r="EG195" s="286"/>
      <c r="EH195" s="286"/>
      <c r="EI195" s="286"/>
      <c r="EJ195" s="286"/>
      <c r="EK195" s="286"/>
      <c r="EL195" s="286"/>
      <c r="EM195" s="286"/>
      <c r="EN195" s="286"/>
      <c r="EO195" s="286"/>
      <c r="EP195" s="286"/>
      <c r="EQ195" s="286"/>
      <c r="ER195" s="286"/>
      <c r="ES195" s="286"/>
      <c r="ET195" s="286"/>
      <c r="EU195" s="286"/>
      <c r="EV195" s="286"/>
      <c r="EW195" s="286"/>
      <c r="EX195" s="286"/>
      <c r="EY195" s="286"/>
      <c r="EZ195" s="286"/>
      <c r="FA195" s="286"/>
      <c r="FB195" s="286"/>
      <c r="FC195" s="286"/>
      <c r="FD195" s="286"/>
      <c r="FE195" s="286"/>
      <c r="FF195" s="286"/>
      <c r="FG195" s="286"/>
      <c r="FH195" s="286"/>
      <c r="FI195" s="286"/>
      <c r="FJ195" s="286"/>
      <c r="FK195" s="286"/>
      <c r="FL195" s="286"/>
      <c r="FM195" s="286"/>
      <c r="FN195" s="286"/>
      <c r="FO195" s="286"/>
      <c r="FP195" s="286"/>
      <c r="FQ195" s="286"/>
      <c r="FR195" s="286"/>
      <c r="FS195" s="286"/>
    </row>
    <row r="196" spans="1:175">
      <c r="A196" s="212" t="s">
        <v>3159</v>
      </c>
      <c r="B196" s="212" t="s">
        <v>3160</v>
      </c>
      <c r="C196" s="212" t="s">
        <v>3172</v>
      </c>
      <c r="D196" s="212" t="s">
        <v>3233</v>
      </c>
      <c r="E196" s="212" t="s">
        <v>3357</v>
      </c>
      <c r="F196" s="278">
        <v>1955</v>
      </c>
      <c r="G196" s="278">
        <v>45590</v>
      </c>
      <c r="H196" s="287">
        <f t="shared" si="2"/>
        <v>5.382759377056372</v>
      </c>
      <c r="I196" s="286">
        <v>94</v>
      </c>
      <c r="J196" s="286">
        <v>2454</v>
      </c>
      <c r="K196" s="286">
        <v>1724</v>
      </c>
      <c r="L196" s="286">
        <v>730</v>
      </c>
      <c r="M196" s="286">
        <v>2278</v>
      </c>
      <c r="N196" s="286">
        <v>1600</v>
      </c>
      <c r="O196" s="286">
        <v>678</v>
      </c>
      <c r="P196" s="286">
        <v>94</v>
      </c>
      <c r="Q196" s="286">
        <v>2454</v>
      </c>
      <c r="R196" s="286">
        <v>1724</v>
      </c>
      <c r="S196" s="286">
        <v>730</v>
      </c>
      <c r="T196" s="286">
        <v>2278</v>
      </c>
      <c r="U196" s="286">
        <v>1600</v>
      </c>
      <c r="V196" s="286">
        <v>678</v>
      </c>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c r="CG196" s="286"/>
      <c r="CH196" s="286"/>
      <c r="CI196" s="286"/>
      <c r="CJ196" s="286"/>
      <c r="CK196" s="286"/>
      <c r="CL196" s="286"/>
      <c r="CM196" s="286"/>
      <c r="CN196" s="286"/>
      <c r="CO196" s="286"/>
      <c r="CP196" s="286"/>
      <c r="CQ196" s="286"/>
      <c r="CR196" s="286"/>
      <c r="CS196" s="286"/>
      <c r="CT196" s="286"/>
      <c r="CU196" s="286"/>
      <c r="CV196" s="286"/>
      <c r="CW196" s="286"/>
      <c r="CX196" s="286"/>
      <c r="CY196" s="286"/>
      <c r="CZ196" s="286"/>
      <c r="DA196" s="286"/>
      <c r="DB196" s="286"/>
      <c r="DC196" s="286"/>
      <c r="DD196" s="286"/>
      <c r="DE196" s="286"/>
      <c r="DF196" s="286"/>
      <c r="DG196" s="286"/>
      <c r="DH196" s="286"/>
      <c r="DI196" s="286"/>
      <c r="DJ196" s="286"/>
      <c r="DK196" s="286"/>
      <c r="DL196" s="286"/>
      <c r="DM196" s="286"/>
      <c r="DN196" s="286"/>
      <c r="DO196" s="286"/>
      <c r="DP196" s="286"/>
      <c r="DQ196" s="286"/>
      <c r="DR196" s="286"/>
      <c r="DS196" s="286"/>
      <c r="DT196" s="286"/>
      <c r="DU196" s="286"/>
      <c r="DV196" s="286"/>
      <c r="DW196" s="286"/>
      <c r="DX196" s="286"/>
      <c r="DY196" s="286"/>
      <c r="DZ196" s="286"/>
      <c r="EA196" s="286"/>
      <c r="EB196" s="286"/>
      <c r="EC196" s="286"/>
      <c r="ED196" s="286"/>
      <c r="EE196" s="286"/>
      <c r="EF196" s="286"/>
      <c r="EG196" s="286"/>
      <c r="EH196" s="286"/>
      <c r="EI196" s="286"/>
      <c r="EJ196" s="286"/>
      <c r="EK196" s="286"/>
      <c r="EL196" s="286"/>
      <c r="EM196" s="286"/>
      <c r="EN196" s="286"/>
      <c r="EO196" s="286"/>
      <c r="EP196" s="286"/>
      <c r="EQ196" s="286"/>
      <c r="ER196" s="286"/>
      <c r="ES196" s="286"/>
      <c r="ET196" s="286"/>
      <c r="EU196" s="286"/>
      <c r="EV196" s="286"/>
      <c r="EW196" s="286"/>
      <c r="EX196" s="286"/>
      <c r="EY196" s="286"/>
      <c r="EZ196" s="286"/>
      <c r="FA196" s="286"/>
      <c r="FB196" s="286"/>
      <c r="FC196" s="286"/>
      <c r="FD196" s="286"/>
      <c r="FE196" s="286"/>
      <c r="FF196" s="286"/>
      <c r="FG196" s="286"/>
      <c r="FH196" s="286"/>
      <c r="FI196" s="286"/>
      <c r="FJ196" s="286"/>
      <c r="FK196" s="286"/>
      <c r="FL196" s="286"/>
      <c r="FM196" s="286"/>
      <c r="FN196" s="286"/>
      <c r="FO196" s="286"/>
      <c r="FP196" s="286"/>
      <c r="FQ196" s="286"/>
      <c r="FR196" s="286"/>
      <c r="FS196" s="286"/>
    </row>
    <row r="197" spans="1:175">
      <c r="A197" s="212" t="s">
        <v>3159</v>
      </c>
      <c r="B197" s="212" t="s">
        <v>3160</v>
      </c>
      <c r="C197" s="212" t="s">
        <v>3172</v>
      </c>
      <c r="D197" s="212" t="s">
        <v>3233</v>
      </c>
      <c r="E197" s="212" t="s">
        <v>3358</v>
      </c>
      <c r="F197" s="278">
        <v>615</v>
      </c>
      <c r="G197" s="278">
        <v>17838</v>
      </c>
      <c r="H197" s="287">
        <f t="shared" si="2"/>
        <v>6.6543334454535268</v>
      </c>
      <c r="I197" s="286">
        <v>29</v>
      </c>
      <c r="J197" s="286">
        <v>1187</v>
      </c>
      <c r="K197" s="286">
        <v>970</v>
      </c>
      <c r="L197" s="286">
        <v>217</v>
      </c>
      <c r="M197" s="286">
        <v>1147</v>
      </c>
      <c r="N197" s="286">
        <v>945</v>
      </c>
      <c r="O197" s="286">
        <v>202</v>
      </c>
      <c r="P197" s="286">
        <v>29</v>
      </c>
      <c r="Q197" s="286">
        <v>1187</v>
      </c>
      <c r="R197" s="286">
        <v>970</v>
      </c>
      <c r="S197" s="286">
        <v>217</v>
      </c>
      <c r="T197" s="286">
        <v>1147</v>
      </c>
      <c r="U197" s="286">
        <v>945</v>
      </c>
      <c r="V197" s="286">
        <v>202</v>
      </c>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c r="CG197" s="286"/>
      <c r="CH197" s="286"/>
      <c r="CI197" s="286"/>
      <c r="CJ197" s="286"/>
      <c r="CK197" s="286"/>
      <c r="CL197" s="286"/>
      <c r="CM197" s="286"/>
      <c r="CN197" s="286"/>
      <c r="CO197" s="286"/>
      <c r="CP197" s="286"/>
      <c r="CQ197" s="286"/>
      <c r="CR197" s="286"/>
      <c r="CS197" s="286"/>
      <c r="CT197" s="286"/>
      <c r="CU197" s="286"/>
      <c r="CV197" s="286"/>
      <c r="CW197" s="286"/>
      <c r="CX197" s="286"/>
      <c r="CY197" s="286"/>
      <c r="CZ197" s="286"/>
      <c r="DA197" s="286"/>
      <c r="DB197" s="286"/>
      <c r="DC197" s="286"/>
      <c r="DD197" s="286"/>
      <c r="DE197" s="286"/>
      <c r="DF197" s="286"/>
      <c r="DG197" s="286"/>
      <c r="DH197" s="286"/>
      <c r="DI197" s="286"/>
      <c r="DJ197" s="286"/>
      <c r="DK197" s="286"/>
      <c r="DL197" s="286"/>
      <c r="DM197" s="286"/>
      <c r="DN197" s="286"/>
      <c r="DO197" s="286"/>
      <c r="DP197" s="286"/>
      <c r="DQ197" s="286"/>
      <c r="DR197" s="286"/>
      <c r="DS197" s="286"/>
      <c r="DT197" s="286"/>
      <c r="DU197" s="286"/>
      <c r="DV197" s="286"/>
      <c r="DW197" s="286"/>
      <c r="DX197" s="286"/>
      <c r="DY197" s="286"/>
      <c r="DZ197" s="286"/>
      <c r="EA197" s="286"/>
      <c r="EB197" s="286"/>
      <c r="EC197" s="286"/>
      <c r="ED197" s="286"/>
      <c r="EE197" s="286"/>
      <c r="EF197" s="286"/>
      <c r="EG197" s="286"/>
      <c r="EH197" s="286"/>
      <c r="EI197" s="286"/>
      <c r="EJ197" s="286"/>
      <c r="EK197" s="286"/>
      <c r="EL197" s="286"/>
      <c r="EM197" s="286"/>
      <c r="EN197" s="286"/>
      <c r="EO197" s="286"/>
      <c r="EP197" s="286"/>
      <c r="EQ197" s="286"/>
      <c r="ER197" s="286"/>
      <c r="ES197" s="286"/>
      <c r="ET197" s="286"/>
      <c r="EU197" s="286"/>
      <c r="EV197" s="286"/>
      <c r="EW197" s="286"/>
      <c r="EX197" s="286"/>
      <c r="EY197" s="286"/>
      <c r="EZ197" s="286"/>
      <c r="FA197" s="286"/>
      <c r="FB197" s="286"/>
      <c r="FC197" s="286"/>
      <c r="FD197" s="286"/>
      <c r="FE197" s="286"/>
      <c r="FF197" s="286"/>
      <c r="FG197" s="286"/>
      <c r="FH197" s="286"/>
      <c r="FI197" s="286"/>
      <c r="FJ197" s="286"/>
      <c r="FK197" s="286"/>
      <c r="FL197" s="286"/>
      <c r="FM197" s="286"/>
      <c r="FN197" s="286"/>
      <c r="FO197" s="286"/>
      <c r="FP197" s="286"/>
      <c r="FQ197" s="286"/>
      <c r="FR197" s="286"/>
      <c r="FS197" s="286"/>
    </row>
    <row r="198" spans="1:175">
      <c r="A198" s="212" t="s">
        <v>3159</v>
      </c>
      <c r="B198" s="212" t="s">
        <v>3160</v>
      </c>
      <c r="C198" s="212" t="s">
        <v>3170</v>
      </c>
      <c r="D198" s="212" t="s">
        <v>3233</v>
      </c>
      <c r="E198" s="212" t="s">
        <v>3359</v>
      </c>
      <c r="F198" s="278">
        <v>55034</v>
      </c>
      <c r="G198" s="278">
        <v>714806</v>
      </c>
      <c r="H198" s="287">
        <f t="shared" si="2"/>
        <v>4.9102833496081448</v>
      </c>
      <c r="I198" s="286">
        <v>2437</v>
      </c>
      <c r="J198" s="286">
        <v>35099</v>
      </c>
      <c r="K198" s="286">
        <v>26873</v>
      </c>
      <c r="L198" s="286">
        <v>8205</v>
      </c>
      <c r="M198" s="286">
        <v>30670</v>
      </c>
      <c r="N198" s="286">
        <v>23635</v>
      </c>
      <c r="O198" s="286">
        <v>7015</v>
      </c>
      <c r="P198" s="286">
        <v>2437</v>
      </c>
      <c r="Q198" s="286">
        <v>35099</v>
      </c>
      <c r="R198" s="286">
        <v>26873</v>
      </c>
      <c r="S198" s="286">
        <v>8205</v>
      </c>
      <c r="T198" s="286">
        <v>30670</v>
      </c>
      <c r="U198" s="286">
        <v>23635</v>
      </c>
      <c r="V198" s="286">
        <v>7015</v>
      </c>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c r="CG198" s="286"/>
      <c r="CH198" s="286"/>
      <c r="CI198" s="286"/>
      <c r="CJ198" s="286"/>
      <c r="CK198" s="286"/>
      <c r="CL198" s="286"/>
      <c r="CM198" s="286"/>
      <c r="CN198" s="286"/>
      <c r="CO198" s="286"/>
      <c r="CP198" s="286"/>
      <c r="CQ198" s="286"/>
      <c r="CR198" s="286"/>
      <c r="CS198" s="286"/>
      <c r="CT198" s="286"/>
      <c r="CU198" s="286"/>
      <c r="CV198" s="286"/>
      <c r="CW198" s="286"/>
      <c r="CX198" s="286"/>
      <c r="CY198" s="286"/>
      <c r="CZ198" s="286"/>
      <c r="DA198" s="286"/>
      <c r="DB198" s="286"/>
      <c r="DC198" s="286"/>
      <c r="DD198" s="286"/>
      <c r="DE198" s="286"/>
      <c r="DF198" s="286"/>
      <c r="DG198" s="286"/>
      <c r="DH198" s="286"/>
      <c r="DI198" s="286"/>
      <c r="DJ198" s="286"/>
      <c r="DK198" s="286"/>
      <c r="DL198" s="286"/>
      <c r="DM198" s="286"/>
      <c r="DN198" s="286"/>
      <c r="DO198" s="286"/>
      <c r="DP198" s="286"/>
      <c r="DQ198" s="286"/>
      <c r="DR198" s="286"/>
      <c r="DS198" s="286"/>
      <c r="DT198" s="286"/>
      <c r="DU198" s="286"/>
      <c r="DV198" s="286"/>
      <c r="DW198" s="286"/>
      <c r="DX198" s="286"/>
      <c r="DY198" s="286"/>
      <c r="DZ198" s="286"/>
      <c r="EA198" s="286"/>
      <c r="EB198" s="286"/>
      <c r="EC198" s="286"/>
      <c r="ED198" s="286"/>
      <c r="EE198" s="286"/>
      <c r="EF198" s="286"/>
      <c r="EG198" s="286"/>
      <c r="EH198" s="286"/>
      <c r="EI198" s="286"/>
      <c r="EJ198" s="286"/>
      <c r="EK198" s="286"/>
      <c r="EL198" s="286"/>
      <c r="EM198" s="286"/>
      <c r="EN198" s="286"/>
      <c r="EO198" s="286"/>
      <c r="EP198" s="286"/>
      <c r="EQ198" s="286"/>
      <c r="ER198" s="286"/>
      <c r="ES198" s="286"/>
      <c r="ET198" s="286"/>
      <c r="EU198" s="286"/>
      <c r="EV198" s="286"/>
      <c r="EW198" s="286"/>
      <c r="EX198" s="286"/>
      <c r="EY198" s="286"/>
      <c r="EZ198" s="286"/>
      <c r="FA198" s="286"/>
      <c r="FB198" s="286"/>
      <c r="FC198" s="286"/>
      <c r="FD198" s="286"/>
      <c r="FE198" s="286"/>
      <c r="FF198" s="286"/>
      <c r="FG198" s="286"/>
      <c r="FH198" s="286"/>
      <c r="FI198" s="286"/>
      <c r="FJ198" s="286"/>
      <c r="FK198" s="286"/>
      <c r="FL198" s="286"/>
      <c r="FM198" s="286"/>
      <c r="FN198" s="286"/>
      <c r="FO198" s="286"/>
      <c r="FP198" s="286"/>
      <c r="FQ198" s="286"/>
      <c r="FR198" s="286"/>
      <c r="FS198" s="286"/>
    </row>
    <row r="199" spans="1:175">
      <c r="A199" s="212" t="s">
        <v>3159</v>
      </c>
      <c r="B199" s="212" t="s">
        <v>3160</v>
      </c>
      <c r="C199" s="212" t="s">
        <v>3172</v>
      </c>
      <c r="D199" s="212" t="s">
        <v>3233</v>
      </c>
      <c r="E199" s="212" t="s">
        <v>3360</v>
      </c>
      <c r="F199" s="278">
        <v>739</v>
      </c>
      <c r="G199" s="278">
        <v>7077</v>
      </c>
      <c r="H199" s="287">
        <f t="shared" si="2"/>
        <v>0.55108096651123362</v>
      </c>
      <c r="I199" s="286">
        <v>11</v>
      </c>
      <c r="J199" s="286">
        <v>39</v>
      </c>
      <c r="K199" s="286">
        <v>26</v>
      </c>
      <c r="L199" s="286">
        <v>13</v>
      </c>
      <c r="M199" s="286">
        <v>23</v>
      </c>
      <c r="N199" s="286">
        <v>15</v>
      </c>
      <c r="O199" s="286">
        <v>8</v>
      </c>
      <c r="P199" s="286">
        <v>11</v>
      </c>
      <c r="Q199" s="286">
        <v>39</v>
      </c>
      <c r="R199" s="286">
        <v>26</v>
      </c>
      <c r="S199" s="286">
        <v>13</v>
      </c>
      <c r="T199" s="286">
        <v>23</v>
      </c>
      <c r="U199" s="286">
        <v>15</v>
      </c>
      <c r="V199" s="286">
        <v>8</v>
      </c>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c r="CG199" s="286"/>
      <c r="CH199" s="286"/>
      <c r="CI199" s="286"/>
      <c r="CJ199" s="286"/>
      <c r="CK199" s="286"/>
      <c r="CL199" s="286"/>
      <c r="CM199" s="286"/>
      <c r="CN199" s="286"/>
      <c r="CO199" s="286"/>
      <c r="CP199" s="286"/>
      <c r="CQ199" s="286"/>
      <c r="CR199" s="286"/>
      <c r="CS199" s="286"/>
      <c r="CT199" s="286"/>
      <c r="CU199" s="286"/>
      <c r="CV199" s="286"/>
      <c r="CW199" s="286"/>
      <c r="CX199" s="286"/>
      <c r="CY199" s="286"/>
      <c r="CZ199" s="286"/>
      <c r="DA199" s="286"/>
      <c r="DB199" s="286"/>
      <c r="DC199" s="286"/>
      <c r="DD199" s="286"/>
      <c r="DE199" s="286"/>
      <c r="DF199" s="286"/>
      <c r="DG199" s="286"/>
      <c r="DH199" s="286"/>
      <c r="DI199" s="286"/>
      <c r="DJ199" s="286"/>
      <c r="DK199" s="286"/>
      <c r="DL199" s="286"/>
      <c r="DM199" s="286"/>
      <c r="DN199" s="286"/>
      <c r="DO199" s="286"/>
      <c r="DP199" s="286"/>
      <c r="DQ199" s="286"/>
      <c r="DR199" s="286"/>
      <c r="DS199" s="286"/>
      <c r="DT199" s="286"/>
      <c r="DU199" s="286"/>
      <c r="DV199" s="286"/>
      <c r="DW199" s="286"/>
      <c r="DX199" s="286"/>
      <c r="DY199" s="286"/>
      <c r="DZ199" s="286"/>
      <c r="EA199" s="286"/>
      <c r="EB199" s="286"/>
      <c r="EC199" s="286"/>
      <c r="ED199" s="286"/>
      <c r="EE199" s="286"/>
      <c r="EF199" s="286"/>
      <c r="EG199" s="286"/>
      <c r="EH199" s="286"/>
      <c r="EI199" s="286"/>
      <c r="EJ199" s="286"/>
      <c r="EK199" s="286"/>
      <c r="EL199" s="286"/>
      <c r="EM199" s="286"/>
      <c r="EN199" s="286"/>
      <c r="EO199" s="286"/>
      <c r="EP199" s="286"/>
      <c r="EQ199" s="286"/>
      <c r="ER199" s="286"/>
      <c r="ES199" s="286"/>
      <c r="ET199" s="286"/>
      <c r="EU199" s="286"/>
      <c r="EV199" s="286"/>
      <c r="EW199" s="286"/>
      <c r="EX199" s="286"/>
      <c r="EY199" s="286"/>
      <c r="EZ199" s="286"/>
      <c r="FA199" s="286"/>
      <c r="FB199" s="286"/>
      <c r="FC199" s="286"/>
      <c r="FD199" s="286"/>
      <c r="FE199" s="286"/>
      <c r="FF199" s="286"/>
      <c r="FG199" s="286"/>
      <c r="FH199" s="286"/>
      <c r="FI199" s="286"/>
      <c r="FJ199" s="286"/>
      <c r="FK199" s="286"/>
      <c r="FL199" s="286"/>
      <c r="FM199" s="286"/>
      <c r="FN199" s="286"/>
      <c r="FO199" s="286"/>
      <c r="FP199" s="286"/>
      <c r="FQ199" s="286"/>
      <c r="FR199" s="286"/>
      <c r="FS199" s="286"/>
    </row>
    <row r="200" spans="1:175">
      <c r="A200" s="212" t="s">
        <v>3159</v>
      </c>
      <c r="B200" s="212" t="s">
        <v>3160</v>
      </c>
      <c r="C200" s="212" t="s">
        <v>3172</v>
      </c>
      <c r="D200" s="212" t="s">
        <v>3233</v>
      </c>
      <c r="E200" s="212" t="s">
        <v>3361</v>
      </c>
      <c r="F200" s="278">
        <v>360</v>
      </c>
      <c r="G200" s="278">
        <v>8381</v>
      </c>
      <c r="H200" s="287">
        <f t="shared" si="2"/>
        <v>7.2783677365469517</v>
      </c>
      <c r="I200" s="286">
        <v>19</v>
      </c>
      <c r="J200" s="286">
        <v>610</v>
      </c>
      <c r="K200" s="286">
        <v>443</v>
      </c>
      <c r="L200" s="286">
        <v>167</v>
      </c>
      <c r="M200" s="286">
        <v>572</v>
      </c>
      <c r="N200" s="286">
        <v>415</v>
      </c>
      <c r="O200" s="286">
        <v>157</v>
      </c>
      <c r="P200" s="286">
        <v>19</v>
      </c>
      <c r="Q200" s="286">
        <v>610</v>
      </c>
      <c r="R200" s="286">
        <v>443</v>
      </c>
      <c r="S200" s="286">
        <v>167</v>
      </c>
      <c r="T200" s="286">
        <v>572</v>
      </c>
      <c r="U200" s="286">
        <v>415</v>
      </c>
      <c r="V200" s="286">
        <v>157</v>
      </c>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c r="CG200" s="286"/>
      <c r="CH200" s="286"/>
      <c r="CI200" s="286"/>
      <c r="CJ200" s="286"/>
      <c r="CK200" s="286"/>
      <c r="CL200" s="286"/>
      <c r="CM200" s="286"/>
      <c r="CN200" s="286"/>
      <c r="CO200" s="286"/>
      <c r="CP200" s="286"/>
      <c r="CQ200" s="286"/>
      <c r="CR200" s="286"/>
      <c r="CS200" s="286"/>
      <c r="CT200" s="286"/>
      <c r="CU200" s="286"/>
      <c r="CV200" s="286"/>
      <c r="CW200" s="286"/>
      <c r="CX200" s="286"/>
      <c r="CY200" s="286"/>
      <c r="CZ200" s="286"/>
      <c r="DA200" s="286"/>
      <c r="DB200" s="286"/>
      <c r="DC200" s="286"/>
      <c r="DD200" s="286"/>
      <c r="DE200" s="286"/>
      <c r="DF200" s="286"/>
      <c r="DG200" s="286"/>
      <c r="DH200" s="286"/>
      <c r="DI200" s="286"/>
      <c r="DJ200" s="286"/>
      <c r="DK200" s="286"/>
      <c r="DL200" s="286"/>
      <c r="DM200" s="286"/>
      <c r="DN200" s="286"/>
      <c r="DO200" s="286"/>
      <c r="DP200" s="286"/>
      <c r="DQ200" s="286"/>
      <c r="DR200" s="286"/>
      <c r="DS200" s="286"/>
      <c r="DT200" s="286"/>
      <c r="DU200" s="286"/>
      <c r="DV200" s="286"/>
      <c r="DW200" s="286"/>
      <c r="DX200" s="286"/>
      <c r="DY200" s="286"/>
      <c r="DZ200" s="286"/>
      <c r="EA200" s="286"/>
      <c r="EB200" s="286"/>
      <c r="EC200" s="286"/>
      <c r="ED200" s="286"/>
      <c r="EE200" s="286"/>
      <c r="EF200" s="286"/>
      <c r="EG200" s="286"/>
      <c r="EH200" s="286"/>
      <c r="EI200" s="286"/>
      <c r="EJ200" s="286"/>
      <c r="EK200" s="286"/>
      <c r="EL200" s="286"/>
      <c r="EM200" s="286"/>
      <c r="EN200" s="286"/>
      <c r="EO200" s="286"/>
      <c r="EP200" s="286"/>
      <c r="EQ200" s="286"/>
      <c r="ER200" s="286"/>
      <c r="ES200" s="286"/>
      <c r="ET200" s="286"/>
      <c r="EU200" s="286"/>
      <c r="EV200" s="286"/>
      <c r="EW200" s="286"/>
      <c r="EX200" s="286"/>
      <c r="EY200" s="286"/>
      <c r="EZ200" s="286"/>
      <c r="FA200" s="286"/>
      <c r="FB200" s="286"/>
      <c r="FC200" s="286"/>
      <c r="FD200" s="286"/>
      <c r="FE200" s="286"/>
      <c r="FF200" s="286"/>
      <c r="FG200" s="286"/>
      <c r="FH200" s="286"/>
      <c r="FI200" s="286"/>
      <c r="FJ200" s="286"/>
      <c r="FK200" s="286"/>
      <c r="FL200" s="286"/>
      <c r="FM200" s="286"/>
      <c r="FN200" s="286"/>
      <c r="FO200" s="286"/>
      <c r="FP200" s="286"/>
      <c r="FQ200" s="286"/>
      <c r="FR200" s="286"/>
      <c r="FS200" s="286"/>
    </row>
    <row r="201" spans="1:175">
      <c r="A201" s="212" t="s">
        <v>3159</v>
      </c>
      <c r="B201" s="212" t="s">
        <v>3160</v>
      </c>
      <c r="C201" s="212" t="s">
        <v>3172</v>
      </c>
      <c r="D201" s="212" t="s">
        <v>3233</v>
      </c>
      <c r="E201" s="212" t="s">
        <v>3362</v>
      </c>
      <c r="F201" s="278">
        <v>5347</v>
      </c>
      <c r="G201" s="278">
        <v>50043</v>
      </c>
      <c r="H201" s="287">
        <f t="shared" si="2"/>
        <v>7.8652358971284695</v>
      </c>
      <c r="I201" s="286">
        <v>412</v>
      </c>
      <c r="J201" s="286">
        <v>3936</v>
      </c>
      <c r="K201" s="286">
        <v>2693</v>
      </c>
      <c r="L201" s="286">
        <v>1228</v>
      </c>
      <c r="M201" s="286">
        <v>3124</v>
      </c>
      <c r="N201" s="286">
        <v>2095</v>
      </c>
      <c r="O201" s="286">
        <v>1014</v>
      </c>
      <c r="P201" s="286">
        <v>412</v>
      </c>
      <c r="Q201" s="286">
        <v>3936</v>
      </c>
      <c r="R201" s="286">
        <v>2693</v>
      </c>
      <c r="S201" s="286">
        <v>1228</v>
      </c>
      <c r="T201" s="286">
        <v>3124</v>
      </c>
      <c r="U201" s="286">
        <v>2095</v>
      </c>
      <c r="V201" s="286">
        <v>1014</v>
      </c>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c r="CG201" s="286"/>
      <c r="CH201" s="286"/>
      <c r="CI201" s="286"/>
      <c r="CJ201" s="286"/>
      <c r="CK201" s="286"/>
      <c r="CL201" s="286"/>
      <c r="CM201" s="286"/>
      <c r="CN201" s="286"/>
      <c r="CO201" s="286"/>
      <c r="CP201" s="286"/>
      <c r="CQ201" s="286"/>
      <c r="CR201" s="286"/>
      <c r="CS201" s="286"/>
      <c r="CT201" s="286"/>
      <c r="CU201" s="286"/>
      <c r="CV201" s="286"/>
      <c r="CW201" s="286"/>
      <c r="CX201" s="286"/>
      <c r="CY201" s="286"/>
      <c r="CZ201" s="286"/>
      <c r="DA201" s="286"/>
      <c r="DB201" s="286"/>
      <c r="DC201" s="286"/>
      <c r="DD201" s="286"/>
      <c r="DE201" s="286"/>
      <c r="DF201" s="286"/>
      <c r="DG201" s="286"/>
      <c r="DH201" s="286"/>
      <c r="DI201" s="286"/>
      <c r="DJ201" s="286"/>
      <c r="DK201" s="286"/>
      <c r="DL201" s="286"/>
      <c r="DM201" s="286"/>
      <c r="DN201" s="286"/>
      <c r="DO201" s="286"/>
      <c r="DP201" s="286"/>
      <c r="DQ201" s="286"/>
      <c r="DR201" s="286"/>
      <c r="DS201" s="286"/>
      <c r="DT201" s="286"/>
      <c r="DU201" s="286"/>
      <c r="DV201" s="286"/>
      <c r="DW201" s="286"/>
      <c r="DX201" s="286"/>
      <c r="DY201" s="286"/>
      <c r="DZ201" s="286"/>
      <c r="EA201" s="286"/>
      <c r="EB201" s="286"/>
      <c r="EC201" s="286"/>
      <c r="ED201" s="286"/>
      <c r="EE201" s="286"/>
      <c r="EF201" s="286"/>
      <c r="EG201" s="286"/>
      <c r="EH201" s="286"/>
      <c r="EI201" s="286"/>
      <c r="EJ201" s="286"/>
      <c r="EK201" s="286"/>
      <c r="EL201" s="286"/>
      <c r="EM201" s="286"/>
      <c r="EN201" s="286"/>
      <c r="EO201" s="286"/>
      <c r="EP201" s="286"/>
      <c r="EQ201" s="286"/>
      <c r="ER201" s="286"/>
      <c r="ES201" s="286"/>
      <c r="ET201" s="286"/>
      <c r="EU201" s="286"/>
      <c r="EV201" s="286"/>
      <c r="EW201" s="286"/>
      <c r="EX201" s="286"/>
      <c r="EY201" s="286"/>
      <c r="EZ201" s="286"/>
      <c r="FA201" s="286"/>
      <c r="FB201" s="286"/>
      <c r="FC201" s="286"/>
      <c r="FD201" s="286"/>
      <c r="FE201" s="286"/>
      <c r="FF201" s="286"/>
      <c r="FG201" s="286"/>
      <c r="FH201" s="286"/>
      <c r="FI201" s="286"/>
      <c r="FJ201" s="286"/>
      <c r="FK201" s="286"/>
      <c r="FL201" s="286"/>
      <c r="FM201" s="286"/>
      <c r="FN201" s="286"/>
      <c r="FO201" s="286"/>
      <c r="FP201" s="286"/>
      <c r="FQ201" s="286"/>
      <c r="FR201" s="286"/>
      <c r="FS201" s="286"/>
    </row>
    <row r="202" spans="1:175">
      <c r="A202" s="212" t="s">
        <v>3159</v>
      </c>
      <c r="B202" s="212" t="s">
        <v>3160</v>
      </c>
      <c r="C202" s="212" t="s">
        <v>3172</v>
      </c>
      <c r="D202" s="212" t="s">
        <v>3233</v>
      </c>
      <c r="E202" s="212" t="s">
        <v>3363</v>
      </c>
      <c r="F202" s="278">
        <v>1867</v>
      </c>
      <c r="G202" s="278">
        <v>38817</v>
      </c>
      <c r="H202" s="287">
        <f t="shared" si="2"/>
        <v>11.018368240719273</v>
      </c>
      <c r="I202" s="286">
        <v>117</v>
      </c>
      <c r="J202" s="286">
        <v>4277</v>
      </c>
      <c r="K202" s="286">
        <v>2946</v>
      </c>
      <c r="L202" s="286">
        <v>1331</v>
      </c>
      <c r="M202" s="286">
        <v>4075</v>
      </c>
      <c r="N202" s="286">
        <v>2800</v>
      </c>
      <c r="O202" s="286">
        <v>1275</v>
      </c>
      <c r="P202" s="286">
        <v>117</v>
      </c>
      <c r="Q202" s="286">
        <v>4277</v>
      </c>
      <c r="R202" s="286">
        <v>2946</v>
      </c>
      <c r="S202" s="286">
        <v>1331</v>
      </c>
      <c r="T202" s="286">
        <v>4075</v>
      </c>
      <c r="U202" s="286">
        <v>2800</v>
      </c>
      <c r="V202" s="286">
        <v>1275</v>
      </c>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c r="CG202" s="286"/>
      <c r="CH202" s="286"/>
      <c r="CI202" s="286"/>
      <c r="CJ202" s="286"/>
      <c r="CK202" s="286"/>
      <c r="CL202" s="286"/>
      <c r="CM202" s="286"/>
      <c r="CN202" s="286"/>
      <c r="CO202" s="286"/>
      <c r="CP202" s="286"/>
      <c r="CQ202" s="286"/>
      <c r="CR202" s="286"/>
      <c r="CS202" s="286"/>
      <c r="CT202" s="286"/>
      <c r="CU202" s="286"/>
      <c r="CV202" s="286"/>
      <c r="CW202" s="286"/>
      <c r="CX202" s="286"/>
      <c r="CY202" s="286"/>
      <c r="CZ202" s="286"/>
      <c r="DA202" s="286"/>
      <c r="DB202" s="286"/>
      <c r="DC202" s="286"/>
      <c r="DD202" s="286"/>
      <c r="DE202" s="286"/>
      <c r="DF202" s="286"/>
      <c r="DG202" s="286"/>
      <c r="DH202" s="286"/>
      <c r="DI202" s="286"/>
      <c r="DJ202" s="286"/>
      <c r="DK202" s="286"/>
      <c r="DL202" s="286"/>
      <c r="DM202" s="286"/>
      <c r="DN202" s="286"/>
      <c r="DO202" s="286"/>
      <c r="DP202" s="286"/>
      <c r="DQ202" s="286"/>
      <c r="DR202" s="286"/>
      <c r="DS202" s="286"/>
      <c r="DT202" s="286"/>
      <c r="DU202" s="286"/>
      <c r="DV202" s="286"/>
      <c r="DW202" s="286"/>
      <c r="DX202" s="286"/>
      <c r="DY202" s="286"/>
      <c r="DZ202" s="286"/>
      <c r="EA202" s="286"/>
      <c r="EB202" s="286"/>
      <c r="EC202" s="286"/>
      <c r="ED202" s="286"/>
      <c r="EE202" s="286"/>
      <c r="EF202" s="286"/>
      <c r="EG202" s="286"/>
      <c r="EH202" s="286"/>
      <c r="EI202" s="286"/>
      <c r="EJ202" s="286"/>
      <c r="EK202" s="286"/>
      <c r="EL202" s="286"/>
      <c r="EM202" s="286"/>
      <c r="EN202" s="286"/>
      <c r="EO202" s="286"/>
      <c r="EP202" s="286"/>
      <c r="EQ202" s="286"/>
      <c r="ER202" s="286"/>
      <c r="ES202" s="286"/>
      <c r="ET202" s="286"/>
      <c r="EU202" s="286"/>
      <c r="EV202" s="286"/>
      <c r="EW202" s="286"/>
      <c r="EX202" s="286"/>
      <c r="EY202" s="286"/>
      <c r="EZ202" s="286"/>
      <c r="FA202" s="286"/>
      <c r="FB202" s="286"/>
      <c r="FC202" s="286"/>
      <c r="FD202" s="286"/>
      <c r="FE202" s="286"/>
      <c r="FF202" s="286"/>
      <c r="FG202" s="286"/>
      <c r="FH202" s="286"/>
      <c r="FI202" s="286"/>
      <c r="FJ202" s="286"/>
      <c r="FK202" s="286"/>
      <c r="FL202" s="286"/>
      <c r="FM202" s="286"/>
      <c r="FN202" s="286"/>
      <c r="FO202" s="286"/>
      <c r="FP202" s="286"/>
      <c r="FQ202" s="286"/>
      <c r="FR202" s="286"/>
      <c r="FS202" s="286"/>
    </row>
    <row r="203" spans="1:175">
      <c r="A203" s="212" t="s">
        <v>3159</v>
      </c>
      <c r="B203" s="212" t="s">
        <v>3160</v>
      </c>
      <c r="C203" s="212" t="s">
        <v>3172</v>
      </c>
      <c r="D203" s="212" t="s">
        <v>3233</v>
      </c>
      <c r="E203" s="212" t="s">
        <v>3364</v>
      </c>
      <c r="F203" s="278">
        <v>23167</v>
      </c>
      <c r="G203" s="278">
        <v>272030</v>
      </c>
      <c r="H203" s="287">
        <f t="shared" ref="H203:H266" si="3">J203/G203*100</f>
        <v>3.9253023563577543</v>
      </c>
      <c r="I203" s="286">
        <v>982</v>
      </c>
      <c r="J203" s="286">
        <v>10678</v>
      </c>
      <c r="K203" s="286">
        <v>8776</v>
      </c>
      <c r="L203" s="286">
        <v>1896</v>
      </c>
      <c r="M203" s="286">
        <v>8921</v>
      </c>
      <c r="N203" s="286">
        <v>7485</v>
      </c>
      <c r="O203" s="286">
        <v>1431</v>
      </c>
      <c r="P203" s="286">
        <v>982</v>
      </c>
      <c r="Q203" s="286">
        <v>10678</v>
      </c>
      <c r="R203" s="286">
        <v>8776</v>
      </c>
      <c r="S203" s="286">
        <v>1896</v>
      </c>
      <c r="T203" s="286">
        <v>8921</v>
      </c>
      <c r="U203" s="286">
        <v>7485</v>
      </c>
      <c r="V203" s="286">
        <v>1431</v>
      </c>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c r="CG203" s="286"/>
      <c r="CH203" s="286"/>
      <c r="CI203" s="286"/>
      <c r="CJ203" s="286"/>
      <c r="CK203" s="286"/>
      <c r="CL203" s="286"/>
      <c r="CM203" s="286"/>
      <c r="CN203" s="286"/>
      <c r="CO203" s="286"/>
      <c r="CP203" s="286"/>
      <c r="CQ203" s="286"/>
      <c r="CR203" s="286"/>
      <c r="CS203" s="286"/>
      <c r="CT203" s="286"/>
      <c r="CU203" s="286"/>
      <c r="CV203" s="286"/>
      <c r="CW203" s="286"/>
      <c r="CX203" s="286"/>
      <c r="CY203" s="286"/>
      <c r="CZ203" s="286"/>
      <c r="DA203" s="286"/>
      <c r="DB203" s="286"/>
      <c r="DC203" s="286"/>
      <c r="DD203" s="286"/>
      <c r="DE203" s="286"/>
      <c r="DF203" s="286"/>
      <c r="DG203" s="286"/>
      <c r="DH203" s="286"/>
      <c r="DI203" s="286"/>
      <c r="DJ203" s="286"/>
      <c r="DK203" s="286"/>
      <c r="DL203" s="286"/>
      <c r="DM203" s="286"/>
      <c r="DN203" s="286"/>
      <c r="DO203" s="286"/>
      <c r="DP203" s="286"/>
      <c r="DQ203" s="286"/>
      <c r="DR203" s="286"/>
      <c r="DS203" s="286"/>
      <c r="DT203" s="286"/>
      <c r="DU203" s="286"/>
      <c r="DV203" s="286"/>
      <c r="DW203" s="286"/>
      <c r="DX203" s="286"/>
      <c r="DY203" s="286"/>
      <c r="DZ203" s="286"/>
      <c r="EA203" s="286"/>
      <c r="EB203" s="286"/>
      <c r="EC203" s="286"/>
      <c r="ED203" s="286"/>
      <c r="EE203" s="286"/>
      <c r="EF203" s="286"/>
      <c r="EG203" s="286"/>
      <c r="EH203" s="286"/>
      <c r="EI203" s="286"/>
      <c r="EJ203" s="286"/>
      <c r="EK203" s="286"/>
      <c r="EL203" s="286"/>
      <c r="EM203" s="286"/>
      <c r="EN203" s="286"/>
      <c r="EO203" s="286"/>
      <c r="EP203" s="286"/>
      <c r="EQ203" s="286"/>
      <c r="ER203" s="286"/>
      <c r="ES203" s="286"/>
      <c r="ET203" s="286"/>
      <c r="EU203" s="286"/>
      <c r="EV203" s="286"/>
      <c r="EW203" s="286"/>
      <c r="EX203" s="286"/>
      <c r="EY203" s="286"/>
      <c r="EZ203" s="286"/>
      <c r="FA203" s="286"/>
      <c r="FB203" s="286"/>
      <c r="FC203" s="286"/>
      <c r="FD203" s="286"/>
      <c r="FE203" s="286"/>
      <c r="FF203" s="286"/>
      <c r="FG203" s="286"/>
      <c r="FH203" s="286"/>
      <c r="FI203" s="286"/>
      <c r="FJ203" s="286"/>
      <c r="FK203" s="286"/>
      <c r="FL203" s="286"/>
      <c r="FM203" s="286"/>
      <c r="FN203" s="286"/>
      <c r="FO203" s="286"/>
      <c r="FP203" s="286"/>
      <c r="FQ203" s="286"/>
      <c r="FR203" s="286"/>
      <c r="FS203" s="286"/>
    </row>
    <row r="204" spans="1:175">
      <c r="A204" s="212" t="s">
        <v>3159</v>
      </c>
      <c r="B204" s="212" t="s">
        <v>3160</v>
      </c>
      <c r="C204" s="212" t="s">
        <v>3172</v>
      </c>
      <c r="D204" s="212" t="s">
        <v>3233</v>
      </c>
      <c r="E204" s="212" t="s">
        <v>3365</v>
      </c>
      <c r="F204" s="278">
        <v>6643</v>
      </c>
      <c r="G204" s="278">
        <v>104332</v>
      </c>
      <c r="H204" s="287">
        <f t="shared" si="3"/>
        <v>4.1137905915730553</v>
      </c>
      <c r="I204" s="286">
        <v>207</v>
      </c>
      <c r="J204" s="286">
        <v>4292</v>
      </c>
      <c r="K204" s="286">
        <v>3092</v>
      </c>
      <c r="L204" s="286">
        <v>1200</v>
      </c>
      <c r="M204" s="286">
        <v>3857</v>
      </c>
      <c r="N204" s="286">
        <v>2787</v>
      </c>
      <c r="O204" s="286">
        <v>1070</v>
      </c>
      <c r="P204" s="286">
        <v>207</v>
      </c>
      <c r="Q204" s="286">
        <v>4292</v>
      </c>
      <c r="R204" s="286">
        <v>3092</v>
      </c>
      <c r="S204" s="286">
        <v>1200</v>
      </c>
      <c r="T204" s="286">
        <v>3857</v>
      </c>
      <c r="U204" s="286">
        <v>2787</v>
      </c>
      <c r="V204" s="286">
        <v>1070</v>
      </c>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c r="CG204" s="286"/>
      <c r="CH204" s="286"/>
      <c r="CI204" s="286"/>
      <c r="CJ204" s="286"/>
      <c r="CK204" s="286"/>
      <c r="CL204" s="286"/>
      <c r="CM204" s="286"/>
      <c r="CN204" s="286"/>
      <c r="CO204" s="286"/>
      <c r="CP204" s="286"/>
      <c r="CQ204" s="286"/>
      <c r="CR204" s="286"/>
      <c r="CS204" s="286"/>
      <c r="CT204" s="286"/>
      <c r="CU204" s="286"/>
      <c r="CV204" s="286"/>
      <c r="CW204" s="286"/>
      <c r="CX204" s="286"/>
      <c r="CY204" s="286"/>
      <c r="CZ204" s="286"/>
      <c r="DA204" s="286"/>
      <c r="DB204" s="286"/>
      <c r="DC204" s="286"/>
      <c r="DD204" s="286"/>
      <c r="DE204" s="286"/>
      <c r="DF204" s="286"/>
      <c r="DG204" s="286"/>
      <c r="DH204" s="286"/>
      <c r="DI204" s="286"/>
      <c r="DJ204" s="286"/>
      <c r="DK204" s="286"/>
      <c r="DL204" s="286"/>
      <c r="DM204" s="286"/>
      <c r="DN204" s="286"/>
      <c r="DO204" s="286"/>
      <c r="DP204" s="286"/>
      <c r="DQ204" s="286"/>
      <c r="DR204" s="286"/>
      <c r="DS204" s="286"/>
      <c r="DT204" s="286"/>
      <c r="DU204" s="286"/>
      <c r="DV204" s="286"/>
      <c r="DW204" s="286"/>
      <c r="DX204" s="286"/>
      <c r="DY204" s="286"/>
      <c r="DZ204" s="286"/>
      <c r="EA204" s="286"/>
      <c r="EB204" s="286"/>
      <c r="EC204" s="286"/>
      <c r="ED204" s="286"/>
      <c r="EE204" s="286"/>
      <c r="EF204" s="286"/>
      <c r="EG204" s="286"/>
      <c r="EH204" s="286"/>
      <c r="EI204" s="286"/>
      <c r="EJ204" s="286"/>
      <c r="EK204" s="286"/>
      <c r="EL204" s="286"/>
      <c r="EM204" s="286"/>
      <c r="EN204" s="286"/>
      <c r="EO204" s="286"/>
      <c r="EP204" s="286"/>
      <c r="EQ204" s="286"/>
      <c r="ER204" s="286"/>
      <c r="ES204" s="286"/>
      <c r="ET204" s="286"/>
      <c r="EU204" s="286"/>
      <c r="EV204" s="286"/>
      <c r="EW204" s="286"/>
      <c r="EX204" s="286"/>
      <c r="EY204" s="286"/>
      <c r="EZ204" s="286"/>
      <c r="FA204" s="286"/>
      <c r="FB204" s="286"/>
      <c r="FC204" s="286"/>
      <c r="FD204" s="286"/>
      <c r="FE204" s="286"/>
      <c r="FF204" s="286"/>
      <c r="FG204" s="286"/>
      <c r="FH204" s="286"/>
      <c r="FI204" s="286"/>
      <c r="FJ204" s="286"/>
      <c r="FK204" s="286"/>
      <c r="FL204" s="286"/>
      <c r="FM204" s="286"/>
      <c r="FN204" s="286"/>
      <c r="FO204" s="286"/>
      <c r="FP204" s="286"/>
      <c r="FQ204" s="286"/>
      <c r="FR204" s="286"/>
      <c r="FS204" s="286"/>
    </row>
    <row r="205" spans="1:175">
      <c r="A205" s="212" t="s">
        <v>3159</v>
      </c>
      <c r="B205" s="212" t="s">
        <v>3160</v>
      </c>
      <c r="C205" s="212" t="s">
        <v>3172</v>
      </c>
      <c r="D205" s="212" t="s">
        <v>3233</v>
      </c>
      <c r="E205" s="212" t="s">
        <v>3366</v>
      </c>
      <c r="F205" s="278">
        <v>8796</v>
      </c>
      <c r="G205" s="278">
        <v>118016</v>
      </c>
      <c r="H205" s="287">
        <f t="shared" si="3"/>
        <v>5.1984476681127978</v>
      </c>
      <c r="I205" s="286">
        <v>341</v>
      </c>
      <c r="J205" s="286">
        <v>6135</v>
      </c>
      <c r="K205" s="286">
        <v>4952</v>
      </c>
      <c r="L205" s="286">
        <v>1183</v>
      </c>
      <c r="M205" s="286">
        <v>5554</v>
      </c>
      <c r="N205" s="286">
        <v>4548</v>
      </c>
      <c r="O205" s="286">
        <v>1006</v>
      </c>
      <c r="P205" s="286">
        <v>341</v>
      </c>
      <c r="Q205" s="286">
        <v>6135</v>
      </c>
      <c r="R205" s="286">
        <v>4952</v>
      </c>
      <c r="S205" s="286">
        <v>1183</v>
      </c>
      <c r="T205" s="286">
        <v>5554</v>
      </c>
      <c r="U205" s="286">
        <v>4548</v>
      </c>
      <c r="V205" s="286">
        <v>1006</v>
      </c>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c r="CG205" s="286"/>
      <c r="CH205" s="286"/>
      <c r="CI205" s="286"/>
      <c r="CJ205" s="286"/>
      <c r="CK205" s="286"/>
      <c r="CL205" s="286"/>
      <c r="CM205" s="286"/>
      <c r="CN205" s="286"/>
      <c r="CO205" s="286"/>
      <c r="CP205" s="286"/>
      <c r="CQ205" s="286"/>
      <c r="CR205" s="286"/>
      <c r="CS205" s="286"/>
      <c r="CT205" s="286"/>
      <c r="CU205" s="286"/>
      <c r="CV205" s="286"/>
      <c r="CW205" s="286"/>
      <c r="CX205" s="286"/>
      <c r="CY205" s="286"/>
      <c r="CZ205" s="286"/>
      <c r="DA205" s="286"/>
      <c r="DB205" s="286"/>
      <c r="DC205" s="286"/>
      <c r="DD205" s="286"/>
      <c r="DE205" s="286"/>
      <c r="DF205" s="286"/>
      <c r="DG205" s="286"/>
      <c r="DH205" s="286"/>
      <c r="DI205" s="286"/>
      <c r="DJ205" s="286"/>
      <c r="DK205" s="286"/>
      <c r="DL205" s="286"/>
      <c r="DM205" s="286"/>
      <c r="DN205" s="286"/>
      <c r="DO205" s="286"/>
      <c r="DP205" s="286"/>
      <c r="DQ205" s="286"/>
      <c r="DR205" s="286"/>
      <c r="DS205" s="286"/>
      <c r="DT205" s="286"/>
      <c r="DU205" s="286"/>
      <c r="DV205" s="286"/>
      <c r="DW205" s="286"/>
      <c r="DX205" s="286"/>
      <c r="DY205" s="286"/>
      <c r="DZ205" s="286"/>
      <c r="EA205" s="286"/>
      <c r="EB205" s="286"/>
      <c r="EC205" s="286"/>
      <c r="ED205" s="286"/>
      <c r="EE205" s="286"/>
      <c r="EF205" s="286"/>
      <c r="EG205" s="286"/>
      <c r="EH205" s="286"/>
      <c r="EI205" s="286"/>
      <c r="EJ205" s="286"/>
      <c r="EK205" s="286"/>
      <c r="EL205" s="286"/>
      <c r="EM205" s="286"/>
      <c r="EN205" s="286"/>
      <c r="EO205" s="286"/>
      <c r="EP205" s="286"/>
      <c r="EQ205" s="286"/>
      <c r="ER205" s="286"/>
      <c r="ES205" s="286"/>
      <c r="ET205" s="286"/>
      <c r="EU205" s="286"/>
      <c r="EV205" s="286"/>
      <c r="EW205" s="286"/>
      <c r="EX205" s="286"/>
      <c r="EY205" s="286"/>
      <c r="EZ205" s="286"/>
      <c r="FA205" s="286"/>
      <c r="FB205" s="286"/>
      <c r="FC205" s="286"/>
      <c r="FD205" s="286"/>
      <c r="FE205" s="286"/>
      <c r="FF205" s="286"/>
      <c r="FG205" s="286"/>
      <c r="FH205" s="286"/>
      <c r="FI205" s="286"/>
      <c r="FJ205" s="286"/>
      <c r="FK205" s="286"/>
      <c r="FL205" s="286"/>
      <c r="FM205" s="286"/>
      <c r="FN205" s="286"/>
      <c r="FO205" s="286"/>
      <c r="FP205" s="286"/>
      <c r="FQ205" s="286"/>
      <c r="FR205" s="286"/>
      <c r="FS205" s="286"/>
    </row>
    <row r="206" spans="1:175">
      <c r="A206" s="212" t="s">
        <v>3159</v>
      </c>
      <c r="B206" s="212" t="s">
        <v>3160</v>
      </c>
      <c r="C206" s="212" t="s">
        <v>3172</v>
      </c>
      <c r="D206" s="212" t="s">
        <v>3233</v>
      </c>
      <c r="E206" s="212" t="s">
        <v>3367</v>
      </c>
      <c r="F206" s="278">
        <v>1275</v>
      </c>
      <c r="G206" s="278">
        <v>14745</v>
      </c>
      <c r="H206" s="287">
        <f t="shared" si="3"/>
        <v>2.4143777551712446</v>
      </c>
      <c r="I206" s="286">
        <v>46</v>
      </c>
      <c r="J206" s="286">
        <v>356</v>
      </c>
      <c r="K206" s="286">
        <v>282</v>
      </c>
      <c r="L206" s="286">
        <v>74</v>
      </c>
      <c r="M206" s="286">
        <v>277</v>
      </c>
      <c r="N206" s="286">
        <v>218</v>
      </c>
      <c r="O206" s="286">
        <v>59</v>
      </c>
      <c r="P206" s="286">
        <v>46</v>
      </c>
      <c r="Q206" s="286">
        <v>356</v>
      </c>
      <c r="R206" s="286">
        <v>282</v>
      </c>
      <c r="S206" s="286">
        <v>74</v>
      </c>
      <c r="T206" s="286">
        <v>277</v>
      </c>
      <c r="U206" s="286">
        <v>218</v>
      </c>
      <c r="V206" s="286">
        <v>59</v>
      </c>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c r="CG206" s="286"/>
      <c r="CH206" s="286"/>
      <c r="CI206" s="286"/>
      <c r="CJ206" s="286"/>
      <c r="CK206" s="286"/>
      <c r="CL206" s="286"/>
      <c r="CM206" s="286"/>
      <c r="CN206" s="286"/>
      <c r="CO206" s="286"/>
      <c r="CP206" s="286"/>
      <c r="CQ206" s="286"/>
      <c r="CR206" s="286"/>
      <c r="CS206" s="286"/>
      <c r="CT206" s="286"/>
      <c r="CU206" s="286"/>
      <c r="CV206" s="286"/>
      <c r="CW206" s="286"/>
      <c r="CX206" s="286"/>
      <c r="CY206" s="286"/>
      <c r="CZ206" s="286"/>
      <c r="DA206" s="286"/>
      <c r="DB206" s="286"/>
      <c r="DC206" s="286"/>
      <c r="DD206" s="286"/>
      <c r="DE206" s="286"/>
      <c r="DF206" s="286"/>
      <c r="DG206" s="286"/>
      <c r="DH206" s="286"/>
      <c r="DI206" s="286"/>
      <c r="DJ206" s="286"/>
      <c r="DK206" s="286"/>
      <c r="DL206" s="286"/>
      <c r="DM206" s="286"/>
      <c r="DN206" s="286"/>
      <c r="DO206" s="286"/>
      <c r="DP206" s="286"/>
      <c r="DQ206" s="286"/>
      <c r="DR206" s="286"/>
      <c r="DS206" s="286"/>
      <c r="DT206" s="286"/>
      <c r="DU206" s="286"/>
      <c r="DV206" s="286"/>
      <c r="DW206" s="286"/>
      <c r="DX206" s="286"/>
      <c r="DY206" s="286"/>
      <c r="DZ206" s="286"/>
      <c r="EA206" s="286"/>
      <c r="EB206" s="286"/>
      <c r="EC206" s="286"/>
      <c r="ED206" s="286"/>
      <c r="EE206" s="286"/>
      <c r="EF206" s="286"/>
      <c r="EG206" s="286"/>
      <c r="EH206" s="286"/>
      <c r="EI206" s="286"/>
      <c r="EJ206" s="286"/>
      <c r="EK206" s="286"/>
      <c r="EL206" s="286"/>
      <c r="EM206" s="286"/>
      <c r="EN206" s="286"/>
      <c r="EO206" s="286"/>
      <c r="EP206" s="286"/>
      <c r="EQ206" s="286"/>
      <c r="ER206" s="286"/>
      <c r="ES206" s="286"/>
      <c r="ET206" s="286"/>
      <c r="EU206" s="286"/>
      <c r="EV206" s="286"/>
      <c r="EW206" s="286"/>
      <c r="EX206" s="286"/>
      <c r="EY206" s="286"/>
      <c r="EZ206" s="286"/>
      <c r="FA206" s="286"/>
      <c r="FB206" s="286"/>
      <c r="FC206" s="286"/>
      <c r="FD206" s="286"/>
      <c r="FE206" s="286"/>
      <c r="FF206" s="286"/>
      <c r="FG206" s="286"/>
      <c r="FH206" s="286"/>
      <c r="FI206" s="286"/>
      <c r="FJ206" s="286"/>
      <c r="FK206" s="286"/>
      <c r="FL206" s="286"/>
      <c r="FM206" s="286"/>
      <c r="FN206" s="286"/>
      <c r="FO206" s="286"/>
      <c r="FP206" s="286"/>
      <c r="FQ206" s="286"/>
      <c r="FR206" s="286"/>
      <c r="FS206" s="286"/>
    </row>
    <row r="207" spans="1:175">
      <c r="A207" s="212" t="s">
        <v>3159</v>
      </c>
      <c r="B207" s="212" t="s">
        <v>3160</v>
      </c>
      <c r="C207" s="212" t="s">
        <v>3172</v>
      </c>
      <c r="D207" s="212" t="s">
        <v>3233</v>
      </c>
      <c r="E207" s="212" t="s">
        <v>3368</v>
      </c>
      <c r="F207" s="278">
        <v>2995</v>
      </c>
      <c r="G207" s="278">
        <v>44543</v>
      </c>
      <c r="H207" s="287">
        <f t="shared" si="3"/>
        <v>3.6526502480748935</v>
      </c>
      <c r="I207" s="286">
        <v>106</v>
      </c>
      <c r="J207" s="286">
        <v>1627</v>
      </c>
      <c r="K207" s="286">
        <v>1276</v>
      </c>
      <c r="L207" s="286">
        <v>351</v>
      </c>
      <c r="M207" s="286">
        <v>1422</v>
      </c>
      <c r="N207" s="286">
        <v>1116</v>
      </c>
      <c r="O207" s="286">
        <v>306</v>
      </c>
      <c r="P207" s="286">
        <v>106</v>
      </c>
      <c r="Q207" s="286">
        <v>1627</v>
      </c>
      <c r="R207" s="286">
        <v>1276</v>
      </c>
      <c r="S207" s="286">
        <v>351</v>
      </c>
      <c r="T207" s="286">
        <v>1422</v>
      </c>
      <c r="U207" s="286">
        <v>1116</v>
      </c>
      <c r="V207" s="286">
        <v>306</v>
      </c>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c r="CG207" s="286"/>
      <c r="CH207" s="286"/>
      <c r="CI207" s="286"/>
      <c r="CJ207" s="286"/>
      <c r="CK207" s="286"/>
      <c r="CL207" s="286"/>
      <c r="CM207" s="286"/>
      <c r="CN207" s="286"/>
      <c r="CO207" s="286"/>
      <c r="CP207" s="286"/>
      <c r="CQ207" s="286"/>
      <c r="CR207" s="286"/>
      <c r="CS207" s="286"/>
      <c r="CT207" s="286"/>
      <c r="CU207" s="286"/>
      <c r="CV207" s="286"/>
      <c r="CW207" s="286"/>
      <c r="CX207" s="286"/>
      <c r="CY207" s="286"/>
      <c r="CZ207" s="286"/>
      <c r="DA207" s="286"/>
      <c r="DB207" s="286"/>
      <c r="DC207" s="286"/>
      <c r="DD207" s="286"/>
      <c r="DE207" s="286"/>
      <c r="DF207" s="286"/>
      <c r="DG207" s="286"/>
      <c r="DH207" s="286"/>
      <c r="DI207" s="286"/>
      <c r="DJ207" s="286"/>
      <c r="DK207" s="286"/>
      <c r="DL207" s="286"/>
      <c r="DM207" s="286"/>
      <c r="DN207" s="286"/>
      <c r="DO207" s="286"/>
      <c r="DP207" s="286"/>
      <c r="DQ207" s="286"/>
      <c r="DR207" s="286"/>
      <c r="DS207" s="286"/>
      <c r="DT207" s="286"/>
      <c r="DU207" s="286"/>
      <c r="DV207" s="286"/>
      <c r="DW207" s="286"/>
      <c r="DX207" s="286"/>
      <c r="DY207" s="286"/>
      <c r="DZ207" s="286"/>
      <c r="EA207" s="286"/>
      <c r="EB207" s="286"/>
      <c r="EC207" s="286"/>
      <c r="ED207" s="286"/>
      <c r="EE207" s="286"/>
      <c r="EF207" s="286"/>
      <c r="EG207" s="286"/>
      <c r="EH207" s="286"/>
      <c r="EI207" s="286"/>
      <c r="EJ207" s="286"/>
      <c r="EK207" s="286"/>
      <c r="EL207" s="286"/>
      <c r="EM207" s="286"/>
      <c r="EN207" s="286"/>
      <c r="EO207" s="286"/>
      <c r="EP207" s="286"/>
      <c r="EQ207" s="286"/>
      <c r="ER207" s="286"/>
      <c r="ES207" s="286"/>
      <c r="ET207" s="286"/>
      <c r="EU207" s="286"/>
      <c r="EV207" s="286"/>
      <c r="EW207" s="286"/>
      <c r="EX207" s="286"/>
      <c r="EY207" s="286"/>
      <c r="EZ207" s="286"/>
      <c r="FA207" s="286"/>
      <c r="FB207" s="286"/>
      <c r="FC207" s="286"/>
      <c r="FD207" s="286"/>
      <c r="FE207" s="286"/>
      <c r="FF207" s="286"/>
      <c r="FG207" s="286"/>
      <c r="FH207" s="286"/>
      <c r="FI207" s="286"/>
      <c r="FJ207" s="286"/>
      <c r="FK207" s="286"/>
      <c r="FL207" s="286"/>
      <c r="FM207" s="286"/>
      <c r="FN207" s="286"/>
      <c r="FO207" s="286"/>
      <c r="FP207" s="286"/>
      <c r="FQ207" s="286"/>
      <c r="FR207" s="286"/>
      <c r="FS207" s="286"/>
    </row>
    <row r="208" spans="1:175">
      <c r="A208" s="212" t="s">
        <v>3159</v>
      </c>
      <c r="B208" s="212" t="s">
        <v>3160</v>
      </c>
      <c r="C208" s="212" t="s">
        <v>3172</v>
      </c>
      <c r="D208" s="212" t="s">
        <v>3233</v>
      </c>
      <c r="E208" s="212" t="s">
        <v>3369</v>
      </c>
      <c r="F208" s="278">
        <v>3845</v>
      </c>
      <c r="G208" s="278">
        <v>56822</v>
      </c>
      <c r="H208" s="287">
        <f t="shared" si="3"/>
        <v>5.5418675864981868</v>
      </c>
      <c r="I208" s="286">
        <v>196</v>
      </c>
      <c r="J208" s="286">
        <v>3149</v>
      </c>
      <c r="K208" s="286">
        <v>2387</v>
      </c>
      <c r="L208" s="286">
        <v>762</v>
      </c>
      <c r="M208" s="286">
        <v>2845</v>
      </c>
      <c r="N208" s="286">
        <v>2156</v>
      </c>
      <c r="O208" s="286">
        <v>689</v>
      </c>
      <c r="P208" s="286">
        <v>196</v>
      </c>
      <c r="Q208" s="286">
        <v>3149</v>
      </c>
      <c r="R208" s="286">
        <v>2387</v>
      </c>
      <c r="S208" s="286">
        <v>762</v>
      </c>
      <c r="T208" s="286">
        <v>2845</v>
      </c>
      <c r="U208" s="286">
        <v>2156</v>
      </c>
      <c r="V208" s="286">
        <v>689</v>
      </c>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c r="CG208" s="286"/>
      <c r="CH208" s="286"/>
      <c r="CI208" s="286"/>
      <c r="CJ208" s="286"/>
      <c r="CK208" s="286"/>
      <c r="CL208" s="286"/>
      <c r="CM208" s="286"/>
      <c r="CN208" s="286"/>
      <c r="CO208" s="286"/>
      <c r="CP208" s="286"/>
      <c r="CQ208" s="286"/>
      <c r="CR208" s="286"/>
      <c r="CS208" s="286"/>
      <c r="CT208" s="286"/>
      <c r="CU208" s="286"/>
      <c r="CV208" s="286"/>
      <c r="CW208" s="286"/>
      <c r="CX208" s="286"/>
      <c r="CY208" s="286"/>
      <c r="CZ208" s="286"/>
      <c r="DA208" s="286"/>
      <c r="DB208" s="286"/>
      <c r="DC208" s="286"/>
      <c r="DD208" s="286"/>
      <c r="DE208" s="286"/>
      <c r="DF208" s="286"/>
      <c r="DG208" s="286"/>
      <c r="DH208" s="286"/>
      <c r="DI208" s="286"/>
      <c r="DJ208" s="286"/>
      <c r="DK208" s="286"/>
      <c r="DL208" s="286"/>
      <c r="DM208" s="286"/>
      <c r="DN208" s="286"/>
      <c r="DO208" s="286"/>
      <c r="DP208" s="286"/>
      <c r="DQ208" s="286"/>
      <c r="DR208" s="286"/>
      <c r="DS208" s="286"/>
      <c r="DT208" s="286"/>
      <c r="DU208" s="286"/>
      <c r="DV208" s="286"/>
      <c r="DW208" s="286"/>
      <c r="DX208" s="286"/>
      <c r="DY208" s="286"/>
      <c r="DZ208" s="286"/>
      <c r="EA208" s="286"/>
      <c r="EB208" s="286"/>
      <c r="EC208" s="286"/>
      <c r="ED208" s="286"/>
      <c r="EE208" s="286"/>
      <c r="EF208" s="286"/>
      <c r="EG208" s="286"/>
      <c r="EH208" s="286"/>
      <c r="EI208" s="286"/>
      <c r="EJ208" s="286"/>
      <c r="EK208" s="286"/>
      <c r="EL208" s="286"/>
      <c r="EM208" s="286"/>
      <c r="EN208" s="286"/>
      <c r="EO208" s="286"/>
      <c r="EP208" s="286"/>
      <c r="EQ208" s="286"/>
      <c r="ER208" s="286"/>
      <c r="ES208" s="286"/>
      <c r="ET208" s="286"/>
      <c r="EU208" s="286"/>
      <c r="EV208" s="286"/>
      <c r="EW208" s="286"/>
      <c r="EX208" s="286"/>
      <c r="EY208" s="286"/>
      <c r="EZ208" s="286"/>
      <c r="FA208" s="286"/>
      <c r="FB208" s="286"/>
      <c r="FC208" s="286"/>
      <c r="FD208" s="286"/>
      <c r="FE208" s="286"/>
      <c r="FF208" s="286"/>
      <c r="FG208" s="286"/>
      <c r="FH208" s="286"/>
      <c r="FI208" s="286"/>
      <c r="FJ208" s="286"/>
      <c r="FK208" s="286"/>
      <c r="FL208" s="286"/>
      <c r="FM208" s="286"/>
      <c r="FN208" s="286"/>
      <c r="FO208" s="286"/>
      <c r="FP208" s="286"/>
      <c r="FQ208" s="286"/>
      <c r="FR208" s="286"/>
      <c r="FS208" s="286"/>
    </row>
    <row r="209" spans="1:175">
      <c r="A209" s="212" t="s">
        <v>3159</v>
      </c>
      <c r="B209" s="212" t="s">
        <v>3160</v>
      </c>
      <c r="C209" s="212" t="s">
        <v>3170</v>
      </c>
      <c r="D209" s="212" t="s">
        <v>3233</v>
      </c>
      <c r="E209" s="212" t="s">
        <v>3370</v>
      </c>
      <c r="F209" s="278">
        <v>15770</v>
      </c>
      <c r="G209" s="278">
        <v>362583</v>
      </c>
      <c r="H209" s="287">
        <f t="shared" si="3"/>
        <v>7.9013632740641455</v>
      </c>
      <c r="I209" s="286">
        <v>922</v>
      </c>
      <c r="J209" s="286">
        <v>28649</v>
      </c>
      <c r="K209" s="286">
        <v>24175</v>
      </c>
      <c r="L209" s="286">
        <v>4474</v>
      </c>
      <c r="M209" s="286">
        <v>26976</v>
      </c>
      <c r="N209" s="286">
        <v>22914</v>
      </c>
      <c r="O209" s="286">
        <v>4062</v>
      </c>
      <c r="P209" s="286">
        <v>922</v>
      </c>
      <c r="Q209" s="286">
        <v>28649</v>
      </c>
      <c r="R209" s="286">
        <v>24175</v>
      </c>
      <c r="S209" s="286">
        <v>4474</v>
      </c>
      <c r="T209" s="286">
        <v>26976</v>
      </c>
      <c r="U209" s="286">
        <v>22914</v>
      </c>
      <c r="V209" s="286">
        <v>4062</v>
      </c>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c r="CG209" s="286"/>
      <c r="CH209" s="286"/>
      <c r="CI209" s="286"/>
      <c r="CJ209" s="286"/>
      <c r="CK209" s="286"/>
      <c r="CL209" s="286"/>
      <c r="CM209" s="286"/>
      <c r="CN209" s="286"/>
      <c r="CO209" s="286"/>
      <c r="CP209" s="286"/>
      <c r="CQ209" s="286"/>
      <c r="CR209" s="286"/>
      <c r="CS209" s="286"/>
      <c r="CT209" s="286"/>
      <c r="CU209" s="286"/>
      <c r="CV209" s="286"/>
      <c r="CW209" s="286"/>
      <c r="CX209" s="286"/>
      <c r="CY209" s="286"/>
      <c r="CZ209" s="286"/>
      <c r="DA209" s="286"/>
      <c r="DB209" s="286"/>
      <c r="DC209" s="286"/>
      <c r="DD209" s="286"/>
      <c r="DE209" s="286"/>
      <c r="DF209" s="286"/>
      <c r="DG209" s="286"/>
      <c r="DH209" s="286"/>
      <c r="DI209" s="286"/>
      <c r="DJ209" s="286"/>
      <c r="DK209" s="286"/>
      <c r="DL209" s="286"/>
      <c r="DM209" s="286"/>
      <c r="DN209" s="286"/>
      <c r="DO209" s="286"/>
      <c r="DP209" s="286"/>
      <c r="DQ209" s="286"/>
      <c r="DR209" s="286"/>
      <c r="DS209" s="286"/>
      <c r="DT209" s="286"/>
      <c r="DU209" s="286"/>
      <c r="DV209" s="286"/>
      <c r="DW209" s="286"/>
      <c r="DX209" s="286"/>
      <c r="DY209" s="286"/>
      <c r="DZ209" s="286"/>
      <c r="EA209" s="286"/>
      <c r="EB209" s="286"/>
      <c r="EC209" s="286"/>
      <c r="ED209" s="286"/>
      <c r="EE209" s="286"/>
      <c r="EF209" s="286"/>
      <c r="EG209" s="286"/>
      <c r="EH209" s="286"/>
      <c r="EI209" s="286"/>
      <c r="EJ209" s="286"/>
      <c r="EK209" s="286"/>
      <c r="EL209" s="286"/>
      <c r="EM209" s="286"/>
      <c r="EN209" s="286"/>
      <c r="EO209" s="286"/>
      <c r="EP209" s="286"/>
      <c r="EQ209" s="286"/>
      <c r="ER209" s="286"/>
      <c r="ES209" s="286"/>
      <c r="ET209" s="286"/>
      <c r="EU209" s="286"/>
      <c r="EV209" s="286"/>
      <c r="EW209" s="286"/>
      <c r="EX209" s="286"/>
      <c r="EY209" s="286"/>
      <c r="EZ209" s="286"/>
      <c r="FA209" s="286"/>
      <c r="FB209" s="286"/>
      <c r="FC209" s="286"/>
      <c r="FD209" s="286"/>
      <c r="FE209" s="286"/>
      <c r="FF209" s="286"/>
      <c r="FG209" s="286"/>
      <c r="FH209" s="286"/>
      <c r="FI209" s="286"/>
      <c r="FJ209" s="286"/>
      <c r="FK209" s="286"/>
      <c r="FL209" s="286"/>
      <c r="FM209" s="286"/>
      <c r="FN209" s="286"/>
      <c r="FO209" s="286"/>
      <c r="FP209" s="286"/>
      <c r="FQ209" s="286"/>
      <c r="FR209" s="286"/>
      <c r="FS209" s="286"/>
    </row>
    <row r="210" spans="1:175">
      <c r="A210" s="212" t="s">
        <v>3159</v>
      </c>
      <c r="B210" s="212" t="s">
        <v>3160</v>
      </c>
      <c r="C210" s="212" t="s">
        <v>3172</v>
      </c>
      <c r="D210" s="212" t="s">
        <v>3233</v>
      </c>
      <c r="E210" s="212" t="s">
        <v>3371</v>
      </c>
      <c r="F210" s="278">
        <v>268</v>
      </c>
      <c r="G210" s="278">
        <v>8928</v>
      </c>
      <c r="H210" s="287">
        <f t="shared" si="3"/>
        <v>0.79525089605734767</v>
      </c>
      <c r="I210" s="286">
        <v>10</v>
      </c>
      <c r="J210" s="286">
        <v>71</v>
      </c>
      <c r="K210" s="286">
        <v>43</v>
      </c>
      <c r="L210" s="286">
        <v>28</v>
      </c>
      <c r="M210" s="286">
        <v>58</v>
      </c>
      <c r="N210" s="286">
        <v>37</v>
      </c>
      <c r="O210" s="286">
        <v>21</v>
      </c>
      <c r="P210" s="286">
        <v>10</v>
      </c>
      <c r="Q210" s="286">
        <v>71</v>
      </c>
      <c r="R210" s="286">
        <v>43</v>
      </c>
      <c r="S210" s="286">
        <v>28</v>
      </c>
      <c r="T210" s="286">
        <v>58</v>
      </c>
      <c r="U210" s="286">
        <v>37</v>
      </c>
      <c r="V210" s="286">
        <v>21</v>
      </c>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c r="CG210" s="286"/>
      <c r="CH210" s="286"/>
      <c r="CI210" s="286"/>
      <c r="CJ210" s="286"/>
      <c r="CK210" s="286"/>
      <c r="CL210" s="286"/>
      <c r="CM210" s="286"/>
      <c r="CN210" s="286"/>
      <c r="CO210" s="286"/>
      <c r="CP210" s="286"/>
      <c r="CQ210" s="286"/>
      <c r="CR210" s="286"/>
      <c r="CS210" s="286"/>
      <c r="CT210" s="286"/>
      <c r="CU210" s="286"/>
      <c r="CV210" s="286"/>
      <c r="CW210" s="286"/>
      <c r="CX210" s="286"/>
      <c r="CY210" s="286"/>
      <c r="CZ210" s="286"/>
      <c r="DA210" s="286"/>
      <c r="DB210" s="286"/>
      <c r="DC210" s="286"/>
      <c r="DD210" s="286"/>
      <c r="DE210" s="286"/>
      <c r="DF210" s="286"/>
      <c r="DG210" s="286"/>
      <c r="DH210" s="286"/>
      <c r="DI210" s="286"/>
      <c r="DJ210" s="286"/>
      <c r="DK210" s="286"/>
      <c r="DL210" s="286"/>
      <c r="DM210" s="286"/>
      <c r="DN210" s="286"/>
      <c r="DO210" s="286"/>
      <c r="DP210" s="286"/>
      <c r="DQ210" s="286"/>
      <c r="DR210" s="286"/>
      <c r="DS210" s="286"/>
      <c r="DT210" s="286"/>
      <c r="DU210" s="286"/>
      <c r="DV210" s="286"/>
      <c r="DW210" s="286"/>
      <c r="DX210" s="286"/>
      <c r="DY210" s="286"/>
      <c r="DZ210" s="286"/>
      <c r="EA210" s="286"/>
      <c r="EB210" s="286"/>
      <c r="EC210" s="286"/>
      <c r="ED210" s="286"/>
      <c r="EE210" s="286"/>
      <c r="EF210" s="286"/>
      <c r="EG210" s="286"/>
      <c r="EH210" s="286"/>
      <c r="EI210" s="286"/>
      <c r="EJ210" s="286"/>
      <c r="EK210" s="286"/>
      <c r="EL210" s="286"/>
      <c r="EM210" s="286"/>
      <c r="EN210" s="286"/>
      <c r="EO210" s="286"/>
      <c r="EP210" s="286"/>
      <c r="EQ210" s="286"/>
      <c r="ER210" s="286"/>
      <c r="ES210" s="286"/>
      <c r="ET210" s="286"/>
      <c r="EU210" s="286"/>
      <c r="EV210" s="286"/>
      <c r="EW210" s="286"/>
      <c r="EX210" s="286"/>
      <c r="EY210" s="286"/>
      <c r="EZ210" s="286"/>
      <c r="FA210" s="286"/>
      <c r="FB210" s="286"/>
      <c r="FC210" s="286"/>
      <c r="FD210" s="286"/>
      <c r="FE210" s="286"/>
      <c r="FF210" s="286"/>
      <c r="FG210" s="286"/>
      <c r="FH210" s="286"/>
      <c r="FI210" s="286"/>
      <c r="FJ210" s="286"/>
      <c r="FK210" s="286"/>
      <c r="FL210" s="286"/>
      <c r="FM210" s="286"/>
      <c r="FN210" s="286"/>
      <c r="FO210" s="286"/>
      <c r="FP210" s="286"/>
      <c r="FQ210" s="286"/>
      <c r="FR210" s="286"/>
      <c r="FS210" s="286"/>
    </row>
    <row r="211" spans="1:175">
      <c r="A211" s="212" t="s">
        <v>3159</v>
      </c>
      <c r="B211" s="212" t="s">
        <v>3160</v>
      </c>
      <c r="C211" s="212" t="s">
        <v>3172</v>
      </c>
      <c r="D211" s="212" t="s">
        <v>3233</v>
      </c>
      <c r="E211" s="212" t="s">
        <v>3372</v>
      </c>
      <c r="F211" s="278">
        <v>556</v>
      </c>
      <c r="G211" s="278">
        <v>41451</v>
      </c>
      <c r="H211" s="287">
        <f t="shared" si="3"/>
        <v>27.314178186292249</v>
      </c>
      <c r="I211" s="286">
        <v>125</v>
      </c>
      <c r="J211" s="286">
        <v>11322</v>
      </c>
      <c r="K211" s="286">
        <v>9958</v>
      </c>
      <c r="L211" s="286">
        <v>1364</v>
      </c>
      <c r="M211" s="286">
        <v>11090</v>
      </c>
      <c r="N211" s="286">
        <v>9796</v>
      </c>
      <c r="O211" s="286">
        <v>1294</v>
      </c>
      <c r="P211" s="286">
        <v>125</v>
      </c>
      <c r="Q211" s="286">
        <v>11322</v>
      </c>
      <c r="R211" s="286">
        <v>9958</v>
      </c>
      <c r="S211" s="286">
        <v>1364</v>
      </c>
      <c r="T211" s="286">
        <v>11090</v>
      </c>
      <c r="U211" s="286">
        <v>9796</v>
      </c>
      <c r="V211" s="286">
        <v>1294</v>
      </c>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c r="CG211" s="286"/>
      <c r="CH211" s="286"/>
      <c r="CI211" s="286"/>
      <c r="CJ211" s="286"/>
      <c r="CK211" s="286"/>
      <c r="CL211" s="286"/>
      <c r="CM211" s="286"/>
      <c r="CN211" s="286"/>
      <c r="CO211" s="286"/>
      <c r="CP211" s="286"/>
      <c r="CQ211" s="286"/>
      <c r="CR211" s="286"/>
      <c r="CS211" s="286"/>
      <c r="CT211" s="286"/>
      <c r="CU211" s="286"/>
      <c r="CV211" s="286"/>
      <c r="CW211" s="286"/>
      <c r="CX211" s="286"/>
      <c r="CY211" s="286"/>
      <c r="CZ211" s="286"/>
      <c r="DA211" s="286"/>
      <c r="DB211" s="286"/>
      <c r="DC211" s="286"/>
      <c r="DD211" s="286"/>
      <c r="DE211" s="286"/>
      <c r="DF211" s="286"/>
      <c r="DG211" s="286"/>
      <c r="DH211" s="286"/>
      <c r="DI211" s="286"/>
      <c r="DJ211" s="286"/>
      <c r="DK211" s="286"/>
      <c r="DL211" s="286"/>
      <c r="DM211" s="286"/>
      <c r="DN211" s="286"/>
      <c r="DO211" s="286"/>
      <c r="DP211" s="286"/>
      <c r="DQ211" s="286"/>
      <c r="DR211" s="286"/>
      <c r="DS211" s="286"/>
      <c r="DT211" s="286"/>
      <c r="DU211" s="286"/>
      <c r="DV211" s="286"/>
      <c r="DW211" s="286"/>
      <c r="DX211" s="286"/>
      <c r="DY211" s="286"/>
      <c r="DZ211" s="286"/>
      <c r="EA211" s="286"/>
      <c r="EB211" s="286"/>
      <c r="EC211" s="286"/>
      <c r="ED211" s="286"/>
      <c r="EE211" s="286"/>
      <c r="EF211" s="286"/>
      <c r="EG211" s="286"/>
      <c r="EH211" s="286"/>
      <c r="EI211" s="286"/>
      <c r="EJ211" s="286"/>
      <c r="EK211" s="286"/>
      <c r="EL211" s="286"/>
      <c r="EM211" s="286"/>
      <c r="EN211" s="286"/>
      <c r="EO211" s="286"/>
      <c r="EP211" s="286"/>
      <c r="EQ211" s="286"/>
      <c r="ER211" s="286"/>
      <c r="ES211" s="286"/>
      <c r="ET211" s="286"/>
      <c r="EU211" s="286"/>
      <c r="EV211" s="286"/>
      <c r="EW211" s="286"/>
      <c r="EX211" s="286"/>
      <c r="EY211" s="286"/>
      <c r="EZ211" s="286"/>
      <c r="FA211" s="286"/>
      <c r="FB211" s="286"/>
      <c r="FC211" s="286"/>
      <c r="FD211" s="286"/>
      <c r="FE211" s="286"/>
      <c r="FF211" s="286"/>
      <c r="FG211" s="286"/>
      <c r="FH211" s="286"/>
      <c r="FI211" s="286"/>
      <c r="FJ211" s="286"/>
      <c r="FK211" s="286"/>
      <c r="FL211" s="286"/>
      <c r="FM211" s="286"/>
      <c r="FN211" s="286"/>
      <c r="FO211" s="286"/>
      <c r="FP211" s="286"/>
      <c r="FQ211" s="286"/>
      <c r="FR211" s="286"/>
      <c r="FS211" s="286"/>
    </row>
    <row r="212" spans="1:175">
      <c r="A212" s="212" t="s">
        <v>3159</v>
      </c>
      <c r="B212" s="212" t="s">
        <v>3160</v>
      </c>
      <c r="C212" s="212" t="s">
        <v>3172</v>
      </c>
      <c r="D212" s="212" t="s">
        <v>3233</v>
      </c>
      <c r="E212" s="212" t="s">
        <v>3373</v>
      </c>
      <c r="F212" s="278">
        <v>2225</v>
      </c>
      <c r="G212" s="278">
        <v>65977</v>
      </c>
      <c r="H212" s="287">
        <f t="shared" si="3"/>
        <v>9.7533989117419697</v>
      </c>
      <c r="I212" s="286">
        <v>177</v>
      </c>
      <c r="J212" s="286">
        <v>6435</v>
      </c>
      <c r="K212" s="286">
        <v>5322</v>
      </c>
      <c r="L212" s="286">
        <v>1113</v>
      </c>
      <c r="M212" s="286">
        <v>6079</v>
      </c>
      <c r="N212" s="286">
        <v>5047</v>
      </c>
      <c r="O212" s="286">
        <v>1032</v>
      </c>
      <c r="P212" s="286">
        <v>177</v>
      </c>
      <c r="Q212" s="286">
        <v>6435</v>
      </c>
      <c r="R212" s="286">
        <v>5322</v>
      </c>
      <c r="S212" s="286">
        <v>1113</v>
      </c>
      <c r="T212" s="286">
        <v>6079</v>
      </c>
      <c r="U212" s="286">
        <v>5047</v>
      </c>
      <c r="V212" s="286">
        <v>1032</v>
      </c>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c r="CG212" s="286"/>
      <c r="CH212" s="286"/>
      <c r="CI212" s="286"/>
      <c r="CJ212" s="286"/>
      <c r="CK212" s="286"/>
      <c r="CL212" s="286"/>
      <c r="CM212" s="286"/>
      <c r="CN212" s="286"/>
      <c r="CO212" s="286"/>
      <c r="CP212" s="286"/>
      <c r="CQ212" s="286"/>
      <c r="CR212" s="286"/>
      <c r="CS212" s="286"/>
      <c r="CT212" s="286"/>
      <c r="CU212" s="286"/>
      <c r="CV212" s="286"/>
      <c r="CW212" s="286"/>
      <c r="CX212" s="286"/>
      <c r="CY212" s="286"/>
      <c r="CZ212" s="286"/>
      <c r="DA212" s="286"/>
      <c r="DB212" s="286"/>
      <c r="DC212" s="286"/>
      <c r="DD212" s="286"/>
      <c r="DE212" s="286"/>
      <c r="DF212" s="286"/>
      <c r="DG212" s="286"/>
      <c r="DH212" s="286"/>
      <c r="DI212" s="286"/>
      <c r="DJ212" s="286"/>
      <c r="DK212" s="286"/>
      <c r="DL212" s="286"/>
      <c r="DM212" s="286"/>
      <c r="DN212" s="286"/>
      <c r="DO212" s="286"/>
      <c r="DP212" s="286"/>
      <c r="DQ212" s="286"/>
      <c r="DR212" s="286"/>
      <c r="DS212" s="286"/>
      <c r="DT212" s="286"/>
      <c r="DU212" s="286"/>
      <c r="DV212" s="286"/>
      <c r="DW212" s="286"/>
      <c r="DX212" s="286"/>
      <c r="DY212" s="286"/>
      <c r="DZ212" s="286"/>
      <c r="EA212" s="286"/>
      <c r="EB212" s="286"/>
      <c r="EC212" s="286"/>
      <c r="ED212" s="286"/>
      <c r="EE212" s="286"/>
      <c r="EF212" s="286"/>
      <c r="EG212" s="286"/>
      <c r="EH212" s="286"/>
      <c r="EI212" s="286"/>
      <c r="EJ212" s="286"/>
      <c r="EK212" s="286"/>
      <c r="EL212" s="286"/>
      <c r="EM212" s="286"/>
      <c r="EN212" s="286"/>
      <c r="EO212" s="286"/>
      <c r="EP212" s="286"/>
      <c r="EQ212" s="286"/>
      <c r="ER212" s="286"/>
      <c r="ES212" s="286"/>
      <c r="ET212" s="286"/>
      <c r="EU212" s="286"/>
      <c r="EV212" s="286"/>
      <c r="EW212" s="286"/>
      <c r="EX212" s="286"/>
      <c r="EY212" s="286"/>
      <c r="EZ212" s="286"/>
      <c r="FA212" s="286"/>
      <c r="FB212" s="286"/>
      <c r="FC212" s="286"/>
      <c r="FD212" s="286"/>
      <c r="FE212" s="286"/>
      <c r="FF212" s="286"/>
      <c r="FG212" s="286"/>
      <c r="FH212" s="286"/>
      <c r="FI212" s="286"/>
      <c r="FJ212" s="286"/>
      <c r="FK212" s="286"/>
      <c r="FL212" s="286"/>
      <c r="FM212" s="286"/>
      <c r="FN212" s="286"/>
      <c r="FO212" s="286"/>
      <c r="FP212" s="286"/>
      <c r="FQ212" s="286"/>
      <c r="FR212" s="286"/>
      <c r="FS212" s="286"/>
    </row>
    <row r="213" spans="1:175">
      <c r="A213" s="212" t="s">
        <v>3159</v>
      </c>
      <c r="B213" s="212" t="s">
        <v>3160</v>
      </c>
      <c r="C213" s="212" t="s">
        <v>3172</v>
      </c>
      <c r="D213" s="212" t="s">
        <v>3233</v>
      </c>
      <c r="E213" s="212" t="s">
        <v>3374</v>
      </c>
      <c r="F213" s="278">
        <v>4689</v>
      </c>
      <c r="G213" s="278">
        <v>114404</v>
      </c>
      <c r="H213" s="287">
        <f t="shared" si="3"/>
        <v>4.7786790671654842</v>
      </c>
      <c r="I213" s="286">
        <v>241</v>
      </c>
      <c r="J213" s="286">
        <v>5467</v>
      </c>
      <c r="K213" s="286">
        <v>4506</v>
      </c>
      <c r="L213" s="286">
        <v>961</v>
      </c>
      <c r="M213" s="286">
        <v>5035</v>
      </c>
      <c r="N213" s="286">
        <v>4180</v>
      </c>
      <c r="O213" s="286">
        <v>855</v>
      </c>
      <c r="P213" s="286">
        <v>241</v>
      </c>
      <c r="Q213" s="286">
        <v>5467</v>
      </c>
      <c r="R213" s="286">
        <v>4506</v>
      </c>
      <c r="S213" s="286">
        <v>961</v>
      </c>
      <c r="T213" s="286">
        <v>5035</v>
      </c>
      <c r="U213" s="286">
        <v>4180</v>
      </c>
      <c r="V213" s="286">
        <v>855</v>
      </c>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c r="CG213" s="286"/>
      <c r="CH213" s="286"/>
      <c r="CI213" s="286"/>
      <c r="CJ213" s="286"/>
      <c r="CK213" s="286"/>
      <c r="CL213" s="286"/>
      <c r="CM213" s="286"/>
      <c r="CN213" s="286"/>
      <c r="CO213" s="286"/>
      <c r="CP213" s="286"/>
      <c r="CQ213" s="286"/>
      <c r="CR213" s="286"/>
      <c r="CS213" s="286"/>
      <c r="CT213" s="286"/>
      <c r="CU213" s="286"/>
      <c r="CV213" s="286"/>
      <c r="CW213" s="286"/>
      <c r="CX213" s="286"/>
      <c r="CY213" s="286"/>
      <c r="CZ213" s="286"/>
      <c r="DA213" s="286"/>
      <c r="DB213" s="286"/>
      <c r="DC213" s="286"/>
      <c r="DD213" s="286"/>
      <c r="DE213" s="286"/>
      <c r="DF213" s="286"/>
      <c r="DG213" s="286"/>
      <c r="DH213" s="286"/>
      <c r="DI213" s="286"/>
      <c r="DJ213" s="286"/>
      <c r="DK213" s="286"/>
      <c r="DL213" s="286"/>
      <c r="DM213" s="286"/>
      <c r="DN213" s="286"/>
      <c r="DO213" s="286"/>
      <c r="DP213" s="286"/>
      <c r="DQ213" s="286"/>
      <c r="DR213" s="286"/>
      <c r="DS213" s="286"/>
      <c r="DT213" s="286"/>
      <c r="DU213" s="286"/>
      <c r="DV213" s="286"/>
      <c r="DW213" s="286"/>
      <c r="DX213" s="286"/>
      <c r="DY213" s="286"/>
      <c r="DZ213" s="286"/>
      <c r="EA213" s="286"/>
      <c r="EB213" s="286"/>
      <c r="EC213" s="286"/>
      <c r="ED213" s="286"/>
      <c r="EE213" s="286"/>
      <c r="EF213" s="286"/>
      <c r="EG213" s="286"/>
      <c r="EH213" s="286"/>
      <c r="EI213" s="286"/>
      <c r="EJ213" s="286"/>
      <c r="EK213" s="286"/>
      <c r="EL213" s="286"/>
      <c r="EM213" s="286"/>
      <c r="EN213" s="286"/>
      <c r="EO213" s="286"/>
      <c r="EP213" s="286"/>
      <c r="EQ213" s="286"/>
      <c r="ER213" s="286"/>
      <c r="ES213" s="286"/>
      <c r="ET213" s="286"/>
      <c r="EU213" s="286"/>
      <c r="EV213" s="286"/>
      <c r="EW213" s="286"/>
      <c r="EX213" s="286"/>
      <c r="EY213" s="286"/>
      <c r="EZ213" s="286"/>
      <c r="FA213" s="286"/>
      <c r="FB213" s="286"/>
      <c r="FC213" s="286"/>
      <c r="FD213" s="286"/>
      <c r="FE213" s="286"/>
      <c r="FF213" s="286"/>
      <c r="FG213" s="286"/>
      <c r="FH213" s="286"/>
      <c r="FI213" s="286"/>
      <c r="FJ213" s="286"/>
      <c r="FK213" s="286"/>
      <c r="FL213" s="286"/>
      <c r="FM213" s="286"/>
      <c r="FN213" s="286"/>
      <c r="FO213" s="286"/>
      <c r="FP213" s="286"/>
      <c r="FQ213" s="286"/>
      <c r="FR213" s="286"/>
      <c r="FS213" s="286"/>
    </row>
    <row r="214" spans="1:175">
      <c r="A214" s="212" t="s">
        <v>3159</v>
      </c>
      <c r="B214" s="212" t="s">
        <v>3160</v>
      </c>
      <c r="C214" s="212" t="s">
        <v>3172</v>
      </c>
      <c r="D214" s="212" t="s">
        <v>3233</v>
      </c>
      <c r="E214" s="212" t="s">
        <v>3375</v>
      </c>
      <c r="F214" s="278">
        <v>8032</v>
      </c>
      <c r="G214" s="278">
        <v>131823</v>
      </c>
      <c r="H214" s="287">
        <f t="shared" si="3"/>
        <v>4.0615067173406763</v>
      </c>
      <c r="I214" s="286">
        <v>369</v>
      </c>
      <c r="J214" s="286">
        <v>5354</v>
      </c>
      <c r="K214" s="286">
        <v>4346</v>
      </c>
      <c r="L214" s="286">
        <v>1008</v>
      </c>
      <c r="M214" s="286">
        <v>4714</v>
      </c>
      <c r="N214" s="286">
        <v>3854</v>
      </c>
      <c r="O214" s="286">
        <v>860</v>
      </c>
      <c r="P214" s="286">
        <v>369</v>
      </c>
      <c r="Q214" s="286">
        <v>5354</v>
      </c>
      <c r="R214" s="286">
        <v>4346</v>
      </c>
      <c r="S214" s="286">
        <v>1008</v>
      </c>
      <c r="T214" s="286">
        <v>4714</v>
      </c>
      <c r="U214" s="286">
        <v>3854</v>
      </c>
      <c r="V214" s="286">
        <v>860</v>
      </c>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c r="CG214" s="286"/>
      <c r="CH214" s="286"/>
      <c r="CI214" s="286"/>
      <c r="CJ214" s="286"/>
      <c r="CK214" s="286"/>
      <c r="CL214" s="286"/>
      <c r="CM214" s="286"/>
      <c r="CN214" s="286"/>
      <c r="CO214" s="286"/>
      <c r="CP214" s="286"/>
      <c r="CQ214" s="286"/>
      <c r="CR214" s="286"/>
      <c r="CS214" s="286"/>
      <c r="CT214" s="286"/>
      <c r="CU214" s="286"/>
      <c r="CV214" s="286"/>
      <c r="CW214" s="286"/>
      <c r="CX214" s="286"/>
      <c r="CY214" s="286"/>
      <c r="CZ214" s="286"/>
      <c r="DA214" s="286"/>
      <c r="DB214" s="286"/>
      <c r="DC214" s="286"/>
      <c r="DD214" s="286"/>
      <c r="DE214" s="286"/>
      <c r="DF214" s="286"/>
      <c r="DG214" s="286"/>
      <c r="DH214" s="286"/>
      <c r="DI214" s="286"/>
      <c r="DJ214" s="286"/>
      <c r="DK214" s="286"/>
      <c r="DL214" s="286"/>
      <c r="DM214" s="286"/>
      <c r="DN214" s="286"/>
      <c r="DO214" s="286"/>
      <c r="DP214" s="286"/>
      <c r="DQ214" s="286"/>
      <c r="DR214" s="286"/>
      <c r="DS214" s="286"/>
      <c r="DT214" s="286"/>
      <c r="DU214" s="286"/>
      <c r="DV214" s="286"/>
      <c r="DW214" s="286"/>
      <c r="DX214" s="286"/>
      <c r="DY214" s="286"/>
      <c r="DZ214" s="286"/>
      <c r="EA214" s="286"/>
      <c r="EB214" s="286"/>
      <c r="EC214" s="286"/>
      <c r="ED214" s="286"/>
      <c r="EE214" s="286"/>
      <c r="EF214" s="286"/>
      <c r="EG214" s="286"/>
      <c r="EH214" s="286"/>
      <c r="EI214" s="286"/>
      <c r="EJ214" s="286"/>
      <c r="EK214" s="286"/>
      <c r="EL214" s="286"/>
      <c r="EM214" s="286"/>
      <c r="EN214" s="286"/>
      <c r="EO214" s="286"/>
      <c r="EP214" s="286"/>
      <c r="EQ214" s="286"/>
      <c r="ER214" s="286"/>
      <c r="ES214" s="286"/>
      <c r="ET214" s="286"/>
      <c r="EU214" s="286"/>
      <c r="EV214" s="286"/>
      <c r="EW214" s="286"/>
      <c r="EX214" s="286"/>
      <c r="EY214" s="286"/>
      <c r="EZ214" s="286"/>
      <c r="FA214" s="286"/>
      <c r="FB214" s="286"/>
      <c r="FC214" s="286"/>
      <c r="FD214" s="286"/>
      <c r="FE214" s="286"/>
      <c r="FF214" s="286"/>
      <c r="FG214" s="286"/>
      <c r="FH214" s="286"/>
      <c r="FI214" s="286"/>
      <c r="FJ214" s="286"/>
      <c r="FK214" s="286"/>
      <c r="FL214" s="286"/>
      <c r="FM214" s="286"/>
      <c r="FN214" s="286"/>
      <c r="FO214" s="286"/>
      <c r="FP214" s="286"/>
      <c r="FQ214" s="286"/>
      <c r="FR214" s="286"/>
      <c r="FS214" s="286"/>
    </row>
    <row r="215" spans="1:175">
      <c r="A215" s="212" t="s">
        <v>3159</v>
      </c>
      <c r="B215" s="212" t="s">
        <v>3160</v>
      </c>
      <c r="C215" s="212" t="s">
        <v>3170</v>
      </c>
      <c r="D215" s="212" t="s">
        <v>3233</v>
      </c>
      <c r="E215" s="212" t="s">
        <v>3376</v>
      </c>
      <c r="F215" s="278">
        <v>37199</v>
      </c>
      <c r="G215" s="278">
        <v>695895</v>
      </c>
      <c r="H215" s="287">
        <f t="shared" si="3"/>
        <v>4.4679154182743082</v>
      </c>
      <c r="I215" s="286">
        <v>1406</v>
      </c>
      <c r="J215" s="286">
        <v>31092</v>
      </c>
      <c r="K215" s="286">
        <v>26140</v>
      </c>
      <c r="L215" s="286">
        <v>4947</v>
      </c>
      <c r="M215" s="286">
        <v>28553</v>
      </c>
      <c r="N215" s="286">
        <v>24223</v>
      </c>
      <c r="O215" s="286">
        <v>4325</v>
      </c>
      <c r="P215" s="286">
        <v>1406</v>
      </c>
      <c r="Q215" s="286">
        <v>31092</v>
      </c>
      <c r="R215" s="286">
        <v>26140</v>
      </c>
      <c r="S215" s="286">
        <v>4947</v>
      </c>
      <c r="T215" s="286">
        <v>28553</v>
      </c>
      <c r="U215" s="286">
        <v>24223</v>
      </c>
      <c r="V215" s="286">
        <v>4325</v>
      </c>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c r="CG215" s="286"/>
      <c r="CH215" s="286"/>
      <c r="CI215" s="286"/>
      <c r="CJ215" s="286"/>
      <c r="CK215" s="286"/>
      <c r="CL215" s="286"/>
      <c r="CM215" s="286"/>
      <c r="CN215" s="286"/>
      <c r="CO215" s="286"/>
      <c r="CP215" s="286"/>
      <c r="CQ215" s="286"/>
      <c r="CR215" s="286"/>
      <c r="CS215" s="286"/>
      <c r="CT215" s="286"/>
      <c r="CU215" s="286"/>
      <c r="CV215" s="286"/>
      <c r="CW215" s="286"/>
      <c r="CX215" s="286"/>
      <c r="CY215" s="286"/>
      <c r="CZ215" s="286"/>
      <c r="DA215" s="286"/>
      <c r="DB215" s="286"/>
      <c r="DC215" s="286"/>
      <c r="DD215" s="286"/>
      <c r="DE215" s="286"/>
      <c r="DF215" s="286"/>
      <c r="DG215" s="286"/>
      <c r="DH215" s="286"/>
      <c r="DI215" s="286"/>
      <c r="DJ215" s="286"/>
      <c r="DK215" s="286"/>
      <c r="DL215" s="286"/>
      <c r="DM215" s="286"/>
      <c r="DN215" s="286"/>
      <c r="DO215" s="286"/>
      <c r="DP215" s="286"/>
      <c r="DQ215" s="286"/>
      <c r="DR215" s="286"/>
      <c r="DS215" s="286"/>
      <c r="DT215" s="286"/>
      <c r="DU215" s="286"/>
      <c r="DV215" s="286"/>
      <c r="DW215" s="286"/>
      <c r="DX215" s="286"/>
      <c r="DY215" s="286"/>
      <c r="DZ215" s="286"/>
      <c r="EA215" s="286"/>
      <c r="EB215" s="286"/>
      <c r="EC215" s="286"/>
      <c r="ED215" s="286"/>
      <c r="EE215" s="286"/>
      <c r="EF215" s="286"/>
      <c r="EG215" s="286"/>
      <c r="EH215" s="286"/>
      <c r="EI215" s="286"/>
      <c r="EJ215" s="286"/>
      <c r="EK215" s="286"/>
      <c r="EL215" s="286"/>
      <c r="EM215" s="286"/>
      <c r="EN215" s="286"/>
      <c r="EO215" s="286"/>
      <c r="EP215" s="286"/>
      <c r="EQ215" s="286"/>
      <c r="ER215" s="286"/>
      <c r="ES215" s="286"/>
      <c r="ET215" s="286"/>
      <c r="EU215" s="286"/>
      <c r="EV215" s="286"/>
      <c r="EW215" s="286"/>
      <c r="EX215" s="286"/>
      <c r="EY215" s="286"/>
      <c r="EZ215" s="286"/>
      <c r="FA215" s="286"/>
      <c r="FB215" s="286"/>
      <c r="FC215" s="286"/>
      <c r="FD215" s="286"/>
      <c r="FE215" s="286"/>
      <c r="FF215" s="286"/>
      <c r="FG215" s="286"/>
      <c r="FH215" s="286"/>
      <c r="FI215" s="286"/>
      <c r="FJ215" s="286"/>
      <c r="FK215" s="286"/>
      <c r="FL215" s="286"/>
      <c r="FM215" s="286"/>
      <c r="FN215" s="286"/>
      <c r="FO215" s="286"/>
      <c r="FP215" s="286"/>
      <c r="FQ215" s="286"/>
      <c r="FR215" s="286"/>
      <c r="FS215" s="286"/>
    </row>
    <row r="216" spans="1:175">
      <c r="A216" s="212" t="s">
        <v>3159</v>
      </c>
      <c r="B216" s="212" t="s">
        <v>3160</v>
      </c>
      <c r="C216" s="212" t="s">
        <v>3172</v>
      </c>
      <c r="D216" s="212" t="s">
        <v>3233</v>
      </c>
      <c r="E216" s="212" t="s">
        <v>3377</v>
      </c>
      <c r="F216" s="278">
        <v>493</v>
      </c>
      <c r="G216" s="278">
        <v>7569</v>
      </c>
      <c r="H216" s="287">
        <f t="shared" si="3"/>
        <v>1.2154842119170299</v>
      </c>
      <c r="I216" s="286">
        <v>22</v>
      </c>
      <c r="J216" s="286">
        <v>92</v>
      </c>
      <c r="K216" s="286">
        <v>67</v>
      </c>
      <c r="L216" s="286">
        <v>25</v>
      </c>
      <c r="M216" s="286">
        <v>59</v>
      </c>
      <c r="N216" s="286">
        <v>43</v>
      </c>
      <c r="O216" s="286">
        <v>16</v>
      </c>
      <c r="P216" s="286">
        <v>22</v>
      </c>
      <c r="Q216" s="286">
        <v>92</v>
      </c>
      <c r="R216" s="286">
        <v>67</v>
      </c>
      <c r="S216" s="286">
        <v>25</v>
      </c>
      <c r="T216" s="286">
        <v>59</v>
      </c>
      <c r="U216" s="286">
        <v>43</v>
      </c>
      <c r="V216" s="286">
        <v>16</v>
      </c>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6"/>
      <c r="DM216" s="286"/>
      <c r="DN216" s="286"/>
      <c r="DO216" s="286"/>
      <c r="DP216" s="286"/>
      <c r="DQ216" s="286"/>
      <c r="DR216" s="286"/>
      <c r="DS216" s="286"/>
      <c r="DT216" s="286"/>
      <c r="DU216" s="286"/>
      <c r="DV216" s="286"/>
      <c r="DW216" s="286"/>
      <c r="DX216" s="286"/>
      <c r="DY216" s="286"/>
      <c r="DZ216" s="286"/>
      <c r="EA216" s="286"/>
      <c r="EB216" s="286"/>
      <c r="EC216" s="286"/>
      <c r="ED216" s="286"/>
      <c r="EE216" s="286"/>
      <c r="EF216" s="286"/>
      <c r="EG216" s="286"/>
      <c r="EH216" s="286"/>
      <c r="EI216" s="286"/>
      <c r="EJ216" s="286"/>
      <c r="EK216" s="286"/>
      <c r="EL216" s="286"/>
      <c r="EM216" s="286"/>
      <c r="EN216" s="286"/>
      <c r="EO216" s="286"/>
      <c r="EP216" s="286"/>
      <c r="EQ216" s="286"/>
      <c r="ER216" s="286"/>
      <c r="ES216" s="286"/>
      <c r="ET216" s="286"/>
      <c r="EU216" s="286"/>
      <c r="EV216" s="286"/>
      <c r="EW216" s="286"/>
      <c r="EX216" s="286"/>
      <c r="EY216" s="286"/>
      <c r="EZ216" s="286"/>
      <c r="FA216" s="286"/>
      <c r="FB216" s="286"/>
      <c r="FC216" s="286"/>
      <c r="FD216" s="286"/>
      <c r="FE216" s="286"/>
      <c r="FF216" s="286"/>
      <c r="FG216" s="286"/>
      <c r="FH216" s="286"/>
      <c r="FI216" s="286"/>
      <c r="FJ216" s="286"/>
      <c r="FK216" s="286"/>
      <c r="FL216" s="286"/>
      <c r="FM216" s="286"/>
      <c r="FN216" s="286"/>
      <c r="FO216" s="286"/>
      <c r="FP216" s="286"/>
      <c r="FQ216" s="286"/>
      <c r="FR216" s="286"/>
      <c r="FS216" s="286"/>
    </row>
    <row r="217" spans="1:175">
      <c r="A217" s="212" t="s">
        <v>3159</v>
      </c>
      <c r="B217" s="212" t="s">
        <v>3160</v>
      </c>
      <c r="C217" s="212" t="s">
        <v>3172</v>
      </c>
      <c r="D217" s="212" t="s">
        <v>3233</v>
      </c>
      <c r="E217" s="212" t="s">
        <v>3378</v>
      </c>
      <c r="F217" s="278">
        <v>1368</v>
      </c>
      <c r="G217" s="278">
        <v>32967</v>
      </c>
      <c r="H217" s="287">
        <f t="shared" si="3"/>
        <v>2.4115024115024113</v>
      </c>
      <c r="I217" s="286">
        <v>63</v>
      </c>
      <c r="J217" s="286">
        <v>795</v>
      </c>
      <c r="K217" s="286">
        <v>617</v>
      </c>
      <c r="L217" s="286">
        <v>178</v>
      </c>
      <c r="M217" s="286">
        <v>702</v>
      </c>
      <c r="N217" s="286">
        <v>537</v>
      </c>
      <c r="O217" s="286">
        <v>165</v>
      </c>
      <c r="P217" s="286">
        <v>63</v>
      </c>
      <c r="Q217" s="286">
        <v>795</v>
      </c>
      <c r="R217" s="286">
        <v>617</v>
      </c>
      <c r="S217" s="286">
        <v>178</v>
      </c>
      <c r="T217" s="286">
        <v>702</v>
      </c>
      <c r="U217" s="286">
        <v>537</v>
      </c>
      <c r="V217" s="286">
        <v>165</v>
      </c>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c r="CG217" s="286"/>
      <c r="CH217" s="286"/>
      <c r="CI217" s="286"/>
      <c r="CJ217" s="286"/>
      <c r="CK217" s="286"/>
      <c r="CL217" s="286"/>
      <c r="CM217" s="286"/>
      <c r="CN217" s="286"/>
      <c r="CO217" s="286"/>
      <c r="CP217" s="286"/>
      <c r="CQ217" s="286"/>
      <c r="CR217" s="286"/>
      <c r="CS217" s="286"/>
      <c r="CT217" s="286"/>
      <c r="CU217" s="286"/>
      <c r="CV217" s="286"/>
      <c r="CW217" s="286"/>
      <c r="CX217" s="286"/>
      <c r="CY217" s="286"/>
      <c r="CZ217" s="286"/>
      <c r="DA217" s="286"/>
      <c r="DB217" s="286"/>
      <c r="DC217" s="286"/>
      <c r="DD217" s="286"/>
      <c r="DE217" s="286"/>
      <c r="DF217" s="286"/>
      <c r="DG217" s="286"/>
      <c r="DH217" s="286"/>
      <c r="DI217" s="286"/>
      <c r="DJ217" s="286"/>
      <c r="DK217" s="286"/>
      <c r="DL217" s="286"/>
      <c r="DM217" s="286"/>
      <c r="DN217" s="286"/>
      <c r="DO217" s="286"/>
      <c r="DP217" s="286"/>
      <c r="DQ217" s="286"/>
      <c r="DR217" s="286"/>
      <c r="DS217" s="286"/>
      <c r="DT217" s="286"/>
      <c r="DU217" s="286"/>
      <c r="DV217" s="286"/>
      <c r="DW217" s="286"/>
      <c r="DX217" s="286"/>
      <c r="DY217" s="286"/>
      <c r="DZ217" s="286"/>
      <c r="EA217" s="286"/>
      <c r="EB217" s="286"/>
      <c r="EC217" s="286"/>
      <c r="ED217" s="286"/>
      <c r="EE217" s="286"/>
      <c r="EF217" s="286"/>
      <c r="EG217" s="286"/>
      <c r="EH217" s="286"/>
      <c r="EI217" s="286"/>
      <c r="EJ217" s="286"/>
      <c r="EK217" s="286"/>
      <c r="EL217" s="286"/>
      <c r="EM217" s="286"/>
      <c r="EN217" s="286"/>
      <c r="EO217" s="286"/>
      <c r="EP217" s="286"/>
      <c r="EQ217" s="286"/>
      <c r="ER217" s="286"/>
      <c r="ES217" s="286"/>
      <c r="ET217" s="286"/>
      <c r="EU217" s="286"/>
      <c r="EV217" s="286"/>
      <c r="EW217" s="286"/>
      <c r="EX217" s="286"/>
      <c r="EY217" s="286"/>
      <c r="EZ217" s="286"/>
      <c r="FA217" s="286"/>
      <c r="FB217" s="286"/>
      <c r="FC217" s="286"/>
      <c r="FD217" s="286"/>
      <c r="FE217" s="286"/>
      <c r="FF217" s="286"/>
      <c r="FG217" s="286"/>
      <c r="FH217" s="286"/>
      <c r="FI217" s="286"/>
      <c r="FJ217" s="286"/>
      <c r="FK217" s="286"/>
      <c r="FL217" s="286"/>
      <c r="FM217" s="286"/>
      <c r="FN217" s="286"/>
      <c r="FO217" s="286"/>
      <c r="FP217" s="286"/>
      <c r="FQ217" s="286"/>
      <c r="FR217" s="286"/>
      <c r="FS217" s="286"/>
    </row>
    <row r="218" spans="1:175">
      <c r="A218" s="212" t="s">
        <v>3159</v>
      </c>
      <c r="B218" s="212" t="s">
        <v>3160</v>
      </c>
      <c r="C218" s="212" t="s">
        <v>3172</v>
      </c>
      <c r="D218" s="212" t="s">
        <v>3233</v>
      </c>
      <c r="E218" s="212" t="s">
        <v>3379</v>
      </c>
      <c r="F218" s="278">
        <v>2337</v>
      </c>
      <c r="G218" s="278">
        <v>69908</v>
      </c>
      <c r="H218" s="287">
        <f t="shared" si="3"/>
        <v>9.6641299994278196</v>
      </c>
      <c r="I218" s="286">
        <v>183</v>
      </c>
      <c r="J218" s="286">
        <v>6756</v>
      </c>
      <c r="K218" s="286">
        <v>5772</v>
      </c>
      <c r="L218" s="286">
        <v>979</v>
      </c>
      <c r="M218" s="286">
        <v>6426</v>
      </c>
      <c r="N218" s="286">
        <v>5530</v>
      </c>
      <c r="O218" s="286">
        <v>891</v>
      </c>
      <c r="P218" s="286">
        <v>183</v>
      </c>
      <c r="Q218" s="286">
        <v>6756</v>
      </c>
      <c r="R218" s="286">
        <v>5772</v>
      </c>
      <c r="S218" s="286">
        <v>979</v>
      </c>
      <c r="T218" s="286">
        <v>6426</v>
      </c>
      <c r="U218" s="286">
        <v>5530</v>
      </c>
      <c r="V218" s="286">
        <v>891</v>
      </c>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c r="CG218" s="286"/>
      <c r="CH218" s="286"/>
      <c r="CI218" s="286"/>
      <c r="CJ218" s="286"/>
      <c r="CK218" s="286"/>
      <c r="CL218" s="286"/>
      <c r="CM218" s="286"/>
      <c r="CN218" s="286"/>
      <c r="CO218" s="286"/>
      <c r="CP218" s="286"/>
      <c r="CQ218" s="286"/>
      <c r="CR218" s="286"/>
      <c r="CS218" s="286"/>
      <c r="CT218" s="286"/>
      <c r="CU218" s="286"/>
      <c r="CV218" s="286"/>
      <c r="CW218" s="286"/>
      <c r="CX218" s="286"/>
      <c r="CY218" s="286"/>
      <c r="CZ218" s="286"/>
      <c r="DA218" s="286"/>
      <c r="DB218" s="286"/>
      <c r="DC218" s="286"/>
      <c r="DD218" s="286"/>
      <c r="DE218" s="286"/>
      <c r="DF218" s="286"/>
      <c r="DG218" s="286"/>
      <c r="DH218" s="286"/>
      <c r="DI218" s="286"/>
      <c r="DJ218" s="286"/>
      <c r="DK218" s="286"/>
      <c r="DL218" s="286"/>
      <c r="DM218" s="286"/>
      <c r="DN218" s="286"/>
      <c r="DO218" s="286"/>
      <c r="DP218" s="286"/>
      <c r="DQ218" s="286"/>
      <c r="DR218" s="286"/>
      <c r="DS218" s="286"/>
      <c r="DT218" s="286"/>
      <c r="DU218" s="286"/>
      <c r="DV218" s="286"/>
      <c r="DW218" s="286"/>
      <c r="DX218" s="286"/>
      <c r="DY218" s="286"/>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6"/>
      <c r="FL218" s="286"/>
      <c r="FM218" s="286"/>
      <c r="FN218" s="286"/>
      <c r="FO218" s="286"/>
      <c r="FP218" s="286"/>
      <c r="FQ218" s="286"/>
      <c r="FR218" s="286"/>
      <c r="FS218" s="286"/>
    </row>
    <row r="219" spans="1:175">
      <c r="A219" s="212" t="s">
        <v>3159</v>
      </c>
      <c r="B219" s="212" t="s">
        <v>3160</v>
      </c>
      <c r="C219" s="212" t="s">
        <v>3172</v>
      </c>
      <c r="D219" s="212" t="s">
        <v>3233</v>
      </c>
      <c r="E219" s="212" t="s">
        <v>3380</v>
      </c>
      <c r="F219" s="278">
        <v>754</v>
      </c>
      <c r="G219" s="278">
        <v>13777</v>
      </c>
      <c r="H219" s="287">
        <f t="shared" si="3"/>
        <v>4.9720548740654715</v>
      </c>
      <c r="I219" s="286">
        <v>29</v>
      </c>
      <c r="J219" s="286">
        <v>685</v>
      </c>
      <c r="K219" s="286">
        <v>548</v>
      </c>
      <c r="L219" s="286">
        <v>137</v>
      </c>
      <c r="M219" s="286">
        <v>625</v>
      </c>
      <c r="N219" s="286">
        <v>501</v>
      </c>
      <c r="O219" s="286">
        <v>124</v>
      </c>
      <c r="P219" s="286">
        <v>29</v>
      </c>
      <c r="Q219" s="286">
        <v>685</v>
      </c>
      <c r="R219" s="286">
        <v>548</v>
      </c>
      <c r="S219" s="286">
        <v>137</v>
      </c>
      <c r="T219" s="286">
        <v>625</v>
      </c>
      <c r="U219" s="286">
        <v>501</v>
      </c>
      <c r="V219" s="286">
        <v>124</v>
      </c>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c r="CG219" s="286"/>
      <c r="CH219" s="286"/>
      <c r="CI219" s="286"/>
      <c r="CJ219" s="286"/>
      <c r="CK219" s="286"/>
      <c r="CL219" s="286"/>
      <c r="CM219" s="286"/>
      <c r="CN219" s="286"/>
      <c r="CO219" s="286"/>
      <c r="CP219" s="286"/>
      <c r="CQ219" s="286"/>
      <c r="CR219" s="286"/>
      <c r="CS219" s="286"/>
      <c r="CT219" s="286"/>
      <c r="CU219" s="286"/>
      <c r="CV219" s="286"/>
      <c r="CW219" s="286"/>
      <c r="CX219" s="286"/>
      <c r="CY219" s="286"/>
      <c r="CZ219" s="286"/>
      <c r="DA219" s="286"/>
      <c r="DB219" s="286"/>
      <c r="DC219" s="286"/>
      <c r="DD219" s="286"/>
      <c r="DE219" s="286"/>
      <c r="DF219" s="286"/>
      <c r="DG219" s="286"/>
      <c r="DH219" s="286"/>
      <c r="DI219" s="286"/>
      <c r="DJ219" s="286"/>
      <c r="DK219" s="286"/>
      <c r="DL219" s="286"/>
      <c r="DM219" s="286"/>
      <c r="DN219" s="286"/>
      <c r="DO219" s="286"/>
      <c r="DP219" s="286"/>
      <c r="DQ219" s="286"/>
      <c r="DR219" s="286"/>
      <c r="DS219" s="286"/>
      <c r="DT219" s="286"/>
      <c r="DU219" s="286"/>
      <c r="DV219" s="286"/>
      <c r="DW219" s="286"/>
      <c r="DX219" s="286"/>
      <c r="DY219" s="286"/>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6"/>
      <c r="FL219" s="286"/>
      <c r="FM219" s="286"/>
      <c r="FN219" s="286"/>
      <c r="FO219" s="286"/>
      <c r="FP219" s="286"/>
      <c r="FQ219" s="286"/>
      <c r="FR219" s="286"/>
      <c r="FS219" s="286"/>
    </row>
    <row r="220" spans="1:175">
      <c r="A220" s="212" t="s">
        <v>3159</v>
      </c>
      <c r="B220" s="212" t="s">
        <v>3160</v>
      </c>
      <c r="C220" s="212" t="s">
        <v>3172</v>
      </c>
      <c r="D220" s="212" t="s">
        <v>3233</v>
      </c>
      <c r="E220" s="212" t="s">
        <v>3381</v>
      </c>
      <c r="F220" s="278">
        <v>3753</v>
      </c>
      <c r="G220" s="278">
        <v>55272</v>
      </c>
      <c r="H220" s="287">
        <f t="shared" si="3"/>
        <v>2.8603994789405127</v>
      </c>
      <c r="I220" s="286">
        <v>114</v>
      </c>
      <c r="J220" s="286">
        <v>1581</v>
      </c>
      <c r="K220" s="286">
        <v>1268</v>
      </c>
      <c r="L220" s="286">
        <v>313</v>
      </c>
      <c r="M220" s="286">
        <v>1382</v>
      </c>
      <c r="N220" s="286">
        <v>1118</v>
      </c>
      <c r="O220" s="286">
        <v>264</v>
      </c>
      <c r="P220" s="286">
        <v>114</v>
      </c>
      <c r="Q220" s="286">
        <v>1581</v>
      </c>
      <c r="R220" s="286">
        <v>1268</v>
      </c>
      <c r="S220" s="286">
        <v>313</v>
      </c>
      <c r="T220" s="286">
        <v>1382</v>
      </c>
      <c r="U220" s="286">
        <v>1118</v>
      </c>
      <c r="V220" s="286">
        <v>264</v>
      </c>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c r="CG220" s="286"/>
      <c r="CH220" s="286"/>
      <c r="CI220" s="286"/>
      <c r="CJ220" s="286"/>
      <c r="CK220" s="286"/>
      <c r="CL220" s="286"/>
      <c r="CM220" s="286"/>
      <c r="CN220" s="286"/>
      <c r="CO220" s="286"/>
      <c r="CP220" s="286"/>
      <c r="CQ220" s="286"/>
      <c r="CR220" s="286"/>
      <c r="CS220" s="286"/>
      <c r="CT220" s="286"/>
      <c r="CU220" s="286"/>
      <c r="CV220" s="286"/>
      <c r="CW220" s="286"/>
      <c r="CX220" s="286"/>
      <c r="CY220" s="286"/>
      <c r="CZ220" s="286"/>
      <c r="DA220" s="286"/>
      <c r="DB220" s="286"/>
      <c r="DC220" s="286"/>
      <c r="DD220" s="286"/>
      <c r="DE220" s="286"/>
      <c r="DF220" s="286"/>
      <c r="DG220" s="286"/>
      <c r="DH220" s="286"/>
      <c r="DI220" s="286"/>
      <c r="DJ220" s="286"/>
      <c r="DK220" s="286"/>
      <c r="DL220" s="286"/>
      <c r="DM220" s="286"/>
      <c r="DN220" s="286"/>
      <c r="DO220" s="286"/>
      <c r="DP220" s="286"/>
      <c r="DQ220" s="286"/>
      <c r="DR220" s="286"/>
      <c r="DS220" s="286"/>
      <c r="DT220" s="286"/>
      <c r="DU220" s="286"/>
      <c r="DV220" s="286"/>
      <c r="DW220" s="286"/>
      <c r="DX220" s="286"/>
      <c r="DY220" s="286"/>
      <c r="DZ220" s="286"/>
      <c r="EA220" s="286"/>
      <c r="EB220" s="286"/>
      <c r="EC220" s="286"/>
      <c r="ED220" s="286"/>
      <c r="EE220" s="286"/>
      <c r="EF220" s="286"/>
      <c r="EG220" s="286"/>
      <c r="EH220" s="286"/>
      <c r="EI220" s="286"/>
      <c r="EJ220" s="286"/>
      <c r="EK220" s="286"/>
      <c r="EL220" s="286"/>
      <c r="EM220" s="286"/>
      <c r="EN220" s="286"/>
      <c r="EO220" s="286"/>
      <c r="EP220" s="286"/>
      <c r="EQ220" s="286"/>
      <c r="ER220" s="286"/>
      <c r="ES220" s="286"/>
      <c r="ET220" s="286"/>
      <c r="EU220" s="286"/>
      <c r="EV220" s="286"/>
      <c r="EW220" s="286"/>
      <c r="EX220" s="286"/>
      <c r="EY220" s="286"/>
      <c r="EZ220" s="286"/>
      <c r="FA220" s="286"/>
      <c r="FB220" s="286"/>
      <c r="FC220" s="286"/>
      <c r="FD220" s="286"/>
      <c r="FE220" s="286"/>
      <c r="FF220" s="286"/>
      <c r="FG220" s="286"/>
      <c r="FH220" s="286"/>
      <c r="FI220" s="286"/>
      <c r="FJ220" s="286"/>
      <c r="FK220" s="286"/>
      <c r="FL220" s="286"/>
      <c r="FM220" s="286"/>
      <c r="FN220" s="286"/>
      <c r="FO220" s="286"/>
      <c r="FP220" s="286"/>
      <c r="FQ220" s="286"/>
      <c r="FR220" s="286"/>
      <c r="FS220" s="286"/>
    </row>
    <row r="221" spans="1:175">
      <c r="A221" s="212" t="s">
        <v>3159</v>
      </c>
      <c r="B221" s="212" t="s">
        <v>3160</v>
      </c>
      <c r="C221" s="212" t="s">
        <v>3172</v>
      </c>
      <c r="D221" s="212" t="s">
        <v>3233</v>
      </c>
      <c r="E221" s="212" t="s">
        <v>3382</v>
      </c>
      <c r="F221" s="278">
        <v>2615</v>
      </c>
      <c r="G221" s="278">
        <v>56968</v>
      </c>
      <c r="H221" s="287">
        <f t="shared" si="3"/>
        <v>12.900224687543885</v>
      </c>
      <c r="I221" s="286">
        <v>143</v>
      </c>
      <c r="J221" s="286">
        <v>7349</v>
      </c>
      <c r="K221" s="286">
        <v>6555</v>
      </c>
      <c r="L221" s="286">
        <v>794</v>
      </c>
      <c r="M221" s="286">
        <v>7093</v>
      </c>
      <c r="N221" s="286">
        <v>6350</v>
      </c>
      <c r="O221" s="286">
        <v>743</v>
      </c>
      <c r="P221" s="286">
        <v>143</v>
      </c>
      <c r="Q221" s="286">
        <v>7349</v>
      </c>
      <c r="R221" s="286">
        <v>6555</v>
      </c>
      <c r="S221" s="286">
        <v>794</v>
      </c>
      <c r="T221" s="286">
        <v>7093</v>
      </c>
      <c r="U221" s="286">
        <v>6350</v>
      </c>
      <c r="V221" s="286">
        <v>743</v>
      </c>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c r="CG221" s="286"/>
      <c r="CH221" s="286"/>
      <c r="CI221" s="286"/>
      <c r="CJ221" s="286"/>
      <c r="CK221" s="286"/>
      <c r="CL221" s="286"/>
      <c r="CM221" s="286"/>
      <c r="CN221" s="286"/>
      <c r="CO221" s="286"/>
      <c r="CP221" s="286"/>
      <c r="CQ221" s="286"/>
      <c r="CR221" s="286"/>
      <c r="CS221" s="286"/>
      <c r="CT221" s="286"/>
      <c r="CU221" s="286"/>
      <c r="CV221" s="286"/>
      <c r="CW221" s="286"/>
      <c r="CX221" s="286"/>
      <c r="CY221" s="286"/>
      <c r="CZ221" s="286"/>
      <c r="DA221" s="286"/>
      <c r="DB221" s="286"/>
      <c r="DC221" s="286"/>
      <c r="DD221" s="286"/>
      <c r="DE221" s="286"/>
      <c r="DF221" s="286"/>
      <c r="DG221" s="286"/>
      <c r="DH221" s="286"/>
      <c r="DI221" s="286"/>
      <c r="DJ221" s="286"/>
      <c r="DK221" s="286"/>
      <c r="DL221" s="286"/>
      <c r="DM221" s="286"/>
      <c r="DN221" s="286"/>
      <c r="DO221" s="286"/>
      <c r="DP221" s="286"/>
      <c r="DQ221" s="286"/>
      <c r="DR221" s="286"/>
      <c r="DS221" s="286"/>
      <c r="DT221" s="286"/>
      <c r="DU221" s="286"/>
      <c r="DV221" s="286"/>
      <c r="DW221" s="286"/>
      <c r="DX221" s="286"/>
      <c r="DY221" s="286"/>
      <c r="DZ221" s="286"/>
      <c r="EA221" s="286"/>
      <c r="EB221" s="286"/>
      <c r="EC221" s="286"/>
      <c r="ED221" s="286"/>
      <c r="EE221" s="286"/>
      <c r="EF221" s="286"/>
      <c r="EG221" s="286"/>
      <c r="EH221" s="286"/>
      <c r="EI221" s="286"/>
      <c r="EJ221" s="286"/>
      <c r="EK221" s="286"/>
      <c r="EL221" s="286"/>
      <c r="EM221" s="286"/>
      <c r="EN221" s="286"/>
      <c r="EO221" s="286"/>
      <c r="EP221" s="286"/>
      <c r="EQ221" s="286"/>
      <c r="ER221" s="286"/>
      <c r="ES221" s="286"/>
      <c r="ET221" s="286"/>
      <c r="EU221" s="286"/>
      <c r="EV221" s="286"/>
      <c r="EW221" s="286"/>
      <c r="EX221" s="286"/>
      <c r="EY221" s="286"/>
      <c r="EZ221" s="286"/>
      <c r="FA221" s="286"/>
      <c r="FB221" s="286"/>
      <c r="FC221" s="286"/>
      <c r="FD221" s="286"/>
      <c r="FE221" s="286"/>
      <c r="FF221" s="286"/>
      <c r="FG221" s="286"/>
      <c r="FH221" s="286"/>
      <c r="FI221" s="286"/>
      <c r="FJ221" s="286"/>
      <c r="FK221" s="286"/>
      <c r="FL221" s="286"/>
      <c r="FM221" s="286"/>
      <c r="FN221" s="286"/>
      <c r="FO221" s="286"/>
      <c r="FP221" s="286"/>
      <c r="FQ221" s="286"/>
      <c r="FR221" s="286"/>
      <c r="FS221" s="286"/>
    </row>
    <row r="222" spans="1:175">
      <c r="A222" s="212" t="s">
        <v>3159</v>
      </c>
      <c r="B222" s="212" t="s">
        <v>3160</v>
      </c>
      <c r="C222" s="212" t="s">
        <v>3172</v>
      </c>
      <c r="D222" s="212" t="s">
        <v>3233</v>
      </c>
      <c r="E222" s="212" t="s">
        <v>3383</v>
      </c>
      <c r="F222" s="278">
        <v>11093</v>
      </c>
      <c r="G222" s="278">
        <v>179160</v>
      </c>
      <c r="H222" s="287">
        <f t="shared" si="3"/>
        <v>3.7513954007590979</v>
      </c>
      <c r="I222" s="286">
        <v>414</v>
      </c>
      <c r="J222" s="286">
        <v>6721</v>
      </c>
      <c r="K222" s="286">
        <v>5530</v>
      </c>
      <c r="L222" s="286">
        <v>1191</v>
      </c>
      <c r="M222" s="286">
        <v>5989</v>
      </c>
      <c r="N222" s="286">
        <v>4971</v>
      </c>
      <c r="O222" s="286">
        <v>1018</v>
      </c>
      <c r="P222" s="286">
        <v>414</v>
      </c>
      <c r="Q222" s="286">
        <v>6721</v>
      </c>
      <c r="R222" s="286">
        <v>5530</v>
      </c>
      <c r="S222" s="286">
        <v>1191</v>
      </c>
      <c r="T222" s="286">
        <v>5989</v>
      </c>
      <c r="U222" s="286">
        <v>4971</v>
      </c>
      <c r="V222" s="286">
        <v>1018</v>
      </c>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c r="CG222" s="286"/>
      <c r="CH222" s="286"/>
      <c r="CI222" s="286"/>
      <c r="CJ222" s="286"/>
      <c r="CK222" s="286"/>
      <c r="CL222" s="286"/>
      <c r="CM222" s="286"/>
      <c r="CN222" s="286"/>
      <c r="CO222" s="286"/>
      <c r="CP222" s="286"/>
      <c r="CQ222" s="286"/>
      <c r="CR222" s="286"/>
      <c r="CS222" s="286"/>
      <c r="CT222" s="286"/>
      <c r="CU222" s="286"/>
      <c r="CV222" s="286"/>
      <c r="CW222" s="286"/>
      <c r="CX222" s="286"/>
      <c r="CY222" s="286"/>
      <c r="CZ222" s="286"/>
      <c r="DA222" s="286"/>
      <c r="DB222" s="286"/>
      <c r="DC222" s="286"/>
      <c r="DD222" s="286"/>
      <c r="DE222" s="286"/>
      <c r="DF222" s="286"/>
      <c r="DG222" s="286"/>
      <c r="DH222" s="286"/>
      <c r="DI222" s="286"/>
      <c r="DJ222" s="286"/>
      <c r="DK222" s="286"/>
      <c r="DL222" s="286"/>
      <c r="DM222" s="286"/>
      <c r="DN222" s="286"/>
      <c r="DO222" s="286"/>
      <c r="DP222" s="286"/>
      <c r="DQ222" s="286"/>
      <c r="DR222" s="286"/>
      <c r="DS222" s="286"/>
      <c r="DT222" s="286"/>
      <c r="DU222" s="286"/>
      <c r="DV222" s="286"/>
      <c r="DW222" s="286"/>
      <c r="DX222" s="286"/>
      <c r="DY222" s="286"/>
      <c r="DZ222" s="286"/>
      <c r="EA222" s="286"/>
      <c r="EB222" s="286"/>
      <c r="EC222" s="286"/>
      <c r="ED222" s="286"/>
      <c r="EE222" s="286"/>
      <c r="EF222" s="286"/>
      <c r="EG222" s="286"/>
      <c r="EH222" s="286"/>
      <c r="EI222" s="286"/>
      <c r="EJ222" s="286"/>
      <c r="EK222" s="286"/>
      <c r="EL222" s="286"/>
      <c r="EM222" s="286"/>
      <c r="EN222" s="286"/>
      <c r="EO222" s="286"/>
      <c r="EP222" s="286"/>
      <c r="EQ222" s="286"/>
      <c r="ER222" s="286"/>
      <c r="ES222" s="286"/>
      <c r="ET222" s="286"/>
      <c r="EU222" s="286"/>
      <c r="EV222" s="286"/>
      <c r="EW222" s="286"/>
      <c r="EX222" s="286"/>
      <c r="EY222" s="286"/>
      <c r="EZ222" s="286"/>
      <c r="FA222" s="286"/>
      <c r="FB222" s="286"/>
      <c r="FC222" s="286"/>
      <c r="FD222" s="286"/>
      <c r="FE222" s="286"/>
      <c r="FF222" s="286"/>
      <c r="FG222" s="286"/>
      <c r="FH222" s="286"/>
      <c r="FI222" s="286"/>
      <c r="FJ222" s="286"/>
      <c r="FK222" s="286"/>
      <c r="FL222" s="286"/>
      <c r="FM222" s="286"/>
      <c r="FN222" s="286"/>
      <c r="FO222" s="286"/>
      <c r="FP222" s="286"/>
      <c r="FQ222" s="286"/>
      <c r="FR222" s="286"/>
      <c r="FS222" s="286"/>
    </row>
    <row r="223" spans="1:175">
      <c r="A223" s="212" t="s">
        <v>3159</v>
      </c>
      <c r="B223" s="212" t="s">
        <v>3160</v>
      </c>
      <c r="C223" s="212" t="s">
        <v>3172</v>
      </c>
      <c r="D223" s="212" t="s">
        <v>3233</v>
      </c>
      <c r="E223" s="212" t="s">
        <v>3384</v>
      </c>
      <c r="F223" s="278">
        <v>2507</v>
      </c>
      <c r="G223" s="278">
        <v>89371</v>
      </c>
      <c r="H223" s="287">
        <f t="shared" si="3"/>
        <v>0.66576406216781725</v>
      </c>
      <c r="I223" s="286">
        <v>27</v>
      </c>
      <c r="J223" s="286">
        <v>595</v>
      </c>
      <c r="K223" s="286">
        <v>420</v>
      </c>
      <c r="L223" s="286">
        <v>175</v>
      </c>
      <c r="M223" s="286">
        <v>555</v>
      </c>
      <c r="N223" s="286">
        <v>392</v>
      </c>
      <c r="O223" s="286">
        <v>163</v>
      </c>
      <c r="P223" s="286">
        <v>27</v>
      </c>
      <c r="Q223" s="286">
        <v>595</v>
      </c>
      <c r="R223" s="286">
        <v>420</v>
      </c>
      <c r="S223" s="286">
        <v>175</v>
      </c>
      <c r="T223" s="286">
        <v>555</v>
      </c>
      <c r="U223" s="286">
        <v>392</v>
      </c>
      <c r="V223" s="286">
        <v>163</v>
      </c>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6"/>
      <c r="DM223" s="286"/>
      <c r="DN223" s="286"/>
      <c r="DO223" s="286"/>
      <c r="DP223" s="286"/>
      <c r="DQ223" s="286"/>
      <c r="DR223" s="286"/>
      <c r="DS223" s="286"/>
      <c r="DT223" s="286"/>
      <c r="DU223" s="286"/>
      <c r="DV223" s="286"/>
      <c r="DW223" s="286"/>
      <c r="DX223" s="286"/>
      <c r="DY223" s="286"/>
      <c r="DZ223" s="286"/>
      <c r="EA223" s="286"/>
      <c r="EB223" s="286"/>
      <c r="EC223" s="286"/>
      <c r="ED223" s="286"/>
      <c r="EE223" s="286"/>
      <c r="EF223" s="286"/>
      <c r="EG223" s="286"/>
      <c r="EH223" s="286"/>
      <c r="EI223" s="286"/>
      <c r="EJ223" s="286"/>
      <c r="EK223" s="286"/>
      <c r="EL223" s="286"/>
      <c r="EM223" s="286"/>
      <c r="EN223" s="286"/>
      <c r="EO223" s="286"/>
      <c r="EP223" s="286"/>
      <c r="EQ223" s="286"/>
      <c r="ER223" s="286"/>
      <c r="ES223" s="286"/>
      <c r="ET223" s="286"/>
      <c r="EU223" s="286"/>
      <c r="EV223" s="286"/>
      <c r="EW223" s="286"/>
      <c r="EX223" s="286"/>
      <c r="EY223" s="286"/>
      <c r="EZ223" s="286"/>
      <c r="FA223" s="286"/>
      <c r="FB223" s="286"/>
      <c r="FC223" s="286"/>
      <c r="FD223" s="286"/>
      <c r="FE223" s="286"/>
      <c r="FF223" s="286"/>
      <c r="FG223" s="286"/>
      <c r="FH223" s="286"/>
      <c r="FI223" s="286"/>
      <c r="FJ223" s="286"/>
      <c r="FK223" s="286"/>
      <c r="FL223" s="286"/>
      <c r="FM223" s="286"/>
      <c r="FN223" s="286"/>
      <c r="FO223" s="286"/>
      <c r="FP223" s="286"/>
      <c r="FQ223" s="286"/>
      <c r="FR223" s="286"/>
      <c r="FS223" s="286"/>
    </row>
    <row r="224" spans="1:175">
      <c r="A224" s="212" t="s">
        <v>3159</v>
      </c>
      <c r="B224" s="212" t="s">
        <v>3160</v>
      </c>
      <c r="C224" s="212" t="s">
        <v>3172</v>
      </c>
      <c r="D224" s="212" t="s">
        <v>3233</v>
      </c>
      <c r="E224" s="212" t="s">
        <v>3385</v>
      </c>
      <c r="F224" s="278">
        <v>12279</v>
      </c>
      <c r="G224" s="278">
        <v>190903</v>
      </c>
      <c r="H224" s="287">
        <f t="shared" si="3"/>
        <v>3.4142994086001792</v>
      </c>
      <c r="I224" s="286">
        <v>411</v>
      </c>
      <c r="J224" s="286">
        <v>6518</v>
      </c>
      <c r="K224" s="286">
        <v>5363</v>
      </c>
      <c r="L224" s="286">
        <v>1155</v>
      </c>
      <c r="M224" s="286">
        <v>5722</v>
      </c>
      <c r="N224" s="286">
        <v>4781</v>
      </c>
      <c r="O224" s="286">
        <v>941</v>
      </c>
      <c r="P224" s="286">
        <v>411</v>
      </c>
      <c r="Q224" s="286">
        <v>6518</v>
      </c>
      <c r="R224" s="286">
        <v>5363</v>
      </c>
      <c r="S224" s="286">
        <v>1155</v>
      </c>
      <c r="T224" s="286">
        <v>5722</v>
      </c>
      <c r="U224" s="286">
        <v>4781</v>
      </c>
      <c r="V224" s="286">
        <v>941</v>
      </c>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6"/>
      <c r="CH224" s="286"/>
      <c r="CI224" s="286"/>
      <c r="CJ224" s="286"/>
      <c r="CK224" s="286"/>
      <c r="CL224" s="286"/>
      <c r="CM224" s="286"/>
      <c r="CN224" s="286"/>
      <c r="CO224" s="286"/>
      <c r="CP224" s="286"/>
      <c r="CQ224" s="286"/>
      <c r="CR224" s="286"/>
      <c r="CS224" s="286"/>
      <c r="CT224" s="286"/>
      <c r="CU224" s="286"/>
      <c r="CV224" s="286"/>
      <c r="CW224" s="286"/>
      <c r="CX224" s="286"/>
      <c r="CY224" s="286"/>
      <c r="CZ224" s="286"/>
      <c r="DA224" s="286"/>
      <c r="DB224" s="286"/>
      <c r="DC224" s="286"/>
      <c r="DD224" s="286"/>
      <c r="DE224" s="286"/>
      <c r="DF224" s="286"/>
      <c r="DG224" s="286"/>
      <c r="DH224" s="286"/>
      <c r="DI224" s="286"/>
      <c r="DJ224" s="286"/>
      <c r="DK224" s="286"/>
      <c r="DL224" s="286"/>
      <c r="DM224" s="286"/>
      <c r="DN224" s="286"/>
      <c r="DO224" s="286"/>
      <c r="DP224" s="286"/>
      <c r="DQ224" s="286"/>
      <c r="DR224" s="286"/>
      <c r="DS224" s="286"/>
      <c r="DT224" s="286"/>
      <c r="DU224" s="286"/>
      <c r="DV224" s="286"/>
      <c r="DW224" s="286"/>
      <c r="DX224" s="286"/>
      <c r="DY224" s="286"/>
      <c r="DZ224" s="286"/>
      <c r="EA224" s="286"/>
      <c r="EB224" s="286"/>
      <c r="EC224" s="286"/>
      <c r="ED224" s="286"/>
      <c r="EE224" s="286"/>
      <c r="EF224" s="286"/>
      <c r="EG224" s="286"/>
      <c r="EH224" s="286"/>
      <c r="EI224" s="286"/>
      <c r="EJ224" s="286"/>
      <c r="EK224" s="286"/>
      <c r="EL224" s="286"/>
      <c r="EM224" s="286"/>
      <c r="EN224" s="286"/>
      <c r="EO224" s="286"/>
      <c r="EP224" s="286"/>
      <c r="EQ224" s="286"/>
      <c r="ER224" s="286"/>
      <c r="ES224" s="286"/>
      <c r="ET224" s="286"/>
      <c r="EU224" s="286"/>
      <c r="EV224" s="286"/>
      <c r="EW224" s="286"/>
      <c r="EX224" s="286"/>
      <c r="EY224" s="286"/>
      <c r="EZ224" s="286"/>
      <c r="FA224" s="286"/>
      <c r="FB224" s="286"/>
      <c r="FC224" s="286"/>
      <c r="FD224" s="286"/>
      <c r="FE224" s="286"/>
      <c r="FF224" s="286"/>
      <c r="FG224" s="286"/>
      <c r="FH224" s="286"/>
      <c r="FI224" s="286"/>
      <c r="FJ224" s="286"/>
      <c r="FK224" s="286"/>
      <c r="FL224" s="286"/>
      <c r="FM224" s="286"/>
      <c r="FN224" s="286"/>
      <c r="FO224" s="286"/>
      <c r="FP224" s="286"/>
      <c r="FQ224" s="286"/>
      <c r="FR224" s="286"/>
      <c r="FS224" s="286"/>
    </row>
    <row r="225" spans="1:175">
      <c r="A225" s="212" t="s">
        <v>3159</v>
      </c>
      <c r="B225" s="212" t="s">
        <v>3160</v>
      </c>
      <c r="C225" s="212" t="s">
        <v>3170</v>
      </c>
      <c r="D225" s="212" t="s">
        <v>3233</v>
      </c>
      <c r="E225" s="212" t="s">
        <v>3386</v>
      </c>
      <c r="F225" s="278">
        <v>8508</v>
      </c>
      <c r="G225" s="278">
        <v>247955</v>
      </c>
      <c r="H225" s="287">
        <f t="shared" si="3"/>
        <v>3.24252384505253</v>
      </c>
      <c r="I225" s="286">
        <v>213</v>
      </c>
      <c r="J225" s="286">
        <v>8040</v>
      </c>
      <c r="K225" s="286">
        <v>5820</v>
      </c>
      <c r="L225" s="286">
        <v>2220</v>
      </c>
      <c r="M225" s="286">
        <v>7660</v>
      </c>
      <c r="N225" s="286">
        <v>5535</v>
      </c>
      <c r="O225" s="286">
        <v>2125</v>
      </c>
      <c r="P225" s="286">
        <v>213</v>
      </c>
      <c r="Q225" s="286">
        <v>8040</v>
      </c>
      <c r="R225" s="286">
        <v>5820</v>
      </c>
      <c r="S225" s="286">
        <v>2220</v>
      </c>
      <c r="T225" s="286">
        <v>7660</v>
      </c>
      <c r="U225" s="286">
        <v>5535</v>
      </c>
      <c r="V225" s="286">
        <v>2125</v>
      </c>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c r="DV225" s="286"/>
      <c r="DW225" s="286"/>
      <c r="DX225" s="286"/>
      <c r="DY225" s="286"/>
      <c r="DZ225" s="286"/>
      <c r="EA225" s="286"/>
      <c r="EB225" s="286"/>
      <c r="EC225" s="286"/>
      <c r="ED225" s="286"/>
      <c r="EE225" s="286"/>
      <c r="EF225" s="286"/>
      <c r="EG225" s="286"/>
      <c r="EH225" s="286"/>
      <c r="EI225" s="286"/>
      <c r="EJ225" s="286"/>
      <c r="EK225" s="286"/>
      <c r="EL225" s="286"/>
      <c r="EM225" s="286"/>
      <c r="EN225" s="286"/>
      <c r="EO225" s="286"/>
      <c r="EP225" s="286"/>
      <c r="EQ225" s="286"/>
      <c r="ER225" s="286"/>
      <c r="ES225" s="286"/>
      <c r="ET225" s="286"/>
      <c r="EU225" s="286"/>
      <c r="EV225" s="286"/>
      <c r="EW225" s="286"/>
      <c r="EX225" s="286"/>
      <c r="EY225" s="286"/>
      <c r="EZ225" s="286"/>
      <c r="FA225" s="286"/>
      <c r="FB225" s="286"/>
      <c r="FC225" s="286"/>
      <c r="FD225" s="286"/>
      <c r="FE225" s="286"/>
      <c r="FF225" s="286"/>
      <c r="FG225" s="286"/>
      <c r="FH225" s="286"/>
      <c r="FI225" s="286"/>
      <c r="FJ225" s="286"/>
      <c r="FK225" s="286"/>
      <c r="FL225" s="286"/>
      <c r="FM225" s="286"/>
      <c r="FN225" s="286"/>
      <c r="FO225" s="286"/>
      <c r="FP225" s="286"/>
      <c r="FQ225" s="286"/>
      <c r="FR225" s="286"/>
      <c r="FS225" s="286"/>
    </row>
    <row r="226" spans="1:175">
      <c r="A226" s="212" t="s">
        <v>3159</v>
      </c>
      <c r="B226" s="212" t="s">
        <v>3160</v>
      </c>
      <c r="C226" s="212" t="s">
        <v>3172</v>
      </c>
      <c r="D226" s="212" t="s">
        <v>3233</v>
      </c>
      <c r="E226" s="212" t="s">
        <v>3387</v>
      </c>
      <c r="F226" s="278">
        <v>226</v>
      </c>
      <c r="G226" s="278">
        <v>5570</v>
      </c>
      <c r="H226" s="287">
        <f t="shared" si="3"/>
        <v>1.3105924596050269</v>
      </c>
      <c r="I226" s="286">
        <v>7</v>
      </c>
      <c r="J226" s="286">
        <v>73</v>
      </c>
      <c r="K226" s="286">
        <v>56</v>
      </c>
      <c r="L226" s="286">
        <v>17</v>
      </c>
      <c r="M226" s="286">
        <v>72</v>
      </c>
      <c r="N226" s="286">
        <v>55</v>
      </c>
      <c r="O226" s="286">
        <v>17</v>
      </c>
      <c r="P226" s="286">
        <v>7</v>
      </c>
      <c r="Q226" s="286">
        <v>73</v>
      </c>
      <c r="R226" s="286">
        <v>56</v>
      </c>
      <c r="S226" s="286">
        <v>17</v>
      </c>
      <c r="T226" s="286">
        <v>72</v>
      </c>
      <c r="U226" s="286">
        <v>55</v>
      </c>
      <c r="V226" s="286">
        <v>17</v>
      </c>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c r="CG226" s="286"/>
      <c r="CH226" s="286"/>
      <c r="CI226" s="286"/>
      <c r="CJ226" s="286"/>
      <c r="CK226" s="286"/>
      <c r="CL226" s="286"/>
      <c r="CM226" s="286"/>
      <c r="CN226" s="286"/>
      <c r="CO226" s="286"/>
      <c r="CP226" s="286"/>
      <c r="CQ226" s="286"/>
      <c r="CR226" s="286"/>
      <c r="CS226" s="286"/>
      <c r="CT226" s="286"/>
      <c r="CU226" s="286"/>
      <c r="CV226" s="286"/>
      <c r="CW226" s="286"/>
      <c r="CX226" s="286"/>
      <c r="CY226" s="286"/>
      <c r="CZ226" s="286"/>
      <c r="DA226" s="286"/>
      <c r="DB226" s="286"/>
      <c r="DC226" s="286"/>
      <c r="DD226" s="286"/>
      <c r="DE226" s="286"/>
      <c r="DF226" s="286"/>
      <c r="DG226" s="286"/>
      <c r="DH226" s="286"/>
      <c r="DI226" s="286"/>
      <c r="DJ226" s="286"/>
      <c r="DK226" s="286"/>
      <c r="DL226" s="286"/>
      <c r="DM226" s="286"/>
      <c r="DN226" s="286"/>
      <c r="DO226" s="286"/>
      <c r="DP226" s="286"/>
      <c r="DQ226" s="286"/>
      <c r="DR226" s="286"/>
      <c r="DS226" s="286"/>
      <c r="DT226" s="286"/>
      <c r="DU226" s="286"/>
      <c r="DV226" s="286"/>
      <c r="DW226" s="286"/>
      <c r="DX226" s="286"/>
      <c r="DY226" s="286"/>
      <c r="DZ226" s="286"/>
      <c r="EA226" s="286"/>
      <c r="EB226" s="286"/>
      <c r="EC226" s="286"/>
      <c r="ED226" s="286"/>
      <c r="EE226" s="286"/>
      <c r="EF226" s="286"/>
      <c r="EG226" s="286"/>
      <c r="EH226" s="286"/>
      <c r="EI226" s="286"/>
      <c r="EJ226" s="286"/>
      <c r="EK226" s="286"/>
      <c r="EL226" s="286"/>
      <c r="EM226" s="286"/>
      <c r="EN226" s="286"/>
      <c r="EO226" s="286"/>
      <c r="EP226" s="286"/>
      <c r="EQ226" s="286"/>
      <c r="ER226" s="286"/>
      <c r="ES226" s="286"/>
      <c r="ET226" s="286"/>
      <c r="EU226" s="286"/>
      <c r="EV226" s="286"/>
      <c r="EW226" s="286"/>
      <c r="EX226" s="286"/>
      <c r="EY226" s="286"/>
      <c r="EZ226" s="286"/>
      <c r="FA226" s="286"/>
      <c r="FB226" s="286"/>
      <c r="FC226" s="286"/>
      <c r="FD226" s="286"/>
      <c r="FE226" s="286"/>
      <c r="FF226" s="286"/>
      <c r="FG226" s="286"/>
      <c r="FH226" s="286"/>
      <c r="FI226" s="286"/>
      <c r="FJ226" s="286"/>
      <c r="FK226" s="286"/>
      <c r="FL226" s="286"/>
      <c r="FM226" s="286"/>
      <c r="FN226" s="286"/>
      <c r="FO226" s="286"/>
      <c r="FP226" s="286"/>
      <c r="FQ226" s="286"/>
      <c r="FR226" s="286"/>
      <c r="FS226" s="286"/>
    </row>
    <row r="227" spans="1:175">
      <c r="A227" s="212" t="s">
        <v>3159</v>
      </c>
      <c r="B227" s="212" t="s">
        <v>3160</v>
      </c>
      <c r="C227" s="212" t="s">
        <v>3172</v>
      </c>
      <c r="D227" s="212" t="s">
        <v>3233</v>
      </c>
      <c r="E227" s="212" t="s">
        <v>3388</v>
      </c>
      <c r="F227" s="278">
        <v>511</v>
      </c>
      <c r="G227" s="278">
        <v>37772</v>
      </c>
      <c r="H227" s="287">
        <f t="shared" si="3"/>
        <v>7.3573017049666412</v>
      </c>
      <c r="I227" s="286">
        <v>18</v>
      </c>
      <c r="J227" s="286">
        <v>2779</v>
      </c>
      <c r="K227" s="286">
        <v>2018</v>
      </c>
      <c r="L227" s="286">
        <v>761</v>
      </c>
      <c r="M227" s="286">
        <v>2746</v>
      </c>
      <c r="N227" s="286">
        <v>1995</v>
      </c>
      <c r="O227" s="286">
        <v>751</v>
      </c>
      <c r="P227" s="286">
        <v>18</v>
      </c>
      <c r="Q227" s="286">
        <v>2779</v>
      </c>
      <c r="R227" s="286">
        <v>2018</v>
      </c>
      <c r="S227" s="286">
        <v>761</v>
      </c>
      <c r="T227" s="286">
        <v>2746</v>
      </c>
      <c r="U227" s="286">
        <v>1995</v>
      </c>
      <c r="V227" s="286">
        <v>751</v>
      </c>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c r="CZ227" s="286"/>
      <c r="DA227" s="286"/>
      <c r="DB227" s="286"/>
      <c r="DC227" s="286"/>
      <c r="DD227" s="286"/>
      <c r="DE227" s="286"/>
      <c r="DF227" s="286"/>
      <c r="DG227" s="286"/>
      <c r="DH227" s="286"/>
      <c r="DI227" s="286"/>
      <c r="DJ227" s="286"/>
      <c r="DK227" s="286"/>
      <c r="DL227" s="286"/>
      <c r="DM227" s="286"/>
      <c r="DN227" s="286"/>
      <c r="DO227" s="286"/>
      <c r="DP227" s="286"/>
      <c r="DQ227" s="286"/>
      <c r="DR227" s="286"/>
      <c r="DS227" s="286"/>
      <c r="DT227" s="286"/>
      <c r="DU227" s="286"/>
      <c r="DV227" s="286"/>
      <c r="DW227" s="286"/>
      <c r="DX227" s="286"/>
      <c r="DY227" s="286"/>
      <c r="DZ227" s="286"/>
      <c r="EA227" s="286"/>
      <c r="EB227" s="286"/>
      <c r="EC227" s="286"/>
      <c r="ED227" s="286"/>
      <c r="EE227" s="286"/>
      <c r="EF227" s="286"/>
      <c r="EG227" s="286"/>
      <c r="EH227" s="286"/>
      <c r="EI227" s="286"/>
      <c r="EJ227" s="286"/>
      <c r="EK227" s="286"/>
      <c r="EL227" s="286"/>
      <c r="EM227" s="286"/>
      <c r="EN227" s="286"/>
      <c r="EO227" s="286"/>
      <c r="EP227" s="286"/>
      <c r="EQ227" s="286"/>
      <c r="ER227" s="286"/>
      <c r="ES227" s="286"/>
      <c r="ET227" s="286"/>
      <c r="EU227" s="286"/>
      <c r="EV227" s="286"/>
      <c r="EW227" s="286"/>
      <c r="EX227" s="286"/>
      <c r="EY227" s="286"/>
      <c r="EZ227" s="286"/>
      <c r="FA227" s="286"/>
      <c r="FB227" s="286"/>
      <c r="FC227" s="286"/>
      <c r="FD227" s="286"/>
      <c r="FE227" s="286"/>
      <c r="FF227" s="286"/>
      <c r="FG227" s="286"/>
      <c r="FH227" s="286"/>
      <c r="FI227" s="286"/>
      <c r="FJ227" s="286"/>
      <c r="FK227" s="286"/>
      <c r="FL227" s="286"/>
      <c r="FM227" s="286"/>
      <c r="FN227" s="286"/>
      <c r="FO227" s="286"/>
      <c r="FP227" s="286"/>
      <c r="FQ227" s="286"/>
      <c r="FR227" s="286"/>
      <c r="FS227" s="286"/>
    </row>
    <row r="228" spans="1:175">
      <c r="A228" s="212" t="s">
        <v>3159</v>
      </c>
      <c r="B228" s="212" t="s">
        <v>3160</v>
      </c>
      <c r="C228" s="212" t="s">
        <v>3172</v>
      </c>
      <c r="D228" s="212" t="s">
        <v>3233</v>
      </c>
      <c r="E228" s="212" t="s">
        <v>3389</v>
      </c>
      <c r="F228" s="278">
        <v>1321</v>
      </c>
      <c r="G228" s="278">
        <v>33154</v>
      </c>
      <c r="H228" s="287">
        <f t="shared" si="3"/>
        <v>4.2528804970742593</v>
      </c>
      <c r="I228" s="286">
        <v>42</v>
      </c>
      <c r="J228" s="286">
        <v>1410</v>
      </c>
      <c r="K228" s="286">
        <v>1117</v>
      </c>
      <c r="L228" s="286">
        <v>293</v>
      </c>
      <c r="M228" s="286">
        <v>1342</v>
      </c>
      <c r="N228" s="286">
        <v>1062</v>
      </c>
      <c r="O228" s="286">
        <v>280</v>
      </c>
      <c r="P228" s="286">
        <v>42</v>
      </c>
      <c r="Q228" s="286">
        <v>1410</v>
      </c>
      <c r="R228" s="286">
        <v>1117</v>
      </c>
      <c r="S228" s="286">
        <v>293</v>
      </c>
      <c r="T228" s="286">
        <v>1342</v>
      </c>
      <c r="U228" s="286">
        <v>1062</v>
      </c>
      <c r="V228" s="286">
        <v>280</v>
      </c>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6"/>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c r="DV228" s="286"/>
      <c r="DW228" s="286"/>
      <c r="DX228" s="286"/>
      <c r="DY228" s="286"/>
      <c r="DZ228" s="286"/>
      <c r="EA228" s="286"/>
      <c r="EB228" s="286"/>
      <c r="EC228" s="286"/>
      <c r="ED228" s="286"/>
      <c r="EE228" s="286"/>
      <c r="EF228" s="286"/>
      <c r="EG228" s="286"/>
      <c r="EH228" s="286"/>
      <c r="EI228" s="286"/>
      <c r="EJ228" s="286"/>
      <c r="EK228" s="286"/>
      <c r="EL228" s="286"/>
      <c r="EM228" s="286"/>
      <c r="EN228" s="286"/>
      <c r="EO228" s="286"/>
      <c r="EP228" s="286"/>
      <c r="EQ228" s="286"/>
      <c r="ER228" s="286"/>
      <c r="ES228" s="286"/>
      <c r="ET228" s="286"/>
      <c r="EU228" s="286"/>
      <c r="EV228" s="286"/>
      <c r="EW228" s="286"/>
      <c r="EX228" s="286"/>
      <c r="EY228" s="286"/>
      <c r="EZ228" s="286"/>
      <c r="FA228" s="286"/>
      <c r="FB228" s="286"/>
      <c r="FC228" s="286"/>
      <c r="FD228" s="286"/>
      <c r="FE228" s="286"/>
      <c r="FF228" s="286"/>
      <c r="FG228" s="286"/>
      <c r="FH228" s="286"/>
      <c r="FI228" s="286"/>
      <c r="FJ228" s="286"/>
      <c r="FK228" s="286"/>
      <c r="FL228" s="286"/>
      <c r="FM228" s="286"/>
      <c r="FN228" s="286"/>
      <c r="FO228" s="286"/>
      <c r="FP228" s="286"/>
      <c r="FQ228" s="286"/>
      <c r="FR228" s="286"/>
      <c r="FS228" s="286"/>
    </row>
    <row r="229" spans="1:175">
      <c r="A229" s="212" t="s">
        <v>3159</v>
      </c>
      <c r="B229" s="212" t="s">
        <v>3160</v>
      </c>
      <c r="C229" s="212" t="s">
        <v>3172</v>
      </c>
      <c r="D229" s="212" t="s">
        <v>3233</v>
      </c>
      <c r="E229" s="212" t="s">
        <v>3390</v>
      </c>
      <c r="F229" s="278">
        <v>3043</v>
      </c>
      <c r="G229" s="278">
        <v>69711</v>
      </c>
      <c r="H229" s="287">
        <f t="shared" si="3"/>
        <v>3.8430089942763694</v>
      </c>
      <c r="I229" s="286">
        <v>81</v>
      </c>
      <c r="J229" s="286">
        <v>2679</v>
      </c>
      <c r="K229" s="286">
        <v>1958</v>
      </c>
      <c r="L229" s="286">
        <v>721</v>
      </c>
      <c r="M229" s="286">
        <v>2519</v>
      </c>
      <c r="N229" s="286">
        <v>1833</v>
      </c>
      <c r="O229" s="286">
        <v>686</v>
      </c>
      <c r="P229" s="286">
        <v>81</v>
      </c>
      <c r="Q229" s="286">
        <v>2679</v>
      </c>
      <c r="R229" s="286">
        <v>1958</v>
      </c>
      <c r="S229" s="286">
        <v>721</v>
      </c>
      <c r="T229" s="286">
        <v>2519</v>
      </c>
      <c r="U229" s="286">
        <v>1833</v>
      </c>
      <c r="V229" s="286">
        <v>686</v>
      </c>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c r="CG229" s="286"/>
      <c r="CH229" s="286"/>
      <c r="CI229" s="286"/>
      <c r="CJ229" s="286"/>
      <c r="CK229" s="286"/>
      <c r="CL229" s="286"/>
      <c r="CM229" s="286"/>
      <c r="CN229" s="286"/>
      <c r="CO229" s="286"/>
      <c r="CP229" s="286"/>
      <c r="CQ229" s="286"/>
      <c r="CR229" s="286"/>
      <c r="CS229" s="286"/>
      <c r="CT229" s="286"/>
      <c r="CU229" s="286"/>
      <c r="CV229" s="286"/>
      <c r="CW229" s="286"/>
      <c r="CX229" s="286"/>
      <c r="CY229" s="286"/>
      <c r="CZ229" s="286"/>
      <c r="DA229" s="286"/>
      <c r="DB229" s="286"/>
      <c r="DC229" s="286"/>
      <c r="DD229" s="286"/>
      <c r="DE229" s="286"/>
      <c r="DF229" s="286"/>
      <c r="DG229" s="286"/>
      <c r="DH229" s="286"/>
      <c r="DI229" s="286"/>
      <c r="DJ229" s="286"/>
      <c r="DK229" s="286"/>
      <c r="DL229" s="286"/>
      <c r="DM229" s="286"/>
      <c r="DN229" s="286"/>
      <c r="DO229" s="286"/>
      <c r="DP229" s="286"/>
      <c r="DQ229" s="286"/>
      <c r="DR229" s="286"/>
      <c r="DS229" s="286"/>
      <c r="DT229" s="286"/>
      <c r="DU229" s="286"/>
      <c r="DV229" s="286"/>
      <c r="DW229" s="286"/>
      <c r="DX229" s="286"/>
      <c r="DY229" s="286"/>
      <c r="DZ229" s="286"/>
      <c r="EA229" s="286"/>
      <c r="EB229" s="286"/>
      <c r="EC229" s="286"/>
      <c r="ED229" s="286"/>
      <c r="EE229" s="286"/>
      <c r="EF229" s="286"/>
      <c r="EG229" s="286"/>
      <c r="EH229" s="286"/>
      <c r="EI229" s="286"/>
      <c r="EJ229" s="286"/>
      <c r="EK229" s="286"/>
      <c r="EL229" s="286"/>
      <c r="EM229" s="286"/>
      <c r="EN229" s="286"/>
      <c r="EO229" s="286"/>
      <c r="EP229" s="286"/>
      <c r="EQ229" s="286"/>
      <c r="ER229" s="286"/>
      <c r="ES229" s="286"/>
      <c r="ET229" s="286"/>
      <c r="EU229" s="286"/>
      <c r="EV229" s="286"/>
      <c r="EW229" s="286"/>
      <c r="EX229" s="286"/>
      <c r="EY229" s="286"/>
      <c r="EZ229" s="286"/>
      <c r="FA229" s="286"/>
      <c r="FB229" s="286"/>
      <c r="FC229" s="286"/>
      <c r="FD229" s="286"/>
      <c r="FE229" s="286"/>
      <c r="FF229" s="286"/>
      <c r="FG229" s="286"/>
      <c r="FH229" s="286"/>
      <c r="FI229" s="286"/>
      <c r="FJ229" s="286"/>
      <c r="FK229" s="286"/>
      <c r="FL229" s="286"/>
      <c r="FM229" s="286"/>
      <c r="FN229" s="286"/>
      <c r="FO229" s="286"/>
      <c r="FP229" s="286"/>
      <c r="FQ229" s="286"/>
      <c r="FR229" s="286"/>
      <c r="FS229" s="286"/>
    </row>
    <row r="230" spans="1:175">
      <c r="A230" s="212" t="s">
        <v>3159</v>
      </c>
      <c r="B230" s="212" t="s">
        <v>3160</v>
      </c>
      <c r="C230" s="212" t="s">
        <v>3172</v>
      </c>
      <c r="D230" s="212" t="s">
        <v>3233</v>
      </c>
      <c r="E230" s="212" t="s">
        <v>3391</v>
      </c>
      <c r="F230" s="278">
        <v>2387</v>
      </c>
      <c r="G230" s="278">
        <v>68290</v>
      </c>
      <c r="H230" s="287">
        <f t="shared" si="3"/>
        <v>1.3764826475325815</v>
      </c>
      <c r="I230" s="286">
        <v>60</v>
      </c>
      <c r="J230" s="286">
        <v>940</v>
      </c>
      <c r="K230" s="286">
        <v>529</v>
      </c>
      <c r="L230" s="286">
        <v>411</v>
      </c>
      <c r="M230" s="286">
        <v>830</v>
      </c>
      <c r="N230" s="286">
        <v>455</v>
      </c>
      <c r="O230" s="286">
        <v>375</v>
      </c>
      <c r="P230" s="286">
        <v>60</v>
      </c>
      <c r="Q230" s="286">
        <v>940</v>
      </c>
      <c r="R230" s="286">
        <v>529</v>
      </c>
      <c r="S230" s="286">
        <v>411</v>
      </c>
      <c r="T230" s="286">
        <v>830</v>
      </c>
      <c r="U230" s="286">
        <v>455</v>
      </c>
      <c r="V230" s="286">
        <v>375</v>
      </c>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c r="FL230" s="286"/>
      <c r="FM230" s="286"/>
      <c r="FN230" s="286"/>
      <c r="FO230" s="286"/>
      <c r="FP230" s="286"/>
      <c r="FQ230" s="286"/>
      <c r="FR230" s="286"/>
      <c r="FS230" s="286"/>
    </row>
    <row r="231" spans="1:175">
      <c r="A231" s="212" t="s">
        <v>3159</v>
      </c>
      <c r="B231" s="212" t="s">
        <v>3160</v>
      </c>
      <c r="C231" s="212" t="s">
        <v>3172</v>
      </c>
      <c r="D231" s="212" t="s">
        <v>3233</v>
      </c>
      <c r="E231" s="212" t="s">
        <v>3392</v>
      </c>
      <c r="F231" s="278">
        <v>969</v>
      </c>
      <c r="G231" s="278">
        <v>25004</v>
      </c>
      <c r="H231" s="287">
        <f t="shared" si="3"/>
        <v>0.5879059350503919</v>
      </c>
      <c r="I231" s="286">
        <v>4</v>
      </c>
      <c r="J231" s="286">
        <v>147</v>
      </c>
      <c r="K231" s="286">
        <v>134</v>
      </c>
      <c r="L231" s="286">
        <v>13</v>
      </c>
      <c r="M231" s="286">
        <v>141</v>
      </c>
      <c r="N231" s="286">
        <v>129</v>
      </c>
      <c r="O231" s="286">
        <v>12</v>
      </c>
      <c r="P231" s="286">
        <v>4</v>
      </c>
      <c r="Q231" s="286">
        <v>147</v>
      </c>
      <c r="R231" s="286">
        <v>134</v>
      </c>
      <c r="S231" s="286">
        <v>13</v>
      </c>
      <c r="T231" s="286">
        <v>141</v>
      </c>
      <c r="U231" s="286">
        <v>129</v>
      </c>
      <c r="V231" s="286">
        <v>12</v>
      </c>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c r="DV231" s="286"/>
      <c r="DW231" s="286"/>
      <c r="DX231" s="286"/>
      <c r="DY231" s="286"/>
      <c r="DZ231" s="286"/>
      <c r="EA231" s="286"/>
      <c r="EB231" s="286"/>
      <c r="EC231" s="286"/>
      <c r="ED231" s="286"/>
      <c r="EE231" s="286"/>
      <c r="EF231" s="286"/>
      <c r="EG231" s="286"/>
      <c r="EH231" s="286"/>
      <c r="EI231" s="286"/>
      <c r="EJ231" s="286"/>
      <c r="EK231" s="286"/>
      <c r="EL231" s="286"/>
      <c r="EM231" s="286"/>
      <c r="EN231" s="286"/>
      <c r="EO231" s="286"/>
      <c r="EP231" s="286"/>
      <c r="EQ231" s="286"/>
      <c r="ER231" s="286"/>
      <c r="ES231" s="286"/>
      <c r="ET231" s="286"/>
      <c r="EU231" s="286"/>
      <c r="EV231" s="286"/>
      <c r="EW231" s="286"/>
      <c r="EX231" s="286"/>
      <c r="EY231" s="286"/>
      <c r="EZ231" s="286"/>
      <c r="FA231" s="286"/>
      <c r="FB231" s="286"/>
      <c r="FC231" s="286"/>
      <c r="FD231" s="286"/>
      <c r="FE231" s="286"/>
      <c r="FF231" s="286"/>
      <c r="FG231" s="286"/>
      <c r="FH231" s="286"/>
      <c r="FI231" s="286"/>
      <c r="FJ231" s="286"/>
      <c r="FK231" s="286"/>
      <c r="FL231" s="286"/>
      <c r="FM231" s="286"/>
      <c r="FN231" s="286"/>
      <c r="FO231" s="286"/>
      <c r="FP231" s="286"/>
      <c r="FQ231" s="286"/>
      <c r="FR231" s="286"/>
      <c r="FS231" s="286"/>
    </row>
    <row r="232" spans="1:175">
      <c r="A232" s="212" t="s">
        <v>3159</v>
      </c>
      <c r="B232" s="212" t="s">
        <v>3160</v>
      </c>
      <c r="C232" s="212" t="s">
        <v>3172</v>
      </c>
      <c r="D232" s="212" t="s">
        <v>3233</v>
      </c>
      <c r="E232" s="212" t="s">
        <v>3393</v>
      </c>
      <c r="F232" s="278">
        <v>51</v>
      </c>
      <c r="G232" s="278">
        <v>8454</v>
      </c>
      <c r="H232" s="287">
        <f t="shared" si="3"/>
        <v>0.14194464158977999</v>
      </c>
      <c r="I232" s="286">
        <v>1</v>
      </c>
      <c r="J232" s="286">
        <v>12</v>
      </c>
      <c r="K232" s="286">
        <v>8</v>
      </c>
      <c r="L232" s="286">
        <v>4</v>
      </c>
      <c r="M232" s="286">
        <v>10</v>
      </c>
      <c r="N232" s="286">
        <v>6</v>
      </c>
      <c r="O232" s="286">
        <v>4</v>
      </c>
      <c r="P232" s="286">
        <v>1</v>
      </c>
      <c r="Q232" s="286">
        <v>12</v>
      </c>
      <c r="R232" s="286">
        <v>8</v>
      </c>
      <c r="S232" s="286">
        <v>4</v>
      </c>
      <c r="T232" s="286">
        <v>10</v>
      </c>
      <c r="U232" s="286">
        <v>6</v>
      </c>
      <c r="V232" s="286">
        <v>4</v>
      </c>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c r="CZ232" s="286"/>
      <c r="DA232" s="286"/>
      <c r="DB232" s="286"/>
      <c r="DC232" s="286"/>
      <c r="DD232" s="286"/>
      <c r="DE232" s="286"/>
      <c r="DF232" s="286"/>
      <c r="DG232" s="286"/>
      <c r="DH232" s="286"/>
      <c r="DI232" s="286"/>
      <c r="DJ232" s="286"/>
      <c r="DK232" s="286"/>
      <c r="DL232" s="286"/>
      <c r="DM232" s="286"/>
      <c r="DN232" s="286"/>
      <c r="DO232" s="286"/>
      <c r="DP232" s="286"/>
      <c r="DQ232" s="286"/>
      <c r="DR232" s="286"/>
      <c r="DS232" s="286"/>
      <c r="DT232" s="286"/>
      <c r="DU232" s="286"/>
      <c r="DV232" s="286"/>
      <c r="DW232" s="286"/>
      <c r="DX232" s="286"/>
      <c r="DY232" s="286"/>
      <c r="DZ232" s="286"/>
      <c r="EA232" s="286"/>
      <c r="EB232" s="286"/>
      <c r="EC232" s="286"/>
      <c r="ED232" s="286"/>
      <c r="EE232" s="286"/>
      <c r="EF232" s="286"/>
      <c r="EG232" s="286"/>
      <c r="EH232" s="286"/>
      <c r="EI232" s="286"/>
      <c r="EJ232" s="286"/>
      <c r="EK232" s="286"/>
      <c r="EL232" s="286"/>
      <c r="EM232" s="286"/>
      <c r="EN232" s="286"/>
      <c r="EO232" s="286"/>
      <c r="EP232" s="286"/>
      <c r="EQ232" s="286"/>
      <c r="ER232" s="286"/>
      <c r="ES232" s="286"/>
      <c r="ET232" s="286"/>
      <c r="EU232" s="286"/>
      <c r="EV232" s="286"/>
      <c r="EW232" s="286"/>
      <c r="EX232" s="286"/>
      <c r="EY232" s="286"/>
      <c r="EZ232" s="286"/>
      <c r="FA232" s="286"/>
      <c r="FB232" s="286"/>
      <c r="FC232" s="286"/>
      <c r="FD232" s="286"/>
      <c r="FE232" s="286"/>
      <c r="FF232" s="286"/>
      <c r="FG232" s="286"/>
      <c r="FH232" s="286"/>
      <c r="FI232" s="286"/>
      <c r="FJ232" s="286"/>
      <c r="FK232" s="286"/>
      <c r="FL232" s="286"/>
      <c r="FM232" s="286"/>
      <c r="FN232" s="286"/>
      <c r="FO232" s="286"/>
      <c r="FP232" s="286"/>
      <c r="FQ232" s="286"/>
      <c r="FR232" s="286"/>
      <c r="FS232" s="286"/>
    </row>
    <row r="233" spans="1:175">
      <c r="A233" s="212" t="s">
        <v>3159</v>
      </c>
      <c r="B233" s="212" t="s">
        <v>3160</v>
      </c>
      <c r="C233" s="212" t="s">
        <v>3170</v>
      </c>
      <c r="D233" s="212" t="s">
        <v>3233</v>
      </c>
      <c r="E233" s="212" t="s">
        <v>3394</v>
      </c>
      <c r="F233" s="278">
        <v>7498</v>
      </c>
      <c r="G233" s="278">
        <v>428269</v>
      </c>
      <c r="H233" s="287">
        <f t="shared" si="3"/>
        <v>2.1850752681141992</v>
      </c>
      <c r="I233" s="286">
        <v>215</v>
      </c>
      <c r="J233" s="286">
        <v>9358</v>
      </c>
      <c r="K233" s="286">
        <v>6390</v>
      </c>
      <c r="L233" s="286">
        <v>2968</v>
      </c>
      <c r="M233" s="286">
        <v>9045</v>
      </c>
      <c r="N233" s="286">
        <v>6151</v>
      </c>
      <c r="O233" s="286">
        <v>2894</v>
      </c>
      <c r="P233" s="286">
        <v>215</v>
      </c>
      <c r="Q233" s="286">
        <v>9358</v>
      </c>
      <c r="R233" s="286">
        <v>6390</v>
      </c>
      <c r="S233" s="286">
        <v>2968</v>
      </c>
      <c r="T233" s="286">
        <v>9045</v>
      </c>
      <c r="U233" s="286">
        <v>6151</v>
      </c>
      <c r="V233" s="286">
        <v>2894</v>
      </c>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6"/>
      <c r="EJ233" s="286"/>
      <c r="EK233" s="286"/>
      <c r="EL233" s="286"/>
      <c r="EM233" s="286"/>
      <c r="EN233" s="286"/>
      <c r="EO233" s="286"/>
      <c r="EP233" s="286"/>
      <c r="EQ233" s="286"/>
      <c r="ER233" s="286"/>
      <c r="ES233" s="286"/>
      <c r="ET233" s="286"/>
      <c r="EU233" s="286"/>
      <c r="EV233" s="286"/>
      <c r="EW233" s="286"/>
      <c r="EX233" s="286"/>
      <c r="EY233" s="286"/>
      <c r="EZ233" s="286"/>
      <c r="FA233" s="286"/>
      <c r="FB233" s="286"/>
      <c r="FC233" s="286"/>
      <c r="FD233" s="286"/>
      <c r="FE233" s="286"/>
      <c r="FF233" s="286"/>
      <c r="FG233" s="286"/>
      <c r="FH233" s="286"/>
      <c r="FI233" s="286"/>
      <c r="FJ233" s="286"/>
      <c r="FK233" s="286"/>
      <c r="FL233" s="286"/>
      <c r="FM233" s="286"/>
      <c r="FN233" s="286"/>
      <c r="FO233" s="286"/>
      <c r="FP233" s="286"/>
      <c r="FQ233" s="286"/>
      <c r="FR233" s="286"/>
      <c r="FS233" s="286"/>
    </row>
    <row r="234" spans="1:175">
      <c r="A234" s="212" t="s">
        <v>3159</v>
      </c>
      <c r="B234" s="212" t="s">
        <v>3160</v>
      </c>
      <c r="C234" s="212" t="s">
        <v>3172</v>
      </c>
      <c r="D234" s="212" t="s">
        <v>3233</v>
      </c>
      <c r="E234" s="212" t="s">
        <v>3395</v>
      </c>
      <c r="F234" s="278">
        <v>183</v>
      </c>
      <c r="G234" s="278">
        <v>9542</v>
      </c>
      <c r="H234" s="287">
        <f t="shared" si="3"/>
        <v>2.8924753720394047</v>
      </c>
      <c r="I234" s="286">
        <v>5</v>
      </c>
      <c r="J234" s="286">
        <v>276</v>
      </c>
      <c r="K234" s="286">
        <v>208</v>
      </c>
      <c r="L234" s="286">
        <v>68</v>
      </c>
      <c r="M234" s="286">
        <v>257</v>
      </c>
      <c r="N234" s="286">
        <v>192</v>
      </c>
      <c r="O234" s="286">
        <v>65</v>
      </c>
      <c r="P234" s="286">
        <v>5</v>
      </c>
      <c r="Q234" s="286">
        <v>276</v>
      </c>
      <c r="R234" s="286">
        <v>208</v>
      </c>
      <c r="S234" s="286">
        <v>68</v>
      </c>
      <c r="T234" s="286">
        <v>257</v>
      </c>
      <c r="U234" s="286">
        <v>192</v>
      </c>
      <c r="V234" s="286">
        <v>65</v>
      </c>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6"/>
      <c r="CX234" s="286"/>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6"/>
      <c r="DT234" s="286"/>
      <c r="DU234" s="286"/>
      <c r="DV234" s="286"/>
      <c r="DW234" s="286"/>
      <c r="DX234" s="286"/>
      <c r="DY234" s="286"/>
      <c r="DZ234" s="286"/>
      <c r="EA234" s="286"/>
      <c r="EB234" s="286"/>
      <c r="EC234" s="286"/>
      <c r="ED234" s="286"/>
      <c r="EE234" s="286"/>
      <c r="EF234" s="286"/>
      <c r="EG234" s="286"/>
      <c r="EH234" s="286"/>
      <c r="EI234" s="286"/>
      <c r="EJ234" s="286"/>
      <c r="EK234" s="286"/>
      <c r="EL234" s="286"/>
      <c r="EM234" s="286"/>
      <c r="EN234" s="286"/>
      <c r="EO234" s="286"/>
      <c r="EP234" s="286"/>
      <c r="EQ234" s="286"/>
      <c r="ER234" s="286"/>
      <c r="ES234" s="286"/>
      <c r="ET234" s="286"/>
      <c r="EU234" s="286"/>
      <c r="EV234" s="286"/>
      <c r="EW234" s="286"/>
      <c r="EX234" s="286"/>
      <c r="EY234" s="286"/>
      <c r="EZ234" s="286"/>
      <c r="FA234" s="286"/>
      <c r="FB234" s="286"/>
      <c r="FC234" s="286"/>
      <c r="FD234" s="286"/>
      <c r="FE234" s="286"/>
      <c r="FF234" s="286"/>
      <c r="FG234" s="286"/>
      <c r="FH234" s="286"/>
      <c r="FI234" s="286"/>
      <c r="FJ234" s="286"/>
      <c r="FK234" s="286"/>
      <c r="FL234" s="286"/>
      <c r="FM234" s="286"/>
      <c r="FN234" s="286"/>
      <c r="FO234" s="286"/>
      <c r="FP234" s="286"/>
      <c r="FQ234" s="286"/>
      <c r="FR234" s="286"/>
      <c r="FS234" s="286"/>
    </row>
    <row r="235" spans="1:175">
      <c r="A235" s="212" t="s">
        <v>3159</v>
      </c>
      <c r="B235" s="212" t="s">
        <v>3160</v>
      </c>
      <c r="C235" s="212" t="s">
        <v>3172</v>
      </c>
      <c r="D235" s="212" t="s">
        <v>3233</v>
      </c>
      <c r="E235" s="212" t="s">
        <v>3396</v>
      </c>
      <c r="F235" s="278">
        <v>653</v>
      </c>
      <c r="G235" s="278">
        <v>109608</v>
      </c>
      <c r="H235" s="287">
        <f t="shared" si="3"/>
        <v>2.9450405079921174</v>
      </c>
      <c r="I235" s="286">
        <v>22</v>
      </c>
      <c r="J235" s="286">
        <v>3228</v>
      </c>
      <c r="K235" s="286">
        <v>2752</v>
      </c>
      <c r="L235" s="286">
        <v>476</v>
      </c>
      <c r="M235" s="286">
        <v>3210</v>
      </c>
      <c r="N235" s="286">
        <v>2738</v>
      </c>
      <c r="O235" s="286">
        <v>472</v>
      </c>
      <c r="P235" s="286">
        <v>22</v>
      </c>
      <c r="Q235" s="286">
        <v>3228</v>
      </c>
      <c r="R235" s="286">
        <v>2752</v>
      </c>
      <c r="S235" s="286">
        <v>476</v>
      </c>
      <c r="T235" s="286">
        <v>3210</v>
      </c>
      <c r="U235" s="286">
        <v>2738</v>
      </c>
      <c r="V235" s="286">
        <v>472</v>
      </c>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86"/>
      <c r="CX235" s="286"/>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86"/>
      <c r="DT235" s="286"/>
      <c r="DU235" s="286"/>
      <c r="DV235" s="286"/>
      <c r="DW235" s="286"/>
      <c r="DX235" s="286"/>
      <c r="DY235" s="286"/>
      <c r="DZ235" s="286"/>
      <c r="EA235" s="286"/>
      <c r="EB235" s="286"/>
      <c r="EC235" s="286"/>
      <c r="ED235" s="286"/>
      <c r="EE235" s="286"/>
      <c r="EF235" s="286"/>
      <c r="EG235" s="286"/>
      <c r="EH235" s="286"/>
      <c r="EI235" s="286"/>
      <c r="EJ235" s="286"/>
      <c r="EK235" s="286"/>
      <c r="EL235" s="286"/>
      <c r="EM235" s="286"/>
      <c r="EN235" s="286"/>
      <c r="EO235" s="286"/>
      <c r="EP235" s="286"/>
      <c r="EQ235" s="286"/>
      <c r="ER235" s="286"/>
      <c r="ES235" s="286"/>
      <c r="ET235" s="286"/>
      <c r="EU235" s="286"/>
      <c r="EV235" s="286"/>
      <c r="EW235" s="286"/>
      <c r="EX235" s="286"/>
      <c r="EY235" s="286"/>
      <c r="EZ235" s="286"/>
      <c r="FA235" s="286"/>
      <c r="FB235" s="286"/>
      <c r="FC235" s="286"/>
      <c r="FD235" s="286"/>
      <c r="FE235" s="286"/>
      <c r="FF235" s="286"/>
      <c r="FG235" s="286"/>
      <c r="FH235" s="286"/>
      <c r="FI235" s="286"/>
      <c r="FJ235" s="286"/>
      <c r="FK235" s="286"/>
      <c r="FL235" s="286"/>
      <c r="FM235" s="286"/>
      <c r="FN235" s="286"/>
      <c r="FO235" s="286"/>
      <c r="FP235" s="286"/>
      <c r="FQ235" s="286"/>
      <c r="FR235" s="286"/>
      <c r="FS235" s="286"/>
    </row>
    <row r="236" spans="1:175">
      <c r="A236" s="212" t="s">
        <v>3159</v>
      </c>
      <c r="B236" s="212" t="s">
        <v>3160</v>
      </c>
      <c r="C236" s="212" t="s">
        <v>3172</v>
      </c>
      <c r="D236" s="212" t="s">
        <v>3233</v>
      </c>
      <c r="E236" s="212" t="s">
        <v>3397</v>
      </c>
      <c r="F236" s="278">
        <v>1607</v>
      </c>
      <c r="G236" s="278">
        <v>87777</v>
      </c>
      <c r="H236" s="287">
        <f t="shared" si="3"/>
        <v>0.70633537259190904</v>
      </c>
      <c r="I236" s="286">
        <v>28</v>
      </c>
      <c r="J236" s="286">
        <v>620</v>
      </c>
      <c r="K236" s="286">
        <v>354</v>
      </c>
      <c r="L236" s="286">
        <v>266</v>
      </c>
      <c r="M236" s="286">
        <v>588</v>
      </c>
      <c r="N236" s="286">
        <v>328</v>
      </c>
      <c r="O236" s="286">
        <v>260</v>
      </c>
      <c r="P236" s="286">
        <v>28</v>
      </c>
      <c r="Q236" s="286">
        <v>620</v>
      </c>
      <c r="R236" s="286">
        <v>354</v>
      </c>
      <c r="S236" s="286">
        <v>266</v>
      </c>
      <c r="T236" s="286">
        <v>588</v>
      </c>
      <c r="U236" s="286">
        <v>328</v>
      </c>
      <c r="V236" s="286">
        <v>260</v>
      </c>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c r="CG236" s="286"/>
      <c r="CH236" s="286"/>
      <c r="CI236" s="286"/>
      <c r="CJ236" s="286"/>
      <c r="CK236" s="286"/>
      <c r="CL236" s="286"/>
      <c r="CM236" s="286"/>
      <c r="CN236" s="286"/>
      <c r="CO236" s="286"/>
      <c r="CP236" s="286"/>
      <c r="CQ236" s="286"/>
      <c r="CR236" s="286"/>
      <c r="CS236" s="286"/>
      <c r="CT236" s="286"/>
      <c r="CU236" s="286"/>
      <c r="CV236" s="286"/>
      <c r="CW236" s="286"/>
      <c r="CX236" s="286"/>
      <c r="CY236" s="286"/>
      <c r="CZ236" s="286"/>
      <c r="DA236" s="286"/>
      <c r="DB236" s="286"/>
      <c r="DC236" s="286"/>
      <c r="DD236" s="286"/>
      <c r="DE236" s="286"/>
      <c r="DF236" s="286"/>
      <c r="DG236" s="286"/>
      <c r="DH236" s="286"/>
      <c r="DI236" s="286"/>
      <c r="DJ236" s="286"/>
      <c r="DK236" s="286"/>
      <c r="DL236" s="286"/>
      <c r="DM236" s="286"/>
      <c r="DN236" s="286"/>
      <c r="DO236" s="286"/>
      <c r="DP236" s="286"/>
      <c r="DQ236" s="286"/>
      <c r="DR236" s="286"/>
      <c r="DS236" s="286"/>
      <c r="DT236" s="286"/>
      <c r="DU236" s="286"/>
      <c r="DV236" s="286"/>
      <c r="DW236" s="286"/>
      <c r="DX236" s="286"/>
      <c r="DY236" s="286"/>
      <c r="DZ236" s="286"/>
      <c r="EA236" s="286"/>
      <c r="EB236" s="286"/>
      <c r="EC236" s="286"/>
      <c r="ED236" s="286"/>
      <c r="EE236" s="286"/>
      <c r="EF236" s="286"/>
      <c r="EG236" s="286"/>
      <c r="EH236" s="286"/>
      <c r="EI236" s="286"/>
      <c r="EJ236" s="286"/>
      <c r="EK236" s="286"/>
      <c r="EL236" s="286"/>
      <c r="EM236" s="286"/>
      <c r="EN236" s="286"/>
      <c r="EO236" s="286"/>
      <c r="EP236" s="286"/>
      <c r="EQ236" s="286"/>
      <c r="ER236" s="286"/>
      <c r="ES236" s="286"/>
      <c r="ET236" s="286"/>
      <c r="EU236" s="286"/>
      <c r="EV236" s="286"/>
      <c r="EW236" s="286"/>
      <c r="EX236" s="286"/>
      <c r="EY236" s="286"/>
      <c r="EZ236" s="286"/>
      <c r="FA236" s="286"/>
      <c r="FB236" s="286"/>
      <c r="FC236" s="286"/>
      <c r="FD236" s="286"/>
      <c r="FE236" s="286"/>
      <c r="FF236" s="286"/>
      <c r="FG236" s="286"/>
      <c r="FH236" s="286"/>
      <c r="FI236" s="286"/>
      <c r="FJ236" s="286"/>
      <c r="FK236" s="286"/>
      <c r="FL236" s="286"/>
      <c r="FM236" s="286"/>
      <c r="FN236" s="286"/>
      <c r="FO236" s="286"/>
      <c r="FP236" s="286"/>
      <c r="FQ236" s="286"/>
      <c r="FR236" s="286"/>
      <c r="FS236" s="286"/>
    </row>
    <row r="237" spans="1:175">
      <c r="A237" s="212" t="s">
        <v>3159</v>
      </c>
      <c r="B237" s="212" t="s">
        <v>3160</v>
      </c>
      <c r="C237" s="212" t="s">
        <v>3172</v>
      </c>
      <c r="D237" s="212" t="s">
        <v>3233</v>
      </c>
      <c r="E237" s="212" t="s">
        <v>3398</v>
      </c>
      <c r="F237" s="278">
        <v>49</v>
      </c>
      <c r="G237" s="278">
        <v>4197</v>
      </c>
      <c r="H237" s="287">
        <f t="shared" si="3"/>
        <v>0</v>
      </c>
      <c r="I237" s="286">
        <v>0</v>
      </c>
      <c r="J237" s="286">
        <v>0</v>
      </c>
      <c r="K237" s="286">
        <v>0</v>
      </c>
      <c r="L237" s="286">
        <v>0</v>
      </c>
      <c r="M237" s="286">
        <v>0</v>
      </c>
      <c r="N237" s="286">
        <v>0</v>
      </c>
      <c r="O237" s="286">
        <v>0</v>
      </c>
      <c r="P237" s="286">
        <v>0</v>
      </c>
      <c r="Q237" s="286">
        <v>0</v>
      </c>
      <c r="R237" s="286">
        <v>0</v>
      </c>
      <c r="S237" s="286">
        <v>0</v>
      </c>
      <c r="T237" s="286">
        <v>0</v>
      </c>
      <c r="U237" s="286">
        <v>0</v>
      </c>
      <c r="V237" s="286">
        <v>0</v>
      </c>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6"/>
      <c r="EJ237" s="286"/>
      <c r="EK237" s="286"/>
      <c r="EL237" s="286"/>
      <c r="EM237" s="286"/>
      <c r="EN237" s="286"/>
      <c r="EO237" s="286"/>
      <c r="EP237" s="286"/>
      <c r="EQ237" s="286"/>
      <c r="ER237" s="286"/>
      <c r="ES237" s="286"/>
      <c r="ET237" s="286"/>
      <c r="EU237" s="286"/>
      <c r="EV237" s="286"/>
      <c r="EW237" s="286"/>
      <c r="EX237" s="286"/>
      <c r="EY237" s="286"/>
      <c r="EZ237" s="286"/>
      <c r="FA237" s="286"/>
      <c r="FB237" s="286"/>
      <c r="FC237" s="286"/>
      <c r="FD237" s="286"/>
      <c r="FE237" s="286"/>
      <c r="FF237" s="286"/>
      <c r="FG237" s="286"/>
      <c r="FH237" s="286"/>
      <c r="FI237" s="286"/>
      <c r="FJ237" s="286"/>
      <c r="FK237" s="286"/>
      <c r="FL237" s="286"/>
      <c r="FM237" s="286"/>
      <c r="FN237" s="286"/>
      <c r="FO237" s="286"/>
      <c r="FP237" s="286"/>
      <c r="FQ237" s="286"/>
      <c r="FR237" s="286"/>
      <c r="FS237" s="286"/>
    </row>
    <row r="238" spans="1:175">
      <c r="A238" s="212" t="s">
        <v>3159</v>
      </c>
      <c r="B238" s="212" t="s">
        <v>3160</v>
      </c>
      <c r="C238" s="212" t="s">
        <v>3172</v>
      </c>
      <c r="D238" s="212" t="s">
        <v>3233</v>
      </c>
      <c r="E238" s="212" t="s">
        <v>3399</v>
      </c>
      <c r="F238" s="278">
        <v>1914</v>
      </c>
      <c r="G238" s="278">
        <v>82209</v>
      </c>
      <c r="H238" s="287">
        <f t="shared" si="3"/>
        <v>2.4680995998005084</v>
      </c>
      <c r="I238" s="286">
        <v>59</v>
      </c>
      <c r="J238" s="286">
        <v>2029</v>
      </c>
      <c r="K238" s="286">
        <v>1162</v>
      </c>
      <c r="L238" s="286">
        <v>867</v>
      </c>
      <c r="M238" s="286">
        <v>1934</v>
      </c>
      <c r="N238" s="286">
        <v>1088</v>
      </c>
      <c r="O238" s="286">
        <v>846</v>
      </c>
      <c r="P238" s="286">
        <v>59</v>
      </c>
      <c r="Q238" s="286">
        <v>2029</v>
      </c>
      <c r="R238" s="286">
        <v>1162</v>
      </c>
      <c r="S238" s="286">
        <v>867</v>
      </c>
      <c r="T238" s="286">
        <v>1934</v>
      </c>
      <c r="U238" s="286">
        <v>1088</v>
      </c>
      <c r="V238" s="286">
        <v>846</v>
      </c>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c r="CG238" s="286"/>
      <c r="CH238" s="286"/>
      <c r="CI238" s="286"/>
      <c r="CJ238" s="286"/>
      <c r="CK238" s="286"/>
      <c r="CL238" s="286"/>
      <c r="CM238" s="286"/>
      <c r="CN238" s="286"/>
      <c r="CO238" s="286"/>
      <c r="CP238" s="286"/>
      <c r="CQ238" s="286"/>
      <c r="CR238" s="286"/>
      <c r="CS238" s="286"/>
      <c r="CT238" s="286"/>
      <c r="CU238" s="286"/>
      <c r="CV238" s="286"/>
      <c r="CW238" s="286"/>
      <c r="CX238" s="286"/>
      <c r="CY238" s="286"/>
      <c r="CZ238" s="286"/>
      <c r="DA238" s="286"/>
      <c r="DB238" s="286"/>
      <c r="DC238" s="286"/>
      <c r="DD238" s="286"/>
      <c r="DE238" s="286"/>
      <c r="DF238" s="286"/>
      <c r="DG238" s="286"/>
      <c r="DH238" s="286"/>
      <c r="DI238" s="286"/>
      <c r="DJ238" s="286"/>
      <c r="DK238" s="286"/>
      <c r="DL238" s="286"/>
      <c r="DM238" s="286"/>
      <c r="DN238" s="286"/>
      <c r="DO238" s="286"/>
      <c r="DP238" s="286"/>
      <c r="DQ238" s="286"/>
      <c r="DR238" s="286"/>
      <c r="DS238" s="286"/>
      <c r="DT238" s="286"/>
      <c r="DU238" s="286"/>
      <c r="DV238" s="286"/>
      <c r="DW238" s="286"/>
      <c r="DX238" s="286"/>
      <c r="DY238" s="286"/>
      <c r="DZ238" s="286"/>
      <c r="EA238" s="286"/>
      <c r="EB238" s="286"/>
      <c r="EC238" s="286"/>
      <c r="ED238" s="286"/>
      <c r="EE238" s="286"/>
      <c r="EF238" s="286"/>
      <c r="EG238" s="286"/>
      <c r="EH238" s="286"/>
      <c r="EI238" s="286"/>
      <c r="EJ238" s="286"/>
      <c r="EK238" s="286"/>
      <c r="EL238" s="286"/>
      <c r="EM238" s="286"/>
      <c r="EN238" s="286"/>
      <c r="EO238" s="286"/>
      <c r="EP238" s="286"/>
      <c r="EQ238" s="286"/>
      <c r="ER238" s="286"/>
      <c r="ES238" s="286"/>
      <c r="ET238" s="286"/>
      <c r="EU238" s="286"/>
      <c r="EV238" s="286"/>
      <c r="EW238" s="286"/>
      <c r="EX238" s="286"/>
      <c r="EY238" s="286"/>
      <c r="EZ238" s="286"/>
      <c r="FA238" s="286"/>
      <c r="FB238" s="286"/>
      <c r="FC238" s="286"/>
      <c r="FD238" s="286"/>
      <c r="FE238" s="286"/>
      <c r="FF238" s="286"/>
      <c r="FG238" s="286"/>
      <c r="FH238" s="286"/>
      <c r="FI238" s="286"/>
      <c r="FJ238" s="286"/>
      <c r="FK238" s="286"/>
      <c r="FL238" s="286"/>
      <c r="FM238" s="286"/>
      <c r="FN238" s="286"/>
      <c r="FO238" s="286"/>
      <c r="FP238" s="286"/>
      <c r="FQ238" s="286"/>
      <c r="FR238" s="286"/>
      <c r="FS238" s="286"/>
    </row>
    <row r="239" spans="1:175">
      <c r="A239" s="212" t="s">
        <v>3159</v>
      </c>
      <c r="B239" s="212" t="s">
        <v>3160</v>
      </c>
      <c r="C239" s="212" t="s">
        <v>3172</v>
      </c>
      <c r="D239" s="212" t="s">
        <v>3233</v>
      </c>
      <c r="E239" s="212" t="s">
        <v>3400</v>
      </c>
      <c r="F239" s="278">
        <v>429</v>
      </c>
      <c r="G239" s="278">
        <v>25763</v>
      </c>
      <c r="H239" s="287">
        <f t="shared" si="3"/>
        <v>6.5015720218918602</v>
      </c>
      <c r="I239" s="286">
        <v>21</v>
      </c>
      <c r="J239" s="286">
        <v>1675</v>
      </c>
      <c r="K239" s="286">
        <v>1016</v>
      </c>
      <c r="L239" s="286">
        <v>659</v>
      </c>
      <c r="M239" s="286">
        <v>1650</v>
      </c>
      <c r="N239" s="286">
        <v>995</v>
      </c>
      <c r="O239" s="286">
        <v>655</v>
      </c>
      <c r="P239" s="286">
        <v>21</v>
      </c>
      <c r="Q239" s="286">
        <v>1675</v>
      </c>
      <c r="R239" s="286">
        <v>1016</v>
      </c>
      <c r="S239" s="286">
        <v>659</v>
      </c>
      <c r="T239" s="286">
        <v>1650</v>
      </c>
      <c r="U239" s="286">
        <v>995</v>
      </c>
      <c r="V239" s="286">
        <v>655</v>
      </c>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c r="CG239" s="286"/>
      <c r="CH239" s="286"/>
      <c r="CI239" s="286"/>
      <c r="CJ239" s="286"/>
      <c r="CK239" s="286"/>
      <c r="CL239" s="286"/>
      <c r="CM239" s="286"/>
      <c r="CN239" s="286"/>
      <c r="CO239" s="286"/>
      <c r="CP239" s="286"/>
      <c r="CQ239" s="286"/>
      <c r="CR239" s="286"/>
      <c r="CS239" s="286"/>
      <c r="CT239" s="286"/>
      <c r="CU239" s="286"/>
      <c r="CV239" s="286"/>
      <c r="CW239" s="286"/>
      <c r="CX239" s="286"/>
      <c r="CY239" s="286"/>
      <c r="CZ239" s="286"/>
      <c r="DA239" s="286"/>
      <c r="DB239" s="286"/>
      <c r="DC239" s="286"/>
      <c r="DD239" s="286"/>
      <c r="DE239" s="286"/>
      <c r="DF239" s="286"/>
      <c r="DG239" s="286"/>
      <c r="DH239" s="286"/>
      <c r="DI239" s="286"/>
      <c r="DJ239" s="286"/>
      <c r="DK239" s="286"/>
      <c r="DL239" s="286"/>
      <c r="DM239" s="286"/>
      <c r="DN239" s="286"/>
      <c r="DO239" s="286"/>
      <c r="DP239" s="286"/>
      <c r="DQ239" s="286"/>
      <c r="DR239" s="286"/>
      <c r="DS239" s="286"/>
      <c r="DT239" s="286"/>
      <c r="DU239" s="286"/>
      <c r="DV239" s="286"/>
      <c r="DW239" s="286"/>
      <c r="DX239" s="286"/>
      <c r="DY239" s="286"/>
      <c r="DZ239" s="286"/>
      <c r="EA239" s="286"/>
      <c r="EB239" s="286"/>
      <c r="EC239" s="286"/>
      <c r="ED239" s="286"/>
      <c r="EE239" s="286"/>
      <c r="EF239" s="286"/>
      <c r="EG239" s="286"/>
      <c r="EH239" s="286"/>
      <c r="EI239" s="286"/>
      <c r="EJ239" s="286"/>
      <c r="EK239" s="286"/>
      <c r="EL239" s="286"/>
      <c r="EM239" s="286"/>
      <c r="EN239" s="286"/>
      <c r="EO239" s="286"/>
      <c r="EP239" s="286"/>
      <c r="EQ239" s="286"/>
      <c r="ER239" s="286"/>
      <c r="ES239" s="286"/>
      <c r="ET239" s="286"/>
      <c r="EU239" s="286"/>
      <c r="EV239" s="286"/>
      <c r="EW239" s="286"/>
      <c r="EX239" s="286"/>
      <c r="EY239" s="286"/>
      <c r="EZ239" s="286"/>
      <c r="FA239" s="286"/>
      <c r="FB239" s="286"/>
      <c r="FC239" s="286"/>
      <c r="FD239" s="286"/>
      <c r="FE239" s="286"/>
      <c r="FF239" s="286"/>
      <c r="FG239" s="286"/>
      <c r="FH239" s="286"/>
      <c r="FI239" s="286"/>
      <c r="FJ239" s="286"/>
      <c r="FK239" s="286"/>
      <c r="FL239" s="286"/>
      <c r="FM239" s="286"/>
      <c r="FN239" s="286"/>
      <c r="FO239" s="286"/>
      <c r="FP239" s="286"/>
      <c r="FQ239" s="286"/>
      <c r="FR239" s="286"/>
      <c r="FS239" s="286"/>
    </row>
    <row r="240" spans="1:175">
      <c r="A240" s="212" t="s">
        <v>3159</v>
      </c>
      <c r="B240" s="212" t="s">
        <v>3160</v>
      </c>
      <c r="C240" s="212" t="s">
        <v>3172</v>
      </c>
      <c r="D240" s="212" t="s">
        <v>3233</v>
      </c>
      <c r="E240" s="212" t="s">
        <v>3401</v>
      </c>
      <c r="F240" s="278">
        <v>2663</v>
      </c>
      <c r="G240" s="278">
        <v>109173</v>
      </c>
      <c r="H240" s="287">
        <f t="shared" si="3"/>
        <v>1.4014454123272237</v>
      </c>
      <c r="I240" s="286">
        <v>80</v>
      </c>
      <c r="J240" s="286">
        <v>1530</v>
      </c>
      <c r="K240" s="286">
        <v>898</v>
      </c>
      <c r="L240" s="286">
        <v>632</v>
      </c>
      <c r="M240" s="286">
        <v>1406</v>
      </c>
      <c r="N240" s="286">
        <v>810</v>
      </c>
      <c r="O240" s="286">
        <v>596</v>
      </c>
      <c r="P240" s="286">
        <v>80</v>
      </c>
      <c r="Q240" s="286">
        <v>1530</v>
      </c>
      <c r="R240" s="286">
        <v>898</v>
      </c>
      <c r="S240" s="286">
        <v>632</v>
      </c>
      <c r="T240" s="286">
        <v>1406</v>
      </c>
      <c r="U240" s="286">
        <v>810</v>
      </c>
      <c r="V240" s="286">
        <v>596</v>
      </c>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c r="CG240" s="286"/>
      <c r="CH240" s="286"/>
      <c r="CI240" s="286"/>
      <c r="CJ240" s="286"/>
      <c r="CK240" s="286"/>
      <c r="CL240" s="286"/>
      <c r="CM240" s="286"/>
      <c r="CN240" s="286"/>
      <c r="CO240" s="286"/>
      <c r="CP240" s="286"/>
      <c r="CQ240" s="286"/>
      <c r="CR240" s="286"/>
      <c r="CS240" s="286"/>
      <c r="CT240" s="286"/>
      <c r="CU240" s="286"/>
      <c r="CV240" s="286"/>
      <c r="CW240" s="286"/>
      <c r="CX240" s="286"/>
      <c r="CY240" s="286"/>
      <c r="CZ240" s="286"/>
      <c r="DA240" s="286"/>
      <c r="DB240" s="286"/>
      <c r="DC240" s="286"/>
      <c r="DD240" s="286"/>
      <c r="DE240" s="286"/>
      <c r="DF240" s="286"/>
      <c r="DG240" s="286"/>
      <c r="DH240" s="286"/>
      <c r="DI240" s="286"/>
      <c r="DJ240" s="286"/>
      <c r="DK240" s="286"/>
      <c r="DL240" s="286"/>
      <c r="DM240" s="286"/>
      <c r="DN240" s="286"/>
      <c r="DO240" s="286"/>
      <c r="DP240" s="286"/>
      <c r="DQ240" s="286"/>
      <c r="DR240" s="286"/>
      <c r="DS240" s="286"/>
      <c r="DT240" s="286"/>
      <c r="DU240" s="286"/>
      <c r="DV240" s="286"/>
      <c r="DW240" s="286"/>
      <c r="DX240" s="286"/>
      <c r="DY240" s="286"/>
      <c r="DZ240" s="286"/>
      <c r="EA240" s="286"/>
      <c r="EB240" s="286"/>
      <c r="EC240" s="286"/>
      <c r="ED240" s="286"/>
      <c r="EE240" s="286"/>
      <c r="EF240" s="286"/>
      <c r="EG240" s="286"/>
      <c r="EH240" s="286"/>
      <c r="EI240" s="286"/>
      <c r="EJ240" s="286"/>
      <c r="EK240" s="286"/>
      <c r="EL240" s="286"/>
      <c r="EM240" s="286"/>
      <c r="EN240" s="286"/>
      <c r="EO240" s="286"/>
      <c r="EP240" s="286"/>
      <c r="EQ240" s="286"/>
      <c r="ER240" s="286"/>
      <c r="ES240" s="286"/>
      <c r="ET240" s="286"/>
      <c r="EU240" s="286"/>
      <c r="EV240" s="286"/>
      <c r="EW240" s="286"/>
      <c r="EX240" s="286"/>
      <c r="EY240" s="286"/>
      <c r="EZ240" s="286"/>
      <c r="FA240" s="286"/>
      <c r="FB240" s="286"/>
      <c r="FC240" s="286"/>
      <c r="FD240" s="286"/>
      <c r="FE240" s="286"/>
      <c r="FF240" s="286"/>
      <c r="FG240" s="286"/>
      <c r="FH240" s="286"/>
      <c r="FI240" s="286"/>
      <c r="FJ240" s="286"/>
      <c r="FK240" s="286"/>
      <c r="FL240" s="286"/>
      <c r="FM240" s="286"/>
      <c r="FN240" s="286"/>
      <c r="FO240" s="286"/>
      <c r="FP240" s="286"/>
      <c r="FQ240" s="286"/>
      <c r="FR240" s="286"/>
      <c r="FS240" s="286"/>
    </row>
    <row r="241" spans="1:175">
      <c r="A241" s="212" t="s">
        <v>3159</v>
      </c>
      <c r="B241" s="212" t="s">
        <v>3160</v>
      </c>
      <c r="C241" s="212" t="s">
        <v>3170</v>
      </c>
      <c r="D241" s="212" t="s">
        <v>3233</v>
      </c>
      <c r="E241" s="212" t="s">
        <v>3402</v>
      </c>
      <c r="F241" s="278">
        <v>16307</v>
      </c>
      <c r="G241" s="278">
        <v>533529</v>
      </c>
      <c r="H241" s="287">
        <f t="shared" si="3"/>
        <v>6.7636435882585584</v>
      </c>
      <c r="I241" s="286">
        <v>707</v>
      </c>
      <c r="J241" s="286">
        <v>36086</v>
      </c>
      <c r="K241" s="286">
        <v>25672</v>
      </c>
      <c r="L241" s="286">
        <v>10414</v>
      </c>
      <c r="M241" s="286">
        <v>34779</v>
      </c>
      <c r="N241" s="286">
        <v>24721</v>
      </c>
      <c r="O241" s="286">
        <v>10058</v>
      </c>
      <c r="P241" s="286">
        <v>707</v>
      </c>
      <c r="Q241" s="286">
        <v>36086</v>
      </c>
      <c r="R241" s="286">
        <v>25672</v>
      </c>
      <c r="S241" s="286">
        <v>10414</v>
      </c>
      <c r="T241" s="286">
        <v>34779</v>
      </c>
      <c r="U241" s="286">
        <v>24721</v>
      </c>
      <c r="V241" s="286">
        <v>10058</v>
      </c>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c r="DV241" s="286"/>
      <c r="DW241" s="286"/>
      <c r="DX241" s="286"/>
      <c r="DY241" s="286"/>
      <c r="DZ241" s="286"/>
      <c r="EA241" s="286"/>
      <c r="EB241" s="286"/>
      <c r="EC241" s="286"/>
      <c r="ED241" s="286"/>
      <c r="EE241" s="286"/>
      <c r="EF241" s="286"/>
      <c r="EG241" s="286"/>
      <c r="EH241" s="286"/>
      <c r="EI241" s="286"/>
      <c r="EJ241" s="286"/>
      <c r="EK241" s="286"/>
      <c r="EL241" s="286"/>
      <c r="EM241" s="286"/>
      <c r="EN241" s="286"/>
      <c r="EO241" s="286"/>
      <c r="EP241" s="286"/>
      <c r="EQ241" s="286"/>
      <c r="ER241" s="286"/>
      <c r="ES241" s="286"/>
      <c r="ET241" s="286"/>
      <c r="EU241" s="286"/>
      <c r="EV241" s="286"/>
      <c r="EW241" s="286"/>
      <c r="EX241" s="286"/>
      <c r="EY241" s="286"/>
      <c r="EZ241" s="286"/>
      <c r="FA241" s="286"/>
      <c r="FB241" s="286"/>
      <c r="FC241" s="286"/>
      <c r="FD241" s="286"/>
      <c r="FE241" s="286"/>
      <c r="FF241" s="286"/>
      <c r="FG241" s="286"/>
      <c r="FH241" s="286"/>
      <c r="FI241" s="286"/>
      <c r="FJ241" s="286"/>
      <c r="FK241" s="286"/>
      <c r="FL241" s="286"/>
      <c r="FM241" s="286"/>
      <c r="FN241" s="286"/>
      <c r="FO241" s="286"/>
      <c r="FP241" s="286"/>
      <c r="FQ241" s="286"/>
      <c r="FR241" s="286"/>
      <c r="FS241" s="286"/>
    </row>
    <row r="242" spans="1:175">
      <c r="A242" s="212" t="s">
        <v>3159</v>
      </c>
      <c r="B242" s="212" t="s">
        <v>3160</v>
      </c>
      <c r="C242" s="212" t="s">
        <v>3172</v>
      </c>
      <c r="D242" s="212" t="s">
        <v>3233</v>
      </c>
      <c r="E242" s="212" t="s">
        <v>3403</v>
      </c>
      <c r="F242" s="278">
        <v>339</v>
      </c>
      <c r="G242" s="278">
        <v>9424</v>
      </c>
      <c r="H242" s="287">
        <f t="shared" si="3"/>
        <v>7.7886247877758912</v>
      </c>
      <c r="I242" s="286">
        <v>18</v>
      </c>
      <c r="J242" s="286">
        <v>734</v>
      </c>
      <c r="K242" s="286">
        <v>516</v>
      </c>
      <c r="L242" s="286">
        <v>218</v>
      </c>
      <c r="M242" s="286">
        <v>721</v>
      </c>
      <c r="N242" s="286">
        <v>506</v>
      </c>
      <c r="O242" s="286">
        <v>215</v>
      </c>
      <c r="P242" s="286">
        <v>18</v>
      </c>
      <c r="Q242" s="286">
        <v>734</v>
      </c>
      <c r="R242" s="286">
        <v>516</v>
      </c>
      <c r="S242" s="286">
        <v>218</v>
      </c>
      <c r="T242" s="286">
        <v>721</v>
      </c>
      <c r="U242" s="286">
        <v>506</v>
      </c>
      <c r="V242" s="286">
        <v>215</v>
      </c>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c r="CG242" s="286"/>
      <c r="CH242" s="286"/>
      <c r="CI242" s="286"/>
      <c r="CJ242" s="286"/>
      <c r="CK242" s="286"/>
      <c r="CL242" s="286"/>
      <c r="CM242" s="286"/>
      <c r="CN242" s="286"/>
      <c r="CO242" s="286"/>
      <c r="CP242" s="286"/>
      <c r="CQ242" s="286"/>
      <c r="CR242" s="286"/>
      <c r="CS242" s="286"/>
      <c r="CT242" s="286"/>
      <c r="CU242" s="286"/>
      <c r="CV242" s="286"/>
      <c r="CW242" s="286"/>
      <c r="CX242" s="286"/>
      <c r="CY242" s="286"/>
      <c r="CZ242" s="286"/>
      <c r="DA242" s="286"/>
      <c r="DB242" s="286"/>
      <c r="DC242" s="286"/>
      <c r="DD242" s="286"/>
      <c r="DE242" s="286"/>
      <c r="DF242" s="286"/>
      <c r="DG242" s="286"/>
      <c r="DH242" s="286"/>
      <c r="DI242" s="286"/>
      <c r="DJ242" s="286"/>
      <c r="DK242" s="286"/>
      <c r="DL242" s="286"/>
      <c r="DM242" s="286"/>
      <c r="DN242" s="286"/>
      <c r="DO242" s="286"/>
      <c r="DP242" s="286"/>
      <c r="DQ242" s="286"/>
      <c r="DR242" s="286"/>
      <c r="DS242" s="286"/>
      <c r="DT242" s="286"/>
      <c r="DU242" s="286"/>
      <c r="DV242" s="286"/>
      <c r="DW242" s="286"/>
      <c r="DX242" s="286"/>
      <c r="DY242" s="286"/>
      <c r="DZ242" s="286"/>
      <c r="EA242" s="286"/>
      <c r="EB242" s="286"/>
      <c r="EC242" s="286"/>
      <c r="ED242" s="286"/>
      <c r="EE242" s="286"/>
      <c r="EF242" s="286"/>
      <c r="EG242" s="286"/>
      <c r="EH242" s="286"/>
      <c r="EI242" s="286"/>
      <c r="EJ242" s="286"/>
      <c r="EK242" s="286"/>
      <c r="EL242" s="286"/>
      <c r="EM242" s="286"/>
      <c r="EN242" s="286"/>
      <c r="EO242" s="286"/>
      <c r="EP242" s="286"/>
      <c r="EQ242" s="286"/>
      <c r="ER242" s="286"/>
      <c r="ES242" s="286"/>
      <c r="ET242" s="286"/>
      <c r="EU242" s="286"/>
      <c r="EV242" s="286"/>
      <c r="EW242" s="286"/>
      <c r="EX242" s="286"/>
      <c r="EY242" s="286"/>
      <c r="EZ242" s="286"/>
      <c r="FA242" s="286"/>
      <c r="FB242" s="286"/>
      <c r="FC242" s="286"/>
      <c r="FD242" s="286"/>
      <c r="FE242" s="286"/>
      <c r="FF242" s="286"/>
      <c r="FG242" s="286"/>
      <c r="FH242" s="286"/>
      <c r="FI242" s="286"/>
      <c r="FJ242" s="286"/>
      <c r="FK242" s="286"/>
      <c r="FL242" s="286"/>
      <c r="FM242" s="286"/>
      <c r="FN242" s="286"/>
      <c r="FO242" s="286"/>
      <c r="FP242" s="286"/>
      <c r="FQ242" s="286"/>
      <c r="FR242" s="286"/>
      <c r="FS242" s="286"/>
    </row>
    <row r="243" spans="1:175">
      <c r="A243" s="212" t="s">
        <v>3159</v>
      </c>
      <c r="B243" s="212" t="s">
        <v>3160</v>
      </c>
      <c r="C243" s="212" t="s">
        <v>3172</v>
      </c>
      <c r="D243" s="212" t="s">
        <v>3233</v>
      </c>
      <c r="E243" s="212" t="s">
        <v>3404</v>
      </c>
      <c r="F243" s="278">
        <v>7321</v>
      </c>
      <c r="G243" s="278">
        <v>191816</v>
      </c>
      <c r="H243" s="287">
        <f t="shared" si="3"/>
        <v>6.0307794970179751</v>
      </c>
      <c r="I243" s="286">
        <v>309</v>
      </c>
      <c r="J243" s="286">
        <v>11568</v>
      </c>
      <c r="K243" s="286">
        <v>8836</v>
      </c>
      <c r="L243" s="286">
        <v>2732</v>
      </c>
      <c r="M243" s="286">
        <v>10983</v>
      </c>
      <c r="N243" s="286">
        <v>8389</v>
      </c>
      <c r="O243" s="286">
        <v>2594</v>
      </c>
      <c r="P243" s="286">
        <v>309</v>
      </c>
      <c r="Q243" s="286">
        <v>11568</v>
      </c>
      <c r="R243" s="286">
        <v>8836</v>
      </c>
      <c r="S243" s="286">
        <v>2732</v>
      </c>
      <c r="T243" s="286">
        <v>10983</v>
      </c>
      <c r="U243" s="286">
        <v>8389</v>
      </c>
      <c r="V243" s="286">
        <v>2594</v>
      </c>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c r="CG243" s="286"/>
      <c r="CH243" s="286"/>
      <c r="CI243" s="286"/>
      <c r="CJ243" s="286"/>
      <c r="CK243" s="286"/>
      <c r="CL243" s="286"/>
      <c r="CM243" s="286"/>
      <c r="CN243" s="286"/>
      <c r="CO243" s="286"/>
      <c r="CP243" s="286"/>
      <c r="CQ243" s="286"/>
      <c r="CR243" s="286"/>
      <c r="CS243" s="286"/>
      <c r="CT243" s="286"/>
      <c r="CU243" s="286"/>
      <c r="CV243" s="286"/>
      <c r="CW243" s="286"/>
      <c r="CX243" s="286"/>
      <c r="CY243" s="286"/>
      <c r="CZ243" s="286"/>
      <c r="DA243" s="286"/>
      <c r="DB243" s="286"/>
      <c r="DC243" s="286"/>
      <c r="DD243" s="286"/>
      <c r="DE243" s="286"/>
      <c r="DF243" s="286"/>
      <c r="DG243" s="286"/>
      <c r="DH243" s="286"/>
      <c r="DI243" s="286"/>
      <c r="DJ243" s="286"/>
      <c r="DK243" s="286"/>
      <c r="DL243" s="286"/>
      <c r="DM243" s="286"/>
      <c r="DN243" s="286"/>
      <c r="DO243" s="286"/>
      <c r="DP243" s="286"/>
      <c r="DQ243" s="286"/>
      <c r="DR243" s="286"/>
      <c r="DS243" s="286"/>
      <c r="DT243" s="286"/>
      <c r="DU243" s="286"/>
      <c r="DV243" s="286"/>
      <c r="DW243" s="286"/>
      <c r="DX243" s="286"/>
      <c r="DY243" s="286"/>
      <c r="DZ243" s="286"/>
      <c r="EA243" s="286"/>
      <c r="EB243" s="286"/>
      <c r="EC243" s="286"/>
      <c r="ED243" s="286"/>
      <c r="EE243" s="286"/>
      <c r="EF243" s="286"/>
      <c r="EG243" s="286"/>
      <c r="EH243" s="286"/>
      <c r="EI243" s="286"/>
      <c r="EJ243" s="286"/>
      <c r="EK243" s="286"/>
      <c r="EL243" s="286"/>
      <c r="EM243" s="286"/>
      <c r="EN243" s="286"/>
      <c r="EO243" s="286"/>
      <c r="EP243" s="286"/>
      <c r="EQ243" s="286"/>
      <c r="ER243" s="286"/>
      <c r="ES243" s="286"/>
      <c r="ET243" s="286"/>
      <c r="EU243" s="286"/>
      <c r="EV243" s="286"/>
      <c r="EW243" s="286"/>
      <c r="EX243" s="286"/>
      <c r="EY243" s="286"/>
      <c r="EZ243" s="286"/>
      <c r="FA243" s="286"/>
      <c r="FB243" s="286"/>
      <c r="FC243" s="286"/>
      <c r="FD243" s="286"/>
      <c r="FE243" s="286"/>
      <c r="FF243" s="286"/>
      <c r="FG243" s="286"/>
      <c r="FH243" s="286"/>
      <c r="FI243" s="286"/>
      <c r="FJ243" s="286"/>
      <c r="FK243" s="286"/>
      <c r="FL243" s="286"/>
      <c r="FM243" s="286"/>
      <c r="FN243" s="286"/>
      <c r="FO243" s="286"/>
      <c r="FP243" s="286"/>
      <c r="FQ243" s="286"/>
      <c r="FR243" s="286"/>
      <c r="FS243" s="286"/>
    </row>
    <row r="244" spans="1:175">
      <c r="A244" s="212" t="s">
        <v>3159</v>
      </c>
      <c r="B244" s="212" t="s">
        <v>3160</v>
      </c>
      <c r="C244" s="212" t="s">
        <v>3172</v>
      </c>
      <c r="D244" s="212" t="s">
        <v>3233</v>
      </c>
      <c r="E244" s="212" t="s">
        <v>3405</v>
      </c>
      <c r="F244" s="278">
        <v>2573</v>
      </c>
      <c r="G244" s="278">
        <v>115045</v>
      </c>
      <c r="H244" s="287">
        <f t="shared" si="3"/>
        <v>10.953974531704985</v>
      </c>
      <c r="I244" s="286">
        <v>149</v>
      </c>
      <c r="J244" s="286">
        <v>12602</v>
      </c>
      <c r="K244" s="286">
        <v>9337</v>
      </c>
      <c r="L244" s="286">
        <v>3265</v>
      </c>
      <c r="M244" s="286">
        <v>12309</v>
      </c>
      <c r="N244" s="286">
        <v>9130</v>
      </c>
      <c r="O244" s="286">
        <v>3179</v>
      </c>
      <c r="P244" s="286">
        <v>149</v>
      </c>
      <c r="Q244" s="286">
        <v>12602</v>
      </c>
      <c r="R244" s="286">
        <v>9337</v>
      </c>
      <c r="S244" s="286">
        <v>3265</v>
      </c>
      <c r="T244" s="286">
        <v>12309</v>
      </c>
      <c r="U244" s="286">
        <v>9130</v>
      </c>
      <c r="V244" s="286">
        <v>3179</v>
      </c>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c r="CG244" s="286"/>
      <c r="CH244" s="286"/>
      <c r="CI244" s="286"/>
      <c r="CJ244" s="286"/>
      <c r="CK244" s="286"/>
      <c r="CL244" s="286"/>
      <c r="CM244" s="286"/>
      <c r="CN244" s="286"/>
      <c r="CO244" s="286"/>
      <c r="CP244" s="286"/>
      <c r="CQ244" s="286"/>
      <c r="CR244" s="286"/>
      <c r="CS244" s="286"/>
      <c r="CT244" s="286"/>
      <c r="CU244" s="286"/>
      <c r="CV244" s="286"/>
      <c r="CW244" s="286"/>
      <c r="CX244" s="286"/>
      <c r="CY244" s="286"/>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c r="DV244" s="286"/>
      <c r="DW244" s="286"/>
      <c r="DX244" s="286"/>
      <c r="DY244" s="286"/>
      <c r="DZ244" s="286"/>
      <c r="EA244" s="286"/>
      <c r="EB244" s="286"/>
      <c r="EC244" s="286"/>
      <c r="ED244" s="286"/>
      <c r="EE244" s="286"/>
      <c r="EF244" s="286"/>
      <c r="EG244" s="286"/>
      <c r="EH244" s="286"/>
      <c r="EI244" s="286"/>
      <c r="EJ244" s="286"/>
      <c r="EK244" s="286"/>
      <c r="EL244" s="286"/>
      <c r="EM244" s="286"/>
      <c r="EN244" s="286"/>
      <c r="EO244" s="286"/>
      <c r="EP244" s="286"/>
      <c r="EQ244" s="286"/>
      <c r="ER244" s="286"/>
      <c r="ES244" s="286"/>
      <c r="ET244" s="286"/>
      <c r="EU244" s="286"/>
      <c r="EV244" s="286"/>
      <c r="EW244" s="286"/>
      <c r="EX244" s="286"/>
      <c r="EY244" s="286"/>
      <c r="EZ244" s="286"/>
      <c r="FA244" s="286"/>
      <c r="FB244" s="286"/>
      <c r="FC244" s="286"/>
      <c r="FD244" s="286"/>
      <c r="FE244" s="286"/>
      <c r="FF244" s="286"/>
      <c r="FG244" s="286"/>
      <c r="FH244" s="286"/>
      <c r="FI244" s="286"/>
      <c r="FJ244" s="286"/>
      <c r="FK244" s="286"/>
      <c r="FL244" s="286"/>
      <c r="FM244" s="286"/>
      <c r="FN244" s="286"/>
      <c r="FO244" s="286"/>
      <c r="FP244" s="286"/>
      <c r="FQ244" s="286"/>
      <c r="FR244" s="286"/>
      <c r="FS244" s="286"/>
    </row>
    <row r="245" spans="1:175">
      <c r="A245" s="212" t="s">
        <v>3159</v>
      </c>
      <c r="B245" s="212" t="s">
        <v>3160</v>
      </c>
      <c r="C245" s="212" t="s">
        <v>3172</v>
      </c>
      <c r="D245" s="212" t="s">
        <v>3233</v>
      </c>
      <c r="E245" s="212" t="s">
        <v>3406</v>
      </c>
      <c r="F245" s="278">
        <v>1619</v>
      </c>
      <c r="G245" s="278">
        <v>60885</v>
      </c>
      <c r="H245" s="287">
        <f t="shared" si="3"/>
        <v>2.8135008622813502</v>
      </c>
      <c r="I245" s="286">
        <v>50</v>
      </c>
      <c r="J245" s="286">
        <v>1713</v>
      </c>
      <c r="K245" s="286">
        <v>1107</v>
      </c>
      <c r="L245" s="286">
        <v>606</v>
      </c>
      <c r="M245" s="286">
        <v>1634</v>
      </c>
      <c r="N245" s="286">
        <v>1064</v>
      </c>
      <c r="O245" s="286">
        <v>570</v>
      </c>
      <c r="P245" s="286">
        <v>50</v>
      </c>
      <c r="Q245" s="286">
        <v>1713</v>
      </c>
      <c r="R245" s="286">
        <v>1107</v>
      </c>
      <c r="S245" s="286">
        <v>606</v>
      </c>
      <c r="T245" s="286">
        <v>1634</v>
      </c>
      <c r="U245" s="286">
        <v>1064</v>
      </c>
      <c r="V245" s="286">
        <v>570</v>
      </c>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c r="CG245" s="286"/>
      <c r="CH245" s="286"/>
      <c r="CI245" s="286"/>
      <c r="CJ245" s="286"/>
      <c r="CK245" s="286"/>
      <c r="CL245" s="286"/>
      <c r="CM245" s="286"/>
      <c r="CN245" s="286"/>
      <c r="CO245" s="286"/>
      <c r="CP245" s="286"/>
      <c r="CQ245" s="286"/>
      <c r="CR245" s="286"/>
      <c r="CS245" s="286"/>
      <c r="CT245" s="286"/>
      <c r="CU245" s="286"/>
      <c r="CV245" s="286"/>
      <c r="CW245" s="286"/>
      <c r="CX245" s="286"/>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c r="DV245" s="286"/>
      <c r="DW245" s="286"/>
      <c r="DX245" s="286"/>
      <c r="DY245" s="286"/>
      <c r="DZ245" s="286"/>
      <c r="EA245" s="286"/>
      <c r="EB245" s="286"/>
      <c r="EC245" s="286"/>
      <c r="ED245" s="286"/>
      <c r="EE245" s="286"/>
      <c r="EF245" s="286"/>
      <c r="EG245" s="286"/>
      <c r="EH245" s="286"/>
      <c r="EI245" s="286"/>
      <c r="EJ245" s="286"/>
      <c r="EK245" s="286"/>
      <c r="EL245" s="286"/>
      <c r="EM245" s="286"/>
      <c r="EN245" s="286"/>
      <c r="EO245" s="286"/>
      <c r="EP245" s="286"/>
      <c r="EQ245" s="286"/>
      <c r="ER245" s="286"/>
      <c r="ES245" s="286"/>
      <c r="ET245" s="286"/>
      <c r="EU245" s="286"/>
      <c r="EV245" s="286"/>
      <c r="EW245" s="286"/>
      <c r="EX245" s="286"/>
      <c r="EY245" s="286"/>
      <c r="EZ245" s="286"/>
      <c r="FA245" s="286"/>
      <c r="FB245" s="286"/>
      <c r="FC245" s="286"/>
      <c r="FD245" s="286"/>
      <c r="FE245" s="286"/>
      <c r="FF245" s="286"/>
      <c r="FG245" s="286"/>
      <c r="FH245" s="286"/>
      <c r="FI245" s="286"/>
      <c r="FJ245" s="286"/>
      <c r="FK245" s="286"/>
      <c r="FL245" s="286"/>
      <c r="FM245" s="286"/>
      <c r="FN245" s="286"/>
      <c r="FO245" s="286"/>
      <c r="FP245" s="286"/>
      <c r="FQ245" s="286"/>
      <c r="FR245" s="286"/>
      <c r="FS245" s="286"/>
    </row>
    <row r="246" spans="1:175">
      <c r="A246" s="212" t="s">
        <v>3159</v>
      </c>
      <c r="B246" s="212" t="s">
        <v>3160</v>
      </c>
      <c r="C246" s="212" t="s">
        <v>3172</v>
      </c>
      <c r="D246" s="212" t="s">
        <v>3233</v>
      </c>
      <c r="E246" s="212" t="s">
        <v>3407</v>
      </c>
      <c r="F246" s="278">
        <v>1162</v>
      </c>
      <c r="G246" s="278">
        <v>36894</v>
      </c>
      <c r="H246" s="287">
        <f t="shared" si="3"/>
        <v>9.0746462839486099</v>
      </c>
      <c r="I246" s="286">
        <v>53</v>
      </c>
      <c r="J246" s="286">
        <v>3348</v>
      </c>
      <c r="K246" s="286">
        <v>1819</v>
      </c>
      <c r="L246" s="286">
        <v>1529</v>
      </c>
      <c r="M246" s="286">
        <v>3252</v>
      </c>
      <c r="N246" s="286">
        <v>1748</v>
      </c>
      <c r="O246" s="286">
        <v>1504</v>
      </c>
      <c r="P246" s="286">
        <v>53</v>
      </c>
      <c r="Q246" s="286">
        <v>3348</v>
      </c>
      <c r="R246" s="286">
        <v>1819</v>
      </c>
      <c r="S246" s="286">
        <v>1529</v>
      </c>
      <c r="T246" s="286">
        <v>3252</v>
      </c>
      <c r="U246" s="286">
        <v>1748</v>
      </c>
      <c r="V246" s="286">
        <v>1504</v>
      </c>
      <c r="W246" s="286"/>
      <c r="X246" s="286"/>
      <c r="Y246" s="286"/>
      <c r="Z246" s="286"/>
      <c r="AA246" s="286"/>
      <c r="AB246" s="286"/>
      <c r="AC246" s="286"/>
      <c r="AD246" s="286"/>
      <c r="AE246" s="286"/>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c r="BG246" s="286"/>
      <c r="BH246" s="286"/>
      <c r="BI246" s="286"/>
      <c r="BJ246" s="286"/>
      <c r="BK246" s="286"/>
      <c r="BL246" s="286"/>
      <c r="BM246" s="286"/>
      <c r="BN246" s="286"/>
      <c r="BO246" s="286"/>
      <c r="BP246" s="286"/>
      <c r="BQ246" s="286"/>
      <c r="BR246" s="286"/>
      <c r="BS246" s="286"/>
      <c r="BT246" s="286"/>
      <c r="BU246" s="286"/>
      <c r="BV246" s="286"/>
      <c r="BW246" s="286"/>
      <c r="BX246" s="286"/>
      <c r="BY246" s="286"/>
      <c r="BZ246" s="286"/>
      <c r="CA246" s="286"/>
      <c r="CB246" s="286"/>
      <c r="CC246" s="286"/>
      <c r="CD246" s="286"/>
      <c r="CE246" s="286"/>
      <c r="CF246" s="286"/>
      <c r="CG246" s="286"/>
      <c r="CH246" s="286"/>
      <c r="CI246" s="286"/>
      <c r="CJ246" s="286"/>
      <c r="CK246" s="286"/>
      <c r="CL246" s="286"/>
      <c r="CM246" s="286"/>
      <c r="CN246" s="286"/>
      <c r="CO246" s="286"/>
      <c r="CP246" s="286"/>
      <c r="CQ246" s="286"/>
      <c r="CR246" s="286"/>
      <c r="CS246" s="286"/>
      <c r="CT246" s="286"/>
      <c r="CU246" s="286"/>
      <c r="CV246" s="286"/>
      <c r="CW246" s="286"/>
      <c r="CX246" s="286"/>
      <c r="CY246" s="286"/>
      <c r="CZ246" s="286"/>
      <c r="DA246" s="286"/>
      <c r="DB246" s="286"/>
      <c r="DC246" s="286"/>
      <c r="DD246" s="286"/>
      <c r="DE246" s="286"/>
      <c r="DF246" s="286"/>
      <c r="DG246" s="286"/>
      <c r="DH246" s="286"/>
      <c r="DI246" s="286"/>
      <c r="DJ246" s="286"/>
      <c r="DK246" s="286"/>
      <c r="DL246" s="286"/>
      <c r="DM246" s="286"/>
      <c r="DN246" s="286"/>
      <c r="DO246" s="286"/>
      <c r="DP246" s="286"/>
      <c r="DQ246" s="286"/>
      <c r="DR246" s="286"/>
      <c r="DS246" s="286"/>
      <c r="DT246" s="286"/>
      <c r="DU246" s="286"/>
      <c r="DV246" s="286"/>
      <c r="DW246" s="286"/>
      <c r="DX246" s="286"/>
      <c r="DY246" s="286"/>
      <c r="DZ246" s="286"/>
      <c r="EA246" s="286"/>
      <c r="EB246" s="286"/>
      <c r="EC246" s="286"/>
      <c r="ED246" s="286"/>
      <c r="EE246" s="286"/>
      <c r="EF246" s="286"/>
      <c r="EG246" s="286"/>
      <c r="EH246" s="286"/>
      <c r="EI246" s="286"/>
      <c r="EJ246" s="286"/>
      <c r="EK246" s="286"/>
      <c r="EL246" s="286"/>
      <c r="EM246" s="286"/>
      <c r="EN246" s="286"/>
      <c r="EO246" s="286"/>
      <c r="EP246" s="286"/>
      <c r="EQ246" s="286"/>
      <c r="ER246" s="286"/>
      <c r="ES246" s="286"/>
      <c r="ET246" s="286"/>
      <c r="EU246" s="286"/>
      <c r="EV246" s="286"/>
      <c r="EW246" s="286"/>
      <c r="EX246" s="286"/>
      <c r="EY246" s="286"/>
      <c r="EZ246" s="286"/>
      <c r="FA246" s="286"/>
      <c r="FB246" s="286"/>
      <c r="FC246" s="286"/>
      <c r="FD246" s="286"/>
      <c r="FE246" s="286"/>
      <c r="FF246" s="286"/>
      <c r="FG246" s="286"/>
      <c r="FH246" s="286"/>
      <c r="FI246" s="286"/>
      <c r="FJ246" s="286"/>
      <c r="FK246" s="286"/>
      <c r="FL246" s="286"/>
      <c r="FM246" s="286"/>
      <c r="FN246" s="286"/>
      <c r="FO246" s="286"/>
      <c r="FP246" s="286"/>
      <c r="FQ246" s="286"/>
      <c r="FR246" s="286"/>
      <c r="FS246" s="286"/>
    </row>
    <row r="247" spans="1:175">
      <c r="A247" s="212" t="s">
        <v>3159</v>
      </c>
      <c r="B247" s="212" t="s">
        <v>3160</v>
      </c>
      <c r="C247" s="212" t="s">
        <v>3172</v>
      </c>
      <c r="D247" s="212" t="s">
        <v>3233</v>
      </c>
      <c r="E247" s="212" t="s">
        <v>3408</v>
      </c>
      <c r="F247" s="278">
        <v>261</v>
      </c>
      <c r="G247" s="278">
        <v>25752</v>
      </c>
      <c r="H247" s="287">
        <f t="shared" si="3"/>
        <v>9.6186703945324634</v>
      </c>
      <c r="I247" s="286">
        <v>29</v>
      </c>
      <c r="J247" s="286">
        <v>2477</v>
      </c>
      <c r="K247" s="286">
        <v>1785</v>
      </c>
      <c r="L247" s="286">
        <v>692</v>
      </c>
      <c r="M247" s="286">
        <v>2407</v>
      </c>
      <c r="N247" s="286">
        <v>1743</v>
      </c>
      <c r="O247" s="286">
        <v>664</v>
      </c>
      <c r="P247" s="286">
        <v>29</v>
      </c>
      <c r="Q247" s="286">
        <v>2477</v>
      </c>
      <c r="R247" s="286">
        <v>1785</v>
      </c>
      <c r="S247" s="286">
        <v>692</v>
      </c>
      <c r="T247" s="286">
        <v>2407</v>
      </c>
      <c r="U247" s="286">
        <v>1743</v>
      </c>
      <c r="V247" s="286">
        <v>664</v>
      </c>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c r="BR247" s="286"/>
      <c r="BS247" s="286"/>
      <c r="BT247" s="286"/>
      <c r="BU247" s="286"/>
      <c r="BV247" s="286"/>
      <c r="BW247" s="286"/>
      <c r="BX247" s="286"/>
      <c r="BY247" s="286"/>
      <c r="BZ247" s="286"/>
      <c r="CA247" s="286"/>
      <c r="CB247" s="286"/>
      <c r="CC247" s="286"/>
      <c r="CD247" s="286"/>
      <c r="CE247" s="286"/>
      <c r="CF247" s="286"/>
      <c r="CG247" s="286"/>
      <c r="CH247" s="286"/>
      <c r="CI247" s="286"/>
      <c r="CJ247" s="286"/>
      <c r="CK247" s="286"/>
      <c r="CL247" s="286"/>
      <c r="CM247" s="286"/>
      <c r="CN247" s="286"/>
      <c r="CO247" s="286"/>
      <c r="CP247" s="286"/>
      <c r="CQ247" s="286"/>
      <c r="CR247" s="286"/>
      <c r="CS247" s="286"/>
      <c r="CT247" s="286"/>
      <c r="CU247" s="286"/>
      <c r="CV247" s="286"/>
      <c r="CW247" s="286"/>
      <c r="CX247" s="286"/>
      <c r="CY247" s="286"/>
      <c r="CZ247" s="286"/>
      <c r="DA247" s="286"/>
      <c r="DB247" s="286"/>
      <c r="DC247" s="286"/>
      <c r="DD247" s="286"/>
      <c r="DE247" s="286"/>
      <c r="DF247" s="286"/>
      <c r="DG247" s="286"/>
      <c r="DH247" s="286"/>
      <c r="DI247" s="286"/>
      <c r="DJ247" s="286"/>
      <c r="DK247" s="286"/>
      <c r="DL247" s="286"/>
      <c r="DM247" s="286"/>
      <c r="DN247" s="286"/>
      <c r="DO247" s="286"/>
      <c r="DP247" s="286"/>
      <c r="DQ247" s="286"/>
      <c r="DR247" s="286"/>
      <c r="DS247" s="286"/>
      <c r="DT247" s="286"/>
      <c r="DU247" s="286"/>
      <c r="DV247" s="286"/>
      <c r="DW247" s="286"/>
      <c r="DX247" s="286"/>
      <c r="DY247" s="286"/>
      <c r="DZ247" s="286"/>
      <c r="EA247" s="286"/>
      <c r="EB247" s="286"/>
      <c r="EC247" s="286"/>
      <c r="ED247" s="286"/>
      <c r="EE247" s="286"/>
      <c r="EF247" s="286"/>
      <c r="EG247" s="286"/>
      <c r="EH247" s="286"/>
      <c r="EI247" s="286"/>
      <c r="EJ247" s="286"/>
      <c r="EK247" s="286"/>
      <c r="EL247" s="286"/>
      <c r="EM247" s="286"/>
      <c r="EN247" s="286"/>
      <c r="EO247" s="286"/>
      <c r="EP247" s="286"/>
      <c r="EQ247" s="286"/>
      <c r="ER247" s="286"/>
      <c r="ES247" s="286"/>
      <c r="ET247" s="286"/>
      <c r="EU247" s="286"/>
      <c r="EV247" s="286"/>
      <c r="EW247" s="286"/>
      <c r="EX247" s="286"/>
      <c r="EY247" s="286"/>
      <c r="EZ247" s="286"/>
      <c r="FA247" s="286"/>
      <c r="FB247" s="286"/>
      <c r="FC247" s="286"/>
      <c r="FD247" s="286"/>
      <c r="FE247" s="286"/>
      <c r="FF247" s="286"/>
      <c r="FG247" s="286"/>
      <c r="FH247" s="286"/>
      <c r="FI247" s="286"/>
      <c r="FJ247" s="286"/>
      <c r="FK247" s="286"/>
      <c r="FL247" s="286"/>
      <c r="FM247" s="286"/>
      <c r="FN247" s="286"/>
      <c r="FO247" s="286"/>
      <c r="FP247" s="286"/>
      <c r="FQ247" s="286"/>
      <c r="FR247" s="286"/>
      <c r="FS247" s="286"/>
    </row>
    <row r="248" spans="1:175">
      <c r="A248" s="212" t="s">
        <v>3159</v>
      </c>
      <c r="B248" s="212" t="s">
        <v>3160</v>
      </c>
      <c r="C248" s="212" t="s">
        <v>3172</v>
      </c>
      <c r="D248" s="212" t="s">
        <v>3233</v>
      </c>
      <c r="E248" s="212" t="s">
        <v>3409</v>
      </c>
      <c r="F248" s="278">
        <v>1031</v>
      </c>
      <c r="G248" s="278">
        <v>31763</v>
      </c>
      <c r="H248" s="287">
        <f t="shared" si="3"/>
        <v>3.6457513459056137</v>
      </c>
      <c r="I248" s="286">
        <v>35</v>
      </c>
      <c r="J248" s="286">
        <v>1158</v>
      </c>
      <c r="K248" s="286">
        <v>892</v>
      </c>
      <c r="L248" s="286">
        <v>266</v>
      </c>
      <c r="M248" s="286">
        <v>1091</v>
      </c>
      <c r="N248" s="286">
        <v>837</v>
      </c>
      <c r="O248" s="286">
        <v>254</v>
      </c>
      <c r="P248" s="286">
        <v>35</v>
      </c>
      <c r="Q248" s="286">
        <v>1158</v>
      </c>
      <c r="R248" s="286">
        <v>892</v>
      </c>
      <c r="S248" s="286">
        <v>266</v>
      </c>
      <c r="T248" s="286">
        <v>1091</v>
      </c>
      <c r="U248" s="286">
        <v>837</v>
      </c>
      <c r="V248" s="286">
        <v>254</v>
      </c>
      <c r="W248" s="286"/>
      <c r="X248" s="286"/>
      <c r="Y248" s="286"/>
      <c r="Z248" s="286"/>
      <c r="AA248" s="286"/>
      <c r="AB248" s="286"/>
      <c r="AC248" s="286"/>
      <c r="AD248" s="286"/>
      <c r="AE248" s="286"/>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c r="BG248" s="286"/>
      <c r="BH248" s="286"/>
      <c r="BI248" s="286"/>
      <c r="BJ248" s="286"/>
      <c r="BK248" s="286"/>
      <c r="BL248" s="286"/>
      <c r="BM248" s="286"/>
      <c r="BN248" s="286"/>
      <c r="BO248" s="286"/>
      <c r="BP248" s="286"/>
      <c r="BQ248" s="286"/>
      <c r="BR248" s="286"/>
      <c r="BS248" s="286"/>
      <c r="BT248" s="286"/>
      <c r="BU248" s="286"/>
      <c r="BV248" s="286"/>
      <c r="BW248" s="286"/>
      <c r="BX248" s="286"/>
      <c r="BY248" s="286"/>
      <c r="BZ248" s="286"/>
      <c r="CA248" s="286"/>
      <c r="CB248" s="286"/>
      <c r="CC248" s="286"/>
      <c r="CD248" s="286"/>
      <c r="CE248" s="286"/>
      <c r="CF248" s="286"/>
      <c r="CG248" s="286"/>
      <c r="CH248" s="286"/>
      <c r="CI248" s="286"/>
      <c r="CJ248" s="286"/>
      <c r="CK248" s="286"/>
      <c r="CL248" s="286"/>
      <c r="CM248" s="286"/>
      <c r="CN248" s="286"/>
      <c r="CO248" s="286"/>
      <c r="CP248" s="286"/>
      <c r="CQ248" s="286"/>
      <c r="CR248" s="286"/>
      <c r="CS248" s="286"/>
      <c r="CT248" s="286"/>
      <c r="CU248" s="286"/>
      <c r="CV248" s="286"/>
      <c r="CW248" s="286"/>
      <c r="CX248" s="286"/>
      <c r="CY248" s="286"/>
      <c r="CZ248" s="286"/>
      <c r="DA248" s="286"/>
      <c r="DB248" s="286"/>
      <c r="DC248" s="286"/>
      <c r="DD248" s="286"/>
      <c r="DE248" s="286"/>
      <c r="DF248" s="286"/>
      <c r="DG248" s="286"/>
      <c r="DH248" s="286"/>
      <c r="DI248" s="286"/>
      <c r="DJ248" s="286"/>
      <c r="DK248" s="286"/>
      <c r="DL248" s="286"/>
      <c r="DM248" s="286"/>
      <c r="DN248" s="286"/>
      <c r="DO248" s="286"/>
      <c r="DP248" s="286"/>
      <c r="DQ248" s="286"/>
      <c r="DR248" s="286"/>
      <c r="DS248" s="286"/>
      <c r="DT248" s="286"/>
      <c r="DU248" s="286"/>
      <c r="DV248" s="286"/>
      <c r="DW248" s="286"/>
      <c r="DX248" s="286"/>
      <c r="DY248" s="286"/>
      <c r="DZ248" s="286"/>
      <c r="EA248" s="286"/>
      <c r="EB248" s="286"/>
      <c r="EC248" s="286"/>
      <c r="ED248" s="286"/>
      <c r="EE248" s="286"/>
      <c r="EF248" s="286"/>
      <c r="EG248" s="286"/>
      <c r="EH248" s="286"/>
      <c r="EI248" s="286"/>
      <c r="EJ248" s="286"/>
      <c r="EK248" s="286"/>
      <c r="EL248" s="286"/>
      <c r="EM248" s="286"/>
      <c r="EN248" s="286"/>
      <c r="EO248" s="286"/>
      <c r="EP248" s="286"/>
      <c r="EQ248" s="286"/>
      <c r="ER248" s="286"/>
      <c r="ES248" s="286"/>
      <c r="ET248" s="286"/>
      <c r="EU248" s="286"/>
      <c r="EV248" s="286"/>
      <c r="EW248" s="286"/>
      <c r="EX248" s="286"/>
      <c r="EY248" s="286"/>
      <c r="EZ248" s="286"/>
      <c r="FA248" s="286"/>
      <c r="FB248" s="286"/>
      <c r="FC248" s="286"/>
      <c r="FD248" s="286"/>
      <c r="FE248" s="286"/>
      <c r="FF248" s="286"/>
      <c r="FG248" s="286"/>
      <c r="FH248" s="286"/>
      <c r="FI248" s="286"/>
      <c r="FJ248" s="286"/>
      <c r="FK248" s="286"/>
      <c r="FL248" s="286"/>
      <c r="FM248" s="286"/>
      <c r="FN248" s="286"/>
      <c r="FO248" s="286"/>
      <c r="FP248" s="286"/>
      <c r="FQ248" s="286"/>
      <c r="FR248" s="286"/>
      <c r="FS248" s="286"/>
    </row>
    <row r="249" spans="1:175">
      <c r="A249" s="212" t="s">
        <v>3159</v>
      </c>
      <c r="B249" s="212" t="s">
        <v>3160</v>
      </c>
      <c r="C249" s="212" t="s">
        <v>3172</v>
      </c>
      <c r="D249" s="212" t="s">
        <v>3233</v>
      </c>
      <c r="E249" s="212" t="s">
        <v>3410</v>
      </c>
      <c r="F249" s="278">
        <v>1404</v>
      </c>
      <c r="G249" s="278">
        <v>46090</v>
      </c>
      <c r="H249" s="287">
        <f t="shared" si="3"/>
        <v>3.3022347580820135</v>
      </c>
      <c r="I249" s="286">
        <v>36</v>
      </c>
      <c r="J249" s="286">
        <v>1522</v>
      </c>
      <c r="K249" s="286">
        <v>651</v>
      </c>
      <c r="L249" s="286">
        <v>871</v>
      </c>
      <c r="M249" s="286">
        <v>1473</v>
      </c>
      <c r="N249" s="286">
        <v>616</v>
      </c>
      <c r="O249" s="286">
        <v>857</v>
      </c>
      <c r="P249" s="286">
        <v>36</v>
      </c>
      <c r="Q249" s="286">
        <v>1522</v>
      </c>
      <c r="R249" s="286">
        <v>651</v>
      </c>
      <c r="S249" s="286">
        <v>871</v>
      </c>
      <c r="T249" s="286">
        <v>1473</v>
      </c>
      <c r="U249" s="286">
        <v>616</v>
      </c>
      <c r="V249" s="286">
        <v>857</v>
      </c>
      <c r="W249" s="286"/>
      <c r="X249" s="286"/>
      <c r="Y249" s="286"/>
      <c r="Z249" s="286"/>
      <c r="AA249" s="286"/>
      <c r="AB249" s="286"/>
      <c r="AC249" s="286"/>
      <c r="AD249" s="286"/>
      <c r="AE249" s="286"/>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c r="BG249" s="286"/>
      <c r="BH249" s="286"/>
      <c r="BI249" s="286"/>
      <c r="BJ249" s="286"/>
      <c r="BK249" s="286"/>
      <c r="BL249" s="286"/>
      <c r="BM249" s="286"/>
      <c r="BN249" s="286"/>
      <c r="BO249" s="286"/>
      <c r="BP249" s="286"/>
      <c r="BQ249" s="286"/>
      <c r="BR249" s="286"/>
      <c r="BS249" s="286"/>
      <c r="BT249" s="286"/>
      <c r="BU249" s="286"/>
      <c r="BV249" s="286"/>
      <c r="BW249" s="286"/>
      <c r="BX249" s="286"/>
      <c r="BY249" s="286"/>
      <c r="BZ249" s="286"/>
      <c r="CA249" s="286"/>
      <c r="CB249" s="286"/>
      <c r="CC249" s="286"/>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c r="CZ249" s="286"/>
      <c r="DA249" s="286"/>
      <c r="DB249" s="286"/>
      <c r="DC249" s="286"/>
      <c r="DD249" s="286"/>
      <c r="DE249" s="286"/>
      <c r="DF249" s="286"/>
      <c r="DG249" s="286"/>
      <c r="DH249" s="286"/>
      <c r="DI249" s="286"/>
      <c r="DJ249" s="286"/>
      <c r="DK249" s="286"/>
      <c r="DL249" s="286"/>
      <c r="DM249" s="286"/>
      <c r="DN249" s="286"/>
      <c r="DO249" s="286"/>
      <c r="DP249" s="286"/>
      <c r="DQ249" s="286"/>
      <c r="DR249" s="286"/>
      <c r="DS249" s="286"/>
      <c r="DT249" s="286"/>
      <c r="DU249" s="286"/>
      <c r="DV249" s="286"/>
      <c r="DW249" s="286"/>
      <c r="DX249" s="286"/>
      <c r="DY249" s="286"/>
      <c r="DZ249" s="286"/>
      <c r="EA249" s="286"/>
      <c r="EB249" s="286"/>
      <c r="EC249" s="286"/>
      <c r="ED249" s="286"/>
      <c r="EE249" s="286"/>
      <c r="EF249" s="286"/>
      <c r="EG249" s="286"/>
      <c r="EH249" s="286"/>
      <c r="EI249" s="286"/>
      <c r="EJ249" s="286"/>
      <c r="EK249" s="286"/>
      <c r="EL249" s="286"/>
      <c r="EM249" s="286"/>
      <c r="EN249" s="286"/>
      <c r="EO249" s="286"/>
      <c r="EP249" s="286"/>
      <c r="EQ249" s="286"/>
      <c r="ER249" s="286"/>
      <c r="ES249" s="286"/>
      <c r="ET249" s="286"/>
      <c r="EU249" s="286"/>
      <c r="EV249" s="286"/>
      <c r="EW249" s="286"/>
      <c r="EX249" s="286"/>
      <c r="EY249" s="286"/>
      <c r="EZ249" s="286"/>
      <c r="FA249" s="286"/>
      <c r="FB249" s="286"/>
      <c r="FC249" s="286"/>
      <c r="FD249" s="286"/>
      <c r="FE249" s="286"/>
      <c r="FF249" s="286"/>
      <c r="FG249" s="286"/>
      <c r="FH249" s="286"/>
      <c r="FI249" s="286"/>
      <c r="FJ249" s="286"/>
      <c r="FK249" s="286"/>
      <c r="FL249" s="286"/>
      <c r="FM249" s="286"/>
      <c r="FN249" s="286"/>
      <c r="FO249" s="286"/>
      <c r="FP249" s="286"/>
      <c r="FQ249" s="286"/>
      <c r="FR249" s="286"/>
      <c r="FS249" s="286"/>
    </row>
    <row r="250" spans="1:175">
      <c r="A250" s="212" t="s">
        <v>3159</v>
      </c>
      <c r="B250" s="212" t="s">
        <v>3160</v>
      </c>
      <c r="C250" s="212" t="s">
        <v>3172</v>
      </c>
      <c r="D250" s="212" t="s">
        <v>3233</v>
      </c>
      <c r="E250" s="212" t="s">
        <v>3411</v>
      </c>
      <c r="F250" s="278">
        <v>597</v>
      </c>
      <c r="G250" s="278">
        <v>15860</v>
      </c>
      <c r="H250" s="287">
        <f t="shared" si="3"/>
        <v>6.0781841109709962</v>
      </c>
      <c r="I250" s="286">
        <v>28</v>
      </c>
      <c r="J250" s="286">
        <v>964</v>
      </c>
      <c r="K250" s="286">
        <v>729</v>
      </c>
      <c r="L250" s="286">
        <v>235</v>
      </c>
      <c r="M250" s="286">
        <v>909</v>
      </c>
      <c r="N250" s="286">
        <v>688</v>
      </c>
      <c r="O250" s="286">
        <v>221</v>
      </c>
      <c r="P250" s="286">
        <v>28</v>
      </c>
      <c r="Q250" s="286">
        <v>964</v>
      </c>
      <c r="R250" s="286">
        <v>729</v>
      </c>
      <c r="S250" s="286">
        <v>235</v>
      </c>
      <c r="T250" s="286">
        <v>909</v>
      </c>
      <c r="U250" s="286">
        <v>688</v>
      </c>
      <c r="V250" s="286">
        <v>221</v>
      </c>
      <c r="W250" s="286"/>
      <c r="X250" s="286"/>
      <c r="Y250" s="286"/>
      <c r="Z250" s="286"/>
      <c r="AA250" s="286"/>
      <c r="AB250" s="286"/>
      <c r="AC250" s="286"/>
      <c r="AD250" s="286"/>
      <c r="AE250" s="286"/>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c r="BR250" s="286"/>
      <c r="BS250" s="286"/>
      <c r="BT250" s="286"/>
      <c r="BU250" s="286"/>
      <c r="BV250" s="286"/>
      <c r="BW250" s="286"/>
      <c r="BX250" s="286"/>
      <c r="BY250" s="286"/>
      <c r="BZ250" s="286"/>
      <c r="CA250" s="286"/>
      <c r="CB250" s="286"/>
      <c r="CC250" s="286"/>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c r="DK250" s="286"/>
      <c r="DL250" s="286"/>
      <c r="DM250" s="286"/>
      <c r="DN250" s="286"/>
      <c r="DO250" s="286"/>
      <c r="DP250" s="286"/>
      <c r="DQ250" s="286"/>
      <c r="DR250" s="286"/>
      <c r="DS250" s="286"/>
      <c r="DT250" s="286"/>
      <c r="DU250" s="286"/>
      <c r="DV250" s="286"/>
      <c r="DW250" s="286"/>
      <c r="DX250" s="286"/>
      <c r="DY250" s="286"/>
      <c r="DZ250" s="286"/>
      <c r="EA250" s="286"/>
      <c r="EB250" s="286"/>
      <c r="EC250" s="286"/>
      <c r="ED250" s="286"/>
      <c r="EE250" s="286"/>
      <c r="EF250" s="286"/>
      <c r="EG250" s="286"/>
      <c r="EH250" s="286"/>
      <c r="EI250" s="286"/>
      <c r="EJ250" s="286"/>
      <c r="EK250" s="286"/>
      <c r="EL250" s="286"/>
      <c r="EM250" s="286"/>
      <c r="EN250" s="286"/>
      <c r="EO250" s="286"/>
      <c r="EP250" s="286"/>
      <c r="EQ250" s="286"/>
      <c r="ER250" s="286"/>
      <c r="ES250" s="286"/>
      <c r="ET250" s="286"/>
      <c r="EU250" s="286"/>
      <c r="EV250" s="286"/>
      <c r="EW250" s="286"/>
      <c r="EX250" s="286"/>
      <c r="EY250" s="286"/>
      <c r="EZ250" s="286"/>
      <c r="FA250" s="286"/>
      <c r="FB250" s="286"/>
      <c r="FC250" s="286"/>
      <c r="FD250" s="286"/>
      <c r="FE250" s="286"/>
      <c r="FF250" s="286"/>
      <c r="FG250" s="286"/>
      <c r="FH250" s="286"/>
      <c r="FI250" s="286"/>
      <c r="FJ250" s="286"/>
      <c r="FK250" s="286"/>
      <c r="FL250" s="286"/>
      <c r="FM250" s="286"/>
      <c r="FN250" s="286"/>
      <c r="FO250" s="286"/>
      <c r="FP250" s="286"/>
      <c r="FQ250" s="286"/>
      <c r="FR250" s="286"/>
      <c r="FS250" s="286"/>
    </row>
    <row r="251" spans="1:175">
      <c r="A251" s="212" t="s">
        <v>3159</v>
      </c>
      <c r="B251" s="212" t="s">
        <v>3160</v>
      </c>
      <c r="C251" s="212" t="s">
        <v>3170</v>
      </c>
      <c r="D251" s="212" t="s">
        <v>3233</v>
      </c>
      <c r="E251" s="212" t="s">
        <v>3412</v>
      </c>
      <c r="F251" s="278">
        <v>2452</v>
      </c>
      <c r="G251" s="278">
        <v>151814</v>
      </c>
      <c r="H251" s="287">
        <f t="shared" si="3"/>
        <v>6.2523877903223681</v>
      </c>
      <c r="I251" s="286">
        <v>77</v>
      </c>
      <c r="J251" s="286">
        <v>9492</v>
      </c>
      <c r="K251" s="286">
        <v>6765</v>
      </c>
      <c r="L251" s="286">
        <v>2727</v>
      </c>
      <c r="M251" s="286">
        <v>8363</v>
      </c>
      <c r="N251" s="286">
        <v>5936</v>
      </c>
      <c r="O251" s="286">
        <v>2427</v>
      </c>
      <c r="P251" s="286">
        <v>77</v>
      </c>
      <c r="Q251" s="286">
        <v>9492</v>
      </c>
      <c r="R251" s="286">
        <v>6765</v>
      </c>
      <c r="S251" s="286">
        <v>2727</v>
      </c>
      <c r="T251" s="286">
        <v>8363</v>
      </c>
      <c r="U251" s="286">
        <v>5936</v>
      </c>
      <c r="V251" s="286">
        <v>2427</v>
      </c>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c r="BR251" s="286"/>
      <c r="BS251" s="286"/>
      <c r="BT251" s="286"/>
      <c r="BU251" s="286"/>
      <c r="BV251" s="286"/>
      <c r="BW251" s="286"/>
      <c r="BX251" s="286"/>
      <c r="BY251" s="286"/>
      <c r="BZ251" s="286"/>
      <c r="CA251" s="286"/>
      <c r="CB251" s="286"/>
      <c r="CC251" s="286"/>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6"/>
      <c r="DM251" s="286"/>
      <c r="DN251" s="286"/>
      <c r="DO251" s="286"/>
      <c r="DP251" s="286"/>
      <c r="DQ251" s="286"/>
      <c r="DR251" s="286"/>
      <c r="DS251" s="286"/>
      <c r="DT251" s="286"/>
      <c r="DU251" s="286"/>
      <c r="DV251" s="286"/>
      <c r="DW251" s="286"/>
      <c r="DX251" s="286"/>
      <c r="DY251" s="286"/>
      <c r="DZ251" s="286"/>
      <c r="EA251" s="286"/>
      <c r="EB251" s="286"/>
      <c r="EC251" s="286"/>
      <c r="ED251" s="286"/>
      <c r="EE251" s="286"/>
      <c r="EF251" s="286"/>
      <c r="EG251" s="286"/>
      <c r="EH251" s="286"/>
      <c r="EI251" s="286"/>
      <c r="EJ251" s="286"/>
      <c r="EK251" s="286"/>
      <c r="EL251" s="286"/>
      <c r="EM251" s="286"/>
      <c r="EN251" s="286"/>
      <c r="EO251" s="286"/>
      <c r="EP251" s="286"/>
      <c r="EQ251" s="286"/>
      <c r="ER251" s="286"/>
      <c r="ES251" s="286"/>
      <c r="ET251" s="286"/>
      <c r="EU251" s="286"/>
      <c r="EV251" s="286"/>
      <c r="EW251" s="286"/>
      <c r="EX251" s="286"/>
      <c r="EY251" s="286"/>
      <c r="EZ251" s="286"/>
      <c r="FA251" s="286"/>
      <c r="FB251" s="286"/>
      <c r="FC251" s="286"/>
      <c r="FD251" s="286"/>
      <c r="FE251" s="286"/>
      <c r="FF251" s="286"/>
      <c r="FG251" s="286"/>
      <c r="FH251" s="286"/>
      <c r="FI251" s="286"/>
      <c r="FJ251" s="286"/>
      <c r="FK251" s="286"/>
      <c r="FL251" s="286"/>
      <c r="FM251" s="286"/>
      <c r="FN251" s="286"/>
      <c r="FO251" s="286"/>
      <c r="FP251" s="286"/>
      <c r="FQ251" s="286"/>
      <c r="FR251" s="286"/>
      <c r="FS251" s="286"/>
    </row>
    <row r="252" spans="1:175">
      <c r="A252" s="212" t="s">
        <v>3159</v>
      </c>
      <c r="B252" s="212" t="s">
        <v>3160</v>
      </c>
      <c r="C252" s="212" t="s">
        <v>3172</v>
      </c>
      <c r="D252" s="212" t="s">
        <v>3233</v>
      </c>
      <c r="E252" s="212" t="s">
        <v>3413</v>
      </c>
      <c r="F252" s="278">
        <v>89</v>
      </c>
      <c r="G252" s="278">
        <v>9270</v>
      </c>
      <c r="H252" s="287">
        <f t="shared" si="3"/>
        <v>7.5512405609492989E-2</v>
      </c>
      <c r="I252" s="286">
        <v>1</v>
      </c>
      <c r="J252" s="286">
        <v>7</v>
      </c>
      <c r="K252" s="286">
        <v>7</v>
      </c>
      <c r="L252" s="286">
        <v>0</v>
      </c>
      <c r="M252" s="286">
        <v>3</v>
      </c>
      <c r="N252" s="286">
        <v>3</v>
      </c>
      <c r="O252" s="286">
        <v>0</v>
      </c>
      <c r="P252" s="286">
        <v>1</v>
      </c>
      <c r="Q252" s="286">
        <v>7</v>
      </c>
      <c r="R252" s="286">
        <v>7</v>
      </c>
      <c r="S252" s="286">
        <v>0</v>
      </c>
      <c r="T252" s="286">
        <v>3</v>
      </c>
      <c r="U252" s="286">
        <v>3</v>
      </c>
      <c r="V252" s="286">
        <v>0</v>
      </c>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c r="BR252" s="286"/>
      <c r="BS252" s="286"/>
      <c r="BT252" s="286"/>
      <c r="BU252" s="286"/>
      <c r="BV252" s="286"/>
      <c r="BW252" s="286"/>
      <c r="BX252" s="286"/>
      <c r="BY252" s="286"/>
      <c r="BZ252" s="286"/>
      <c r="CA252" s="286"/>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c r="DV252" s="286"/>
      <c r="DW252" s="286"/>
      <c r="DX252" s="286"/>
      <c r="DY252" s="286"/>
      <c r="DZ252" s="286"/>
      <c r="EA252" s="286"/>
      <c r="EB252" s="286"/>
      <c r="EC252" s="286"/>
      <c r="ED252" s="286"/>
      <c r="EE252" s="286"/>
      <c r="EF252" s="286"/>
      <c r="EG252" s="286"/>
      <c r="EH252" s="286"/>
      <c r="EI252" s="286"/>
      <c r="EJ252" s="286"/>
      <c r="EK252" s="286"/>
      <c r="EL252" s="286"/>
      <c r="EM252" s="286"/>
      <c r="EN252" s="286"/>
      <c r="EO252" s="286"/>
      <c r="EP252" s="286"/>
      <c r="EQ252" s="286"/>
      <c r="ER252" s="286"/>
      <c r="ES252" s="286"/>
      <c r="ET252" s="286"/>
      <c r="EU252" s="286"/>
      <c r="EV252" s="286"/>
      <c r="EW252" s="286"/>
      <c r="EX252" s="286"/>
      <c r="EY252" s="286"/>
      <c r="EZ252" s="286"/>
      <c r="FA252" s="286"/>
      <c r="FB252" s="286"/>
      <c r="FC252" s="286"/>
      <c r="FD252" s="286"/>
      <c r="FE252" s="286"/>
      <c r="FF252" s="286"/>
      <c r="FG252" s="286"/>
      <c r="FH252" s="286"/>
      <c r="FI252" s="286"/>
      <c r="FJ252" s="286"/>
      <c r="FK252" s="286"/>
      <c r="FL252" s="286"/>
      <c r="FM252" s="286"/>
      <c r="FN252" s="286"/>
      <c r="FO252" s="286"/>
      <c r="FP252" s="286"/>
      <c r="FQ252" s="286"/>
      <c r="FR252" s="286"/>
      <c r="FS252" s="286"/>
    </row>
    <row r="253" spans="1:175">
      <c r="A253" s="212" t="s">
        <v>3159</v>
      </c>
      <c r="B253" s="212" t="s">
        <v>3160</v>
      </c>
      <c r="C253" s="212" t="s">
        <v>3172</v>
      </c>
      <c r="D253" s="212" t="s">
        <v>3233</v>
      </c>
      <c r="E253" s="212" t="s">
        <v>3414</v>
      </c>
      <c r="F253" s="278">
        <v>916</v>
      </c>
      <c r="G253" s="278">
        <v>65003</v>
      </c>
      <c r="H253" s="287">
        <f t="shared" si="3"/>
        <v>12.257895789425104</v>
      </c>
      <c r="I253" s="286">
        <v>39</v>
      </c>
      <c r="J253" s="286">
        <v>7968</v>
      </c>
      <c r="K253" s="286">
        <v>5813</v>
      </c>
      <c r="L253" s="286">
        <v>2155</v>
      </c>
      <c r="M253" s="286">
        <v>6934</v>
      </c>
      <c r="N253" s="286">
        <v>5043</v>
      </c>
      <c r="O253" s="286">
        <v>1891</v>
      </c>
      <c r="P253" s="286">
        <v>39</v>
      </c>
      <c r="Q253" s="286">
        <v>7968</v>
      </c>
      <c r="R253" s="286">
        <v>5813</v>
      </c>
      <c r="S253" s="286">
        <v>2155</v>
      </c>
      <c r="T253" s="286">
        <v>6934</v>
      </c>
      <c r="U253" s="286">
        <v>5043</v>
      </c>
      <c r="V253" s="286">
        <v>1891</v>
      </c>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286"/>
      <c r="BZ253" s="286"/>
      <c r="CA253" s="286"/>
      <c r="CB253" s="286"/>
      <c r="CC253" s="286"/>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c r="DV253" s="286"/>
      <c r="DW253" s="286"/>
      <c r="DX253" s="286"/>
      <c r="DY253" s="286"/>
      <c r="DZ253" s="286"/>
      <c r="EA253" s="286"/>
      <c r="EB253" s="286"/>
      <c r="EC253" s="286"/>
      <c r="ED253" s="286"/>
      <c r="EE253" s="286"/>
      <c r="EF253" s="286"/>
      <c r="EG253" s="286"/>
      <c r="EH253" s="286"/>
      <c r="EI253" s="286"/>
      <c r="EJ253" s="286"/>
      <c r="EK253" s="286"/>
      <c r="EL253" s="286"/>
      <c r="EM253" s="286"/>
      <c r="EN253" s="286"/>
      <c r="EO253" s="286"/>
      <c r="EP253" s="286"/>
      <c r="EQ253" s="286"/>
      <c r="ER253" s="286"/>
      <c r="ES253" s="286"/>
      <c r="ET253" s="286"/>
      <c r="EU253" s="286"/>
      <c r="EV253" s="286"/>
      <c r="EW253" s="286"/>
      <c r="EX253" s="286"/>
      <c r="EY253" s="286"/>
      <c r="EZ253" s="286"/>
      <c r="FA253" s="286"/>
      <c r="FB253" s="286"/>
      <c r="FC253" s="286"/>
      <c r="FD253" s="286"/>
      <c r="FE253" s="286"/>
      <c r="FF253" s="286"/>
      <c r="FG253" s="286"/>
      <c r="FH253" s="286"/>
      <c r="FI253" s="286"/>
      <c r="FJ253" s="286"/>
      <c r="FK253" s="286"/>
      <c r="FL253" s="286"/>
      <c r="FM253" s="286"/>
      <c r="FN253" s="286"/>
      <c r="FO253" s="286"/>
      <c r="FP253" s="286"/>
      <c r="FQ253" s="286"/>
      <c r="FR253" s="286"/>
      <c r="FS253" s="286"/>
    </row>
    <row r="254" spans="1:175">
      <c r="A254" s="212" t="s">
        <v>3159</v>
      </c>
      <c r="B254" s="212" t="s">
        <v>3160</v>
      </c>
      <c r="C254" s="212" t="s">
        <v>3172</v>
      </c>
      <c r="D254" s="212" t="s">
        <v>3233</v>
      </c>
      <c r="E254" s="212" t="s">
        <v>3415</v>
      </c>
      <c r="F254" s="278">
        <v>664</v>
      </c>
      <c r="G254" s="278">
        <v>25531</v>
      </c>
      <c r="H254" s="287">
        <f t="shared" si="3"/>
        <v>1.4805530531510713</v>
      </c>
      <c r="I254" s="286">
        <v>14</v>
      </c>
      <c r="J254" s="286">
        <v>378</v>
      </c>
      <c r="K254" s="286">
        <v>157</v>
      </c>
      <c r="L254" s="286">
        <v>221</v>
      </c>
      <c r="M254" s="286">
        <v>334</v>
      </c>
      <c r="N254" s="286">
        <v>141</v>
      </c>
      <c r="O254" s="286">
        <v>193</v>
      </c>
      <c r="P254" s="286">
        <v>14</v>
      </c>
      <c r="Q254" s="286">
        <v>378</v>
      </c>
      <c r="R254" s="286">
        <v>157</v>
      </c>
      <c r="S254" s="286">
        <v>221</v>
      </c>
      <c r="T254" s="286">
        <v>334</v>
      </c>
      <c r="U254" s="286">
        <v>141</v>
      </c>
      <c r="V254" s="286">
        <v>193</v>
      </c>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c r="BR254" s="286"/>
      <c r="BS254" s="286"/>
      <c r="BT254" s="286"/>
      <c r="BU254" s="286"/>
      <c r="BV254" s="286"/>
      <c r="BW254" s="286"/>
      <c r="BX254" s="286"/>
      <c r="BY254" s="286"/>
      <c r="BZ254" s="286"/>
      <c r="CA254" s="286"/>
      <c r="CB254" s="286"/>
      <c r="CC254" s="286"/>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6"/>
      <c r="DM254" s="286"/>
      <c r="DN254" s="286"/>
      <c r="DO254" s="286"/>
      <c r="DP254" s="286"/>
      <c r="DQ254" s="286"/>
      <c r="DR254" s="286"/>
      <c r="DS254" s="286"/>
      <c r="DT254" s="286"/>
      <c r="DU254" s="286"/>
      <c r="DV254" s="286"/>
      <c r="DW254" s="286"/>
      <c r="DX254" s="286"/>
      <c r="DY254" s="286"/>
      <c r="DZ254" s="286"/>
      <c r="EA254" s="286"/>
      <c r="EB254" s="286"/>
      <c r="EC254" s="286"/>
      <c r="ED254" s="286"/>
      <c r="EE254" s="286"/>
      <c r="EF254" s="286"/>
      <c r="EG254" s="286"/>
      <c r="EH254" s="286"/>
      <c r="EI254" s="286"/>
      <c r="EJ254" s="286"/>
      <c r="EK254" s="286"/>
      <c r="EL254" s="286"/>
      <c r="EM254" s="286"/>
      <c r="EN254" s="286"/>
      <c r="EO254" s="286"/>
      <c r="EP254" s="286"/>
      <c r="EQ254" s="286"/>
      <c r="ER254" s="286"/>
      <c r="ES254" s="286"/>
      <c r="ET254" s="286"/>
      <c r="EU254" s="286"/>
      <c r="EV254" s="286"/>
      <c r="EW254" s="286"/>
      <c r="EX254" s="286"/>
      <c r="EY254" s="286"/>
      <c r="EZ254" s="286"/>
      <c r="FA254" s="286"/>
      <c r="FB254" s="286"/>
      <c r="FC254" s="286"/>
      <c r="FD254" s="286"/>
      <c r="FE254" s="286"/>
      <c r="FF254" s="286"/>
      <c r="FG254" s="286"/>
      <c r="FH254" s="286"/>
      <c r="FI254" s="286"/>
      <c r="FJ254" s="286"/>
      <c r="FK254" s="286"/>
      <c r="FL254" s="286"/>
      <c r="FM254" s="286"/>
      <c r="FN254" s="286"/>
      <c r="FO254" s="286"/>
      <c r="FP254" s="286"/>
      <c r="FQ254" s="286"/>
      <c r="FR254" s="286"/>
      <c r="FS254" s="286"/>
    </row>
    <row r="255" spans="1:175">
      <c r="A255" s="212" t="s">
        <v>3159</v>
      </c>
      <c r="B255" s="212" t="s">
        <v>3160</v>
      </c>
      <c r="C255" s="212" t="s">
        <v>3172</v>
      </c>
      <c r="D255" s="212" t="s">
        <v>3233</v>
      </c>
      <c r="E255" s="212" t="s">
        <v>3416</v>
      </c>
      <c r="F255" s="278">
        <v>783</v>
      </c>
      <c r="G255" s="278">
        <v>52010</v>
      </c>
      <c r="H255" s="287">
        <f t="shared" si="3"/>
        <v>2.1899634685637377</v>
      </c>
      <c r="I255" s="286">
        <v>23</v>
      </c>
      <c r="J255" s="286">
        <v>1139</v>
      </c>
      <c r="K255" s="286">
        <v>788</v>
      </c>
      <c r="L255" s="286">
        <v>351</v>
      </c>
      <c r="M255" s="286">
        <v>1092</v>
      </c>
      <c r="N255" s="286">
        <v>749</v>
      </c>
      <c r="O255" s="286">
        <v>343</v>
      </c>
      <c r="P255" s="286">
        <v>23</v>
      </c>
      <c r="Q255" s="286">
        <v>1139</v>
      </c>
      <c r="R255" s="286">
        <v>788</v>
      </c>
      <c r="S255" s="286">
        <v>351</v>
      </c>
      <c r="T255" s="286">
        <v>1092</v>
      </c>
      <c r="U255" s="286">
        <v>749</v>
      </c>
      <c r="V255" s="286">
        <v>343</v>
      </c>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c r="BR255" s="286"/>
      <c r="BS255" s="286"/>
      <c r="BT255" s="286"/>
      <c r="BU255" s="286"/>
      <c r="BV255" s="286"/>
      <c r="BW255" s="286"/>
      <c r="BX255" s="286"/>
      <c r="BY255" s="286"/>
      <c r="BZ255" s="286"/>
      <c r="CA255" s="286"/>
      <c r="CB255" s="286"/>
      <c r="CC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6"/>
      <c r="DM255" s="286"/>
      <c r="DN255" s="286"/>
      <c r="DO255" s="286"/>
      <c r="DP255" s="286"/>
      <c r="DQ255" s="286"/>
      <c r="DR255" s="286"/>
      <c r="DS255" s="286"/>
      <c r="DT255" s="286"/>
      <c r="DU255" s="286"/>
      <c r="DV255" s="286"/>
      <c r="DW255" s="286"/>
      <c r="DX255" s="286"/>
      <c r="DY255" s="286"/>
      <c r="DZ255" s="286"/>
      <c r="EA255" s="286"/>
      <c r="EB255" s="286"/>
      <c r="EC255" s="286"/>
      <c r="ED255" s="286"/>
      <c r="EE255" s="286"/>
      <c r="EF255" s="286"/>
      <c r="EG255" s="286"/>
      <c r="EH255" s="286"/>
      <c r="EI255" s="286"/>
      <c r="EJ255" s="286"/>
      <c r="EK255" s="286"/>
      <c r="EL255" s="286"/>
      <c r="EM255" s="286"/>
      <c r="EN255" s="286"/>
      <c r="EO255" s="286"/>
      <c r="EP255" s="286"/>
      <c r="EQ255" s="286"/>
      <c r="ER255" s="286"/>
      <c r="ES255" s="286"/>
      <c r="ET255" s="286"/>
      <c r="EU255" s="286"/>
      <c r="EV255" s="286"/>
      <c r="EW255" s="286"/>
      <c r="EX255" s="286"/>
      <c r="EY255" s="286"/>
      <c r="EZ255" s="286"/>
      <c r="FA255" s="286"/>
      <c r="FB255" s="286"/>
      <c r="FC255" s="286"/>
      <c r="FD255" s="286"/>
      <c r="FE255" s="286"/>
      <c r="FF255" s="286"/>
      <c r="FG255" s="286"/>
      <c r="FH255" s="286"/>
      <c r="FI255" s="286"/>
      <c r="FJ255" s="286"/>
      <c r="FK255" s="286"/>
      <c r="FL255" s="286"/>
      <c r="FM255" s="286"/>
      <c r="FN255" s="286"/>
      <c r="FO255" s="286"/>
      <c r="FP255" s="286"/>
      <c r="FQ255" s="286"/>
      <c r="FR255" s="286"/>
      <c r="FS255" s="286"/>
    </row>
    <row r="256" spans="1:175">
      <c r="A256" s="212" t="s">
        <v>3159</v>
      </c>
      <c r="B256" s="212" t="s">
        <v>3160</v>
      </c>
      <c r="C256" s="212" t="s">
        <v>3170</v>
      </c>
      <c r="D256" s="212" t="s">
        <v>3233</v>
      </c>
      <c r="E256" s="212" t="s">
        <v>3417</v>
      </c>
      <c r="F256" s="278">
        <v>18726</v>
      </c>
      <c r="G256" s="278">
        <v>1102819</v>
      </c>
      <c r="H256" s="287">
        <f t="shared" si="3"/>
        <v>3.1964447475061637</v>
      </c>
      <c r="I256" s="286">
        <v>785</v>
      </c>
      <c r="J256" s="286">
        <v>35251</v>
      </c>
      <c r="K256" s="286">
        <v>29685</v>
      </c>
      <c r="L256" s="286">
        <v>5564</v>
      </c>
      <c r="M256" s="286">
        <v>33589</v>
      </c>
      <c r="N256" s="286">
        <v>28424</v>
      </c>
      <c r="O256" s="286">
        <v>5164</v>
      </c>
      <c r="P256" s="286">
        <v>785</v>
      </c>
      <c r="Q256" s="286">
        <v>35251</v>
      </c>
      <c r="R256" s="286">
        <v>29685</v>
      </c>
      <c r="S256" s="286">
        <v>5564</v>
      </c>
      <c r="T256" s="286">
        <v>33589</v>
      </c>
      <c r="U256" s="286">
        <v>28424</v>
      </c>
      <c r="V256" s="286">
        <v>5164</v>
      </c>
      <c r="W256" s="286"/>
      <c r="X256" s="286"/>
      <c r="Y256" s="286"/>
      <c r="Z256" s="286"/>
      <c r="AA256" s="286"/>
      <c r="AB256" s="286"/>
      <c r="AC256" s="286"/>
      <c r="AD256" s="286"/>
      <c r="AE256" s="286"/>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c r="BG256" s="286"/>
      <c r="BH256" s="286"/>
      <c r="BI256" s="286"/>
      <c r="BJ256" s="286"/>
      <c r="BK256" s="286"/>
      <c r="BL256" s="286"/>
      <c r="BM256" s="286"/>
      <c r="BN256" s="286"/>
      <c r="BO256" s="286"/>
      <c r="BP256" s="286"/>
      <c r="BQ256" s="286"/>
      <c r="BR256" s="286"/>
      <c r="BS256" s="286"/>
      <c r="BT256" s="286"/>
      <c r="BU256" s="286"/>
      <c r="BV256" s="286"/>
      <c r="BW256" s="286"/>
      <c r="BX256" s="286"/>
      <c r="BY256" s="286"/>
      <c r="BZ256" s="286"/>
      <c r="CA256" s="286"/>
      <c r="CB256" s="286"/>
      <c r="CC256" s="286"/>
      <c r="CD256" s="286"/>
      <c r="CE256" s="286"/>
      <c r="CF256" s="286"/>
      <c r="CG256" s="286"/>
      <c r="CH256" s="286"/>
      <c r="CI256" s="286"/>
      <c r="CJ256" s="286"/>
      <c r="CK256" s="286"/>
      <c r="CL256" s="286"/>
      <c r="CM256" s="286"/>
      <c r="CN256" s="286"/>
      <c r="CO256" s="286"/>
      <c r="CP256" s="286"/>
      <c r="CQ256" s="286"/>
      <c r="CR256" s="286"/>
      <c r="CS256" s="286"/>
      <c r="CT256" s="286"/>
      <c r="CU256" s="286"/>
      <c r="CV256" s="286"/>
      <c r="CW256" s="286"/>
      <c r="CX256" s="286"/>
      <c r="CY256" s="286"/>
      <c r="CZ256" s="286"/>
      <c r="DA256" s="286"/>
      <c r="DB256" s="286"/>
      <c r="DC256" s="286"/>
      <c r="DD256" s="286"/>
      <c r="DE256" s="286"/>
      <c r="DF256" s="286"/>
      <c r="DG256" s="286"/>
      <c r="DH256" s="286"/>
      <c r="DI256" s="286"/>
      <c r="DJ256" s="286"/>
      <c r="DK256" s="286"/>
      <c r="DL256" s="286"/>
      <c r="DM256" s="286"/>
      <c r="DN256" s="286"/>
      <c r="DO256" s="286"/>
      <c r="DP256" s="286"/>
      <c r="DQ256" s="286"/>
      <c r="DR256" s="286"/>
      <c r="DS256" s="286"/>
      <c r="DT256" s="286"/>
      <c r="DU256" s="286"/>
      <c r="DV256" s="286"/>
      <c r="DW256" s="286"/>
      <c r="DX256" s="286"/>
      <c r="DY256" s="286"/>
      <c r="DZ256" s="286"/>
      <c r="EA256" s="286"/>
      <c r="EB256" s="286"/>
      <c r="EC256" s="286"/>
      <c r="ED256" s="286"/>
      <c r="EE256" s="286"/>
      <c r="EF256" s="286"/>
      <c r="EG256" s="286"/>
      <c r="EH256" s="286"/>
      <c r="EI256" s="286"/>
      <c r="EJ256" s="286"/>
      <c r="EK256" s="286"/>
      <c r="EL256" s="286"/>
      <c r="EM256" s="286"/>
      <c r="EN256" s="286"/>
      <c r="EO256" s="286"/>
      <c r="EP256" s="286"/>
      <c r="EQ256" s="286"/>
      <c r="ER256" s="286"/>
      <c r="ES256" s="286"/>
      <c r="ET256" s="286"/>
      <c r="EU256" s="286"/>
      <c r="EV256" s="286"/>
      <c r="EW256" s="286"/>
      <c r="EX256" s="286"/>
      <c r="EY256" s="286"/>
      <c r="EZ256" s="286"/>
      <c r="FA256" s="286"/>
      <c r="FB256" s="286"/>
      <c r="FC256" s="286"/>
      <c r="FD256" s="286"/>
      <c r="FE256" s="286"/>
      <c r="FF256" s="286"/>
      <c r="FG256" s="286"/>
      <c r="FH256" s="286"/>
      <c r="FI256" s="286"/>
      <c r="FJ256" s="286"/>
      <c r="FK256" s="286"/>
      <c r="FL256" s="286"/>
      <c r="FM256" s="286"/>
      <c r="FN256" s="286"/>
      <c r="FO256" s="286"/>
      <c r="FP256" s="286"/>
      <c r="FQ256" s="286"/>
      <c r="FR256" s="286"/>
      <c r="FS256" s="286"/>
    </row>
    <row r="257" spans="1:175">
      <c r="A257" s="212" t="s">
        <v>3159</v>
      </c>
      <c r="B257" s="212" t="s">
        <v>3160</v>
      </c>
      <c r="C257" s="212" t="s">
        <v>3172</v>
      </c>
      <c r="D257" s="212" t="s">
        <v>3233</v>
      </c>
      <c r="E257" s="212" t="s">
        <v>3418</v>
      </c>
      <c r="F257" s="278">
        <v>398</v>
      </c>
      <c r="G257" s="278">
        <v>35087</v>
      </c>
      <c r="H257" s="287">
        <f t="shared" si="3"/>
        <v>0.43320888078205599</v>
      </c>
      <c r="I257" s="286">
        <v>17</v>
      </c>
      <c r="J257" s="286">
        <v>152</v>
      </c>
      <c r="K257" s="286">
        <v>124</v>
      </c>
      <c r="L257" s="286">
        <v>28</v>
      </c>
      <c r="M257" s="286">
        <v>124</v>
      </c>
      <c r="N257" s="286">
        <v>103</v>
      </c>
      <c r="O257" s="286">
        <v>21</v>
      </c>
      <c r="P257" s="286">
        <v>17</v>
      </c>
      <c r="Q257" s="286">
        <v>152</v>
      </c>
      <c r="R257" s="286">
        <v>124</v>
      </c>
      <c r="S257" s="286">
        <v>28</v>
      </c>
      <c r="T257" s="286">
        <v>124</v>
      </c>
      <c r="U257" s="286">
        <v>103</v>
      </c>
      <c r="V257" s="286">
        <v>21</v>
      </c>
      <c r="W257" s="286"/>
      <c r="X257" s="286"/>
      <c r="Y257" s="286"/>
      <c r="Z257" s="286"/>
      <c r="AA257" s="286"/>
      <c r="AB257" s="286"/>
      <c r="AC257" s="286"/>
      <c r="AD257" s="286"/>
      <c r="AE257" s="286"/>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c r="BG257" s="286"/>
      <c r="BH257" s="286"/>
      <c r="BI257" s="286"/>
      <c r="BJ257" s="286"/>
      <c r="BK257" s="286"/>
      <c r="BL257" s="286"/>
      <c r="BM257" s="286"/>
      <c r="BN257" s="286"/>
      <c r="BO257" s="286"/>
      <c r="BP257" s="286"/>
      <c r="BQ257" s="286"/>
      <c r="BR257" s="286"/>
      <c r="BS257" s="286"/>
      <c r="BT257" s="286"/>
      <c r="BU257" s="286"/>
      <c r="BV257" s="286"/>
      <c r="BW257" s="286"/>
      <c r="BX257" s="286"/>
      <c r="BY257" s="286"/>
      <c r="BZ257" s="286"/>
      <c r="CA257" s="286"/>
      <c r="CB257" s="286"/>
      <c r="CC257" s="286"/>
      <c r="CD257" s="286"/>
      <c r="CE257" s="286"/>
      <c r="CF257" s="286"/>
      <c r="CG257" s="286"/>
      <c r="CH257" s="286"/>
      <c r="CI257" s="286"/>
      <c r="CJ257" s="286"/>
      <c r="CK257" s="286"/>
      <c r="CL257" s="286"/>
      <c r="CM257" s="286"/>
      <c r="CN257" s="286"/>
      <c r="CO257" s="286"/>
      <c r="CP257" s="286"/>
      <c r="CQ257" s="286"/>
      <c r="CR257" s="286"/>
      <c r="CS257" s="286"/>
      <c r="CT257" s="286"/>
      <c r="CU257" s="286"/>
      <c r="CV257" s="286"/>
      <c r="CW257" s="286"/>
      <c r="CX257" s="286"/>
      <c r="CY257" s="286"/>
      <c r="CZ257" s="286"/>
      <c r="DA257" s="286"/>
      <c r="DB257" s="286"/>
      <c r="DC257" s="286"/>
      <c r="DD257" s="286"/>
      <c r="DE257" s="286"/>
      <c r="DF257" s="286"/>
      <c r="DG257" s="286"/>
      <c r="DH257" s="286"/>
      <c r="DI257" s="286"/>
      <c r="DJ257" s="286"/>
      <c r="DK257" s="286"/>
      <c r="DL257" s="286"/>
      <c r="DM257" s="286"/>
      <c r="DN257" s="286"/>
      <c r="DO257" s="286"/>
      <c r="DP257" s="286"/>
      <c r="DQ257" s="286"/>
      <c r="DR257" s="286"/>
      <c r="DS257" s="286"/>
      <c r="DT257" s="286"/>
      <c r="DU257" s="286"/>
      <c r="DV257" s="286"/>
      <c r="DW257" s="286"/>
      <c r="DX257" s="286"/>
      <c r="DY257" s="286"/>
      <c r="DZ257" s="286"/>
      <c r="EA257" s="286"/>
      <c r="EB257" s="286"/>
      <c r="EC257" s="286"/>
      <c r="ED257" s="286"/>
      <c r="EE257" s="286"/>
      <c r="EF257" s="286"/>
      <c r="EG257" s="286"/>
      <c r="EH257" s="286"/>
      <c r="EI257" s="286"/>
      <c r="EJ257" s="286"/>
      <c r="EK257" s="286"/>
      <c r="EL257" s="286"/>
      <c r="EM257" s="286"/>
      <c r="EN257" s="286"/>
      <c r="EO257" s="286"/>
      <c r="EP257" s="286"/>
      <c r="EQ257" s="286"/>
      <c r="ER257" s="286"/>
      <c r="ES257" s="286"/>
      <c r="ET257" s="286"/>
      <c r="EU257" s="286"/>
      <c r="EV257" s="286"/>
      <c r="EW257" s="286"/>
      <c r="EX257" s="286"/>
      <c r="EY257" s="286"/>
      <c r="EZ257" s="286"/>
      <c r="FA257" s="286"/>
      <c r="FB257" s="286"/>
      <c r="FC257" s="286"/>
      <c r="FD257" s="286"/>
      <c r="FE257" s="286"/>
      <c r="FF257" s="286"/>
      <c r="FG257" s="286"/>
      <c r="FH257" s="286"/>
      <c r="FI257" s="286"/>
      <c r="FJ257" s="286"/>
      <c r="FK257" s="286"/>
      <c r="FL257" s="286"/>
      <c r="FM257" s="286"/>
      <c r="FN257" s="286"/>
      <c r="FO257" s="286"/>
      <c r="FP257" s="286"/>
      <c r="FQ257" s="286"/>
      <c r="FR257" s="286"/>
      <c r="FS257" s="286"/>
    </row>
    <row r="258" spans="1:175">
      <c r="A258" s="212" t="s">
        <v>3159</v>
      </c>
      <c r="B258" s="212" t="s">
        <v>3160</v>
      </c>
      <c r="C258" s="212" t="s">
        <v>3172</v>
      </c>
      <c r="D258" s="212" t="s">
        <v>3233</v>
      </c>
      <c r="E258" s="212" t="s">
        <v>3419</v>
      </c>
      <c r="F258" s="278">
        <v>11756</v>
      </c>
      <c r="G258" s="278">
        <v>878983</v>
      </c>
      <c r="H258" s="287">
        <f t="shared" si="3"/>
        <v>1.9305265289544848</v>
      </c>
      <c r="I258" s="286">
        <v>299</v>
      </c>
      <c r="J258" s="286">
        <v>16969</v>
      </c>
      <c r="K258" s="286">
        <v>13565</v>
      </c>
      <c r="L258" s="286">
        <v>3402</v>
      </c>
      <c r="M258" s="286">
        <v>16276</v>
      </c>
      <c r="N258" s="286">
        <v>13041</v>
      </c>
      <c r="O258" s="286">
        <v>3234</v>
      </c>
      <c r="P258" s="286">
        <v>299</v>
      </c>
      <c r="Q258" s="286">
        <v>16969</v>
      </c>
      <c r="R258" s="286">
        <v>13565</v>
      </c>
      <c r="S258" s="286">
        <v>3402</v>
      </c>
      <c r="T258" s="286">
        <v>16276</v>
      </c>
      <c r="U258" s="286">
        <v>13041</v>
      </c>
      <c r="V258" s="286">
        <v>3234</v>
      </c>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6"/>
      <c r="BI258" s="286"/>
      <c r="BJ258" s="286"/>
      <c r="BK258" s="286"/>
      <c r="BL258" s="286"/>
      <c r="BM258" s="286"/>
      <c r="BN258" s="286"/>
      <c r="BO258" s="286"/>
      <c r="BP258" s="286"/>
      <c r="BQ258" s="286"/>
      <c r="BR258" s="286"/>
      <c r="BS258" s="286"/>
      <c r="BT258" s="286"/>
      <c r="BU258" s="286"/>
      <c r="BV258" s="286"/>
      <c r="BW258" s="286"/>
      <c r="BX258" s="286"/>
      <c r="BY258" s="286"/>
      <c r="BZ258" s="286"/>
      <c r="CA258" s="286"/>
      <c r="CB258" s="286"/>
      <c r="CC258" s="286"/>
      <c r="CD258" s="286"/>
      <c r="CE258" s="286"/>
      <c r="CF258" s="286"/>
      <c r="CG258" s="286"/>
      <c r="CH258" s="286"/>
      <c r="CI258" s="286"/>
      <c r="CJ258" s="286"/>
      <c r="CK258" s="286"/>
      <c r="CL258" s="286"/>
      <c r="CM258" s="286"/>
      <c r="CN258" s="286"/>
      <c r="CO258" s="286"/>
      <c r="CP258" s="286"/>
      <c r="CQ258" s="286"/>
      <c r="CR258" s="286"/>
      <c r="CS258" s="286"/>
      <c r="CT258" s="286"/>
      <c r="CU258" s="286"/>
      <c r="CV258" s="286"/>
      <c r="CW258" s="286"/>
      <c r="CX258" s="286"/>
      <c r="CY258" s="286"/>
      <c r="CZ258" s="286"/>
      <c r="DA258" s="286"/>
      <c r="DB258" s="286"/>
      <c r="DC258" s="286"/>
      <c r="DD258" s="286"/>
      <c r="DE258" s="286"/>
      <c r="DF258" s="286"/>
      <c r="DG258" s="286"/>
      <c r="DH258" s="286"/>
      <c r="DI258" s="286"/>
      <c r="DJ258" s="286"/>
      <c r="DK258" s="286"/>
      <c r="DL258" s="286"/>
      <c r="DM258" s="286"/>
      <c r="DN258" s="286"/>
      <c r="DO258" s="286"/>
      <c r="DP258" s="286"/>
      <c r="DQ258" s="286"/>
      <c r="DR258" s="286"/>
      <c r="DS258" s="286"/>
      <c r="DT258" s="286"/>
      <c r="DU258" s="286"/>
      <c r="DV258" s="286"/>
      <c r="DW258" s="286"/>
      <c r="DX258" s="286"/>
      <c r="DY258" s="286"/>
      <c r="DZ258" s="286"/>
      <c r="EA258" s="286"/>
      <c r="EB258" s="286"/>
      <c r="EC258" s="286"/>
      <c r="ED258" s="286"/>
      <c r="EE258" s="286"/>
      <c r="EF258" s="286"/>
      <c r="EG258" s="286"/>
      <c r="EH258" s="286"/>
      <c r="EI258" s="286"/>
      <c r="EJ258" s="286"/>
      <c r="EK258" s="286"/>
      <c r="EL258" s="286"/>
      <c r="EM258" s="286"/>
      <c r="EN258" s="286"/>
      <c r="EO258" s="286"/>
      <c r="EP258" s="286"/>
      <c r="EQ258" s="286"/>
      <c r="ER258" s="286"/>
      <c r="ES258" s="286"/>
      <c r="ET258" s="286"/>
      <c r="EU258" s="286"/>
      <c r="EV258" s="286"/>
      <c r="EW258" s="286"/>
      <c r="EX258" s="286"/>
      <c r="EY258" s="286"/>
      <c r="EZ258" s="286"/>
      <c r="FA258" s="286"/>
      <c r="FB258" s="286"/>
      <c r="FC258" s="286"/>
      <c r="FD258" s="286"/>
      <c r="FE258" s="286"/>
      <c r="FF258" s="286"/>
      <c r="FG258" s="286"/>
      <c r="FH258" s="286"/>
      <c r="FI258" s="286"/>
      <c r="FJ258" s="286"/>
      <c r="FK258" s="286"/>
      <c r="FL258" s="286"/>
      <c r="FM258" s="286"/>
      <c r="FN258" s="286"/>
      <c r="FO258" s="286"/>
      <c r="FP258" s="286"/>
      <c r="FQ258" s="286"/>
      <c r="FR258" s="286"/>
      <c r="FS258" s="286"/>
    </row>
    <row r="259" spans="1:175">
      <c r="A259" s="212" t="s">
        <v>3159</v>
      </c>
      <c r="B259" s="212" t="s">
        <v>3160</v>
      </c>
      <c r="C259" s="212" t="s">
        <v>3172</v>
      </c>
      <c r="D259" s="212" t="s">
        <v>3233</v>
      </c>
      <c r="E259" s="212" t="s">
        <v>3420</v>
      </c>
      <c r="F259" s="278">
        <v>899</v>
      </c>
      <c r="G259" s="278">
        <v>32277</v>
      </c>
      <c r="H259" s="287">
        <f t="shared" si="3"/>
        <v>15.943241317346718</v>
      </c>
      <c r="I259" s="286">
        <v>118</v>
      </c>
      <c r="J259" s="286">
        <v>5146</v>
      </c>
      <c r="K259" s="286">
        <v>4575</v>
      </c>
      <c r="L259" s="286">
        <v>571</v>
      </c>
      <c r="M259" s="286">
        <v>4850</v>
      </c>
      <c r="N259" s="286">
        <v>4347</v>
      </c>
      <c r="O259" s="286">
        <v>503</v>
      </c>
      <c r="P259" s="286">
        <v>118</v>
      </c>
      <c r="Q259" s="286">
        <v>5146</v>
      </c>
      <c r="R259" s="286">
        <v>4575</v>
      </c>
      <c r="S259" s="286">
        <v>571</v>
      </c>
      <c r="T259" s="286">
        <v>4850</v>
      </c>
      <c r="U259" s="286">
        <v>4347</v>
      </c>
      <c r="V259" s="286">
        <v>503</v>
      </c>
      <c r="W259" s="286"/>
      <c r="X259" s="286"/>
      <c r="Y259" s="286"/>
      <c r="Z259" s="286"/>
      <c r="AA259" s="286"/>
      <c r="AB259" s="286"/>
      <c r="AC259" s="286"/>
      <c r="AD259" s="286"/>
      <c r="AE259" s="286"/>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c r="BG259" s="286"/>
      <c r="BH259" s="286"/>
      <c r="BI259" s="286"/>
      <c r="BJ259" s="286"/>
      <c r="BK259" s="286"/>
      <c r="BL259" s="286"/>
      <c r="BM259" s="286"/>
      <c r="BN259" s="286"/>
      <c r="BO259" s="286"/>
      <c r="BP259" s="286"/>
      <c r="BQ259" s="286"/>
      <c r="BR259" s="286"/>
      <c r="BS259" s="286"/>
      <c r="BT259" s="286"/>
      <c r="BU259" s="286"/>
      <c r="BV259" s="286"/>
      <c r="BW259" s="286"/>
      <c r="BX259" s="286"/>
      <c r="BY259" s="286"/>
      <c r="BZ259" s="286"/>
      <c r="CA259" s="286"/>
      <c r="CB259" s="286"/>
      <c r="CC259" s="286"/>
      <c r="CD259" s="286"/>
      <c r="CE259" s="286"/>
      <c r="CF259" s="286"/>
      <c r="CG259" s="286"/>
      <c r="CH259" s="286"/>
      <c r="CI259" s="286"/>
      <c r="CJ259" s="286"/>
      <c r="CK259" s="286"/>
      <c r="CL259" s="286"/>
      <c r="CM259" s="286"/>
      <c r="CN259" s="286"/>
      <c r="CO259" s="286"/>
      <c r="CP259" s="286"/>
      <c r="CQ259" s="286"/>
      <c r="CR259" s="286"/>
      <c r="CS259" s="286"/>
      <c r="CT259" s="286"/>
      <c r="CU259" s="286"/>
      <c r="CV259" s="286"/>
      <c r="CW259" s="286"/>
      <c r="CX259" s="286"/>
      <c r="CY259" s="286"/>
      <c r="CZ259" s="286"/>
      <c r="DA259" s="286"/>
      <c r="DB259" s="286"/>
      <c r="DC259" s="286"/>
      <c r="DD259" s="286"/>
      <c r="DE259" s="286"/>
      <c r="DF259" s="286"/>
      <c r="DG259" s="286"/>
      <c r="DH259" s="286"/>
      <c r="DI259" s="286"/>
      <c r="DJ259" s="286"/>
      <c r="DK259" s="286"/>
      <c r="DL259" s="286"/>
      <c r="DM259" s="286"/>
      <c r="DN259" s="286"/>
      <c r="DO259" s="286"/>
      <c r="DP259" s="286"/>
      <c r="DQ259" s="286"/>
      <c r="DR259" s="286"/>
      <c r="DS259" s="286"/>
      <c r="DT259" s="286"/>
      <c r="DU259" s="286"/>
      <c r="DV259" s="286"/>
      <c r="DW259" s="286"/>
      <c r="DX259" s="286"/>
      <c r="DY259" s="286"/>
      <c r="DZ259" s="286"/>
      <c r="EA259" s="286"/>
      <c r="EB259" s="286"/>
      <c r="EC259" s="286"/>
      <c r="ED259" s="286"/>
      <c r="EE259" s="286"/>
      <c r="EF259" s="286"/>
      <c r="EG259" s="286"/>
      <c r="EH259" s="286"/>
      <c r="EI259" s="286"/>
      <c r="EJ259" s="286"/>
      <c r="EK259" s="286"/>
      <c r="EL259" s="286"/>
      <c r="EM259" s="286"/>
      <c r="EN259" s="286"/>
      <c r="EO259" s="286"/>
      <c r="EP259" s="286"/>
      <c r="EQ259" s="286"/>
      <c r="ER259" s="286"/>
      <c r="ES259" s="286"/>
      <c r="ET259" s="286"/>
      <c r="EU259" s="286"/>
      <c r="EV259" s="286"/>
      <c r="EW259" s="286"/>
      <c r="EX259" s="286"/>
      <c r="EY259" s="286"/>
      <c r="EZ259" s="286"/>
      <c r="FA259" s="286"/>
      <c r="FB259" s="286"/>
      <c r="FC259" s="286"/>
      <c r="FD259" s="286"/>
      <c r="FE259" s="286"/>
      <c r="FF259" s="286"/>
      <c r="FG259" s="286"/>
      <c r="FH259" s="286"/>
      <c r="FI259" s="286"/>
      <c r="FJ259" s="286"/>
      <c r="FK259" s="286"/>
      <c r="FL259" s="286"/>
      <c r="FM259" s="286"/>
      <c r="FN259" s="286"/>
      <c r="FO259" s="286"/>
      <c r="FP259" s="286"/>
      <c r="FQ259" s="286"/>
      <c r="FR259" s="286"/>
      <c r="FS259" s="286"/>
    </row>
    <row r="260" spans="1:175">
      <c r="A260" s="212" t="s">
        <v>3159</v>
      </c>
      <c r="B260" s="212" t="s">
        <v>3160</v>
      </c>
      <c r="C260" s="212" t="s">
        <v>3172</v>
      </c>
      <c r="D260" s="212" t="s">
        <v>3233</v>
      </c>
      <c r="E260" s="212" t="s">
        <v>3421</v>
      </c>
      <c r="F260" s="278">
        <v>3752</v>
      </c>
      <c r="G260" s="278">
        <v>80993</v>
      </c>
      <c r="H260" s="287">
        <f t="shared" si="3"/>
        <v>9.8650500660550904</v>
      </c>
      <c r="I260" s="286">
        <v>236</v>
      </c>
      <c r="J260" s="286">
        <v>7990</v>
      </c>
      <c r="K260" s="286">
        <v>7207</v>
      </c>
      <c r="L260" s="286">
        <v>783</v>
      </c>
      <c r="M260" s="286">
        <v>7581</v>
      </c>
      <c r="N260" s="286">
        <v>6901</v>
      </c>
      <c r="O260" s="286">
        <v>680</v>
      </c>
      <c r="P260" s="286">
        <v>236</v>
      </c>
      <c r="Q260" s="286">
        <v>7990</v>
      </c>
      <c r="R260" s="286">
        <v>7207</v>
      </c>
      <c r="S260" s="286">
        <v>783</v>
      </c>
      <c r="T260" s="286">
        <v>7581</v>
      </c>
      <c r="U260" s="286">
        <v>6901</v>
      </c>
      <c r="V260" s="286">
        <v>680</v>
      </c>
      <c r="W260" s="286"/>
      <c r="X260" s="286"/>
      <c r="Y260" s="286"/>
      <c r="Z260" s="286"/>
      <c r="AA260" s="286"/>
      <c r="AB260" s="286"/>
      <c r="AC260" s="286"/>
      <c r="AD260" s="286"/>
      <c r="AE260" s="286"/>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6"/>
      <c r="BI260" s="286"/>
      <c r="BJ260" s="286"/>
      <c r="BK260" s="286"/>
      <c r="BL260" s="286"/>
      <c r="BM260" s="286"/>
      <c r="BN260" s="286"/>
      <c r="BO260" s="286"/>
      <c r="BP260" s="286"/>
      <c r="BQ260" s="286"/>
      <c r="BR260" s="286"/>
      <c r="BS260" s="286"/>
      <c r="BT260" s="286"/>
      <c r="BU260" s="286"/>
      <c r="BV260" s="286"/>
      <c r="BW260" s="286"/>
      <c r="BX260" s="286"/>
      <c r="BY260" s="286"/>
      <c r="BZ260" s="286"/>
      <c r="CA260" s="286"/>
      <c r="CB260" s="286"/>
      <c r="CC260" s="286"/>
      <c r="CD260" s="286"/>
      <c r="CE260" s="286"/>
      <c r="CF260" s="286"/>
      <c r="CG260" s="286"/>
      <c r="CH260" s="286"/>
      <c r="CI260" s="286"/>
      <c r="CJ260" s="286"/>
      <c r="CK260" s="286"/>
      <c r="CL260" s="286"/>
      <c r="CM260" s="286"/>
      <c r="CN260" s="286"/>
      <c r="CO260" s="286"/>
      <c r="CP260" s="286"/>
      <c r="CQ260" s="286"/>
      <c r="CR260" s="286"/>
      <c r="CS260" s="286"/>
      <c r="CT260" s="286"/>
      <c r="CU260" s="286"/>
      <c r="CV260" s="286"/>
      <c r="CW260" s="286"/>
      <c r="CX260" s="286"/>
      <c r="CY260" s="286"/>
      <c r="CZ260" s="286"/>
      <c r="DA260" s="286"/>
      <c r="DB260" s="286"/>
      <c r="DC260" s="286"/>
      <c r="DD260" s="286"/>
      <c r="DE260" s="286"/>
      <c r="DF260" s="286"/>
      <c r="DG260" s="286"/>
      <c r="DH260" s="286"/>
      <c r="DI260" s="286"/>
      <c r="DJ260" s="286"/>
      <c r="DK260" s="286"/>
      <c r="DL260" s="286"/>
      <c r="DM260" s="286"/>
      <c r="DN260" s="286"/>
      <c r="DO260" s="286"/>
      <c r="DP260" s="286"/>
      <c r="DQ260" s="286"/>
      <c r="DR260" s="286"/>
      <c r="DS260" s="286"/>
      <c r="DT260" s="286"/>
      <c r="DU260" s="286"/>
      <c r="DV260" s="286"/>
      <c r="DW260" s="286"/>
      <c r="DX260" s="286"/>
      <c r="DY260" s="286"/>
      <c r="DZ260" s="286"/>
      <c r="EA260" s="286"/>
      <c r="EB260" s="286"/>
      <c r="EC260" s="286"/>
      <c r="ED260" s="286"/>
      <c r="EE260" s="286"/>
      <c r="EF260" s="286"/>
      <c r="EG260" s="286"/>
      <c r="EH260" s="286"/>
      <c r="EI260" s="286"/>
      <c r="EJ260" s="286"/>
      <c r="EK260" s="286"/>
      <c r="EL260" s="286"/>
      <c r="EM260" s="286"/>
      <c r="EN260" s="286"/>
      <c r="EO260" s="286"/>
      <c r="EP260" s="286"/>
      <c r="EQ260" s="286"/>
      <c r="ER260" s="286"/>
      <c r="ES260" s="286"/>
      <c r="ET260" s="286"/>
      <c r="EU260" s="286"/>
      <c r="EV260" s="286"/>
      <c r="EW260" s="286"/>
      <c r="EX260" s="286"/>
      <c r="EY260" s="286"/>
      <c r="EZ260" s="286"/>
      <c r="FA260" s="286"/>
      <c r="FB260" s="286"/>
      <c r="FC260" s="286"/>
      <c r="FD260" s="286"/>
      <c r="FE260" s="286"/>
      <c r="FF260" s="286"/>
      <c r="FG260" s="286"/>
      <c r="FH260" s="286"/>
      <c r="FI260" s="286"/>
      <c r="FJ260" s="286"/>
      <c r="FK260" s="286"/>
      <c r="FL260" s="286"/>
      <c r="FM260" s="286"/>
      <c r="FN260" s="286"/>
      <c r="FO260" s="286"/>
      <c r="FP260" s="286"/>
      <c r="FQ260" s="286"/>
      <c r="FR260" s="286"/>
      <c r="FS260" s="286"/>
    </row>
    <row r="261" spans="1:175">
      <c r="A261" s="212" t="s">
        <v>3159</v>
      </c>
      <c r="B261" s="212" t="s">
        <v>3160</v>
      </c>
      <c r="C261" s="212" t="s">
        <v>3172</v>
      </c>
      <c r="D261" s="212" t="s">
        <v>3233</v>
      </c>
      <c r="E261" s="212" t="s">
        <v>3422</v>
      </c>
      <c r="F261" s="278">
        <v>536</v>
      </c>
      <c r="G261" s="278">
        <v>42086</v>
      </c>
      <c r="H261" s="287">
        <f t="shared" si="3"/>
        <v>9.0719003944304522</v>
      </c>
      <c r="I261" s="286">
        <v>41</v>
      </c>
      <c r="J261" s="286">
        <v>3818</v>
      </c>
      <c r="K261" s="286">
        <v>3356</v>
      </c>
      <c r="L261" s="286">
        <v>462</v>
      </c>
      <c r="M261" s="286">
        <v>3725</v>
      </c>
      <c r="N261" s="286">
        <v>3280</v>
      </c>
      <c r="O261" s="286">
        <v>445</v>
      </c>
      <c r="P261" s="286">
        <v>41</v>
      </c>
      <c r="Q261" s="286">
        <v>3818</v>
      </c>
      <c r="R261" s="286">
        <v>3356</v>
      </c>
      <c r="S261" s="286">
        <v>462</v>
      </c>
      <c r="T261" s="286">
        <v>3725</v>
      </c>
      <c r="U261" s="286">
        <v>3280</v>
      </c>
      <c r="V261" s="286">
        <v>445</v>
      </c>
      <c r="W261" s="286"/>
      <c r="X261" s="286"/>
      <c r="Y261" s="286"/>
      <c r="Z261" s="286"/>
      <c r="AA261" s="286"/>
      <c r="AB261" s="286"/>
      <c r="AC261" s="286"/>
      <c r="AD261" s="286"/>
      <c r="AE261" s="286"/>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c r="BG261" s="286"/>
      <c r="BH261" s="286"/>
      <c r="BI261" s="286"/>
      <c r="BJ261" s="286"/>
      <c r="BK261" s="286"/>
      <c r="BL261" s="286"/>
      <c r="BM261" s="286"/>
      <c r="BN261" s="286"/>
      <c r="BO261" s="286"/>
      <c r="BP261" s="286"/>
      <c r="BQ261" s="286"/>
      <c r="BR261" s="286"/>
      <c r="BS261" s="286"/>
      <c r="BT261" s="286"/>
      <c r="BU261" s="286"/>
      <c r="BV261" s="286"/>
      <c r="BW261" s="286"/>
      <c r="BX261" s="286"/>
      <c r="BY261" s="286"/>
      <c r="BZ261" s="286"/>
      <c r="CA261" s="286"/>
      <c r="CB261" s="286"/>
      <c r="CC261" s="286"/>
      <c r="CD261" s="286"/>
      <c r="CE261" s="286"/>
      <c r="CF261" s="286"/>
      <c r="CG261" s="286"/>
      <c r="CH261" s="286"/>
      <c r="CI261" s="286"/>
      <c r="CJ261" s="286"/>
      <c r="CK261" s="286"/>
      <c r="CL261" s="286"/>
      <c r="CM261" s="286"/>
      <c r="CN261" s="286"/>
      <c r="CO261" s="286"/>
      <c r="CP261" s="286"/>
      <c r="CQ261" s="286"/>
      <c r="CR261" s="286"/>
      <c r="CS261" s="286"/>
      <c r="CT261" s="286"/>
      <c r="CU261" s="286"/>
      <c r="CV261" s="286"/>
      <c r="CW261" s="286"/>
      <c r="CX261" s="286"/>
      <c r="CY261" s="286"/>
      <c r="CZ261" s="286"/>
      <c r="DA261" s="286"/>
      <c r="DB261" s="286"/>
      <c r="DC261" s="286"/>
      <c r="DD261" s="286"/>
      <c r="DE261" s="286"/>
      <c r="DF261" s="286"/>
      <c r="DG261" s="286"/>
      <c r="DH261" s="286"/>
      <c r="DI261" s="286"/>
      <c r="DJ261" s="286"/>
      <c r="DK261" s="286"/>
      <c r="DL261" s="286"/>
      <c r="DM261" s="286"/>
      <c r="DN261" s="286"/>
      <c r="DO261" s="286"/>
      <c r="DP261" s="286"/>
      <c r="DQ261" s="286"/>
      <c r="DR261" s="286"/>
      <c r="DS261" s="286"/>
      <c r="DT261" s="286"/>
      <c r="DU261" s="286"/>
      <c r="DV261" s="286"/>
      <c r="DW261" s="286"/>
      <c r="DX261" s="286"/>
      <c r="DY261" s="286"/>
      <c r="DZ261" s="286"/>
      <c r="EA261" s="286"/>
      <c r="EB261" s="286"/>
      <c r="EC261" s="286"/>
      <c r="ED261" s="286"/>
      <c r="EE261" s="286"/>
      <c r="EF261" s="286"/>
      <c r="EG261" s="286"/>
      <c r="EH261" s="286"/>
      <c r="EI261" s="286"/>
      <c r="EJ261" s="286"/>
      <c r="EK261" s="286"/>
      <c r="EL261" s="286"/>
      <c r="EM261" s="286"/>
      <c r="EN261" s="286"/>
      <c r="EO261" s="286"/>
      <c r="EP261" s="286"/>
      <c r="EQ261" s="286"/>
      <c r="ER261" s="286"/>
      <c r="ES261" s="286"/>
      <c r="ET261" s="286"/>
      <c r="EU261" s="286"/>
      <c r="EV261" s="286"/>
      <c r="EW261" s="286"/>
      <c r="EX261" s="286"/>
      <c r="EY261" s="286"/>
      <c r="EZ261" s="286"/>
      <c r="FA261" s="286"/>
      <c r="FB261" s="286"/>
      <c r="FC261" s="286"/>
      <c r="FD261" s="286"/>
      <c r="FE261" s="286"/>
      <c r="FF261" s="286"/>
      <c r="FG261" s="286"/>
      <c r="FH261" s="286"/>
      <c r="FI261" s="286"/>
      <c r="FJ261" s="286"/>
      <c r="FK261" s="286"/>
      <c r="FL261" s="286"/>
      <c r="FM261" s="286"/>
      <c r="FN261" s="286"/>
      <c r="FO261" s="286"/>
      <c r="FP261" s="286"/>
      <c r="FQ261" s="286"/>
      <c r="FR261" s="286"/>
      <c r="FS261" s="286"/>
    </row>
    <row r="262" spans="1:175">
      <c r="A262" s="212" t="s">
        <v>3159</v>
      </c>
      <c r="B262" s="212" t="s">
        <v>3160</v>
      </c>
      <c r="C262" s="212" t="s">
        <v>3172</v>
      </c>
      <c r="D262" s="212" t="s">
        <v>3233</v>
      </c>
      <c r="E262" s="212" t="s">
        <v>3423</v>
      </c>
      <c r="F262" s="278">
        <v>506</v>
      </c>
      <c r="G262" s="278">
        <v>15915</v>
      </c>
      <c r="H262" s="287">
        <f t="shared" si="3"/>
        <v>4.5240339302544772</v>
      </c>
      <c r="I262" s="286">
        <v>34</v>
      </c>
      <c r="J262" s="286">
        <v>720</v>
      </c>
      <c r="K262" s="286">
        <v>519</v>
      </c>
      <c r="L262" s="286">
        <v>201</v>
      </c>
      <c r="M262" s="286">
        <v>657</v>
      </c>
      <c r="N262" s="286">
        <v>473</v>
      </c>
      <c r="O262" s="286">
        <v>184</v>
      </c>
      <c r="P262" s="286">
        <v>34</v>
      </c>
      <c r="Q262" s="286">
        <v>720</v>
      </c>
      <c r="R262" s="286">
        <v>519</v>
      </c>
      <c r="S262" s="286">
        <v>201</v>
      </c>
      <c r="T262" s="286">
        <v>657</v>
      </c>
      <c r="U262" s="286">
        <v>473</v>
      </c>
      <c r="V262" s="286">
        <v>184</v>
      </c>
      <c r="W262" s="286"/>
      <c r="X262" s="286"/>
      <c r="Y262" s="286"/>
      <c r="Z262" s="286"/>
      <c r="AA262" s="286"/>
      <c r="AB262" s="286"/>
      <c r="AC262" s="286"/>
      <c r="AD262" s="286"/>
      <c r="AE262" s="286"/>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c r="BG262" s="286"/>
      <c r="BH262" s="286"/>
      <c r="BI262" s="286"/>
      <c r="BJ262" s="286"/>
      <c r="BK262" s="286"/>
      <c r="BL262" s="286"/>
      <c r="BM262" s="286"/>
      <c r="BN262" s="286"/>
      <c r="BO262" s="286"/>
      <c r="BP262" s="286"/>
      <c r="BQ262" s="286"/>
      <c r="BR262" s="286"/>
      <c r="BS262" s="286"/>
      <c r="BT262" s="286"/>
      <c r="BU262" s="286"/>
      <c r="BV262" s="286"/>
      <c r="BW262" s="286"/>
      <c r="BX262" s="286"/>
      <c r="BY262" s="286"/>
      <c r="BZ262" s="286"/>
      <c r="CA262" s="286"/>
      <c r="CB262" s="286"/>
      <c r="CC262" s="286"/>
      <c r="CD262" s="286"/>
      <c r="CE262" s="286"/>
      <c r="CF262" s="286"/>
      <c r="CG262" s="286"/>
      <c r="CH262" s="286"/>
      <c r="CI262" s="286"/>
      <c r="CJ262" s="286"/>
      <c r="CK262" s="286"/>
      <c r="CL262" s="286"/>
      <c r="CM262" s="286"/>
      <c r="CN262" s="286"/>
      <c r="CO262" s="286"/>
      <c r="CP262" s="286"/>
      <c r="CQ262" s="286"/>
      <c r="CR262" s="286"/>
      <c r="CS262" s="286"/>
      <c r="CT262" s="286"/>
      <c r="CU262" s="286"/>
      <c r="CV262" s="286"/>
      <c r="CW262" s="286"/>
      <c r="CX262" s="286"/>
      <c r="CY262" s="286"/>
      <c r="CZ262" s="286"/>
      <c r="DA262" s="286"/>
      <c r="DB262" s="286"/>
      <c r="DC262" s="286"/>
      <c r="DD262" s="286"/>
      <c r="DE262" s="286"/>
      <c r="DF262" s="286"/>
      <c r="DG262" s="286"/>
      <c r="DH262" s="286"/>
      <c r="DI262" s="286"/>
      <c r="DJ262" s="286"/>
      <c r="DK262" s="286"/>
      <c r="DL262" s="286"/>
      <c r="DM262" s="286"/>
      <c r="DN262" s="286"/>
      <c r="DO262" s="286"/>
      <c r="DP262" s="286"/>
      <c r="DQ262" s="286"/>
      <c r="DR262" s="286"/>
      <c r="DS262" s="286"/>
      <c r="DT262" s="286"/>
      <c r="DU262" s="286"/>
      <c r="DV262" s="286"/>
      <c r="DW262" s="286"/>
      <c r="DX262" s="286"/>
      <c r="DY262" s="286"/>
      <c r="DZ262" s="286"/>
      <c r="EA262" s="286"/>
      <c r="EB262" s="286"/>
      <c r="EC262" s="286"/>
      <c r="ED262" s="286"/>
      <c r="EE262" s="286"/>
      <c r="EF262" s="286"/>
      <c r="EG262" s="286"/>
      <c r="EH262" s="286"/>
      <c r="EI262" s="286"/>
      <c r="EJ262" s="286"/>
      <c r="EK262" s="286"/>
      <c r="EL262" s="286"/>
      <c r="EM262" s="286"/>
      <c r="EN262" s="286"/>
      <c r="EO262" s="286"/>
      <c r="EP262" s="286"/>
      <c r="EQ262" s="286"/>
      <c r="ER262" s="286"/>
      <c r="ES262" s="286"/>
      <c r="ET262" s="286"/>
      <c r="EU262" s="286"/>
      <c r="EV262" s="286"/>
      <c r="EW262" s="286"/>
      <c r="EX262" s="286"/>
      <c r="EY262" s="286"/>
      <c r="EZ262" s="286"/>
      <c r="FA262" s="286"/>
      <c r="FB262" s="286"/>
      <c r="FC262" s="286"/>
      <c r="FD262" s="286"/>
      <c r="FE262" s="286"/>
      <c r="FF262" s="286"/>
      <c r="FG262" s="286"/>
      <c r="FH262" s="286"/>
      <c r="FI262" s="286"/>
      <c r="FJ262" s="286"/>
      <c r="FK262" s="286"/>
      <c r="FL262" s="286"/>
      <c r="FM262" s="286"/>
      <c r="FN262" s="286"/>
      <c r="FO262" s="286"/>
      <c r="FP262" s="286"/>
      <c r="FQ262" s="286"/>
      <c r="FR262" s="286"/>
      <c r="FS262" s="286"/>
    </row>
    <row r="263" spans="1:175">
      <c r="A263" s="212" t="s">
        <v>3159</v>
      </c>
      <c r="B263" s="212" t="s">
        <v>3160</v>
      </c>
      <c r="C263" s="212" t="s">
        <v>3172</v>
      </c>
      <c r="D263" s="212" t="s">
        <v>3233</v>
      </c>
      <c r="E263" s="212" t="s">
        <v>3424</v>
      </c>
      <c r="F263" s="278">
        <v>879</v>
      </c>
      <c r="G263" s="278">
        <v>17478</v>
      </c>
      <c r="H263" s="287">
        <f t="shared" si="3"/>
        <v>2.6089941640920014</v>
      </c>
      <c r="I263" s="286">
        <v>40</v>
      </c>
      <c r="J263" s="286">
        <v>456</v>
      </c>
      <c r="K263" s="286">
        <v>339</v>
      </c>
      <c r="L263" s="286">
        <v>117</v>
      </c>
      <c r="M263" s="286">
        <v>376</v>
      </c>
      <c r="N263" s="286">
        <v>279</v>
      </c>
      <c r="O263" s="286">
        <v>97</v>
      </c>
      <c r="P263" s="286">
        <v>40</v>
      </c>
      <c r="Q263" s="286">
        <v>456</v>
      </c>
      <c r="R263" s="286">
        <v>339</v>
      </c>
      <c r="S263" s="286">
        <v>117</v>
      </c>
      <c r="T263" s="286">
        <v>376</v>
      </c>
      <c r="U263" s="286">
        <v>279</v>
      </c>
      <c r="V263" s="286">
        <v>97</v>
      </c>
      <c r="W263" s="286"/>
      <c r="X263" s="286"/>
      <c r="Y263" s="286"/>
      <c r="Z263" s="286"/>
      <c r="AA263" s="286"/>
      <c r="AB263" s="286"/>
      <c r="AC263" s="286"/>
      <c r="AD263" s="286"/>
      <c r="AE263" s="286"/>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c r="BG263" s="286"/>
      <c r="BH263" s="286"/>
      <c r="BI263" s="286"/>
      <c r="BJ263" s="286"/>
      <c r="BK263" s="286"/>
      <c r="BL263" s="286"/>
      <c r="BM263" s="286"/>
      <c r="BN263" s="286"/>
      <c r="BO263" s="286"/>
      <c r="BP263" s="286"/>
      <c r="BQ263" s="286"/>
      <c r="BR263" s="286"/>
      <c r="BS263" s="286"/>
      <c r="BT263" s="286"/>
      <c r="BU263" s="286"/>
      <c r="BV263" s="286"/>
      <c r="BW263" s="286"/>
      <c r="BX263" s="286"/>
      <c r="BY263" s="286"/>
      <c r="BZ263" s="286"/>
      <c r="CA263" s="286"/>
      <c r="CB263" s="286"/>
      <c r="CC263" s="286"/>
      <c r="CD263" s="286"/>
      <c r="CE263" s="286"/>
      <c r="CF263" s="286"/>
      <c r="CG263" s="286"/>
      <c r="CH263" s="286"/>
      <c r="CI263" s="286"/>
      <c r="CJ263" s="286"/>
      <c r="CK263" s="286"/>
      <c r="CL263" s="286"/>
      <c r="CM263" s="286"/>
      <c r="CN263" s="286"/>
      <c r="CO263" s="286"/>
      <c r="CP263" s="286"/>
      <c r="CQ263" s="286"/>
      <c r="CR263" s="286"/>
      <c r="CS263" s="286"/>
      <c r="CT263" s="286"/>
      <c r="CU263" s="286"/>
      <c r="CV263" s="286"/>
      <c r="CW263" s="286"/>
      <c r="CX263" s="286"/>
      <c r="CY263" s="286"/>
      <c r="CZ263" s="286"/>
      <c r="DA263" s="286"/>
      <c r="DB263" s="286"/>
      <c r="DC263" s="286"/>
      <c r="DD263" s="286"/>
      <c r="DE263" s="286"/>
      <c r="DF263" s="286"/>
      <c r="DG263" s="286"/>
      <c r="DH263" s="286"/>
      <c r="DI263" s="286"/>
      <c r="DJ263" s="286"/>
      <c r="DK263" s="286"/>
      <c r="DL263" s="286"/>
      <c r="DM263" s="286"/>
      <c r="DN263" s="286"/>
      <c r="DO263" s="286"/>
      <c r="DP263" s="286"/>
      <c r="DQ263" s="286"/>
      <c r="DR263" s="286"/>
      <c r="DS263" s="286"/>
      <c r="DT263" s="286"/>
      <c r="DU263" s="286"/>
      <c r="DV263" s="286"/>
      <c r="DW263" s="286"/>
      <c r="DX263" s="286"/>
      <c r="DY263" s="286"/>
      <c r="DZ263" s="286"/>
      <c r="EA263" s="286"/>
      <c r="EB263" s="286"/>
      <c r="EC263" s="286"/>
      <c r="ED263" s="286"/>
      <c r="EE263" s="286"/>
      <c r="EF263" s="286"/>
      <c r="EG263" s="286"/>
      <c r="EH263" s="286"/>
      <c r="EI263" s="286"/>
      <c r="EJ263" s="286"/>
      <c r="EK263" s="286"/>
      <c r="EL263" s="286"/>
      <c r="EM263" s="286"/>
      <c r="EN263" s="286"/>
      <c r="EO263" s="286"/>
      <c r="EP263" s="286"/>
      <c r="EQ263" s="286"/>
      <c r="ER263" s="286"/>
      <c r="ES263" s="286"/>
      <c r="ET263" s="286"/>
      <c r="EU263" s="286"/>
      <c r="EV263" s="286"/>
      <c r="EW263" s="286"/>
      <c r="EX263" s="286"/>
      <c r="EY263" s="286"/>
      <c r="EZ263" s="286"/>
      <c r="FA263" s="286"/>
      <c r="FB263" s="286"/>
      <c r="FC263" s="286"/>
      <c r="FD263" s="286"/>
      <c r="FE263" s="286"/>
      <c r="FF263" s="286"/>
      <c r="FG263" s="286"/>
      <c r="FH263" s="286"/>
      <c r="FI263" s="286"/>
      <c r="FJ263" s="286"/>
      <c r="FK263" s="286"/>
      <c r="FL263" s="286"/>
      <c r="FM263" s="286"/>
      <c r="FN263" s="286"/>
      <c r="FO263" s="286"/>
      <c r="FP263" s="286"/>
      <c r="FQ263" s="286"/>
      <c r="FR263" s="286"/>
      <c r="FS263" s="286"/>
    </row>
    <row r="264" spans="1:175">
      <c r="A264" s="212" t="s">
        <v>3159</v>
      </c>
      <c r="B264" s="212" t="s">
        <v>3160</v>
      </c>
      <c r="C264" s="212" t="s">
        <v>3170</v>
      </c>
      <c r="D264" s="212" t="s">
        <v>3233</v>
      </c>
      <c r="E264" s="212" t="s">
        <v>3425</v>
      </c>
      <c r="F264" s="278">
        <v>27616</v>
      </c>
      <c r="G264" s="278">
        <v>234684</v>
      </c>
      <c r="H264" s="287">
        <f t="shared" si="3"/>
        <v>3.9704453648310065</v>
      </c>
      <c r="I264" s="286">
        <v>945</v>
      </c>
      <c r="J264" s="286">
        <v>9318</v>
      </c>
      <c r="K264" s="286">
        <v>5566</v>
      </c>
      <c r="L264" s="286">
        <v>3750</v>
      </c>
      <c r="M264" s="286">
        <v>7772</v>
      </c>
      <c r="N264" s="286">
        <v>4518</v>
      </c>
      <c r="O264" s="286">
        <v>3253</v>
      </c>
      <c r="P264" s="286">
        <v>945</v>
      </c>
      <c r="Q264" s="286">
        <v>9318</v>
      </c>
      <c r="R264" s="286">
        <v>5566</v>
      </c>
      <c r="S264" s="286">
        <v>3750</v>
      </c>
      <c r="T264" s="286">
        <v>7772</v>
      </c>
      <c r="U264" s="286">
        <v>4518</v>
      </c>
      <c r="V264" s="286">
        <v>3253</v>
      </c>
      <c r="W264" s="286"/>
      <c r="X264" s="286"/>
      <c r="Y264" s="286"/>
      <c r="Z264" s="286"/>
      <c r="AA264" s="286"/>
      <c r="AB264" s="286"/>
      <c r="AC264" s="286"/>
      <c r="AD264" s="286"/>
      <c r="AE264" s="286"/>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c r="BG264" s="286"/>
      <c r="BH264" s="286"/>
      <c r="BI264" s="286"/>
      <c r="BJ264" s="286"/>
      <c r="BK264" s="286"/>
      <c r="BL264" s="286"/>
      <c r="BM264" s="286"/>
      <c r="BN264" s="286"/>
      <c r="BO264" s="286"/>
      <c r="BP264" s="286"/>
      <c r="BQ264" s="286"/>
      <c r="BR264" s="286"/>
      <c r="BS264" s="286"/>
      <c r="BT264" s="286"/>
      <c r="BU264" s="286"/>
      <c r="BV264" s="286"/>
      <c r="BW264" s="286"/>
      <c r="BX264" s="286"/>
      <c r="BY264" s="286"/>
      <c r="BZ264" s="286"/>
      <c r="CA264" s="286"/>
      <c r="CB264" s="286"/>
      <c r="CC264" s="286"/>
      <c r="CD264" s="286"/>
      <c r="CE264" s="286"/>
      <c r="CF264" s="286"/>
      <c r="CG264" s="286"/>
      <c r="CH264" s="286"/>
      <c r="CI264" s="286"/>
      <c r="CJ264" s="286"/>
      <c r="CK264" s="286"/>
      <c r="CL264" s="286"/>
      <c r="CM264" s="286"/>
      <c r="CN264" s="286"/>
      <c r="CO264" s="286"/>
      <c r="CP264" s="286"/>
      <c r="CQ264" s="286"/>
      <c r="CR264" s="286"/>
      <c r="CS264" s="286"/>
      <c r="CT264" s="286"/>
      <c r="CU264" s="286"/>
      <c r="CV264" s="286"/>
      <c r="CW264" s="286"/>
      <c r="CX264" s="286"/>
      <c r="CY264" s="286"/>
      <c r="CZ264" s="286"/>
      <c r="DA264" s="286"/>
      <c r="DB264" s="286"/>
      <c r="DC264" s="286"/>
      <c r="DD264" s="286"/>
      <c r="DE264" s="286"/>
      <c r="DF264" s="286"/>
      <c r="DG264" s="286"/>
      <c r="DH264" s="286"/>
      <c r="DI264" s="286"/>
      <c r="DJ264" s="286"/>
      <c r="DK264" s="286"/>
      <c r="DL264" s="286"/>
      <c r="DM264" s="286"/>
      <c r="DN264" s="286"/>
      <c r="DO264" s="286"/>
      <c r="DP264" s="286"/>
      <c r="DQ264" s="286"/>
      <c r="DR264" s="286"/>
      <c r="DS264" s="286"/>
      <c r="DT264" s="286"/>
      <c r="DU264" s="286"/>
      <c r="DV264" s="286"/>
      <c r="DW264" s="286"/>
      <c r="DX264" s="286"/>
      <c r="DY264" s="286"/>
      <c r="DZ264" s="286"/>
      <c r="EA264" s="286"/>
      <c r="EB264" s="286"/>
      <c r="EC264" s="286"/>
      <c r="ED264" s="286"/>
      <c r="EE264" s="286"/>
      <c r="EF264" s="286"/>
      <c r="EG264" s="286"/>
      <c r="EH264" s="286"/>
      <c r="EI264" s="286"/>
      <c r="EJ264" s="286"/>
      <c r="EK264" s="286"/>
      <c r="EL264" s="286"/>
      <c r="EM264" s="286"/>
      <c r="EN264" s="286"/>
      <c r="EO264" s="286"/>
      <c r="EP264" s="286"/>
      <c r="EQ264" s="286"/>
      <c r="ER264" s="286"/>
      <c r="ES264" s="286"/>
      <c r="ET264" s="286"/>
      <c r="EU264" s="286"/>
      <c r="EV264" s="286"/>
      <c r="EW264" s="286"/>
      <c r="EX264" s="286"/>
      <c r="EY264" s="286"/>
      <c r="EZ264" s="286"/>
      <c r="FA264" s="286"/>
      <c r="FB264" s="286"/>
      <c r="FC264" s="286"/>
      <c r="FD264" s="286"/>
      <c r="FE264" s="286"/>
      <c r="FF264" s="286"/>
      <c r="FG264" s="286"/>
      <c r="FH264" s="286"/>
      <c r="FI264" s="286"/>
      <c r="FJ264" s="286"/>
      <c r="FK264" s="286"/>
      <c r="FL264" s="286"/>
      <c r="FM264" s="286"/>
      <c r="FN264" s="286"/>
      <c r="FO264" s="286"/>
      <c r="FP264" s="286"/>
      <c r="FQ264" s="286"/>
      <c r="FR264" s="286"/>
      <c r="FS264" s="286"/>
    </row>
    <row r="265" spans="1:175">
      <c r="A265" s="212" t="s">
        <v>3159</v>
      </c>
      <c r="B265" s="212" t="s">
        <v>3160</v>
      </c>
      <c r="C265" s="212" t="s">
        <v>3172</v>
      </c>
      <c r="D265" s="212" t="s">
        <v>3233</v>
      </c>
      <c r="E265" s="212" t="s">
        <v>3426</v>
      </c>
      <c r="F265" s="278">
        <v>210</v>
      </c>
      <c r="G265" s="278">
        <v>2299</v>
      </c>
      <c r="H265" s="287">
        <f t="shared" si="3"/>
        <v>3.0013049151805129</v>
      </c>
      <c r="I265" s="286">
        <v>6</v>
      </c>
      <c r="J265" s="286">
        <v>69</v>
      </c>
      <c r="K265" s="286">
        <v>53</v>
      </c>
      <c r="L265" s="286">
        <v>16</v>
      </c>
      <c r="M265" s="286">
        <v>61</v>
      </c>
      <c r="N265" s="286">
        <v>47</v>
      </c>
      <c r="O265" s="286">
        <v>14</v>
      </c>
      <c r="P265" s="286">
        <v>6</v>
      </c>
      <c r="Q265" s="286">
        <v>69</v>
      </c>
      <c r="R265" s="286">
        <v>53</v>
      </c>
      <c r="S265" s="286">
        <v>16</v>
      </c>
      <c r="T265" s="286">
        <v>61</v>
      </c>
      <c r="U265" s="286">
        <v>47</v>
      </c>
      <c r="V265" s="286">
        <v>14</v>
      </c>
      <c r="W265" s="286"/>
      <c r="X265" s="286"/>
      <c r="Y265" s="286"/>
      <c r="Z265" s="286"/>
      <c r="AA265" s="286"/>
      <c r="AB265" s="286"/>
      <c r="AC265" s="286"/>
      <c r="AD265" s="286"/>
      <c r="AE265" s="286"/>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6"/>
      <c r="BI265" s="286"/>
      <c r="BJ265" s="286"/>
      <c r="BK265" s="286"/>
      <c r="BL265" s="286"/>
      <c r="BM265" s="286"/>
      <c r="BN265" s="286"/>
      <c r="BO265" s="286"/>
      <c r="BP265" s="286"/>
      <c r="BQ265" s="286"/>
      <c r="BR265" s="286"/>
      <c r="BS265" s="286"/>
      <c r="BT265" s="286"/>
      <c r="BU265" s="286"/>
      <c r="BV265" s="286"/>
      <c r="BW265" s="286"/>
      <c r="BX265" s="286"/>
      <c r="BY265" s="286"/>
      <c r="BZ265" s="286"/>
      <c r="CA265" s="286"/>
      <c r="CB265" s="286"/>
      <c r="CC265" s="286"/>
      <c r="CD265" s="286"/>
      <c r="CE265" s="286"/>
      <c r="CF265" s="286"/>
      <c r="CG265" s="286"/>
      <c r="CH265" s="286"/>
      <c r="CI265" s="286"/>
      <c r="CJ265" s="286"/>
      <c r="CK265" s="286"/>
      <c r="CL265" s="286"/>
      <c r="CM265" s="286"/>
      <c r="CN265" s="286"/>
      <c r="CO265" s="286"/>
      <c r="CP265" s="286"/>
      <c r="CQ265" s="286"/>
      <c r="CR265" s="286"/>
      <c r="CS265" s="286"/>
      <c r="CT265" s="286"/>
      <c r="CU265" s="286"/>
      <c r="CV265" s="286"/>
      <c r="CW265" s="286"/>
      <c r="CX265" s="286"/>
      <c r="CY265" s="286"/>
      <c r="CZ265" s="286"/>
      <c r="DA265" s="286"/>
      <c r="DB265" s="286"/>
      <c r="DC265" s="286"/>
      <c r="DD265" s="286"/>
      <c r="DE265" s="286"/>
      <c r="DF265" s="286"/>
      <c r="DG265" s="286"/>
      <c r="DH265" s="286"/>
      <c r="DI265" s="286"/>
      <c r="DJ265" s="286"/>
      <c r="DK265" s="286"/>
      <c r="DL265" s="286"/>
      <c r="DM265" s="286"/>
      <c r="DN265" s="286"/>
      <c r="DO265" s="286"/>
      <c r="DP265" s="286"/>
      <c r="DQ265" s="286"/>
      <c r="DR265" s="286"/>
      <c r="DS265" s="286"/>
      <c r="DT265" s="286"/>
      <c r="DU265" s="286"/>
      <c r="DV265" s="286"/>
      <c r="DW265" s="286"/>
      <c r="DX265" s="286"/>
      <c r="DY265" s="286"/>
      <c r="DZ265" s="286"/>
      <c r="EA265" s="286"/>
      <c r="EB265" s="286"/>
      <c r="EC265" s="286"/>
      <c r="ED265" s="286"/>
      <c r="EE265" s="286"/>
      <c r="EF265" s="286"/>
      <c r="EG265" s="286"/>
      <c r="EH265" s="286"/>
      <c r="EI265" s="286"/>
      <c r="EJ265" s="286"/>
      <c r="EK265" s="286"/>
      <c r="EL265" s="286"/>
      <c r="EM265" s="286"/>
      <c r="EN265" s="286"/>
      <c r="EO265" s="286"/>
      <c r="EP265" s="286"/>
      <c r="EQ265" s="286"/>
      <c r="ER265" s="286"/>
      <c r="ES265" s="286"/>
      <c r="ET265" s="286"/>
      <c r="EU265" s="286"/>
      <c r="EV265" s="286"/>
      <c r="EW265" s="286"/>
      <c r="EX265" s="286"/>
      <c r="EY265" s="286"/>
      <c r="EZ265" s="286"/>
      <c r="FA265" s="286"/>
      <c r="FB265" s="286"/>
      <c r="FC265" s="286"/>
      <c r="FD265" s="286"/>
      <c r="FE265" s="286"/>
      <c r="FF265" s="286"/>
      <c r="FG265" s="286"/>
      <c r="FH265" s="286"/>
      <c r="FI265" s="286"/>
      <c r="FJ265" s="286"/>
      <c r="FK265" s="286"/>
      <c r="FL265" s="286"/>
      <c r="FM265" s="286"/>
      <c r="FN265" s="286"/>
      <c r="FO265" s="286"/>
      <c r="FP265" s="286"/>
      <c r="FQ265" s="286"/>
      <c r="FR265" s="286"/>
      <c r="FS265" s="286"/>
    </row>
    <row r="266" spans="1:175">
      <c r="A266" s="212" t="s">
        <v>3159</v>
      </c>
      <c r="B266" s="212" t="s">
        <v>3160</v>
      </c>
      <c r="C266" s="212" t="s">
        <v>3172</v>
      </c>
      <c r="D266" s="212" t="s">
        <v>3233</v>
      </c>
      <c r="E266" s="212" t="s">
        <v>3427</v>
      </c>
      <c r="F266" s="278">
        <v>1719</v>
      </c>
      <c r="G266" s="278">
        <v>10710</v>
      </c>
      <c r="H266" s="287">
        <f t="shared" si="3"/>
        <v>6.7040149393090571</v>
      </c>
      <c r="I266" s="286">
        <v>69</v>
      </c>
      <c r="J266" s="286">
        <v>718</v>
      </c>
      <c r="K266" s="286">
        <v>360</v>
      </c>
      <c r="L266" s="286">
        <v>358</v>
      </c>
      <c r="M266" s="286">
        <v>611</v>
      </c>
      <c r="N266" s="286">
        <v>279</v>
      </c>
      <c r="O266" s="286">
        <v>332</v>
      </c>
      <c r="P266" s="286">
        <v>69</v>
      </c>
      <c r="Q266" s="286">
        <v>718</v>
      </c>
      <c r="R266" s="286">
        <v>360</v>
      </c>
      <c r="S266" s="286">
        <v>358</v>
      </c>
      <c r="T266" s="286">
        <v>611</v>
      </c>
      <c r="U266" s="286">
        <v>279</v>
      </c>
      <c r="V266" s="286">
        <v>332</v>
      </c>
      <c r="W266" s="286"/>
      <c r="X266" s="286"/>
      <c r="Y266" s="286"/>
      <c r="Z266" s="286"/>
      <c r="AA266" s="286"/>
      <c r="AB266" s="286"/>
      <c r="AC266" s="286"/>
      <c r="AD266" s="286"/>
      <c r="AE266" s="286"/>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c r="BG266" s="286"/>
      <c r="BH266" s="286"/>
      <c r="BI266" s="286"/>
      <c r="BJ266" s="286"/>
      <c r="BK266" s="286"/>
      <c r="BL266" s="286"/>
      <c r="BM266" s="286"/>
      <c r="BN266" s="286"/>
      <c r="BO266" s="286"/>
      <c r="BP266" s="286"/>
      <c r="BQ266" s="286"/>
      <c r="BR266" s="286"/>
      <c r="BS266" s="286"/>
      <c r="BT266" s="286"/>
      <c r="BU266" s="286"/>
      <c r="BV266" s="286"/>
      <c r="BW266" s="286"/>
      <c r="BX266" s="286"/>
      <c r="BY266" s="286"/>
      <c r="BZ266" s="286"/>
      <c r="CA266" s="286"/>
      <c r="CB266" s="286"/>
      <c r="CC266" s="286"/>
      <c r="CD266" s="286"/>
      <c r="CE266" s="286"/>
      <c r="CF266" s="286"/>
      <c r="CG266" s="286"/>
      <c r="CH266" s="286"/>
      <c r="CI266" s="286"/>
      <c r="CJ266" s="286"/>
      <c r="CK266" s="286"/>
      <c r="CL266" s="286"/>
      <c r="CM266" s="286"/>
      <c r="CN266" s="286"/>
      <c r="CO266" s="286"/>
      <c r="CP266" s="286"/>
      <c r="CQ266" s="286"/>
      <c r="CR266" s="286"/>
      <c r="CS266" s="286"/>
      <c r="CT266" s="286"/>
      <c r="CU266" s="286"/>
      <c r="CV266" s="286"/>
      <c r="CW266" s="286"/>
      <c r="CX266" s="286"/>
      <c r="CY266" s="286"/>
      <c r="CZ266" s="286"/>
      <c r="DA266" s="286"/>
      <c r="DB266" s="286"/>
      <c r="DC266" s="286"/>
      <c r="DD266" s="286"/>
      <c r="DE266" s="286"/>
      <c r="DF266" s="286"/>
      <c r="DG266" s="286"/>
      <c r="DH266" s="286"/>
      <c r="DI266" s="286"/>
      <c r="DJ266" s="286"/>
      <c r="DK266" s="286"/>
      <c r="DL266" s="286"/>
      <c r="DM266" s="286"/>
      <c r="DN266" s="286"/>
      <c r="DO266" s="286"/>
      <c r="DP266" s="286"/>
      <c r="DQ266" s="286"/>
      <c r="DR266" s="286"/>
      <c r="DS266" s="286"/>
      <c r="DT266" s="286"/>
      <c r="DU266" s="286"/>
      <c r="DV266" s="286"/>
      <c r="DW266" s="286"/>
      <c r="DX266" s="286"/>
      <c r="DY266" s="286"/>
      <c r="DZ266" s="286"/>
      <c r="EA266" s="286"/>
      <c r="EB266" s="286"/>
      <c r="EC266" s="286"/>
      <c r="ED266" s="286"/>
      <c r="EE266" s="286"/>
      <c r="EF266" s="286"/>
      <c r="EG266" s="286"/>
      <c r="EH266" s="286"/>
      <c r="EI266" s="286"/>
      <c r="EJ266" s="286"/>
      <c r="EK266" s="286"/>
      <c r="EL266" s="286"/>
      <c r="EM266" s="286"/>
      <c r="EN266" s="286"/>
      <c r="EO266" s="286"/>
      <c r="EP266" s="286"/>
      <c r="EQ266" s="286"/>
      <c r="ER266" s="286"/>
      <c r="ES266" s="286"/>
      <c r="ET266" s="286"/>
      <c r="EU266" s="286"/>
      <c r="EV266" s="286"/>
      <c r="EW266" s="286"/>
      <c r="EX266" s="286"/>
      <c r="EY266" s="286"/>
      <c r="EZ266" s="286"/>
      <c r="FA266" s="286"/>
      <c r="FB266" s="286"/>
      <c r="FC266" s="286"/>
      <c r="FD266" s="286"/>
      <c r="FE266" s="286"/>
      <c r="FF266" s="286"/>
      <c r="FG266" s="286"/>
      <c r="FH266" s="286"/>
      <c r="FI266" s="286"/>
      <c r="FJ266" s="286"/>
      <c r="FK266" s="286"/>
      <c r="FL266" s="286"/>
      <c r="FM266" s="286"/>
      <c r="FN266" s="286"/>
      <c r="FO266" s="286"/>
      <c r="FP266" s="286"/>
      <c r="FQ266" s="286"/>
      <c r="FR266" s="286"/>
      <c r="FS266" s="286"/>
    </row>
    <row r="267" spans="1:175">
      <c r="A267" s="212" t="s">
        <v>3159</v>
      </c>
      <c r="B267" s="212" t="s">
        <v>3160</v>
      </c>
      <c r="C267" s="212" t="s">
        <v>3172</v>
      </c>
      <c r="D267" s="212" t="s">
        <v>3233</v>
      </c>
      <c r="E267" s="212" t="s">
        <v>3428</v>
      </c>
      <c r="F267" s="278">
        <v>1404</v>
      </c>
      <c r="G267" s="278">
        <v>14614</v>
      </c>
      <c r="H267" s="287">
        <f t="shared" ref="H267:H330" si="4">J267/G267*100</f>
        <v>1.0400985356507459</v>
      </c>
      <c r="I267" s="286">
        <v>33</v>
      </c>
      <c r="J267" s="286">
        <v>152</v>
      </c>
      <c r="K267" s="286">
        <v>53</v>
      </c>
      <c r="L267" s="286">
        <v>99</v>
      </c>
      <c r="M267" s="286">
        <v>97</v>
      </c>
      <c r="N267" s="286">
        <v>27</v>
      </c>
      <c r="O267" s="286">
        <v>70</v>
      </c>
      <c r="P267" s="286">
        <v>33</v>
      </c>
      <c r="Q267" s="286">
        <v>152</v>
      </c>
      <c r="R267" s="286">
        <v>53</v>
      </c>
      <c r="S267" s="286">
        <v>99</v>
      </c>
      <c r="T267" s="286">
        <v>97</v>
      </c>
      <c r="U267" s="286">
        <v>27</v>
      </c>
      <c r="V267" s="286">
        <v>70</v>
      </c>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c r="BG267" s="286"/>
      <c r="BH267" s="286"/>
      <c r="BI267" s="286"/>
      <c r="BJ267" s="286"/>
      <c r="BK267" s="286"/>
      <c r="BL267" s="286"/>
      <c r="BM267" s="286"/>
      <c r="BN267" s="286"/>
      <c r="BO267" s="286"/>
      <c r="BP267" s="286"/>
      <c r="BQ267" s="286"/>
      <c r="BR267" s="286"/>
      <c r="BS267" s="286"/>
      <c r="BT267" s="286"/>
      <c r="BU267" s="286"/>
      <c r="BV267" s="286"/>
      <c r="BW267" s="286"/>
      <c r="BX267" s="286"/>
      <c r="BY267" s="286"/>
      <c r="BZ267" s="286"/>
      <c r="CA267" s="286"/>
      <c r="CB267" s="286"/>
      <c r="CC267" s="286"/>
      <c r="CD267" s="286"/>
      <c r="CE267" s="286"/>
      <c r="CF267" s="286"/>
      <c r="CG267" s="286"/>
      <c r="CH267" s="286"/>
      <c r="CI267" s="286"/>
      <c r="CJ267" s="286"/>
      <c r="CK267" s="286"/>
      <c r="CL267" s="286"/>
      <c r="CM267" s="286"/>
      <c r="CN267" s="286"/>
      <c r="CO267" s="286"/>
      <c r="CP267" s="286"/>
      <c r="CQ267" s="286"/>
      <c r="CR267" s="286"/>
      <c r="CS267" s="286"/>
      <c r="CT267" s="286"/>
      <c r="CU267" s="286"/>
      <c r="CV267" s="286"/>
      <c r="CW267" s="286"/>
      <c r="CX267" s="286"/>
      <c r="CY267" s="286"/>
      <c r="CZ267" s="286"/>
      <c r="DA267" s="286"/>
      <c r="DB267" s="286"/>
      <c r="DC267" s="286"/>
      <c r="DD267" s="286"/>
      <c r="DE267" s="286"/>
      <c r="DF267" s="286"/>
      <c r="DG267" s="286"/>
      <c r="DH267" s="286"/>
      <c r="DI267" s="286"/>
      <c r="DJ267" s="286"/>
      <c r="DK267" s="286"/>
      <c r="DL267" s="286"/>
      <c r="DM267" s="286"/>
      <c r="DN267" s="286"/>
      <c r="DO267" s="286"/>
      <c r="DP267" s="286"/>
      <c r="DQ267" s="286"/>
      <c r="DR267" s="286"/>
      <c r="DS267" s="286"/>
      <c r="DT267" s="286"/>
      <c r="DU267" s="286"/>
      <c r="DV267" s="286"/>
      <c r="DW267" s="286"/>
      <c r="DX267" s="286"/>
      <c r="DY267" s="286"/>
      <c r="DZ267" s="286"/>
      <c r="EA267" s="286"/>
      <c r="EB267" s="286"/>
      <c r="EC267" s="286"/>
      <c r="ED267" s="286"/>
      <c r="EE267" s="286"/>
      <c r="EF267" s="286"/>
      <c r="EG267" s="286"/>
      <c r="EH267" s="286"/>
      <c r="EI267" s="286"/>
      <c r="EJ267" s="286"/>
      <c r="EK267" s="286"/>
      <c r="EL267" s="286"/>
      <c r="EM267" s="286"/>
      <c r="EN267" s="286"/>
      <c r="EO267" s="286"/>
      <c r="EP267" s="286"/>
      <c r="EQ267" s="286"/>
      <c r="ER267" s="286"/>
      <c r="ES267" s="286"/>
      <c r="ET267" s="286"/>
      <c r="EU267" s="286"/>
      <c r="EV267" s="286"/>
      <c r="EW267" s="286"/>
      <c r="EX267" s="286"/>
      <c r="EY267" s="286"/>
      <c r="EZ267" s="286"/>
      <c r="FA267" s="286"/>
      <c r="FB267" s="286"/>
      <c r="FC267" s="286"/>
      <c r="FD267" s="286"/>
      <c r="FE267" s="286"/>
      <c r="FF267" s="286"/>
      <c r="FG267" s="286"/>
      <c r="FH267" s="286"/>
      <c r="FI267" s="286"/>
      <c r="FJ267" s="286"/>
      <c r="FK267" s="286"/>
      <c r="FL267" s="286"/>
      <c r="FM267" s="286"/>
      <c r="FN267" s="286"/>
      <c r="FO267" s="286"/>
      <c r="FP267" s="286"/>
      <c r="FQ267" s="286"/>
      <c r="FR267" s="286"/>
      <c r="FS267" s="286"/>
    </row>
    <row r="268" spans="1:175">
      <c r="A268" s="212" t="s">
        <v>3159</v>
      </c>
      <c r="B268" s="212" t="s">
        <v>3160</v>
      </c>
      <c r="C268" s="212" t="s">
        <v>3172</v>
      </c>
      <c r="D268" s="212" t="s">
        <v>3233</v>
      </c>
      <c r="E268" s="212" t="s">
        <v>3429</v>
      </c>
      <c r="F268" s="278">
        <v>184</v>
      </c>
      <c r="G268" s="278">
        <v>6454</v>
      </c>
      <c r="H268" s="287">
        <f t="shared" si="4"/>
        <v>1.5494267121165169E-2</v>
      </c>
      <c r="I268" s="286">
        <v>1</v>
      </c>
      <c r="J268" s="286">
        <v>1</v>
      </c>
      <c r="K268" s="286">
        <v>1</v>
      </c>
      <c r="L268" s="286">
        <v>0</v>
      </c>
      <c r="M268" s="286">
        <v>0</v>
      </c>
      <c r="N268" s="286">
        <v>0</v>
      </c>
      <c r="O268" s="286">
        <v>0</v>
      </c>
      <c r="P268" s="286">
        <v>1</v>
      </c>
      <c r="Q268" s="286">
        <v>1</v>
      </c>
      <c r="R268" s="286">
        <v>1</v>
      </c>
      <c r="S268" s="286">
        <v>0</v>
      </c>
      <c r="T268" s="286">
        <v>0</v>
      </c>
      <c r="U268" s="286">
        <v>0</v>
      </c>
      <c r="V268" s="286">
        <v>0</v>
      </c>
      <c r="W268" s="286"/>
      <c r="X268" s="286"/>
      <c r="Y268" s="286"/>
      <c r="Z268" s="286"/>
      <c r="AA268" s="286"/>
      <c r="AB268" s="286"/>
      <c r="AC268" s="286"/>
      <c r="AD268" s="286"/>
      <c r="AE268" s="286"/>
      <c r="AF268" s="286"/>
      <c r="AG268" s="286"/>
      <c r="AH268" s="286"/>
      <c r="AI268" s="286"/>
      <c r="AJ268" s="286"/>
      <c r="AK268" s="286"/>
      <c r="AL268" s="286"/>
      <c r="AM268" s="286"/>
      <c r="AN268" s="286"/>
      <c r="AO268" s="286"/>
      <c r="AP268" s="286"/>
      <c r="AQ268" s="286"/>
      <c r="AR268" s="286"/>
      <c r="AS268" s="286"/>
      <c r="AT268" s="286"/>
      <c r="AU268" s="286"/>
      <c r="AV268" s="286"/>
      <c r="AW268" s="286"/>
      <c r="AX268" s="286"/>
      <c r="AY268" s="286"/>
      <c r="AZ268" s="286"/>
      <c r="BA268" s="286"/>
      <c r="BB268" s="286"/>
      <c r="BC268" s="286"/>
      <c r="BD268" s="286"/>
      <c r="BE268" s="286"/>
      <c r="BF268" s="286"/>
      <c r="BG268" s="286"/>
      <c r="BH268" s="286"/>
      <c r="BI268" s="286"/>
      <c r="BJ268" s="286"/>
      <c r="BK268" s="286"/>
      <c r="BL268" s="286"/>
      <c r="BM268" s="286"/>
      <c r="BN268" s="286"/>
      <c r="BO268" s="286"/>
      <c r="BP268" s="286"/>
      <c r="BQ268" s="286"/>
      <c r="BR268" s="286"/>
      <c r="BS268" s="286"/>
      <c r="BT268" s="286"/>
      <c r="BU268" s="286"/>
      <c r="BV268" s="286"/>
      <c r="BW268" s="286"/>
      <c r="BX268" s="286"/>
      <c r="BY268" s="286"/>
      <c r="BZ268" s="286"/>
      <c r="CA268" s="286"/>
      <c r="CB268" s="286"/>
      <c r="CC268" s="286"/>
      <c r="CD268" s="286"/>
      <c r="CE268" s="286"/>
      <c r="CF268" s="286"/>
      <c r="CG268" s="286"/>
      <c r="CH268" s="286"/>
      <c r="CI268" s="286"/>
      <c r="CJ268" s="286"/>
      <c r="CK268" s="286"/>
      <c r="CL268" s="286"/>
      <c r="CM268" s="286"/>
      <c r="CN268" s="286"/>
      <c r="CO268" s="286"/>
      <c r="CP268" s="286"/>
      <c r="CQ268" s="286"/>
      <c r="CR268" s="286"/>
      <c r="CS268" s="286"/>
      <c r="CT268" s="286"/>
      <c r="CU268" s="286"/>
      <c r="CV268" s="286"/>
      <c r="CW268" s="286"/>
      <c r="CX268" s="286"/>
      <c r="CY268" s="286"/>
      <c r="CZ268" s="286"/>
      <c r="DA268" s="286"/>
      <c r="DB268" s="286"/>
      <c r="DC268" s="286"/>
      <c r="DD268" s="286"/>
      <c r="DE268" s="286"/>
      <c r="DF268" s="286"/>
      <c r="DG268" s="286"/>
      <c r="DH268" s="286"/>
      <c r="DI268" s="286"/>
      <c r="DJ268" s="286"/>
      <c r="DK268" s="286"/>
      <c r="DL268" s="286"/>
      <c r="DM268" s="286"/>
      <c r="DN268" s="286"/>
      <c r="DO268" s="286"/>
      <c r="DP268" s="286"/>
      <c r="DQ268" s="286"/>
      <c r="DR268" s="286"/>
      <c r="DS268" s="286"/>
      <c r="DT268" s="286"/>
      <c r="DU268" s="286"/>
      <c r="DV268" s="286"/>
      <c r="DW268" s="286"/>
      <c r="DX268" s="286"/>
      <c r="DY268" s="286"/>
      <c r="DZ268" s="286"/>
      <c r="EA268" s="286"/>
      <c r="EB268" s="286"/>
      <c r="EC268" s="286"/>
      <c r="ED268" s="286"/>
      <c r="EE268" s="286"/>
      <c r="EF268" s="286"/>
      <c r="EG268" s="286"/>
      <c r="EH268" s="286"/>
      <c r="EI268" s="286"/>
      <c r="EJ268" s="286"/>
      <c r="EK268" s="286"/>
      <c r="EL268" s="286"/>
      <c r="EM268" s="286"/>
      <c r="EN268" s="286"/>
      <c r="EO268" s="286"/>
      <c r="EP268" s="286"/>
      <c r="EQ268" s="286"/>
      <c r="ER268" s="286"/>
      <c r="ES268" s="286"/>
      <c r="ET268" s="286"/>
      <c r="EU268" s="286"/>
      <c r="EV268" s="286"/>
      <c r="EW268" s="286"/>
      <c r="EX268" s="286"/>
      <c r="EY268" s="286"/>
      <c r="EZ268" s="286"/>
      <c r="FA268" s="286"/>
      <c r="FB268" s="286"/>
      <c r="FC268" s="286"/>
      <c r="FD268" s="286"/>
      <c r="FE268" s="286"/>
      <c r="FF268" s="286"/>
      <c r="FG268" s="286"/>
      <c r="FH268" s="286"/>
      <c r="FI268" s="286"/>
      <c r="FJ268" s="286"/>
      <c r="FK268" s="286"/>
      <c r="FL268" s="286"/>
      <c r="FM268" s="286"/>
      <c r="FN268" s="286"/>
      <c r="FO268" s="286"/>
      <c r="FP268" s="286"/>
      <c r="FQ268" s="286"/>
      <c r="FR268" s="286"/>
      <c r="FS268" s="286"/>
    </row>
    <row r="269" spans="1:175">
      <c r="A269" s="212" t="s">
        <v>3159</v>
      </c>
      <c r="B269" s="212" t="s">
        <v>3160</v>
      </c>
      <c r="C269" s="212" t="s">
        <v>3172</v>
      </c>
      <c r="D269" s="212" t="s">
        <v>3233</v>
      </c>
      <c r="E269" s="212" t="s">
        <v>3430</v>
      </c>
      <c r="F269" s="278">
        <v>559</v>
      </c>
      <c r="G269" s="278">
        <v>6793</v>
      </c>
      <c r="H269" s="287">
        <f t="shared" si="4"/>
        <v>0.45635212718975421</v>
      </c>
      <c r="I269" s="286">
        <v>8</v>
      </c>
      <c r="J269" s="286">
        <v>31</v>
      </c>
      <c r="K269" s="286">
        <v>19</v>
      </c>
      <c r="L269" s="286">
        <v>12</v>
      </c>
      <c r="M269" s="286">
        <v>17</v>
      </c>
      <c r="N269" s="286">
        <v>9</v>
      </c>
      <c r="O269" s="286">
        <v>8</v>
      </c>
      <c r="P269" s="286">
        <v>8</v>
      </c>
      <c r="Q269" s="286">
        <v>31</v>
      </c>
      <c r="R269" s="286">
        <v>19</v>
      </c>
      <c r="S269" s="286">
        <v>12</v>
      </c>
      <c r="T269" s="286">
        <v>17</v>
      </c>
      <c r="U269" s="286">
        <v>9</v>
      </c>
      <c r="V269" s="286">
        <v>8</v>
      </c>
      <c r="W269" s="286"/>
      <c r="X269" s="286"/>
      <c r="Y269" s="286"/>
      <c r="Z269" s="286"/>
      <c r="AA269" s="286"/>
      <c r="AB269" s="286"/>
      <c r="AC269" s="286"/>
      <c r="AD269" s="286"/>
      <c r="AE269" s="286"/>
      <c r="AF269" s="286"/>
      <c r="AG269" s="286"/>
      <c r="AH269" s="286"/>
      <c r="AI269" s="286"/>
      <c r="AJ269" s="286"/>
      <c r="AK269" s="286"/>
      <c r="AL269" s="286"/>
      <c r="AM269" s="286"/>
      <c r="AN269" s="286"/>
      <c r="AO269" s="286"/>
      <c r="AP269" s="286"/>
      <c r="AQ269" s="286"/>
      <c r="AR269" s="286"/>
      <c r="AS269" s="286"/>
      <c r="AT269" s="286"/>
      <c r="AU269" s="286"/>
      <c r="AV269" s="286"/>
      <c r="AW269" s="286"/>
      <c r="AX269" s="286"/>
      <c r="AY269" s="286"/>
      <c r="AZ269" s="286"/>
      <c r="BA269" s="286"/>
      <c r="BB269" s="286"/>
      <c r="BC269" s="286"/>
      <c r="BD269" s="286"/>
      <c r="BE269" s="286"/>
      <c r="BF269" s="286"/>
      <c r="BG269" s="286"/>
      <c r="BH269" s="286"/>
      <c r="BI269" s="286"/>
      <c r="BJ269" s="286"/>
      <c r="BK269" s="286"/>
      <c r="BL269" s="286"/>
      <c r="BM269" s="286"/>
      <c r="BN269" s="286"/>
      <c r="BO269" s="286"/>
      <c r="BP269" s="286"/>
      <c r="BQ269" s="286"/>
      <c r="BR269" s="286"/>
      <c r="BS269" s="286"/>
      <c r="BT269" s="286"/>
      <c r="BU269" s="286"/>
      <c r="BV269" s="286"/>
      <c r="BW269" s="286"/>
      <c r="BX269" s="286"/>
      <c r="BY269" s="286"/>
      <c r="BZ269" s="286"/>
      <c r="CA269" s="286"/>
      <c r="CB269" s="286"/>
      <c r="CC269" s="286"/>
      <c r="CD269" s="286"/>
      <c r="CE269" s="286"/>
      <c r="CF269" s="286"/>
      <c r="CG269" s="286"/>
      <c r="CH269" s="286"/>
      <c r="CI269" s="286"/>
      <c r="CJ269" s="286"/>
      <c r="CK269" s="286"/>
      <c r="CL269" s="286"/>
      <c r="CM269" s="286"/>
      <c r="CN269" s="286"/>
      <c r="CO269" s="286"/>
      <c r="CP269" s="286"/>
      <c r="CQ269" s="286"/>
      <c r="CR269" s="286"/>
      <c r="CS269" s="286"/>
      <c r="CT269" s="286"/>
      <c r="CU269" s="286"/>
      <c r="CV269" s="286"/>
      <c r="CW269" s="286"/>
      <c r="CX269" s="286"/>
      <c r="CY269" s="286"/>
      <c r="CZ269" s="286"/>
      <c r="DA269" s="286"/>
      <c r="DB269" s="286"/>
      <c r="DC269" s="286"/>
      <c r="DD269" s="286"/>
      <c r="DE269" s="286"/>
      <c r="DF269" s="286"/>
      <c r="DG269" s="286"/>
      <c r="DH269" s="286"/>
      <c r="DI269" s="286"/>
      <c r="DJ269" s="286"/>
      <c r="DK269" s="286"/>
      <c r="DL269" s="286"/>
      <c r="DM269" s="286"/>
      <c r="DN269" s="286"/>
      <c r="DO269" s="286"/>
      <c r="DP269" s="286"/>
      <c r="DQ269" s="286"/>
      <c r="DR269" s="286"/>
      <c r="DS269" s="286"/>
      <c r="DT269" s="286"/>
      <c r="DU269" s="286"/>
      <c r="DV269" s="286"/>
      <c r="DW269" s="286"/>
      <c r="DX269" s="286"/>
      <c r="DY269" s="286"/>
      <c r="DZ269" s="286"/>
      <c r="EA269" s="286"/>
      <c r="EB269" s="286"/>
      <c r="EC269" s="286"/>
      <c r="ED269" s="286"/>
      <c r="EE269" s="286"/>
      <c r="EF269" s="286"/>
      <c r="EG269" s="286"/>
      <c r="EH269" s="286"/>
      <c r="EI269" s="286"/>
      <c r="EJ269" s="286"/>
      <c r="EK269" s="286"/>
      <c r="EL269" s="286"/>
      <c r="EM269" s="286"/>
      <c r="EN269" s="286"/>
      <c r="EO269" s="286"/>
      <c r="EP269" s="286"/>
      <c r="EQ269" s="286"/>
      <c r="ER269" s="286"/>
      <c r="ES269" s="286"/>
      <c r="ET269" s="286"/>
      <c r="EU269" s="286"/>
      <c r="EV269" s="286"/>
      <c r="EW269" s="286"/>
      <c r="EX269" s="286"/>
      <c r="EY269" s="286"/>
      <c r="EZ269" s="286"/>
      <c r="FA269" s="286"/>
      <c r="FB269" s="286"/>
      <c r="FC269" s="286"/>
      <c r="FD269" s="286"/>
      <c r="FE269" s="286"/>
      <c r="FF269" s="286"/>
      <c r="FG269" s="286"/>
      <c r="FH269" s="286"/>
      <c r="FI269" s="286"/>
      <c r="FJ269" s="286"/>
      <c r="FK269" s="286"/>
      <c r="FL269" s="286"/>
      <c r="FM269" s="286"/>
      <c r="FN269" s="286"/>
      <c r="FO269" s="286"/>
      <c r="FP269" s="286"/>
      <c r="FQ269" s="286"/>
      <c r="FR269" s="286"/>
      <c r="FS269" s="286"/>
    </row>
    <row r="270" spans="1:175">
      <c r="A270" s="212" t="s">
        <v>3159</v>
      </c>
      <c r="B270" s="212" t="s">
        <v>3160</v>
      </c>
      <c r="C270" s="212" t="s">
        <v>3172</v>
      </c>
      <c r="D270" s="212" t="s">
        <v>3233</v>
      </c>
      <c r="E270" s="212" t="s">
        <v>3431</v>
      </c>
      <c r="F270" s="278">
        <v>2883</v>
      </c>
      <c r="G270" s="278">
        <v>32268</v>
      </c>
      <c r="H270" s="287">
        <f t="shared" si="4"/>
        <v>5.6650551630097929</v>
      </c>
      <c r="I270" s="286">
        <v>172</v>
      </c>
      <c r="J270" s="286">
        <v>1828</v>
      </c>
      <c r="K270" s="286">
        <v>1062</v>
      </c>
      <c r="L270" s="286">
        <v>766</v>
      </c>
      <c r="M270" s="286">
        <v>1498</v>
      </c>
      <c r="N270" s="286">
        <v>849</v>
      </c>
      <c r="O270" s="286">
        <v>649</v>
      </c>
      <c r="P270" s="286">
        <v>172</v>
      </c>
      <c r="Q270" s="286">
        <v>1828</v>
      </c>
      <c r="R270" s="286">
        <v>1062</v>
      </c>
      <c r="S270" s="286">
        <v>766</v>
      </c>
      <c r="T270" s="286">
        <v>1498</v>
      </c>
      <c r="U270" s="286">
        <v>849</v>
      </c>
      <c r="V270" s="286">
        <v>649</v>
      </c>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6"/>
      <c r="BI270" s="286"/>
      <c r="BJ270" s="286"/>
      <c r="BK270" s="286"/>
      <c r="BL270" s="286"/>
      <c r="BM270" s="286"/>
      <c r="BN270" s="286"/>
      <c r="BO270" s="286"/>
      <c r="BP270" s="286"/>
      <c r="BQ270" s="286"/>
      <c r="BR270" s="286"/>
      <c r="BS270" s="286"/>
      <c r="BT270" s="286"/>
      <c r="BU270" s="286"/>
      <c r="BV270" s="286"/>
      <c r="BW270" s="286"/>
      <c r="BX270" s="286"/>
      <c r="BY270" s="286"/>
      <c r="BZ270" s="286"/>
      <c r="CA270" s="286"/>
      <c r="CB270" s="286"/>
      <c r="CC270" s="286"/>
      <c r="CD270" s="286"/>
      <c r="CE270" s="286"/>
      <c r="CF270" s="286"/>
      <c r="CG270" s="286"/>
      <c r="CH270" s="286"/>
      <c r="CI270" s="286"/>
      <c r="CJ270" s="286"/>
      <c r="CK270" s="286"/>
      <c r="CL270" s="286"/>
      <c r="CM270" s="286"/>
      <c r="CN270" s="286"/>
      <c r="CO270" s="286"/>
      <c r="CP270" s="286"/>
      <c r="CQ270" s="286"/>
      <c r="CR270" s="286"/>
      <c r="CS270" s="286"/>
      <c r="CT270" s="286"/>
      <c r="CU270" s="286"/>
      <c r="CV270" s="286"/>
      <c r="CW270" s="286"/>
      <c r="CX270" s="286"/>
      <c r="CY270" s="286"/>
      <c r="CZ270" s="286"/>
      <c r="DA270" s="286"/>
      <c r="DB270" s="286"/>
      <c r="DC270" s="286"/>
      <c r="DD270" s="286"/>
      <c r="DE270" s="286"/>
      <c r="DF270" s="286"/>
      <c r="DG270" s="286"/>
      <c r="DH270" s="286"/>
      <c r="DI270" s="286"/>
      <c r="DJ270" s="286"/>
      <c r="DK270" s="286"/>
      <c r="DL270" s="286"/>
      <c r="DM270" s="286"/>
      <c r="DN270" s="286"/>
      <c r="DO270" s="286"/>
      <c r="DP270" s="286"/>
      <c r="DQ270" s="286"/>
      <c r="DR270" s="286"/>
      <c r="DS270" s="286"/>
      <c r="DT270" s="286"/>
      <c r="DU270" s="286"/>
      <c r="DV270" s="286"/>
      <c r="DW270" s="286"/>
      <c r="DX270" s="286"/>
      <c r="DY270" s="286"/>
      <c r="DZ270" s="286"/>
      <c r="EA270" s="286"/>
      <c r="EB270" s="286"/>
      <c r="EC270" s="286"/>
      <c r="ED270" s="286"/>
      <c r="EE270" s="286"/>
      <c r="EF270" s="286"/>
      <c r="EG270" s="286"/>
      <c r="EH270" s="286"/>
      <c r="EI270" s="286"/>
      <c r="EJ270" s="286"/>
      <c r="EK270" s="286"/>
      <c r="EL270" s="286"/>
      <c r="EM270" s="286"/>
      <c r="EN270" s="286"/>
      <c r="EO270" s="286"/>
      <c r="EP270" s="286"/>
      <c r="EQ270" s="286"/>
      <c r="ER270" s="286"/>
      <c r="ES270" s="286"/>
      <c r="ET270" s="286"/>
      <c r="EU270" s="286"/>
      <c r="EV270" s="286"/>
      <c r="EW270" s="286"/>
      <c r="EX270" s="286"/>
      <c r="EY270" s="286"/>
      <c r="EZ270" s="286"/>
      <c r="FA270" s="286"/>
      <c r="FB270" s="286"/>
      <c r="FC270" s="286"/>
      <c r="FD270" s="286"/>
      <c r="FE270" s="286"/>
      <c r="FF270" s="286"/>
      <c r="FG270" s="286"/>
      <c r="FH270" s="286"/>
      <c r="FI270" s="286"/>
      <c r="FJ270" s="286"/>
      <c r="FK270" s="286"/>
      <c r="FL270" s="286"/>
      <c r="FM270" s="286"/>
      <c r="FN270" s="286"/>
      <c r="FO270" s="286"/>
      <c r="FP270" s="286"/>
      <c r="FQ270" s="286"/>
      <c r="FR270" s="286"/>
      <c r="FS270" s="286"/>
    </row>
    <row r="271" spans="1:175">
      <c r="A271" s="212" t="s">
        <v>3159</v>
      </c>
      <c r="B271" s="212" t="s">
        <v>3160</v>
      </c>
      <c r="C271" s="212" t="s">
        <v>3432</v>
      </c>
      <c r="D271" s="212" t="s">
        <v>3233</v>
      </c>
      <c r="E271" s="212" t="s">
        <v>3433</v>
      </c>
      <c r="F271" s="278">
        <v>1615</v>
      </c>
      <c r="G271" s="278">
        <v>14881</v>
      </c>
      <c r="H271" s="287">
        <f t="shared" si="4"/>
        <v>1.5523150325918955</v>
      </c>
      <c r="I271" s="286">
        <v>26</v>
      </c>
      <c r="J271" s="286">
        <v>231</v>
      </c>
      <c r="K271" s="286">
        <v>87</v>
      </c>
      <c r="L271" s="286">
        <v>144</v>
      </c>
      <c r="M271" s="286">
        <v>190</v>
      </c>
      <c r="N271" s="286">
        <v>61</v>
      </c>
      <c r="O271" s="286">
        <v>129</v>
      </c>
      <c r="P271" s="286">
        <v>26</v>
      </c>
      <c r="Q271" s="286">
        <v>231</v>
      </c>
      <c r="R271" s="286">
        <v>87</v>
      </c>
      <c r="S271" s="286">
        <v>144</v>
      </c>
      <c r="T271" s="286">
        <v>190</v>
      </c>
      <c r="U271" s="286">
        <v>61</v>
      </c>
      <c r="V271" s="286">
        <v>129</v>
      </c>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86"/>
      <c r="BQ271" s="286"/>
      <c r="BR271" s="286"/>
      <c r="BS271" s="286"/>
      <c r="BT271" s="286"/>
      <c r="BU271" s="286"/>
      <c r="BV271" s="286"/>
      <c r="BW271" s="286"/>
      <c r="BX271" s="286"/>
      <c r="BY271" s="286"/>
      <c r="BZ271" s="286"/>
      <c r="CA271" s="286"/>
      <c r="CB271" s="286"/>
      <c r="CC271" s="286"/>
      <c r="CD271" s="286"/>
      <c r="CE271" s="286"/>
      <c r="CF271" s="286"/>
      <c r="CG271" s="286"/>
      <c r="CH271" s="286"/>
      <c r="CI271" s="286"/>
      <c r="CJ271" s="286"/>
      <c r="CK271" s="286"/>
      <c r="CL271" s="286"/>
      <c r="CM271" s="286"/>
      <c r="CN271" s="286"/>
      <c r="CO271" s="286"/>
      <c r="CP271" s="286"/>
      <c r="CQ271" s="286"/>
      <c r="CR271" s="286"/>
      <c r="CS271" s="286"/>
      <c r="CT271" s="286"/>
      <c r="CU271" s="286"/>
      <c r="CV271" s="286"/>
      <c r="CW271" s="286"/>
      <c r="CX271" s="286"/>
      <c r="CY271" s="286"/>
      <c r="CZ271" s="286"/>
      <c r="DA271" s="286"/>
      <c r="DB271" s="286"/>
      <c r="DC271" s="286"/>
      <c r="DD271" s="286"/>
      <c r="DE271" s="286"/>
      <c r="DF271" s="286"/>
      <c r="DG271" s="286"/>
      <c r="DH271" s="286"/>
      <c r="DI271" s="286"/>
      <c r="DJ271" s="286"/>
      <c r="DK271" s="286"/>
      <c r="DL271" s="286"/>
      <c r="DM271" s="286"/>
      <c r="DN271" s="286"/>
      <c r="DO271" s="286"/>
      <c r="DP271" s="286"/>
      <c r="DQ271" s="286"/>
      <c r="DR271" s="286"/>
      <c r="DS271" s="286"/>
      <c r="DT271" s="286"/>
      <c r="DU271" s="286"/>
      <c r="DV271" s="286"/>
      <c r="DW271" s="286"/>
      <c r="DX271" s="286"/>
      <c r="DY271" s="286"/>
      <c r="DZ271" s="286"/>
      <c r="EA271" s="286"/>
      <c r="EB271" s="286"/>
      <c r="EC271" s="286"/>
      <c r="ED271" s="286"/>
      <c r="EE271" s="286"/>
      <c r="EF271" s="286"/>
      <c r="EG271" s="286"/>
      <c r="EH271" s="286"/>
      <c r="EI271" s="286"/>
      <c r="EJ271" s="286"/>
      <c r="EK271" s="286"/>
      <c r="EL271" s="286"/>
      <c r="EM271" s="286"/>
      <c r="EN271" s="286"/>
      <c r="EO271" s="286"/>
      <c r="EP271" s="286"/>
      <c r="EQ271" s="286"/>
      <c r="ER271" s="286"/>
      <c r="ES271" s="286"/>
      <c r="ET271" s="286"/>
      <c r="EU271" s="286"/>
      <c r="EV271" s="286"/>
      <c r="EW271" s="286"/>
      <c r="EX271" s="286"/>
      <c r="EY271" s="286"/>
      <c r="EZ271" s="286"/>
      <c r="FA271" s="286"/>
      <c r="FB271" s="286"/>
      <c r="FC271" s="286"/>
      <c r="FD271" s="286"/>
      <c r="FE271" s="286"/>
      <c r="FF271" s="286"/>
      <c r="FG271" s="286"/>
      <c r="FH271" s="286"/>
      <c r="FI271" s="286"/>
      <c r="FJ271" s="286"/>
      <c r="FK271" s="286"/>
      <c r="FL271" s="286"/>
      <c r="FM271" s="286"/>
      <c r="FN271" s="286"/>
      <c r="FO271" s="286"/>
      <c r="FP271" s="286"/>
      <c r="FQ271" s="286"/>
      <c r="FR271" s="286"/>
      <c r="FS271" s="286"/>
    </row>
    <row r="272" spans="1:175">
      <c r="A272" s="212" t="s">
        <v>3159</v>
      </c>
      <c r="B272" s="212" t="s">
        <v>3160</v>
      </c>
      <c r="C272" s="212" t="s">
        <v>3432</v>
      </c>
      <c r="D272" s="212" t="s">
        <v>3233</v>
      </c>
      <c r="E272" s="280" t="s">
        <v>3434</v>
      </c>
      <c r="F272" s="288">
        <v>1268</v>
      </c>
      <c r="G272" s="288">
        <v>17387</v>
      </c>
      <c r="H272" s="289">
        <f t="shared" si="4"/>
        <v>9.1850232932650844</v>
      </c>
      <c r="I272" s="286">
        <v>146</v>
      </c>
      <c r="J272" s="286">
        <v>1597</v>
      </c>
      <c r="K272" s="286">
        <v>975</v>
      </c>
      <c r="L272" s="286">
        <v>622</v>
      </c>
      <c r="M272" s="286">
        <v>1308</v>
      </c>
      <c r="N272" s="286">
        <v>788</v>
      </c>
      <c r="O272" s="286">
        <v>520</v>
      </c>
      <c r="P272" s="286">
        <v>146</v>
      </c>
      <c r="Q272" s="286">
        <v>1597</v>
      </c>
      <c r="R272" s="286">
        <v>975</v>
      </c>
      <c r="S272" s="286">
        <v>622</v>
      </c>
      <c r="T272" s="286">
        <v>1308</v>
      </c>
      <c r="U272" s="286">
        <v>788</v>
      </c>
      <c r="V272" s="286">
        <v>520</v>
      </c>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BP272" s="286"/>
      <c r="BQ272" s="286"/>
      <c r="BR272" s="286"/>
      <c r="BS272" s="286"/>
      <c r="BT272" s="286"/>
      <c r="BU272" s="286"/>
      <c r="BV272" s="286"/>
      <c r="BW272" s="286"/>
      <c r="BX272" s="286"/>
      <c r="BY272" s="286"/>
      <c r="BZ272" s="286"/>
      <c r="CA272" s="286"/>
      <c r="CB272" s="286"/>
      <c r="CC272" s="286"/>
      <c r="CD272" s="286"/>
      <c r="CE272" s="286"/>
      <c r="CF272" s="286"/>
      <c r="CG272" s="286"/>
      <c r="CH272" s="286"/>
      <c r="CI272" s="286"/>
      <c r="CJ272" s="286"/>
      <c r="CK272" s="286"/>
      <c r="CL272" s="286"/>
      <c r="CM272" s="286"/>
      <c r="CN272" s="286"/>
      <c r="CO272" s="286"/>
      <c r="CP272" s="286"/>
      <c r="CQ272" s="286"/>
      <c r="CR272" s="286"/>
      <c r="CS272" s="286"/>
      <c r="CT272" s="286"/>
      <c r="CU272" s="286"/>
      <c r="CV272" s="286"/>
      <c r="CW272" s="286"/>
      <c r="CX272" s="286"/>
      <c r="CY272" s="286"/>
      <c r="CZ272" s="286"/>
      <c r="DA272" s="286"/>
      <c r="DB272" s="286"/>
      <c r="DC272" s="286"/>
      <c r="DD272" s="286"/>
      <c r="DE272" s="286"/>
      <c r="DF272" s="286"/>
      <c r="DG272" s="286"/>
      <c r="DH272" s="286"/>
      <c r="DI272" s="286"/>
      <c r="DJ272" s="286"/>
      <c r="DK272" s="286"/>
      <c r="DL272" s="286"/>
      <c r="DM272" s="286"/>
      <c r="DN272" s="286"/>
      <c r="DO272" s="286"/>
      <c r="DP272" s="286"/>
      <c r="DQ272" s="286"/>
      <c r="DR272" s="286"/>
      <c r="DS272" s="286"/>
      <c r="DT272" s="286"/>
      <c r="DU272" s="286"/>
      <c r="DV272" s="286"/>
      <c r="DW272" s="286"/>
      <c r="DX272" s="286"/>
      <c r="DY272" s="286"/>
      <c r="DZ272" s="286"/>
      <c r="EA272" s="286"/>
      <c r="EB272" s="286"/>
      <c r="EC272" s="286"/>
      <c r="ED272" s="286"/>
      <c r="EE272" s="286"/>
      <c r="EF272" s="286"/>
      <c r="EG272" s="286"/>
      <c r="EH272" s="286"/>
      <c r="EI272" s="286"/>
      <c r="EJ272" s="286"/>
      <c r="EK272" s="286"/>
      <c r="EL272" s="286"/>
      <c r="EM272" s="286"/>
      <c r="EN272" s="286"/>
      <c r="EO272" s="286"/>
      <c r="EP272" s="286"/>
      <c r="EQ272" s="286"/>
      <c r="ER272" s="286"/>
      <c r="ES272" s="286"/>
      <c r="ET272" s="286"/>
      <c r="EU272" s="286"/>
      <c r="EV272" s="286"/>
      <c r="EW272" s="286"/>
      <c r="EX272" s="286"/>
      <c r="EY272" s="286"/>
      <c r="EZ272" s="286"/>
      <c r="FA272" s="286"/>
      <c r="FB272" s="286"/>
      <c r="FC272" s="286"/>
      <c r="FD272" s="286"/>
      <c r="FE272" s="286"/>
      <c r="FF272" s="286"/>
      <c r="FG272" s="286"/>
      <c r="FH272" s="286"/>
      <c r="FI272" s="286"/>
      <c r="FJ272" s="286"/>
      <c r="FK272" s="286"/>
      <c r="FL272" s="286"/>
      <c r="FM272" s="286"/>
      <c r="FN272" s="286"/>
      <c r="FO272" s="286"/>
      <c r="FP272" s="286"/>
      <c r="FQ272" s="286"/>
      <c r="FR272" s="286"/>
      <c r="FS272" s="286"/>
    </row>
    <row r="273" spans="1:175">
      <c r="A273" s="212" t="s">
        <v>3159</v>
      </c>
      <c r="B273" s="212" t="s">
        <v>3160</v>
      </c>
      <c r="C273" s="212" t="s">
        <v>3172</v>
      </c>
      <c r="D273" s="212" t="s">
        <v>3233</v>
      </c>
      <c r="E273" s="212" t="s">
        <v>3435</v>
      </c>
      <c r="F273" s="278">
        <v>1137</v>
      </c>
      <c r="G273" s="278">
        <v>17022</v>
      </c>
      <c r="H273" s="287">
        <f t="shared" si="4"/>
        <v>1.075079309129362</v>
      </c>
      <c r="I273" s="286">
        <v>33</v>
      </c>
      <c r="J273" s="286">
        <v>183</v>
      </c>
      <c r="K273" s="286">
        <v>68</v>
      </c>
      <c r="L273" s="286">
        <v>115</v>
      </c>
      <c r="M273" s="286">
        <v>132</v>
      </c>
      <c r="N273" s="286">
        <v>36</v>
      </c>
      <c r="O273" s="286">
        <v>96</v>
      </c>
      <c r="P273" s="286">
        <v>33</v>
      </c>
      <c r="Q273" s="286">
        <v>183</v>
      </c>
      <c r="R273" s="286">
        <v>68</v>
      </c>
      <c r="S273" s="286">
        <v>115</v>
      </c>
      <c r="T273" s="286">
        <v>132</v>
      </c>
      <c r="U273" s="286">
        <v>36</v>
      </c>
      <c r="V273" s="286">
        <v>96</v>
      </c>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BP273" s="286"/>
      <c r="BQ273" s="286"/>
      <c r="BR273" s="286"/>
      <c r="BS273" s="286"/>
      <c r="BT273" s="286"/>
      <c r="BU273" s="286"/>
      <c r="BV273" s="286"/>
      <c r="BW273" s="286"/>
      <c r="BX273" s="286"/>
      <c r="BY273" s="286"/>
      <c r="BZ273" s="286"/>
      <c r="CA273" s="286"/>
      <c r="CB273" s="286"/>
      <c r="CC273" s="286"/>
      <c r="CD273" s="286"/>
      <c r="CE273" s="286"/>
      <c r="CF273" s="286"/>
      <c r="CG273" s="286"/>
      <c r="CH273" s="286"/>
      <c r="CI273" s="286"/>
      <c r="CJ273" s="286"/>
      <c r="CK273" s="286"/>
      <c r="CL273" s="286"/>
      <c r="CM273" s="286"/>
      <c r="CN273" s="286"/>
      <c r="CO273" s="286"/>
      <c r="CP273" s="286"/>
      <c r="CQ273" s="286"/>
      <c r="CR273" s="286"/>
      <c r="CS273" s="286"/>
      <c r="CT273" s="286"/>
      <c r="CU273" s="286"/>
      <c r="CV273" s="286"/>
      <c r="CW273" s="286"/>
      <c r="CX273" s="286"/>
      <c r="CY273" s="286"/>
      <c r="CZ273" s="286"/>
      <c r="DA273" s="286"/>
      <c r="DB273" s="286"/>
      <c r="DC273" s="286"/>
      <c r="DD273" s="286"/>
      <c r="DE273" s="286"/>
      <c r="DF273" s="286"/>
      <c r="DG273" s="286"/>
      <c r="DH273" s="286"/>
      <c r="DI273" s="286"/>
      <c r="DJ273" s="286"/>
      <c r="DK273" s="286"/>
      <c r="DL273" s="286"/>
      <c r="DM273" s="286"/>
      <c r="DN273" s="286"/>
      <c r="DO273" s="286"/>
      <c r="DP273" s="286"/>
      <c r="DQ273" s="286"/>
      <c r="DR273" s="286"/>
      <c r="DS273" s="286"/>
      <c r="DT273" s="286"/>
      <c r="DU273" s="286"/>
      <c r="DV273" s="286"/>
      <c r="DW273" s="286"/>
      <c r="DX273" s="286"/>
      <c r="DY273" s="286"/>
      <c r="DZ273" s="286"/>
      <c r="EA273" s="286"/>
      <c r="EB273" s="286"/>
      <c r="EC273" s="286"/>
      <c r="ED273" s="286"/>
      <c r="EE273" s="286"/>
      <c r="EF273" s="286"/>
      <c r="EG273" s="286"/>
      <c r="EH273" s="286"/>
      <c r="EI273" s="286"/>
      <c r="EJ273" s="286"/>
      <c r="EK273" s="286"/>
      <c r="EL273" s="286"/>
      <c r="EM273" s="286"/>
      <c r="EN273" s="286"/>
      <c r="EO273" s="286"/>
      <c r="EP273" s="286"/>
      <c r="EQ273" s="286"/>
      <c r="ER273" s="286"/>
      <c r="ES273" s="286"/>
      <c r="ET273" s="286"/>
      <c r="EU273" s="286"/>
      <c r="EV273" s="286"/>
      <c r="EW273" s="286"/>
      <c r="EX273" s="286"/>
      <c r="EY273" s="286"/>
      <c r="EZ273" s="286"/>
      <c r="FA273" s="286"/>
      <c r="FB273" s="286"/>
      <c r="FC273" s="286"/>
      <c r="FD273" s="286"/>
      <c r="FE273" s="286"/>
      <c r="FF273" s="286"/>
      <c r="FG273" s="286"/>
      <c r="FH273" s="286"/>
      <c r="FI273" s="286"/>
      <c r="FJ273" s="286"/>
      <c r="FK273" s="286"/>
      <c r="FL273" s="286"/>
      <c r="FM273" s="286"/>
      <c r="FN273" s="286"/>
      <c r="FO273" s="286"/>
      <c r="FP273" s="286"/>
      <c r="FQ273" s="286"/>
      <c r="FR273" s="286"/>
      <c r="FS273" s="286"/>
    </row>
    <row r="274" spans="1:175">
      <c r="A274" s="212" t="s">
        <v>3159</v>
      </c>
      <c r="B274" s="212" t="s">
        <v>3160</v>
      </c>
      <c r="C274" s="212" t="s">
        <v>3172</v>
      </c>
      <c r="D274" s="212" t="s">
        <v>3233</v>
      </c>
      <c r="E274" s="212" t="s">
        <v>3436</v>
      </c>
      <c r="F274" s="278">
        <v>1263</v>
      </c>
      <c r="G274" s="278">
        <v>4652</v>
      </c>
      <c r="H274" s="287">
        <f t="shared" si="4"/>
        <v>0.30094582975064488</v>
      </c>
      <c r="I274" s="286">
        <v>6</v>
      </c>
      <c r="J274" s="286">
        <v>14</v>
      </c>
      <c r="K274" s="286">
        <v>10</v>
      </c>
      <c r="L274" s="286">
        <v>4</v>
      </c>
      <c r="M274" s="286">
        <v>5</v>
      </c>
      <c r="N274" s="286">
        <v>4</v>
      </c>
      <c r="O274" s="286">
        <v>1</v>
      </c>
      <c r="P274" s="286">
        <v>6</v>
      </c>
      <c r="Q274" s="286">
        <v>14</v>
      </c>
      <c r="R274" s="286">
        <v>10</v>
      </c>
      <c r="S274" s="286">
        <v>4</v>
      </c>
      <c r="T274" s="286">
        <v>5</v>
      </c>
      <c r="U274" s="286">
        <v>4</v>
      </c>
      <c r="V274" s="286">
        <v>1</v>
      </c>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6"/>
      <c r="BI274" s="286"/>
      <c r="BJ274" s="286"/>
      <c r="BK274" s="286"/>
      <c r="BL274" s="286"/>
      <c r="BM274" s="286"/>
      <c r="BN274" s="286"/>
      <c r="BO274" s="286"/>
      <c r="BP274" s="286"/>
      <c r="BQ274" s="286"/>
      <c r="BR274" s="286"/>
      <c r="BS274" s="286"/>
      <c r="BT274" s="286"/>
      <c r="BU274" s="286"/>
      <c r="BV274" s="286"/>
      <c r="BW274" s="286"/>
      <c r="BX274" s="286"/>
      <c r="BY274" s="286"/>
      <c r="BZ274" s="286"/>
      <c r="CA274" s="286"/>
      <c r="CB274" s="286"/>
      <c r="CC274" s="286"/>
      <c r="CD274" s="286"/>
      <c r="CE274" s="286"/>
      <c r="CF274" s="286"/>
      <c r="CG274" s="286"/>
      <c r="CH274" s="286"/>
      <c r="CI274" s="286"/>
      <c r="CJ274" s="286"/>
      <c r="CK274" s="286"/>
      <c r="CL274" s="286"/>
      <c r="CM274" s="286"/>
      <c r="CN274" s="286"/>
      <c r="CO274" s="286"/>
      <c r="CP274" s="286"/>
      <c r="CQ274" s="286"/>
      <c r="CR274" s="286"/>
      <c r="CS274" s="286"/>
      <c r="CT274" s="286"/>
      <c r="CU274" s="286"/>
      <c r="CV274" s="286"/>
      <c r="CW274" s="286"/>
      <c r="CX274" s="286"/>
      <c r="CY274" s="286"/>
      <c r="CZ274" s="286"/>
      <c r="DA274" s="286"/>
      <c r="DB274" s="286"/>
      <c r="DC274" s="286"/>
      <c r="DD274" s="286"/>
      <c r="DE274" s="286"/>
      <c r="DF274" s="286"/>
      <c r="DG274" s="286"/>
      <c r="DH274" s="286"/>
      <c r="DI274" s="286"/>
      <c r="DJ274" s="286"/>
      <c r="DK274" s="286"/>
      <c r="DL274" s="286"/>
      <c r="DM274" s="286"/>
      <c r="DN274" s="286"/>
      <c r="DO274" s="286"/>
      <c r="DP274" s="286"/>
      <c r="DQ274" s="286"/>
      <c r="DR274" s="286"/>
      <c r="DS274" s="286"/>
      <c r="DT274" s="286"/>
      <c r="DU274" s="286"/>
      <c r="DV274" s="286"/>
      <c r="DW274" s="286"/>
      <c r="DX274" s="286"/>
      <c r="DY274" s="286"/>
      <c r="DZ274" s="286"/>
      <c r="EA274" s="286"/>
      <c r="EB274" s="286"/>
      <c r="EC274" s="286"/>
      <c r="ED274" s="286"/>
      <c r="EE274" s="286"/>
      <c r="EF274" s="286"/>
      <c r="EG274" s="286"/>
      <c r="EH274" s="286"/>
      <c r="EI274" s="286"/>
      <c r="EJ274" s="286"/>
      <c r="EK274" s="286"/>
      <c r="EL274" s="286"/>
      <c r="EM274" s="286"/>
      <c r="EN274" s="286"/>
      <c r="EO274" s="286"/>
      <c r="EP274" s="286"/>
      <c r="EQ274" s="286"/>
      <c r="ER274" s="286"/>
      <c r="ES274" s="286"/>
      <c r="ET274" s="286"/>
      <c r="EU274" s="286"/>
      <c r="EV274" s="286"/>
      <c r="EW274" s="286"/>
      <c r="EX274" s="286"/>
      <c r="EY274" s="286"/>
      <c r="EZ274" s="286"/>
      <c r="FA274" s="286"/>
      <c r="FB274" s="286"/>
      <c r="FC274" s="286"/>
      <c r="FD274" s="286"/>
      <c r="FE274" s="286"/>
      <c r="FF274" s="286"/>
      <c r="FG274" s="286"/>
      <c r="FH274" s="286"/>
      <c r="FI274" s="286"/>
      <c r="FJ274" s="286"/>
      <c r="FK274" s="286"/>
      <c r="FL274" s="286"/>
      <c r="FM274" s="286"/>
      <c r="FN274" s="286"/>
      <c r="FO274" s="286"/>
      <c r="FP274" s="286"/>
      <c r="FQ274" s="286"/>
      <c r="FR274" s="286"/>
      <c r="FS274" s="286"/>
    </row>
    <row r="275" spans="1:175">
      <c r="A275" s="212" t="s">
        <v>3159</v>
      </c>
      <c r="B275" s="212" t="s">
        <v>3160</v>
      </c>
      <c r="C275" s="212" t="s">
        <v>3172</v>
      </c>
      <c r="D275" s="212" t="s">
        <v>3233</v>
      </c>
      <c r="E275" s="212" t="s">
        <v>3437</v>
      </c>
      <c r="F275" s="278">
        <v>4499</v>
      </c>
      <c r="G275" s="278">
        <v>22110</v>
      </c>
      <c r="H275" s="287">
        <f t="shared" si="4"/>
        <v>5.0113071008593399</v>
      </c>
      <c r="I275" s="286">
        <v>134</v>
      </c>
      <c r="J275" s="286">
        <v>1108</v>
      </c>
      <c r="K275" s="286">
        <v>621</v>
      </c>
      <c r="L275" s="286">
        <v>487</v>
      </c>
      <c r="M275" s="286">
        <v>898</v>
      </c>
      <c r="N275" s="286">
        <v>470</v>
      </c>
      <c r="O275" s="286">
        <v>428</v>
      </c>
      <c r="P275" s="286">
        <v>134</v>
      </c>
      <c r="Q275" s="286">
        <v>1108</v>
      </c>
      <c r="R275" s="286">
        <v>621</v>
      </c>
      <c r="S275" s="286">
        <v>487</v>
      </c>
      <c r="T275" s="286">
        <v>898</v>
      </c>
      <c r="U275" s="286">
        <v>470</v>
      </c>
      <c r="V275" s="286">
        <v>428</v>
      </c>
      <c r="W275" s="286"/>
      <c r="X275" s="286"/>
      <c r="Y275" s="286"/>
      <c r="Z275" s="286"/>
      <c r="AA275" s="286"/>
      <c r="AB275" s="286"/>
      <c r="AC275" s="286"/>
      <c r="AD275" s="286"/>
      <c r="AE275" s="286"/>
      <c r="AF275" s="286"/>
      <c r="AG275" s="286"/>
      <c r="AH275" s="286"/>
      <c r="AI275" s="286"/>
      <c r="AJ275" s="286"/>
      <c r="AK275" s="286"/>
      <c r="AL275" s="286"/>
      <c r="AM275" s="286"/>
      <c r="AN275" s="286"/>
      <c r="AO275" s="286"/>
      <c r="AP275" s="286"/>
      <c r="AQ275" s="286"/>
      <c r="AR275" s="286"/>
      <c r="AS275" s="286"/>
      <c r="AT275" s="286"/>
      <c r="AU275" s="286"/>
      <c r="AV275" s="286"/>
      <c r="AW275" s="286"/>
      <c r="AX275" s="286"/>
      <c r="AY275" s="286"/>
      <c r="AZ275" s="286"/>
      <c r="BA275" s="286"/>
      <c r="BB275" s="286"/>
      <c r="BC275" s="286"/>
      <c r="BD275" s="286"/>
      <c r="BE275" s="286"/>
      <c r="BF275" s="286"/>
      <c r="BG275" s="286"/>
      <c r="BH275" s="286"/>
      <c r="BI275" s="286"/>
      <c r="BJ275" s="286"/>
      <c r="BK275" s="286"/>
      <c r="BL275" s="286"/>
      <c r="BM275" s="286"/>
      <c r="BN275" s="286"/>
      <c r="BO275" s="286"/>
      <c r="BP275" s="286"/>
      <c r="BQ275" s="286"/>
      <c r="BR275" s="286"/>
      <c r="BS275" s="286"/>
      <c r="BT275" s="286"/>
      <c r="BU275" s="286"/>
      <c r="BV275" s="286"/>
      <c r="BW275" s="286"/>
      <c r="BX275" s="286"/>
      <c r="BY275" s="286"/>
      <c r="BZ275" s="286"/>
      <c r="CA275" s="286"/>
      <c r="CB275" s="286"/>
      <c r="CC275" s="286"/>
      <c r="CD275" s="286"/>
      <c r="CE275" s="286"/>
      <c r="CF275" s="286"/>
      <c r="CG275" s="286"/>
      <c r="CH275" s="286"/>
      <c r="CI275" s="286"/>
      <c r="CJ275" s="286"/>
      <c r="CK275" s="286"/>
      <c r="CL275" s="286"/>
      <c r="CM275" s="286"/>
      <c r="CN275" s="286"/>
      <c r="CO275" s="286"/>
      <c r="CP275" s="286"/>
      <c r="CQ275" s="286"/>
      <c r="CR275" s="286"/>
      <c r="CS275" s="286"/>
      <c r="CT275" s="286"/>
      <c r="CU275" s="286"/>
      <c r="CV275" s="286"/>
      <c r="CW275" s="286"/>
      <c r="CX275" s="286"/>
      <c r="CY275" s="286"/>
      <c r="CZ275" s="286"/>
      <c r="DA275" s="286"/>
      <c r="DB275" s="286"/>
      <c r="DC275" s="286"/>
      <c r="DD275" s="286"/>
      <c r="DE275" s="286"/>
      <c r="DF275" s="286"/>
      <c r="DG275" s="286"/>
      <c r="DH275" s="286"/>
      <c r="DI275" s="286"/>
      <c r="DJ275" s="286"/>
      <c r="DK275" s="286"/>
      <c r="DL275" s="286"/>
      <c r="DM275" s="286"/>
      <c r="DN275" s="286"/>
      <c r="DO275" s="286"/>
      <c r="DP275" s="286"/>
      <c r="DQ275" s="286"/>
      <c r="DR275" s="286"/>
      <c r="DS275" s="286"/>
      <c r="DT275" s="286"/>
      <c r="DU275" s="286"/>
      <c r="DV275" s="286"/>
      <c r="DW275" s="286"/>
      <c r="DX275" s="286"/>
      <c r="DY275" s="286"/>
      <c r="DZ275" s="286"/>
      <c r="EA275" s="286"/>
      <c r="EB275" s="286"/>
      <c r="EC275" s="286"/>
      <c r="ED275" s="286"/>
      <c r="EE275" s="286"/>
      <c r="EF275" s="286"/>
      <c r="EG275" s="286"/>
      <c r="EH275" s="286"/>
      <c r="EI275" s="286"/>
      <c r="EJ275" s="286"/>
      <c r="EK275" s="286"/>
      <c r="EL275" s="286"/>
      <c r="EM275" s="286"/>
      <c r="EN275" s="286"/>
      <c r="EO275" s="286"/>
      <c r="EP275" s="286"/>
      <c r="EQ275" s="286"/>
      <c r="ER275" s="286"/>
      <c r="ES275" s="286"/>
      <c r="ET275" s="286"/>
      <c r="EU275" s="286"/>
      <c r="EV275" s="286"/>
      <c r="EW275" s="286"/>
      <c r="EX275" s="286"/>
      <c r="EY275" s="286"/>
      <c r="EZ275" s="286"/>
      <c r="FA275" s="286"/>
      <c r="FB275" s="286"/>
      <c r="FC275" s="286"/>
      <c r="FD275" s="286"/>
      <c r="FE275" s="286"/>
      <c r="FF275" s="286"/>
      <c r="FG275" s="286"/>
      <c r="FH275" s="286"/>
      <c r="FI275" s="286"/>
      <c r="FJ275" s="286"/>
      <c r="FK275" s="286"/>
      <c r="FL275" s="286"/>
      <c r="FM275" s="286"/>
      <c r="FN275" s="286"/>
      <c r="FO275" s="286"/>
      <c r="FP275" s="286"/>
      <c r="FQ275" s="286"/>
      <c r="FR275" s="286"/>
      <c r="FS275" s="286"/>
    </row>
    <row r="276" spans="1:175">
      <c r="A276" s="212" t="s">
        <v>3159</v>
      </c>
      <c r="B276" s="212" t="s">
        <v>3160</v>
      </c>
      <c r="C276" s="212" t="s">
        <v>3172</v>
      </c>
      <c r="D276" s="212" t="s">
        <v>3233</v>
      </c>
      <c r="E276" s="212" t="s">
        <v>3438</v>
      </c>
      <c r="F276" s="278">
        <v>13758</v>
      </c>
      <c r="G276" s="278">
        <v>117762</v>
      </c>
      <c r="H276" s="287">
        <f t="shared" si="4"/>
        <v>4.427574259948031</v>
      </c>
      <c r="I276" s="286">
        <v>483</v>
      </c>
      <c r="J276" s="286">
        <v>5214</v>
      </c>
      <c r="K276" s="286">
        <v>3319</v>
      </c>
      <c r="L276" s="286">
        <v>1893</v>
      </c>
      <c r="M276" s="286">
        <v>4453</v>
      </c>
      <c r="N276" s="286">
        <v>2797</v>
      </c>
      <c r="O276" s="286">
        <v>1655</v>
      </c>
      <c r="P276" s="286">
        <v>483</v>
      </c>
      <c r="Q276" s="286">
        <v>5214</v>
      </c>
      <c r="R276" s="286">
        <v>3319</v>
      </c>
      <c r="S276" s="286">
        <v>1893</v>
      </c>
      <c r="T276" s="286">
        <v>4453</v>
      </c>
      <c r="U276" s="286">
        <v>2797</v>
      </c>
      <c r="V276" s="286">
        <v>1655</v>
      </c>
      <c r="W276" s="286"/>
      <c r="X276" s="286"/>
      <c r="Y276" s="286"/>
      <c r="Z276" s="286"/>
      <c r="AA276" s="286"/>
      <c r="AB276" s="286"/>
      <c r="AC276" s="286"/>
      <c r="AD276" s="286"/>
      <c r="AE276" s="286"/>
      <c r="AF276" s="286"/>
      <c r="AG276" s="286"/>
      <c r="AH276" s="286"/>
      <c r="AI276" s="286"/>
      <c r="AJ276" s="286"/>
      <c r="AK276" s="286"/>
      <c r="AL276" s="286"/>
      <c r="AM276" s="286"/>
      <c r="AN276" s="286"/>
      <c r="AO276" s="286"/>
      <c r="AP276" s="286"/>
      <c r="AQ276" s="286"/>
      <c r="AR276" s="286"/>
      <c r="AS276" s="286"/>
      <c r="AT276" s="286"/>
      <c r="AU276" s="286"/>
      <c r="AV276" s="286"/>
      <c r="AW276" s="286"/>
      <c r="AX276" s="286"/>
      <c r="AY276" s="286"/>
      <c r="AZ276" s="286"/>
      <c r="BA276" s="286"/>
      <c r="BB276" s="286"/>
      <c r="BC276" s="286"/>
      <c r="BD276" s="286"/>
      <c r="BE276" s="286"/>
      <c r="BF276" s="286"/>
      <c r="BG276" s="286"/>
      <c r="BH276" s="286"/>
      <c r="BI276" s="286"/>
      <c r="BJ276" s="286"/>
      <c r="BK276" s="286"/>
      <c r="BL276" s="286"/>
      <c r="BM276" s="286"/>
      <c r="BN276" s="286"/>
      <c r="BO276" s="286"/>
      <c r="BP276" s="286"/>
      <c r="BQ276" s="286"/>
      <c r="BR276" s="286"/>
      <c r="BS276" s="286"/>
      <c r="BT276" s="286"/>
      <c r="BU276" s="286"/>
      <c r="BV276" s="286"/>
      <c r="BW276" s="286"/>
      <c r="BX276" s="286"/>
      <c r="BY276" s="286"/>
      <c r="BZ276" s="286"/>
      <c r="CA276" s="286"/>
      <c r="CB276" s="286"/>
      <c r="CC276" s="286"/>
      <c r="CD276" s="286"/>
      <c r="CE276" s="286"/>
      <c r="CF276" s="286"/>
      <c r="CG276" s="286"/>
      <c r="CH276" s="286"/>
      <c r="CI276" s="286"/>
      <c r="CJ276" s="286"/>
      <c r="CK276" s="286"/>
      <c r="CL276" s="286"/>
      <c r="CM276" s="286"/>
      <c r="CN276" s="286"/>
      <c r="CO276" s="286"/>
      <c r="CP276" s="286"/>
      <c r="CQ276" s="286"/>
      <c r="CR276" s="286"/>
      <c r="CS276" s="286"/>
      <c r="CT276" s="286"/>
      <c r="CU276" s="286"/>
      <c r="CV276" s="286"/>
      <c r="CW276" s="286"/>
      <c r="CX276" s="286"/>
      <c r="CY276" s="286"/>
      <c r="CZ276" s="286"/>
      <c r="DA276" s="286"/>
      <c r="DB276" s="286"/>
      <c r="DC276" s="286"/>
      <c r="DD276" s="286"/>
      <c r="DE276" s="286"/>
      <c r="DF276" s="286"/>
      <c r="DG276" s="286"/>
      <c r="DH276" s="286"/>
      <c r="DI276" s="286"/>
      <c r="DJ276" s="286"/>
      <c r="DK276" s="286"/>
      <c r="DL276" s="286"/>
      <c r="DM276" s="286"/>
      <c r="DN276" s="286"/>
      <c r="DO276" s="286"/>
      <c r="DP276" s="286"/>
      <c r="DQ276" s="286"/>
      <c r="DR276" s="286"/>
      <c r="DS276" s="286"/>
      <c r="DT276" s="286"/>
      <c r="DU276" s="286"/>
      <c r="DV276" s="286"/>
      <c r="DW276" s="286"/>
      <c r="DX276" s="286"/>
      <c r="DY276" s="286"/>
      <c r="DZ276" s="286"/>
      <c r="EA276" s="286"/>
      <c r="EB276" s="286"/>
      <c r="EC276" s="286"/>
      <c r="ED276" s="286"/>
      <c r="EE276" s="286"/>
      <c r="EF276" s="286"/>
      <c r="EG276" s="286"/>
      <c r="EH276" s="286"/>
      <c r="EI276" s="286"/>
      <c r="EJ276" s="286"/>
      <c r="EK276" s="286"/>
      <c r="EL276" s="286"/>
      <c r="EM276" s="286"/>
      <c r="EN276" s="286"/>
      <c r="EO276" s="286"/>
      <c r="EP276" s="286"/>
      <c r="EQ276" s="286"/>
      <c r="ER276" s="286"/>
      <c r="ES276" s="286"/>
      <c r="ET276" s="286"/>
      <c r="EU276" s="286"/>
      <c r="EV276" s="286"/>
      <c r="EW276" s="286"/>
      <c r="EX276" s="286"/>
      <c r="EY276" s="286"/>
      <c r="EZ276" s="286"/>
      <c r="FA276" s="286"/>
      <c r="FB276" s="286"/>
      <c r="FC276" s="286"/>
      <c r="FD276" s="286"/>
      <c r="FE276" s="286"/>
      <c r="FF276" s="286"/>
      <c r="FG276" s="286"/>
      <c r="FH276" s="286"/>
      <c r="FI276" s="286"/>
      <c r="FJ276" s="286"/>
      <c r="FK276" s="286"/>
      <c r="FL276" s="286"/>
      <c r="FM276" s="286"/>
      <c r="FN276" s="286"/>
      <c r="FO276" s="286"/>
      <c r="FP276" s="286"/>
      <c r="FQ276" s="286"/>
      <c r="FR276" s="286"/>
      <c r="FS276" s="286"/>
    </row>
    <row r="277" spans="1:175">
      <c r="A277" s="212" t="s">
        <v>3159</v>
      </c>
      <c r="B277" s="212" t="s">
        <v>3160</v>
      </c>
      <c r="C277" s="212" t="s">
        <v>3432</v>
      </c>
      <c r="D277" s="212" t="s">
        <v>3233</v>
      </c>
      <c r="E277" s="212" t="s">
        <v>3439</v>
      </c>
      <c r="F277" s="278">
        <v>216</v>
      </c>
      <c r="G277" s="278">
        <v>5344</v>
      </c>
      <c r="H277" s="287">
        <f t="shared" si="4"/>
        <v>1.1040419161676647</v>
      </c>
      <c r="I277" s="286">
        <v>7</v>
      </c>
      <c r="J277" s="286">
        <v>59</v>
      </c>
      <c r="K277" s="286">
        <v>27</v>
      </c>
      <c r="L277" s="286">
        <v>32</v>
      </c>
      <c r="M277" s="286">
        <v>49</v>
      </c>
      <c r="N277" s="286">
        <v>19</v>
      </c>
      <c r="O277" s="286">
        <v>30</v>
      </c>
      <c r="P277" s="286">
        <v>7</v>
      </c>
      <c r="Q277" s="286">
        <v>59</v>
      </c>
      <c r="R277" s="286">
        <v>27</v>
      </c>
      <c r="S277" s="286">
        <v>32</v>
      </c>
      <c r="T277" s="286">
        <v>49</v>
      </c>
      <c r="U277" s="286">
        <v>19</v>
      </c>
      <c r="V277" s="286">
        <v>30</v>
      </c>
      <c r="W277" s="286"/>
      <c r="X277" s="286"/>
      <c r="Y277" s="286"/>
      <c r="Z277" s="286"/>
      <c r="AA277" s="286"/>
      <c r="AB277" s="286"/>
      <c r="AC277" s="286"/>
      <c r="AD277" s="286"/>
      <c r="AE277" s="286"/>
      <c r="AF277" s="286"/>
      <c r="AG277" s="286"/>
      <c r="AH277" s="286"/>
      <c r="AI277" s="286"/>
      <c r="AJ277" s="286"/>
      <c r="AK277" s="286"/>
      <c r="AL277" s="286"/>
      <c r="AM277" s="286"/>
      <c r="AN277" s="286"/>
      <c r="AO277" s="286"/>
      <c r="AP277" s="286"/>
      <c r="AQ277" s="286"/>
      <c r="AR277" s="286"/>
      <c r="AS277" s="286"/>
      <c r="AT277" s="286"/>
      <c r="AU277" s="286"/>
      <c r="AV277" s="286"/>
      <c r="AW277" s="286"/>
      <c r="AX277" s="286"/>
      <c r="AY277" s="286"/>
      <c r="AZ277" s="286"/>
      <c r="BA277" s="286"/>
      <c r="BB277" s="286"/>
      <c r="BC277" s="286"/>
      <c r="BD277" s="286"/>
      <c r="BE277" s="286"/>
      <c r="BF277" s="286"/>
      <c r="BG277" s="286"/>
      <c r="BH277" s="286"/>
      <c r="BI277" s="286"/>
      <c r="BJ277" s="286"/>
      <c r="BK277" s="286"/>
      <c r="BL277" s="286"/>
      <c r="BM277" s="286"/>
      <c r="BN277" s="286"/>
      <c r="BO277" s="286"/>
      <c r="BP277" s="286"/>
      <c r="BQ277" s="286"/>
      <c r="BR277" s="286"/>
      <c r="BS277" s="286"/>
      <c r="BT277" s="286"/>
      <c r="BU277" s="286"/>
      <c r="BV277" s="286"/>
      <c r="BW277" s="286"/>
      <c r="BX277" s="286"/>
      <c r="BY277" s="286"/>
      <c r="BZ277" s="286"/>
      <c r="CA277" s="286"/>
      <c r="CB277" s="286"/>
      <c r="CC277" s="286"/>
      <c r="CD277" s="286"/>
      <c r="CE277" s="286"/>
      <c r="CF277" s="286"/>
      <c r="CG277" s="286"/>
      <c r="CH277" s="286"/>
      <c r="CI277" s="286"/>
      <c r="CJ277" s="286"/>
      <c r="CK277" s="286"/>
      <c r="CL277" s="286"/>
      <c r="CM277" s="286"/>
      <c r="CN277" s="286"/>
      <c r="CO277" s="286"/>
      <c r="CP277" s="286"/>
      <c r="CQ277" s="286"/>
      <c r="CR277" s="286"/>
      <c r="CS277" s="286"/>
      <c r="CT277" s="286"/>
      <c r="CU277" s="286"/>
      <c r="CV277" s="286"/>
      <c r="CW277" s="286"/>
      <c r="CX277" s="286"/>
      <c r="CY277" s="286"/>
      <c r="CZ277" s="286"/>
      <c r="DA277" s="286"/>
      <c r="DB277" s="286"/>
      <c r="DC277" s="286"/>
      <c r="DD277" s="286"/>
      <c r="DE277" s="286"/>
      <c r="DF277" s="286"/>
      <c r="DG277" s="286"/>
      <c r="DH277" s="286"/>
      <c r="DI277" s="286"/>
      <c r="DJ277" s="286"/>
      <c r="DK277" s="286"/>
      <c r="DL277" s="286"/>
      <c r="DM277" s="286"/>
      <c r="DN277" s="286"/>
      <c r="DO277" s="286"/>
      <c r="DP277" s="286"/>
      <c r="DQ277" s="286"/>
      <c r="DR277" s="286"/>
      <c r="DS277" s="286"/>
      <c r="DT277" s="286"/>
      <c r="DU277" s="286"/>
      <c r="DV277" s="286"/>
      <c r="DW277" s="286"/>
      <c r="DX277" s="286"/>
      <c r="DY277" s="286"/>
      <c r="DZ277" s="286"/>
      <c r="EA277" s="286"/>
      <c r="EB277" s="286"/>
      <c r="EC277" s="286"/>
      <c r="ED277" s="286"/>
      <c r="EE277" s="286"/>
      <c r="EF277" s="286"/>
      <c r="EG277" s="286"/>
      <c r="EH277" s="286"/>
      <c r="EI277" s="286"/>
      <c r="EJ277" s="286"/>
      <c r="EK277" s="286"/>
      <c r="EL277" s="286"/>
      <c r="EM277" s="286"/>
      <c r="EN277" s="286"/>
      <c r="EO277" s="286"/>
      <c r="EP277" s="286"/>
      <c r="EQ277" s="286"/>
      <c r="ER277" s="286"/>
      <c r="ES277" s="286"/>
      <c r="ET277" s="286"/>
      <c r="EU277" s="286"/>
      <c r="EV277" s="286"/>
      <c r="EW277" s="286"/>
      <c r="EX277" s="286"/>
      <c r="EY277" s="286"/>
      <c r="EZ277" s="286"/>
      <c r="FA277" s="286"/>
      <c r="FB277" s="286"/>
      <c r="FC277" s="286"/>
      <c r="FD277" s="286"/>
      <c r="FE277" s="286"/>
      <c r="FF277" s="286"/>
      <c r="FG277" s="286"/>
      <c r="FH277" s="286"/>
      <c r="FI277" s="286"/>
      <c r="FJ277" s="286"/>
      <c r="FK277" s="286"/>
      <c r="FL277" s="286"/>
      <c r="FM277" s="286"/>
      <c r="FN277" s="286"/>
      <c r="FO277" s="286"/>
      <c r="FP277" s="286"/>
      <c r="FQ277" s="286"/>
      <c r="FR277" s="286"/>
      <c r="FS277" s="286"/>
    </row>
    <row r="278" spans="1:175">
      <c r="A278" s="212" t="s">
        <v>3159</v>
      </c>
      <c r="B278" s="212" t="s">
        <v>3160</v>
      </c>
      <c r="C278" s="212" t="s">
        <v>3432</v>
      </c>
      <c r="D278" s="212" t="s">
        <v>3233</v>
      </c>
      <c r="E278" s="212" t="s">
        <v>3440</v>
      </c>
      <c r="F278" s="278">
        <v>13542</v>
      </c>
      <c r="G278" s="278">
        <v>112418</v>
      </c>
      <c r="H278" s="287">
        <f t="shared" si="4"/>
        <v>4.5855645893006463</v>
      </c>
      <c r="I278" s="286">
        <v>476</v>
      </c>
      <c r="J278" s="286">
        <v>5155</v>
      </c>
      <c r="K278" s="286">
        <v>3292</v>
      </c>
      <c r="L278" s="286">
        <v>1861</v>
      </c>
      <c r="M278" s="286">
        <v>4404</v>
      </c>
      <c r="N278" s="286">
        <v>2778</v>
      </c>
      <c r="O278" s="286">
        <v>1625</v>
      </c>
      <c r="P278" s="286">
        <v>476</v>
      </c>
      <c r="Q278" s="286">
        <v>5155</v>
      </c>
      <c r="R278" s="286">
        <v>3292</v>
      </c>
      <c r="S278" s="286">
        <v>1861</v>
      </c>
      <c r="T278" s="286">
        <v>4404</v>
      </c>
      <c r="U278" s="286">
        <v>2778</v>
      </c>
      <c r="V278" s="286">
        <v>1625</v>
      </c>
      <c r="W278" s="286"/>
      <c r="X278" s="286"/>
      <c r="Y278" s="286"/>
      <c r="Z278" s="286"/>
      <c r="AA278" s="286"/>
      <c r="AB278" s="286"/>
      <c r="AC278" s="286"/>
      <c r="AD278" s="286"/>
      <c r="AE278" s="286"/>
      <c r="AF278" s="286"/>
      <c r="AG278" s="286"/>
      <c r="AH278" s="286"/>
      <c r="AI278" s="286"/>
      <c r="AJ278" s="286"/>
      <c r="AK278" s="286"/>
      <c r="AL278" s="286"/>
      <c r="AM278" s="286"/>
      <c r="AN278" s="286"/>
      <c r="AO278" s="286"/>
      <c r="AP278" s="286"/>
      <c r="AQ278" s="286"/>
      <c r="AR278" s="286"/>
      <c r="AS278" s="286"/>
      <c r="AT278" s="286"/>
      <c r="AU278" s="286"/>
      <c r="AV278" s="286"/>
      <c r="AW278" s="286"/>
      <c r="AX278" s="286"/>
      <c r="AY278" s="286"/>
      <c r="AZ278" s="286"/>
      <c r="BA278" s="286"/>
      <c r="BB278" s="286"/>
      <c r="BC278" s="286"/>
      <c r="BD278" s="286"/>
      <c r="BE278" s="286"/>
      <c r="BF278" s="286"/>
      <c r="BG278" s="286"/>
      <c r="BH278" s="286"/>
      <c r="BI278" s="286"/>
      <c r="BJ278" s="286"/>
      <c r="BK278" s="286"/>
      <c r="BL278" s="286"/>
      <c r="BM278" s="286"/>
      <c r="BN278" s="286"/>
      <c r="BO278" s="286"/>
      <c r="BP278" s="286"/>
      <c r="BQ278" s="286"/>
      <c r="BR278" s="286"/>
      <c r="BS278" s="286"/>
      <c r="BT278" s="286"/>
      <c r="BU278" s="286"/>
      <c r="BV278" s="286"/>
      <c r="BW278" s="286"/>
      <c r="BX278" s="286"/>
      <c r="BY278" s="286"/>
      <c r="BZ278" s="286"/>
      <c r="CA278" s="286"/>
      <c r="CB278" s="286"/>
      <c r="CC278" s="286"/>
      <c r="CD278" s="286"/>
      <c r="CE278" s="286"/>
      <c r="CF278" s="286"/>
      <c r="CG278" s="286"/>
      <c r="CH278" s="286"/>
      <c r="CI278" s="286"/>
      <c r="CJ278" s="286"/>
      <c r="CK278" s="286"/>
      <c r="CL278" s="286"/>
      <c r="CM278" s="286"/>
      <c r="CN278" s="286"/>
      <c r="CO278" s="286"/>
      <c r="CP278" s="286"/>
      <c r="CQ278" s="286"/>
      <c r="CR278" s="286"/>
      <c r="CS278" s="286"/>
      <c r="CT278" s="286"/>
      <c r="CU278" s="286"/>
      <c r="CV278" s="286"/>
      <c r="CW278" s="286"/>
      <c r="CX278" s="286"/>
      <c r="CY278" s="286"/>
      <c r="CZ278" s="286"/>
      <c r="DA278" s="286"/>
      <c r="DB278" s="286"/>
      <c r="DC278" s="286"/>
      <c r="DD278" s="286"/>
      <c r="DE278" s="286"/>
      <c r="DF278" s="286"/>
      <c r="DG278" s="286"/>
      <c r="DH278" s="286"/>
      <c r="DI278" s="286"/>
      <c r="DJ278" s="286"/>
      <c r="DK278" s="286"/>
      <c r="DL278" s="286"/>
      <c r="DM278" s="286"/>
      <c r="DN278" s="286"/>
      <c r="DO278" s="286"/>
      <c r="DP278" s="286"/>
      <c r="DQ278" s="286"/>
      <c r="DR278" s="286"/>
      <c r="DS278" s="286"/>
      <c r="DT278" s="286"/>
      <c r="DU278" s="286"/>
      <c r="DV278" s="286"/>
      <c r="DW278" s="286"/>
      <c r="DX278" s="286"/>
      <c r="DY278" s="286"/>
      <c r="DZ278" s="286"/>
      <c r="EA278" s="286"/>
      <c r="EB278" s="286"/>
      <c r="EC278" s="286"/>
      <c r="ED278" s="286"/>
      <c r="EE278" s="286"/>
      <c r="EF278" s="286"/>
      <c r="EG278" s="286"/>
      <c r="EH278" s="286"/>
      <c r="EI278" s="286"/>
      <c r="EJ278" s="286"/>
      <c r="EK278" s="286"/>
      <c r="EL278" s="286"/>
      <c r="EM278" s="286"/>
      <c r="EN278" s="286"/>
      <c r="EO278" s="286"/>
      <c r="EP278" s="286"/>
      <c r="EQ278" s="286"/>
      <c r="ER278" s="286"/>
      <c r="ES278" s="286"/>
      <c r="ET278" s="286"/>
      <c r="EU278" s="286"/>
      <c r="EV278" s="286"/>
      <c r="EW278" s="286"/>
      <c r="EX278" s="286"/>
      <c r="EY278" s="286"/>
      <c r="EZ278" s="286"/>
      <c r="FA278" s="286"/>
      <c r="FB278" s="286"/>
      <c r="FC278" s="286"/>
      <c r="FD278" s="286"/>
      <c r="FE278" s="286"/>
      <c r="FF278" s="286"/>
      <c r="FG278" s="286"/>
      <c r="FH278" s="286"/>
      <c r="FI278" s="286"/>
      <c r="FJ278" s="286"/>
      <c r="FK278" s="286"/>
      <c r="FL278" s="286"/>
      <c r="FM278" s="286"/>
      <c r="FN278" s="286"/>
      <c r="FO278" s="286"/>
      <c r="FP278" s="286"/>
      <c r="FQ278" s="286"/>
      <c r="FR278" s="286"/>
      <c r="FS278" s="286"/>
    </row>
    <row r="279" spans="1:175">
      <c r="A279" s="212" t="s">
        <v>3159</v>
      </c>
      <c r="B279" s="212" t="s">
        <v>3160</v>
      </c>
      <c r="C279" s="212" t="s">
        <v>3168</v>
      </c>
      <c r="D279" s="212" t="s">
        <v>3441</v>
      </c>
      <c r="E279" s="212" t="s">
        <v>3442</v>
      </c>
      <c r="F279" s="278">
        <v>12605</v>
      </c>
      <c r="G279" s="278">
        <v>280696</v>
      </c>
      <c r="H279" s="287">
        <f t="shared" si="4"/>
        <v>3.0916008778179953</v>
      </c>
      <c r="I279" s="286">
        <v>396</v>
      </c>
      <c r="J279" s="286">
        <v>8678</v>
      </c>
      <c r="K279" s="286">
        <v>7671</v>
      </c>
      <c r="L279" s="286">
        <v>1004</v>
      </c>
      <c r="M279" s="286">
        <v>8430</v>
      </c>
      <c r="N279" s="286">
        <v>7491</v>
      </c>
      <c r="O279" s="286">
        <v>939</v>
      </c>
      <c r="P279" s="286">
        <v>276</v>
      </c>
      <c r="Q279" s="286">
        <v>5219</v>
      </c>
      <c r="R279" s="286">
        <v>4657</v>
      </c>
      <c r="S279" s="286">
        <v>559</v>
      </c>
      <c r="T279" s="286">
        <v>4972</v>
      </c>
      <c r="U279" s="286">
        <v>4477</v>
      </c>
      <c r="V279" s="286">
        <v>495</v>
      </c>
      <c r="W279" s="286"/>
      <c r="X279" s="286"/>
      <c r="Y279" s="286"/>
      <c r="Z279" s="286"/>
      <c r="AA279" s="286"/>
      <c r="AB279" s="286"/>
      <c r="AC279" s="286"/>
      <c r="AD279" s="286"/>
      <c r="AE279" s="286"/>
      <c r="AF279" s="286"/>
      <c r="AG279" s="286"/>
      <c r="AH279" s="286"/>
      <c r="AI279" s="286"/>
      <c r="AJ279" s="286"/>
      <c r="AK279" s="286"/>
      <c r="AL279" s="286"/>
      <c r="AM279" s="286"/>
      <c r="AN279" s="286"/>
      <c r="AO279" s="286"/>
      <c r="AP279" s="286"/>
      <c r="AQ279" s="286"/>
      <c r="AR279" s="286"/>
      <c r="AS279" s="286"/>
      <c r="AT279" s="286"/>
      <c r="AU279" s="286"/>
      <c r="AV279" s="286"/>
      <c r="AW279" s="286"/>
      <c r="AX279" s="286"/>
      <c r="AY279" s="286"/>
      <c r="AZ279" s="286"/>
      <c r="BA279" s="286"/>
      <c r="BB279" s="286"/>
      <c r="BC279" s="286"/>
      <c r="BD279" s="286"/>
      <c r="BE279" s="286"/>
      <c r="BF279" s="286"/>
      <c r="BG279" s="286"/>
      <c r="BH279" s="286"/>
      <c r="BI279" s="286"/>
      <c r="BJ279" s="286"/>
      <c r="BK279" s="286"/>
      <c r="BL279" s="286"/>
      <c r="BM279" s="286"/>
      <c r="BN279" s="286"/>
      <c r="BO279" s="286"/>
      <c r="BP279" s="286"/>
      <c r="BQ279" s="286"/>
      <c r="BR279" s="286"/>
      <c r="BS279" s="286"/>
      <c r="BT279" s="286"/>
      <c r="BU279" s="286"/>
      <c r="BV279" s="286"/>
      <c r="BW279" s="286"/>
      <c r="BX279" s="286"/>
      <c r="BY279" s="286"/>
      <c r="BZ279" s="286"/>
      <c r="CA279" s="286"/>
      <c r="CB279" s="286"/>
      <c r="CC279" s="286"/>
      <c r="CD279" s="286"/>
      <c r="CE279" s="286"/>
      <c r="CF279" s="286"/>
      <c r="CG279" s="286"/>
      <c r="CH279" s="286"/>
      <c r="CI279" s="286"/>
      <c r="CJ279" s="286"/>
      <c r="CK279" s="286"/>
      <c r="CL279" s="286"/>
      <c r="CM279" s="286"/>
      <c r="CN279" s="286"/>
      <c r="CO279" s="286"/>
      <c r="CP279" s="286"/>
      <c r="CQ279" s="286"/>
      <c r="CR279" s="286"/>
      <c r="CS279" s="286"/>
      <c r="CT279" s="286"/>
      <c r="CU279" s="286"/>
      <c r="CV279" s="286"/>
      <c r="CW279" s="286"/>
      <c r="CX279" s="286"/>
      <c r="CY279" s="286"/>
      <c r="CZ279" s="286"/>
      <c r="DA279" s="286"/>
      <c r="DB279" s="286"/>
      <c r="DC279" s="286"/>
      <c r="DD279" s="286"/>
      <c r="DE279" s="286"/>
      <c r="DF279" s="286"/>
      <c r="DG279" s="286"/>
      <c r="DH279" s="286"/>
      <c r="DI279" s="286"/>
      <c r="DJ279" s="286"/>
      <c r="DK279" s="286"/>
      <c r="DL279" s="286"/>
      <c r="DM279" s="286"/>
      <c r="DN279" s="286"/>
      <c r="DO279" s="286"/>
      <c r="DP279" s="286"/>
      <c r="DQ279" s="286"/>
      <c r="DR279" s="286"/>
      <c r="DS279" s="286"/>
      <c r="DT279" s="286"/>
      <c r="DU279" s="286"/>
      <c r="DV279" s="286"/>
      <c r="DW279" s="286"/>
      <c r="DX279" s="286"/>
      <c r="DY279" s="286"/>
      <c r="DZ279" s="286"/>
      <c r="EA279" s="286"/>
      <c r="EB279" s="286"/>
      <c r="EC279" s="286"/>
      <c r="ED279" s="286"/>
      <c r="EE279" s="286"/>
      <c r="EF279" s="286"/>
      <c r="EG279" s="286"/>
      <c r="EH279" s="286"/>
      <c r="EI279" s="286"/>
      <c r="EJ279" s="286"/>
      <c r="EK279" s="286"/>
      <c r="EL279" s="286"/>
      <c r="EM279" s="286"/>
      <c r="EN279" s="286"/>
      <c r="EO279" s="286"/>
      <c r="EP279" s="286"/>
      <c r="EQ279" s="286"/>
      <c r="ER279" s="286"/>
      <c r="ES279" s="286"/>
      <c r="ET279" s="286"/>
      <c r="EU279" s="286"/>
      <c r="EV279" s="286"/>
      <c r="EW279" s="286"/>
      <c r="EX279" s="286"/>
      <c r="EY279" s="286"/>
      <c r="EZ279" s="286"/>
      <c r="FA279" s="286"/>
      <c r="FB279" s="286"/>
      <c r="FC279" s="286"/>
      <c r="FD279" s="286"/>
      <c r="FE279" s="286"/>
      <c r="FF279" s="286"/>
      <c r="FG279" s="286"/>
      <c r="FH279" s="286"/>
      <c r="FI279" s="286"/>
      <c r="FJ279" s="286"/>
      <c r="FK279" s="286"/>
      <c r="FL279" s="286"/>
      <c r="FM279" s="286"/>
      <c r="FN279" s="286"/>
      <c r="FO279" s="286"/>
      <c r="FP279" s="286"/>
      <c r="FQ279" s="286"/>
      <c r="FR279" s="286"/>
      <c r="FS279" s="286"/>
    </row>
    <row r="280" spans="1:175">
      <c r="A280" s="212" t="s">
        <v>3159</v>
      </c>
      <c r="B280" s="212" t="s">
        <v>3160</v>
      </c>
      <c r="C280" s="212" t="s">
        <v>3170</v>
      </c>
      <c r="D280" s="212" t="s">
        <v>3441</v>
      </c>
      <c r="E280" s="212" t="s">
        <v>3443</v>
      </c>
      <c r="F280" s="278">
        <v>6514</v>
      </c>
      <c r="G280" s="278">
        <v>139547</v>
      </c>
      <c r="H280" s="287">
        <f t="shared" si="4"/>
        <v>2.3182153682988527</v>
      </c>
      <c r="I280" s="286">
        <v>160</v>
      </c>
      <c r="J280" s="286">
        <v>3235</v>
      </c>
      <c r="K280" s="286">
        <v>2862</v>
      </c>
      <c r="L280" s="286">
        <v>370</v>
      </c>
      <c r="M280" s="286">
        <v>3032</v>
      </c>
      <c r="N280" s="286">
        <v>2719</v>
      </c>
      <c r="O280" s="286">
        <v>313</v>
      </c>
      <c r="P280" s="286">
        <v>160</v>
      </c>
      <c r="Q280" s="286">
        <v>3235</v>
      </c>
      <c r="R280" s="286">
        <v>2862</v>
      </c>
      <c r="S280" s="286">
        <v>370</v>
      </c>
      <c r="T280" s="286">
        <v>3032</v>
      </c>
      <c r="U280" s="286">
        <v>2719</v>
      </c>
      <c r="V280" s="286">
        <v>313</v>
      </c>
      <c r="W280" s="286"/>
      <c r="X280" s="286"/>
      <c r="Y280" s="286"/>
      <c r="Z280" s="286"/>
      <c r="AA280" s="286"/>
      <c r="AB280" s="286"/>
      <c r="AC280" s="286"/>
      <c r="AD280" s="286"/>
      <c r="AE280" s="286"/>
      <c r="AF280" s="286"/>
      <c r="AG280" s="286"/>
      <c r="AH280" s="286"/>
      <c r="AI280" s="286"/>
      <c r="AJ280" s="286"/>
      <c r="AK280" s="286"/>
      <c r="AL280" s="286"/>
      <c r="AM280" s="286"/>
      <c r="AN280" s="286"/>
      <c r="AO280" s="286"/>
      <c r="AP280" s="286"/>
      <c r="AQ280" s="286"/>
      <c r="AR280" s="286"/>
      <c r="AS280" s="286"/>
      <c r="AT280" s="286"/>
      <c r="AU280" s="286"/>
      <c r="AV280" s="286"/>
      <c r="AW280" s="286"/>
      <c r="AX280" s="286"/>
      <c r="AY280" s="286"/>
      <c r="AZ280" s="286"/>
      <c r="BA280" s="286"/>
      <c r="BB280" s="286"/>
      <c r="BC280" s="286"/>
      <c r="BD280" s="286"/>
      <c r="BE280" s="286"/>
      <c r="BF280" s="286"/>
      <c r="BG280" s="286"/>
      <c r="BH280" s="286"/>
      <c r="BI280" s="286"/>
      <c r="BJ280" s="286"/>
      <c r="BK280" s="286"/>
      <c r="BL280" s="286"/>
      <c r="BM280" s="286"/>
      <c r="BN280" s="286"/>
      <c r="BO280" s="286"/>
      <c r="BP280" s="286"/>
      <c r="BQ280" s="286"/>
      <c r="BR280" s="286"/>
      <c r="BS280" s="286"/>
      <c r="BT280" s="286"/>
      <c r="BU280" s="286"/>
      <c r="BV280" s="286"/>
      <c r="BW280" s="286"/>
      <c r="BX280" s="286"/>
      <c r="BY280" s="286"/>
      <c r="BZ280" s="286"/>
      <c r="CA280" s="286"/>
      <c r="CB280" s="286"/>
      <c r="CC280" s="286"/>
      <c r="CD280" s="286"/>
      <c r="CE280" s="286"/>
      <c r="CF280" s="286"/>
      <c r="CG280" s="286"/>
      <c r="CH280" s="286"/>
      <c r="CI280" s="286"/>
      <c r="CJ280" s="286"/>
      <c r="CK280" s="286"/>
      <c r="CL280" s="286"/>
      <c r="CM280" s="286"/>
      <c r="CN280" s="286"/>
      <c r="CO280" s="286"/>
      <c r="CP280" s="286"/>
      <c r="CQ280" s="286"/>
      <c r="CR280" s="286"/>
      <c r="CS280" s="286"/>
      <c r="CT280" s="286"/>
      <c r="CU280" s="286"/>
      <c r="CV280" s="286"/>
      <c r="CW280" s="286"/>
      <c r="CX280" s="286"/>
      <c r="CY280" s="286"/>
      <c r="CZ280" s="286"/>
      <c r="DA280" s="286"/>
      <c r="DB280" s="286"/>
      <c r="DC280" s="286"/>
      <c r="DD280" s="286"/>
      <c r="DE280" s="286"/>
      <c r="DF280" s="286"/>
      <c r="DG280" s="286"/>
      <c r="DH280" s="286"/>
      <c r="DI280" s="286"/>
      <c r="DJ280" s="286"/>
      <c r="DK280" s="286"/>
      <c r="DL280" s="286"/>
      <c r="DM280" s="286"/>
      <c r="DN280" s="286"/>
      <c r="DO280" s="286"/>
      <c r="DP280" s="286"/>
      <c r="DQ280" s="286"/>
      <c r="DR280" s="286"/>
      <c r="DS280" s="286"/>
      <c r="DT280" s="286"/>
      <c r="DU280" s="286"/>
      <c r="DV280" s="286"/>
      <c r="DW280" s="286"/>
      <c r="DX280" s="286"/>
      <c r="DY280" s="286"/>
      <c r="DZ280" s="286"/>
      <c r="EA280" s="286"/>
      <c r="EB280" s="286"/>
      <c r="EC280" s="286"/>
      <c r="ED280" s="286"/>
      <c r="EE280" s="286"/>
      <c r="EF280" s="286"/>
      <c r="EG280" s="286"/>
      <c r="EH280" s="286"/>
      <c r="EI280" s="286"/>
      <c r="EJ280" s="286"/>
      <c r="EK280" s="286"/>
      <c r="EL280" s="286"/>
      <c r="EM280" s="286"/>
      <c r="EN280" s="286"/>
      <c r="EO280" s="286"/>
      <c r="EP280" s="286"/>
      <c r="EQ280" s="286"/>
      <c r="ER280" s="286"/>
      <c r="ES280" s="286"/>
      <c r="ET280" s="286"/>
      <c r="EU280" s="286"/>
      <c r="EV280" s="286"/>
      <c r="EW280" s="286"/>
      <c r="EX280" s="286"/>
      <c r="EY280" s="286"/>
      <c r="EZ280" s="286"/>
      <c r="FA280" s="286"/>
      <c r="FB280" s="286"/>
      <c r="FC280" s="286"/>
      <c r="FD280" s="286"/>
      <c r="FE280" s="286"/>
      <c r="FF280" s="286"/>
      <c r="FG280" s="286"/>
      <c r="FH280" s="286"/>
      <c r="FI280" s="286"/>
      <c r="FJ280" s="286"/>
      <c r="FK280" s="286"/>
      <c r="FL280" s="286"/>
      <c r="FM280" s="286"/>
      <c r="FN280" s="286"/>
      <c r="FO280" s="286"/>
      <c r="FP280" s="286"/>
      <c r="FQ280" s="286"/>
      <c r="FR280" s="286"/>
      <c r="FS280" s="286"/>
    </row>
    <row r="281" spans="1:175">
      <c r="A281" s="212" t="s">
        <v>3159</v>
      </c>
      <c r="B281" s="212" t="s">
        <v>3160</v>
      </c>
      <c r="C281" s="212" t="s">
        <v>3172</v>
      </c>
      <c r="D281" s="212" t="s">
        <v>3441</v>
      </c>
      <c r="E281" s="212" t="s">
        <v>3444</v>
      </c>
      <c r="F281" s="278">
        <v>778</v>
      </c>
      <c r="G281" s="278">
        <v>68236</v>
      </c>
      <c r="H281" s="287">
        <f t="shared" si="4"/>
        <v>0.15680872266838619</v>
      </c>
      <c r="I281" s="286">
        <v>1</v>
      </c>
      <c r="J281" s="286">
        <v>107</v>
      </c>
      <c r="K281" s="286">
        <v>82</v>
      </c>
      <c r="L281" s="286">
        <v>25</v>
      </c>
      <c r="M281" s="286">
        <v>107</v>
      </c>
      <c r="N281" s="286">
        <v>82</v>
      </c>
      <c r="O281" s="286">
        <v>25</v>
      </c>
      <c r="P281" s="286">
        <v>1</v>
      </c>
      <c r="Q281" s="286">
        <v>107</v>
      </c>
      <c r="R281" s="286">
        <v>82</v>
      </c>
      <c r="S281" s="286">
        <v>25</v>
      </c>
      <c r="T281" s="286">
        <v>107</v>
      </c>
      <c r="U281" s="286">
        <v>82</v>
      </c>
      <c r="V281" s="286">
        <v>25</v>
      </c>
      <c r="W281" s="286"/>
      <c r="X281" s="286"/>
      <c r="Y281" s="286"/>
      <c r="Z281" s="286"/>
      <c r="AA281" s="286"/>
      <c r="AB281" s="286"/>
      <c r="AC281" s="286"/>
      <c r="AD281" s="286"/>
      <c r="AE281" s="286"/>
      <c r="AF281" s="286"/>
      <c r="AG281" s="286"/>
      <c r="AH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BP281" s="286"/>
      <c r="BQ281" s="286"/>
      <c r="BR281" s="286"/>
      <c r="BS281" s="286"/>
      <c r="BT281" s="286"/>
      <c r="BU281" s="286"/>
      <c r="BV281" s="286"/>
      <c r="BW281" s="286"/>
      <c r="BX281" s="286"/>
      <c r="BY281" s="286"/>
      <c r="BZ281" s="286"/>
      <c r="CA281" s="286"/>
      <c r="CB281" s="286"/>
      <c r="CC281" s="286"/>
      <c r="CD281" s="286"/>
      <c r="CE281" s="286"/>
      <c r="CF281" s="286"/>
      <c r="CG281" s="286"/>
      <c r="CH281" s="286"/>
      <c r="CI281" s="286"/>
      <c r="CJ281" s="286"/>
      <c r="CK281" s="286"/>
      <c r="CL281" s="286"/>
      <c r="CM281" s="286"/>
      <c r="CN281" s="286"/>
      <c r="CO281" s="286"/>
      <c r="CP281" s="286"/>
      <c r="CQ281" s="286"/>
      <c r="CR281" s="286"/>
      <c r="CS281" s="286"/>
      <c r="CT281" s="286"/>
      <c r="CU281" s="286"/>
      <c r="CV281" s="286"/>
      <c r="CW281" s="286"/>
      <c r="CX281" s="286"/>
      <c r="CY281" s="286"/>
      <c r="CZ281" s="286"/>
      <c r="DA281" s="286"/>
      <c r="DB281" s="286"/>
      <c r="DC281" s="286"/>
      <c r="DD281" s="286"/>
      <c r="DE281" s="286"/>
      <c r="DF281" s="286"/>
      <c r="DG281" s="286"/>
      <c r="DH281" s="286"/>
      <c r="DI281" s="286"/>
      <c r="DJ281" s="286"/>
      <c r="DK281" s="286"/>
      <c r="DL281" s="286"/>
      <c r="DM281" s="286"/>
      <c r="DN281" s="286"/>
      <c r="DO281" s="286"/>
      <c r="DP281" s="286"/>
      <c r="DQ281" s="286"/>
      <c r="DR281" s="286"/>
      <c r="DS281" s="286"/>
      <c r="DT281" s="286"/>
      <c r="DU281" s="286"/>
      <c r="DV281" s="286"/>
      <c r="DW281" s="286"/>
      <c r="DX281" s="286"/>
      <c r="DY281" s="286"/>
      <c r="DZ281" s="286"/>
      <c r="EA281" s="286"/>
      <c r="EB281" s="286"/>
      <c r="EC281" s="286"/>
      <c r="ED281" s="286"/>
      <c r="EE281" s="286"/>
      <c r="EF281" s="286"/>
      <c r="EG281" s="286"/>
      <c r="EH281" s="286"/>
      <c r="EI281" s="286"/>
      <c r="EJ281" s="286"/>
      <c r="EK281" s="286"/>
      <c r="EL281" s="286"/>
      <c r="EM281" s="286"/>
      <c r="EN281" s="286"/>
      <c r="EO281" s="286"/>
      <c r="EP281" s="286"/>
      <c r="EQ281" s="286"/>
      <c r="ER281" s="286"/>
      <c r="ES281" s="286"/>
      <c r="ET281" s="286"/>
      <c r="EU281" s="286"/>
      <c r="EV281" s="286"/>
      <c r="EW281" s="286"/>
      <c r="EX281" s="286"/>
      <c r="EY281" s="286"/>
      <c r="EZ281" s="286"/>
      <c r="FA281" s="286"/>
      <c r="FB281" s="286"/>
      <c r="FC281" s="286"/>
      <c r="FD281" s="286"/>
      <c r="FE281" s="286"/>
      <c r="FF281" s="286"/>
      <c r="FG281" s="286"/>
      <c r="FH281" s="286"/>
      <c r="FI281" s="286"/>
      <c r="FJ281" s="286"/>
      <c r="FK281" s="286"/>
      <c r="FL281" s="286"/>
      <c r="FM281" s="286"/>
      <c r="FN281" s="286"/>
      <c r="FO281" s="286"/>
      <c r="FP281" s="286"/>
      <c r="FQ281" s="286"/>
      <c r="FR281" s="286"/>
      <c r="FS281" s="286"/>
    </row>
    <row r="282" spans="1:175">
      <c r="A282" s="212" t="s">
        <v>3159</v>
      </c>
      <c r="B282" s="212" t="s">
        <v>3160</v>
      </c>
      <c r="C282" s="212" t="s">
        <v>3172</v>
      </c>
      <c r="D282" s="212" t="s">
        <v>3441</v>
      </c>
      <c r="E282" s="212" t="s">
        <v>3445</v>
      </c>
      <c r="F282" s="278">
        <v>5736</v>
      </c>
      <c r="G282" s="278">
        <v>71311</v>
      </c>
      <c r="H282" s="287">
        <f t="shared" si="4"/>
        <v>4.3864200473980173</v>
      </c>
      <c r="I282" s="286">
        <v>159</v>
      </c>
      <c r="J282" s="286">
        <v>3128</v>
      </c>
      <c r="K282" s="286">
        <v>2780</v>
      </c>
      <c r="L282" s="286">
        <v>345</v>
      </c>
      <c r="M282" s="286">
        <v>2925</v>
      </c>
      <c r="N282" s="286">
        <v>2637</v>
      </c>
      <c r="O282" s="286">
        <v>288</v>
      </c>
      <c r="P282" s="286">
        <v>159</v>
      </c>
      <c r="Q282" s="286">
        <v>3128</v>
      </c>
      <c r="R282" s="286">
        <v>2780</v>
      </c>
      <c r="S282" s="286">
        <v>345</v>
      </c>
      <c r="T282" s="286">
        <v>2925</v>
      </c>
      <c r="U282" s="286">
        <v>2637</v>
      </c>
      <c r="V282" s="286">
        <v>288</v>
      </c>
      <c r="W282" s="286"/>
      <c r="X282" s="286"/>
      <c r="Y282" s="286"/>
      <c r="Z282" s="286"/>
      <c r="AA282" s="286"/>
      <c r="AB282" s="286"/>
      <c r="AC282" s="286"/>
      <c r="AD282" s="286"/>
      <c r="AE282" s="286"/>
      <c r="AF282" s="286"/>
      <c r="AG282" s="286"/>
      <c r="AH282" s="286"/>
      <c r="AI282" s="286"/>
      <c r="AJ282" s="286"/>
      <c r="AK282" s="286"/>
      <c r="AL282" s="286"/>
      <c r="AM282" s="286"/>
      <c r="AN282" s="286"/>
      <c r="AO282" s="286"/>
      <c r="AP282" s="286"/>
      <c r="AQ282" s="286"/>
      <c r="AR282" s="286"/>
      <c r="AS282" s="286"/>
      <c r="AT282" s="286"/>
      <c r="AU282" s="286"/>
      <c r="AV282" s="286"/>
      <c r="AW282" s="286"/>
      <c r="AX282" s="286"/>
      <c r="AY282" s="286"/>
      <c r="AZ282" s="286"/>
      <c r="BA282" s="286"/>
      <c r="BB282" s="286"/>
      <c r="BC282" s="286"/>
      <c r="BD282" s="286"/>
      <c r="BE282" s="286"/>
      <c r="BF282" s="286"/>
      <c r="BG282" s="286"/>
      <c r="BH282" s="286"/>
      <c r="BI282" s="286"/>
      <c r="BJ282" s="286"/>
      <c r="BK282" s="286"/>
      <c r="BL282" s="286"/>
      <c r="BM282" s="286"/>
      <c r="BN282" s="286"/>
      <c r="BO282" s="286"/>
      <c r="BP282" s="286"/>
      <c r="BQ282" s="286"/>
      <c r="BR282" s="286"/>
      <c r="BS282" s="286"/>
      <c r="BT282" s="286"/>
      <c r="BU282" s="286"/>
      <c r="BV282" s="286"/>
      <c r="BW282" s="286"/>
      <c r="BX282" s="286"/>
      <c r="BY282" s="286"/>
      <c r="BZ282" s="286"/>
      <c r="CA282" s="286"/>
      <c r="CB282" s="286"/>
      <c r="CC282" s="286"/>
      <c r="CD282" s="286"/>
      <c r="CE282" s="286"/>
      <c r="CF282" s="286"/>
      <c r="CG282" s="286"/>
      <c r="CH282" s="286"/>
      <c r="CI282" s="286"/>
      <c r="CJ282" s="286"/>
      <c r="CK282" s="286"/>
      <c r="CL282" s="286"/>
      <c r="CM282" s="286"/>
      <c r="CN282" s="286"/>
      <c r="CO282" s="286"/>
      <c r="CP282" s="286"/>
      <c r="CQ282" s="286"/>
      <c r="CR282" s="286"/>
      <c r="CS282" s="286"/>
      <c r="CT282" s="286"/>
      <c r="CU282" s="286"/>
      <c r="CV282" s="286"/>
      <c r="CW282" s="286"/>
      <c r="CX282" s="286"/>
      <c r="CY282" s="286"/>
      <c r="CZ282" s="286"/>
      <c r="DA282" s="286"/>
      <c r="DB282" s="286"/>
      <c r="DC282" s="286"/>
      <c r="DD282" s="286"/>
      <c r="DE282" s="286"/>
      <c r="DF282" s="286"/>
      <c r="DG282" s="286"/>
      <c r="DH282" s="286"/>
      <c r="DI282" s="286"/>
      <c r="DJ282" s="286"/>
      <c r="DK282" s="286"/>
      <c r="DL282" s="286"/>
      <c r="DM282" s="286"/>
      <c r="DN282" s="286"/>
      <c r="DO282" s="286"/>
      <c r="DP282" s="286"/>
      <c r="DQ282" s="286"/>
      <c r="DR282" s="286"/>
      <c r="DS282" s="286"/>
      <c r="DT282" s="286"/>
      <c r="DU282" s="286"/>
      <c r="DV282" s="286"/>
      <c r="DW282" s="286"/>
      <c r="DX282" s="286"/>
      <c r="DY282" s="286"/>
      <c r="DZ282" s="286"/>
      <c r="EA282" s="286"/>
      <c r="EB282" s="286"/>
      <c r="EC282" s="286"/>
      <c r="ED282" s="286"/>
      <c r="EE282" s="286"/>
      <c r="EF282" s="286"/>
      <c r="EG282" s="286"/>
      <c r="EH282" s="286"/>
      <c r="EI282" s="286"/>
      <c r="EJ282" s="286"/>
      <c r="EK282" s="286"/>
      <c r="EL282" s="286"/>
      <c r="EM282" s="286"/>
      <c r="EN282" s="286"/>
      <c r="EO282" s="286"/>
      <c r="EP282" s="286"/>
      <c r="EQ282" s="286"/>
      <c r="ER282" s="286"/>
      <c r="ES282" s="286"/>
      <c r="ET282" s="286"/>
      <c r="EU282" s="286"/>
      <c r="EV282" s="286"/>
      <c r="EW282" s="286"/>
      <c r="EX282" s="286"/>
      <c r="EY282" s="286"/>
      <c r="EZ282" s="286"/>
      <c r="FA282" s="286"/>
      <c r="FB282" s="286"/>
      <c r="FC282" s="286"/>
      <c r="FD282" s="286"/>
      <c r="FE282" s="286"/>
      <c r="FF282" s="286"/>
      <c r="FG282" s="286"/>
      <c r="FH282" s="286"/>
      <c r="FI282" s="286"/>
      <c r="FJ282" s="286"/>
      <c r="FK282" s="286"/>
      <c r="FL282" s="286"/>
      <c r="FM282" s="286"/>
      <c r="FN282" s="286"/>
      <c r="FO282" s="286"/>
      <c r="FP282" s="286"/>
      <c r="FQ282" s="286"/>
      <c r="FR282" s="286"/>
      <c r="FS282" s="286"/>
    </row>
    <row r="283" spans="1:175">
      <c r="A283" s="212" t="s">
        <v>3159</v>
      </c>
      <c r="B283" s="212" t="s">
        <v>3160</v>
      </c>
      <c r="C283" s="212" t="s">
        <v>3170</v>
      </c>
      <c r="D283" s="212" t="s">
        <v>3441</v>
      </c>
      <c r="E283" s="212" t="s">
        <v>3446</v>
      </c>
      <c r="F283" s="278">
        <v>552</v>
      </c>
      <c r="G283" s="278">
        <v>33382</v>
      </c>
      <c r="H283" s="287">
        <f t="shared" si="4"/>
        <v>1.7164939188784374</v>
      </c>
      <c r="I283" s="286">
        <v>15</v>
      </c>
      <c r="J283" s="286">
        <v>573</v>
      </c>
      <c r="K283" s="286">
        <v>505</v>
      </c>
      <c r="L283" s="286">
        <v>68</v>
      </c>
      <c r="M283" s="286">
        <v>567</v>
      </c>
      <c r="N283" s="286">
        <v>500</v>
      </c>
      <c r="O283" s="286">
        <v>67</v>
      </c>
      <c r="P283" s="286">
        <v>15</v>
      </c>
      <c r="Q283" s="286">
        <v>573</v>
      </c>
      <c r="R283" s="286">
        <v>505</v>
      </c>
      <c r="S283" s="286">
        <v>68</v>
      </c>
      <c r="T283" s="286">
        <v>567</v>
      </c>
      <c r="U283" s="286">
        <v>500</v>
      </c>
      <c r="V283" s="286">
        <v>67</v>
      </c>
      <c r="W283" s="286"/>
      <c r="X283" s="286"/>
      <c r="Y283" s="286"/>
      <c r="Z283" s="286"/>
      <c r="AA283" s="286"/>
      <c r="AB283" s="286"/>
      <c r="AC283" s="286"/>
      <c r="AD283" s="286"/>
      <c r="AE283" s="286"/>
      <c r="AF283" s="286"/>
      <c r="AG283" s="286"/>
      <c r="AH283" s="286"/>
      <c r="AI283" s="286"/>
      <c r="AJ283" s="286"/>
      <c r="AK283" s="286"/>
      <c r="AL283" s="286"/>
      <c r="AM283" s="286"/>
      <c r="AN283" s="286"/>
      <c r="AO283" s="286"/>
      <c r="AP283" s="286"/>
      <c r="AQ283" s="286"/>
      <c r="AR283" s="286"/>
      <c r="AS283" s="286"/>
      <c r="AT283" s="286"/>
      <c r="AU283" s="286"/>
      <c r="AV283" s="286"/>
      <c r="AW283" s="286"/>
      <c r="AX283" s="286"/>
      <c r="AY283" s="286"/>
      <c r="AZ283" s="286"/>
      <c r="BA283" s="286"/>
      <c r="BB283" s="286"/>
      <c r="BC283" s="286"/>
      <c r="BD283" s="286"/>
      <c r="BE283" s="286"/>
      <c r="BF283" s="286"/>
      <c r="BG283" s="286"/>
      <c r="BH283" s="286"/>
      <c r="BI283" s="286"/>
      <c r="BJ283" s="286"/>
      <c r="BK283" s="286"/>
      <c r="BL283" s="286"/>
      <c r="BM283" s="286"/>
      <c r="BN283" s="286"/>
      <c r="BO283" s="286"/>
      <c r="BP283" s="286"/>
      <c r="BQ283" s="286"/>
      <c r="BR283" s="286"/>
      <c r="BS283" s="286"/>
      <c r="BT283" s="286"/>
      <c r="BU283" s="286"/>
      <c r="BV283" s="286"/>
      <c r="BW283" s="286"/>
      <c r="BX283" s="286"/>
      <c r="BY283" s="286"/>
      <c r="BZ283" s="286"/>
      <c r="CA283" s="286"/>
      <c r="CB283" s="286"/>
      <c r="CC283" s="286"/>
      <c r="CD283" s="286"/>
      <c r="CE283" s="286"/>
      <c r="CF283" s="286"/>
      <c r="CG283" s="286"/>
      <c r="CH283" s="286"/>
      <c r="CI283" s="286"/>
      <c r="CJ283" s="286"/>
      <c r="CK283" s="286"/>
      <c r="CL283" s="286"/>
      <c r="CM283" s="286"/>
      <c r="CN283" s="286"/>
      <c r="CO283" s="286"/>
      <c r="CP283" s="286"/>
      <c r="CQ283" s="286"/>
      <c r="CR283" s="286"/>
      <c r="CS283" s="286"/>
      <c r="CT283" s="286"/>
      <c r="CU283" s="286"/>
      <c r="CV283" s="286"/>
      <c r="CW283" s="286"/>
      <c r="CX283" s="286"/>
      <c r="CY283" s="286"/>
      <c r="CZ283" s="286"/>
      <c r="DA283" s="286"/>
      <c r="DB283" s="286"/>
      <c r="DC283" s="286"/>
      <c r="DD283" s="286"/>
      <c r="DE283" s="286"/>
      <c r="DF283" s="286"/>
      <c r="DG283" s="286"/>
      <c r="DH283" s="286"/>
      <c r="DI283" s="286"/>
      <c r="DJ283" s="286"/>
      <c r="DK283" s="286"/>
      <c r="DL283" s="286"/>
      <c r="DM283" s="286"/>
      <c r="DN283" s="286"/>
      <c r="DO283" s="286"/>
      <c r="DP283" s="286"/>
      <c r="DQ283" s="286"/>
      <c r="DR283" s="286"/>
      <c r="DS283" s="286"/>
      <c r="DT283" s="286"/>
      <c r="DU283" s="286"/>
      <c r="DV283" s="286"/>
      <c r="DW283" s="286"/>
      <c r="DX283" s="286"/>
      <c r="DY283" s="286"/>
      <c r="DZ283" s="286"/>
      <c r="EA283" s="286"/>
      <c r="EB283" s="286"/>
      <c r="EC283" s="286"/>
      <c r="ED283" s="286"/>
      <c r="EE283" s="286"/>
      <c r="EF283" s="286"/>
      <c r="EG283" s="286"/>
      <c r="EH283" s="286"/>
      <c r="EI283" s="286"/>
      <c r="EJ283" s="286"/>
      <c r="EK283" s="286"/>
      <c r="EL283" s="286"/>
      <c r="EM283" s="286"/>
      <c r="EN283" s="286"/>
      <c r="EO283" s="286"/>
      <c r="EP283" s="286"/>
      <c r="EQ283" s="286"/>
      <c r="ER283" s="286"/>
      <c r="ES283" s="286"/>
      <c r="ET283" s="286"/>
      <c r="EU283" s="286"/>
      <c r="EV283" s="286"/>
      <c r="EW283" s="286"/>
      <c r="EX283" s="286"/>
      <c r="EY283" s="286"/>
      <c r="EZ283" s="286"/>
      <c r="FA283" s="286"/>
      <c r="FB283" s="286"/>
      <c r="FC283" s="286"/>
      <c r="FD283" s="286"/>
      <c r="FE283" s="286"/>
      <c r="FF283" s="286"/>
      <c r="FG283" s="286"/>
      <c r="FH283" s="286"/>
      <c r="FI283" s="286"/>
      <c r="FJ283" s="286"/>
      <c r="FK283" s="286"/>
      <c r="FL283" s="286"/>
      <c r="FM283" s="286"/>
      <c r="FN283" s="286"/>
      <c r="FO283" s="286"/>
      <c r="FP283" s="286"/>
      <c r="FQ283" s="286"/>
      <c r="FR283" s="286"/>
      <c r="FS283" s="286"/>
    </row>
    <row r="284" spans="1:175">
      <c r="A284" s="212" t="s">
        <v>3159</v>
      </c>
      <c r="B284" s="212" t="s">
        <v>3160</v>
      </c>
      <c r="C284" s="212" t="s">
        <v>3172</v>
      </c>
      <c r="D284" s="212" t="s">
        <v>3441</v>
      </c>
      <c r="E284" s="212" t="s">
        <v>3447</v>
      </c>
      <c r="F284" s="278">
        <v>158</v>
      </c>
      <c r="G284" s="278">
        <v>18905</v>
      </c>
      <c r="H284" s="287">
        <f t="shared" si="4"/>
        <v>2.0312086749537159</v>
      </c>
      <c r="I284" s="286">
        <v>7</v>
      </c>
      <c r="J284" s="286">
        <v>384</v>
      </c>
      <c r="K284" s="286">
        <v>332</v>
      </c>
      <c r="L284" s="286">
        <v>52</v>
      </c>
      <c r="M284" s="286">
        <v>384</v>
      </c>
      <c r="N284" s="286">
        <v>332</v>
      </c>
      <c r="O284" s="286">
        <v>52</v>
      </c>
      <c r="P284" s="286">
        <v>7</v>
      </c>
      <c r="Q284" s="286">
        <v>384</v>
      </c>
      <c r="R284" s="286">
        <v>332</v>
      </c>
      <c r="S284" s="286">
        <v>52</v>
      </c>
      <c r="T284" s="286">
        <v>384</v>
      </c>
      <c r="U284" s="286">
        <v>332</v>
      </c>
      <c r="V284" s="286">
        <v>52</v>
      </c>
      <c r="W284" s="286"/>
      <c r="X284" s="286"/>
      <c r="Y284" s="286"/>
      <c r="Z284" s="286"/>
      <c r="AA284" s="286"/>
      <c r="AB284" s="286"/>
      <c r="AC284" s="286"/>
      <c r="AD284" s="286"/>
      <c r="AE284" s="286"/>
      <c r="AF284" s="286"/>
      <c r="AG284" s="286"/>
      <c r="AH284" s="286"/>
      <c r="AI284" s="286"/>
      <c r="AJ284" s="286"/>
      <c r="AK284" s="286"/>
      <c r="AL284" s="286"/>
      <c r="AM284" s="286"/>
      <c r="AN284" s="286"/>
      <c r="AO284" s="286"/>
      <c r="AP284" s="286"/>
      <c r="AQ284" s="286"/>
      <c r="AR284" s="286"/>
      <c r="AS284" s="286"/>
      <c r="AT284" s="286"/>
      <c r="AU284" s="286"/>
      <c r="AV284" s="286"/>
      <c r="AW284" s="286"/>
      <c r="AX284" s="286"/>
      <c r="AY284" s="286"/>
      <c r="AZ284" s="286"/>
      <c r="BA284" s="286"/>
      <c r="BB284" s="286"/>
      <c r="BC284" s="286"/>
      <c r="BD284" s="286"/>
      <c r="BE284" s="286"/>
      <c r="BF284" s="286"/>
      <c r="BG284" s="286"/>
      <c r="BH284" s="286"/>
      <c r="BI284" s="286"/>
      <c r="BJ284" s="286"/>
      <c r="BK284" s="286"/>
      <c r="BL284" s="286"/>
      <c r="BM284" s="286"/>
      <c r="BN284" s="286"/>
      <c r="BO284" s="286"/>
      <c r="BP284" s="286"/>
      <c r="BQ284" s="286"/>
      <c r="BR284" s="286"/>
      <c r="BS284" s="286"/>
      <c r="BT284" s="286"/>
      <c r="BU284" s="286"/>
      <c r="BV284" s="286"/>
      <c r="BW284" s="286"/>
      <c r="BX284" s="286"/>
      <c r="BY284" s="286"/>
      <c r="BZ284" s="286"/>
      <c r="CA284" s="286"/>
      <c r="CB284" s="286"/>
      <c r="CC284" s="286"/>
      <c r="CD284" s="286"/>
      <c r="CE284" s="286"/>
      <c r="CF284" s="286"/>
      <c r="CG284" s="286"/>
      <c r="CH284" s="286"/>
      <c r="CI284" s="286"/>
      <c r="CJ284" s="286"/>
      <c r="CK284" s="286"/>
      <c r="CL284" s="286"/>
      <c r="CM284" s="286"/>
      <c r="CN284" s="286"/>
      <c r="CO284" s="286"/>
      <c r="CP284" s="286"/>
      <c r="CQ284" s="286"/>
      <c r="CR284" s="286"/>
      <c r="CS284" s="286"/>
      <c r="CT284" s="286"/>
      <c r="CU284" s="286"/>
      <c r="CV284" s="286"/>
      <c r="CW284" s="286"/>
      <c r="CX284" s="286"/>
      <c r="CY284" s="286"/>
      <c r="CZ284" s="286"/>
      <c r="DA284" s="286"/>
      <c r="DB284" s="286"/>
      <c r="DC284" s="286"/>
      <c r="DD284" s="286"/>
      <c r="DE284" s="286"/>
      <c r="DF284" s="286"/>
      <c r="DG284" s="286"/>
      <c r="DH284" s="286"/>
      <c r="DI284" s="286"/>
      <c r="DJ284" s="286"/>
      <c r="DK284" s="286"/>
      <c r="DL284" s="286"/>
      <c r="DM284" s="286"/>
      <c r="DN284" s="286"/>
      <c r="DO284" s="286"/>
      <c r="DP284" s="286"/>
      <c r="DQ284" s="286"/>
      <c r="DR284" s="286"/>
      <c r="DS284" s="286"/>
      <c r="DT284" s="286"/>
      <c r="DU284" s="286"/>
      <c r="DV284" s="286"/>
      <c r="DW284" s="286"/>
      <c r="DX284" s="286"/>
      <c r="DY284" s="286"/>
      <c r="DZ284" s="286"/>
      <c r="EA284" s="286"/>
      <c r="EB284" s="286"/>
      <c r="EC284" s="286"/>
      <c r="ED284" s="286"/>
      <c r="EE284" s="286"/>
      <c r="EF284" s="286"/>
      <c r="EG284" s="286"/>
      <c r="EH284" s="286"/>
      <c r="EI284" s="286"/>
      <c r="EJ284" s="286"/>
      <c r="EK284" s="286"/>
      <c r="EL284" s="286"/>
      <c r="EM284" s="286"/>
      <c r="EN284" s="286"/>
      <c r="EO284" s="286"/>
      <c r="EP284" s="286"/>
      <c r="EQ284" s="286"/>
      <c r="ER284" s="286"/>
      <c r="ES284" s="286"/>
      <c r="ET284" s="286"/>
      <c r="EU284" s="286"/>
      <c r="EV284" s="286"/>
      <c r="EW284" s="286"/>
      <c r="EX284" s="286"/>
      <c r="EY284" s="286"/>
      <c r="EZ284" s="286"/>
      <c r="FA284" s="286"/>
      <c r="FB284" s="286"/>
      <c r="FC284" s="286"/>
      <c r="FD284" s="286"/>
      <c r="FE284" s="286"/>
      <c r="FF284" s="286"/>
      <c r="FG284" s="286"/>
      <c r="FH284" s="286"/>
      <c r="FI284" s="286"/>
      <c r="FJ284" s="286"/>
      <c r="FK284" s="286"/>
      <c r="FL284" s="286"/>
      <c r="FM284" s="286"/>
      <c r="FN284" s="286"/>
      <c r="FO284" s="286"/>
      <c r="FP284" s="286"/>
      <c r="FQ284" s="286"/>
      <c r="FR284" s="286"/>
      <c r="FS284" s="286"/>
    </row>
    <row r="285" spans="1:175">
      <c r="A285" s="212" t="s">
        <v>3159</v>
      </c>
      <c r="B285" s="212" t="s">
        <v>3160</v>
      </c>
      <c r="C285" s="212" t="s">
        <v>3172</v>
      </c>
      <c r="D285" s="212" t="s">
        <v>3441</v>
      </c>
      <c r="E285" s="212" t="s">
        <v>3448</v>
      </c>
      <c r="F285" s="278">
        <v>394</v>
      </c>
      <c r="G285" s="278">
        <v>14477</v>
      </c>
      <c r="H285" s="287">
        <f t="shared" si="4"/>
        <v>1.3055190992608967</v>
      </c>
      <c r="I285" s="286">
        <v>8</v>
      </c>
      <c r="J285" s="286">
        <v>189</v>
      </c>
      <c r="K285" s="286">
        <v>173</v>
      </c>
      <c r="L285" s="286">
        <v>16</v>
      </c>
      <c r="M285" s="286">
        <v>183</v>
      </c>
      <c r="N285" s="286">
        <v>168</v>
      </c>
      <c r="O285" s="286">
        <v>15</v>
      </c>
      <c r="P285" s="286">
        <v>8</v>
      </c>
      <c r="Q285" s="286">
        <v>189</v>
      </c>
      <c r="R285" s="286">
        <v>173</v>
      </c>
      <c r="S285" s="286">
        <v>16</v>
      </c>
      <c r="T285" s="286">
        <v>183</v>
      </c>
      <c r="U285" s="286">
        <v>168</v>
      </c>
      <c r="V285" s="286">
        <v>15</v>
      </c>
      <c r="W285" s="286"/>
      <c r="X285" s="286"/>
      <c r="Y285" s="286"/>
      <c r="Z285" s="286"/>
      <c r="AA285" s="286"/>
      <c r="AB285" s="286"/>
      <c r="AC285" s="286"/>
      <c r="AD285" s="286"/>
      <c r="AE285" s="286"/>
      <c r="AF285" s="286"/>
      <c r="AG285" s="286"/>
      <c r="AH285" s="286"/>
      <c r="AI285" s="286"/>
      <c r="AJ285" s="286"/>
      <c r="AK285" s="286"/>
      <c r="AL285" s="286"/>
      <c r="AM285" s="286"/>
      <c r="AN285" s="286"/>
      <c r="AO285" s="286"/>
      <c r="AP285" s="286"/>
      <c r="AQ285" s="286"/>
      <c r="AR285" s="286"/>
      <c r="AS285" s="286"/>
      <c r="AT285" s="286"/>
      <c r="AU285" s="286"/>
      <c r="AV285" s="286"/>
      <c r="AW285" s="286"/>
      <c r="AX285" s="286"/>
      <c r="AY285" s="286"/>
      <c r="AZ285" s="286"/>
      <c r="BA285" s="286"/>
      <c r="BB285" s="286"/>
      <c r="BC285" s="286"/>
      <c r="BD285" s="286"/>
      <c r="BE285" s="286"/>
      <c r="BF285" s="286"/>
      <c r="BG285" s="286"/>
      <c r="BH285" s="286"/>
      <c r="BI285" s="286"/>
      <c r="BJ285" s="286"/>
      <c r="BK285" s="286"/>
      <c r="BL285" s="286"/>
      <c r="BM285" s="286"/>
      <c r="BN285" s="286"/>
      <c r="BO285" s="286"/>
      <c r="BP285" s="286"/>
      <c r="BQ285" s="286"/>
      <c r="BR285" s="286"/>
      <c r="BS285" s="286"/>
      <c r="BT285" s="286"/>
      <c r="BU285" s="286"/>
      <c r="BV285" s="286"/>
      <c r="BW285" s="286"/>
      <c r="BX285" s="286"/>
      <c r="BY285" s="286"/>
      <c r="BZ285" s="286"/>
      <c r="CA285" s="286"/>
      <c r="CB285" s="286"/>
      <c r="CC285" s="286"/>
      <c r="CD285" s="286"/>
      <c r="CE285" s="286"/>
      <c r="CF285" s="286"/>
      <c r="CG285" s="286"/>
      <c r="CH285" s="286"/>
      <c r="CI285" s="286"/>
      <c r="CJ285" s="286"/>
      <c r="CK285" s="286"/>
      <c r="CL285" s="286"/>
      <c r="CM285" s="286"/>
      <c r="CN285" s="286"/>
      <c r="CO285" s="286"/>
      <c r="CP285" s="286"/>
      <c r="CQ285" s="286"/>
      <c r="CR285" s="286"/>
      <c r="CS285" s="286"/>
      <c r="CT285" s="286"/>
      <c r="CU285" s="286"/>
      <c r="CV285" s="286"/>
      <c r="CW285" s="286"/>
      <c r="CX285" s="286"/>
      <c r="CY285" s="286"/>
      <c r="CZ285" s="286"/>
      <c r="DA285" s="286"/>
      <c r="DB285" s="286"/>
      <c r="DC285" s="286"/>
      <c r="DD285" s="286"/>
      <c r="DE285" s="286"/>
      <c r="DF285" s="286"/>
      <c r="DG285" s="286"/>
      <c r="DH285" s="286"/>
      <c r="DI285" s="286"/>
      <c r="DJ285" s="286"/>
      <c r="DK285" s="286"/>
      <c r="DL285" s="286"/>
      <c r="DM285" s="286"/>
      <c r="DN285" s="286"/>
      <c r="DO285" s="286"/>
      <c r="DP285" s="286"/>
      <c r="DQ285" s="286"/>
      <c r="DR285" s="286"/>
      <c r="DS285" s="286"/>
      <c r="DT285" s="286"/>
      <c r="DU285" s="286"/>
      <c r="DV285" s="286"/>
      <c r="DW285" s="286"/>
      <c r="DX285" s="286"/>
      <c r="DY285" s="286"/>
      <c r="DZ285" s="286"/>
      <c r="EA285" s="286"/>
      <c r="EB285" s="286"/>
      <c r="EC285" s="286"/>
      <c r="ED285" s="286"/>
      <c r="EE285" s="286"/>
      <c r="EF285" s="286"/>
      <c r="EG285" s="286"/>
      <c r="EH285" s="286"/>
      <c r="EI285" s="286"/>
      <c r="EJ285" s="286"/>
      <c r="EK285" s="286"/>
      <c r="EL285" s="286"/>
      <c r="EM285" s="286"/>
      <c r="EN285" s="286"/>
      <c r="EO285" s="286"/>
      <c r="EP285" s="286"/>
      <c r="EQ285" s="286"/>
      <c r="ER285" s="286"/>
      <c r="ES285" s="286"/>
      <c r="ET285" s="286"/>
      <c r="EU285" s="286"/>
      <c r="EV285" s="286"/>
      <c r="EW285" s="286"/>
      <c r="EX285" s="286"/>
      <c r="EY285" s="286"/>
      <c r="EZ285" s="286"/>
      <c r="FA285" s="286"/>
      <c r="FB285" s="286"/>
      <c r="FC285" s="286"/>
      <c r="FD285" s="286"/>
      <c r="FE285" s="286"/>
      <c r="FF285" s="286"/>
      <c r="FG285" s="286"/>
      <c r="FH285" s="286"/>
      <c r="FI285" s="286"/>
      <c r="FJ285" s="286"/>
      <c r="FK285" s="286"/>
      <c r="FL285" s="286"/>
      <c r="FM285" s="286"/>
      <c r="FN285" s="286"/>
      <c r="FO285" s="286"/>
      <c r="FP285" s="286"/>
      <c r="FQ285" s="286"/>
      <c r="FR285" s="286"/>
      <c r="FS285" s="286"/>
    </row>
    <row r="286" spans="1:175">
      <c r="A286" s="212" t="s">
        <v>3159</v>
      </c>
      <c r="B286" s="212" t="s">
        <v>3160</v>
      </c>
      <c r="C286" s="212" t="s">
        <v>3170</v>
      </c>
      <c r="D286" s="212" t="s">
        <v>3441</v>
      </c>
      <c r="E286" s="212" t="s">
        <v>3449</v>
      </c>
      <c r="F286" s="278">
        <v>206</v>
      </c>
      <c r="G286" s="278">
        <v>2207</v>
      </c>
      <c r="H286" s="287">
        <f t="shared" si="4"/>
        <v>2.4920706841866789</v>
      </c>
      <c r="I286" s="286">
        <v>7</v>
      </c>
      <c r="J286" s="286">
        <v>55</v>
      </c>
      <c r="K286" s="286">
        <v>50</v>
      </c>
      <c r="L286" s="286">
        <v>5</v>
      </c>
      <c r="M286" s="286">
        <v>50</v>
      </c>
      <c r="N286" s="286">
        <v>45</v>
      </c>
      <c r="O286" s="286">
        <v>5</v>
      </c>
      <c r="P286" s="286">
        <v>7</v>
      </c>
      <c r="Q286" s="286">
        <v>55</v>
      </c>
      <c r="R286" s="286">
        <v>50</v>
      </c>
      <c r="S286" s="286">
        <v>5</v>
      </c>
      <c r="T286" s="286">
        <v>50</v>
      </c>
      <c r="U286" s="286">
        <v>45</v>
      </c>
      <c r="V286" s="286">
        <v>5</v>
      </c>
      <c r="W286" s="286"/>
      <c r="X286" s="286"/>
      <c r="Y286" s="286"/>
      <c r="Z286" s="286"/>
      <c r="AA286" s="286"/>
      <c r="AB286" s="286"/>
      <c r="AC286" s="286"/>
      <c r="AD286" s="286"/>
      <c r="AE286" s="286"/>
      <c r="AF286" s="286"/>
      <c r="AG286" s="286"/>
      <c r="AH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6"/>
      <c r="BI286" s="286"/>
      <c r="BJ286" s="286"/>
      <c r="BK286" s="286"/>
      <c r="BL286" s="286"/>
      <c r="BM286" s="286"/>
      <c r="BN286" s="286"/>
      <c r="BO286" s="286"/>
      <c r="BP286" s="286"/>
      <c r="BQ286" s="286"/>
      <c r="BR286" s="286"/>
      <c r="BS286" s="286"/>
      <c r="BT286" s="286"/>
      <c r="BU286" s="286"/>
      <c r="BV286" s="286"/>
      <c r="BW286" s="286"/>
      <c r="BX286" s="286"/>
      <c r="BY286" s="286"/>
      <c r="BZ286" s="286"/>
      <c r="CA286" s="286"/>
      <c r="CB286" s="286"/>
      <c r="CC286" s="286"/>
      <c r="CD286" s="286"/>
      <c r="CE286" s="286"/>
      <c r="CF286" s="286"/>
      <c r="CG286" s="286"/>
      <c r="CH286" s="286"/>
      <c r="CI286" s="286"/>
      <c r="CJ286" s="286"/>
      <c r="CK286" s="286"/>
      <c r="CL286" s="286"/>
      <c r="CM286" s="286"/>
      <c r="CN286" s="286"/>
      <c r="CO286" s="286"/>
      <c r="CP286" s="286"/>
      <c r="CQ286" s="286"/>
      <c r="CR286" s="286"/>
      <c r="CS286" s="286"/>
      <c r="CT286" s="286"/>
      <c r="CU286" s="286"/>
      <c r="CV286" s="286"/>
      <c r="CW286" s="286"/>
      <c r="CX286" s="286"/>
      <c r="CY286" s="286"/>
      <c r="CZ286" s="286"/>
      <c r="DA286" s="286"/>
      <c r="DB286" s="286"/>
      <c r="DC286" s="286"/>
      <c r="DD286" s="286"/>
      <c r="DE286" s="286"/>
      <c r="DF286" s="286"/>
      <c r="DG286" s="286"/>
      <c r="DH286" s="286"/>
      <c r="DI286" s="286"/>
      <c r="DJ286" s="286"/>
      <c r="DK286" s="286"/>
      <c r="DL286" s="286"/>
      <c r="DM286" s="286"/>
      <c r="DN286" s="286"/>
      <c r="DO286" s="286"/>
      <c r="DP286" s="286"/>
      <c r="DQ286" s="286"/>
      <c r="DR286" s="286"/>
      <c r="DS286" s="286"/>
      <c r="DT286" s="286"/>
      <c r="DU286" s="286"/>
      <c r="DV286" s="286"/>
      <c r="DW286" s="286"/>
      <c r="DX286" s="286"/>
      <c r="DY286" s="286"/>
      <c r="DZ286" s="286"/>
      <c r="EA286" s="286"/>
      <c r="EB286" s="286"/>
      <c r="EC286" s="286"/>
      <c r="ED286" s="286"/>
      <c r="EE286" s="286"/>
      <c r="EF286" s="286"/>
      <c r="EG286" s="286"/>
      <c r="EH286" s="286"/>
      <c r="EI286" s="286"/>
      <c r="EJ286" s="286"/>
      <c r="EK286" s="286"/>
      <c r="EL286" s="286"/>
      <c r="EM286" s="286"/>
      <c r="EN286" s="286"/>
      <c r="EO286" s="286"/>
      <c r="EP286" s="286"/>
      <c r="EQ286" s="286"/>
      <c r="ER286" s="286"/>
      <c r="ES286" s="286"/>
      <c r="ET286" s="286"/>
      <c r="EU286" s="286"/>
      <c r="EV286" s="286"/>
      <c r="EW286" s="286"/>
      <c r="EX286" s="286"/>
      <c r="EY286" s="286"/>
      <c r="EZ286" s="286"/>
      <c r="FA286" s="286"/>
      <c r="FB286" s="286"/>
      <c r="FC286" s="286"/>
      <c r="FD286" s="286"/>
      <c r="FE286" s="286"/>
      <c r="FF286" s="286"/>
      <c r="FG286" s="286"/>
      <c r="FH286" s="286"/>
      <c r="FI286" s="286"/>
      <c r="FJ286" s="286"/>
      <c r="FK286" s="286"/>
      <c r="FL286" s="286"/>
      <c r="FM286" s="286"/>
      <c r="FN286" s="286"/>
      <c r="FO286" s="286"/>
      <c r="FP286" s="286"/>
      <c r="FQ286" s="286"/>
      <c r="FR286" s="286"/>
      <c r="FS286" s="286"/>
    </row>
    <row r="287" spans="1:175">
      <c r="A287" s="212" t="s">
        <v>3159</v>
      </c>
      <c r="B287" s="212" t="s">
        <v>3160</v>
      </c>
      <c r="C287" s="212" t="s">
        <v>3172</v>
      </c>
      <c r="D287" s="212" t="s">
        <v>3441</v>
      </c>
      <c r="E287" s="212" t="s">
        <v>3450</v>
      </c>
      <c r="F287" s="278">
        <v>6</v>
      </c>
      <c r="G287" s="278">
        <v>560</v>
      </c>
      <c r="H287" s="287">
        <f t="shared" si="4"/>
        <v>0</v>
      </c>
      <c r="I287" s="286">
        <v>0</v>
      </c>
      <c r="J287" s="286">
        <v>0</v>
      </c>
      <c r="K287" s="286">
        <v>0</v>
      </c>
      <c r="L287" s="286">
        <v>0</v>
      </c>
      <c r="M287" s="286">
        <v>0</v>
      </c>
      <c r="N287" s="286">
        <v>0</v>
      </c>
      <c r="O287" s="286">
        <v>0</v>
      </c>
      <c r="P287" s="286">
        <v>0</v>
      </c>
      <c r="Q287" s="286">
        <v>0</v>
      </c>
      <c r="R287" s="286">
        <v>0</v>
      </c>
      <c r="S287" s="286">
        <v>0</v>
      </c>
      <c r="T287" s="286">
        <v>0</v>
      </c>
      <c r="U287" s="286">
        <v>0</v>
      </c>
      <c r="V287" s="286">
        <v>0</v>
      </c>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BO287" s="286"/>
      <c r="BP287" s="286"/>
      <c r="BQ287" s="286"/>
      <c r="BR287" s="286"/>
      <c r="BS287" s="286"/>
      <c r="BT287" s="286"/>
      <c r="BU287" s="286"/>
      <c r="BV287" s="286"/>
      <c r="BW287" s="286"/>
      <c r="BX287" s="286"/>
      <c r="BY287" s="286"/>
      <c r="BZ287" s="286"/>
      <c r="CA287" s="286"/>
      <c r="CB287" s="286"/>
      <c r="CC287" s="286"/>
      <c r="CD287" s="286"/>
      <c r="CE287" s="286"/>
      <c r="CF287" s="286"/>
      <c r="CG287" s="286"/>
      <c r="CH287" s="286"/>
      <c r="CI287" s="286"/>
      <c r="CJ287" s="286"/>
      <c r="CK287" s="286"/>
      <c r="CL287" s="286"/>
      <c r="CM287" s="286"/>
      <c r="CN287" s="286"/>
      <c r="CO287" s="286"/>
      <c r="CP287" s="286"/>
      <c r="CQ287" s="286"/>
      <c r="CR287" s="286"/>
      <c r="CS287" s="286"/>
      <c r="CT287" s="286"/>
      <c r="CU287" s="286"/>
      <c r="CV287" s="286"/>
      <c r="CW287" s="286"/>
      <c r="CX287" s="286"/>
      <c r="CY287" s="286"/>
      <c r="CZ287" s="286"/>
      <c r="DA287" s="286"/>
      <c r="DB287" s="286"/>
      <c r="DC287" s="286"/>
      <c r="DD287" s="286"/>
      <c r="DE287" s="286"/>
      <c r="DF287" s="286"/>
      <c r="DG287" s="286"/>
      <c r="DH287" s="286"/>
      <c r="DI287" s="286"/>
      <c r="DJ287" s="286"/>
      <c r="DK287" s="286"/>
      <c r="DL287" s="286"/>
      <c r="DM287" s="286"/>
      <c r="DN287" s="286"/>
      <c r="DO287" s="286"/>
      <c r="DP287" s="286"/>
      <c r="DQ287" s="286"/>
      <c r="DR287" s="286"/>
      <c r="DS287" s="286"/>
      <c r="DT287" s="286"/>
      <c r="DU287" s="286"/>
      <c r="DV287" s="286"/>
      <c r="DW287" s="286"/>
      <c r="DX287" s="286"/>
      <c r="DY287" s="286"/>
      <c r="DZ287" s="286"/>
      <c r="EA287" s="286"/>
      <c r="EB287" s="286"/>
      <c r="EC287" s="286"/>
      <c r="ED287" s="286"/>
      <c r="EE287" s="286"/>
      <c r="EF287" s="286"/>
      <c r="EG287" s="286"/>
      <c r="EH287" s="286"/>
      <c r="EI287" s="286"/>
      <c r="EJ287" s="286"/>
      <c r="EK287" s="286"/>
      <c r="EL287" s="286"/>
      <c r="EM287" s="286"/>
      <c r="EN287" s="286"/>
      <c r="EO287" s="286"/>
      <c r="EP287" s="286"/>
      <c r="EQ287" s="286"/>
      <c r="ER287" s="286"/>
      <c r="ES287" s="286"/>
      <c r="ET287" s="286"/>
      <c r="EU287" s="286"/>
      <c r="EV287" s="286"/>
      <c r="EW287" s="286"/>
      <c r="EX287" s="286"/>
      <c r="EY287" s="286"/>
      <c r="EZ287" s="286"/>
      <c r="FA287" s="286"/>
      <c r="FB287" s="286"/>
      <c r="FC287" s="286"/>
      <c r="FD287" s="286"/>
      <c r="FE287" s="286"/>
      <c r="FF287" s="286"/>
      <c r="FG287" s="286"/>
      <c r="FH287" s="286"/>
      <c r="FI287" s="286"/>
      <c r="FJ287" s="286"/>
      <c r="FK287" s="286"/>
      <c r="FL287" s="286"/>
      <c r="FM287" s="286"/>
      <c r="FN287" s="286"/>
      <c r="FO287" s="286"/>
      <c r="FP287" s="286"/>
      <c r="FQ287" s="286"/>
      <c r="FR287" s="286"/>
      <c r="FS287" s="286"/>
    </row>
    <row r="288" spans="1:175">
      <c r="A288" s="212" t="s">
        <v>3159</v>
      </c>
      <c r="B288" s="212" t="s">
        <v>3160</v>
      </c>
      <c r="C288" s="212" t="s">
        <v>3172</v>
      </c>
      <c r="D288" s="212" t="s">
        <v>3441</v>
      </c>
      <c r="E288" s="212" t="s">
        <v>3451</v>
      </c>
      <c r="F288" s="278">
        <v>200</v>
      </c>
      <c r="G288" s="278">
        <v>1647</v>
      </c>
      <c r="H288" s="287">
        <f t="shared" si="4"/>
        <v>3.3394049787492412</v>
      </c>
      <c r="I288" s="286">
        <v>7</v>
      </c>
      <c r="J288" s="286">
        <v>55</v>
      </c>
      <c r="K288" s="286">
        <v>50</v>
      </c>
      <c r="L288" s="286">
        <v>5</v>
      </c>
      <c r="M288" s="286">
        <v>50</v>
      </c>
      <c r="N288" s="286">
        <v>45</v>
      </c>
      <c r="O288" s="286">
        <v>5</v>
      </c>
      <c r="P288" s="286">
        <v>7</v>
      </c>
      <c r="Q288" s="286">
        <v>55</v>
      </c>
      <c r="R288" s="286">
        <v>50</v>
      </c>
      <c r="S288" s="286">
        <v>5</v>
      </c>
      <c r="T288" s="286">
        <v>50</v>
      </c>
      <c r="U288" s="286">
        <v>45</v>
      </c>
      <c r="V288" s="286">
        <v>5</v>
      </c>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6"/>
      <c r="CH288" s="286"/>
      <c r="CI288" s="286"/>
      <c r="CJ288" s="286"/>
      <c r="CK288" s="286"/>
      <c r="CL288" s="286"/>
      <c r="CM288" s="286"/>
      <c r="CN288" s="286"/>
      <c r="CO288" s="286"/>
      <c r="CP288" s="286"/>
      <c r="CQ288" s="286"/>
      <c r="CR288" s="286"/>
      <c r="CS288" s="286"/>
      <c r="CT288" s="286"/>
      <c r="CU288" s="286"/>
      <c r="CV288" s="286"/>
      <c r="CW288" s="286"/>
      <c r="CX288" s="286"/>
      <c r="CY288" s="286"/>
      <c r="CZ288" s="286"/>
      <c r="DA288" s="286"/>
      <c r="DB288" s="286"/>
      <c r="DC288" s="286"/>
      <c r="DD288" s="286"/>
      <c r="DE288" s="286"/>
      <c r="DF288" s="286"/>
      <c r="DG288" s="286"/>
      <c r="DH288" s="286"/>
      <c r="DI288" s="286"/>
      <c r="DJ288" s="286"/>
      <c r="DK288" s="286"/>
      <c r="DL288" s="286"/>
      <c r="DM288" s="286"/>
      <c r="DN288" s="286"/>
      <c r="DO288" s="286"/>
      <c r="DP288" s="286"/>
      <c r="DQ288" s="286"/>
      <c r="DR288" s="286"/>
      <c r="DS288" s="286"/>
      <c r="DT288" s="286"/>
      <c r="DU288" s="286"/>
      <c r="DV288" s="286"/>
      <c r="DW288" s="286"/>
      <c r="DX288" s="286"/>
      <c r="DY288" s="286"/>
      <c r="DZ288" s="286"/>
      <c r="EA288" s="286"/>
      <c r="EB288" s="286"/>
      <c r="EC288" s="286"/>
      <c r="ED288" s="286"/>
      <c r="EE288" s="286"/>
      <c r="EF288" s="286"/>
      <c r="EG288" s="286"/>
      <c r="EH288" s="286"/>
      <c r="EI288" s="286"/>
      <c r="EJ288" s="286"/>
      <c r="EK288" s="286"/>
      <c r="EL288" s="286"/>
      <c r="EM288" s="286"/>
      <c r="EN288" s="286"/>
      <c r="EO288" s="286"/>
      <c r="EP288" s="286"/>
      <c r="EQ288" s="286"/>
      <c r="ER288" s="286"/>
      <c r="ES288" s="286"/>
      <c r="ET288" s="286"/>
      <c r="EU288" s="286"/>
      <c r="EV288" s="286"/>
      <c r="EW288" s="286"/>
      <c r="EX288" s="286"/>
      <c r="EY288" s="286"/>
      <c r="EZ288" s="286"/>
      <c r="FA288" s="286"/>
      <c r="FB288" s="286"/>
      <c r="FC288" s="286"/>
      <c r="FD288" s="286"/>
      <c r="FE288" s="286"/>
      <c r="FF288" s="286"/>
      <c r="FG288" s="286"/>
      <c r="FH288" s="286"/>
      <c r="FI288" s="286"/>
      <c r="FJ288" s="286"/>
      <c r="FK288" s="286"/>
      <c r="FL288" s="286"/>
      <c r="FM288" s="286"/>
      <c r="FN288" s="286"/>
      <c r="FO288" s="286"/>
      <c r="FP288" s="286"/>
      <c r="FQ288" s="286"/>
      <c r="FR288" s="286"/>
      <c r="FS288" s="286"/>
    </row>
    <row r="289" spans="1:175">
      <c r="A289" s="212" t="s">
        <v>3159</v>
      </c>
      <c r="B289" s="212" t="s">
        <v>3160</v>
      </c>
      <c r="C289" s="212" t="s">
        <v>3170</v>
      </c>
      <c r="D289" s="212" t="s">
        <v>3441</v>
      </c>
      <c r="E289" s="212" t="s">
        <v>3452</v>
      </c>
      <c r="F289" s="278">
        <v>5329</v>
      </c>
      <c r="G289" s="278">
        <v>105484</v>
      </c>
      <c r="H289" s="287">
        <f t="shared" si="4"/>
        <v>4.564673315384324</v>
      </c>
      <c r="I289" s="286">
        <v>214</v>
      </c>
      <c r="J289" s="286">
        <v>4815</v>
      </c>
      <c r="K289" s="286">
        <v>4254</v>
      </c>
      <c r="L289" s="286">
        <v>561</v>
      </c>
      <c r="M289" s="286">
        <v>4781</v>
      </c>
      <c r="N289" s="286">
        <v>4227</v>
      </c>
      <c r="O289" s="286">
        <v>554</v>
      </c>
      <c r="P289" s="286">
        <v>94</v>
      </c>
      <c r="Q289" s="286">
        <v>1356</v>
      </c>
      <c r="R289" s="286">
        <v>1240</v>
      </c>
      <c r="S289" s="286">
        <v>116</v>
      </c>
      <c r="T289" s="286">
        <v>1323</v>
      </c>
      <c r="U289" s="286">
        <v>1213</v>
      </c>
      <c r="V289" s="286">
        <v>110</v>
      </c>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BO289" s="286"/>
      <c r="BP289" s="286"/>
      <c r="BQ289" s="286"/>
      <c r="BR289" s="286"/>
      <c r="BS289" s="286"/>
      <c r="BT289" s="286"/>
      <c r="BU289" s="286"/>
      <c r="BV289" s="286"/>
      <c r="BW289" s="286"/>
      <c r="BX289" s="286"/>
      <c r="BY289" s="286"/>
      <c r="BZ289" s="286"/>
      <c r="CA289" s="286"/>
      <c r="CB289" s="286"/>
      <c r="CC289" s="286"/>
      <c r="CD289" s="286"/>
      <c r="CE289" s="286"/>
      <c r="CF289" s="286"/>
      <c r="CG289" s="286"/>
      <c r="CH289" s="286"/>
      <c r="CI289" s="286"/>
      <c r="CJ289" s="286"/>
      <c r="CK289" s="286"/>
      <c r="CL289" s="286"/>
      <c r="CM289" s="286"/>
      <c r="CN289" s="286"/>
      <c r="CO289" s="286"/>
      <c r="CP289" s="286"/>
      <c r="CQ289" s="286"/>
      <c r="CR289" s="286"/>
      <c r="CS289" s="286"/>
      <c r="CT289" s="286"/>
      <c r="CU289" s="286"/>
      <c r="CV289" s="286"/>
      <c r="CW289" s="286"/>
      <c r="CX289" s="286"/>
      <c r="CY289" s="286"/>
      <c r="CZ289" s="286"/>
      <c r="DA289" s="286"/>
      <c r="DB289" s="286"/>
      <c r="DC289" s="286"/>
      <c r="DD289" s="286"/>
      <c r="DE289" s="286"/>
      <c r="DF289" s="286"/>
      <c r="DG289" s="286"/>
      <c r="DH289" s="286"/>
      <c r="DI289" s="286"/>
      <c r="DJ289" s="286"/>
      <c r="DK289" s="286"/>
      <c r="DL289" s="286"/>
      <c r="DM289" s="286"/>
      <c r="DN289" s="286"/>
      <c r="DO289" s="286"/>
      <c r="DP289" s="286"/>
      <c r="DQ289" s="286"/>
      <c r="DR289" s="286"/>
      <c r="DS289" s="286"/>
      <c r="DT289" s="286"/>
      <c r="DU289" s="286"/>
      <c r="DV289" s="286"/>
      <c r="DW289" s="286"/>
      <c r="DX289" s="286"/>
      <c r="DY289" s="286"/>
      <c r="DZ289" s="286"/>
      <c r="EA289" s="286"/>
      <c r="EB289" s="286"/>
      <c r="EC289" s="286"/>
      <c r="ED289" s="286"/>
      <c r="EE289" s="286"/>
      <c r="EF289" s="286"/>
      <c r="EG289" s="286"/>
      <c r="EH289" s="286"/>
      <c r="EI289" s="286"/>
      <c r="EJ289" s="286"/>
      <c r="EK289" s="286"/>
      <c r="EL289" s="286"/>
      <c r="EM289" s="286"/>
      <c r="EN289" s="286"/>
      <c r="EO289" s="286"/>
      <c r="EP289" s="286"/>
      <c r="EQ289" s="286"/>
      <c r="ER289" s="286"/>
      <c r="ES289" s="286"/>
      <c r="ET289" s="286"/>
      <c r="EU289" s="286"/>
      <c r="EV289" s="286"/>
      <c r="EW289" s="286"/>
      <c r="EX289" s="286"/>
      <c r="EY289" s="286"/>
      <c r="EZ289" s="286"/>
      <c r="FA289" s="286"/>
      <c r="FB289" s="286"/>
      <c r="FC289" s="286"/>
      <c r="FD289" s="286"/>
      <c r="FE289" s="286"/>
      <c r="FF289" s="286"/>
      <c r="FG289" s="286"/>
      <c r="FH289" s="286"/>
      <c r="FI289" s="286"/>
      <c r="FJ289" s="286"/>
      <c r="FK289" s="286"/>
      <c r="FL289" s="286"/>
      <c r="FM289" s="286"/>
      <c r="FN289" s="286"/>
      <c r="FO289" s="286"/>
      <c r="FP289" s="286"/>
      <c r="FQ289" s="286"/>
      <c r="FR289" s="286"/>
      <c r="FS289" s="286"/>
    </row>
    <row r="290" spans="1:175">
      <c r="A290" s="212" t="s">
        <v>3159</v>
      </c>
      <c r="B290" s="212" t="s">
        <v>3160</v>
      </c>
      <c r="C290" s="212" t="s">
        <v>3172</v>
      </c>
      <c r="D290" s="212" t="s">
        <v>3441</v>
      </c>
      <c r="E290" s="212" t="s">
        <v>3453</v>
      </c>
      <c r="F290" s="278">
        <v>1016</v>
      </c>
      <c r="G290" s="278">
        <v>31837</v>
      </c>
      <c r="H290" s="287">
        <f t="shared" si="4"/>
        <v>2.7860665263686903</v>
      </c>
      <c r="I290" s="286">
        <v>25</v>
      </c>
      <c r="J290" s="286">
        <v>887</v>
      </c>
      <c r="K290" s="286">
        <v>715</v>
      </c>
      <c r="L290" s="286">
        <v>172</v>
      </c>
      <c r="M290" s="286">
        <v>887</v>
      </c>
      <c r="N290" s="286">
        <v>715</v>
      </c>
      <c r="O290" s="286">
        <v>172</v>
      </c>
      <c r="P290" s="286">
        <v>1</v>
      </c>
      <c r="Q290" s="286">
        <v>4</v>
      </c>
      <c r="R290" s="286">
        <v>3</v>
      </c>
      <c r="S290" s="286">
        <v>1</v>
      </c>
      <c r="T290" s="286">
        <v>4</v>
      </c>
      <c r="U290" s="286">
        <v>3</v>
      </c>
      <c r="V290" s="286">
        <v>1</v>
      </c>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6"/>
      <c r="BI290" s="286"/>
      <c r="BJ290" s="286"/>
      <c r="BK290" s="286"/>
      <c r="BL290" s="286"/>
      <c r="BM290" s="286"/>
      <c r="BN290" s="286"/>
      <c r="BO290" s="286"/>
      <c r="BP290" s="286"/>
      <c r="BQ290" s="286"/>
      <c r="BR290" s="286"/>
      <c r="BS290" s="286"/>
      <c r="BT290" s="286"/>
      <c r="BU290" s="286"/>
      <c r="BV290" s="286"/>
      <c r="BW290" s="286"/>
      <c r="BX290" s="286"/>
      <c r="BY290" s="286"/>
      <c r="BZ290" s="286"/>
      <c r="CA290" s="286"/>
      <c r="CB290" s="286"/>
      <c r="CC290" s="286"/>
      <c r="CD290" s="286"/>
      <c r="CE290" s="286"/>
      <c r="CF290" s="286"/>
      <c r="CG290" s="286"/>
      <c r="CH290" s="286"/>
      <c r="CI290" s="286"/>
      <c r="CJ290" s="286"/>
      <c r="CK290" s="286"/>
      <c r="CL290" s="286"/>
      <c r="CM290" s="286"/>
      <c r="CN290" s="286"/>
      <c r="CO290" s="286"/>
      <c r="CP290" s="286"/>
      <c r="CQ290" s="286"/>
      <c r="CR290" s="286"/>
      <c r="CS290" s="286"/>
      <c r="CT290" s="286"/>
      <c r="CU290" s="286"/>
      <c r="CV290" s="286"/>
      <c r="CW290" s="286"/>
      <c r="CX290" s="286"/>
      <c r="CY290" s="286"/>
      <c r="CZ290" s="286"/>
      <c r="DA290" s="286"/>
      <c r="DB290" s="286"/>
      <c r="DC290" s="286"/>
      <c r="DD290" s="286"/>
      <c r="DE290" s="286"/>
      <c r="DF290" s="286"/>
      <c r="DG290" s="286"/>
      <c r="DH290" s="286"/>
      <c r="DI290" s="286"/>
      <c r="DJ290" s="286"/>
      <c r="DK290" s="286"/>
      <c r="DL290" s="286"/>
      <c r="DM290" s="286"/>
      <c r="DN290" s="286"/>
      <c r="DO290" s="286"/>
      <c r="DP290" s="286"/>
      <c r="DQ290" s="286"/>
      <c r="DR290" s="286"/>
      <c r="DS290" s="286"/>
      <c r="DT290" s="286"/>
      <c r="DU290" s="286"/>
      <c r="DV290" s="286"/>
      <c r="DW290" s="286"/>
      <c r="DX290" s="286"/>
      <c r="DY290" s="286"/>
      <c r="DZ290" s="286"/>
      <c r="EA290" s="286"/>
      <c r="EB290" s="286"/>
      <c r="EC290" s="286"/>
      <c r="ED290" s="286"/>
      <c r="EE290" s="286"/>
      <c r="EF290" s="286"/>
      <c r="EG290" s="286"/>
      <c r="EH290" s="286"/>
      <c r="EI290" s="286"/>
      <c r="EJ290" s="286"/>
      <c r="EK290" s="286"/>
      <c r="EL290" s="286"/>
      <c r="EM290" s="286"/>
      <c r="EN290" s="286"/>
      <c r="EO290" s="286"/>
      <c r="EP290" s="286"/>
      <c r="EQ290" s="286"/>
      <c r="ER290" s="286"/>
      <c r="ES290" s="286"/>
      <c r="ET290" s="286"/>
      <c r="EU290" s="286"/>
      <c r="EV290" s="286"/>
      <c r="EW290" s="286"/>
      <c r="EX290" s="286"/>
      <c r="EY290" s="286"/>
      <c r="EZ290" s="286"/>
      <c r="FA290" s="286"/>
      <c r="FB290" s="286"/>
      <c r="FC290" s="286"/>
      <c r="FD290" s="286"/>
      <c r="FE290" s="286"/>
      <c r="FF290" s="286"/>
      <c r="FG290" s="286"/>
      <c r="FH290" s="286"/>
      <c r="FI290" s="286"/>
      <c r="FJ290" s="286"/>
      <c r="FK290" s="286"/>
      <c r="FL290" s="286"/>
      <c r="FM290" s="286"/>
      <c r="FN290" s="286"/>
      <c r="FO290" s="286"/>
      <c r="FP290" s="286"/>
      <c r="FQ290" s="286"/>
      <c r="FR290" s="286"/>
      <c r="FS290" s="286"/>
    </row>
    <row r="291" spans="1:175">
      <c r="A291" s="212" t="s">
        <v>3159</v>
      </c>
      <c r="B291" s="212" t="s">
        <v>3160</v>
      </c>
      <c r="C291" s="212" t="s">
        <v>3172</v>
      </c>
      <c r="D291" s="212" t="s">
        <v>3441</v>
      </c>
      <c r="E291" s="212" t="s">
        <v>3454</v>
      </c>
      <c r="F291" s="278">
        <v>2096</v>
      </c>
      <c r="G291" s="278">
        <v>38247</v>
      </c>
      <c r="H291" s="287">
        <f t="shared" si="4"/>
        <v>5.2239391324809787</v>
      </c>
      <c r="I291" s="286">
        <v>85</v>
      </c>
      <c r="J291" s="286">
        <v>1998</v>
      </c>
      <c r="K291" s="286">
        <v>1785</v>
      </c>
      <c r="L291" s="286">
        <v>213</v>
      </c>
      <c r="M291" s="286">
        <v>1996</v>
      </c>
      <c r="N291" s="286">
        <v>1783</v>
      </c>
      <c r="O291" s="286">
        <v>213</v>
      </c>
      <c r="P291" s="286">
        <v>18</v>
      </c>
      <c r="Q291" s="286">
        <v>202</v>
      </c>
      <c r="R291" s="286">
        <v>188</v>
      </c>
      <c r="S291" s="286">
        <v>14</v>
      </c>
      <c r="T291" s="286">
        <v>200</v>
      </c>
      <c r="U291" s="286">
        <v>186</v>
      </c>
      <c r="V291" s="286">
        <v>14</v>
      </c>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BO291" s="286"/>
      <c r="BP291" s="286"/>
      <c r="BQ291" s="286"/>
      <c r="BR291" s="286"/>
      <c r="BS291" s="286"/>
      <c r="BT291" s="286"/>
      <c r="BU291" s="286"/>
      <c r="BV291" s="286"/>
      <c r="BW291" s="286"/>
      <c r="BX291" s="286"/>
      <c r="BY291" s="286"/>
      <c r="BZ291" s="286"/>
      <c r="CA291" s="286"/>
      <c r="CB291" s="286"/>
      <c r="CC291" s="286"/>
      <c r="CD291" s="286"/>
      <c r="CE291" s="286"/>
      <c r="CF291" s="286"/>
      <c r="CG291" s="286"/>
      <c r="CH291" s="286"/>
      <c r="CI291" s="286"/>
      <c r="CJ291" s="286"/>
      <c r="CK291" s="286"/>
      <c r="CL291" s="286"/>
      <c r="CM291" s="286"/>
      <c r="CN291" s="286"/>
      <c r="CO291" s="286"/>
      <c r="CP291" s="286"/>
      <c r="CQ291" s="286"/>
      <c r="CR291" s="286"/>
      <c r="CS291" s="286"/>
      <c r="CT291" s="286"/>
      <c r="CU291" s="286"/>
      <c r="CV291" s="286"/>
      <c r="CW291" s="286"/>
      <c r="CX291" s="286"/>
      <c r="CY291" s="286"/>
      <c r="CZ291" s="286"/>
      <c r="DA291" s="286"/>
      <c r="DB291" s="286"/>
      <c r="DC291" s="286"/>
      <c r="DD291" s="286"/>
      <c r="DE291" s="286"/>
      <c r="DF291" s="286"/>
      <c r="DG291" s="286"/>
      <c r="DH291" s="286"/>
      <c r="DI291" s="286"/>
      <c r="DJ291" s="286"/>
      <c r="DK291" s="286"/>
      <c r="DL291" s="286"/>
      <c r="DM291" s="286"/>
      <c r="DN291" s="286"/>
      <c r="DO291" s="286"/>
      <c r="DP291" s="286"/>
      <c r="DQ291" s="286"/>
      <c r="DR291" s="286"/>
      <c r="DS291" s="286"/>
      <c r="DT291" s="286"/>
      <c r="DU291" s="286"/>
      <c r="DV291" s="286"/>
      <c r="DW291" s="286"/>
      <c r="DX291" s="286"/>
      <c r="DY291" s="286"/>
      <c r="DZ291" s="286"/>
      <c r="EA291" s="286"/>
      <c r="EB291" s="286"/>
      <c r="EC291" s="286"/>
      <c r="ED291" s="286"/>
      <c r="EE291" s="286"/>
      <c r="EF291" s="286"/>
      <c r="EG291" s="286"/>
      <c r="EH291" s="286"/>
      <c r="EI291" s="286"/>
      <c r="EJ291" s="286"/>
      <c r="EK291" s="286"/>
      <c r="EL291" s="286"/>
      <c r="EM291" s="286"/>
      <c r="EN291" s="286"/>
      <c r="EO291" s="286"/>
      <c r="EP291" s="286"/>
      <c r="EQ291" s="286"/>
      <c r="ER291" s="286"/>
      <c r="ES291" s="286"/>
      <c r="ET291" s="286"/>
      <c r="EU291" s="286"/>
      <c r="EV291" s="286"/>
      <c r="EW291" s="286"/>
      <c r="EX291" s="286"/>
      <c r="EY291" s="286"/>
      <c r="EZ291" s="286"/>
      <c r="FA291" s="286"/>
      <c r="FB291" s="286"/>
      <c r="FC291" s="286"/>
      <c r="FD291" s="286"/>
      <c r="FE291" s="286"/>
      <c r="FF291" s="286"/>
      <c r="FG291" s="286"/>
      <c r="FH291" s="286"/>
      <c r="FI291" s="286"/>
      <c r="FJ291" s="286"/>
      <c r="FK291" s="286"/>
      <c r="FL291" s="286"/>
      <c r="FM291" s="286"/>
      <c r="FN291" s="286"/>
      <c r="FO291" s="286"/>
      <c r="FP291" s="286"/>
      <c r="FQ291" s="286"/>
      <c r="FR291" s="286"/>
      <c r="FS291" s="286"/>
    </row>
    <row r="292" spans="1:175">
      <c r="A292" s="212" t="s">
        <v>3159</v>
      </c>
      <c r="B292" s="212" t="s">
        <v>3160</v>
      </c>
      <c r="C292" s="212" t="s">
        <v>3172</v>
      </c>
      <c r="D292" s="212" t="s">
        <v>3441</v>
      </c>
      <c r="E292" s="212" t="s">
        <v>3455</v>
      </c>
      <c r="F292" s="278">
        <v>81</v>
      </c>
      <c r="G292" s="278">
        <v>1063</v>
      </c>
      <c r="H292" s="287">
        <f t="shared" si="4"/>
        <v>1.2229539040451554</v>
      </c>
      <c r="I292" s="286">
        <v>2</v>
      </c>
      <c r="J292" s="286">
        <v>13</v>
      </c>
      <c r="K292" s="286">
        <v>11</v>
      </c>
      <c r="L292" s="286">
        <v>2</v>
      </c>
      <c r="M292" s="286">
        <v>13</v>
      </c>
      <c r="N292" s="286">
        <v>11</v>
      </c>
      <c r="O292" s="286">
        <v>2</v>
      </c>
      <c r="P292" s="286">
        <v>0</v>
      </c>
      <c r="Q292" s="286">
        <v>0</v>
      </c>
      <c r="R292" s="286">
        <v>0</v>
      </c>
      <c r="S292" s="286">
        <v>0</v>
      </c>
      <c r="T292" s="286">
        <v>0</v>
      </c>
      <c r="U292" s="286">
        <v>0</v>
      </c>
      <c r="V292" s="286">
        <v>0</v>
      </c>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BO292" s="286"/>
      <c r="BP292" s="286"/>
      <c r="BQ292" s="286"/>
      <c r="BR292" s="286"/>
      <c r="BS292" s="286"/>
      <c r="BT292" s="286"/>
      <c r="BU292" s="286"/>
      <c r="BV292" s="286"/>
      <c r="BW292" s="286"/>
      <c r="BX292" s="286"/>
      <c r="BY292" s="286"/>
      <c r="BZ292" s="286"/>
      <c r="CA292" s="286"/>
      <c r="CB292" s="286"/>
      <c r="CC292" s="286"/>
      <c r="CD292" s="286"/>
      <c r="CE292" s="286"/>
      <c r="CF292" s="286"/>
      <c r="CG292" s="286"/>
      <c r="CH292" s="286"/>
      <c r="CI292" s="286"/>
      <c r="CJ292" s="286"/>
      <c r="CK292" s="286"/>
      <c r="CL292" s="286"/>
      <c r="CM292" s="286"/>
      <c r="CN292" s="286"/>
      <c r="CO292" s="286"/>
      <c r="CP292" s="286"/>
      <c r="CQ292" s="286"/>
      <c r="CR292" s="286"/>
      <c r="CS292" s="286"/>
      <c r="CT292" s="286"/>
      <c r="CU292" s="286"/>
      <c r="CV292" s="286"/>
      <c r="CW292" s="286"/>
      <c r="CX292" s="286"/>
      <c r="CY292" s="286"/>
      <c r="CZ292" s="286"/>
      <c r="DA292" s="286"/>
      <c r="DB292" s="286"/>
      <c r="DC292" s="286"/>
      <c r="DD292" s="286"/>
      <c r="DE292" s="286"/>
      <c r="DF292" s="286"/>
      <c r="DG292" s="286"/>
      <c r="DH292" s="286"/>
      <c r="DI292" s="286"/>
      <c r="DJ292" s="286"/>
      <c r="DK292" s="286"/>
      <c r="DL292" s="286"/>
      <c r="DM292" s="286"/>
      <c r="DN292" s="286"/>
      <c r="DO292" s="286"/>
      <c r="DP292" s="286"/>
      <c r="DQ292" s="286"/>
      <c r="DR292" s="286"/>
      <c r="DS292" s="286"/>
      <c r="DT292" s="286"/>
      <c r="DU292" s="286"/>
      <c r="DV292" s="286"/>
      <c r="DW292" s="286"/>
      <c r="DX292" s="286"/>
      <c r="DY292" s="286"/>
      <c r="DZ292" s="286"/>
      <c r="EA292" s="286"/>
      <c r="EB292" s="286"/>
      <c r="EC292" s="286"/>
      <c r="ED292" s="286"/>
      <c r="EE292" s="286"/>
      <c r="EF292" s="286"/>
      <c r="EG292" s="286"/>
      <c r="EH292" s="286"/>
      <c r="EI292" s="286"/>
      <c r="EJ292" s="286"/>
      <c r="EK292" s="286"/>
      <c r="EL292" s="286"/>
      <c r="EM292" s="286"/>
      <c r="EN292" s="286"/>
      <c r="EO292" s="286"/>
      <c r="EP292" s="286"/>
      <c r="EQ292" s="286"/>
      <c r="ER292" s="286"/>
      <c r="ES292" s="286"/>
      <c r="ET292" s="286"/>
      <c r="EU292" s="286"/>
      <c r="EV292" s="286"/>
      <c r="EW292" s="286"/>
      <c r="EX292" s="286"/>
      <c r="EY292" s="286"/>
      <c r="EZ292" s="286"/>
      <c r="FA292" s="286"/>
      <c r="FB292" s="286"/>
      <c r="FC292" s="286"/>
      <c r="FD292" s="286"/>
      <c r="FE292" s="286"/>
      <c r="FF292" s="286"/>
      <c r="FG292" s="286"/>
      <c r="FH292" s="286"/>
      <c r="FI292" s="286"/>
      <c r="FJ292" s="286"/>
      <c r="FK292" s="286"/>
      <c r="FL292" s="286"/>
      <c r="FM292" s="286"/>
      <c r="FN292" s="286"/>
      <c r="FO292" s="286"/>
      <c r="FP292" s="286"/>
      <c r="FQ292" s="286"/>
      <c r="FR292" s="286"/>
      <c r="FS292" s="286"/>
    </row>
    <row r="293" spans="1:175">
      <c r="A293" s="212" t="s">
        <v>3159</v>
      </c>
      <c r="B293" s="212" t="s">
        <v>3160</v>
      </c>
      <c r="C293" s="212" t="s">
        <v>3172</v>
      </c>
      <c r="D293" s="212" t="s">
        <v>3441</v>
      </c>
      <c r="E293" s="212" t="s">
        <v>3456</v>
      </c>
      <c r="F293" s="278">
        <v>2136</v>
      </c>
      <c r="G293" s="278">
        <v>34337</v>
      </c>
      <c r="H293" s="287">
        <f t="shared" si="4"/>
        <v>5.5828989137082443</v>
      </c>
      <c r="I293" s="286">
        <v>102</v>
      </c>
      <c r="J293" s="286">
        <v>1917</v>
      </c>
      <c r="K293" s="286">
        <v>1743</v>
      </c>
      <c r="L293" s="286">
        <v>174</v>
      </c>
      <c r="M293" s="286">
        <v>1885</v>
      </c>
      <c r="N293" s="286">
        <v>1718</v>
      </c>
      <c r="O293" s="286">
        <v>167</v>
      </c>
      <c r="P293" s="286">
        <v>75</v>
      </c>
      <c r="Q293" s="286">
        <v>1150</v>
      </c>
      <c r="R293" s="286">
        <v>1049</v>
      </c>
      <c r="S293" s="286">
        <v>101</v>
      </c>
      <c r="T293" s="286">
        <v>1119</v>
      </c>
      <c r="U293" s="286">
        <v>1024</v>
      </c>
      <c r="V293" s="286">
        <v>95</v>
      </c>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BO293" s="286"/>
      <c r="BP293" s="286"/>
      <c r="BQ293" s="286"/>
      <c r="BR293" s="286"/>
      <c r="BS293" s="286"/>
      <c r="BT293" s="286"/>
      <c r="BU293" s="286"/>
      <c r="BV293" s="286"/>
      <c r="BW293" s="286"/>
      <c r="BX293" s="286"/>
      <c r="BY293" s="286"/>
      <c r="BZ293" s="286"/>
      <c r="CA293" s="286"/>
      <c r="CB293" s="286"/>
      <c r="CC293" s="286"/>
      <c r="CD293" s="286"/>
      <c r="CE293" s="286"/>
      <c r="CF293" s="286"/>
      <c r="CG293" s="286"/>
      <c r="CH293" s="286"/>
      <c r="CI293" s="286"/>
      <c r="CJ293" s="286"/>
      <c r="CK293" s="286"/>
      <c r="CL293" s="286"/>
      <c r="CM293" s="286"/>
      <c r="CN293" s="286"/>
      <c r="CO293" s="286"/>
      <c r="CP293" s="286"/>
      <c r="CQ293" s="286"/>
      <c r="CR293" s="286"/>
      <c r="CS293" s="286"/>
      <c r="CT293" s="286"/>
      <c r="CU293" s="286"/>
      <c r="CV293" s="286"/>
      <c r="CW293" s="286"/>
      <c r="CX293" s="286"/>
      <c r="CY293" s="286"/>
      <c r="CZ293" s="286"/>
      <c r="DA293" s="286"/>
      <c r="DB293" s="286"/>
      <c r="DC293" s="286"/>
      <c r="DD293" s="286"/>
      <c r="DE293" s="286"/>
      <c r="DF293" s="286"/>
      <c r="DG293" s="286"/>
      <c r="DH293" s="286"/>
      <c r="DI293" s="286"/>
      <c r="DJ293" s="286"/>
      <c r="DK293" s="286"/>
      <c r="DL293" s="286"/>
      <c r="DM293" s="286"/>
      <c r="DN293" s="286"/>
      <c r="DO293" s="286"/>
      <c r="DP293" s="286"/>
      <c r="DQ293" s="286"/>
      <c r="DR293" s="286"/>
      <c r="DS293" s="286"/>
      <c r="DT293" s="286"/>
      <c r="DU293" s="286"/>
      <c r="DV293" s="286"/>
      <c r="DW293" s="286"/>
      <c r="DX293" s="286"/>
      <c r="DY293" s="286"/>
      <c r="DZ293" s="286"/>
      <c r="EA293" s="286"/>
      <c r="EB293" s="286"/>
      <c r="EC293" s="286"/>
      <c r="ED293" s="286"/>
      <c r="EE293" s="286"/>
      <c r="EF293" s="286"/>
      <c r="EG293" s="286"/>
      <c r="EH293" s="286"/>
      <c r="EI293" s="286"/>
      <c r="EJ293" s="286"/>
      <c r="EK293" s="286"/>
      <c r="EL293" s="286"/>
      <c r="EM293" s="286"/>
      <c r="EN293" s="286"/>
      <c r="EO293" s="286"/>
      <c r="EP293" s="286"/>
      <c r="EQ293" s="286"/>
      <c r="ER293" s="286"/>
      <c r="ES293" s="286"/>
      <c r="ET293" s="286"/>
      <c r="EU293" s="286"/>
      <c r="EV293" s="286"/>
      <c r="EW293" s="286"/>
      <c r="EX293" s="286"/>
      <c r="EY293" s="286"/>
      <c r="EZ293" s="286"/>
      <c r="FA293" s="286"/>
      <c r="FB293" s="286"/>
      <c r="FC293" s="286"/>
      <c r="FD293" s="286"/>
      <c r="FE293" s="286"/>
      <c r="FF293" s="286"/>
      <c r="FG293" s="286"/>
      <c r="FH293" s="286"/>
      <c r="FI293" s="286"/>
      <c r="FJ293" s="286"/>
      <c r="FK293" s="286"/>
      <c r="FL293" s="286"/>
      <c r="FM293" s="286"/>
      <c r="FN293" s="286"/>
      <c r="FO293" s="286"/>
      <c r="FP293" s="286"/>
      <c r="FQ293" s="286"/>
      <c r="FR293" s="286"/>
      <c r="FS293" s="286"/>
    </row>
    <row r="294" spans="1:175">
      <c r="A294" s="212" t="s">
        <v>3159</v>
      </c>
      <c r="B294" s="212" t="s">
        <v>3160</v>
      </c>
      <c r="C294" s="212" t="s">
        <v>3168</v>
      </c>
      <c r="D294" s="212" t="s">
        <v>3457</v>
      </c>
      <c r="E294" s="212" t="s">
        <v>3458</v>
      </c>
      <c r="F294" s="278">
        <v>76604</v>
      </c>
      <c r="G294" s="278">
        <v>1987138</v>
      </c>
      <c r="H294" s="287">
        <f t="shared" si="4"/>
        <v>1.3515920887225747</v>
      </c>
      <c r="I294" s="286">
        <v>1805</v>
      </c>
      <c r="J294" s="286">
        <v>26858</v>
      </c>
      <c r="K294" s="286">
        <v>19590</v>
      </c>
      <c r="L294" s="286">
        <v>7242</v>
      </c>
      <c r="M294" s="286">
        <v>24689</v>
      </c>
      <c r="N294" s="286">
        <v>17964</v>
      </c>
      <c r="O294" s="286">
        <v>6699</v>
      </c>
      <c r="P294" s="286">
        <v>1800</v>
      </c>
      <c r="Q294" s="286">
        <v>26824</v>
      </c>
      <c r="R294" s="286">
        <v>19570</v>
      </c>
      <c r="S294" s="286">
        <v>7228</v>
      </c>
      <c r="T294" s="286">
        <v>24655</v>
      </c>
      <c r="U294" s="286">
        <v>17944</v>
      </c>
      <c r="V294" s="286">
        <v>6685</v>
      </c>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c r="BR294" s="286"/>
      <c r="BS294" s="286"/>
      <c r="BT294" s="286"/>
      <c r="BU294" s="286"/>
      <c r="BV294" s="286"/>
      <c r="BW294" s="286"/>
      <c r="BX294" s="286"/>
      <c r="BY294" s="286"/>
      <c r="BZ294" s="286"/>
      <c r="CA294" s="286"/>
      <c r="CB294" s="286"/>
      <c r="CC294" s="286"/>
      <c r="CD294" s="286"/>
      <c r="CE294" s="286"/>
      <c r="CF294" s="286"/>
      <c r="CG294" s="286"/>
      <c r="CH294" s="286"/>
      <c r="CI294" s="286"/>
      <c r="CJ294" s="286"/>
      <c r="CK294" s="286"/>
      <c r="CL294" s="286"/>
      <c r="CM294" s="286"/>
      <c r="CN294" s="286"/>
      <c r="CO294" s="286"/>
      <c r="CP294" s="286"/>
      <c r="CQ294" s="286"/>
      <c r="CR294" s="286"/>
      <c r="CS294" s="286"/>
      <c r="CT294" s="286"/>
      <c r="CU294" s="286"/>
      <c r="CV294" s="286"/>
      <c r="CW294" s="286"/>
      <c r="CX294" s="286"/>
      <c r="CY294" s="286"/>
      <c r="CZ294" s="286"/>
      <c r="DA294" s="286"/>
      <c r="DB294" s="286"/>
      <c r="DC294" s="286"/>
      <c r="DD294" s="286"/>
      <c r="DE294" s="286"/>
      <c r="DF294" s="286"/>
      <c r="DG294" s="286"/>
      <c r="DH294" s="286"/>
      <c r="DI294" s="286"/>
      <c r="DJ294" s="286"/>
      <c r="DK294" s="286"/>
      <c r="DL294" s="286"/>
      <c r="DM294" s="286"/>
      <c r="DN294" s="286"/>
      <c r="DO294" s="286"/>
      <c r="DP294" s="286"/>
      <c r="DQ294" s="286"/>
      <c r="DR294" s="286"/>
      <c r="DS294" s="286"/>
      <c r="DT294" s="286"/>
      <c r="DU294" s="286"/>
      <c r="DV294" s="286"/>
      <c r="DW294" s="286"/>
      <c r="DX294" s="286"/>
      <c r="DY294" s="286"/>
      <c r="DZ294" s="286"/>
      <c r="EA294" s="286"/>
      <c r="EB294" s="286"/>
      <c r="EC294" s="286"/>
      <c r="ED294" s="286"/>
      <c r="EE294" s="286"/>
      <c r="EF294" s="286"/>
      <c r="EG294" s="286"/>
      <c r="EH294" s="286"/>
      <c r="EI294" s="286"/>
      <c r="EJ294" s="286"/>
      <c r="EK294" s="286"/>
      <c r="EL294" s="286"/>
      <c r="EM294" s="286"/>
      <c r="EN294" s="286"/>
      <c r="EO294" s="286"/>
      <c r="EP294" s="286"/>
      <c r="EQ294" s="286"/>
      <c r="ER294" s="286"/>
      <c r="ES294" s="286"/>
      <c r="ET294" s="286"/>
      <c r="EU294" s="286"/>
      <c r="EV294" s="286"/>
      <c r="EW294" s="286"/>
      <c r="EX294" s="286"/>
      <c r="EY294" s="286"/>
      <c r="EZ294" s="286"/>
      <c r="FA294" s="286"/>
      <c r="FB294" s="286"/>
      <c r="FC294" s="286"/>
      <c r="FD294" s="286"/>
      <c r="FE294" s="286"/>
      <c r="FF294" s="286"/>
      <c r="FG294" s="286"/>
      <c r="FH294" s="286"/>
      <c r="FI294" s="286"/>
      <c r="FJ294" s="286"/>
      <c r="FK294" s="286"/>
      <c r="FL294" s="286"/>
      <c r="FM294" s="286"/>
      <c r="FN294" s="286"/>
      <c r="FO294" s="286"/>
      <c r="FP294" s="286"/>
      <c r="FQ294" s="286"/>
      <c r="FR294" s="286"/>
      <c r="FS294" s="286"/>
    </row>
    <row r="295" spans="1:175">
      <c r="A295" s="212" t="s">
        <v>3159</v>
      </c>
      <c r="B295" s="212" t="s">
        <v>3160</v>
      </c>
      <c r="C295" s="212" t="s">
        <v>3459</v>
      </c>
      <c r="D295" s="212" t="s">
        <v>3460</v>
      </c>
      <c r="E295" s="212" t="s">
        <v>3461</v>
      </c>
      <c r="F295" s="278">
        <v>24328</v>
      </c>
      <c r="G295" s="278">
        <v>464719</v>
      </c>
      <c r="H295" s="287">
        <f t="shared" si="4"/>
        <v>1.1923334316006018</v>
      </c>
      <c r="I295" s="286">
        <v>476</v>
      </c>
      <c r="J295" s="286">
        <v>5541</v>
      </c>
      <c r="K295" s="286">
        <v>3564</v>
      </c>
      <c r="L295" s="286">
        <v>1976</v>
      </c>
      <c r="M295" s="286">
        <v>5087</v>
      </c>
      <c r="N295" s="286">
        <v>3230</v>
      </c>
      <c r="O295" s="286">
        <v>1856</v>
      </c>
      <c r="P295" s="286">
        <v>471</v>
      </c>
      <c r="Q295" s="286">
        <v>5507</v>
      </c>
      <c r="R295" s="286">
        <v>3544</v>
      </c>
      <c r="S295" s="286">
        <v>1962</v>
      </c>
      <c r="T295" s="286">
        <v>5053</v>
      </c>
      <c r="U295" s="286">
        <v>3210</v>
      </c>
      <c r="V295" s="286">
        <v>1842</v>
      </c>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c r="BR295" s="286"/>
      <c r="BS295" s="286"/>
      <c r="BT295" s="286"/>
      <c r="BU295" s="286"/>
      <c r="BV295" s="286"/>
      <c r="BW295" s="286"/>
      <c r="BX295" s="286"/>
      <c r="BY295" s="286"/>
      <c r="BZ295" s="286"/>
      <c r="CA295" s="286"/>
      <c r="CB295" s="286"/>
      <c r="CC295" s="286"/>
      <c r="CD295" s="286"/>
      <c r="CE295" s="286"/>
      <c r="CF295" s="286"/>
      <c r="CG295" s="286"/>
      <c r="CH295" s="286"/>
      <c r="CI295" s="286"/>
      <c r="CJ295" s="286"/>
      <c r="CK295" s="286"/>
      <c r="CL295" s="286"/>
      <c r="CM295" s="286"/>
      <c r="CN295" s="286"/>
      <c r="CO295" s="286"/>
      <c r="CP295" s="286"/>
      <c r="CQ295" s="286"/>
      <c r="CR295" s="286"/>
      <c r="CS295" s="286"/>
      <c r="CT295" s="286"/>
      <c r="CU295" s="286"/>
      <c r="CV295" s="286"/>
      <c r="CW295" s="286"/>
      <c r="CX295" s="286"/>
      <c r="CY295" s="286"/>
      <c r="CZ295" s="286"/>
      <c r="DA295" s="286"/>
      <c r="DB295" s="286"/>
      <c r="DC295" s="286"/>
      <c r="DD295" s="286"/>
      <c r="DE295" s="286"/>
      <c r="DF295" s="286"/>
      <c r="DG295" s="286"/>
      <c r="DH295" s="286"/>
      <c r="DI295" s="286"/>
      <c r="DJ295" s="286"/>
      <c r="DK295" s="286"/>
      <c r="DL295" s="286"/>
      <c r="DM295" s="286"/>
      <c r="DN295" s="286"/>
      <c r="DO295" s="286"/>
      <c r="DP295" s="286"/>
      <c r="DQ295" s="286"/>
      <c r="DR295" s="286"/>
      <c r="DS295" s="286"/>
      <c r="DT295" s="286"/>
      <c r="DU295" s="286"/>
      <c r="DV295" s="286"/>
      <c r="DW295" s="286"/>
      <c r="DX295" s="286"/>
      <c r="DY295" s="286"/>
      <c r="DZ295" s="286"/>
      <c r="EA295" s="286"/>
      <c r="EB295" s="286"/>
      <c r="EC295" s="286"/>
      <c r="ED295" s="286"/>
      <c r="EE295" s="286"/>
      <c r="EF295" s="286"/>
      <c r="EG295" s="286"/>
      <c r="EH295" s="286"/>
      <c r="EI295" s="286"/>
      <c r="EJ295" s="286"/>
      <c r="EK295" s="286"/>
      <c r="EL295" s="286"/>
      <c r="EM295" s="286"/>
      <c r="EN295" s="286"/>
      <c r="EO295" s="286"/>
      <c r="EP295" s="286"/>
      <c r="EQ295" s="286"/>
      <c r="ER295" s="286"/>
      <c r="ES295" s="286"/>
      <c r="ET295" s="286"/>
      <c r="EU295" s="286"/>
      <c r="EV295" s="286"/>
      <c r="EW295" s="286"/>
      <c r="EX295" s="286"/>
      <c r="EY295" s="286"/>
      <c r="EZ295" s="286"/>
      <c r="FA295" s="286"/>
      <c r="FB295" s="286"/>
      <c r="FC295" s="286"/>
      <c r="FD295" s="286"/>
      <c r="FE295" s="286"/>
      <c r="FF295" s="286"/>
      <c r="FG295" s="286"/>
      <c r="FH295" s="286"/>
      <c r="FI295" s="286"/>
      <c r="FJ295" s="286"/>
      <c r="FK295" s="286"/>
      <c r="FL295" s="286"/>
      <c r="FM295" s="286"/>
      <c r="FN295" s="286"/>
      <c r="FO295" s="286"/>
      <c r="FP295" s="286"/>
      <c r="FQ295" s="286"/>
      <c r="FR295" s="286"/>
      <c r="FS295" s="286"/>
    </row>
    <row r="296" spans="1:175">
      <c r="A296" s="212" t="s">
        <v>3159</v>
      </c>
      <c r="B296" s="212" t="s">
        <v>3160</v>
      </c>
      <c r="C296" s="212" t="s">
        <v>3170</v>
      </c>
      <c r="D296" s="212" t="s">
        <v>3460</v>
      </c>
      <c r="E296" s="212" t="s">
        <v>3462</v>
      </c>
      <c r="F296" s="278">
        <v>2540</v>
      </c>
      <c r="G296" s="278">
        <v>155077</v>
      </c>
      <c r="H296" s="287">
        <f t="shared" si="4"/>
        <v>1.3154755379585625</v>
      </c>
      <c r="I296" s="286">
        <v>61</v>
      </c>
      <c r="J296" s="286">
        <v>2040</v>
      </c>
      <c r="K296" s="286">
        <v>1258</v>
      </c>
      <c r="L296" s="286">
        <v>782</v>
      </c>
      <c r="M296" s="286">
        <v>1994</v>
      </c>
      <c r="N296" s="286">
        <v>1222</v>
      </c>
      <c r="O296" s="286">
        <v>772</v>
      </c>
      <c r="P296" s="286">
        <v>61</v>
      </c>
      <c r="Q296" s="286">
        <v>2040</v>
      </c>
      <c r="R296" s="286">
        <v>1258</v>
      </c>
      <c r="S296" s="286">
        <v>782</v>
      </c>
      <c r="T296" s="286">
        <v>1994</v>
      </c>
      <c r="U296" s="286">
        <v>1222</v>
      </c>
      <c r="V296" s="286">
        <v>772</v>
      </c>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c r="BR296" s="286"/>
      <c r="BS296" s="286"/>
      <c r="BT296" s="286"/>
      <c r="BU296" s="286"/>
      <c r="BV296" s="286"/>
      <c r="BW296" s="286"/>
      <c r="BX296" s="286"/>
      <c r="BY296" s="286"/>
      <c r="BZ296" s="286"/>
      <c r="CA296" s="286"/>
      <c r="CB296" s="286"/>
      <c r="CC296" s="286"/>
      <c r="CD296" s="286"/>
      <c r="CE296" s="286"/>
      <c r="CF296" s="286"/>
      <c r="CG296" s="286"/>
      <c r="CH296" s="286"/>
      <c r="CI296" s="286"/>
      <c r="CJ296" s="286"/>
      <c r="CK296" s="286"/>
      <c r="CL296" s="286"/>
      <c r="CM296" s="286"/>
      <c r="CN296" s="286"/>
      <c r="CO296" s="286"/>
      <c r="CP296" s="286"/>
      <c r="CQ296" s="286"/>
      <c r="CR296" s="286"/>
      <c r="CS296" s="286"/>
      <c r="CT296" s="286"/>
      <c r="CU296" s="286"/>
      <c r="CV296" s="286"/>
      <c r="CW296" s="286"/>
      <c r="CX296" s="286"/>
      <c r="CY296" s="286"/>
      <c r="CZ296" s="286"/>
      <c r="DA296" s="286"/>
      <c r="DB296" s="286"/>
      <c r="DC296" s="286"/>
      <c r="DD296" s="286"/>
      <c r="DE296" s="286"/>
      <c r="DF296" s="286"/>
      <c r="DG296" s="286"/>
      <c r="DH296" s="286"/>
      <c r="DI296" s="286"/>
      <c r="DJ296" s="286"/>
      <c r="DK296" s="286"/>
      <c r="DL296" s="286"/>
      <c r="DM296" s="286"/>
      <c r="DN296" s="286"/>
      <c r="DO296" s="286"/>
      <c r="DP296" s="286"/>
      <c r="DQ296" s="286"/>
      <c r="DR296" s="286"/>
      <c r="DS296" s="286"/>
      <c r="DT296" s="286"/>
      <c r="DU296" s="286"/>
      <c r="DV296" s="286"/>
      <c r="DW296" s="286"/>
      <c r="DX296" s="286"/>
      <c r="DY296" s="286"/>
      <c r="DZ296" s="286"/>
      <c r="EA296" s="286"/>
      <c r="EB296" s="286"/>
      <c r="EC296" s="286"/>
      <c r="ED296" s="286"/>
      <c r="EE296" s="286"/>
      <c r="EF296" s="286"/>
      <c r="EG296" s="286"/>
      <c r="EH296" s="286"/>
      <c r="EI296" s="286"/>
      <c r="EJ296" s="286"/>
      <c r="EK296" s="286"/>
      <c r="EL296" s="286"/>
      <c r="EM296" s="286"/>
      <c r="EN296" s="286"/>
      <c r="EO296" s="286"/>
      <c r="EP296" s="286"/>
      <c r="EQ296" s="286"/>
      <c r="ER296" s="286"/>
      <c r="ES296" s="286"/>
      <c r="ET296" s="286"/>
      <c r="EU296" s="286"/>
      <c r="EV296" s="286"/>
      <c r="EW296" s="286"/>
      <c r="EX296" s="286"/>
      <c r="EY296" s="286"/>
      <c r="EZ296" s="286"/>
      <c r="FA296" s="286"/>
      <c r="FB296" s="286"/>
      <c r="FC296" s="286"/>
      <c r="FD296" s="286"/>
      <c r="FE296" s="286"/>
      <c r="FF296" s="286"/>
      <c r="FG296" s="286"/>
      <c r="FH296" s="286"/>
      <c r="FI296" s="286"/>
      <c r="FJ296" s="286"/>
      <c r="FK296" s="286"/>
      <c r="FL296" s="286"/>
      <c r="FM296" s="286"/>
      <c r="FN296" s="286"/>
      <c r="FO296" s="286"/>
      <c r="FP296" s="286"/>
      <c r="FQ296" s="286"/>
      <c r="FR296" s="286"/>
      <c r="FS296" s="286"/>
    </row>
    <row r="297" spans="1:175">
      <c r="A297" s="212" t="s">
        <v>3159</v>
      </c>
      <c r="B297" s="212" t="s">
        <v>3160</v>
      </c>
      <c r="C297" s="212" t="s">
        <v>3172</v>
      </c>
      <c r="D297" s="212" t="s">
        <v>3460</v>
      </c>
      <c r="E297" s="212" t="s">
        <v>3463</v>
      </c>
      <c r="F297" s="278">
        <v>10</v>
      </c>
      <c r="G297" s="278">
        <v>2271</v>
      </c>
      <c r="H297" s="287">
        <f t="shared" si="4"/>
        <v>0</v>
      </c>
      <c r="I297" s="286">
        <v>0</v>
      </c>
      <c r="J297" s="286">
        <v>0</v>
      </c>
      <c r="K297" s="286">
        <v>0</v>
      </c>
      <c r="L297" s="286">
        <v>0</v>
      </c>
      <c r="M297" s="286">
        <v>0</v>
      </c>
      <c r="N297" s="286">
        <v>0</v>
      </c>
      <c r="O297" s="286">
        <v>0</v>
      </c>
      <c r="P297" s="286">
        <v>0</v>
      </c>
      <c r="Q297" s="286">
        <v>0</v>
      </c>
      <c r="R297" s="286">
        <v>0</v>
      </c>
      <c r="S297" s="286">
        <v>0</v>
      </c>
      <c r="T297" s="286">
        <v>0</v>
      </c>
      <c r="U297" s="286">
        <v>0</v>
      </c>
      <c r="V297" s="286">
        <v>0</v>
      </c>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6"/>
      <c r="BD297" s="286"/>
      <c r="BE297" s="286"/>
      <c r="BF297" s="286"/>
      <c r="BG297" s="286"/>
      <c r="BH297" s="286"/>
      <c r="BI297" s="286"/>
      <c r="BJ297" s="286"/>
      <c r="BK297" s="286"/>
      <c r="BL297" s="286"/>
      <c r="BM297" s="286"/>
      <c r="BN297" s="286"/>
      <c r="BO297" s="286"/>
      <c r="BP297" s="286"/>
      <c r="BQ297" s="286"/>
      <c r="BR297" s="286"/>
      <c r="BS297" s="286"/>
      <c r="BT297" s="286"/>
      <c r="BU297" s="286"/>
      <c r="BV297" s="286"/>
      <c r="BW297" s="286"/>
      <c r="BX297" s="286"/>
      <c r="BY297" s="286"/>
      <c r="BZ297" s="286"/>
      <c r="CA297" s="286"/>
      <c r="CB297" s="286"/>
      <c r="CC297" s="286"/>
      <c r="CD297" s="286"/>
      <c r="CE297" s="286"/>
      <c r="CF297" s="286"/>
      <c r="CG297" s="286"/>
      <c r="CH297" s="286"/>
      <c r="CI297" s="286"/>
      <c r="CJ297" s="286"/>
      <c r="CK297" s="286"/>
      <c r="CL297" s="286"/>
      <c r="CM297" s="286"/>
      <c r="CN297" s="286"/>
      <c r="CO297" s="286"/>
      <c r="CP297" s="286"/>
      <c r="CQ297" s="286"/>
      <c r="CR297" s="286"/>
      <c r="CS297" s="286"/>
      <c r="CT297" s="286"/>
      <c r="CU297" s="286"/>
      <c r="CV297" s="286"/>
      <c r="CW297" s="286"/>
      <c r="CX297" s="286"/>
      <c r="CY297" s="286"/>
      <c r="CZ297" s="286"/>
      <c r="DA297" s="286"/>
      <c r="DB297" s="286"/>
      <c r="DC297" s="286"/>
      <c r="DD297" s="286"/>
      <c r="DE297" s="286"/>
      <c r="DF297" s="286"/>
      <c r="DG297" s="286"/>
      <c r="DH297" s="286"/>
      <c r="DI297" s="286"/>
      <c r="DJ297" s="286"/>
      <c r="DK297" s="286"/>
      <c r="DL297" s="286"/>
      <c r="DM297" s="286"/>
      <c r="DN297" s="286"/>
      <c r="DO297" s="286"/>
      <c r="DP297" s="286"/>
      <c r="DQ297" s="286"/>
      <c r="DR297" s="286"/>
      <c r="DS297" s="286"/>
      <c r="DT297" s="286"/>
      <c r="DU297" s="286"/>
      <c r="DV297" s="286"/>
      <c r="DW297" s="286"/>
      <c r="DX297" s="286"/>
      <c r="DY297" s="286"/>
      <c r="DZ297" s="286"/>
      <c r="EA297" s="286"/>
      <c r="EB297" s="286"/>
      <c r="EC297" s="286"/>
      <c r="ED297" s="286"/>
      <c r="EE297" s="286"/>
      <c r="EF297" s="286"/>
      <c r="EG297" s="286"/>
      <c r="EH297" s="286"/>
      <c r="EI297" s="286"/>
      <c r="EJ297" s="286"/>
      <c r="EK297" s="286"/>
      <c r="EL297" s="286"/>
      <c r="EM297" s="286"/>
      <c r="EN297" s="286"/>
      <c r="EO297" s="286"/>
      <c r="EP297" s="286"/>
      <c r="EQ297" s="286"/>
      <c r="ER297" s="286"/>
      <c r="ES297" s="286"/>
      <c r="ET297" s="286"/>
      <c r="EU297" s="286"/>
      <c r="EV297" s="286"/>
      <c r="EW297" s="286"/>
      <c r="EX297" s="286"/>
      <c r="EY297" s="286"/>
      <c r="EZ297" s="286"/>
      <c r="FA297" s="286"/>
      <c r="FB297" s="286"/>
      <c r="FC297" s="286"/>
      <c r="FD297" s="286"/>
      <c r="FE297" s="286"/>
      <c r="FF297" s="286"/>
      <c r="FG297" s="286"/>
      <c r="FH297" s="286"/>
      <c r="FI297" s="286"/>
      <c r="FJ297" s="286"/>
      <c r="FK297" s="286"/>
      <c r="FL297" s="286"/>
      <c r="FM297" s="286"/>
      <c r="FN297" s="286"/>
      <c r="FO297" s="286"/>
      <c r="FP297" s="286"/>
      <c r="FQ297" s="286"/>
      <c r="FR297" s="286"/>
      <c r="FS297" s="286"/>
    </row>
    <row r="298" spans="1:175">
      <c r="A298" s="212" t="s">
        <v>3159</v>
      </c>
      <c r="B298" s="212" t="s">
        <v>3160</v>
      </c>
      <c r="C298" s="212" t="s">
        <v>3172</v>
      </c>
      <c r="D298" s="212" t="s">
        <v>3460</v>
      </c>
      <c r="E298" s="212" t="s">
        <v>3464</v>
      </c>
      <c r="F298" s="278">
        <v>1117</v>
      </c>
      <c r="G298" s="278">
        <v>58335</v>
      </c>
      <c r="H298" s="287">
        <f t="shared" si="4"/>
        <v>0.79883431901945656</v>
      </c>
      <c r="I298" s="286">
        <v>24</v>
      </c>
      <c r="J298" s="286">
        <v>466</v>
      </c>
      <c r="K298" s="286">
        <v>393</v>
      </c>
      <c r="L298" s="286">
        <v>73</v>
      </c>
      <c r="M298" s="286">
        <v>440</v>
      </c>
      <c r="N298" s="286">
        <v>373</v>
      </c>
      <c r="O298" s="286">
        <v>67</v>
      </c>
      <c r="P298" s="286">
        <v>24</v>
      </c>
      <c r="Q298" s="286">
        <v>466</v>
      </c>
      <c r="R298" s="286">
        <v>393</v>
      </c>
      <c r="S298" s="286">
        <v>73</v>
      </c>
      <c r="T298" s="286">
        <v>440</v>
      </c>
      <c r="U298" s="286">
        <v>373</v>
      </c>
      <c r="V298" s="286">
        <v>67</v>
      </c>
      <c r="W298" s="286"/>
      <c r="X298" s="286"/>
      <c r="Y298" s="286"/>
      <c r="Z298" s="286"/>
      <c r="AA298" s="286"/>
      <c r="AB298" s="286"/>
      <c r="AC298" s="286"/>
      <c r="AD298" s="286"/>
      <c r="AE298" s="286"/>
      <c r="AF298" s="286"/>
      <c r="AG298" s="286"/>
      <c r="AH298" s="286"/>
      <c r="AI298" s="286"/>
      <c r="AJ298" s="286"/>
      <c r="AK298" s="286"/>
      <c r="AL298" s="286"/>
      <c r="AM298" s="286"/>
      <c r="AN298" s="286"/>
      <c r="AO298" s="286"/>
      <c r="AP298" s="286"/>
      <c r="AQ298" s="286"/>
      <c r="AR298" s="286"/>
      <c r="AS298" s="286"/>
      <c r="AT298" s="286"/>
      <c r="AU298" s="286"/>
      <c r="AV298" s="286"/>
      <c r="AW298" s="286"/>
      <c r="AX298" s="286"/>
      <c r="AY298" s="286"/>
      <c r="AZ298" s="286"/>
      <c r="BA298" s="286"/>
      <c r="BB298" s="286"/>
      <c r="BC298" s="286"/>
      <c r="BD298" s="286"/>
      <c r="BE298" s="286"/>
      <c r="BF298" s="286"/>
      <c r="BG298" s="286"/>
      <c r="BH298" s="286"/>
      <c r="BI298" s="286"/>
      <c r="BJ298" s="286"/>
      <c r="BK298" s="286"/>
      <c r="BL298" s="286"/>
      <c r="BM298" s="286"/>
      <c r="BN298" s="286"/>
      <c r="BO298" s="286"/>
      <c r="BP298" s="286"/>
      <c r="BQ298" s="286"/>
      <c r="BR298" s="286"/>
      <c r="BS298" s="286"/>
      <c r="BT298" s="286"/>
      <c r="BU298" s="286"/>
      <c r="BV298" s="286"/>
      <c r="BW298" s="286"/>
      <c r="BX298" s="286"/>
      <c r="BY298" s="286"/>
      <c r="BZ298" s="286"/>
      <c r="CA298" s="286"/>
      <c r="CB298" s="286"/>
      <c r="CC298" s="286"/>
      <c r="CD298" s="286"/>
      <c r="CE298" s="286"/>
      <c r="CF298" s="286"/>
      <c r="CG298" s="286"/>
      <c r="CH298" s="286"/>
      <c r="CI298" s="286"/>
      <c r="CJ298" s="286"/>
      <c r="CK298" s="286"/>
      <c r="CL298" s="286"/>
      <c r="CM298" s="286"/>
      <c r="CN298" s="286"/>
      <c r="CO298" s="286"/>
      <c r="CP298" s="286"/>
      <c r="CQ298" s="286"/>
      <c r="CR298" s="286"/>
      <c r="CS298" s="286"/>
      <c r="CT298" s="286"/>
      <c r="CU298" s="286"/>
      <c r="CV298" s="286"/>
      <c r="CW298" s="286"/>
      <c r="CX298" s="286"/>
      <c r="CY298" s="286"/>
      <c r="CZ298" s="286"/>
      <c r="DA298" s="286"/>
      <c r="DB298" s="286"/>
      <c r="DC298" s="286"/>
      <c r="DD298" s="286"/>
      <c r="DE298" s="286"/>
      <c r="DF298" s="286"/>
      <c r="DG298" s="286"/>
      <c r="DH298" s="286"/>
      <c r="DI298" s="286"/>
      <c r="DJ298" s="286"/>
      <c r="DK298" s="286"/>
      <c r="DL298" s="286"/>
      <c r="DM298" s="286"/>
      <c r="DN298" s="286"/>
      <c r="DO298" s="286"/>
      <c r="DP298" s="286"/>
      <c r="DQ298" s="286"/>
      <c r="DR298" s="286"/>
      <c r="DS298" s="286"/>
      <c r="DT298" s="286"/>
      <c r="DU298" s="286"/>
      <c r="DV298" s="286"/>
      <c r="DW298" s="286"/>
      <c r="DX298" s="286"/>
      <c r="DY298" s="286"/>
      <c r="DZ298" s="286"/>
      <c r="EA298" s="286"/>
      <c r="EB298" s="286"/>
      <c r="EC298" s="286"/>
      <c r="ED298" s="286"/>
      <c r="EE298" s="286"/>
      <c r="EF298" s="286"/>
      <c r="EG298" s="286"/>
      <c r="EH298" s="286"/>
      <c r="EI298" s="286"/>
      <c r="EJ298" s="286"/>
      <c r="EK298" s="286"/>
      <c r="EL298" s="286"/>
      <c r="EM298" s="286"/>
      <c r="EN298" s="286"/>
      <c r="EO298" s="286"/>
      <c r="EP298" s="286"/>
      <c r="EQ298" s="286"/>
      <c r="ER298" s="286"/>
      <c r="ES298" s="286"/>
      <c r="ET298" s="286"/>
      <c r="EU298" s="286"/>
      <c r="EV298" s="286"/>
      <c r="EW298" s="286"/>
      <c r="EX298" s="286"/>
      <c r="EY298" s="286"/>
      <c r="EZ298" s="286"/>
      <c r="FA298" s="286"/>
      <c r="FB298" s="286"/>
      <c r="FC298" s="286"/>
      <c r="FD298" s="286"/>
      <c r="FE298" s="286"/>
      <c r="FF298" s="286"/>
      <c r="FG298" s="286"/>
      <c r="FH298" s="286"/>
      <c r="FI298" s="286"/>
      <c r="FJ298" s="286"/>
      <c r="FK298" s="286"/>
      <c r="FL298" s="286"/>
      <c r="FM298" s="286"/>
      <c r="FN298" s="286"/>
      <c r="FO298" s="286"/>
      <c r="FP298" s="286"/>
      <c r="FQ298" s="286"/>
      <c r="FR298" s="286"/>
      <c r="FS298" s="286"/>
    </row>
    <row r="299" spans="1:175">
      <c r="A299" s="212" t="s">
        <v>3159</v>
      </c>
      <c r="B299" s="212" t="s">
        <v>3160</v>
      </c>
      <c r="C299" s="212" t="s">
        <v>3172</v>
      </c>
      <c r="D299" s="212" t="s">
        <v>3460</v>
      </c>
      <c r="E299" s="212" t="s">
        <v>3465</v>
      </c>
      <c r="F299" s="278">
        <v>268</v>
      </c>
      <c r="G299" s="278">
        <v>48312</v>
      </c>
      <c r="H299" s="287">
        <f t="shared" si="4"/>
        <v>0.12212286802450738</v>
      </c>
      <c r="I299" s="286">
        <v>2</v>
      </c>
      <c r="J299" s="286">
        <v>59</v>
      </c>
      <c r="K299" s="286">
        <v>34</v>
      </c>
      <c r="L299" s="286">
        <v>25</v>
      </c>
      <c r="M299" s="286">
        <v>59</v>
      </c>
      <c r="N299" s="286">
        <v>34</v>
      </c>
      <c r="O299" s="286">
        <v>25</v>
      </c>
      <c r="P299" s="286">
        <v>2</v>
      </c>
      <c r="Q299" s="286">
        <v>59</v>
      </c>
      <c r="R299" s="286">
        <v>34</v>
      </c>
      <c r="S299" s="286">
        <v>25</v>
      </c>
      <c r="T299" s="286">
        <v>59</v>
      </c>
      <c r="U299" s="286">
        <v>34</v>
      </c>
      <c r="V299" s="286">
        <v>25</v>
      </c>
      <c r="W299" s="286"/>
      <c r="X299" s="286"/>
      <c r="Y299" s="286"/>
      <c r="Z299" s="286"/>
      <c r="AA299" s="286"/>
      <c r="AB299" s="286"/>
      <c r="AC299" s="286"/>
      <c r="AD299" s="286"/>
      <c r="AE299" s="286"/>
      <c r="AF299" s="286"/>
      <c r="AG299" s="286"/>
      <c r="AH299" s="286"/>
      <c r="AI299" s="286"/>
      <c r="AJ299" s="286"/>
      <c r="AK299" s="286"/>
      <c r="AL299" s="286"/>
      <c r="AM299" s="286"/>
      <c r="AN299" s="286"/>
      <c r="AO299" s="286"/>
      <c r="AP299" s="286"/>
      <c r="AQ299" s="286"/>
      <c r="AR299" s="286"/>
      <c r="AS299" s="286"/>
      <c r="AT299" s="286"/>
      <c r="AU299" s="286"/>
      <c r="AV299" s="286"/>
      <c r="AW299" s="286"/>
      <c r="AX299" s="286"/>
      <c r="AY299" s="286"/>
      <c r="AZ299" s="286"/>
      <c r="BA299" s="286"/>
      <c r="BB299" s="286"/>
      <c r="BC299" s="286"/>
      <c r="BD299" s="286"/>
      <c r="BE299" s="286"/>
      <c r="BF299" s="286"/>
      <c r="BG299" s="286"/>
      <c r="BH299" s="286"/>
      <c r="BI299" s="286"/>
      <c r="BJ299" s="286"/>
      <c r="BK299" s="286"/>
      <c r="BL299" s="286"/>
      <c r="BM299" s="286"/>
      <c r="BN299" s="286"/>
      <c r="BO299" s="286"/>
      <c r="BP299" s="286"/>
      <c r="BQ299" s="286"/>
      <c r="BR299" s="286"/>
      <c r="BS299" s="286"/>
      <c r="BT299" s="286"/>
      <c r="BU299" s="286"/>
      <c r="BV299" s="286"/>
      <c r="BW299" s="286"/>
      <c r="BX299" s="286"/>
      <c r="BY299" s="286"/>
      <c r="BZ299" s="286"/>
      <c r="CA299" s="286"/>
      <c r="CB299" s="286"/>
      <c r="CC299" s="286"/>
      <c r="CD299" s="286"/>
      <c r="CE299" s="286"/>
      <c r="CF299" s="286"/>
      <c r="CG299" s="286"/>
      <c r="CH299" s="286"/>
      <c r="CI299" s="286"/>
      <c r="CJ299" s="286"/>
      <c r="CK299" s="286"/>
      <c r="CL299" s="286"/>
      <c r="CM299" s="286"/>
      <c r="CN299" s="286"/>
      <c r="CO299" s="286"/>
      <c r="CP299" s="286"/>
      <c r="CQ299" s="286"/>
      <c r="CR299" s="286"/>
      <c r="CS299" s="286"/>
      <c r="CT299" s="286"/>
      <c r="CU299" s="286"/>
      <c r="CV299" s="286"/>
      <c r="CW299" s="286"/>
      <c r="CX299" s="286"/>
      <c r="CY299" s="286"/>
      <c r="CZ299" s="286"/>
      <c r="DA299" s="286"/>
      <c r="DB299" s="286"/>
      <c r="DC299" s="286"/>
      <c r="DD299" s="286"/>
      <c r="DE299" s="286"/>
      <c r="DF299" s="286"/>
      <c r="DG299" s="286"/>
      <c r="DH299" s="286"/>
      <c r="DI299" s="286"/>
      <c r="DJ299" s="286"/>
      <c r="DK299" s="286"/>
      <c r="DL299" s="286"/>
      <c r="DM299" s="286"/>
      <c r="DN299" s="286"/>
      <c r="DO299" s="286"/>
      <c r="DP299" s="286"/>
      <c r="DQ299" s="286"/>
      <c r="DR299" s="286"/>
      <c r="DS299" s="286"/>
      <c r="DT299" s="286"/>
      <c r="DU299" s="286"/>
      <c r="DV299" s="286"/>
      <c r="DW299" s="286"/>
      <c r="DX299" s="286"/>
      <c r="DY299" s="286"/>
      <c r="DZ299" s="286"/>
      <c r="EA299" s="286"/>
      <c r="EB299" s="286"/>
      <c r="EC299" s="286"/>
      <c r="ED299" s="286"/>
      <c r="EE299" s="286"/>
      <c r="EF299" s="286"/>
      <c r="EG299" s="286"/>
      <c r="EH299" s="286"/>
      <c r="EI299" s="286"/>
      <c r="EJ299" s="286"/>
      <c r="EK299" s="286"/>
      <c r="EL299" s="286"/>
      <c r="EM299" s="286"/>
      <c r="EN299" s="286"/>
      <c r="EO299" s="286"/>
      <c r="EP299" s="286"/>
      <c r="EQ299" s="286"/>
      <c r="ER299" s="286"/>
      <c r="ES299" s="286"/>
      <c r="ET299" s="286"/>
      <c r="EU299" s="286"/>
      <c r="EV299" s="286"/>
      <c r="EW299" s="286"/>
      <c r="EX299" s="286"/>
      <c r="EY299" s="286"/>
      <c r="EZ299" s="286"/>
      <c r="FA299" s="286"/>
      <c r="FB299" s="286"/>
      <c r="FC299" s="286"/>
      <c r="FD299" s="286"/>
      <c r="FE299" s="286"/>
      <c r="FF299" s="286"/>
      <c r="FG299" s="286"/>
      <c r="FH299" s="286"/>
      <c r="FI299" s="286"/>
      <c r="FJ299" s="286"/>
      <c r="FK299" s="286"/>
      <c r="FL299" s="286"/>
      <c r="FM299" s="286"/>
      <c r="FN299" s="286"/>
      <c r="FO299" s="286"/>
      <c r="FP299" s="286"/>
      <c r="FQ299" s="286"/>
      <c r="FR299" s="286"/>
      <c r="FS299" s="286"/>
    </row>
    <row r="300" spans="1:175">
      <c r="A300" s="212" t="s">
        <v>3159</v>
      </c>
      <c r="B300" s="212" t="s">
        <v>3160</v>
      </c>
      <c r="C300" s="212" t="s">
        <v>3172</v>
      </c>
      <c r="D300" s="212" t="s">
        <v>3460</v>
      </c>
      <c r="E300" s="212" t="s">
        <v>3466</v>
      </c>
      <c r="F300" s="278">
        <v>1145</v>
      </c>
      <c r="G300" s="278">
        <v>46159</v>
      </c>
      <c r="H300" s="287">
        <f t="shared" si="4"/>
        <v>3.2821334950930483</v>
      </c>
      <c r="I300" s="286">
        <v>35</v>
      </c>
      <c r="J300" s="286">
        <v>1515</v>
      </c>
      <c r="K300" s="286">
        <v>831</v>
      </c>
      <c r="L300" s="286">
        <v>684</v>
      </c>
      <c r="M300" s="286">
        <v>1495</v>
      </c>
      <c r="N300" s="286">
        <v>815</v>
      </c>
      <c r="O300" s="286">
        <v>680</v>
      </c>
      <c r="P300" s="286">
        <v>35</v>
      </c>
      <c r="Q300" s="286">
        <v>1515</v>
      </c>
      <c r="R300" s="286">
        <v>831</v>
      </c>
      <c r="S300" s="286">
        <v>684</v>
      </c>
      <c r="T300" s="286">
        <v>1495</v>
      </c>
      <c r="U300" s="286">
        <v>815</v>
      </c>
      <c r="V300" s="286">
        <v>680</v>
      </c>
      <c r="W300" s="286"/>
      <c r="X300" s="286"/>
      <c r="Y300" s="286"/>
      <c r="Z300" s="286"/>
      <c r="AA300" s="286"/>
      <c r="AB300" s="286"/>
      <c r="AC300" s="286"/>
      <c r="AD300" s="286"/>
      <c r="AE300" s="286"/>
      <c r="AF300" s="286"/>
      <c r="AG300" s="286"/>
      <c r="AH300" s="286"/>
      <c r="AI300" s="286"/>
      <c r="AJ300" s="286"/>
      <c r="AK300" s="286"/>
      <c r="AL300" s="286"/>
      <c r="AM300" s="286"/>
      <c r="AN300" s="286"/>
      <c r="AO300" s="286"/>
      <c r="AP300" s="286"/>
      <c r="AQ300" s="286"/>
      <c r="AR300" s="286"/>
      <c r="AS300" s="286"/>
      <c r="AT300" s="286"/>
      <c r="AU300" s="286"/>
      <c r="AV300" s="286"/>
      <c r="AW300" s="286"/>
      <c r="AX300" s="286"/>
      <c r="AY300" s="286"/>
      <c r="AZ300" s="286"/>
      <c r="BA300" s="286"/>
      <c r="BB300" s="286"/>
      <c r="BC300" s="286"/>
      <c r="BD300" s="286"/>
      <c r="BE300" s="286"/>
      <c r="BF300" s="286"/>
      <c r="BG300" s="286"/>
      <c r="BH300" s="286"/>
      <c r="BI300" s="286"/>
      <c r="BJ300" s="286"/>
      <c r="BK300" s="286"/>
      <c r="BL300" s="286"/>
      <c r="BM300" s="286"/>
      <c r="BN300" s="286"/>
      <c r="BO300" s="286"/>
      <c r="BP300" s="286"/>
      <c r="BQ300" s="286"/>
      <c r="BR300" s="286"/>
      <c r="BS300" s="286"/>
      <c r="BT300" s="286"/>
      <c r="BU300" s="286"/>
      <c r="BV300" s="286"/>
      <c r="BW300" s="286"/>
      <c r="BX300" s="286"/>
      <c r="BY300" s="286"/>
      <c r="BZ300" s="286"/>
      <c r="CA300" s="286"/>
      <c r="CB300" s="286"/>
      <c r="CC300" s="286"/>
      <c r="CD300" s="286"/>
      <c r="CE300" s="286"/>
      <c r="CF300" s="286"/>
      <c r="CG300" s="286"/>
      <c r="CH300" s="286"/>
      <c r="CI300" s="286"/>
      <c r="CJ300" s="286"/>
      <c r="CK300" s="286"/>
      <c r="CL300" s="286"/>
      <c r="CM300" s="286"/>
      <c r="CN300" s="286"/>
      <c r="CO300" s="286"/>
      <c r="CP300" s="286"/>
      <c r="CQ300" s="286"/>
      <c r="CR300" s="286"/>
      <c r="CS300" s="286"/>
      <c r="CT300" s="286"/>
      <c r="CU300" s="286"/>
      <c r="CV300" s="286"/>
      <c r="CW300" s="286"/>
      <c r="CX300" s="286"/>
      <c r="CY300" s="286"/>
      <c r="CZ300" s="286"/>
      <c r="DA300" s="286"/>
      <c r="DB300" s="286"/>
      <c r="DC300" s="286"/>
      <c r="DD300" s="286"/>
      <c r="DE300" s="286"/>
      <c r="DF300" s="286"/>
      <c r="DG300" s="286"/>
      <c r="DH300" s="286"/>
      <c r="DI300" s="286"/>
      <c r="DJ300" s="286"/>
      <c r="DK300" s="286"/>
      <c r="DL300" s="286"/>
      <c r="DM300" s="286"/>
      <c r="DN300" s="286"/>
      <c r="DO300" s="286"/>
      <c r="DP300" s="286"/>
      <c r="DQ300" s="286"/>
      <c r="DR300" s="286"/>
      <c r="DS300" s="286"/>
      <c r="DT300" s="286"/>
      <c r="DU300" s="286"/>
      <c r="DV300" s="286"/>
      <c r="DW300" s="286"/>
      <c r="DX300" s="286"/>
      <c r="DY300" s="286"/>
      <c r="DZ300" s="286"/>
      <c r="EA300" s="286"/>
      <c r="EB300" s="286"/>
      <c r="EC300" s="286"/>
      <c r="ED300" s="286"/>
      <c r="EE300" s="286"/>
      <c r="EF300" s="286"/>
      <c r="EG300" s="286"/>
      <c r="EH300" s="286"/>
      <c r="EI300" s="286"/>
      <c r="EJ300" s="286"/>
      <c r="EK300" s="286"/>
      <c r="EL300" s="286"/>
      <c r="EM300" s="286"/>
      <c r="EN300" s="286"/>
      <c r="EO300" s="286"/>
      <c r="EP300" s="286"/>
      <c r="EQ300" s="286"/>
      <c r="ER300" s="286"/>
      <c r="ES300" s="286"/>
      <c r="ET300" s="286"/>
      <c r="EU300" s="286"/>
      <c r="EV300" s="286"/>
      <c r="EW300" s="286"/>
      <c r="EX300" s="286"/>
      <c r="EY300" s="286"/>
      <c r="EZ300" s="286"/>
      <c r="FA300" s="286"/>
      <c r="FB300" s="286"/>
      <c r="FC300" s="286"/>
      <c r="FD300" s="286"/>
      <c r="FE300" s="286"/>
      <c r="FF300" s="286"/>
      <c r="FG300" s="286"/>
      <c r="FH300" s="286"/>
      <c r="FI300" s="286"/>
      <c r="FJ300" s="286"/>
      <c r="FK300" s="286"/>
      <c r="FL300" s="286"/>
      <c r="FM300" s="286"/>
      <c r="FN300" s="286"/>
      <c r="FO300" s="286"/>
      <c r="FP300" s="286"/>
      <c r="FQ300" s="286"/>
      <c r="FR300" s="286"/>
      <c r="FS300" s="286"/>
    </row>
    <row r="301" spans="1:175">
      <c r="A301" s="212" t="s">
        <v>3159</v>
      </c>
      <c r="B301" s="212" t="s">
        <v>3160</v>
      </c>
      <c r="C301" s="212" t="s">
        <v>3170</v>
      </c>
      <c r="D301" s="212" t="s">
        <v>3460</v>
      </c>
      <c r="E301" s="212" t="s">
        <v>3467</v>
      </c>
      <c r="F301" s="278">
        <v>1771</v>
      </c>
      <c r="G301" s="278">
        <v>62815</v>
      </c>
      <c r="H301" s="287">
        <f t="shared" si="4"/>
        <v>1.5044177346175276</v>
      </c>
      <c r="I301" s="286">
        <v>39</v>
      </c>
      <c r="J301" s="286">
        <v>945</v>
      </c>
      <c r="K301" s="286">
        <v>672</v>
      </c>
      <c r="L301" s="286">
        <v>273</v>
      </c>
      <c r="M301" s="286">
        <v>914</v>
      </c>
      <c r="N301" s="286">
        <v>642</v>
      </c>
      <c r="O301" s="286">
        <v>272</v>
      </c>
      <c r="P301" s="286">
        <v>34</v>
      </c>
      <c r="Q301" s="286">
        <v>911</v>
      </c>
      <c r="R301" s="286">
        <v>652</v>
      </c>
      <c r="S301" s="286">
        <v>259</v>
      </c>
      <c r="T301" s="286">
        <v>880</v>
      </c>
      <c r="U301" s="286">
        <v>622</v>
      </c>
      <c r="V301" s="286">
        <v>258</v>
      </c>
      <c r="W301" s="286"/>
      <c r="X301" s="286"/>
      <c r="Y301" s="286"/>
      <c r="Z301" s="286"/>
      <c r="AA301" s="286"/>
      <c r="AB301" s="286"/>
      <c r="AC301" s="286"/>
      <c r="AD301" s="286"/>
      <c r="AE301" s="286"/>
      <c r="AF301" s="286"/>
      <c r="AG301" s="286"/>
      <c r="AH301" s="286"/>
      <c r="AI301" s="286"/>
      <c r="AJ301" s="286"/>
      <c r="AK301" s="286"/>
      <c r="AL301" s="286"/>
      <c r="AM301" s="286"/>
      <c r="AN301" s="286"/>
      <c r="AO301" s="286"/>
      <c r="AP301" s="286"/>
      <c r="AQ301" s="286"/>
      <c r="AR301" s="286"/>
      <c r="AS301" s="286"/>
      <c r="AT301" s="286"/>
      <c r="AU301" s="286"/>
      <c r="AV301" s="286"/>
      <c r="AW301" s="286"/>
      <c r="AX301" s="286"/>
      <c r="AY301" s="286"/>
      <c r="AZ301" s="286"/>
      <c r="BA301" s="286"/>
      <c r="BB301" s="286"/>
      <c r="BC301" s="286"/>
      <c r="BD301" s="286"/>
      <c r="BE301" s="286"/>
      <c r="BF301" s="286"/>
      <c r="BG301" s="286"/>
      <c r="BH301" s="286"/>
      <c r="BI301" s="286"/>
      <c r="BJ301" s="286"/>
      <c r="BK301" s="286"/>
      <c r="BL301" s="286"/>
      <c r="BM301" s="286"/>
      <c r="BN301" s="286"/>
      <c r="BO301" s="286"/>
      <c r="BP301" s="286"/>
      <c r="BQ301" s="286"/>
      <c r="BR301" s="286"/>
      <c r="BS301" s="286"/>
      <c r="BT301" s="286"/>
      <c r="BU301" s="286"/>
      <c r="BV301" s="286"/>
      <c r="BW301" s="286"/>
      <c r="BX301" s="286"/>
      <c r="BY301" s="286"/>
      <c r="BZ301" s="286"/>
      <c r="CA301" s="286"/>
      <c r="CB301" s="286"/>
      <c r="CC301" s="286"/>
      <c r="CD301" s="286"/>
      <c r="CE301" s="286"/>
      <c r="CF301" s="286"/>
      <c r="CG301" s="286"/>
      <c r="CH301" s="286"/>
      <c r="CI301" s="286"/>
      <c r="CJ301" s="286"/>
      <c r="CK301" s="286"/>
      <c r="CL301" s="286"/>
      <c r="CM301" s="286"/>
      <c r="CN301" s="286"/>
      <c r="CO301" s="286"/>
      <c r="CP301" s="286"/>
      <c r="CQ301" s="286"/>
      <c r="CR301" s="286"/>
      <c r="CS301" s="286"/>
      <c r="CT301" s="286"/>
      <c r="CU301" s="286"/>
      <c r="CV301" s="286"/>
      <c r="CW301" s="286"/>
      <c r="CX301" s="286"/>
      <c r="CY301" s="286"/>
      <c r="CZ301" s="286"/>
      <c r="DA301" s="286"/>
      <c r="DB301" s="286"/>
      <c r="DC301" s="286"/>
      <c r="DD301" s="286"/>
      <c r="DE301" s="286"/>
      <c r="DF301" s="286"/>
      <c r="DG301" s="286"/>
      <c r="DH301" s="286"/>
      <c r="DI301" s="286"/>
      <c r="DJ301" s="286"/>
      <c r="DK301" s="286"/>
      <c r="DL301" s="286"/>
      <c r="DM301" s="286"/>
      <c r="DN301" s="286"/>
      <c r="DO301" s="286"/>
      <c r="DP301" s="286"/>
      <c r="DQ301" s="286"/>
      <c r="DR301" s="286"/>
      <c r="DS301" s="286"/>
      <c r="DT301" s="286"/>
      <c r="DU301" s="286"/>
      <c r="DV301" s="286"/>
      <c r="DW301" s="286"/>
      <c r="DX301" s="286"/>
      <c r="DY301" s="286"/>
      <c r="DZ301" s="286"/>
      <c r="EA301" s="286"/>
      <c r="EB301" s="286"/>
      <c r="EC301" s="286"/>
      <c r="ED301" s="286"/>
      <c r="EE301" s="286"/>
      <c r="EF301" s="286"/>
      <c r="EG301" s="286"/>
      <c r="EH301" s="286"/>
      <c r="EI301" s="286"/>
      <c r="EJ301" s="286"/>
      <c r="EK301" s="286"/>
      <c r="EL301" s="286"/>
      <c r="EM301" s="286"/>
      <c r="EN301" s="286"/>
      <c r="EO301" s="286"/>
      <c r="EP301" s="286"/>
      <c r="EQ301" s="286"/>
      <c r="ER301" s="286"/>
      <c r="ES301" s="286"/>
      <c r="ET301" s="286"/>
      <c r="EU301" s="286"/>
      <c r="EV301" s="286"/>
      <c r="EW301" s="286"/>
      <c r="EX301" s="286"/>
      <c r="EY301" s="286"/>
      <c r="EZ301" s="286"/>
      <c r="FA301" s="286"/>
      <c r="FB301" s="286"/>
      <c r="FC301" s="286"/>
      <c r="FD301" s="286"/>
      <c r="FE301" s="286"/>
      <c r="FF301" s="286"/>
      <c r="FG301" s="286"/>
      <c r="FH301" s="286"/>
      <c r="FI301" s="286"/>
      <c r="FJ301" s="286"/>
      <c r="FK301" s="286"/>
      <c r="FL301" s="286"/>
      <c r="FM301" s="286"/>
      <c r="FN301" s="286"/>
      <c r="FO301" s="286"/>
      <c r="FP301" s="286"/>
      <c r="FQ301" s="286"/>
      <c r="FR301" s="286"/>
      <c r="FS301" s="286"/>
    </row>
    <row r="302" spans="1:175">
      <c r="A302" s="212" t="s">
        <v>3159</v>
      </c>
      <c r="B302" s="212" t="s">
        <v>3160</v>
      </c>
      <c r="C302" s="212" t="s">
        <v>3172</v>
      </c>
      <c r="D302" s="212" t="s">
        <v>3460</v>
      </c>
      <c r="E302" s="212" t="s">
        <v>3468</v>
      </c>
      <c r="F302" s="278">
        <v>7</v>
      </c>
      <c r="G302" s="278">
        <v>169</v>
      </c>
      <c r="H302" s="287">
        <f t="shared" si="4"/>
        <v>0</v>
      </c>
      <c r="I302" s="286">
        <v>0</v>
      </c>
      <c r="J302" s="286">
        <v>0</v>
      </c>
      <c r="K302" s="286">
        <v>0</v>
      </c>
      <c r="L302" s="286">
        <v>0</v>
      </c>
      <c r="M302" s="286">
        <v>0</v>
      </c>
      <c r="N302" s="286">
        <v>0</v>
      </c>
      <c r="O302" s="286">
        <v>0</v>
      </c>
      <c r="P302" s="286">
        <v>0</v>
      </c>
      <c r="Q302" s="286">
        <v>0</v>
      </c>
      <c r="R302" s="286">
        <v>0</v>
      </c>
      <c r="S302" s="286">
        <v>0</v>
      </c>
      <c r="T302" s="286">
        <v>0</v>
      </c>
      <c r="U302" s="286">
        <v>0</v>
      </c>
      <c r="V302" s="286">
        <v>0</v>
      </c>
      <c r="W302" s="286"/>
      <c r="X302" s="286"/>
      <c r="Y302" s="286"/>
      <c r="Z302" s="286"/>
      <c r="AA302" s="286"/>
      <c r="AB302" s="286"/>
      <c r="AC302" s="286"/>
      <c r="AD302" s="286"/>
      <c r="AE302" s="286"/>
      <c r="AF302" s="286"/>
      <c r="AG302" s="286"/>
      <c r="AH302" s="286"/>
      <c r="AI302" s="286"/>
      <c r="AJ302" s="286"/>
      <c r="AK302" s="286"/>
      <c r="AL302" s="286"/>
      <c r="AM302" s="286"/>
      <c r="AN302" s="286"/>
      <c r="AO302" s="286"/>
      <c r="AP302" s="286"/>
      <c r="AQ302" s="286"/>
      <c r="AR302" s="286"/>
      <c r="AS302" s="286"/>
      <c r="AT302" s="286"/>
      <c r="AU302" s="286"/>
      <c r="AV302" s="286"/>
      <c r="AW302" s="286"/>
      <c r="AX302" s="286"/>
      <c r="AY302" s="286"/>
      <c r="AZ302" s="286"/>
      <c r="BA302" s="286"/>
      <c r="BB302" s="286"/>
      <c r="BC302" s="286"/>
      <c r="BD302" s="286"/>
      <c r="BE302" s="286"/>
      <c r="BF302" s="286"/>
      <c r="BG302" s="286"/>
      <c r="BH302" s="286"/>
      <c r="BI302" s="286"/>
      <c r="BJ302" s="286"/>
      <c r="BK302" s="286"/>
      <c r="BL302" s="286"/>
      <c r="BM302" s="286"/>
      <c r="BN302" s="286"/>
      <c r="BO302" s="286"/>
      <c r="BP302" s="286"/>
      <c r="BQ302" s="286"/>
      <c r="BR302" s="286"/>
      <c r="BS302" s="286"/>
      <c r="BT302" s="286"/>
      <c r="BU302" s="286"/>
      <c r="BV302" s="286"/>
      <c r="BW302" s="286"/>
      <c r="BX302" s="286"/>
      <c r="BY302" s="286"/>
      <c r="BZ302" s="286"/>
      <c r="CA302" s="286"/>
      <c r="CB302" s="286"/>
      <c r="CC302" s="286"/>
      <c r="CD302" s="286"/>
      <c r="CE302" s="286"/>
      <c r="CF302" s="286"/>
      <c r="CG302" s="286"/>
      <c r="CH302" s="286"/>
      <c r="CI302" s="286"/>
      <c r="CJ302" s="286"/>
      <c r="CK302" s="286"/>
      <c r="CL302" s="286"/>
      <c r="CM302" s="286"/>
      <c r="CN302" s="286"/>
      <c r="CO302" s="286"/>
      <c r="CP302" s="286"/>
      <c r="CQ302" s="286"/>
      <c r="CR302" s="286"/>
      <c r="CS302" s="286"/>
      <c r="CT302" s="286"/>
      <c r="CU302" s="286"/>
      <c r="CV302" s="286"/>
      <c r="CW302" s="286"/>
      <c r="CX302" s="286"/>
      <c r="CY302" s="286"/>
      <c r="CZ302" s="286"/>
      <c r="DA302" s="286"/>
      <c r="DB302" s="286"/>
      <c r="DC302" s="286"/>
      <c r="DD302" s="286"/>
      <c r="DE302" s="286"/>
      <c r="DF302" s="286"/>
      <c r="DG302" s="286"/>
      <c r="DH302" s="286"/>
      <c r="DI302" s="286"/>
      <c r="DJ302" s="286"/>
      <c r="DK302" s="286"/>
      <c r="DL302" s="286"/>
      <c r="DM302" s="286"/>
      <c r="DN302" s="286"/>
      <c r="DO302" s="286"/>
      <c r="DP302" s="286"/>
      <c r="DQ302" s="286"/>
      <c r="DR302" s="286"/>
      <c r="DS302" s="286"/>
      <c r="DT302" s="286"/>
      <c r="DU302" s="286"/>
      <c r="DV302" s="286"/>
      <c r="DW302" s="286"/>
      <c r="DX302" s="286"/>
      <c r="DY302" s="286"/>
      <c r="DZ302" s="286"/>
      <c r="EA302" s="286"/>
      <c r="EB302" s="286"/>
      <c r="EC302" s="286"/>
      <c r="ED302" s="286"/>
      <c r="EE302" s="286"/>
      <c r="EF302" s="286"/>
      <c r="EG302" s="286"/>
      <c r="EH302" s="286"/>
      <c r="EI302" s="286"/>
      <c r="EJ302" s="286"/>
      <c r="EK302" s="286"/>
      <c r="EL302" s="286"/>
      <c r="EM302" s="286"/>
      <c r="EN302" s="286"/>
      <c r="EO302" s="286"/>
      <c r="EP302" s="286"/>
      <c r="EQ302" s="286"/>
      <c r="ER302" s="286"/>
      <c r="ES302" s="286"/>
      <c r="ET302" s="286"/>
      <c r="EU302" s="286"/>
      <c r="EV302" s="286"/>
      <c r="EW302" s="286"/>
      <c r="EX302" s="286"/>
      <c r="EY302" s="286"/>
      <c r="EZ302" s="286"/>
      <c r="FA302" s="286"/>
      <c r="FB302" s="286"/>
      <c r="FC302" s="286"/>
      <c r="FD302" s="286"/>
      <c r="FE302" s="286"/>
      <c r="FF302" s="286"/>
      <c r="FG302" s="286"/>
      <c r="FH302" s="286"/>
      <c r="FI302" s="286"/>
      <c r="FJ302" s="286"/>
      <c r="FK302" s="286"/>
      <c r="FL302" s="286"/>
      <c r="FM302" s="286"/>
      <c r="FN302" s="286"/>
      <c r="FO302" s="286"/>
      <c r="FP302" s="286"/>
      <c r="FQ302" s="286"/>
      <c r="FR302" s="286"/>
      <c r="FS302" s="286"/>
    </row>
    <row r="303" spans="1:175">
      <c r="A303" s="212" t="s">
        <v>3159</v>
      </c>
      <c r="B303" s="212" t="s">
        <v>3160</v>
      </c>
      <c r="C303" s="212" t="s">
        <v>3172</v>
      </c>
      <c r="D303" s="212" t="s">
        <v>3460</v>
      </c>
      <c r="E303" s="212" t="s">
        <v>3469</v>
      </c>
      <c r="F303" s="278">
        <v>56</v>
      </c>
      <c r="G303" s="278">
        <v>12055</v>
      </c>
      <c r="H303" s="287">
        <f t="shared" si="4"/>
        <v>0.83782662795520535</v>
      </c>
      <c r="I303" s="286">
        <v>1</v>
      </c>
      <c r="J303" s="286">
        <v>101</v>
      </c>
      <c r="K303" s="286">
        <v>62</v>
      </c>
      <c r="L303" s="286">
        <v>39</v>
      </c>
      <c r="M303" s="286">
        <v>101</v>
      </c>
      <c r="N303" s="286">
        <v>62</v>
      </c>
      <c r="O303" s="286">
        <v>39</v>
      </c>
      <c r="P303" s="286">
        <v>1</v>
      </c>
      <c r="Q303" s="286">
        <v>101</v>
      </c>
      <c r="R303" s="286">
        <v>62</v>
      </c>
      <c r="S303" s="286">
        <v>39</v>
      </c>
      <c r="T303" s="286">
        <v>101</v>
      </c>
      <c r="U303" s="286">
        <v>62</v>
      </c>
      <c r="V303" s="286">
        <v>39</v>
      </c>
      <c r="W303" s="286"/>
      <c r="X303" s="286"/>
      <c r="Y303" s="286"/>
      <c r="Z303" s="286"/>
      <c r="AA303" s="286"/>
      <c r="AB303" s="286"/>
      <c r="AC303" s="286"/>
      <c r="AD303" s="286"/>
      <c r="AE303" s="286"/>
      <c r="AF303" s="286"/>
      <c r="AG303" s="286"/>
      <c r="AH303" s="286"/>
      <c r="AI303" s="286"/>
      <c r="AJ303" s="286"/>
      <c r="AK303" s="286"/>
      <c r="AL303" s="286"/>
      <c r="AM303" s="286"/>
      <c r="AN303" s="286"/>
      <c r="AO303" s="286"/>
      <c r="AP303" s="286"/>
      <c r="AQ303" s="286"/>
      <c r="AR303" s="286"/>
      <c r="AS303" s="286"/>
      <c r="AT303" s="286"/>
      <c r="AU303" s="286"/>
      <c r="AV303" s="286"/>
      <c r="AW303" s="286"/>
      <c r="AX303" s="286"/>
      <c r="AY303" s="286"/>
      <c r="AZ303" s="286"/>
      <c r="BA303" s="286"/>
      <c r="BB303" s="286"/>
      <c r="BC303" s="286"/>
      <c r="BD303" s="286"/>
      <c r="BE303" s="286"/>
      <c r="BF303" s="286"/>
      <c r="BG303" s="286"/>
      <c r="BH303" s="286"/>
      <c r="BI303" s="286"/>
      <c r="BJ303" s="286"/>
      <c r="BK303" s="286"/>
      <c r="BL303" s="286"/>
      <c r="BM303" s="286"/>
      <c r="BN303" s="286"/>
      <c r="BO303" s="286"/>
      <c r="BP303" s="286"/>
      <c r="BQ303" s="286"/>
      <c r="BR303" s="286"/>
      <c r="BS303" s="286"/>
      <c r="BT303" s="286"/>
      <c r="BU303" s="286"/>
      <c r="BV303" s="286"/>
      <c r="BW303" s="286"/>
      <c r="BX303" s="286"/>
      <c r="BY303" s="286"/>
      <c r="BZ303" s="286"/>
      <c r="CA303" s="286"/>
      <c r="CB303" s="286"/>
      <c r="CC303" s="286"/>
      <c r="CD303" s="286"/>
      <c r="CE303" s="286"/>
      <c r="CF303" s="286"/>
      <c r="CG303" s="286"/>
      <c r="CH303" s="286"/>
      <c r="CI303" s="286"/>
      <c r="CJ303" s="286"/>
      <c r="CK303" s="286"/>
      <c r="CL303" s="286"/>
      <c r="CM303" s="286"/>
      <c r="CN303" s="286"/>
      <c r="CO303" s="286"/>
      <c r="CP303" s="286"/>
      <c r="CQ303" s="286"/>
      <c r="CR303" s="286"/>
      <c r="CS303" s="286"/>
      <c r="CT303" s="286"/>
      <c r="CU303" s="286"/>
      <c r="CV303" s="286"/>
      <c r="CW303" s="286"/>
      <c r="CX303" s="286"/>
      <c r="CY303" s="286"/>
      <c r="CZ303" s="286"/>
      <c r="DA303" s="286"/>
      <c r="DB303" s="286"/>
      <c r="DC303" s="286"/>
      <c r="DD303" s="286"/>
      <c r="DE303" s="286"/>
      <c r="DF303" s="286"/>
      <c r="DG303" s="286"/>
      <c r="DH303" s="286"/>
      <c r="DI303" s="286"/>
      <c r="DJ303" s="286"/>
      <c r="DK303" s="286"/>
      <c r="DL303" s="286"/>
      <c r="DM303" s="286"/>
      <c r="DN303" s="286"/>
      <c r="DO303" s="286"/>
      <c r="DP303" s="286"/>
      <c r="DQ303" s="286"/>
      <c r="DR303" s="286"/>
      <c r="DS303" s="286"/>
      <c r="DT303" s="286"/>
      <c r="DU303" s="286"/>
      <c r="DV303" s="286"/>
      <c r="DW303" s="286"/>
      <c r="DX303" s="286"/>
      <c r="DY303" s="286"/>
      <c r="DZ303" s="286"/>
      <c r="EA303" s="286"/>
      <c r="EB303" s="286"/>
      <c r="EC303" s="286"/>
      <c r="ED303" s="286"/>
      <c r="EE303" s="286"/>
      <c r="EF303" s="286"/>
      <c r="EG303" s="286"/>
      <c r="EH303" s="286"/>
      <c r="EI303" s="286"/>
      <c r="EJ303" s="286"/>
      <c r="EK303" s="286"/>
      <c r="EL303" s="286"/>
      <c r="EM303" s="286"/>
      <c r="EN303" s="286"/>
      <c r="EO303" s="286"/>
      <c r="EP303" s="286"/>
      <c r="EQ303" s="286"/>
      <c r="ER303" s="286"/>
      <c r="ES303" s="286"/>
      <c r="ET303" s="286"/>
      <c r="EU303" s="286"/>
      <c r="EV303" s="286"/>
      <c r="EW303" s="286"/>
      <c r="EX303" s="286"/>
      <c r="EY303" s="286"/>
      <c r="EZ303" s="286"/>
      <c r="FA303" s="286"/>
      <c r="FB303" s="286"/>
      <c r="FC303" s="286"/>
      <c r="FD303" s="286"/>
      <c r="FE303" s="286"/>
      <c r="FF303" s="286"/>
      <c r="FG303" s="286"/>
      <c r="FH303" s="286"/>
      <c r="FI303" s="286"/>
      <c r="FJ303" s="286"/>
      <c r="FK303" s="286"/>
      <c r="FL303" s="286"/>
      <c r="FM303" s="286"/>
      <c r="FN303" s="286"/>
      <c r="FO303" s="286"/>
      <c r="FP303" s="286"/>
      <c r="FQ303" s="286"/>
      <c r="FR303" s="286"/>
      <c r="FS303" s="286"/>
    </row>
    <row r="304" spans="1:175">
      <c r="A304" s="212" t="s">
        <v>3159</v>
      </c>
      <c r="B304" s="212" t="s">
        <v>3160</v>
      </c>
      <c r="C304" s="212" t="s">
        <v>3172</v>
      </c>
      <c r="D304" s="212" t="s">
        <v>3460</v>
      </c>
      <c r="E304" s="212" t="s">
        <v>3470</v>
      </c>
      <c r="F304" s="278">
        <v>949</v>
      </c>
      <c r="G304" s="278">
        <v>30226</v>
      </c>
      <c r="H304" s="287">
        <f t="shared" si="4"/>
        <v>1.078541652881625</v>
      </c>
      <c r="I304" s="286">
        <v>16</v>
      </c>
      <c r="J304" s="286">
        <v>326</v>
      </c>
      <c r="K304" s="286">
        <v>223</v>
      </c>
      <c r="L304" s="286">
        <v>103</v>
      </c>
      <c r="M304" s="286">
        <v>304</v>
      </c>
      <c r="N304" s="286">
        <v>202</v>
      </c>
      <c r="O304" s="286">
        <v>102</v>
      </c>
      <c r="P304" s="286">
        <v>16</v>
      </c>
      <c r="Q304" s="286">
        <v>326</v>
      </c>
      <c r="R304" s="286">
        <v>223</v>
      </c>
      <c r="S304" s="286">
        <v>103</v>
      </c>
      <c r="T304" s="286">
        <v>304</v>
      </c>
      <c r="U304" s="286">
        <v>202</v>
      </c>
      <c r="V304" s="286">
        <v>102</v>
      </c>
      <c r="W304" s="286"/>
      <c r="X304" s="286"/>
      <c r="Y304" s="286"/>
      <c r="Z304" s="286"/>
      <c r="AA304" s="286"/>
      <c r="AB304" s="286"/>
      <c r="AC304" s="286"/>
      <c r="AD304" s="286"/>
      <c r="AE304" s="286"/>
      <c r="AF304" s="286"/>
      <c r="AG304" s="286"/>
      <c r="AH304" s="286"/>
      <c r="AI304" s="286"/>
      <c r="AJ304" s="286"/>
      <c r="AK304" s="286"/>
      <c r="AL304" s="286"/>
      <c r="AM304" s="286"/>
      <c r="AN304" s="286"/>
      <c r="AO304" s="286"/>
      <c r="AP304" s="286"/>
      <c r="AQ304" s="286"/>
      <c r="AR304" s="286"/>
      <c r="AS304" s="286"/>
      <c r="AT304" s="286"/>
      <c r="AU304" s="286"/>
      <c r="AV304" s="286"/>
      <c r="AW304" s="286"/>
      <c r="AX304" s="286"/>
      <c r="AY304" s="286"/>
      <c r="AZ304" s="286"/>
      <c r="BA304" s="286"/>
      <c r="BB304" s="286"/>
      <c r="BC304" s="286"/>
      <c r="BD304" s="286"/>
      <c r="BE304" s="286"/>
      <c r="BF304" s="286"/>
      <c r="BG304" s="286"/>
      <c r="BH304" s="286"/>
      <c r="BI304" s="286"/>
      <c r="BJ304" s="286"/>
      <c r="BK304" s="286"/>
      <c r="BL304" s="286"/>
      <c r="BM304" s="286"/>
      <c r="BN304" s="286"/>
      <c r="BO304" s="286"/>
      <c r="BP304" s="286"/>
      <c r="BQ304" s="286"/>
      <c r="BR304" s="286"/>
      <c r="BS304" s="286"/>
      <c r="BT304" s="286"/>
      <c r="BU304" s="286"/>
      <c r="BV304" s="286"/>
      <c r="BW304" s="286"/>
      <c r="BX304" s="286"/>
      <c r="BY304" s="286"/>
      <c r="BZ304" s="286"/>
      <c r="CA304" s="286"/>
      <c r="CB304" s="286"/>
      <c r="CC304" s="286"/>
      <c r="CD304" s="286"/>
      <c r="CE304" s="286"/>
      <c r="CF304" s="286"/>
      <c r="CG304" s="286"/>
      <c r="CH304" s="286"/>
      <c r="CI304" s="286"/>
      <c r="CJ304" s="286"/>
      <c r="CK304" s="286"/>
      <c r="CL304" s="286"/>
      <c r="CM304" s="286"/>
      <c r="CN304" s="286"/>
      <c r="CO304" s="286"/>
      <c r="CP304" s="286"/>
      <c r="CQ304" s="286"/>
      <c r="CR304" s="286"/>
      <c r="CS304" s="286"/>
      <c r="CT304" s="286"/>
      <c r="CU304" s="286"/>
      <c r="CV304" s="286"/>
      <c r="CW304" s="286"/>
      <c r="CX304" s="286"/>
      <c r="CY304" s="286"/>
      <c r="CZ304" s="286"/>
      <c r="DA304" s="286"/>
      <c r="DB304" s="286"/>
      <c r="DC304" s="286"/>
      <c r="DD304" s="286"/>
      <c r="DE304" s="286"/>
      <c r="DF304" s="286"/>
      <c r="DG304" s="286"/>
      <c r="DH304" s="286"/>
      <c r="DI304" s="286"/>
      <c r="DJ304" s="286"/>
      <c r="DK304" s="286"/>
      <c r="DL304" s="286"/>
      <c r="DM304" s="286"/>
      <c r="DN304" s="286"/>
      <c r="DO304" s="286"/>
      <c r="DP304" s="286"/>
      <c r="DQ304" s="286"/>
      <c r="DR304" s="286"/>
      <c r="DS304" s="286"/>
      <c r="DT304" s="286"/>
      <c r="DU304" s="286"/>
      <c r="DV304" s="286"/>
      <c r="DW304" s="286"/>
      <c r="DX304" s="286"/>
      <c r="DY304" s="286"/>
      <c r="DZ304" s="286"/>
      <c r="EA304" s="286"/>
      <c r="EB304" s="286"/>
      <c r="EC304" s="286"/>
      <c r="ED304" s="286"/>
      <c r="EE304" s="286"/>
      <c r="EF304" s="286"/>
      <c r="EG304" s="286"/>
      <c r="EH304" s="286"/>
      <c r="EI304" s="286"/>
      <c r="EJ304" s="286"/>
      <c r="EK304" s="286"/>
      <c r="EL304" s="286"/>
      <c r="EM304" s="286"/>
      <c r="EN304" s="286"/>
      <c r="EO304" s="286"/>
      <c r="EP304" s="286"/>
      <c r="EQ304" s="286"/>
      <c r="ER304" s="286"/>
      <c r="ES304" s="286"/>
      <c r="ET304" s="286"/>
      <c r="EU304" s="286"/>
      <c r="EV304" s="286"/>
      <c r="EW304" s="286"/>
      <c r="EX304" s="286"/>
      <c r="EY304" s="286"/>
      <c r="EZ304" s="286"/>
      <c r="FA304" s="286"/>
      <c r="FB304" s="286"/>
      <c r="FC304" s="286"/>
      <c r="FD304" s="286"/>
      <c r="FE304" s="286"/>
      <c r="FF304" s="286"/>
      <c r="FG304" s="286"/>
      <c r="FH304" s="286"/>
      <c r="FI304" s="286"/>
      <c r="FJ304" s="286"/>
      <c r="FK304" s="286"/>
      <c r="FL304" s="286"/>
      <c r="FM304" s="286"/>
      <c r="FN304" s="286"/>
      <c r="FO304" s="286"/>
      <c r="FP304" s="286"/>
      <c r="FQ304" s="286"/>
      <c r="FR304" s="286"/>
      <c r="FS304" s="286"/>
    </row>
    <row r="305" spans="1:175">
      <c r="A305" s="212" t="s">
        <v>3159</v>
      </c>
      <c r="B305" s="212" t="s">
        <v>3160</v>
      </c>
      <c r="C305" s="212" t="s">
        <v>3172</v>
      </c>
      <c r="D305" s="212" t="s">
        <v>3460</v>
      </c>
      <c r="E305" s="212" t="s">
        <v>3471</v>
      </c>
      <c r="F305" s="278">
        <v>759</v>
      </c>
      <c r="G305" s="278">
        <v>20365</v>
      </c>
      <c r="H305" s="287">
        <f t="shared" si="4"/>
        <v>2.5435796710041738</v>
      </c>
      <c r="I305" s="286">
        <v>22</v>
      </c>
      <c r="J305" s="286">
        <v>518</v>
      </c>
      <c r="K305" s="286">
        <v>387</v>
      </c>
      <c r="L305" s="286">
        <v>131</v>
      </c>
      <c r="M305" s="286">
        <v>509</v>
      </c>
      <c r="N305" s="286">
        <v>378</v>
      </c>
      <c r="O305" s="286">
        <v>131</v>
      </c>
      <c r="P305" s="286">
        <v>17</v>
      </c>
      <c r="Q305" s="286">
        <v>484</v>
      </c>
      <c r="R305" s="286">
        <v>367</v>
      </c>
      <c r="S305" s="286">
        <v>117</v>
      </c>
      <c r="T305" s="286">
        <v>475</v>
      </c>
      <c r="U305" s="286">
        <v>358</v>
      </c>
      <c r="V305" s="286">
        <v>117</v>
      </c>
      <c r="W305" s="286"/>
      <c r="X305" s="286"/>
      <c r="Y305" s="286"/>
      <c r="Z305" s="286"/>
      <c r="AA305" s="286"/>
      <c r="AB305" s="286"/>
      <c r="AC305" s="286"/>
      <c r="AD305" s="286"/>
      <c r="AE305" s="286"/>
      <c r="AF305" s="286"/>
      <c r="AG305" s="286"/>
      <c r="AH305" s="286"/>
      <c r="AI305" s="286"/>
      <c r="AJ305" s="286"/>
      <c r="AK305" s="286"/>
      <c r="AL305" s="286"/>
      <c r="AM305" s="286"/>
      <c r="AN305" s="286"/>
      <c r="AO305" s="286"/>
      <c r="AP305" s="286"/>
      <c r="AQ305" s="286"/>
      <c r="AR305" s="286"/>
      <c r="AS305" s="286"/>
      <c r="AT305" s="286"/>
      <c r="AU305" s="286"/>
      <c r="AV305" s="286"/>
      <c r="AW305" s="286"/>
      <c r="AX305" s="286"/>
      <c r="AY305" s="286"/>
      <c r="AZ305" s="286"/>
      <c r="BA305" s="286"/>
      <c r="BB305" s="286"/>
      <c r="BC305" s="286"/>
      <c r="BD305" s="286"/>
      <c r="BE305" s="286"/>
      <c r="BF305" s="286"/>
      <c r="BG305" s="286"/>
      <c r="BH305" s="286"/>
      <c r="BI305" s="286"/>
      <c r="BJ305" s="286"/>
      <c r="BK305" s="286"/>
      <c r="BL305" s="286"/>
      <c r="BM305" s="286"/>
      <c r="BN305" s="286"/>
      <c r="BO305" s="286"/>
      <c r="BP305" s="286"/>
      <c r="BQ305" s="286"/>
      <c r="BR305" s="286"/>
      <c r="BS305" s="286"/>
      <c r="BT305" s="286"/>
      <c r="BU305" s="286"/>
      <c r="BV305" s="286"/>
      <c r="BW305" s="286"/>
      <c r="BX305" s="286"/>
      <c r="BY305" s="286"/>
      <c r="BZ305" s="286"/>
      <c r="CA305" s="286"/>
      <c r="CB305" s="286"/>
      <c r="CC305" s="286"/>
      <c r="CD305" s="286"/>
      <c r="CE305" s="286"/>
      <c r="CF305" s="286"/>
      <c r="CG305" s="286"/>
      <c r="CH305" s="286"/>
      <c r="CI305" s="286"/>
      <c r="CJ305" s="286"/>
      <c r="CK305" s="286"/>
      <c r="CL305" s="286"/>
      <c r="CM305" s="286"/>
      <c r="CN305" s="286"/>
      <c r="CO305" s="286"/>
      <c r="CP305" s="286"/>
      <c r="CQ305" s="286"/>
      <c r="CR305" s="286"/>
      <c r="CS305" s="286"/>
      <c r="CT305" s="286"/>
      <c r="CU305" s="286"/>
      <c r="CV305" s="286"/>
      <c r="CW305" s="286"/>
      <c r="CX305" s="286"/>
      <c r="CY305" s="286"/>
      <c r="CZ305" s="286"/>
      <c r="DA305" s="286"/>
      <c r="DB305" s="286"/>
      <c r="DC305" s="286"/>
      <c r="DD305" s="286"/>
      <c r="DE305" s="286"/>
      <c r="DF305" s="286"/>
      <c r="DG305" s="286"/>
      <c r="DH305" s="286"/>
      <c r="DI305" s="286"/>
      <c r="DJ305" s="286"/>
      <c r="DK305" s="286"/>
      <c r="DL305" s="286"/>
      <c r="DM305" s="286"/>
      <c r="DN305" s="286"/>
      <c r="DO305" s="286"/>
      <c r="DP305" s="286"/>
      <c r="DQ305" s="286"/>
      <c r="DR305" s="286"/>
      <c r="DS305" s="286"/>
      <c r="DT305" s="286"/>
      <c r="DU305" s="286"/>
      <c r="DV305" s="286"/>
      <c r="DW305" s="286"/>
      <c r="DX305" s="286"/>
      <c r="DY305" s="286"/>
      <c r="DZ305" s="286"/>
      <c r="EA305" s="286"/>
      <c r="EB305" s="286"/>
      <c r="EC305" s="286"/>
      <c r="ED305" s="286"/>
      <c r="EE305" s="286"/>
      <c r="EF305" s="286"/>
      <c r="EG305" s="286"/>
      <c r="EH305" s="286"/>
      <c r="EI305" s="286"/>
      <c r="EJ305" s="286"/>
      <c r="EK305" s="286"/>
      <c r="EL305" s="286"/>
      <c r="EM305" s="286"/>
      <c r="EN305" s="286"/>
      <c r="EO305" s="286"/>
      <c r="EP305" s="286"/>
      <c r="EQ305" s="286"/>
      <c r="ER305" s="286"/>
      <c r="ES305" s="286"/>
      <c r="ET305" s="286"/>
      <c r="EU305" s="286"/>
      <c r="EV305" s="286"/>
      <c r="EW305" s="286"/>
      <c r="EX305" s="286"/>
      <c r="EY305" s="286"/>
      <c r="EZ305" s="286"/>
      <c r="FA305" s="286"/>
      <c r="FB305" s="286"/>
      <c r="FC305" s="286"/>
      <c r="FD305" s="286"/>
      <c r="FE305" s="286"/>
      <c r="FF305" s="286"/>
      <c r="FG305" s="286"/>
      <c r="FH305" s="286"/>
      <c r="FI305" s="286"/>
      <c r="FJ305" s="286"/>
      <c r="FK305" s="286"/>
      <c r="FL305" s="286"/>
      <c r="FM305" s="286"/>
      <c r="FN305" s="286"/>
      <c r="FO305" s="286"/>
      <c r="FP305" s="286"/>
      <c r="FQ305" s="286"/>
      <c r="FR305" s="286"/>
      <c r="FS305" s="286"/>
    </row>
    <row r="306" spans="1:175">
      <c r="A306" s="212" t="s">
        <v>3159</v>
      </c>
      <c r="B306" s="212" t="s">
        <v>3160</v>
      </c>
      <c r="C306" s="212" t="s">
        <v>3170</v>
      </c>
      <c r="D306" s="212" t="s">
        <v>3460</v>
      </c>
      <c r="E306" s="212" t="s">
        <v>3472</v>
      </c>
      <c r="F306" s="278">
        <v>20008</v>
      </c>
      <c r="G306" s="278">
        <v>246785</v>
      </c>
      <c r="H306" s="287">
        <f t="shared" si="4"/>
        <v>1.0357193508519562</v>
      </c>
      <c r="I306" s="286">
        <v>376</v>
      </c>
      <c r="J306" s="286">
        <v>2556</v>
      </c>
      <c r="K306" s="286">
        <v>1634</v>
      </c>
      <c r="L306" s="286">
        <v>921</v>
      </c>
      <c r="M306" s="286">
        <v>2179</v>
      </c>
      <c r="N306" s="286">
        <v>1366</v>
      </c>
      <c r="O306" s="286">
        <v>812</v>
      </c>
      <c r="P306" s="286">
        <v>376</v>
      </c>
      <c r="Q306" s="286">
        <v>2556</v>
      </c>
      <c r="R306" s="286">
        <v>1634</v>
      </c>
      <c r="S306" s="286">
        <v>921</v>
      </c>
      <c r="T306" s="286">
        <v>2179</v>
      </c>
      <c r="U306" s="286">
        <v>1366</v>
      </c>
      <c r="V306" s="286">
        <v>812</v>
      </c>
      <c r="W306" s="286"/>
      <c r="X306" s="286"/>
      <c r="Y306" s="286"/>
      <c r="Z306" s="286"/>
      <c r="AA306" s="286"/>
      <c r="AB306" s="286"/>
      <c r="AC306" s="286"/>
      <c r="AD306" s="286"/>
      <c r="AE306" s="286"/>
      <c r="AF306" s="286"/>
      <c r="AG306" s="286"/>
      <c r="AH306" s="286"/>
      <c r="AI306" s="286"/>
      <c r="AJ306" s="286"/>
      <c r="AK306" s="286"/>
      <c r="AL306" s="286"/>
      <c r="AM306" s="286"/>
      <c r="AN306" s="286"/>
      <c r="AO306" s="286"/>
      <c r="AP306" s="286"/>
      <c r="AQ306" s="286"/>
      <c r="AR306" s="286"/>
      <c r="AS306" s="286"/>
      <c r="AT306" s="286"/>
      <c r="AU306" s="286"/>
      <c r="AV306" s="286"/>
      <c r="AW306" s="286"/>
      <c r="AX306" s="286"/>
      <c r="AY306" s="286"/>
      <c r="AZ306" s="286"/>
      <c r="BA306" s="286"/>
      <c r="BB306" s="286"/>
      <c r="BC306" s="286"/>
      <c r="BD306" s="286"/>
      <c r="BE306" s="286"/>
      <c r="BF306" s="286"/>
      <c r="BG306" s="286"/>
      <c r="BH306" s="286"/>
      <c r="BI306" s="286"/>
      <c r="BJ306" s="286"/>
      <c r="BK306" s="286"/>
      <c r="BL306" s="286"/>
      <c r="BM306" s="286"/>
      <c r="BN306" s="286"/>
      <c r="BO306" s="286"/>
      <c r="BP306" s="286"/>
      <c r="BQ306" s="286"/>
      <c r="BR306" s="286"/>
      <c r="BS306" s="286"/>
      <c r="BT306" s="286"/>
      <c r="BU306" s="286"/>
      <c r="BV306" s="286"/>
      <c r="BW306" s="286"/>
      <c r="BX306" s="286"/>
      <c r="BY306" s="286"/>
      <c r="BZ306" s="286"/>
      <c r="CA306" s="286"/>
      <c r="CB306" s="286"/>
      <c r="CC306" s="286"/>
      <c r="CD306" s="286"/>
      <c r="CE306" s="286"/>
      <c r="CF306" s="286"/>
      <c r="CG306" s="286"/>
      <c r="CH306" s="286"/>
      <c r="CI306" s="286"/>
      <c r="CJ306" s="286"/>
      <c r="CK306" s="286"/>
      <c r="CL306" s="286"/>
      <c r="CM306" s="286"/>
      <c r="CN306" s="286"/>
      <c r="CO306" s="286"/>
      <c r="CP306" s="286"/>
      <c r="CQ306" s="286"/>
      <c r="CR306" s="286"/>
      <c r="CS306" s="286"/>
      <c r="CT306" s="286"/>
      <c r="CU306" s="286"/>
      <c r="CV306" s="286"/>
      <c r="CW306" s="286"/>
      <c r="CX306" s="286"/>
      <c r="CY306" s="286"/>
      <c r="CZ306" s="286"/>
      <c r="DA306" s="286"/>
      <c r="DB306" s="286"/>
      <c r="DC306" s="286"/>
      <c r="DD306" s="286"/>
      <c r="DE306" s="286"/>
      <c r="DF306" s="286"/>
      <c r="DG306" s="286"/>
      <c r="DH306" s="286"/>
      <c r="DI306" s="286"/>
      <c r="DJ306" s="286"/>
      <c r="DK306" s="286"/>
      <c r="DL306" s="286"/>
      <c r="DM306" s="286"/>
      <c r="DN306" s="286"/>
      <c r="DO306" s="286"/>
      <c r="DP306" s="286"/>
      <c r="DQ306" s="286"/>
      <c r="DR306" s="286"/>
      <c r="DS306" s="286"/>
      <c r="DT306" s="286"/>
      <c r="DU306" s="286"/>
      <c r="DV306" s="286"/>
      <c r="DW306" s="286"/>
      <c r="DX306" s="286"/>
      <c r="DY306" s="286"/>
      <c r="DZ306" s="286"/>
      <c r="EA306" s="286"/>
      <c r="EB306" s="286"/>
      <c r="EC306" s="286"/>
      <c r="ED306" s="286"/>
      <c r="EE306" s="286"/>
      <c r="EF306" s="286"/>
      <c r="EG306" s="286"/>
      <c r="EH306" s="286"/>
      <c r="EI306" s="286"/>
      <c r="EJ306" s="286"/>
      <c r="EK306" s="286"/>
      <c r="EL306" s="286"/>
      <c r="EM306" s="286"/>
      <c r="EN306" s="286"/>
      <c r="EO306" s="286"/>
      <c r="EP306" s="286"/>
      <c r="EQ306" s="286"/>
      <c r="ER306" s="286"/>
      <c r="ES306" s="286"/>
      <c r="ET306" s="286"/>
      <c r="EU306" s="286"/>
      <c r="EV306" s="286"/>
      <c r="EW306" s="286"/>
      <c r="EX306" s="286"/>
      <c r="EY306" s="286"/>
      <c r="EZ306" s="286"/>
      <c r="FA306" s="286"/>
      <c r="FB306" s="286"/>
      <c r="FC306" s="286"/>
      <c r="FD306" s="286"/>
      <c r="FE306" s="286"/>
      <c r="FF306" s="286"/>
      <c r="FG306" s="286"/>
      <c r="FH306" s="286"/>
      <c r="FI306" s="286"/>
      <c r="FJ306" s="286"/>
      <c r="FK306" s="286"/>
      <c r="FL306" s="286"/>
      <c r="FM306" s="286"/>
      <c r="FN306" s="286"/>
      <c r="FO306" s="286"/>
      <c r="FP306" s="286"/>
      <c r="FQ306" s="286"/>
      <c r="FR306" s="286"/>
      <c r="FS306" s="286"/>
    </row>
    <row r="307" spans="1:175">
      <c r="A307" s="212" t="s">
        <v>3159</v>
      </c>
      <c r="B307" s="212" t="s">
        <v>3160</v>
      </c>
      <c r="C307" s="212" t="s">
        <v>3172</v>
      </c>
      <c r="D307" s="212" t="s">
        <v>3460</v>
      </c>
      <c r="E307" s="212" t="s">
        <v>3473</v>
      </c>
      <c r="F307" s="278">
        <v>86</v>
      </c>
      <c r="G307" s="278">
        <v>974</v>
      </c>
      <c r="H307" s="287">
        <f t="shared" si="4"/>
        <v>1.9507186858316223</v>
      </c>
      <c r="I307" s="286">
        <v>1</v>
      </c>
      <c r="J307" s="286">
        <v>19</v>
      </c>
      <c r="K307" s="286">
        <v>14</v>
      </c>
      <c r="L307" s="286">
        <v>5</v>
      </c>
      <c r="M307" s="286">
        <v>19</v>
      </c>
      <c r="N307" s="286">
        <v>14</v>
      </c>
      <c r="O307" s="286">
        <v>5</v>
      </c>
      <c r="P307" s="286">
        <v>1</v>
      </c>
      <c r="Q307" s="286">
        <v>19</v>
      </c>
      <c r="R307" s="286">
        <v>14</v>
      </c>
      <c r="S307" s="286">
        <v>5</v>
      </c>
      <c r="T307" s="286">
        <v>19</v>
      </c>
      <c r="U307" s="286">
        <v>14</v>
      </c>
      <c r="V307" s="286">
        <v>5</v>
      </c>
      <c r="W307" s="286"/>
      <c r="X307" s="286"/>
      <c r="Y307" s="286"/>
      <c r="Z307" s="286"/>
      <c r="AA307" s="286"/>
      <c r="AB307" s="286"/>
      <c r="AC307" s="286"/>
      <c r="AD307" s="286"/>
      <c r="AE307" s="286"/>
      <c r="AF307" s="286"/>
      <c r="AG307" s="286"/>
      <c r="AH307" s="286"/>
      <c r="AI307" s="286"/>
      <c r="AJ307" s="286"/>
      <c r="AK307" s="286"/>
      <c r="AL307" s="286"/>
      <c r="AM307" s="286"/>
      <c r="AN307" s="286"/>
      <c r="AO307" s="286"/>
      <c r="AP307" s="286"/>
      <c r="AQ307" s="286"/>
      <c r="AR307" s="286"/>
      <c r="AS307" s="286"/>
      <c r="AT307" s="286"/>
      <c r="AU307" s="286"/>
      <c r="AV307" s="286"/>
      <c r="AW307" s="286"/>
      <c r="AX307" s="286"/>
      <c r="AY307" s="286"/>
      <c r="AZ307" s="286"/>
      <c r="BA307" s="286"/>
      <c r="BB307" s="286"/>
      <c r="BC307" s="286"/>
      <c r="BD307" s="286"/>
      <c r="BE307" s="286"/>
      <c r="BF307" s="286"/>
      <c r="BG307" s="286"/>
      <c r="BH307" s="286"/>
      <c r="BI307" s="286"/>
      <c r="BJ307" s="286"/>
      <c r="BK307" s="286"/>
      <c r="BL307" s="286"/>
      <c r="BM307" s="286"/>
      <c r="BN307" s="286"/>
      <c r="BO307" s="286"/>
      <c r="BP307" s="286"/>
      <c r="BQ307" s="286"/>
      <c r="BR307" s="286"/>
      <c r="BS307" s="286"/>
      <c r="BT307" s="286"/>
      <c r="BU307" s="286"/>
      <c r="BV307" s="286"/>
      <c r="BW307" s="286"/>
      <c r="BX307" s="286"/>
      <c r="BY307" s="286"/>
      <c r="BZ307" s="286"/>
      <c r="CA307" s="286"/>
      <c r="CB307" s="286"/>
      <c r="CC307" s="286"/>
      <c r="CD307" s="286"/>
      <c r="CE307" s="286"/>
      <c r="CF307" s="286"/>
      <c r="CG307" s="286"/>
      <c r="CH307" s="286"/>
      <c r="CI307" s="286"/>
      <c r="CJ307" s="286"/>
      <c r="CK307" s="286"/>
      <c r="CL307" s="286"/>
      <c r="CM307" s="286"/>
      <c r="CN307" s="286"/>
      <c r="CO307" s="286"/>
      <c r="CP307" s="286"/>
      <c r="CQ307" s="286"/>
      <c r="CR307" s="286"/>
      <c r="CS307" s="286"/>
      <c r="CT307" s="286"/>
      <c r="CU307" s="286"/>
      <c r="CV307" s="286"/>
      <c r="CW307" s="286"/>
      <c r="CX307" s="286"/>
      <c r="CY307" s="286"/>
      <c r="CZ307" s="286"/>
      <c r="DA307" s="286"/>
      <c r="DB307" s="286"/>
      <c r="DC307" s="286"/>
      <c r="DD307" s="286"/>
      <c r="DE307" s="286"/>
      <c r="DF307" s="286"/>
      <c r="DG307" s="286"/>
      <c r="DH307" s="286"/>
      <c r="DI307" s="286"/>
      <c r="DJ307" s="286"/>
      <c r="DK307" s="286"/>
      <c r="DL307" s="286"/>
      <c r="DM307" s="286"/>
      <c r="DN307" s="286"/>
      <c r="DO307" s="286"/>
      <c r="DP307" s="286"/>
      <c r="DQ307" s="286"/>
      <c r="DR307" s="286"/>
      <c r="DS307" s="286"/>
      <c r="DT307" s="286"/>
      <c r="DU307" s="286"/>
      <c r="DV307" s="286"/>
      <c r="DW307" s="286"/>
      <c r="DX307" s="286"/>
      <c r="DY307" s="286"/>
      <c r="DZ307" s="286"/>
      <c r="EA307" s="286"/>
      <c r="EB307" s="286"/>
      <c r="EC307" s="286"/>
      <c r="ED307" s="286"/>
      <c r="EE307" s="286"/>
      <c r="EF307" s="286"/>
      <c r="EG307" s="286"/>
      <c r="EH307" s="286"/>
      <c r="EI307" s="286"/>
      <c r="EJ307" s="286"/>
      <c r="EK307" s="286"/>
      <c r="EL307" s="286"/>
      <c r="EM307" s="286"/>
      <c r="EN307" s="286"/>
      <c r="EO307" s="286"/>
      <c r="EP307" s="286"/>
      <c r="EQ307" s="286"/>
      <c r="ER307" s="286"/>
      <c r="ES307" s="286"/>
      <c r="ET307" s="286"/>
      <c r="EU307" s="286"/>
      <c r="EV307" s="286"/>
      <c r="EW307" s="286"/>
      <c r="EX307" s="286"/>
      <c r="EY307" s="286"/>
      <c r="EZ307" s="286"/>
      <c r="FA307" s="286"/>
      <c r="FB307" s="286"/>
      <c r="FC307" s="286"/>
      <c r="FD307" s="286"/>
      <c r="FE307" s="286"/>
      <c r="FF307" s="286"/>
      <c r="FG307" s="286"/>
      <c r="FH307" s="286"/>
      <c r="FI307" s="286"/>
      <c r="FJ307" s="286"/>
      <c r="FK307" s="286"/>
      <c r="FL307" s="286"/>
      <c r="FM307" s="286"/>
      <c r="FN307" s="286"/>
      <c r="FO307" s="286"/>
      <c r="FP307" s="286"/>
      <c r="FQ307" s="286"/>
      <c r="FR307" s="286"/>
      <c r="FS307" s="286"/>
    </row>
    <row r="308" spans="1:175">
      <c r="A308" s="212" t="s">
        <v>3159</v>
      </c>
      <c r="B308" s="212" t="s">
        <v>3160</v>
      </c>
      <c r="C308" s="212" t="s">
        <v>3172</v>
      </c>
      <c r="D308" s="212" t="s">
        <v>3460</v>
      </c>
      <c r="E308" s="212" t="s">
        <v>3474</v>
      </c>
      <c r="F308" s="278">
        <v>6085</v>
      </c>
      <c r="G308" s="278">
        <v>80936</v>
      </c>
      <c r="H308" s="287">
        <f t="shared" si="4"/>
        <v>0.63383414055550058</v>
      </c>
      <c r="I308" s="286">
        <v>98</v>
      </c>
      <c r="J308" s="286">
        <v>513</v>
      </c>
      <c r="K308" s="286">
        <v>309</v>
      </c>
      <c r="L308" s="286">
        <v>203</v>
      </c>
      <c r="M308" s="286">
        <v>414</v>
      </c>
      <c r="N308" s="286">
        <v>227</v>
      </c>
      <c r="O308" s="286">
        <v>186</v>
      </c>
      <c r="P308" s="286">
        <v>98</v>
      </c>
      <c r="Q308" s="286">
        <v>513</v>
      </c>
      <c r="R308" s="286">
        <v>309</v>
      </c>
      <c r="S308" s="286">
        <v>203</v>
      </c>
      <c r="T308" s="286">
        <v>414</v>
      </c>
      <c r="U308" s="286">
        <v>227</v>
      </c>
      <c r="V308" s="286">
        <v>186</v>
      </c>
      <c r="W308" s="286"/>
      <c r="X308" s="286"/>
      <c r="Y308" s="286"/>
      <c r="Z308" s="286"/>
      <c r="AA308" s="286"/>
      <c r="AB308" s="286"/>
      <c r="AC308" s="286"/>
      <c r="AD308" s="286"/>
      <c r="AE308" s="286"/>
      <c r="AF308" s="286"/>
      <c r="AG308" s="286"/>
      <c r="AH308" s="286"/>
      <c r="AI308" s="286"/>
      <c r="AJ308" s="286"/>
      <c r="AK308" s="286"/>
      <c r="AL308" s="286"/>
      <c r="AM308" s="286"/>
      <c r="AN308" s="286"/>
      <c r="AO308" s="286"/>
      <c r="AP308" s="286"/>
      <c r="AQ308" s="286"/>
      <c r="AR308" s="286"/>
      <c r="AS308" s="286"/>
      <c r="AT308" s="286"/>
      <c r="AU308" s="286"/>
      <c r="AV308" s="286"/>
      <c r="AW308" s="286"/>
      <c r="AX308" s="286"/>
      <c r="AY308" s="286"/>
      <c r="AZ308" s="286"/>
      <c r="BA308" s="286"/>
      <c r="BB308" s="286"/>
      <c r="BC308" s="286"/>
      <c r="BD308" s="286"/>
      <c r="BE308" s="286"/>
      <c r="BF308" s="286"/>
      <c r="BG308" s="286"/>
      <c r="BH308" s="286"/>
      <c r="BI308" s="286"/>
      <c r="BJ308" s="286"/>
      <c r="BK308" s="286"/>
      <c r="BL308" s="286"/>
      <c r="BM308" s="286"/>
      <c r="BN308" s="286"/>
      <c r="BO308" s="286"/>
      <c r="BP308" s="286"/>
      <c r="BQ308" s="286"/>
      <c r="BR308" s="286"/>
      <c r="BS308" s="286"/>
      <c r="BT308" s="286"/>
      <c r="BU308" s="286"/>
      <c r="BV308" s="286"/>
      <c r="BW308" s="286"/>
      <c r="BX308" s="286"/>
      <c r="BY308" s="286"/>
      <c r="BZ308" s="286"/>
      <c r="CA308" s="286"/>
      <c r="CB308" s="286"/>
      <c r="CC308" s="286"/>
      <c r="CD308" s="286"/>
      <c r="CE308" s="286"/>
      <c r="CF308" s="286"/>
      <c r="CG308" s="286"/>
      <c r="CH308" s="286"/>
      <c r="CI308" s="286"/>
      <c r="CJ308" s="286"/>
      <c r="CK308" s="286"/>
      <c r="CL308" s="286"/>
      <c r="CM308" s="286"/>
      <c r="CN308" s="286"/>
      <c r="CO308" s="286"/>
      <c r="CP308" s="286"/>
      <c r="CQ308" s="286"/>
      <c r="CR308" s="286"/>
      <c r="CS308" s="286"/>
      <c r="CT308" s="286"/>
      <c r="CU308" s="286"/>
      <c r="CV308" s="286"/>
      <c r="CW308" s="286"/>
      <c r="CX308" s="286"/>
      <c r="CY308" s="286"/>
      <c r="CZ308" s="286"/>
      <c r="DA308" s="286"/>
      <c r="DB308" s="286"/>
      <c r="DC308" s="286"/>
      <c r="DD308" s="286"/>
      <c r="DE308" s="286"/>
      <c r="DF308" s="286"/>
      <c r="DG308" s="286"/>
      <c r="DH308" s="286"/>
      <c r="DI308" s="286"/>
      <c r="DJ308" s="286"/>
      <c r="DK308" s="286"/>
      <c r="DL308" s="286"/>
      <c r="DM308" s="286"/>
      <c r="DN308" s="286"/>
      <c r="DO308" s="286"/>
      <c r="DP308" s="286"/>
      <c r="DQ308" s="286"/>
      <c r="DR308" s="286"/>
      <c r="DS308" s="286"/>
      <c r="DT308" s="286"/>
      <c r="DU308" s="286"/>
      <c r="DV308" s="286"/>
      <c r="DW308" s="286"/>
      <c r="DX308" s="286"/>
      <c r="DY308" s="286"/>
      <c r="DZ308" s="286"/>
      <c r="EA308" s="286"/>
      <c r="EB308" s="286"/>
      <c r="EC308" s="286"/>
      <c r="ED308" s="286"/>
      <c r="EE308" s="286"/>
      <c r="EF308" s="286"/>
      <c r="EG308" s="286"/>
      <c r="EH308" s="286"/>
      <c r="EI308" s="286"/>
      <c r="EJ308" s="286"/>
      <c r="EK308" s="286"/>
      <c r="EL308" s="286"/>
      <c r="EM308" s="286"/>
      <c r="EN308" s="286"/>
      <c r="EO308" s="286"/>
      <c r="EP308" s="286"/>
      <c r="EQ308" s="286"/>
      <c r="ER308" s="286"/>
      <c r="ES308" s="286"/>
      <c r="ET308" s="286"/>
      <c r="EU308" s="286"/>
      <c r="EV308" s="286"/>
      <c r="EW308" s="286"/>
      <c r="EX308" s="286"/>
      <c r="EY308" s="286"/>
      <c r="EZ308" s="286"/>
      <c r="FA308" s="286"/>
      <c r="FB308" s="286"/>
      <c r="FC308" s="286"/>
      <c r="FD308" s="286"/>
      <c r="FE308" s="286"/>
      <c r="FF308" s="286"/>
      <c r="FG308" s="286"/>
      <c r="FH308" s="286"/>
      <c r="FI308" s="286"/>
      <c r="FJ308" s="286"/>
      <c r="FK308" s="286"/>
      <c r="FL308" s="286"/>
      <c r="FM308" s="286"/>
      <c r="FN308" s="286"/>
      <c r="FO308" s="286"/>
      <c r="FP308" s="286"/>
      <c r="FQ308" s="286"/>
      <c r="FR308" s="286"/>
      <c r="FS308" s="286"/>
    </row>
    <row r="309" spans="1:175">
      <c r="A309" s="212" t="s">
        <v>3159</v>
      </c>
      <c r="B309" s="212" t="s">
        <v>3160</v>
      </c>
      <c r="C309" s="212" t="s">
        <v>3172</v>
      </c>
      <c r="D309" s="212" t="s">
        <v>3460</v>
      </c>
      <c r="E309" s="212" t="s">
        <v>3475</v>
      </c>
      <c r="F309" s="278">
        <v>792</v>
      </c>
      <c r="G309" s="278">
        <v>6210</v>
      </c>
      <c r="H309" s="287">
        <f t="shared" si="4"/>
        <v>0.64412238325281801</v>
      </c>
      <c r="I309" s="286">
        <v>17</v>
      </c>
      <c r="J309" s="286">
        <v>40</v>
      </c>
      <c r="K309" s="286">
        <v>29</v>
      </c>
      <c r="L309" s="286">
        <v>11</v>
      </c>
      <c r="M309" s="286">
        <v>22</v>
      </c>
      <c r="N309" s="286">
        <v>15</v>
      </c>
      <c r="O309" s="286">
        <v>7</v>
      </c>
      <c r="P309" s="286">
        <v>17</v>
      </c>
      <c r="Q309" s="286">
        <v>40</v>
      </c>
      <c r="R309" s="286">
        <v>29</v>
      </c>
      <c r="S309" s="286">
        <v>11</v>
      </c>
      <c r="T309" s="286">
        <v>22</v>
      </c>
      <c r="U309" s="286">
        <v>15</v>
      </c>
      <c r="V309" s="286">
        <v>7</v>
      </c>
      <c r="W309" s="286"/>
      <c r="X309" s="286"/>
      <c r="Y309" s="286"/>
      <c r="Z309" s="286"/>
      <c r="AA309" s="286"/>
      <c r="AB309" s="286"/>
      <c r="AC309" s="286"/>
      <c r="AD309" s="286"/>
      <c r="AE309" s="286"/>
      <c r="AF309" s="286"/>
      <c r="AG309" s="286"/>
      <c r="AH309" s="286"/>
      <c r="AI309" s="286"/>
      <c r="AJ309" s="286"/>
      <c r="AK309" s="286"/>
      <c r="AL309" s="286"/>
      <c r="AM309" s="286"/>
      <c r="AN309" s="286"/>
      <c r="AO309" s="286"/>
      <c r="AP309" s="286"/>
      <c r="AQ309" s="286"/>
      <c r="AR309" s="286"/>
      <c r="AS309" s="286"/>
      <c r="AT309" s="286"/>
      <c r="AU309" s="286"/>
      <c r="AV309" s="286"/>
      <c r="AW309" s="286"/>
      <c r="AX309" s="286"/>
      <c r="AY309" s="286"/>
      <c r="AZ309" s="286"/>
      <c r="BA309" s="286"/>
      <c r="BB309" s="286"/>
      <c r="BC309" s="286"/>
      <c r="BD309" s="286"/>
      <c r="BE309" s="286"/>
      <c r="BF309" s="286"/>
      <c r="BG309" s="286"/>
      <c r="BH309" s="286"/>
      <c r="BI309" s="286"/>
      <c r="BJ309" s="286"/>
      <c r="BK309" s="286"/>
      <c r="BL309" s="286"/>
      <c r="BM309" s="286"/>
      <c r="BN309" s="286"/>
      <c r="BO309" s="286"/>
      <c r="BP309" s="286"/>
      <c r="BQ309" s="286"/>
      <c r="BR309" s="286"/>
      <c r="BS309" s="286"/>
      <c r="BT309" s="286"/>
      <c r="BU309" s="286"/>
      <c r="BV309" s="286"/>
      <c r="BW309" s="286"/>
      <c r="BX309" s="286"/>
      <c r="BY309" s="286"/>
      <c r="BZ309" s="286"/>
      <c r="CA309" s="286"/>
      <c r="CB309" s="286"/>
      <c r="CC309" s="286"/>
      <c r="CD309" s="286"/>
      <c r="CE309" s="286"/>
      <c r="CF309" s="286"/>
      <c r="CG309" s="286"/>
      <c r="CH309" s="286"/>
      <c r="CI309" s="286"/>
      <c r="CJ309" s="286"/>
      <c r="CK309" s="286"/>
      <c r="CL309" s="286"/>
      <c r="CM309" s="286"/>
      <c r="CN309" s="286"/>
      <c r="CO309" s="286"/>
      <c r="CP309" s="286"/>
      <c r="CQ309" s="286"/>
      <c r="CR309" s="286"/>
      <c r="CS309" s="286"/>
      <c r="CT309" s="286"/>
      <c r="CU309" s="286"/>
      <c r="CV309" s="286"/>
      <c r="CW309" s="286"/>
      <c r="CX309" s="286"/>
      <c r="CY309" s="286"/>
      <c r="CZ309" s="286"/>
      <c r="DA309" s="286"/>
      <c r="DB309" s="286"/>
      <c r="DC309" s="286"/>
      <c r="DD309" s="286"/>
      <c r="DE309" s="286"/>
      <c r="DF309" s="286"/>
      <c r="DG309" s="286"/>
      <c r="DH309" s="286"/>
      <c r="DI309" s="286"/>
      <c r="DJ309" s="286"/>
      <c r="DK309" s="286"/>
      <c r="DL309" s="286"/>
      <c r="DM309" s="286"/>
      <c r="DN309" s="286"/>
      <c r="DO309" s="286"/>
      <c r="DP309" s="286"/>
      <c r="DQ309" s="286"/>
      <c r="DR309" s="286"/>
      <c r="DS309" s="286"/>
      <c r="DT309" s="286"/>
      <c r="DU309" s="286"/>
      <c r="DV309" s="286"/>
      <c r="DW309" s="286"/>
      <c r="DX309" s="286"/>
      <c r="DY309" s="286"/>
      <c r="DZ309" s="286"/>
      <c r="EA309" s="286"/>
      <c r="EB309" s="286"/>
      <c r="EC309" s="286"/>
      <c r="ED309" s="286"/>
      <c r="EE309" s="286"/>
      <c r="EF309" s="286"/>
      <c r="EG309" s="286"/>
      <c r="EH309" s="286"/>
      <c r="EI309" s="286"/>
      <c r="EJ309" s="286"/>
      <c r="EK309" s="286"/>
      <c r="EL309" s="286"/>
      <c r="EM309" s="286"/>
      <c r="EN309" s="286"/>
      <c r="EO309" s="286"/>
      <c r="EP309" s="286"/>
      <c r="EQ309" s="286"/>
      <c r="ER309" s="286"/>
      <c r="ES309" s="286"/>
      <c r="ET309" s="286"/>
      <c r="EU309" s="286"/>
      <c r="EV309" s="286"/>
      <c r="EW309" s="286"/>
      <c r="EX309" s="286"/>
      <c r="EY309" s="286"/>
      <c r="EZ309" s="286"/>
      <c r="FA309" s="286"/>
      <c r="FB309" s="286"/>
      <c r="FC309" s="286"/>
      <c r="FD309" s="286"/>
      <c r="FE309" s="286"/>
      <c r="FF309" s="286"/>
      <c r="FG309" s="286"/>
      <c r="FH309" s="286"/>
      <c r="FI309" s="286"/>
      <c r="FJ309" s="286"/>
      <c r="FK309" s="286"/>
      <c r="FL309" s="286"/>
      <c r="FM309" s="286"/>
      <c r="FN309" s="286"/>
      <c r="FO309" s="286"/>
      <c r="FP309" s="286"/>
      <c r="FQ309" s="286"/>
      <c r="FR309" s="286"/>
      <c r="FS309" s="286"/>
    </row>
    <row r="310" spans="1:175">
      <c r="A310" s="212" t="s">
        <v>3159</v>
      </c>
      <c r="B310" s="212" t="s">
        <v>3160</v>
      </c>
      <c r="C310" s="212" t="s">
        <v>3172</v>
      </c>
      <c r="D310" s="212" t="s">
        <v>3460</v>
      </c>
      <c r="E310" s="212" t="s">
        <v>3476</v>
      </c>
      <c r="F310" s="278">
        <v>1521</v>
      </c>
      <c r="G310" s="278">
        <v>45686</v>
      </c>
      <c r="H310" s="287">
        <f t="shared" si="4"/>
        <v>2.0662785098279559</v>
      </c>
      <c r="I310" s="286">
        <v>24</v>
      </c>
      <c r="J310" s="286">
        <v>944</v>
      </c>
      <c r="K310" s="286">
        <v>737</v>
      </c>
      <c r="L310" s="286">
        <v>207</v>
      </c>
      <c r="M310" s="286">
        <v>915</v>
      </c>
      <c r="N310" s="286">
        <v>714</v>
      </c>
      <c r="O310" s="286">
        <v>201</v>
      </c>
      <c r="P310" s="286">
        <v>24</v>
      </c>
      <c r="Q310" s="286">
        <v>944</v>
      </c>
      <c r="R310" s="286">
        <v>737</v>
      </c>
      <c r="S310" s="286">
        <v>207</v>
      </c>
      <c r="T310" s="286">
        <v>915</v>
      </c>
      <c r="U310" s="286">
        <v>714</v>
      </c>
      <c r="V310" s="286">
        <v>201</v>
      </c>
      <c r="W310" s="286"/>
      <c r="X310" s="286"/>
      <c r="Y310" s="286"/>
      <c r="Z310" s="286"/>
      <c r="AA310" s="286"/>
      <c r="AB310" s="286"/>
      <c r="AC310" s="286"/>
      <c r="AD310" s="286"/>
      <c r="AE310" s="286"/>
      <c r="AF310" s="286"/>
      <c r="AG310" s="286"/>
      <c r="AH310" s="286"/>
      <c r="AI310" s="286"/>
      <c r="AJ310" s="286"/>
      <c r="AK310" s="286"/>
      <c r="AL310" s="286"/>
      <c r="AM310" s="286"/>
      <c r="AN310" s="286"/>
      <c r="AO310" s="286"/>
      <c r="AP310" s="286"/>
      <c r="AQ310" s="286"/>
      <c r="AR310" s="286"/>
      <c r="AS310" s="286"/>
      <c r="AT310" s="286"/>
      <c r="AU310" s="286"/>
      <c r="AV310" s="286"/>
      <c r="AW310" s="286"/>
      <c r="AX310" s="286"/>
      <c r="AY310" s="286"/>
      <c r="AZ310" s="286"/>
      <c r="BA310" s="286"/>
      <c r="BB310" s="286"/>
      <c r="BC310" s="286"/>
      <c r="BD310" s="286"/>
      <c r="BE310" s="286"/>
      <c r="BF310" s="286"/>
      <c r="BG310" s="286"/>
      <c r="BH310" s="286"/>
      <c r="BI310" s="286"/>
      <c r="BJ310" s="286"/>
      <c r="BK310" s="286"/>
      <c r="BL310" s="286"/>
      <c r="BM310" s="286"/>
      <c r="BN310" s="286"/>
      <c r="BO310" s="286"/>
      <c r="BP310" s="286"/>
      <c r="BQ310" s="286"/>
      <c r="BR310" s="286"/>
      <c r="BS310" s="286"/>
      <c r="BT310" s="286"/>
      <c r="BU310" s="286"/>
      <c r="BV310" s="286"/>
      <c r="BW310" s="286"/>
      <c r="BX310" s="286"/>
      <c r="BY310" s="286"/>
      <c r="BZ310" s="286"/>
      <c r="CA310" s="286"/>
      <c r="CB310" s="286"/>
      <c r="CC310" s="286"/>
      <c r="CD310" s="286"/>
      <c r="CE310" s="286"/>
      <c r="CF310" s="286"/>
      <c r="CG310" s="286"/>
      <c r="CH310" s="286"/>
      <c r="CI310" s="286"/>
      <c r="CJ310" s="286"/>
      <c r="CK310" s="286"/>
      <c r="CL310" s="286"/>
      <c r="CM310" s="286"/>
      <c r="CN310" s="286"/>
      <c r="CO310" s="286"/>
      <c r="CP310" s="286"/>
      <c r="CQ310" s="286"/>
      <c r="CR310" s="286"/>
      <c r="CS310" s="286"/>
      <c r="CT310" s="286"/>
      <c r="CU310" s="286"/>
      <c r="CV310" s="286"/>
      <c r="CW310" s="286"/>
      <c r="CX310" s="286"/>
      <c r="CY310" s="286"/>
      <c r="CZ310" s="286"/>
      <c r="DA310" s="286"/>
      <c r="DB310" s="286"/>
      <c r="DC310" s="286"/>
      <c r="DD310" s="286"/>
      <c r="DE310" s="286"/>
      <c r="DF310" s="286"/>
      <c r="DG310" s="286"/>
      <c r="DH310" s="286"/>
      <c r="DI310" s="286"/>
      <c r="DJ310" s="286"/>
      <c r="DK310" s="286"/>
      <c r="DL310" s="286"/>
      <c r="DM310" s="286"/>
      <c r="DN310" s="286"/>
      <c r="DO310" s="286"/>
      <c r="DP310" s="286"/>
      <c r="DQ310" s="286"/>
      <c r="DR310" s="286"/>
      <c r="DS310" s="286"/>
      <c r="DT310" s="286"/>
      <c r="DU310" s="286"/>
      <c r="DV310" s="286"/>
      <c r="DW310" s="286"/>
      <c r="DX310" s="286"/>
      <c r="DY310" s="286"/>
      <c r="DZ310" s="286"/>
      <c r="EA310" s="286"/>
      <c r="EB310" s="286"/>
      <c r="EC310" s="286"/>
      <c r="ED310" s="286"/>
      <c r="EE310" s="286"/>
      <c r="EF310" s="286"/>
      <c r="EG310" s="286"/>
      <c r="EH310" s="286"/>
      <c r="EI310" s="286"/>
      <c r="EJ310" s="286"/>
      <c r="EK310" s="286"/>
      <c r="EL310" s="286"/>
      <c r="EM310" s="286"/>
      <c r="EN310" s="286"/>
      <c r="EO310" s="286"/>
      <c r="EP310" s="286"/>
      <c r="EQ310" s="286"/>
      <c r="ER310" s="286"/>
      <c r="ES310" s="286"/>
      <c r="ET310" s="286"/>
      <c r="EU310" s="286"/>
      <c r="EV310" s="286"/>
      <c r="EW310" s="286"/>
      <c r="EX310" s="286"/>
      <c r="EY310" s="286"/>
      <c r="EZ310" s="286"/>
      <c r="FA310" s="286"/>
      <c r="FB310" s="286"/>
      <c r="FC310" s="286"/>
      <c r="FD310" s="286"/>
      <c r="FE310" s="286"/>
      <c r="FF310" s="286"/>
      <c r="FG310" s="286"/>
      <c r="FH310" s="286"/>
      <c r="FI310" s="286"/>
      <c r="FJ310" s="286"/>
      <c r="FK310" s="286"/>
      <c r="FL310" s="286"/>
      <c r="FM310" s="286"/>
      <c r="FN310" s="286"/>
      <c r="FO310" s="286"/>
      <c r="FP310" s="286"/>
      <c r="FQ310" s="286"/>
      <c r="FR310" s="286"/>
      <c r="FS310" s="286"/>
    </row>
    <row r="311" spans="1:175">
      <c r="A311" s="212" t="s">
        <v>3159</v>
      </c>
      <c r="B311" s="212" t="s">
        <v>3160</v>
      </c>
      <c r="C311" s="212" t="s">
        <v>3172</v>
      </c>
      <c r="D311" s="212" t="s">
        <v>3460</v>
      </c>
      <c r="E311" s="212" t="s">
        <v>3477</v>
      </c>
      <c r="F311" s="278">
        <v>4649</v>
      </c>
      <c r="G311" s="278">
        <v>60309</v>
      </c>
      <c r="H311" s="287">
        <f t="shared" si="4"/>
        <v>0.79258485466514128</v>
      </c>
      <c r="I311" s="286">
        <v>81</v>
      </c>
      <c r="J311" s="286">
        <v>478</v>
      </c>
      <c r="K311" s="286">
        <v>200</v>
      </c>
      <c r="L311" s="286">
        <v>278</v>
      </c>
      <c r="M311" s="286">
        <v>356</v>
      </c>
      <c r="N311" s="286">
        <v>120</v>
      </c>
      <c r="O311" s="286">
        <v>236</v>
      </c>
      <c r="P311" s="286">
        <v>81</v>
      </c>
      <c r="Q311" s="286">
        <v>478</v>
      </c>
      <c r="R311" s="286">
        <v>200</v>
      </c>
      <c r="S311" s="286">
        <v>278</v>
      </c>
      <c r="T311" s="286">
        <v>356</v>
      </c>
      <c r="U311" s="286">
        <v>120</v>
      </c>
      <c r="V311" s="286">
        <v>236</v>
      </c>
      <c r="W311" s="286"/>
      <c r="X311" s="286"/>
      <c r="Y311" s="286"/>
      <c r="Z311" s="286"/>
      <c r="AA311" s="286"/>
      <c r="AB311" s="286"/>
      <c r="AC311" s="286"/>
      <c r="AD311" s="286"/>
      <c r="AE311" s="286"/>
      <c r="AF311" s="286"/>
      <c r="AG311" s="286"/>
      <c r="AH311" s="286"/>
      <c r="AI311" s="286"/>
      <c r="AJ311" s="286"/>
      <c r="AK311" s="286"/>
      <c r="AL311" s="286"/>
      <c r="AM311" s="286"/>
      <c r="AN311" s="286"/>
      <c r="AO311" s="286"/>
      <c r="AP311" s="286"/>
      <c r="AQ311" s="286"/>
      <c r="AR311" s="286"/>
      <c r="AS311" s="286"/>
      <c r="AT311" s="286"/>
      <c r="AU311" s="286"/>
      <c r="AV311" s="286"/>
      <c r="AW311" s="286"/>
      <c r="AX311" s="286"/>
      <c r="AY311" s="286"/>
      <c r="AZ311" s="286"/>
      <c r="BA311" s="286"/>
      <c r="BB311" s="286"/>
      <c r="BC311" s="286"/>
      <c r="BD311" s="286"/>
      <c r="BE311" s="286"/>
      <c r="BF311" s="286"/>
      <c r="BG311" s="286"/>
      <c r="BH311" s="286"/>
      <c r="BI311" s="286"/>
      <c r="BJ311" s="286"/>
      <c r="BK311" s="286"/>
      <c r="BL311" s="286"/>
      <c r="BM311" s="286"/>
      <c r="BN311" s="286"/>
      <c r="BO311" s="286"/>
      <c r="BP311" s="286"/>
      <c r="BQ311" s="286"/>
      <c r="BR311" s="286"/>
      <c r="BS311" s="286"/>
      <c r="BT311" s="286"/>
      <c r="BU311" s="286"/>
      <c r="BV311" s="286"/>
      <c r="BW311" s="286"/>
      <c r="BX311" s="286"/>
      <c r="BY311" s="286"/>
      <c r="BZ311" s="286"/>
      <c r="CA311" s="286"/>
      <c r="CB311" s="286"/>
      <c r="CC311" s="286"/>
      <c r="CD311" s="286"/>
      <c r="CE311" s="286"/>
      <c r="CF311" s="286"/>
      <c r="CG311" s="286"/>
      <c r="CH311" s="286"/>
      <c r="CI311" s="286"/>
      <c r="CJ311" s="286"/>
      <c r="CK311" s="286"/>
      <c r="CL311" s="286"/>
      <c r="CM311" s="286"/>
      <c r="CN311" s="286"/>
      <c r="CO311" s="286"/>
      <c r="CP311" s="286"/>
      <c r="CQ311" s="286"/>
      <c r="CR311" s="286"/>
      <c r="CS311" s="286"/>
      <c r="CT311" s="286"/>
      <c r="CU311" s="286"/>
      <c r="CV311" s="286"/>
      <c r="CW311" s="286"/>
      <c r="CX311" s="286"/>
      <c r="CY311" s="286"/>
      <c r="CZ311" s="286"/>
      <c r="DA311" s="286"/>
      <c r="DB311" s="286"/>
      <c r="DC311" s="286"/>
      <c r="DD311" s="286"/>
      <c r="DE311" s="286"/>
      <c r="DF311" s="286"/>
      <c r="DG311" s="286"/>
      <c r="DH311" s="286"/>
      <c r="DI311" s="286"/>
      <c r="DJ311" s="286"/>
      <c r="DK311" s="286"/>
      <c r="DL311" s="286"/>
      <c r="DM311" s="286"/>
      <c r="DN311" s="286"/>
      <c r="DO311" s="286"/>
      <c r="DP311" s="286"/>
      <c r="DQ311" s="286"/>
      <c r="DR311" s="286"/>
      <c r="DS311" s="286"/>
      <c r="DT311" s="286"/>
      <c r="DU311" s="286"/>
      <c r="DV311" s="286"/>
      <c r="DW311" s="286"/>
      <c r="DX311" s="286"/>
      <c r="DY311" s="286"/>
      <c r="DZ311" s="286"/>
      <c r="EA311" s="286"/>
      <c r="EB311" s="286"/>
      <c r="EC311" s="286"/>
      <c r="ED311" s="286"/>
      <c r="EE311" s="286"/>
      <c r="EF311" s="286"/>
      <c r="EG311" s="286"/>
      <c r="EH311" s="286"/>
      <c r="EI311" s="286"/>
      <c r="EJ311" s="286"/>
      <c r="EK311" s="286"/>
      <c r="EL311" s="286"/>
      <c r="EM311" s="286"/>
      <c r="EN311" s="286"/>
      <c r="EO311" s="286"/>
      <c r="EP311" s="286"/>
      <c r="EQ311" s="286"/>
      <c r="ER311" s="286"/>
      <c r="ES311" s="286"/>
      <c r="ET311" s="286"/>
      <c r="EU311" s="286"/>
      <c r="EV311" s="286"/>
      <c r="EW311" s="286"/>
      <c r="EX311" s="286"/>
      <c r="EY311" s="286"/>
      <c r="EZ311" s="286"/>
      <c r="FA311" s="286"/>
      <c r="FB311" s="286"/>
      <c r="FC311" s="286"/>
      <c r="FD311" s="286"/>
      <c r="FE311" s="286"/>
      <c r="FF311" s="286"/>
      <c r="FG311" s="286"/>
      <c r="FH311" s="286"/>
      <c r="FI311" s="286"/>
      <c r="FJ311" s="286"/>
      <c r="FK311" s="286"/>
      <c r="FL311" s="286"/>
      <c r="FM311" s="286"/>
      <c r="FN311" s="286"/>
      <c r="FO311" s="286"/>
      <c r="FP311" s="286"/>
      <c r="FQ311" s="286"/>
      <c r="FR311" s="286"/>
      <c r="FS311" s="286"/>
    </row>
    <row r="312" spans="1:175">
      <c r="A312" s="212" t="s">
        <v>3159</v>
      </c>
      <c r="B312" s="212" t="s">
        <v>3160</v>
      </c>
      <c r="C312" s="212" t="s">
        <v>3172</v>
      </c>
      <c r="D312" s="212" t="s">
        <v>3460</v>
      </c>
      <c r="E312" s="212" t="s">
        <v>3478</v>
      </c>
      <c r="F312" s="278">
        <v>2437</v>
      </c>
      <c r="G312" s="278">
        <v>20924</v>
      </c>
      <c r="H312" s="287">
        <f t="shared" si="4"/>
        <v>0.93194417893328241</v>
      </c>
      <c r="I312" s="286">
        <v>41</v>
      </c>
      <c r="J312" s="286">
        <v>195</v>
      </c>
      <c r="K312" s="286">
        <v>107</v>
      </c>
      <c r="L312" s="286">
        <v>88</v>
      </c>
      <c r="M312" s="286">
        <v>148</v>
      </c>
      <c r="N312" s="286">
        <v>73</v>
      </c>
      <c r="O312" s="286">
        <v>75</v>
      </c>
      <c r="P312" s="286">
        <v>41</v>
      </c>
      <c r="Q312" s="286">
        <v>195</v>
      </c>
      <c r="R312" s="286">
        <v>107</v>
      </c>
      <c r="S312" s="286">
        <v>88</v>
      </c>
      <c r="T312" s="286">
        <v>148</v>
      </c>
      <c r="U312" s="286">
        <v>73</v>
      </c>
      <c r="V312" s="286">
        <v>75</v>
      </c>
      <c r="W312" s="286"/>
      <c r="X312" s="286"/>
      <c r="Y312" s="286"/>
      <c r="Z312" s="286"/>
      <c r="AA312" s="286"/>
      <c r="AB312" s="286"/>
      <c r="AC312" s="286"/>
      <c r="AD312" s="286"/>
      <c r="AE312" s="286"/>
      <c r="AF312" s="286"/>
      <c r="AG312" s="286"/>
      <c r="AH312" s="286"/>
      <c r="AI312" s="286"/>
      <c r="AJ312" s="286"/>
      <c r="AK312" s="286"/>
      <c r="AL312" s="286"/>
      <c r="AM312" s="286"/>
      <c r="AN312" s="286"/>
      <c r="AO312" s="286"/>
      <c r="AP312" s="286"/>
      <c r="AQ312" s="286"/>
      <c r="AR312" s="286"/>
      <c r="AS312" s="286"/>
      <c r="AT312" s="286"/>
      <c r="AU312" s="286"/>
      <c r="AV312" s="286"/>
      <c r="AW312" s="286"/>
      <c r="AX312" s="286"/>
      <c r="AY312" s="286"/>
      <c r="AZ312" s="286"/>
      <c r="BA312" s="286"/>
      <c r="BB312" s="286"/>
      <c r="BC312" s="286"/>
      <c r="BD312" s="286"/>
      <c r="BE312" s="286"/>
      <c r="BF312" s="286"/>
      <c r="BG312" s="286"/>
      <c r="BH312" s="286"/>
      <c r="BI312" s="286"/>
      <c r="BJ312" s="286"/>
      <c r="BK312" s="286"/>
      <c r="BL312" s="286"/>
      <c r="BM312" s="286"/>
      <c r="BN312" s="286"/>
      <c r="BO312" s="286"/>
      <c r="BP312" s="286"/>
      <c r="BQ312" s="286"/>
      <c r="BR312" s="286"/>
      <c r="BS312" s="286"/>
      <c r="BT312" s="286"/>
      <c r="BU312" s="286"/>
      <c r="BV312" s="286"/>
      <c r="BW312" s="286"/>
      <c r="BX312" s="286"/>
      <c r="BY312" s="286"/>
      <c r="BZ312" s="286"/>
      <c r="CA312" s="286"/>
      <c r="CB312" s="286"/>
      <c r="CC312" s="286"/>
      <c r="CD312" s="286"/>
      <c r="CE312" s="286"/>
      <c r="CF312" s="286"/>
      <c r="CG312" s="286"/>
      <c r="CH312" s="286"/>
      <c r="CI312" s="286"/>
      <c r="CJ312" s="286"/>
      <c r="CK312" s="286"/>
      <c r="CL312" s="286"/>
      <c r="CM312" s="286"/>
      <c r="CN312" s="286"/>
      <c r="CO312" s="286"/>
      <c r="CP312" s="286"/>
      <c r="CQ312" s="286"/>
      <c r="CR312" s="286"/>
      <c r="CS312" s="286"/>
      <c r="CT312" s="286"/>
      <c r="CU312" s="286"/>
      <c r="CV312" s="286"/>
      <c r="CW312" s="286"/>
      <c r="CX312" s="286"/>
      <c r="CY312" s="286"/>
      <c r="CZ312" s="286"/>
      <c r="DA312" s="286"/>
      <c r="DB312" s="286"/>
      <c r="DC312" s="286"/>
      <c r="DD312" s="286"/>
      <c r="DE312" s="286"/>
      <c r="DF312" s="286"/>
      <c r="DG312" s="286"/>
      <c r="DH312" s="286"/>
      <c r="DI312" s="286"/>
      <c r="DJ312" s="286"/>
      <c r="DK312" s="286"/>
      <c r="DL312" s="286"/>
      <c r="DM312" s="286"/>
      <c r="DN312" s="286"/>
      <c r="DO312" s="286"/>
      <c r="DP312" s="286"/>
      <c r="DQ312" s="286"/>
      <c r="DR312" s="286"/>
      <c r="DS312" s="286"/>
      <c r="DT312" s="286"/>
      <c r="DU312" s="286"/>
      <c r="DV312" s="286"/>
      <c r="DW312" s="286"/>
      <c r="DX312" s="286"/>
      <c r="DY312" s="286"/>
      <c r="DZ312" s="286"/>
      <c r="EA312" s="286"/>
      <c r="EB312" s="286"/>
      <c r="EC312" s="286"/>
      <c r="ED312" s="286"/>
      <c r="EE312" s="286"/>
      <c r="EF312" s="286"/>
      <c r="EG312" s="286"/>
      <c r="EH312" s="286"/>
      <c r="EI312" s="286"/>
      <c r="EJ312" s="286"/>
      <c r="EK312" s="286"/>
      <c r="EL312" s="286"/>
      <c r="EM312" s="286"/>
      <c r="EN312" s="286"/>
      <c r="EO312" s="286"/>
      <c r="EP312" s="286"/>
      <c r="EQ312" s="286"/>
      <c r="ER312" s="286"/>
      <c r="ES312" s="286"/>
      <c r="ET312" s="286"/>
      <c r="EU312" s="286"/>
      <c r="EV312" s="286"/>
      <c r="EW312" s="286"/>
      <c r="EX312" s="286"/>
      <c r="EY312" s="286"/>
      <c r="EZ312" s="286"/>
      <c r="FA312" s="286"/>
      <c r="FB312" s="286"/>
      <c r="FC312" s="286"/>
      <c r="FD312" s="286"/>
      <c r="FE312" s="286"/>
      <c r="FF312" s="286"/>
      <c r="FG312" s="286"/>
      <c r="FH312" s="286"/>
      <c r="FI312" s="286"/>
      <c r="FJ312" s="286"/>
      <c r="FK312" s="286"/>
      <c r="FL312" s="286"/>
      <c r="FM312" s="286"/>
      <c r="FN312" s="286"/>
      <c r="FO312" s="286"/>
      <c r="FP312" s="286"/>
      <c r="FQ312" s="286"/>
      <c r="FR312" s="286"/>
      <c r="FS312" s="286"/>
    </row>
    <row r="313" spans="1:175">
      <c r="A313" s="212" t="s">
        <v>3159</v>
      </c>
      <c r="B313" s="212" t="s">
        <v>3160</v>
      </c>
      <c r="C313" s="212" t="s">
        <v>3172</v>
      </c>
      <c r="D313" s="212" t="s">
        <v>3460</v>
      </c>
      <c r="E313" s="212" t="s">
        <v>3479</v>
      </c>
      <c r="F313" s="278">
        <v>4438</v>
      </c>
      <c r="G313" s="278">
        <v>31746</v>
      </c>
      <c r="H313" s="287">
        <f t="shared" si="4"/>
        <v>1.1560511560511559</v>
      </c>
      <c r="I313" s="286">
        <v>114</v>
      </c>
      <c r="J313" s="286">
        <v>367</v>
      </c>
      <c r="K313" s="286">
        <v>238</v>
      </c>
      <c r="L313" s="286">
        <v>129</v>
      </c>
      <c r="M313" s="286">
        <v>305</v>
      </c>
      <c r="N313" s="286">
        <v>203</v>
      </c>
      <c r="O313" s="286">
        <v>102</v>
      </c>
      <c r="P313" s="286">
        <v>114</v>
      </c>
      <c r="Q313" s="286">
        <v>367</v>
      </c>
      <c r="R313" s="286">
        <v>238</v>
      </c>
      <c r="S313" s="286">
        <v>129</v>
      </c>
      <c r="T313" s="286">
        <v>305</v>
      </c>
      <c r="U313" s="286">
        <v>203</v>
      </c>
      <c r="V313" s="286">
        <v>102</v>
      </c>
      <c r="W313" s="286"/>
      <c r="X313" s="286"/>
      <c r="Y313" s="286"/>
      <c r="Z313" s="286"/>
      <c r="AA313" s="286"/>
      <c r="AB313" s="286"/>
      <c r="AC313" s="286"/>
      <c r="AD313" s="286"/>
      <c r="AE313" s="286"/>
      <c r="AF313" s="286"/>
      <c r="AG313" s="286"/>
      <c r="AH313" s="286"/>
      <c r="AI313" s="286"/>
      <c r="AJ313" s="286"/>
      <c r="AK313" s="286"/>
      <c r="AL313" s="286"/>
      <c r="AM313" s="286"/>
      <c r="AN313" s="286"/>
      <c r="AO313" s="286"/>
      <c r="AP313" s="286"/>
      <c r="AQ313" s="286"/>
      <c r="AR313" s="286"/>
      <c r="AS313" s="286"/>
      <c r="AT313" s="286"/>
      <c r="AU313" s="286"/>
      <c r="AV313" s="286"/>
      <c r="AW313" s="286"/>
      <c r="AX313" s="286"/>
      <c r="AY313" s="286"/>
      <c r="AZ313" s="286"/>
      <c r="BA313" s="286"/>
      <c r="BB313" s="286"/>
      <c r="BC313" s="286"/>
      <c r="BD313" s="286"/>
      <c r="BE313" s="286"/>
      <c r="BF313" s="286"/>
      <c r="BG313" s="286"/>
      <c r="BH313" s="286"/>
      <c r="BI313" s="286"/>
      <c r="BJ313" s="286"/>
      <c r="BK313" s="286"/>
      <c r="BL313" s="286"/>
      <c r="BM313" s="286"/>
      <c r="BN313" s="286"/>
      <c r="BO313" s="286"/>
      <c r="BP313" s="286"/>
      <c r="BQ313" s="286"/>
      <c r="BR313" s="286"/>
      <c r="BS313" s="286"/>
      <c r="BT313" s="286"/>
      <c r="BU313" s="286"/>
      <c r="BV313" s="286"/>
      <c r="BW313" s="286"/>
      <c r="BX313" s="286"/>
      <c r="BY313" s="286"/>
      <c r="BZ313" s="286"/>
      <c r="CA313" s="286"/>
      <c r="CB313" s="286"/>
      <c r="CC313" s="286"/>
      <c r="CD313" s="286"/>
      <c r="CE313" s="286"/>
      <c r="CF313" s="286"/>
      <c r="CG313" s="286"/>
      <c r="CH313" s="286"/>
      <c r="CI313" s="286"/>
      <c r="CJ313" s="286"/>
      <c r="CK313" s="286"/>
      <c r="CL313" s="286"/>
      <c r="CM313" s="286"/>
      <c r="CN313" s="286"/>
      <c r="CO313" s="286"/>
      <c r="CP313" s="286"/>
      <c r="CQ313" s="286"/>
      <c r="CR313" s="286"/>
      <c r="CS313" s="286"/>
      <c r="CT313" s="286"/>
      <c r="CU313" s="286"/>
      <c r="CV313" s="286"/>
      <c r="CW313" s="286"/>
      <c r="CX313" s="286"/>
      <c r="CY313" s="286"/>
      <c r="CZ313" s="286"/>
      <c r="DA313" s="286"/>
      <c r="DB313" s="286"/>
      <c r="DC313" s="286"/>
      <c r="DD313" s="286"/>
      <c r="DE313" s="286"/>
      <c r="DF313" s="286"/>
      <c r="DG313" s="286"/>
      <c r="DH313" s="286"/>
      <c r="DI313" s="286"/>
      <c r="DJ313" s="286"/>
      <c r="DK313" s="286"/>
      <c r="DL313" s="286"/>
      <c r="DM313" s="286"/>
      <c r="DN313" s="286"/>
      <c r="DO313" s="286"/>
      <c r="DP313" s="286"/>
      <c r="DQ313" s="286"/>
      <c r="DR313" s="286"/>
      <c r="DS313" s="286"/>
      <c r="DT313" s="286"/>
      <c r="DU313" s="286"/>
      <c r="DV313" s="286"/>
      <c r="DW313" s="286"/>
      <c r="DX313" s="286"/>
      <c r="DY313" s="286"/>
      <c r="DZ313" s="286"/>
      <c r="EA313" s="286"/>
      <c r="EB313" s="286"/>
      <c r="EC313" s="286"/>
      <c r="ED313" s="286"/>
      <c r="EE313" s="286"/>
      <c r="EF313" s="286"/>
      <c r="EG313" s="286"/>
      <c r="EH313" s="286"/>
      <c r="EI313" s="286"/>
      <c r="EJ313" s="286"/>
      <c r="EK313" s="286"/>
      <c r="EL313" s="286"/>
      <c r="EM313" s="286"/>
      <c r="EN313" s="286"/>
      <c r="EO313" s="286"/>
      <c r="EP313" s="286"/>
      <c r="EQ313" s="286"/>
      <c r="ER313" s="286"/>
      <c r="ES313" s="286"/>
      <c r="ET313" s="286"/>
      <c r="EU313" s="286"/>
      <c r="EV313" s="286"/>
      <c r="EW313" s="286"/>
      <c r="EX313" s="286"/>
      <c r="EY313" s="286"/>
      <c r="EZ313" s="286"/>
      <c r="FA313" s="286"/>
      <c r="FB313" s="286"/>
      <c r="FC313" s="286"/>
      <c r="FD313" s="286"/>
      <c r="FE313" s="286"/>
      <c r="FF313" s="286"/>
      <c r="FG313" s="286"/>
      <c r="FH313" s="286"/>
      <c r="FI313" s="286"/>
      <c r="FJ313" s="286"/>
      <c r="FK313" s="286"/>
      <c r="FL313" s="286"/>
      <c r="FM313" s="286"/>
      <c r="FN313" s="286"/>
      <c r="FO313" s="286"/>
      <c r="FP313" s="286"/>
      <c r="FQ313" s="286"/>
      <c r="FR313" s="286"/>
      <c r="FS313" s="286"/>
    </row>
    <row r="314" spans="1:175">
      <c r="A314" s="212" t="s">
        <v>3159</v>
      </c>
      <c r="B314" s="212" t="s">
        <v>3160</v>
      </c>
      <c r="C314" s="212" t="s">
        <v>3459</v>
      </c>
      <c r="D314" s="212" t="s">
        <v>3480</v>
      </c>
      <c r="E314" s="212" t="s">
        <v>3481</v>
      </c>
      <c r="F314" s="278">
        <v>52276</v>
      </c>
      <c r="G314" s="278">
        <v>1522419</v>
      </c>
      <c r="H314" s="287">
        <f t="shared" si="4"/>
        <v>1.4002058566005811</v>
      </c>
      <c r="I314" s="286">
        <v>1329</v>
      </c>
      <c r="J314" s="286">
        <v>21317</v>
      </c>
      <c r="K314" s="286">
        <v>16026</v>
      </c>
      <c r="L314" s="286">
        <v>5266</v>
      </c>
      <c r="M314" s="286">
        <v>19602</v>
      </c>
      <c r="N314" s="286">
        <v>14734</v>
      </c>
      <c r="O314" s="286">
        <v>4843</v>
      </c>
      <c r="P314" s="286">
        <v>1329</v>
      </c>
      <c r="Q314" s="286">
        <v>21317</v>
      </c>
      <c r="R314" s="286">
        <v>16026</v>
      </c>
      <c r="S314" s="286">
        <v>5266</v>
      </c>
      <c r="T314" s="286">
        <v>19602</v>
      </c>
      <c r="U314" s="286">
        <v>14734</v>
      </c>
      <c r="V314" s="286">
        <v>4843</v>
      </c>
      <c r="W314" s="286"/>
      <c r="X314" s="286"/>
      <c r="Y314" s="286"/>
      <c r="Z314" s="286"/>
      <c r="AA314" s="286"/>
      <c r="AB314" s="286"/>
      <c r="AC314" s="286"/>
      <c r="AD314" s="286"/>
      <c r="AE314" s="286"/>
      <c r="AF314" s="286"/>
      <c r="AG314" s="286"/>
      <c r="AH314" s="286"/>
      <c r="AI314" s="286"/>
      <c r="AJ314" s="286"/>
      <c r="AK314" s="286"/>
      <c r="AL314" s="286"/>
      <c r="AM314" s="286"/>
      <c r="AN314" s="286"/>
      <c r="AO314" s="286"/>
      <c r="AP314" s="286"/>
      <c r="AQ314" s="286"/>
      <c r="AR314" s="286"/>
      <c r="AS314" s="286"/>
      <c r="AT314" s="286"/>
      <c r="AU314" s="286"/>
      <c r="AV314" s="286"/>
      <c r="AW314" s="286"/>
      <c r="AX314" s="286"/>
      <c r="AY314" s="286"/>
      <c r="AZ314" s="286"/>
      <c r="BA314" s="286"/>
      <c r="BB314" s="286"/>
      <c r="BC314" s="286"/>
      <c r="BD314" s="286"/>
      <c r="BE314" s="286"/>
      <c r="BF314" s="286"/>
      <c r="BG314" s="286"/>
      <c r="BH314" s="286"/>
      <c r="BI314" s="286"/>
      <c r="BJ314" s="286"/>
      <c r="BK314" s="286"/>
      <c r="BL314" s="286"/>
      <c r="BM314" s="286"/>
      <c r="BN314" s="286"/>
      <c r="BO314" s="286"/>
      <c r="BP314" s="286"/>
      <c r="BQ314" s="286"/>
      <c r="BR314" s="286"/>
      <c r="BS314" s="286"/>
      <c r="BT314" s="286"/>
      <c r="BU314" s="286"/>
      <c r="BV314" s="286"/>
      <c r="BW314" s="286"/>
      <c r="BX314" s="286"/>
      <c r="BY314" s="286"/>
      <c r="BZ314" s="286"/>
      <c r="CA314" s="286"/>
      <c r="CB314" s="286"/>
      <c r="CC314" s="286"/>
      <c r="CD314" s="286"/>
      <c r="CE314" s="286"/>
      <c r="CF314" s="286"/>
      <c r="CG314" s="286"/>
      <c r="CH314" s="286"/>
      <c r="CI314" s="286"/>
      <c r="CJ314" s="286"/>
      <c r="CK314" s="286"/>
      <c r="CL314" s="286"/>
      <c r="CM314" s="286"/>
      <c r="CN314" s="286"/>
      <c r="CO314" s="286"/>
      <c r="CP314" s="286"/>
      <c r="CQ314" s="286"/>
      <c r="CR314" s="286"/>
      <c r="CS314" s="286"/>
      <c r="CT314" s="286"/>
      <c r="CU314" s="286"/>
      <c r="CV314" s="286"/>
      <c r="CW314" s="286"/>
      <c r="CX314" s="286"/>
      <c r="CY314" s="286"/>
      <c r="CZ314" s="286"/>
      <c r="DA314" s="286"/>
      <c r="DB314" s="286"/>
      <c r="DC314" s="286"/>
      <c r="DD314" s="286"/>
      <c r="DE314" s="286"/>
      <c r="DF314" s="286"/>
      <c r="DG314" s="286"/>
      <c r="DH314" s="286"/>
      <c r="DI314" s="286"/>
      <c r="DJ314" s="286"/>
      <c r="DK314" s="286"/>
      <c r="DL314" s="286"/>
      <c r="DM314" s="286"/>
      <c r="DN314" s="286"/>
      <c r="DO314" s="286"/>
      <c r="DP314" s="286"/>
      <c r="DQ314" s="286"/>
      <c r="DR314" s="286"/>
      <c r="DS314" s="286"/>
      <c r="DT314" s="286"/>
      <c r="DU314" s="286"/>
      <c r="DV314" s="286"/>
      <c r="DW314" s="286"/>
      <c r="DX314" s="286"/>
      <c r="DY314" s="286"/>
      <c r="DZ314" s="286"/>
      <c r="EA314" s="286"/>
      <c r="EB314" s="286"/>
      <c r="EC314" s="286"/>
      <c r="ED314" s="286"/>
      <c r="EE314" s="286"/>
      <c r="EF314" s="286"/>
      <c r="EG314" s="286"/>
      <c r="EH314" s="286"/>
      <c r="EI314" s="286"/>
      <c r="EJ314" s="286"/>
      <c r="EK314" s="286"/>
      <c r="EL314" s="286"/>
      <c r="EM314" s="286"/>
      <c r="EN314" s="286"/>
      <c r="EO314" s="286"/>
      <c r="EP314" s="286"/>
      <c r="EQ314" s="286"/>
      <c r="ER314" s="286"/>
      <c r="ES314" s="286"/>
      <c r="ET314" s="286"/>
      <c r="EU314" s="286"/>
      <c r="EV314" s="286"/>
      <c r="EW314" s="286"/>
      <c r="EX314" s="286"/>
      <c r="EY314" s="286"/>
      <c r="EZ314" s="286"/>
      <c r="FA314" s="286"/>
      <c r="FB314" s="286"/>
      <c r="FC314" s="286"/>
      <c r="FD314" s="286"/>
      <c r="FE314" s="286"/>
      <c r="FF314" s="286"/>
      <c r="FG314" s="286"/>
      <c r="FH314" s="286"/>
      <c r="FI314" s="286"/>
      <c r="FJ314" s="286"/>
      <c r="FK314" s="286"/>
      <c r="FL314" s="286"/>
      <c r="FM314" s="286"/>
      <c r="FN314" s="286"/>
      <c r="FO314" s="286"/>
      <c r="FP314" s="286"/>
      <c r="FQ314" s="286"/>
      <c r="FR314" s="286"/>
      <c r="FS314" s="286"/>
    </row>
    <row r="315" spans="1:175">
      <c r="A315" s="212" t="s">
        <v>3159</v>
      </c>
      <c r="B315" s="212" t="s">
        <v>3160</v>
      </c>
      <c r="C315" s="212" t="s">
        <v>3170</v>
      </c>
      <c r="D315" s="212" t="s">
        <v>3480</v>
      </c>
      <c r="E315" s="212" t="s">
        <v>3482</v>
      </c>
      <c r="F315" s="278">
        <v>43475</v>
      </c>
      <c r="G315" s="278">
        <v>1319839</v>
      </c>
      <c r="H315" s="287">
        <f t="shared" si="4"/>
        <v>1.5062443222241502</v>
      </c>
      <c r="I315" s="286">
        <v>1108</v>
      </c>
      <c r="J315" s="286">
        <v>19880</v>
      </c>
      <c r="K315" s="286">
        <v>15220</v>
      </c>
      <c r="L315" s="286">
        <v>4640</v>
      </c>
      <c r="M315" s="286">
        <v>18439</v>
      </c>
      <c r="N315" s="286">
        <v>14124</v>
      </c>
      <c r="O315" s="286">
        <v>4295</v>
      </c>
      <c r="P315" s="286">
        <v>1108</v>
      </c>
      <c r="Q315" s="286">
        <v>19880</v>
      </c>
      <c r="R315" s="286">
        <v>15220</v>
      </c>
      <c r="S315" s="286">
        <v>4640</v>
      </c>
      <c r="T315" s="286">
        <v>18439</v>
      </c>
      <c r="U315" s="286">
        <v>14124</v>
      </c>
      <c r="V315" s="286">
        <v>4295</v>
      </c>
      <c r="W315" s="286"/>
      <c r="X315" s="286"/>
      <c r="Y315" s="286"/>
      <c r="Z315" s="286"/>
      <c r="AA315" s="286"/>
      <c r="AB315" s="286"/>
      <c r="AC315" s="286"/>
      <c r="AD315" s="286"/>
      <c r="AE315" s="286"/>
      <c r="AF315" s="286"/>
      <c r="AG315" s="286"/>
      <c r="AH315" s="286"/>
      <c r="AI315" s="286"/>
      <c r="AJ315" s="286"/>
      <c r="AK315" s="286"/>
      <c r="AL315" s="286"/>
      <c r="AM315" s="286"/>
      <c r="AN315" s="286"/>
      <c r="AO315" s="286"/>
      <c r="AP315" s="286"/>
      <c r="AQ315" s="286"/>
      <c r="AR315" s="286"/>
      <c r="AS315" s="286"/>
      <c r="AT315" s="286"/>
      <c r="AU315" s="286"/>
      <c r="AV315" s="286"/>
      <c r="AW315" s="286"/>
      <c r="AX315" s="286"/>
      <c r="AY315" s="286"/>
      <c r="AZ315" s="286"/>
      <c r="BA315" s="286"/>
      <c r="BB315" s="286"/>
      <c r="BC315" s="286"/>
      <c r="BD315" s="286"/>
      <c r="BE315" s="286"/>
      <c r="BF315" s="286"/>
      <c r="BG315" s="286"/>
      <c r="BH315" s="286"/>
      <c r="BI315" s="286"/>
      <c r="BJ315" s="286"/>
      <c r="BK315" s="286"/>
      <c r="BL315" s="286"/>
      <c r="BM315" s="286"/>
      <c r="BN315" s="286"/>
      <c r="BO315" s="286"/>
      <c r="BP315" s="286"/>
      <c r="BQ315" s="286"/>
      <c r="BR315" s="286"/>
      <c r="BS315" s="286"/>
      <c r="BT315" s="286"/>
      <c r="BU315" s="286"/>
      <c r="BV315" s="286"/>
      <c r="BW315" s="286"/>
      <c r="BX315" s="286"/>
      <c r="BY315" s="286"/>
      <c r="BZ315" s="286"/>
      <c r="CA315" s="286"/>
      <c r="CB315" s="286"/>
      <c r="CC315" s="286"/>
      <c r="CD315" s="286"/>
      <c r="CE315" s="286"/>
      <c r="CF315" s="286"/>
      <c r="CG315" s="286"/>
      <c r="CH315" s="286"/>
      <c r="CI315" s="286"/>
      <c r="CJ315" s="286"/>
      <c r="CK315" s="286"/>
      <c r="CL315" s="286"/>
      <c r="CM315" s="286"/>
      <c r="CN315" s="286"/>
      <c r="CO315" s="286"/>
      <c r="CP315" s="286"/>
      <c r="CQ315" s="286"/>
      <c r="CR315" s="286"/>
      <c r="CS315" s="286"/>
      <c r="CT315" s="286"/>
      <c r="CU315" s="286"/>
      <c r="CV315" s="286"/>
      <c r="CW315" s="286"/>
      <c r="CX315" s="286"/>
      <c r="CY315" s="286"/>
      <c r="CZ315" s="286"/>
      <c r="DA315" s="286"/>
      <c r="DB315" s="286"/>
      <c r="DC315" s="286"/>
      <c r="DD315" s="286"/>
      <c r="DE315" s="286"/>
      <c r="DF315" s="286"/>
      <c r="DG315" s="286"/>
      <c r="DH315" s="286"/>
      <c r="DI315" s="286"/>
      <c r="DJ315" s="286"/>
      <c r="DK315" s="286"/>
      <c r="DL315" s="286"/>
      <c r="DM315" s="286"/>
      <c r="DN315" s="286"/>
      <c r="DO315" s="286"/>
      <c r="DP315" s="286"/>
      <c r="DQ315" s="286"/>
      <c r="DR315" s="286"/>
      <c r="DS315" s="286"/>
      <c r="DT315" s="286"/>
      <c r="DU315" s="286"/>
      <c r="DV315" s="286"/>
      <c r="DW315" s="286"/>
      <c r="DX315" s="286"/>
      <c r="DY315" s="286"/>
      <c r="DZ315" s="286"/>
      <c r="EA315" s="286"/>
      <c r="EB315" s="286"/>
      <c r="EC315" s="286"/>
      <c r="ED315" s="286"/>
      <c r="EE315" s="286"/>
      <c r="EF315" s="286"/>
      <c r="EG315" s="286"/>
      <c r="EH315" s="286"/>
      <c r="EI315" s="286"/>
      <c r="EJ315" s="286"/>
      <c r="EK315" s="286"/>
      <c r="EL315" s="286"/>
      <c r="EM315" s="286"/>
      <c r="EN315" s="286"/>
      <c r="EO315" s="286"/>
      <c r="EP315" s="286"/>
      <c r="EQ315" s="286"/>
      <c r="ER315" s="286"/>
      <c r="ES315" s="286"/>
      <c r="ET315" s="286"/>
      <c r="EU315" s="286"/>
      <c r="EV315" s="286"/>
      <c r="EW315" s="286"/>
      <c r="EX315" s="286"/>
      <c r="EY315" s="286"/>
      <c r="EZ315" s="286"/>
      <c r="FA315" s="286"/>
      <c r="FB315" s="286"/>
      <c r="FC315" s="286"/>
      <c r="FD315" s="286"/>
      <c r="FE315" s="286"/>
      <c r="FF315" s="286"/>
      <c r="FG315" s="286"/>
      <c r="FH315" s="286"/>
      <c r="FI315" s="286"/>
      <c r="FJ315" s="286"/>
      <c r="FK315" s="286"/>
      <c r="FL315" s="286"/>
      <c r="FM315" s="286"/>
      <c r="FN315" s="286"/>
      <c r="FO315" s="286"/>
      <c r="FP315" s="286"/>
      <c r="FQ315" s="286"/>
      <c r="FR315" s="286"/>
      <c r="FS315" s="286"/>
    </row>
    <row r="316" spans="1:175">
      <c r="A316" s="212" t="s">
        <v>3159</v>
      </c>
      <c r="B316" s="212" t="s">
        <v>3160</v>
      </c>
      <c r="C316" s="212" t="s">
        <v>3172</v>
      </c>
      <c r="D316" s="212" t="s">
        <v>3480</v>
      </c>
      <c r="E316" s="212" t="s">
        <v>3483</v>
      </c>
      <c r="F316" s="278">
        <v>265</v>
      </c>
      <c r="G316" s="278">
        <v>6595</v>
      </c>
      <c r="H316" s="287">
        <f t="shared" si="4"/>
        <v>2.6080363912054585</v>
      </c>
      <c r="I316" s="286">
        <v>11</v>
      </c>
      <c r="J316" s="286">
        <v>172</v>
      </c>
      <c r="K316" s="286">
        <v>132</v>
      </c>
      <c r="L316" s="286">
        <v>40</v>
      </c>
      <c r="M316" s="286">
        <v>164</v>
      </c>
      <c r="N316" s="286">
        <v>126</v>
      </c>
      <c r="O316" s="286">
        <v>38</v>
      </c>
      <c r="P316" s="286">
        <v>11</v>
      </c>
      <c r="Q316" s="286">
        <v>172</v>
      </c>
      <c r="R316" s="286">
        <v>132</v>
      </c>
      <c r="S316" s="286">
        <v>40</v>
      </c>
      <c r="T316" s="286">
        <v>164</v>
      </c>
      <c r="U316" s="286">
        <v>126</v>
      </c>
      <c r="V316" s="286">
        <v>38</v>
      </c>
      <c r="W316" s="286"/>
      <c r="X316" s="286"/>
      <c r="Y316" s="286"/>
      <c r="Z316" s="286"/>
      <c r="AA316" s="286"/>
      <c r="AB316" s="286"/>
      <c r="AC316" s="286"/>
      <c r="AD316" s="286"/>
      <c r="AE316" s="286"/>
      <c r="AF316" s="286"/>
      <c r="AG316" s="286"/>
      <c r="AH316" s="286"/>
      <c r="AI316" s="286"/>
      <c r="AJ316" s="286"/>
      <c r="AK316" s="286"/>
      <c r="AL316" s="286"/>
      <c r="AM316" s="286"/>
      <c r="AN316" s="286"/>
      <c r="AO316" s="286"/>
      <c r="AP316" s="286"/>
      <c r="AQ316" s="286"/>
      <c r="AR316" s="286"/>
      <c r="AS316" s="286"/>
      <c r="AT316" s="286"/>
      <c r="AU316" s="286"/>
      <c r="AV316" s="286"/>
      <c r="AW316" s="286"/>
      <c r="AX316" s="286"/>
      <c r="AY316" s="286"/>
      <c r="AZ316" s="286"/>
      <c r="BA316" s="286"/>
      <c r="BB316" s="286"/>
      <c r="BC316" s="286"/>
      <c r="BD316" s="286"/>
      <c r="BE316" s="286"/>
      <c r="BF316" s="286"/>
      <c r="BG316" s="286"/>
      <c r="BH316" s="286"/>
      <c r="BI316" s="286"/>
      <c r="BJ316" s="286"/>
      <c r="BK316" s="286"/>
      <c r="BL316" s="286"/>
      <c r="BM316" s="286"/>
      <c r="BN316" s="286"/>
      <c r="BO316" s="286"/>
      <c r="BP316" s="286"/>
      <c r="BQ316" s="286"/>
      <c r="BR316" s="286"/>
      <c r="BS316" s="286"/>
      <c r="BT316" s="286"/>
      <c r="BU316" s="286"/>
      <c r="BV316" s="286"/>
      <c r="BW316" s="286"/>
      <c r="BX316" s="286"/>
      <c r="BY316" s="286"/>
      <c r="BZ316" s="286"/>
      <c r="CA316" s="286"/>
      <c r="CB316" s="286"/>
      <c r="CC316" s="286"/>
      <c r="CD316" s="286"/>
      <c r="CE316" s="286"/>
      <c r="CF316" s="286"/>
      <c r="CG316" s="286"/>
      <c r="CH316" s="286"/>
      <c r="CI316" s="286"/>
      <c r="CJ316" s="286"/>
      <c r="CK316" s="286"/>
      <c r="CL316" s="286"/>
      <c r="CM316" s="286"/>
      <c r="CN316" s="286"/>
      <c r="CO316" s="286"/>
      <c r="CP316" s="286"/>
      <c r="CQ316" s="286"/>
      <c r="CR316" s="286"/>
      <c r="CS316" s="286"/>
      <c r="CT316" s="286"/>
      <c r="CU316" s="286"/>
      <c r="CV316" s="286"/>
      <c r="CW316" s="286"/>
      <c r="CX316" s="286"/>
      <c r="CY316" s="286"/>
      <c r="CZ316" s="286"/>
      <c r="DA316" s="286"/>
      <c r="DB316" s="286"/>
      <c r="DC316" s="286"/>
      <c r="DD316" s="286"/>
      <c r="DE316" s="286"/>
      <c r="DF316" s="286"/>
      <c r="DG316" s="286"/>
      <c r="DH316" s="286"/>
      <c r="DI316" s="286"/>
      <c r="DJ316" s="286"/>
      <c r="DK316" s="286"/>
      <c r="DL316" s="286"/>
      <c r="DM316" s="286"/>
      <c r="DN316" s="286"/>
      <c r="DO316" s="286"/>
      <c r="DP316" s="286"/>
      <c r="DQ316" s="286"/>
      <c r="DR316" s="286"/>
      <c r="DS316" s="286"/>
      <c r="DT316" s="286"/>
      <c r="DU316" s="286"/>
      <c r="DV316" s="286"/>
      <c r="DW316" s="286"/>
      <c r="DX316" s="286"/>
      <c r="DY316" s="286"/>
      <c r="DZ316" s="286"/>
      <c r="EA316" s="286"/>
      <c r="EB316" s="286"/>
      <c r="EC316" s="286"/>
      <c r="ED316" s="286"/>
      <c r="EE316" s="286"/>
      <c r="EF316" s="286"/>
      <c r="EG316" s="286"/>
      <c r="EH316" s="286"/>
      <c r="EI316" s="286"/>
      <c r="EJ316" s="286"/>
      <c r="EK316" s="286"/>
      <c r="EL316" s="286"/>
      <c r="EM316" s="286"/>
      <c r="EN316" s="286"/>
      <c r="EO316" s="286"/>
      <c r="EP316" s="286"/>
      <c r="EQ316" s="286"/>
      <c r="ER316" s="286"/>
      <c r="ES316" s="286"/>
      <c r="ET316" s="286"/>
      <c r="EU316" s="286"/>
      <c r="EV316" s="286"/>
      <c r="EW316" s="286"/>
      <c r="EX316" s="286"/>
      <c r="EY316" s="286"/>
      <c r="EZ316" s="286"/>
      <c r="FA316" s="286"/>
      <c r="FB316" s="286"/>
      <c r="FC316" s="286"/>
      <c r="FD316" s="286"/>
      <c r="FE316" s="286"/>
      <c r="FF316" s="286"/>
      <c r="FG316" s="286"/>
      <c r="FH316" s="286"/>
      <c r="FI316" s="286"/>
      <c r="FJ316" s="286"/>
      <c r="FK316" s="286"/>
      <c r="FL316" s="286"/>
      <c r="FM316" s="286"/>
      <c r="FN316" s="286"/>
      <c r="FO316" s="286"/>
      <c r="FP316" s="286"/>
      <c r="FQ316" s="286"/>
      <c r="FR316" s="286"/>
      <c r="FS316" s="286"/>
    </row>
    <row r="317" spans="1:175">
      <c r="A317" s="212" t="s">
        <v>3159</v>
      </c>
      <c r="B317" s="212" t="s">
        <v>3160</v>
      </c>
      <c r="C317" s="212" t="s">
        <v>3172</v>
      </c>
      <c r="D317" s="212" t="s">
        <v>3480</v>
      </c>
      <c r="E317" s="212" t="s">
        <v>3484</v>
      </c>
      <c r="F317" s="278">
        <v>36433</v>
      </c>
      <c r="G317" s="278">
        <v>1137499</v>
      </c>
      <c r="H317" s="287">
        <f t="shared" si="4"/>
        <v>1.4967925246527689</v>
      </c>
      <c r="I317" s="286">
        <v>903</v>
      </c>
      <c r="J317" s="286">
        <v>17026</v>
      </c>
      <c r="K317" s="286">
        <v>13401</v>
      </c>
      <c r="L317" s="286">
        <v>3605</v>
      </c>
      <c r="M317" s="286">
        <v>15894</v>
      </c>
      <c r="N317" s="286">
        <v>12520</v>
      </c>
      <c r="O317" s="286">
        <v>3354</v>
      </c>
      <c r="P317" s="286">
        <v>903</v>
      </c>
      <c r="Q317" s="286">
        <v>17026</v>
      </c>
      <c r="R317" s="286">
        <v>13401</v>
      </c>
      <c r="S317" s="286">
        <v>3605</v>
      </c>
      <c r="T317" s="286">
        <v>15894</v>
      </c>
      <c r="U317" s="286">
        <v>12520</v>
      </c>
      <c r="V317" s="286">
        <v>3354</v>
      </c>
      <c r="W317" s="286"/>
      <c r="X317" s="286"/>
      <c r="Y317" s="286"/>
      <c r="Z317" s="286"/>
      <c r="AA317" s="286"/>
      <c r="AB317" s="286"/>
      <c r="AC317" s="286"/>
      <c r="AD317" s="286"/>
      <c r="AE317" s="286"/>
      <c r="AF317" s="286"/>
      <c r="AG317" s="286"/>
      <c r="AH317" s="286"/>
      <c r="AI317" s="286"/>
      <c r="AJ317" s="286"/>
      <c r="AK317" s="286"/>
      <c r="AL317" s="286"/>
      <c r="AM317" s="286"/>
      <c r="AN317" s="286"/>
      <c r="AO317" s="286"/>
      <c r="AP317" s="286"/>
      <c r="AQ317" s="286"/>
      <c r="AR317" s="286"/>
      <c r="AS317" s="286"/>
      <c r="AT317" s="286"/>
      <c r="AU317" s="286"/>
      <c r="AV317" s="286"/>
      <c r="AW317" s="286"/>
      <c r="AX317" s="286"/>
      <c r="AY317" s="286"/>
      <c r="AZ317" s="286"/>
      <c r="BA317" s="286"/>
      <c r="BB317" s="286"/>
      <c r="BC317" s="286"/>
      <c r="BD317" s="286"/>
      <c r="BE317" s="286"/>
      <c r="BF317" s="286"/>
      <c r="BG317" s="286"/>
      <c r="BH317" s="286"/>
      <c r="BI317" s="286"/>
      <c r="BJ317" s="286"/>
      <c r="BK317" s="286"/>
      <c r="BL317" s="286"/>
      <c r="BM317" s="286"/>
      <c r="BN317" s="286"/>
      <c r="BO317" s="286"/>
      <c r="BP317" s="286"/>
      <c r="BQ317" s="286"/>
      <c r="BR317" s="286"/>
      <c r="BS317" s="286"/>
      <c r="BT317" s="286"/>
      <c r="BU317" s="286"/>
      <c r="BV317" s="286"/>
      <c r="BW317" s="286"/>
      <c r="BX317" s="286"/>
      <c r="BY317" s="286"/>
      <c r="BZ317" s="286"/>
      <c r="CA317" s="286"/>
      <c r="CB317" s="286"/>
      <c r="CC317" s="286"/>
      <c r="CD317" s="286"/>
      <c r="CE317" s="286"/>
      <c r="CF317" s="286"/>
      <c r="CG317" s="286"/>
      <c r="CH317" s="286"/>
      <c r="CI317" s="286"/>
      <c r="CJ317" s="286"/>
      <c r="CK317" s="286"/>
      <c r="CL317" s="286"/>
      <c r="CM317" s="286"/>
      <c r="CN317" s="286"/>
      <c r="CO317" s="286"/>
      <c r="CP317" s="286"/>
      <c r="CQ317" s="286"/>
      <c r="CR317" s="286"/>
      <c r="CS317" s="286"/>
      <c r="CT317" s="286"/>
      <c r="CU317" s="286"/>
      <c r="CV317" s="286"/>
      <c r="CW317" s="286"/>
      <c r="CX317" s="286"/>
      <c r="CY317" s="286"/>
      <c r="CZ317" s="286"/>
      <c r="DA317" s="286"/>
      <c r="DB317" s="286"/>
      <c r="DC317" s="286"/>
      <c r="DD317" s="286"/>
      <c r="DE317" s="286"/>
      <c r="DF317" s="286"/>
      <c r="DG317" s="286"/>
      <c r="DH317" s="286"/>
      <c r="DI317" s="286"/>
      <c r="DJ317" s="286"/>
      <c r="DK317" s="286"/>
      <c r="DL317" s="286"/>
      <c r="DM317" s="286"/>
      <c r="DN317" s="286"/>
      <c r="DO317" s="286"/>
      <c r="DP317" s="286"/>
      <c r="DQ317" s="286"/>
      <c r="DR317" s="286"/>
      <c r="DS317" s="286"/>
      <c r="DT317" s="286"/>
      <c r="DU317" s="286"/>
      <c r="DV317" s="286"/>
      <c r="DW317" s="286"/>
      <c r="DX317" s="286"/>
      <c r="DY317" s="286"/>
      <c r="DZ317" s="286"/>
      <c r="EA317" s="286"/>
      <c r="EB317" s="286"/>
      <c r="EC317" s="286"/>
      <c r="ED317" s="286"/>
      <c r="EE317" s="286"/>
      <c r="EF317" s="286"/>
      <c r="EG317" s="286"/>
      <c r="EH317" s="286"/>
      <c r="EI317" s="286"/>
      <c r="EJ317" s="286"/>
      <c r="EK317" s="286"/>
      <c r="EL317" s="286"/>
      <c r="EM317" s="286"/>
      <c r="EN317" s="286"/>
      <c r="EO317" s="286"/>
      <c r="EP317" s="286"/>
      <c r="EQ317" s="286"/>
      <c r="ER317" s="286"/>
      <c r="ES317" s="286"/>
      <c r="ET317" s="286"/>
      <c r="EU317" s="286"/>
      <c r="EV317" s="286"/>
      <c r="EW317" s="286"/>
      <c r="EX317" s="286"/>
      <c r="EY317" s="286"/>
      <c r="EZ317" s="286"/>
      <c r="FA317" s="286"/>
      <c r="FB317" s="286"/>
      <c r="FC317" s="286"/>
      <c r="FD317" s="286"/>
      <c r="FE317" s="286"/>
      <c r="FF317" s="286"/>
      <c r="FG317" s="286"/>
      <c r="FH317" s="286"/>
      <c r="FI317" s="286"/>
      <c r="FJ317" s="286"/>
      <c r="FK317" s="286"/>
      <c r="FL317" s="286"/>
      <c r="FM317" s="286"/>
      <c r="FN317" s="286"/>
      <c r="FO317" s="286"/>
      <c r="FP317" s="286"/>
      <c r="FQ317" s="286"/>
      <c r="FR317" s="286"/>
      <c r="FS317" s="286"/>
    </row>
    <row r="318" spans="1:175">
      <c r="A318" s="212" t="s">
        <v>3159</v>
      </c>
      <c r="B318" s="212" t="s">
        <v>3160</v>
      </c>
      <c r="C318" s="212" t="s">
        <v>3172</v>
      </c>
      <c r="D318" s="212" t="s">
        <v>3480</v>
      </c>
      <c r="E318" s="212" t="s">
        <v>3485</v>
      </c>
      <c r="F318" s="278">
        <v>6777</v>
      </c>
      <c r="G318" s="278">
        <v>175745</v>
      </c>
      <c r="H318" s="287">
        <f t="shared" si="4"/>
        <v>1.5260747105180801</v>
      </c>
      <c r="I318" s="286">
        <v>194</v>
      </c>
      <c r="J318" s="286">
        <v>2682</v>
      </c>
      <c r="K318" s="286">
        <v>1687</v>
      </c>
      <c r="L318" s="286">
        <v>995</v>
      </c>
      <c r="M318" s="286">
        <v>2381</v>
      </c>
      <c r="N318" s="286">
        <v>1478</v>
      </c>
      <c r="O318" s="286">
        <v>903</v>
      </c>
      <c r="P318" s="286">
        <v>194</v>
      </c>
      <c r="Q318" s="286">
        <v>2682</v>
      </c>
      <c r="R318" s="286">
        <v>1687</v>
      </c>
      <c r="S318" s="286">
        <v>995</v>
      </c>
      <c r="T318" s="286">
        <v>2381</v>
      </c>
      <c r="U318" s="286">
        <v>1478</v>
      </c>
      <c r="V318" s="286">
        <v>903</v>
      </c>
      <c r="W318" s="286"/>
      <c r="X318" s="286"/>
      <c r="Y318" s="286"/>
      <c r="Z318" s="286"/>
      <c r="AA318" s="286"/>
      <c r="AB318" s="286"/>
      <c r="AC318" s="286"/>
      <c r="AD318" s="286"/>
      <c r="AE318" s="286"/>
      <c r="AF318" s="286"/>
      <c r="AG318" s="286"/>
      <c r="AH318" s="286"/>
      <c r="AI318" s="286"/>
      <c r="AJ318" s="286"/>
      <c r="AK318" s="286"/>
      <c r="AL318" s="286"/>
      <c r="AM318" s="286"/>
      <c r="AN318" s="286"/>
      <c r="AO318" s="286"/>
      <c r="AP318" s="286"/>
      <c r="AQ318" s="286"/>
      <c r="AR318" s="286"/>
      <c r="AS318" s="286"/>
      <c r="AT318" s="286"/>
      <c r="AU318" s="286"/>
      <c r="AV318" s="286"/>
      <c r="AW318" s="286"/>
      <c r="AX318" s="286"/>
      <c r="AY318" s="286"/>
      <c r="AZ318" s="286"/>
      <c r="BA318" s="286"/>
      <c r="BB318" s="286"/>
      <c r="BC318" s="286"/>
      <c r="BD318" s="286"/>
      <c r="BE318" s="286"/>
      <c r="BF318" s="286"/>
      <c r="BG318" s="286"/>
      <c r="BH318" s="286"/>
      <c r="BI318" s="286"/>
      <c r="BJ318" s="286"/>
      <c r="BK318" s="286"/>
      <c r="BL318" s="286"/>
      <c r="BM318" s="286"/>
      <c r="BN318" s="286"/>
      <c r="BO318" s="286"/>
      <c r="BP318" s="286"/>
      <c r="BQ318" s="286"/>
      <c r="BR318" s="286"/>
      <c r="BS318" s="286"/>
      <c r="BT318" s="286"/>
      <c r="BU318" s="286"/>
      <c r="BV318" s="286"/>
      <c r="BW318" s="286"/>
      <c r="BX318" s="286"/>
      <c r="BY318" s="286"/>
      <c r="BZ318" s="286"/>
      <c r="CA318" s="286"/>
      <c r="CB318" s="286"/>
      <c r="CC318" s="286"/>
      <c r="CD318" s="286"/>
      <c r="CE318" s="286"/>
      <c r="CF318" s="286"/>
      <c r="CG318" s="286"/>
      <c r="CH318" s="286"/>
      <c r="CI318" s="286"/>
      <c r="CJ318" s="286"/>
      <c r="CK318" s="286"/>
      <c r="CL318" s="286"/>
      <c r="CM318" s="286"/>
      <c r="CN318" s="286"/>
      <c r="CO318" s="286"/>
      <c r="CP318" s="286"/>
      <c r="CQ318" s="286"/>
      <c r="CR318" s="286"/>
      <c r="CS318" s="286"/>
      <c r="CT318" s="286"/>
      <c r="CU318" s="286"/>
      <c r="CV318" s="286"/>
      <c r="CW318" s="286"/>
      <c r="CX318" s="286"/>
      <c r="CY318" s="286"/>
      <c r="CZ318" s="286"/>
      <c r="DA318" s="286"/>
      <c r="DB318" s="286"/>
      <c r="DC318" s="286"/>
      <c r="DD318" s="286"/>
      <c r="DE318" s="286"/>
      <c r="DF318" s="286"/>
      <c r="DG318" s="286"/>
      <c r="DH318" s="286"/>
      <c r="DI318" s="286"/>
      <c r="DJ318" s="286"/>
      <c r="DK318" s="286"/>
      <c r="DL318" s="286"/>
      <c r="DM318" s="286"/>
      <c r="DN318" s="286"/>
      <c r="DO318" s="286"/>
      <c r="DP318" s="286"/>
      <c r="DQ318" s="286"/>
      <c r="DR318" s="286"/>
      <c r="DS318" s="286"/>
      <c r="DT318" s="286"/>
      <c r="DU318" s="286"/>
      <c r="DV318" s="286"/>
      <c r="DW318" s="286"/>
      <c r="DX318" s="286"/>
      <c r="DY318" s="286"/>
      <c r="DZ318" s="286"/>
      <c r="EA318" s="286"/>
      <c r="EB318" s="286"/>
      <c r="EC318" s="286"/>
      <c r="ED318" s="286"/>
      <c r="EE318" s="286"/>
      <c r="EF318" s="286"/>
      <c r="EG318" s="286"/>
      <c r="EH318" s="286"/>
      <c r="EI318" s="286"/>
      <c r="EJ318" s="286"/>
      <c r="EK318" s="286"/>
      <c r="EL318" s="286"/>
      <c r="EM318" s="286"/>
      <c r="EN318" s="286"/>
      <c r="EO318" s="286"/>
      <c r="EP318" s="286"/>
      <c r="EQ318" s="286"/>
      <c r="ER318" s="286"/>
      <c r="ES318" s="286"/>
      <c r="ET318" s="286"/>
      <c r="EU318" s="286"/>
      <c r="EV318" s="286"/>
      <c r="EW318" s="286"/>
      <c r="EX318" s="286"/>
      <c r="EY318" s="286"/>
      <c r="EZ318" s="286"/>
      <c r="FA318" s="286"/>
      <c r="FB318" s="286"/>
      <c r="FC318" s="286"/>
      <c r="FD318" s="286"/>
      <c r="FE318" s="286"/>
      <c r="FF318" s="286"/>
      <c r="FG318" s="286"/>
      <c r="FH318" s="286"/>
      <c r="FI318" s="286"/>
      <c r="FJ318" s="286"/>
      <c r="FK318" s="286"/>
      <c r="FL318" s="286"/>
      <c r="FM318" s="286"/>
      <c r="FN318" s="286"/>
      <c r="FO318" s="286"/>
      <c r="FP318" s="286"/>
      <c r="FQ318" s="286"/>
      <c r="FR318" s="286"/>
      <c r="FS318" s="286"/>
    </row>
    <row r="319" spans="1:175">
      <c r="A319" s="212" t="s">
        <v>3159</v>
      </c>
      <c r="B319" s="212" t="s">
        <v>3160</v>
      </c>
      <c r="C319" s="212" t="s">
        <v>3432</v>
      </c>
      <c r="D319" s="212" t="s">
        <v>3480</v>
      </c>
      <c r="E319" s="212" t="s">
        <v>3486</v>
      </c>
      <c r="F319" s="278">
        <v>3481</v>
      </c>
      <c r="G319" s="278">
        <v>103137</v>
      </c>
      <c r="H319" s="287">
        <f t="shared" si="4"/>
        <v>2.1582943075714827</v>
      </c>
      <c r="I319" s="286">
        <v>121</v>
      </c>
      <c r="J319" s="286">
        <v>2226</v>
      </c>
      <c r="K319" s="286">
        <v>1403</v>
      </c>
      <c r="L319" s="286">
        <v>823</v>
      </c>
      <c r="M319" s="286">
        <v>2005</v>
      </c>
      <c r="N319" s="286">
        <v>1249</v>
      </c>
      <c r="O319" s="286">
        <v>756</v>
      </c>
      <c r="P319" s="286">
        <v>121</v>
      </c>
      <c r="Q319" s="286">
        <v>2226</v>
      </c>
      <c r="R319" s="286">
        <v>1403</v>
      </c>
      <c r="S319" s="286">
        <v>823</v>
      </c>
      <c r="T319" s="286">
        <v>2005</v>
      </c>
      <c r="U319" s="286">
        <v>1249</v>
      </c>
      <c r="V319" s="286">
        <v>756</v>
      </c>
      <c r="W319" s="286"/>
      <c r="X319" s="286"/>
      <c r="Y319" s="286"/>
      <c r="Z319" s="286"/>
      <c r="AA319" s="286"/>
      <c r="AB319" s="286"/>
      <c r="AC319" s="286"/>
      <c r="AD319" s="286"/>
      <c r="AE319" s="286"/>
      <c r="AF319" s="286"/>
      <c r="AG319" s="286"/>
      <c r="AH319" s="286"/>
      <c r="AI319" s="286"/>
      <c r="AJ319" s="286"/>
      <c r="AK319" s="286"/>
      <c r="AL319" s="286"/>
      <c r="AM319" s="286"/>
      <c r="AN319" s="286"/>
      <c r="AO319" s="286"/>
      <c r="AP319" s="286"/>
      <c r="AQ319" s="286"/>
      <c r="AR319" s="286"/>
      <c r="AS319" s="286"/>
      <c r="AT319" s="286"/>
      <c r="AU319" s="286"/>
      <c r="AV319" s="286"/>
      <c r="AW319" s="286"/>
      <c r="AX319" s="286"/>
      <c r="AY319" s="286"/>
      <c r="AZ319" s="286"/>
      <c r="BA319" s="286"/>
      <c r="BB319" s="286"/>
      <c r="BC319" s="286"/>
      <c r="BD319" s="286"/>
      <c r="BE319" s="286"/>
      <c r="BF319" s="286"/>
      <c r="BG319" s="286"/>
      <c r="BH319" s="286"/>
      <c r="BI319" s="286"/>
      <c r="BJ319" s="286"/>
      <c r="BK319" s="286"/>
      <c r="BL319" s="286"/>
      <c r="BM319" s="286"/>
      <c r="BN319" s="286"/>
      <c r="BO319" s="286"/>
      <c r="BP319" s="286"/>
      <c r="BQ319" s="286"/>
      <c r="BR319" s="286"/>
      <c r="BS319" s="286"/>
      <c r="BT319" s="286"/>
      <c r="BU319" s="286"/>
      <c r="BV319" s="286"/>
      <c r="BW319" s="286"/>
      <c r="BX319" s="286"/>
      <c r="BY319" s="286"/>
      <c r="BZ319" s="286"/>
      <c r="CA319" s="286"/>
      <c r="CB319" s="286"/>
      <c r="CC319" s="286"/>
      <c r="CD319" s="286"/>
      <c r="CE319" s="286"/>
      <c r="CF319" s="286"/>
      <c r="CG319" s="286"/>
      <c r="CH319" s="286"/>
      <c r="CI319" s="286"/>
      <c r="CJ319" s="286"/>
      <c r="CK319" s="286"/>
      <c r="CL319" s="286"/>
      <c r="CM319" s="286"/>
      <c r="CN319" s="286"/>
      <c r="CO319" s="286"/>
      <c r="CP319" s="286"/>
      <c r="CQ319" s="286"/>
      <c r="CR319" s="286"/>
      <c r="CS319" s="286"/>
      <c r="CT319" s="286"/>
      <c r="CU319" s="286"/>
      <c r="CV319" s="286"/>
      <c r="CW319" s="286"/>
      <c r="CX319" s="286"/>
      <c r="CY319" s="286"/>
      <c r="CZ319" s="286"/>
      <c r="DA319" s="286"/>
      <c r="DB319" s="286"/>
      <c r="DC319" s="286"/>
      <c r="DD319" s="286"/>
      <c r="DE319" s="286"/>
      <c r="DF319" s="286"/>
      <c r="DG319" s="286"/>
      <c r="DH319" s="286"/>
      <c r="DI319" s="286"/>
      <c r="DJ319" s="286"/>
      <c r="DK319" s="286"/>
      <c r="DL319" s="286"/>
      <c r="DM319" s="286"/>
      <c r="DN319" s="286"/>
      <c r="DO319" s="286"/>
      <c r="DP319" s="286"/>
      <c r="DQ319" s="286"/>
      <c r="DR319" s="286"/>
      <c r="DS319" s="286"/>
      <c r="DT319" s="286"/>
      <c r="DU319" s="286"/>
      <c r="DV319" s="286"/>
      <c r="DW319" s="286"/>
      <c r="DX319" s="286"/>
      <c r="DY319" s="286"/>
      <c r="DZ319" s="286"/>
      <c r="EA319" s="286"/>
      <c r="EB319" s="286"/>
      <c r="EC319" s="286"/>
      <c r="ED319" s="286"/>
      <c r="EE319" s="286"/>
      <c r="EF319" s="286"/>
      <c r="EG319" s="286"/>
      <c r="EH319" s="286"/>
      <c r="EI319" s="286"/>
      <c r="EJ319" s="286"/>
      <c r="EK319" s="286"/>
      <c r="EL319" s="286"/>
      <c r="EM319" s="286"/>
      <c r="EN319" s="286"/>
      <c r="EO319" s="286"/>
      <c r="EP319" s="286"/>
      <c r="EQ319" s="286"/>
      <c r="ER319" s="286"/>
      <c r="ES319" s="286"/>
      <c r="ET319" s="286"/>
      <c r="EU319" s="286"/>
      <c r="EV319" s="286"/>
      <c r="EW319" s="286"/>
      <c r="EX319" s="286"/>
      <c r="EY319" s="286"/>
      <c r="EZ319" s="286"/>
      <c r="FA319" s="286"/>
      <c r="FB319" s="286"/>
      <c r="FC319" s="286"/>
      <c r="FD319" s="286"/>
      <c r="FE319" s="286"/>
      <c r="FF319" s="286"/>
      <c r="FG319" s="286"/>
      <c r="FH319" s="286"/>
      <c r="FI319" s="286"/>
      <c r="FJ319" s="286"/>
      <c r="FK319" s="286"/>
      <c r="FL319" s="286"/>
      <c r="FM319" s="286"/>
      <c r="FN319" s="286"/>
      <c r="FO319" s="286"/>
      <c r="FP319" s="286"/>
      <c r="FQ319" s="286"/>
      <c r="FR319" s="286"/>
      <c r="FS319" s="286"/>
    </row>
    <row r="320" spans="1:175">
      <c r="A320" s="212" t="s">
        <v>3159</v>
      </c>
      <c r="B320" s="212" t="s">
        <v>3160</v>
      </c>
      <c r="C320" s="212" t="s">
        <v>3432</v>
      </c>
      <c r="D320" s="212" t="s">
        <v>3480</v>
      </c>
      <c r="E320" s="212" t="s">
        <v>3487</v>
      </c>
      <c r="F320" s="278">
        <v>1659</v>
      </c>
      <c r="G320" s="278">
        <v>26098</v>
      </c>
      <c r="H320" s="287">
        <f t="shared" si="4"/>
        <v>0.7855008046593609</v>
      </c>
      <c r="I320" s="286">
        <v>36</v>
      </c>
      <c r="J320" s="286">
        <v>205</v>
      </c>
      <c r="K320" s="286">
        <v>91</v>
      </c>
      <c r="L320" s="286">
        <v>114</v>
      </c>
      <c r="M320" s="286">
        <v>169</v>
      </c>
      <c r="N320" s="286">
        <v>65</v>
      </c>
      <c r="O320" s="286">
        <v>104</v>
      </c>
      <c r="P320" s="286">
        <v>36</v>
      </c>
      <c r="Q320" s="286">
        <v>205</v>
      </c>
      <c r="R320" s="286">
        <v>91</v>
      </c>
      <c r="S320" s="286">
        <v>114</v>
      </c>
      <c r="T320" s="286">
        <v>169</v>
      </c>
      <c r="U320" s="286">
        <v>65</v>
      </c>
      <c r="V320" s="286">
        <v>104</v>
      </c>
      <c r="W320" s="286"/>
      <c r="X320" s="286"/>
      <c r="Y320" s="286"/>
      <c r="Z320" s="286"/>
      <c r="AA320" s="286"/>
      <c r="AB320" s="286"/>
      <c r="AC320" s="286"/>
      <c r="AD320" s="286"/>
      <c r="AE320" s="286"/>
      <c r="AF320" s="286"/>
      <c r="AG320" s="286"/>
      <c r="AH320" s="286"/>
      <c r="AI320" s="286"/>
      <c r="AJ320" s="286"/>
      <c r="AK320" s="286"/>
      <c r="AL320" s="286"/>
      <c r="AM320" s="286"/>
      <c r="AN320" s="286"/>
      <c r="AO320" s="286"/>
      <c r="AP320" s="286"/>
      <c r="AQ320" s="286"/>
      <c r="AR320" s="286"/>
      <c r="AS320" s="286"/>
      <c r="AT320" s="286"/>
      <c r="AU320" s="286"/>
      <c r="AV320" s="286"/>
      <c r="AW320" s="286"/>
      <c r="AX320" s="286"/>
      <c r="AY320" s="286"/>
      <c r="AZ320" s="286"/>
      <c r="BA320" s="286"/>
      <c r="BB320" s="286"/>
      <c r="BC320" s="286"/>
      <c r="BD320" s="286"/>
      <c r="BE320" s="286"/>
      <c r="BF320" s="286"/>
      <c r="BG320" s="286"/>
      <c r="BH320" s="286"/>
      <c r="BI320" s="286"/>
      <c r="BJ320" s="286"/>
      <c r="BK320" s="286"/>
      <c r="BL320" s="286"/>
      <c r="BM320" s="286"/>
      <c r="BN320" s="286"/>
      <c r="BO320" s="286"/>
      <c r="BP320" s="286"/>
      <c r="BQ320" s="286"/>
      <c r="BR320" s="286"/>
      <c r="BS320" s="286"/>
      <c r="BT320" s="286"/>
      <c r="BU320" s="286"/>
      <c r="BV320" s="286"/>
      <c r="BW320" s="286"/>
      <c r="BX320" s="286"/>
      <c r="BY320" s="286"/>
      <c r="BZ320" s="286"/>
      <c r="CA320" s="286"/>
      <c r="CB320" s="286"/>
      <c r="CC320" s="286"/>
      <c r="CD320" s="286"/>
      <c r="CE320" s="286"/>
      <c r="CF320" s="286"/>
      <c r="CG320" s="286"/>
      <c r="CH320" s="286"/>
      <c r="CI320" s="286"/>
      <c r="CJ320" s="286"/>
      <c r="CK320" s="286"/>
      <c r="CL320" s="286"/>
      <c r="CM320" s="286"/>
      <c r="CN320" s="286"/>
      <c r="CO320" s="286"/>
      <c r="CP320" s="286"/>
      <c r="CQ320" s="286"/>
      <c r="CR320" s="286"/>
      <c r="CS320" s="286"/>
      <c r="CT320" s="286"/>
      <c r="CU320" s="286"/>
      <c r="CV320" s="286"/>
      <c r="CW320" s="286"/>
      <c r="CX320" s="286"/>
      <c r="CY320" s="286"/>
      <c r="CZ320" s="286"/>
      <c r="DA320" s="286"/>
      <c r="DB320" s="286"/>
      <c r="DC320" s="286"/>
      <c r="DD320" s="286"/>
      <c r="DE320" s="286"/>
      <c r="DF320" s="286"/>
      <c r="DG320" s="286"/>
      <c r="DH320" s="286"/>
      <c r="DI320" s="286"/>
      <c r="DJ320" s="286"/>
      <c r="DK320" s="286"/>
      <c r="DL320" s="286"/>
      <c r="DM320" s="286"/>
      <c r="DN320" s="286"/>
      <c r="DO320" s="286"/>
      <c r="DP320" s="286"/>
      <c r="DQ320" s="286"/>
      <c r="DR320" s="286"/>
      <c r="DS320" s="286"/>
      <c r="DT320" s="286"/>
      <c r="DU320" s="286"/>
      <c r="DV320" s="286"/>
      <c r="DW320" s="286"/>
      <c r="DX320" s="286"/>
      <c r="DY320" s="286"/>
      <c r="DZ320" s="286"/>
      <c r="EA320" s="286"/>
      <c r="EB320" s="286"/>
      <c r="EC320" s="286"/>
      <c r="ED320" s="286"/>
      <c r="EE320" s="286"/>
      <c r="EF320" s="286"/>
      <c r="EG320" s="286"/>
      <c r="EH320" s="286"/>
      <c r="EI320" s="286"/>
      <c r="EJ320" s="286"/>
      <c r="EK320" s="286"/>
      <c r="EL320" s="286"/>
      <c r="EM320" s="286"/>
      <c r="EN320" s="286"/>
      <c r="EO320" s="286"/>
      <c r="EP320" s="286"/>
      <c r="EQ320" s="286"/>
      <c r="ER320" s="286"/>
      <c r="ES320" s="286"/>
      <c r="ET320" s="286"/>
      <c r="EU320" s="286"/>
      <c r="EV320" s="286"/>
      <c r="EW320" s="286"/>
      <c r="EX320" s="286"/>
      <c r="EY320" s="286"/>
      <c r="EZ320" s="286"/>
      <c r="FA320" s="286"/>
      <c r="FB320" s="286"/>
      <c r="FC320" s="286"/>
      <c r="FD320" s="286"/>
      <c r="FE320" s="286"/>
      <c r="FF320" s="286"/>
      <c r="FG320" s="286"/>
      <c r="FH320" s="286"/>
      <c r="FI320" s="286"/>
      <c r="FJ320" s="286"/>
      <c r="FK320" s="286"/>
      <c r="FL320" s="286"/>
      <c r="FM320" s="286"/>
      <c r="FN320" s="286"/>
      <c r="FO320" s="286"/>
      <c r="FP320" s="286"/>
      <c r="FQ320" s="286"/>
      <c r="FR320" s="286"/>
      <c r="FS320" s="286"/>
    </row>
    <row r="321" spans="1:175">
      <c r="A321" s="212" t="s">
        <v>3159</v>
      </c>
      <c r="B321" s="212" t="s">
        <v>3160</v>
      </c>
      <c r="C321" s="212" t="s">
        <v>3432</v>
      </c>
      <c r="D321" s="212" t="s">
        <v>3480</v>
      </c>
      <c r="E321" s="212" t="s">
        <v>3488</v>
      </c>
      <c r="F321" s="278">
        <v>1637</v>
      </c>
      <c r="G321" s="278">
        <v>46510</v>
      </c>
      <c r="H321" s="287">
        <f t="shared" si="4"/>
        <v>0.53966888841109439</v>
      </c>
      <c r="I321" s="286">
        <v>37</v>
      </c>
      <c r="J321" s="286">
        <v>251</v>
      </c>
      <c r="K321" s="286">
        <v>193</v>
      </c>
      <c r="L321" s="286">
        <v>58</v>
      </c>
      <c r="M321" s="286">
        <v>207</v>
      </c>
      <c r="N321" s="286">
        <v>164</v>
      </c>
      <c r="O321" s="286">
        <v>43</v>
      </c>
      <c r="P321" s="286">
        <v>37</v>
      </c>
      <c r="Q321" s="286">
        <v>251</v>
      </c>
      <c r="R321" s="286">
        <v>193</v>
      </c>
      <c r="S321" s="286">
        <v>58</v>
      </c>
      <c r="T321" s="286">
        <v>207</v>
      </c>
      <c r="U321" s="286">
        <v>164</v>
      </c>
      <c r="V321" s="286">
        <v>43</v>
      </c>
      <c r="W321" s="286"/>
      <c r="X321" s="286"/>
      <c r="Y321" s="286"/>
      <c r="Z321" s="286"/>
      <c r="AA321" s="286"/>
      <c r="AB321" s="286"/>
      <c r="AC321" s="286"/>
      <c r="AD321" s="286"/>
      <c r="AE321" s="286"/>
      <c r="AF321" s="286"/>
      <c r="AG321" s="286"/>
      <c r="AH321" s="286"/>
      <c r="AI321" s="286"/>
      <c r="AJ321" s="286"/>
      <c r="AK321" s="286"/>
      <c r="AL321" s="286"/>
      <c r="AM321" s="286"/>
      <c r="AN321" s="286"/>
      <c r="AO321" s="286"/>
      <c r="AP321" s="286"/>
      <c r="AQ321" s="286"/>
      <c r="AR321" s="286"/>
      <c r="AS321" s="286"/>
      <c r="AT321" s="286"/>
      <c r="AU321" s="286"/>
      <c r="AV321" s="286"/>
      <c r="AW321" s="286"/>
      <c r="AX321" s="286"/>
      <c r="AY321" s="286"/>
      <c r="AZ321" s="286"/>
      <c r="BA321" s="286"/>
      <c r="BB321" s="286"/>
      <c r="BC321" s="286"/>
      <c r="BD321" s="286"/>
      <c r="BE321" s="286"/>
      <c r="BF321" s="286"/>
      <c r="BG321" s="286"/>
      <c r="BH321" s="286"/>
      <c r="BI321" s="286"/>
      <c r="BJ321" s="286"/>
      <c r="BK321" s="286"/>
      <c r="BL321" s="286"/>
      <c r="BM321" s="286"/>
      <c r="BN321" s="286"/>
      <c r="BO321" s="286"/>
      <c r="BP321" s="286"/>
      <c r="BQ321" s="286"/>
      <c r="BR321" s="286"/>
      <c r="BS321" s="286"/>
      <c r="BT321" s="286"/>
      <c r="BU321" s="286"/>
      <c r="BV321" s="286"/>
      <c r="BW321" s="286"/>
      <c r="BX321" s="286"/>
      <c r="BY321" s="286"/>
      <c r="BZ321" s="286"/>
      <c r="CA321" s="286"/>
      <c r="CB321" s="286"/>
      <c r="CC321" s="286"/>
      <c r="CD321" s="286"/>
      <c r="CE321" s="286"/>
      <c r="CF321" s="286"/>
      <c r="CG321" s="286"/>
      <c r="CH321" s="286"/>
      <c r="CI321" s="286"/>
      <c r="CJ321" s="286"/>
      <c r="CK321" s="286"/>
      <c r="CL321" s="286"/>
      <c r="CM321" s="286"/>
      <c r="CN321" s="286"/>
      <c r="CO321" s="286"/>
      <c r="CP321" s="286"/>
      <c r="CQ321" s="286"/>
      <c r="CR321" s="286"/>
      <c r="CS321" s="286"/>
      <c r="CT321" s="286"/>
      <c r="CU321" s="286"/>
      <c r="CV321" s="286"/>
      <c r="CW321" s="286"/>
      <c r="CX321" s="286"/>
      <c r="CY321" s="286"/>
      <c r="CZ321" s="286"/>
      <c r="DA321" s="286"/>
      <c r="DB321" s="286"/>
      <c r="DC321" s="286"/>
      <c r="DD321" s="286"/>
      <c r="DE321" s="286"/>
      <c r="DF321" s="286"/>
      <c r="DG321" s="286"/>
      <c r="DH321" s="286"/>
      <c r="DI321" s="286"/>
      <c r="DJ321" s="286"/>
      <c r="DK321" s="286"/>
      <c r="DL321" s="286"/>
      <c r="DM321" s="286"/>
      <c r="DN321" s="286"/>
      <c r="DO321" s="286"/>
      <c r="DP321" s="286"/>
      <c r="DQ321" s="286"/>
      <c r="DR321" s="286"/>
      <c r="DS321" s="286"/>
      <c r="DT321" s="286"/>
      <c r="DU321" s="286"/>
      <c r="DV321" s="286"/>
      <c r="DW321" s="286"/>
      <c r="DX321" s="286"/>
      <c r="DY321" s="286"/>
      <c r="DZ321" s="286"/>
      <c r="EA321" s="286"/>
      <c r="EB321" s="286"/>
      <c r="EC321" s="286"/>
      <c r="ED321" s="286"/>
      <c r="EE321" s="286"/>
      <c r="EF321" s="286"/>
      <c r="EG321" s="286"/>
      <c r="EH321" s="286"/>
      <c r="EI321" s="286"/>
      <c r="EJ321" s="286"/>
      <c r="EK321" s="286"/>
      <c r="EL321" s="286"/>
      <c r="EM321" s="286"/>
      <c r="EN321" s="286"/>
      <c r="EO321" s="286"/>
      <c r="EP321" s="286"/>
      <c r="EQ321" s="286"/>
      <c r="ER321" s="286"/>
      <c r="ES321" s="286"/>
      <c r="ET321" s="286"/>
      <c r="EU321" s="286"/>
      <c r="EV321" s="286"/>
      <c r="EW321" s="286"/>
      <c r="EX321" s="286"/>
      <c r="EY321" s="286"/>
      <c r="EZ321" s="286"/>
      <c r="FA321" s="286"/>
      <c r="FB321" s="286"/>
      <c r="FC321" s="286"/>
      <c r="FD321" s="286"/>
      <c r="FE321" s="286"/>
      <c r="FF321" s="286"/>
      <c r="FG321" s="286"/>
      <c r="FH321" s="286"/>
      <c r="FI321" s="286"/>
      <c r="FJ321" s="286"/>
      <c r="FK321" s="286"/>
      <c r="FL321" s="286"/>
      <c r="FM321" s="286"/>
      <c r="FN321" s="286"/>
      <c r="FO321" s="286"/>
      <c r="FP321" s="286"/>
      <c r="FQ321" s="286"/>
      <c r="FR321" s="286"/>
      <c r="FS321" s="286"/>
    </row>
    <row r="322" spans="1:175">
      <c r="A322" s="212" t="s">
        <v>3159</v>
      </c>
      <c r="B322" s="212" t="s">
        <v>3160</v>
      </c>
      <c r="C322" s="212" t="s">
        <v>3170</v>
      </c>
      <c r="D322" s="212" t="s">
        <v>3480</v>
      </c>
      <c r="E322" s="212" t="s">
        <v>3489</v>
      </c>
      <c r="F322" s="278">
        <v>8791</v>
      </c>
      <c r="G322" s="278">
        <v>202284</v>
      </c>
      <c r="H322" s="287">
        <f t="shared" si="4"/>
        <v>0.71038737616420478</v>
      </c>
      <c r="I322" s="286">
        <v>221</v>
      </c>
      <c r="J322" s="286">
        <v>1437</v>
      </c>
      <c r="K322" s="286">
        <v>806</v>
      </c>
      <c r="L322" s="286">
        <v>626</v>
      </c>
      <c r="M322" s="286">
        <v>1163</v>
      </c>
      <c r="N322" s="286">
        <v>610</v>
      </c>
      <c r="O322" s="286">
        <v>548</v>
      </c>
      <c r="P322" s="286">
        <v>221</v>
      </c>
      <c r="Q322" s="286">
        <v>1437</v>
      </c>
      <c r="R322" s="286">
        <v>806</v>
      </c>
      <c r="S322" s="286">
        <v>626</v>
      </c>
      <c r="T322" s="286">
        <v>1163</v>
      </c>
      <c r="U322" s="286">
        <v>610</v>
      </c>
      <c r="V322" s="286">
        <v>548</v>
      </c>
      <c r="W322" s="286"/>
      <c r="X322" s="286"/>
      <c r="Y322" s="286"/>
      <c r="Z322" s="286"/>
      <c r="AA322" s="286"/>
      <c r="AB322" s="286"/>
      <c r="AC322" s="286"/>
      <c r="AD322" s="286"/>
      <c r="AE322" s="286"/>
      <c r="AF322" s="286"/>
      <c r="AG322" s="286"/>
      <c r="AH322" s="286"/>
      <c r="AI322" s="286"/>
      <c r="AJ322" s="286"/>
      <c r="AK322" s="286"/>
      <c r="AL322" s="286"/>
      <c r="AM322" s="286"/>
      <c r="AN322" s="286"/>
      <c r="AO322" s="286"/>
      <c r="AP322" s="286"/>
      <c r="AQ322" s="286"/>
      <c r="AR322" s="286"/>
      <c r="AS322" s="286"/>
      <c r="AT322" s="286"/>
      <c r="AU322" s="286"/>
      <c r="AV322" s="286"/>
      <c r="AW322" s="286"/>
      <c r="AX322" s="286"/>
      <c r="AY322" s="286"/>
      <c r="AZ322" s="286"/>
      <c r="BA322" s="286"/>
      <c r="BB322" s="286"/>
      <c r="BC322" s="286"/>
      <c r="BD322" s="286"/>
      <c r="BE322" s="286"/>
      <c r="BF322" s="286"/>
      <c r="BG322" s="286"/>
      <c r="BH322" s="286"/>
      <c r="BI322" s="286"/>
      <c r="BJ322" s="286"/>
      <c r="BK322" s="286"/>
      <c r="BL322" s="286"/>
      <c r="BM322" s="286"/>
      <c r="BN322" s="286"/>
      <c r="BO322" s="286"/>
      <c r="BP322" s="286"/>
      <c r="BQ322" s="286"/>
      <c r="BR322" s="286"/>
      <c r="BS322" s="286"/>
      <c r="BT322" s="286"/>
      <c r="BU322" s="286"/>
      <c r="BV322" s="286"/>
      <c r="BW322" s="286"/>
      <c r="BX322" s="286"/>
      <c r="BY322" s="286"/>
      <c r="BZ322" s="286"/>
      <c r="CA322" s="286"/>
      <c r="CB322" s="286"/>
      <c r="CC322" s="286"/>
      <c r="CD322" s="286"/>
      <c r="CE322" s="286"/>
      <c r="CF322" s="286"/>
      <c r="CG322" s="286"/>
      <c r="CH322" s="286"/>
      <c r="CI322" s="286"/>
      <c r="CJ322" s="286"/>
      <c r="CK322" s="286"/>
      <c r="CL322" s="286"/>
      <c r="CM322" s="286"/>
      <c r="CN322" s="286"/>
      <c r="CO322" s="286"/>
      <c r="CP322" s="286"/>
      <c r="CQ322" s="286"/>
      <c r="CR322" s="286"/>
      <c r="CS322" s="286"/>
      <c r="CT322" s="286"/>
      <c r="CU322" s="286"/>
      <c r="CV322" s="286"/>
      <c r="CW322" s="286"/>
      <c r="CX322" s="286"/>
      <c r="CY322" s="286"/>
      <c r="CZ322" s="286"/>
      <c r="DA322" s="286"/>
      <c r="DB322" s="286"/>
      <c r="DC322" s="286"/>
      <c r="DD322" s="286"/>
      <c r="DE322" s="286"/>
      <c r="DF322" s="286"/>
      <c r="DG322" s="286"/>
      <c r="DH322" s="286"/>
      <c r="DI322" s="286"/>
      <c r="DJ322" s="286"/>
      <c r="DK322" s="286"/>
      <c r="DL322" s="286"/>
      <c r="DM322" s="286"/>
      <c r="DN322" s="286"/>
      <c r="DO322" s="286"/>
      <c r="DP322" s="286"/>
      <c r="DQ322" s="286"/>
      <c r="DR322" s="286"/>
      <c r="DS322" s="286"/>
      <c r="DT322" s="286"/>
      <c r="DU322" s="286"/>
      <c r="DV322" s="286"/>
      <c r="DW322" s="286"/>
      <c r="DX322" s="286"/>
      <c r="DY322" s="286"/>
      <c r="DZ322" s="286"/>
      <c r="EA322" s="286"/>
      <c r="EB322" s="286"/>
      <c r="EC322" s="286"/>
      <c r="ED322" s="286"/>
      <c r="EE322" s="286"/>
      <c r="EF322" s="286"/>
      <c r="EG322" s="286"/>
      <c r="EH322" s="286"/>
      <c r="EI322" s="286"/>
      <c r="EJ322" s="286"/>
      <c r="EK322" s="286"/>
      <c r="EL322" s="286"/>
      <c r="EM322" s="286"/>
      <c r="EN322" s="286"/>
      <c r="EO322" s="286"/>
      <c r="EP322" s="286"/>
      <c r="EQ322" s="286"/>
      <c r="ER322" s="286"/>
      <c r="ES322" s="286"/>
      <c r="ET322" s="286"/>
      <c r="EU322" s="286"/>
      <c r="EV322" s="286"/>
      <c r="EW322" s="286"/>
      <c r="EX322" s="286"/>
      <c r="EY322" s="286"/>
      <c r="EZ322" s="286"/>
      <c r="FA322" s="286"/>
      <c r="FB322" s="286"/>
      <c r="FC322" s="286"/>
      <c r="FD322" s="286"/>
      <c r="FE322" s="286"/>
      <c r="FF322" s="286"/>
      <c r="FG322" s="286"/>
      <c r="FH322" s="286"/>
      <c r="FI322" s="286"/>
      <c r="FJ322" s="286"/>
      <c r="FK322" s="286"/>
      <c r="FL322" s="286"/>
      <c r="FM322" s="286"/>
      <c r="FN322" s="286"/>
      <c r="FO322" s="286"/>
      <c r="FP322" s="286"/>
      <c r="FQ322" s="286"/>
      <c r="FR322" s="286"/>
      <c r="FS322" s="286"/>
    </row>
    <row r="323" spans="1:175">
      <c r="A323" s="212" t="s">
        <v>3159</v>
      </c>
      <c r="B323" s="212" t="s">
        <v>3160</v>
      </c>
      <c r="C323" s="212" t="s">
        <v>3172</v>
      </c>
      <c r="D323" s="212" t="s">
        <v>3480</v>
      </c>
      <c r="E323" s="212" t="s">
        <v>3490</v>
      </c>
      <c r="F323" s="278">
        <v>72</v>
      </c>
      <c r="G323" s="278">
        <v>10914</v>
      </c>
      <c r="H323" s="287">
        <f t="shared" si="4"/>
        <v>1.5393073117097307</v>
      </c>
      <c r="I323" s="286">
        <v>2</v>
      </c>
      <c r="J323" s="286">
        <v>168</v>
      </c>
      <c r="K323" s="286">
        <v>134</v>
      </c>
      <c r="L323" s="286">
        <v>34</v>
      </c>
      <c r="M323" s="286">
        <v>168</v>
      </c>
      <c r="N323" s="286">
        <v>134</v>
      </c>
      <c r="O323" s="286">
        <v>34</v>
      </c>
      <c r="P323" s="286">
        <v>2</v>
      </c>
      <c r="Q323" s="286">
        <v>168</v>
      </c>
      <c r="R323" s="286">
        <v>134</v>
      </c>
      <c r="S323" s="286">
        <v>34</v>
      </c>
      <c r="T323" s="286">
        <v>168</v>
      </c>
      <c r="U323" s="286">
        <v>134</v>
      </c>
      <c r="V323" s="286">
        <v>34</v>
      </c>
      <c r="W323" s="286"/>
      <c r="X323" s="286"/>
      <c r="Y323" s="286"/>
      <c r="Z323" s="286"/>
      <c r="AA323" s="286"/>
      <c r="AB323" s="286"/>
      <c r="AC323" s="286"/>
      <c r="AD323" s="286"/>
      <c r="AE323" s="286"/>
      <c r="AF323" s="286"/>
      <c r="AG323" s="286"/>
      <c r="AH323" s="286"/>
      <c r="AI323" s="286"/>
      <c r="AJ323" s="286"/>
      <c r="AK323" s="286"/>
      <c r="AL323" s="286"/>
      <c r="AM323" s="286"/>
      <c r="AN323" s="286"/>
      <c r="AO323" s="286"/>
      <c r="AP323" s="286"/>
      <c r="AQ323" s="286"/>
      <c r="AR323" s="286"/>
      <c r="AS323" s="286"/>
      <c r="AT323" s="286"/>
      <c r="AU323" s="286"/>
      <c r="AV323" s="286"/>
      <c r="AW323" s="286"/>
      <c r="AX323" s="286"/>
      <c r="AY323" s="286"/>
      <c r="AZ323" s="286"/>
      <c r="BA323" s="286"/>
      <c r="BB323" s="286"/>
      <c r="BC323" s="286"/>
      <c r="BD323" s="286"/>
      <c r="BE323" s="286"/>
      <c r="BF323" s="286"/>
      <c r="BG323" s="286"/>
      <c r="BH323" s="286"/>
      <c r="BI323" s="286"/>
      <c r="BJ323" s="286"/>
      <c r="BK323" s="286"/>
      <c r="BL323" s="286"/>
      <c r="BM323" s="286"/>
      <c r="BN323" s="286"/>
      <c r="BO323" s="286"/>
      <c r="BP323" s="286"/>
      <c r="BQ323" s="286"/>
      <c r="BR323" s="286"/>
      <c r="BS323" s="286"/>
      <c r="BT323" s="286"/>
      <c r="BU323" s="286"/>
      <c r="BV323" s="286"/>
      <c r="BW323" s="286"/>
      <c r="BX323" s="286"/>
      <c r="BY323" s="286"/>
      <c r="BZ323" s="286"/>
      <c r="CA323" s="286"/>
      <c r="CB323" s="286"/>
      <c r="CC323" s="286"/>
      <c r="CD323" s="286"/>
      <c r="CE323" s="286"/>
      <c r="CF323" s="286"/>
      <c r="CG323" s="286"/>
      <c r="CH323" s="286"/>
      <c r="CI323" s="286"/>
      <c r="CJ323" s="286"/>
      <c r="CK323" s="286"/>
      <c r="CL323" s="286"/>
      <c r="CM323" s="286"/>
      <c r="CN323" s="286"/>
      <c r="CO323" s="286"/>
      <c r="CP323" s="286"/>
      <c r="CQ323" s="286"/>
      <c r="CR323" s="286"/>
      <c r="CS323" s="286"/>
      <c r="CT323" s="286"/>
      <c r="CU323" s="286"/>
      <c r="CV323" s="286"/>
      <c r="CW323" s="286"/>
      <c r="CX323" s="286"/>
      <c r="CY323" s="286"/>
      <c r="CZ323" s="286"/>
      <c r="DA323" s="286"/>
      <c r="DB323" s="286"/>
      <c r="DC323" s="286"/>
      <c r="DD323" s="286"/>
      <c r="DE323" s="286"/>
      <c r="DF323" s="286"/>
      <c r="DG323" s="286"/>
      <c r="DH323" s="286"/>
      <c r="DI323" s="286"/>
      <c r="DJ323" s="286"/>
      <c r="DK323" s="286"/>
      <c r="DL323" s="286"/>
      <c r="DM323" s="286"/>
      <c r="DN323" s="286"/>
      <c r="DO323" s="286"/>
      <c r="DP323" s="286"/>
      <c r="DQ323" s="286"/>
      <c r="DR323" s="286"/>
      <c r="DS323" s="286"/>
      <c r="DT323" s="286"/>
      <c r="DU323" s="286"/>
      <c r="DV323" s="286"/>
      <c r="DW323" s="286"/>
      <c r="DX323" s="286"/>
      <c r="DY323" s="286"/>
      <c r="DZ323" s="286"/>
      <c r="EA323" s="286"/>
      <c r="EB323" s="286"/>
      <c r="EC323" s="286"/>
      <c r="ED323" s="286"/>
      <c r="EE323" s="286"/>
      <c r="EF323" s="286"/>
      <c r="EG323" s="286"/>
      <c r="EH323" s="286"/>
      <c r="EI323" s="286"/>
      <c r="EJ323" s="286"/>
      <c r="EK323" s="286"/>
      <c r="EL323" s="286"/>
      <c r="EM323" s="286"/>
      <c r="EN323" s="286"/>
      <c r="EO323" s="286"/>
      <c r="EP323" s="286"/>
      <c r="EQ323" s="286"/>
      <c r="ER323" s="286"/>
      <c r="ES323" s="286"/>
      <c r="ET323" s="286"/>
      <c r="EU323" s="286"/>
      <c r="EV323" s="286"/>
      <c r="EW323" s="286"/>
      <c r="EX323" s="286"/>
      <c r="EY323" s="286"/>
      <c r="EZ323" s="286"/>
      <c r="FA323" s="286"/>
      <c r="FB323" s="286"/>
      <c r="FC323" s="286"/>
      <c r="FD323" s="286"/>
      <c r="FE323" s="286"/>
      <c r="FF323" s="286"/>
      <c r="FG323" s="286"/>
      <c r="FH323" s="286"/>
      <c r="FI323" s="286"/>
      <c r="FJ323" s="286"/>
      <c r="FK323" s="286"/>
      <c r="FL323" s="286"/>
      <c r="FM323" s="286"/>
      <c r="FN323" s="286"/>
      <c r="FO323" s="286"/>
      <c r="FP323" s="286"/>
      <c r="FQ323" s="286"/>
      <c r="FR323" s="286"/>
      <c r="FS323" s="286"/>
    </row>
    <row r="324" spans="1:175">
      <c r="A324" s="212" t="s">
        <v>3159</v>
      </c>
      <c r="B324" s="212" t="s">
        <v>3160</v>
      </c>
      <c r="C324" s="212" t="s">
        <v>3172</v>
      </c>
      <c r="D324" s="212" t="s">
        <v>3480</v>
      </c>
      <c r="E324" s="212" t="s">
        <v>3491</v>
      </c>
      <c r="F324" s="278">
        <v>8719</v>
      </c>
      <c r="G324" s="278">
        <v>191370</v>
      </c>
      <c r="H324" s="287">
        <f t="shared" si="4"/>
        <v>0.66311334064900451</v>
      </c>
      <c r="I324" s="286">
        <v>219</v>
      </c>
      <c r="J324" s="286">
        <v>1269</v>
      </c>
      <c r="K324" s="286">
        <v>672</v>
      </c>
      <c r="L324" s="286">
        <v>592</v>
      </c>
      <c r="M324" s="286">
        <v>995</v>
      </c>
      <c r="N324" s="286">
        <v>476</v>
      </c>
      <c r="O324" s="286">
        <v>514</v>
      </c>
      <c r="P324" s="286">
        <v>219</v>
      </c>
      <c r="Q324" s="286">
        <v>1269</v>
      </c>
      <c r="R324" s="286">
        <v>672</v>
      </c>
      <c r="S324" s="286">
        <v>592</v>
      </c>
      <c r="T324" s="286">
        <v>995</v>
      </c>
      <c r="U324" s="286">
        <v>476</v>
      </c>
      <c r="V324" s="286">
        <v>514</v>
      </c>
      <c r="W324" s="286"/>
      <c r="X324" s="286"/>
      <c r="Y324" s="286"/>
      <c r="Z324" s="286"/>
      <c r="AA324" s="286"/>
      <c r="AB324" s="286"/>
      <c r="AC324" s="286"/>
      <c r="AD324" s="286"/>
      <c r="AE324" s="286"/>
      <c r="AF324" s="286"/>
      <c r="AG324" s="286"/>
      <c r="AH324" s="286"/>
      <c r="AI324" s="286"/>
      <c r="AJ324" s="286"/>
      <c r="AK324" s="286"/>
      <c r="AL324" s="286"/>
      <c r="AM324" s="286"/>
      <c r="AN324" s="286"/>
      <c r="AO324" s="286"/>
      <c r="AP324" s="286"/>
      <c r="AQ324" s="286"/>
      <c r="AR324" s="286"/>
      <c r="AS324" s="286"/>
      <c r="AT324" s="286"/>
      <c r="AU324" s="286"/>
      <c r="AV324" s="286"/>
      <c r="AW324" s="286"/>
      <c r="AX324" s="286"/>
      <c r="AY324" s="286"/>
      <c r="AZ324" s="286"/>
      <c r="BA324" s="286"/>
      <c r="BB324" s="286"/>
      <c r="BC324" s="286"/>
      <c r="BD324" s="286"/>
      <c r="BE324" s="286"/>
      <c r="BF324" s="286"/>
      <c r="BG324" s="286"/>
      <c r="BH324" s="286"/>
      <c r="BI324" s="286"/>
      <c r="BJ324" s="286"/>
      <c r="BK324" s="286"/>
      <c r="BL324" s="286"/>
      <c r="BM324" s="286"/>
      <c r="BN324" s="286"/>
      <c r="BO324" s="286"/>
      <c r="BP324" s="286"/>
      <c r="BQ324" s="286"/>
      <c r="BR324" s="286"/>
      <c r="BS324" s="286"/>
      <c r="BT324" s="286"/>
      <c r="BU324" s="286"/>
      <c r="BV324" s="286"/>
      <c r="BW324" s="286"/>
      <c r="BX324" s="286"/>
      <c r="BY324" s="286"/>
      <c r="BZ324" s="286"/>
      <c r="CA324" s="286"/>
      <c r="CB324" s="286"/>
      <c r="CC324" s="286"/>
      <c r="CD324" s="286"/>
      <c r="CE324" s="286"/>
      <c r="CF324" s="286"/>
      <c r="CG324" s="286"/>
      <c r="CH324" s="286"/>
      <c r="CI324" s="286"/>
      <c r="CJ324" s="286"/>
      <c r="CK324" s="286"/>
      <c r="CL324" s="286"/>
      <c r="CM324" s="286"/>
      <c r="CN324" s="286"/>
      <c r="CO324" s="286"/>
      <c r="CP324" s="286"/>
      <c r="CQ324" s="286"/>
      <c r="CR324" s="286"/>
      <c r="CS324" s="286"/>
      <c r="CT324" s="286"/>
      <c r="CU324" s="286"/>
      <c r="CV324" s="286"/>
      <c r="CW324" s="286"/>
      <c r="CX324" s="286"/>
      <c r="CY324" s="286"/>
      <c r="CZ324" s="286"/>
      <c r="DA324" s="286"/>
      <c r="DB324" s="286"/>
      <c r="DC324" s="286"/>
      <c r="DD324" s="286"/>
      <c r="DE324" s="286"/>
      <c r="DF324" s="286"/>
      <c r="DG324" s="286"/>
      <c r="DH324" s="286"/>
      <c r="DI324" s="286"/>
      <c r="DJ324" s="286"/>
      <c r="DK324" s="286"/>
      <c r="DL324" s="286"/>
      <c r="DM324" s="286"/>
      <c r="DN324" s="286"/>
      <c r="DO324" s="286"/>
      <c r="DP324" s="286"/>
      <c r="DQ324" s="286"/>
      <c r="DR324" s="286"/>
      <c r="DS324" s="286"/>
      <c r="DT324" s="286"/>
      <c r="DU324" s="286"/>
      <c r="DV324" s="286"/>
      <c r="DW324" s="286"/>
      <c r="DX324" s="286"/>
      <c r="DY324" s="286"/>
      <c r="DZ324" s="286"/>
      <c r="EA324" s="286"/>
      <c r="EB324" s="286"/>
      <c r="EC324" s="286"/>
      <c r="ED324" s="286"/>
      <c r="EE324" s="286"/>
      <c r="EF324" s="286"/>
      <c r="EG324" s="286"/>
      <c r="EH324" s="286"/>
      <c r="EI324" s="286"/>
      <c r="EJ324" s="286"/>
      <c r="EK324" s="286"/>
      <c r="EL324" s="286"/>
      <c r="EM324" s="286"/>
      <c r="EN324" s="286"/>
      <c r="EO324" s="286"/>
      <c r="EP324" s="286"/>
      <c r="EQ324" s="286"/>
      <c r="ER324" s="286"/>
      <c r="ES324" s="286"/>
      <c r="ET324" s="286"/>
      <c r="EU324" s="286"/>
      <c r="EV324" s="286"/>
      <c r="EW324" s="286"/>
      <c r="EX324" s="286"/>
      <c r="EY324" s="286"/>
      <c r="EZ324" s="286"/>
      <c r="FA324" s="286"/>
      <c r="FB324" s="286"/>
      <c r="FC324" s="286"/>
      <c r="FD324" s="286"/>
      <c r="FE324" s="286"/>
      <c r="FF324" s="286"/>
      <c r="FG324" s="286"/>
      <c r="FH324" s="286"/>
      <c r="FI324" s="286"/>
      <c r="FJ324" s="286"/>
      <c r="FK324" s="286"/>
      <c r="FL324" s="286"/>
      <c r="FM324" s="286"/>
      <c r="FN324" s="286"/>
      <c r="FO324" s="286"/>
      <c r="FP324" s="286"/>
      <c r="FQ324" s="286"/>
      <c r="FR324" s="286"/>
      <c r="FS324" s="286"/>
    </row>
    <row r="325" spans="1:175">
      <c r="A325" s="212" t="s">
        <v>3159</v>
      </c>
      <c r="B325" s="212" t="s">
        <v>3160</v>
      </c>
      <c r="C325" s="212" t="s">
        <v>3168</v>
      </c>
      <c r="D325" s="212" t="s">
        <v>3492</v>
      </c>
      <c r="E325" s="212" t="s">
        <v>3493</v>
      </c>
      <c r="F325" s="278">
        <v>128861</v>
      </c>
      <c r="G325" s="278">
        <v>3293955</v>
      </c>
      <c r="H325" s="287">
        <f t="shared" si="4"/>
        <v>3.9774374574030302</v>
      </c>
      <c r="I325" s="286">
        <v>5338</v>
      </c>
      <c r="J325" s="286">
        <v>131015</v>
      </c>
      <c r="K325" s="286">
        <v>105257</v>
      </c>
      <c r="L325" s="286">
        <v>25698</v>
      </c>
      <c r="M325" s="286">
        <v>123411</v>
      </c>
      <c r="N325" s="286">
        <v>99611</v>
      </c>
      <c r="O325" s="286">
        <v>23744</v>
      </c>
      <c r="P325" s="286">
        <v>5316</v>
      </c>
      <c r="Q325" s="286">
        <v>129185</v>
      </c>
      <c r="R325" s="286">
        <v>103619</v>
      </c>
      <c r="S325" s="286">
        <v>25506</v>
      </c>
      <c r="T325" s="286">
        <v>121581</v>
      </c>
      <c r="U325" s="286">
        <v>97973</v>
      </c>
      <c r="V325" s="286">
        <v>23552</v>
      </c>
      <c r="W325" s="286"/>
      <c r="X325" s="286"/>
      <c r="Y325" s="286"/>
      <c r="Z325" s="286"/>
      <c r="AA325" s="286"/>
      <c r="AB325" s="286"/>
      <c r="AC325" s="286"/>
      <c r="AD325" s="286"/>
      <c r="AE325" s="286"/>
      <c r="AF325" s="286"/>
      <c r="AG325" s="286"/>
      <c r="AH325" s="286"/>
      <c r="AI325" s="286"/>
      <c r="AJ325" s="286"/>
      <c r="AK325" s="286"/>
      <c r="AL325" s="286"/>
      <c r="AM325" s="286"/>
      <c r="AN325" s="286"/>
      <c r="AO325" s="286"/>
      <c r="AP325" s="286"/>
      <c r="AQ325" s="286"/>
      <c r="AR325" s="286"/>
      <c r="AS325" s="286"/>
      <c r="AT325" s="286"/>
      <c r="AU325" s="286"/>
      <c r="AV325" s="286"/>
      <c r="AW325" s="286"/>
      <c r="AX325" s="286"/>
      <c r="AY325" s="286"/>
      <c r="AZ325" s="286"/>
      <c r="BA325" s="286"/>
      <c r="BB325" s="286"/>
      <c r="BC325" s="286"/>
      <c r="BD325" s="286"/>
      <c r="BE325" s="286"/>
      <c r="BF325" s="286"/>
      <c r="BG325" s="286"/>
      <c r="BH325" s="286"/>
      <c r="BI325" s="286"/>
      <c r="BJ325" s="286"/>
      <c r="BK325" s="286"/>
      <c r="BL325" s="286"/>
      <c r="BM325" s="286"/>
      <c r="BN325" s="286"/>
      <c r="BO325" s="286"/>
      <c r="BP325" s="286"/>
      <c r="BQ325" s="286"/>
      <c r="BR325" s="286"/>
      <c r="BS325" s="286"/>
      <c r="BT325" s="286"/>
      <c r="BU325" s="286"/>
      <c r="BV325" s="286"/>
      <c r="BW325" s="286"/>
      <c r="BX325" s="286"/>
      <c r="BY325" s="286"/>
      <c r="BZ325" s="286"/>
      <c r="CA325" s="286"/>
      <c r="CB325" s="286"/>
      <c r="CC325" s="286"/>
      <c r="CD325" s="286"/>
      <c r="CE325" s="286"/>
      <c r="CF325" s="286"/>
      <c r="CG325" s="286"/>
      <c r="CH325" s="286"/>
      <c r="CI325" s="286"/>
      <c r="CJ325" s="286"/>
      <c r="CK325" s="286"/>
      <c r="CL325" s="286"/>
      <c r="CM325" s="286"/>
      <c r="CN325" s="286"/>
      <c r="CO325" s="286"/>
      <c r="CP325" s="286"/>
      <c r="CQ325" s="286"/>
      <c r="CR325" s="286"/>
      <c r="CS325" s="286"/>
      <c r="CT325" s="286"/>
      <c r="CU325" s="286"/>
      <c r="CV325" s="286"/>
      <c r="CW325" s="286"/>
      <c r="CX325" s="286"/>
      <c r="CY325" s="286"/>
      <c r="CZ325" s="286"/>
      <c r="DA325" s="286"/>
      <c r="DB325" s="286"/>
      <c r="DC325" s="286"/>
      <c r="DD325" s="286"/>
      <c r="DE325" s="286"/>
      <c r="DF325" s="286"/>
      <c r="DG325" s="286"/>
      <c r="DH325" s="286"/>
      <c r="DI325" s="286"/>
      <c r="DJ325" s="286"/>
      <c r="DK325" s="286"/>
      <c r="DL325" s="286"/>
      <c r="DM325" s="286"/>
      <c r="DN325" s="286"/>
      <c r="DO325" s="286"/>
      <c r="DP325" s="286"/>
      <c r="DQ325" s="286"/>
      <c r="DR325" s="286"/>
      <c r="DS325" s="286"/>
      <c r="DT325" s="286"/>
      <c r="DU325" s="286"/>
      <c r="DV325" s="286"/>
      <c r="DW325" s="286"/>
      <c r="DX325" s="286"/>
      <c r="DY325" s="286"/>
      <c r="DZ325" s="286"/>
      <c r="EA325" s="286"/>
      <c r="EB325" s="286"/>
      <c r="EC325" s="286"/>
      <c r="ED325" s="286"/>
      <c r="EE325" s="286"/>
      <c r="EF325" s="286"/>
      <c r="EG325" s="286"/>
      <c r="EH325" s="286"/>
      <c r="EI325" s="286"/>
      <c r="EJ325" s="286"/>
      <c r="EK325" s="286"/>
      <c r="EL325" s="286"/>
      <c r="EM325" s="286"/>
      <c r="EN325" s="286"/>
      <c r="EO325" s="286"/>
      <c r="EP325" s="286"/>
      <c r="EQ325" s="286"/>
      <c r="ER325" s="286"/>
      <c r="ES325" s="286"/>
      <c r="ET325" s="286"/>
      <c r="EU325" s="286"/>
      <c r="EV325" s="286"/>
      <c r="EW325" s="286"/>
      <c r="EX325" s="286"/>
      <c r="EY325" s="286"/>
      <c r="EZ325" s="286"/>
      <c r="FA325" s="286"/>
      <c r="FB325" s="286"/>
      <c r="FC325" s="286"/>
      <c r="FD325" s="286"/>
      <c r="FE325" s="286"/>
      <c r="FF325" s="286"/>
      <c r="FG325" s="286"/>
      <c r="FH325" s="286"/>
      <c r="FI325" s="286"/>
      <c r="FJ325" s="286"/>
      <c r="FK325" s="286"/>
      <c r="FL325" s="286"/>
      <c r="FM325" s="286"/>
      <c r="FN325" s="286"/>
      <c r="FO325" s="286"/>
      <c r="FP325" s="286"/>
      <c r="FQ325" s="286"/>
      <c r="FR325" s="286"/>
      <c r="FS325" s="286"/>
    </row>
    <row r="326" spans="1:175">
      <c r="A326" s="212" t="s">
        <v>3159</v>
      </c>
      <c r="B326" s="212" t="s">
        <v>3160</v>
      </c>
      <c r="C326" s="212" t="s">
        <v>3170</v>
      </c>
      <c r="D326" s="212" t="s">
        <v>3492</v>
      </c>
      <c r="E326" s="212" t="s">
        <v>3494</v>
      </c>
      <c r="F326" s="278">
        <v>3822</v>
      </c>
      <c r="G326" s="278">
        <v>230692</v>
      </c>
      <c r="H326" s="287">
        <f t="shared" si="4"/>
        <v>3.5389176911206284</v>
      </c>
      <c r="I326" s="286">
        <v>158</v>
      </c>
      <c r="J326" s="286">
        <v>8164</v>
      </c>
      <c r="K326" s="286">
        <v>7231</v>
      </c>
      <c r="L326" s="286">
        <v>933</v>
      </c>
      <c r="M326" s="286">
        <v>8109</v>
      </c>
      <c r="N326" s="286">
        <v>7181</v>
      </c>
      <c r="O326" s="286">
        <v>928</v>
      </c>
      <c r="P326" s="286">
        <v>152</v>
      </c>
      <c r="Q326" s="286">
        <v>7637</v>
      </c>
      <c r="R326" s="286">
        <v>6723</v>
      </c>
      <c r="S326" s="286">
        <v>914</v>
      </c>
      <c r="T326" s="286">
        <v>7582</v>
      </c>
      <c r="U326" s="286">
        <v>6673</v>
      </c>
      <c r="V326" s="286">
        <v>909</v>
      </c>
      <c r="W326" s="286"/>
      <c r="X326" s="286"/>
      <c r="Y326" s="286"/>
      <c r="Z326" s="286"/>
      <c r="AA326" s="286"/>
      <c r="AB326" s="286"/>
      <c r="AC326" s="286"/>
      <c r="AD326" s="286"/>
      <c r="AE326" s="286"/>
      <c r="AF326" s="286"/>
      <c r="AG326" s="286"/>
      <c r="AH326" s="286"/>
      <c r="AI326" s="286"/>
      <c r="AJ326" s="286"/>
      <c r="AK326" s="286"/>
      <c r="AL326" s="286"/>
      <c r="AM326" s="286"/>
      <c r="AN326" s="286"/>
      <c r="AO326" s="286"/>
      <c r="AP326" s="286"/>
      <c r="AQ326" s="286"/>
      <c r="AR326" s="286"/>
      <c r="AS326" s="286"/>
      <c r="AT326" s="286"/>
      <c r="AU326" s="286"/>
      <c r="AV326" s="286"/>
      <c r="AW326" s="286"/>
      <c r="AX326" s="286"/>
      <c r="AY326" s="286"/>
      <c r="AZ326" s="286"/>
      <c r="BA326" s="286"/>
      <c r="BB326" s="286"/>
      <c r="BC326" s="286"/>
      <c r="BD326" s="286"/>
      <c r="BE326" s="286"/>
      <c r="BF326" s="286"/>
      <c r="BG326" s="286"/>
      <c r="BH326" s="286"/>
      <c r="BI326" s="286"/>
      <c r="BJ326" s="286"/>
      <c r="BK326" s="286"/>
      <c r="BL326" s="286"/>
      <c r="BM326" s="286"/>
      <c r="BN326" s="286"/>
      <c r="BO326" s="286"/>
      <c r="BP326" s="286"/>
      <c r="BQ326" s="286"/>
      <c r="BR326" s="286"/>
      <c r="BS326" s="286"/>
      <c r="BT326" s="286"/>
      <c r="BU326" s="286"/>
      <c r="BV326" s="286"/>
      <c r="BW326" s="286"/>
      <c r="BX326" s="286"/>
      <c r="BY326" s="286"/>
      <c r="BZ326" s="286"/>
      <c r="CA326" s="286"/>
      <c r="CB326" s="286"/>
      <c r="CC326" s="286"/>
      <c r="CD326" s="286"/>
      <c r="CE326" s="286"/>
      <c r="CF326" s="286"/>
      <c r="CG326" s="286"/>
      <c r="CH326" s="286"/>
      <c r="CI326" s="286"/>
      <c r="CJ326" s="286"/>
      <c r="CK326" s="286"/>
      <c r="CL326" s="286"/>
      <c r="CM326" s="286"/>
      <c r="CN326" s="286"/>
      <c r="CO326" s="286"/>
      <c r="CP326" s="286"/>
      <c r="CQ326" s="286"/>
      <c r="CR326" s="286"/>
      <c r="CS326" s="286"/>
      <c r="CT326" s="286"/>
      <c r="CU326" s="286"/>
      <c r="CV326" s="286"/>
      <c r="CW326" s="286"/>
      <c r="CX326" s="286"/>
      <c r="CY326" s="286"/>
      <c r="CZ326" s="286"/>
      <c r="DA326" s="286"/>
      <c r="DB326" s="286"/>
      <c r="DC326" s="286"/>
      <c r="DD326" s="286"/>
      <c r="DE326" s="286"/>
      <c r="DF326" s="286"/>
      <c r="DG326" s="286"/>
      <c r="DH326" s="286"/>
      <c r="DI326" s="286"/>
      <c r="DJ326" s="286"/>
      <c r="DK326" s="286"/>
      <c r="DL326" s="286"/>
      <c r="DM326" s="286"/>
      <c r="DN326" s="286"/>
      <c r="DO326" s="286"/>
      <c r="DP326" s="286"/>
      <c r="DQ326" s="286"/>
      <c r="DR326" s="286"/>
      <c r="DS326" s="286"/>
      <c r="DT326" s="286"/>
      <c r="DU326" s="286"/>
      <c r="DV326" s="286"/>
      <c r="DW326" s="286"/>
      <c r="DX326" s="286"/>
      <c r="DY326" s="286"/>
      <c r="DZ326" s="286"/>
      <c r="EA326" s="286"/>
      <c r="EB326" s="286"/>
      <c r="EC326" s="286"/>
      <c r="ED326" s="286"/>
      <c r="EE326" s="286"/>
      <c r="EF326" s="286"/>
      <c r="EG326" s="286"/>
      <c r="EH326" s="286"/>
      <c r="EI326" s="286"/>
      <c r="EJ326" s="286"/>
      <c r="EK326" s="286"/>
      <c r="EL326" s="286"/>
      <c r="EM326" s="286"/>
      <c r="EN326" s="286"/>
      <c r="EO326" s="286"/>
      <c r="EP326" s="286"/>
      <c r="EQ326" s="286"/>
      <c r="ER326" s="286"/>
      <c r="ES326" s="286"/>
      <c r="ET326" s="286"/>
      <c r="EU326" s="286"/>
      <c r="EV326" s="286"/>
      <c r="EW326" s="286"/>
      <c r="EX326" s="286"/>
      <c r="EY326" s="286"/>
      <c r="EZ326" s="286"/>
      <c r="FA326" s="286"/>
      <c r="FB326" s="286"/>
      <c r="FC326" s="286"/>
      <c r="FD326" s="286"/>
      <c r="FE326" s="286"/>
      <c r="FF326" s="286"/>
      <c r="FG326" s="286"/>
      <c r="FH326" s="286"/>
      <c r="FI326" s="286"/>
      <c r="FJ326" s="286"/>
      <c r="FK326" s="286"/>
      <c r="FL326" s="286"/>
      <c r="FM326" s="286"/>
      <c r="FN326" s="286"/>
      <c r="FO326" s="286"/>
      <c r="FP326" s="286"/>
      <c r="FQ326" s="286"/>
      <c r="FR326" s="286"/>
      <c r="FS326" s="286"/>
    </row>
    <row r="327" spans="1:175">
      <c r="A327" s="212" t="s">
        <v>3159</v>
      </c>
      <c r="B327" s="212" t="s">
        <v>3160</v>
      </c>
      <c r="C327" s="212" t="s">
        <v>3172</v>
      </c>
      <c r="D327" s="212" t="s">
        <v>3492</v>
      </c>
      <c r="E327" s="212" t="s">
        <v>3495</v>
      </c>
      <c r="F327" s="278">
        <v>118</v>
      </c>
      <c r="G327" s="278">
        <v>21891</v>
      </c>
      <c r="H327" s="287">
        <f t="shared" si="4"/>
        <v>0</v>
      </c>
      <c r="I327" s="286">
        <v>0</v>
      </c>
      <c r="J327" s="286">
        <v>0</v>
      </c>
      <c r="K327" s="286">
        <v>0</v>
      </c>
      <c r="L327" s="286">
        <v>0</v>
      </c>
      <c r="M327" s="286">
        <v>0</v>
      </c>
      <c r="N327" s="286">
        <v>0</v>
      </c>
      <c r="O327" s="286">
        <v>0</v>
      </c>
      <c r="P327" s="286">
        <v>0</v>
      </c>
      <c r="Q327" s="286">
        <v>0</v>
      </c>
      <c r="R327" s="286">
        <v>0</v>
      </c>
      <c r="S327" s="286">
        <v>0</v>
      </c>
      <c r="T327" s="286">
        <v>0</v>
      </c>
      <c r="U327" s="286">
        <v>0</v>
      </c>
      <c r="V327" s="286">
        <v>0</v>
      </c>
      <c r="W327" s="286"/>
      <c r="X327" s="286"/>
      <c r="Y327" s="286"/>
      <c r="Z327" s="286"/>
      <c r="AA327" s="286"/>
      <c r="AB327" s="286"/>
      <c r="AC327" s="286"/>
      <c r="AD327" s="286"/>
      <c r="AE327" s="286"/>
      <c r="AF327" s="286"/>
      <c r="AG327" s="286"/>
      <c r="AH327" s="286"/>
      <c r="AI327" s="286"/>
      <c r="AJ327" s="286"/>
      <c r="AK327" s="286"/>
      <c r="AL327" s="286"/>
      <c r="AM327" s="286"/>
      <c r="AN327" s="286"/>
      <c r="AO327" s="286"/>
      <c r="AP327" s="286"/>
      <c r="AQ327" s="286"/>
      <c r="AR327" s="286"/>
      <c r="AS327" s="286"/>
      <c r="AT327" s="286"/>
      <c r="AU327" s="286"/>
      <c r="AV327" s="286"/>
      <c r="AW327" s="286"/>
      <c r="AX327" s="286"/>
      <c r="AY327" s="286"/>
      <c r="AZ327" s="286"/>
      <c r="BA327" s="286"/>
      <c r="BB327" s="286"/>
      <c r="BC327" s="286"/>
      <c r="BD327" s="286"/>
      <c r="BE327" s="286"/>
      <c r="BF327" s="286"/>
      <c r="BG327" s="286"/>
      <c r="BH327" s="286"/>
      <c r="BI327" s="286"/>
      <c r="BJ327" s="286"/>
      <c r="BK327" s="286"/>
      <c r="BL327" s="286"/>
      <c r="BM327" s="286"/>
      <c r="BN327" s="286"/>
      <c r="BO327" s="286"/>
      <c r="BP327" s="286"/>
      <c r="BQ327" s="286"/>
      <c r="BR327" s="286"/>
      <c r="BS327" s="286"/>
      <c r="BT327" s="286"/>
      <c r="BU327" s="286"/>
      <c r="BV327" s="286"/>
      <c r="BW327" s="286"/>
      <c r="BX327" s="286"/>
      <c r="BY327" s="286"/>
      <c r="BZ327" s="286"/>
      <c r="CA327" s="286"/>
      <c r="CB327" s="286"/>
      <c r="CC327" s="286"/>
      <c r="CD327" s="286"/>
      <c r="CE327" s="286"/>
      <c r="CF327" s="286"/>
      <c r="CG327" s="286"/>
      <c r="CH327" s="286"/>
      <c r="CI327" s="286"/>
      <c r="CJ327" s="286"/>
      <c r="CK327" s="286"/>
      <c r="CL327" s="286"/>
      <c r="CM327" s="286"/>
      <c r="CN327" s="286"/>
      <c r="CO327" s="286"/>
      <c r="CP327" s="286"/>
      <c r="CQ327" s="286"/>
      <c r="CR327" s="286"/>
      <c r="CS327" s="286"/>
      <c r="CT327" s="286"/>
      <c r="CU327" s="286"/>
      <c r="CV327" s="286"/>
      <c r="CW327" s="286"/>
      <c r="CX327" s="286"/>
      <c r="CY327" s="286"/>
      <c r="CZ327" s="286"/>
      <c r="DA327" s="286"/>
      <c r="DB327" s="286"/>
      <c r="DC327" s="286"/>
      <c r="DD327" s="286"/>
      <c r="DE327" s="286"/>
      <c r="DF327" s="286"/>
      <c r="DG327" s="286"/>
      <c r="DH327" s="286"/>
      <c r="DI327" s="286"/>
      <c r="DJ327" s="286"/>
      <c r="DK327" s="286"/>
      <c r="DL327" s="286"/>
      <c r="DM327" s="286"/>
      <c r="DN327" s="286"/>
      <c r="DO327" s="286"/>
      <c r="DP327" s="286"/>
      <c r="DQ327" s="286"/>
      <c r="DR327" s="286"/>
      <c r="DS327" s="286"/>
      <c r="DT327" s="286"/>
      <c r="DU327" s="286"/>
      <c r="DV327" s="286"/>
      <c r="DW327" s="286"/>
      <c r="DX327" s="286"/>
      <c r="DY327" s="286"/>
      <c r="DZ327" s="286"/>
      <c r="EA327" s="286"/>
      <c r="EB327" s="286"/>
      <c r="EC327" s="286"/>
      <c r="ED327" s="286"/>
      <c r="EE327" s="286"/>
      <c r="EF327" s="286"/>
      <c r="EG327" s="286"/>
      <c r="EH327" s="286"/>
      <c r="EI327" s="286"/>
      <c r="EJ327" s="286"/>
      <c r="EK327" s="286"/>
      <c r="EL327" s="286"/>
      <c r="EM327" s="286"/>
      <c r="EN327" s="286"/>
      <c r="EO327" s="286"/>
      <c r="EP327" s="286"/>
      <c r="EQ327" s="286"/>
      <c r="ER327" s="286"/>
      <c r="ES327" s="286"/>
      <c r="ET327" s="286"/>
      <c r="EU327" s="286"/>
      <c r="EV327" s="286"/>
      <c r="EW327" s="286"/>
      <c r="EX327" s="286"/>
      <c r="EY327" s="286"/>
      <c r="EZ327" s="286"/>
      <c r="FA327" s="286"/>
      <c r="FB327" s="286"/>
      <c r="FC327" s="286"/>
      <c r="FD327" s="286"/>
      <c r="FE327" s="286"/>
      <c r="FF327" s="286"/>
      <c r="FG327" s="286"/>
      <c r="FH327" s="286"/>
      <c r="FI327" s="286"/>
      <c r="FJ327" s="286"/>
      <c r="FK327" s="286"/>
      <c r="FL327" s="286"/>
      <c r="FM327" s="286"/>
      <c r="FN327" s="286"/>
      <c r="FO327" s="286"/>
      <c r="FP327" s="286"/>
      <c r="FQ327" s="286"/>
      <c r="FR327" s="286"/>
      <c r="FS327" s="286"/>
    </row>
    <row r="328" spans="1:175">
      <c r="A328" s="212" t="s">
        <v>3159</v>
      </c>
      <c r="B328" s="212" t="s">
        <v>3160</v>
      </c>
      <c r="C328" s="212" t="s">
        <v>3172</v>
      </c>
      <c r="D328" s="212" t="s">
        <v>3492</v>
      </c>
      <c r="E328" s="212" t="s">
        <v>3496</v>
      </c>
      <c r="F328" s="278">
        <v>3704</v>
      </c>
      <c r="G328" s="278">
        <v>208801</v>
      </c>
      <c r="H328" s="287">
        <f t="shared" si="4"/>
        <v>3.9099429600432951</v>
      </c>
      <c r="I328" s="286">
        <v>158</v>
      </c>
      <c r="J328" s="286">
        <v>8164</v>
      </c>
      <c r="K328" s="286">
        <v>7231</v>
      </c>
      <c r="L328" s="286">
        <v>933</v>
      </c>
      <c r="M328" s="286">
        <v>8109</v>
      </c>
      <c r="N328" s="286">
        <v>7181</v>
      </c>
      <c r="O328" s="286">
        <v>928</v>
      </c>
      <c r="P328" s="286">
        <v>152</v>
      </c>
      <c r="Q328" s="286">
        <v>7637</v>
      </c>
      <c r="R328" s="286">
        <v>6723</v>
      </c>
      <c r="S328" s="286">
        <v>914</v>
      </c>
      <c r="T328" s="286">
        <v>7582</v>
      </c>
      <c r="U328" s="286">
        <v>6673</v>
      </c>
      <c r="V328" s="286">
        <v>909</v>
      </c>
      <c r="W328" s="286"/>
      <c r="X328" s="286"/>
      <c r="Y328" s="286"/>
      <c r="Z328" s="286"/>
      <c r="AA328" s="286"/>
      <c r="AB328" s="286"/>
      <c r="AC328" s="286"/>
      <c r="AD328" s="286"/>
      <c r="AE328" s="286"/>
      <c r="AF328" s="286"/>
      <c r="AG328" s="286"/>
      <c r="AH328" s="286"/>
      <c r="AI328" s="286"/>
      <c r="AJ328" s="286"/>
      <c r="AK328" s="286"/>
      <c r="AL328" s="286"/>
      <c r="AM328" s="286"/>
      <c r="AN328" s="286"/>
      <c r="AO328" s="286"/>
      <c r="AP328" s="286"/>
      <c r="AQ328" s="286"/>
      <c r="AR328" s="286"/>
      <c r="AS328" s="286"/>
      <c r="AT328" s="286"/>
      <c r="AU328" s="286"/>
      <c r="AV328" s="286"/>
      <c r="AW328" s="286"/>
      <c r="AX328" s="286"/>
      <c r="AY328" s="286"/>
      <c r="AZ328" s="286"/>
      <c r="BA328" s="286"/>
      <c r="BB328" s="286"/>
      <c r="BC328" s="286"/>
      <c r="BD328" s="286"/>
      <c r="BE328" s="286"/>
      <c r="BF328" s="286"/>
      <c r="BG328" s="286"/>
      <c r="BH328" s="286"/>
      <c r="BI328" s="286"/>
      <c r="BJ328" s="286"/>
      <c r="BK328" s="286"/>
      <c r="BL328" s="286"/>
      <c r="BM328" s="286"/>
      <c r="BN328" s="286"/>
      <c r="BO328" s="286"/>
      <c r="BP328" s="286"/>
      <c r="BQ328" s="286"/>
      <c r="BR328" s="286"/>
      <c r="BS328" s="286"/>
      <c r="BT328" s="286"/>
      <c r="BU328" s="286"/>
      <c r="BV328" s="286"/>
      <c r="BW328" s="286"/>
      <c r="BX328" s="286"/>
      <c r="BY328" s="286"/>
      <c r="BZ328" s="286"/>
      <c r="CA328" s="286"/>
      <c r="CB328" s="286"/>
      <c r="CC328" s="286"/>
      <c r="CD328" s="286"/>
      <c r="CE328" s="286"/>
      <c r="CF328" s="286"/>
      <c r="CG328" s="286"/>
      <c r="CH328" s="286"/>
      <c r="CI328" s="286"/>
      <c r="CJ328" s="286"/>
      <c r="CK328" s="286"/>
      <c r="CL328" s="286"/>
      <c r="CM328" s="286"/>
      <c r="CN328" s="286"/>
      <c r="CO328" s="286"/>
      <c r="CP328" s="286"/>
      <c r="CQ328" s="286"/>
      <c r="CR328" s="286"/>
      <c r="CS328" s="286"/>
      <c r="CT328" s="286"/>
      <c r="CU328" s="286"/>
      <c r="CV328" s="286"/>
      <c r="CW328" s="286"/>
      <c r="CX328" s="286"/>
      <c r="CY328" s="286"/>
      <c r="CZ328" s="286"/>
      <c r="DA328" s="286"/>
      <c r="DB328" s="286"/>
      <c r="DC328" s="286"/>
      <c r="DD328" s="286"/>
      <c r="DE328" s="286"/>
      <c r="DF328" s="286"/>
      <c r="DG328" s="286"/>
      <c r="DH328" s="286"/>
      <c r="DI328" s="286"/>
      <c r="DJ328" s="286"/>
      <c r="DK328" s="286"/>
      <c r="DL328" s="286"/>
      <c r="DM328" s="286"/>
      <c r="DN328" s="286"/>
      <c r="DO328" s="286"/>
      <c r="DP328" s="286"/>
      <c r="DQ328" s="286"/>
      <c r="DR328" s="286"/>
      <c r="DS328" s="286"/>
      <c r="DT328" s="286"/>
      <c r="DU328" s="286"/>
      <c r="DV328" s="286"/>
      <c r="DW328" s="286"/>
      <c r="DX328" s="286"/>
      <c r="DY328" s="286"/>
      <c r="DZ328" s="286"/>
      <c r="EA328" s="286"/>
      <c r="EB328" s="286"/>
      <c r="EC328" s="286"/>
      <c r="ED328" s="286"/>
      <c r="EE328" s="286"/>
      <c r="EF328" s="286"/>
      <c r="EG328" s="286"/>
      <c r="EH328" s="286"/>
      <c r="EI328" s="286"/>
      <c r="EJ328" s="286"/>
      <c r="EK328" s="286"/>
      <c r="EL328" s="286"/>
      <c r="EM328" s="286"/>
      <c r="EN328" s="286"/>
      <c r="EO328" s="286"/>
      <c r="EP328" s="286"/>
      <c r="EQ328" s="286"/>
      <c r="ER328" s="286"/>
      <c r="ES328" s="286"/>
      <c r="ET328" s="286"/>
      <c r="EU328" s="286"/>
      <c r="EV328" s="286"/>
      <c r="EW328" s="286"/>
      <c r="EX328" s="286"/>
      <c r="EY328" s="286"/>
      <c r="EZ328" s="286"/>
      <c r="FA328" s="286"/>
      <c r="FB328" s="286"/>
      <c r="FC328" s="286"/>
      <c r="FD328" s="286"/>
      <c r="FE328" s="286"/>
      <c r="FF328" s="286"/>
      <c r="FG328" s="286"/>
      <c r="FH328" s="286"/>
      <c r="FI328" s="286"/>
      <c r="FJ328" s="286"/>
      <c r="FK328" s="286"/>
      <c r="FL328" s="286"/>
      <c r="FM328" s="286"/>
      <c r="FN328" s="286"/>
      <c r="FO328" s="286"/>
      <c r="FP328" s="286"/>
      <c r="FQ328" s="286"/>
      <c r="FR328" s="286"/>
      <c r="FS328" s="286"/>
    </row>
    <row r="329" spans="1:175">
      <c r="A329" s="212" t="s">
        <v>3159</v>
      </c>
      <c r="B329" s="212" t="s">
        <v>3160</v>
      </c>
      <c r="C329" s="212" t="s">
        <v>3170</v>
      </c>
      <c r="D329" s="212" t="s">
        <v>3492</v>
      </c>
      <c r="E329" s="212" t="s">
        <v>3497</v>
      </c>
      <c r="F329" s="278">
        <v>18029</v>
      </c>
      <c r="G329" s="278">
        <v>476027</v>
      </c>
      <c r="H329" s="287">
        <f t="shared" si="4"/>
        <v>3.5569410978789016</v>
      </c>
      <c r="I329" s="286">
        <v>540</v>
      </c>
      <c r="J329" s="286">
        <v>16932</v>
      </c>
      <c r="K329" s="286">
        <v>15338</v>
      </c>
      <c r="L329" s="286">
        <v>1594</v>
      </c>
      <c r="M329" s="286">
        <v>16151</v>
      </c>
      <c r="N329" s="286">
        <v>14747</v>
      </c>
      <c r="O329" s="286">
        <v>1404</v>
      </c>
      <c r="P329" s="286">
        <v>534</v>
      </c>
      <c r="Q329" s="286">
        <v>16226</v>
      </c>
      <c r="R329" s="286">
        <v>14672</v>
      </c>
      <c r="S329" s="286">
        <v>1554</v>
      </c>
      <c r="T329" s="286">
        <v>15445</v>
      </c>
      <c r="U329" s="286">
        <v>14081</v>
      </c>
      <c r="V329" s="286">
        <v>1364</v>
      </c>
      <c r="W329" s="286"/>
      <c r="X329" s="286"/>
      <c r="Y329" s="286"/>
      <c r="Z329" s="286"/>
      <c r="AA329" s="286"/>
      <c r="AB329" s="286"/>
      <c r="AC329" s="286"/>
      <c r="AD329" s="286"/>
      <c r="AE329" s="286"/>
      <c r="AF329" s="286"/>
      <c r="AG329" s="286"/>
      <c r="AH329" s="286"/>
      <c r="AI329" s="286"/>
      <c r="AJ329" s="286"/>
      <c r="AK329" s="286"/>
      <c r="AL329" s="286"/>
      <c r="AM329" s="286"/>
      <c r="AN329" s="286"/>
      <c r="AO329" s="286"/>
      <c r="AP329" s="286"/>
      <c r="AQ329" s="286"/>
      <c r="AR329" s="286"/>
      <c r="AS329" s="286"/>
      <c r="AT329" s="286"/>
      <c r="AU329" s="286"/>
      <c r="AV329" s="286"/>
      <c r="AW329" s="286"/>
      <c r="AX329" s="286"/>
      <c r="AY329" s="286"/>
      <c r="AZ329" s="286"/>
      <c r="BA329" s="286"/>
      <c r="BB329" s="286"/>
      <c r="BC329" s="286"/>
      <c r="BD329" s="286"/>
      <c r="BE329" s="286"/>
      <c r="BF329" s="286"/>
      <c r="BG329" s="286"/>
      <c r="BH329" s="286"/>
      <c r="BI329" s="286"/>
      <c r="BJ329" s="286"/>
      <c r="BK329" s="286"/>
      <c r="BL329" s="286"/>
      <c r="BM329" s="286"/>
      <c r="BN329" s="286"/>
      <c r="BO329" s="286"/>
      <c r="BP329" s="286"/>
      <c r="BQ329" s="286"/>
      <c r="BR329" s="286"/>
      <c r="BS329" s="286"/>
      <c r="BT329" s="286"/>
      <c r="BU329" s="286"/>
      <c r="BV329" s="286"/>
      <c r="BW329" s="286"/>
      <c r="BX329" s="286"/>
      <c r="BY329" s="286"/>
      <c r="BZ329" s="286"/>
      <c r="CA329" s="286"/>
      <c r="CB329" s="286"/>
      <c r="CC329" s="286"/>
      <c r="CD329" s="286"/>
      <c r="CE329" s="286"/>
      <c r="CF329" s="286"/>
      <c r="CG329" s="286"/>
      <c r="CH329" s="286"/>
      <c r="CI329" s="286"/>
      <c r="CJ329" s="286"/>
      <c r="CK329" s="286"/>
      <c r="CL329" s="286"/>
      <c r="CM329" s="286"/>
      <c r="CN329" s="286"/>
      <c r="CO329" s="286"/>
      <c r="CP329" s="286"/>
      <c r="CQ329" s="286"/>
      <c r="CR329" s="286"/>
      <c r="CS329" s="286"/>
      <c r="CT329" s="286"/>
      <c r="CU329" s="286"/>
      <c r="CV329" s="286"/>
      <c r="CW329" s="286"/>
      <c r="CX329" s="286"/>
      <c r="CY329" s="286"/>
      <c r="CZ329" s="286"/>
      <c r="DA329" s="286"/>
      <c r="DB329" s="286"/>
      <c r="DC329" s="286"/>
      <c r="DD329" s="286"/>
      <c r="DE329" s="286"/>
      <c r="DF329" s="286"/>
      <c r="DG329" s="286"/>
      <c r="DH329" s="286"/>
      <c r="DI329" s="286"/>
      <c r="DJ329" s="286"/>
      <c r="DK329" s="286"/>
      <c r="DL329" s="286"/>
      <c r="DM329" s="286"/>
      <c r="DN329" s="286"/>
      <c r="DO329" s="286"/>
      <c r="DP329" s="286"/>
      <c r="DQ329" s="286"/>
      <c r="DR329" s="286"/>
      <c r="DS329" s="286"/>
      <c r="DT329" s="286"/>
      <c r="DU329" s="286"/>
      <c r="DV329" s="286"/>
      <c r="DW329" s="286"/>
      <c r="DX329" s="286"/>
      <c r="DY329" s="286"/>
      <c r="DZ329" s="286"/>
      <c r="EA329" s="286"/>
      <c r="EB329" s="286"/>
      <c r="EC329" s="286"/>
      <c r="ED329" s="286"/>
      <c r="EE329" s="286"/>
      <c r="EF329" s="286"/>
      <c r="EG329" s="286"/>
      <c r="EH329" s="286"/>
      <c r="EI329" s="286"/>
      <c r="EJ329" s="286"/>
      <c r="EK329" s="286"/>
      <c r="EL329" s="286"/>
      <c r="EM329" s="286"/>
      <c r="EN329" s="286"/>
      <c r="EO329" s="286"/>
      <c r="EP329" s="286"/>
      <c r="EQ329" s="286"/>
      <c r="ER329" s="286"/>
      <c r="ES329" s="286"/>
      <c r="ET329" s="286"/>
      <c r="EU329" s="286"/>
      <c r="EV329" s="286"/>
      <c r="EW329" s="286"/>
      <c r="EX329" s="286"/>
      <c r="EY329" s="286"/>
      <c r="EZ329" s="286"/>
      <c r="FA329" s="286"/>
      <c r="FB329" s="286"/>
      <c r="FC329" s="286"/>
      <c r="FD329" s="286"/>
      <c r="FE329" s="286"/>
      <c r="FF329" s="286"/>
      <c r="FG329" s="286"/>
      <c r="FH329" s="286"/>
      <c r="FI329" s="286"/>
      <c r="FJ329" s="286"/>
      <c r="FK329" s="286"/>
      <c r="FL329" s="286"/>
      <c r="FM329" s="286"/>
      <c r="FN329" s="286"/>
      <c r="FO329" s="286"/>
      <c r="FP329" s="286"/>
      <c r="FQ329" s="286"/>
      <c r="FR329" s="286"/>
      <c r="FS329" s="286"/>
    </row>
    <row r="330" spans="1:175">
      <c r="A330" s="212" t="s">
        <v>3159</v>
      </c>
      <c r="B330" s="212" t="s">
        <v>3160</v>
      </c>
      <c r="C330" s="212" t="s">
        <v>3172</v>
      </c>
      <c r="D330" s="212" t="s">
        <v>3492</v>
      </c>
      <c r="E330" s="212" t="s">
        <v>3498</v>
      </c>
      <c r="F330" s="278">
        <v>191</v>
      </c>
      <c r="G330" s="278">
        <v>6212</v>
      </c>
      <c r="H330" s="287">
        <f t="shared" si="4"/>
        <v>5.0386349001931743</v>
      </c>
      <c r="I330" s="286">
        <v>5</v>
      </c>
      <c r="J330" s="286">
        <v>313</v>
      </c>
      <c r="K330" s="286">
        <v>263</v>
      </c>
      <c r="L330" s="286">
        <v>50</v>
      </c>
      <c r="M330" s="286">
        <v>306</v>
      </c>
      <c r="N330" s="286">
        <v>256</v>
      </c>
      <c r="O330" s="286">
        <v>50</v>
      </c>
      <c r="P330" s="286">
        <v>3</v>
      </c>
      <c r="Q330" s="286">
        <v>107</v>
      </c>
      <c r="R330" s="286">
        <v>85</v>
      </c>
      <c r="S330" s="286">
        <v>22</v>
      </c>
      <c r="T330" s="286">
        <v>100</v>
      </c>
      <c r="U330" s="286">
        <v>78</v>
      </c>
      <c r="V330" s="286">
        <v>22</v>
      </c>
      <c r="W330" s="286"/>
      <c r="X330" s="286"/>
      <c r="Y330" s="286"/>
      <c r="Z330" s="286"/>
      <c r="AA330" s="286"/>
      <c r="AB330" s="286"/>
      <c r="AC330" s="286"/>
      <c r="AD330" s="286"/>
      <c r="AE330" s="286"/>
      <c r="AF330" s="286"/>
      <c r="AG330" s="286"/>
      <c r="AH330" s="286"/>
      <c r="AI330" s="286"/>
      <c r="AJ330" s="286"/>
      <c r="AK330" s="286"/>
      <c r="AL330" s="286"/>
      <c r="AM330" s="286"/>
      <c r="AN330" s="286"/>
      <c r="AO330" s="286"/>
      <c r="AP330" s="286"/>
      <c r="AQ330" s="286"/>
      <c r="AR330" s="286"/>
      <c r="AS330" s="286"/>
      <c r="AT330" s="286"/>
      <c r="AU330" s="286"/>
      <c r="AV330" s="286"/>
      <c r="AW330" s="286"/>
      <c r="AX330" s="286"/>
      <c r="AY330" s="286"/>
      <c r="AZ330" s="286"/>
      <c r="BA330" s="286"/>
      <c r="BB330" s="286"/>
      <c r="BC330" s="286"/>
      <c r="BD330" s="286"/>
      <c r="BE330" s="286"/>
      <c r="BF330" s="286"/>
      <c r="BG330" s="286"/>
      <c r="BH330" s="286"/>
      <c r="BI330" s="286"/>
      <c r="BJ330" s="286"/>
      <c r="BK330" s="286"/>
      <c r="BL330" s="286"/>
      <c r="BM330" s="286"/>
      <c r="BN330" s="286"/>
      <c r="BO330" s="286"/>
      <c r="BP330" s="286"/>
      <c r="BQ330" s="286"/>
      <c r="BR330" s="286"/>
      <c r="BS330" s="286"/>
      <c r="BT330" s="286"/>
      <c r="BU330" s="286"/>
      <c r="BV330" s="286"/>
      <c r="BW330" s="286"/>
      <c r="BX330" s="286"/>
      <c r="BY330" s="286"/>
      <c r="BZ330" s="286"/>
      <c r="CA330" s="286"/>
      <c r="CB330" s="286"/>
      <c r="CC330" s="286"/>
      <c r="CD330" s="286"/>
      <c r="CE330" s="286"/>
      <c r="CF330" s="286"/>
      <c r="CG330" s="286"/>
      <c r="CH330" s="286"/>
      <c r="CI330" s="286"/>
      <c r="CJ330" s="286"/>
      <c r="CK330" s="286"/>
      <c r="CL330" s="286"/>
      <c r="CM330" s="286"/>
      <c r="CN330" s="286"/>
      <c r="CO330" s="286"/>
      <c r="CP330" s="286"/>
      <c r="CQ330" s="286"/>
      <c r="CR330" s="286"/>
      <c r="CS330" s="286"/>
      <c r="CT330" s="286"/>
      <c r="CU330" s="286"/>
      <c r="CV330" s="286"/>
      <c r="CW330" s="286"/>
      <c r="CX330" s="286"/>
      <c r="CY330" s="286"/>
      <c r="CZ330" s="286"/>
      <c r="DA330" s="286"/>
      <c r="DB330" s="286"/>
      <c r="DC330" s="286"/>
      <c r="DD330" s="286"/>
      <c r="DE330" s="286"/>
      <c r="DF330" s="286"/>
      <c r="DG330" s="286"/>
      <c r="DH330" s="286"/>
      <c r="DI330" s="286"/>
      <c r="DJ330" s="286"/>
      <c r="DK330" s="286"/>
      <c r="DL330" s="286"/>
      <c r="DM330" s="286"/>
      <c r="DN330" s="286"/>
      <c r="DO330" s="286"/>
      <c r="DP330" s="286"/>
      <c r="DQ330" s="286"/>
      <c r="DR330" s="286"/>
      <c r="DS330" s="286"/>
      <c r="DT330" s="286"/>
      <c r="DU330" s="286"/>
      <c r="DV330" s="286"/>
      <c r="DW330" s="286"/>
      <c r="DX330" s="286"/>
      <c r="DY330" s="286"/>
      <c r="DZ330" s="286"/>
      <c r="EA330" s="286"/>
      <c r="EB330" s="286"/>
      <c r="EC330" s="286"/>
      <c r="ED330" s="286"/>
      <c r="EE330" s="286"/>
      <c r="EF330" s="286"/>
      <c r="EG330" s="286"/>
      <c r="EH330" s="286"/>
      <c r="EI330" s="286"/>
      <c r="EJ330" s="286"/>
      <c r="EK330" s="286"/>
      <c r="EL330" s="286"/>
      <c r="EM330" s="286"/>
      <c r="EN330" s="286"/>
      <c r="EO330" s="286"/>
      <c r="EP330" s="286"/>
      <c r="EQ330" s="286"/>
      <c r="ER330" s="286"/>
      <c r="ES330" s="286"/>
      <c r="ET330" s="286"/>
      <c r="EU330" s="286"/>
      <c r="EV330" s="286"/>
      <c r="EW330" s="286"/>
      <c r="EX330" s="286"/>
      <c r="EY330" s="286"/>
      <c r="EZ330" s="286"/>
      <c r="FA330" s="286"/>
      <c r="FB330" s="286"/>
      <c r="FC330" s="286"/>
      <c r="FD330" s="286"/>
      <c r="FE330" s="286"/>
      <c r="FF330" s="286"/>
      <c r="FG330" s="286"/>
      <c r="FH330" s="286"/>
      <c r="FI330" s="286"/>
      <c r="FJ330" s="286"/>
      <c r="FK330" s="286"/>
      <c r="FL330" s="286"/>
      <c r="FM330" s="286"/>
      <c r="FN330" s="286"/>
      <c r="FO330" s="286"/>
      <c r="FP330" s="286"/>
      <c r="FQ330" s="286"/>
      <c r="FR330" s="286"/>
      <c r="FS330" s="286"/>
    </row>
    <row r="331" spans="1:175">
      <c r="A331" s="212" t="s">
        <v>3159</v>
      </c>
      <c r="B331" s="212" t="s">
        <v>3160</v>
      </c>
      <c r="C331" s="212" t="s">
        <v>3172</v>
      </c>
      <c r="D331" s="212" t="s">
        <v>3492</v>
      </c>
      <c r="E331" s="212" t="s">
        <v>3499</v>
      </c>
      <c r="F331" s="278">
        <v>2059</v>
      </c>
      <c r="G331" s="278">
        <v>118875</v>
      </c>
      <c r="H331" s="287">
        <f t="shared" ref="H331:H394" si="5">J331/G331*100</f>
        <v>4.4315457413249204</v>
      </c>
      <c r="I331" s="286">
        <v>97</v>
      </c>
      <c r="J331" s="286">
        <v>5268</v>
      </c>
      <c r="K331" s="286">
        <v>4846</v>
      </c>
      <c r="L331" s="286">
        <v>422</v>
      </c>
      <c r="M331" s="286">
        <v>5198</v>
      </c>
      <c r="N331" s="286">
        <v>4788</v>
      </c>
      <c r="O331" s="286">
        <v>410</v>
      </c>
      <c r="P331" s="286">
        <v>93</v>
      </c>
      <c r="Q331" s="286">
        <v>4768</v>
      </c>
      <c r="R331" s="286">
        <v>4358</v>
      </c>
      <c r="S331" s="286">
        <v>410</v>
      </c>
      <c r="T331" s="286">
        <v>4698</v>
      </c>
      <c r="U331" s="286">
        <v>4300</v>
      </c>
      <c r="V331" s="286">
        <v>398</v>
      </c>
      <c r="W331" s="286"/>
      <c r="X331" s="286"/>
      <c r="Y331" s="286"/>
      <c r="Z331" s="286"/>
      <c r="AA331" s="286"/>
      <c r="AB331" s="286"/>
      <c r="AC331" s="286"/>
      <c r="AD331" s="286"/>
      <c r="AE331" s="286"/>
      <c r="AF331" s="286"/>
      <c r="AG331" s="286"/>
      <c r="AH331" s="286"/>
      <c r="AI331" s="286"/>
      <c r="AJ331" s="286"/>
      <c r="AK331" s="286"/>
      <c r="AL331" s="286"/>
      <c r="AM331" s="286"/>
      <c r="AN331" s="286"/>
      <c r="AO331" s="286"/>
      <c r="AP331" s="286"/>
      <c r="AQ331" s="286"/>
      <c r="AR331" s="286"/>
      <c r="AS331" s="286"/>
      <c r="AT331" s="286"/>
      <c r="AU331" s="286"/>
      <c r="AV331" s="286"/>
      <c r="AW331" s="286"/>
      <c r="AX331" s="286"/>
      <c r="AY331" s="286"/>
      <c r="AZ331" s="286"/>
      <c r="BA331" s="286"/>
      <c r="BB331" s="286"/>
      <c r="BC331" s="286"/>
      <c r="BD331" s="286"/>
      <c r="BE331" s="286"/>
      <c r="BF331" s="286"/>
      <c r="BG331" s="286"/>
      <c r="BH331" s="286"/>
      <c r="BI331" s="286"/>
      <c r="BJ331" s="286"/>
      <c r="BK331" s="286"/>
      <c r="BL331" s="286"/>
      <c r="BM331" s="286"/>
      <c r="BN331" s="286"/>
      <c r="BO331" s="286"/>
      <c r="BP331" s="286"/>
      <c r="BQ331" s="286"/>
      <c r="BR331" s="286"/>
      <c r="BS331" s="286"/>
      <c r="BT331" s="286"/>
      <c r="BU331" s="286"/>
      <c r="BV331" s="286"/>
      <c r="BW331" s="286"/>
      <c r="BX331" s="286"/>
      <c r="BY331" s="286"/>
      <c r="BZ331" s="286"/>
      <c r="CA331" s="286"/>
      <c r="CB331" s="286"/>
      <c r="CC331" s="286"/>
      <c r="CD331" s="286"/>
      <c r="CE331" s="286"/>
      <c r="CF331" s="286"/>
      <c r="CG331" s="286"/>
      <c r="CH331" s="286"/>
      <c r="CI331" s="286"/>
      <c r="CJ331" s="286"/>
      <c r="CK331" s="286"/>
      <c r="CL331" s="286"/>
      <c r="CM331" s="286"/>
      <c r="CN331" s="286"/>
      <c r="CO331" s="286"/>
      <c r="CP331" s="286"/>
      <c r="CQ331" s="286"/>
      <c r="CR331" s="286"/>
      <c r="CS331" s="286"/>
      <c r="CT331" s="286"/>
      <c r="CU331" s="286"/>
      <c r="CV331" s="286"/>
      <c r="CW331" s="286"/>
      <c r="CX331" s="286"/>
      <c r="CY331" s="286"/>
      <c r="CZ331" s="286"/>
      <c r="DA331" s="286"/>
      <c r="DB331" s="286"/>
      <c r="DC331" s="286"/>
      <c r="DD331" s="286"/>
      <c r="DE331" s="286"/>
      <c r="DF331" s="286"/>
      <c r="DG331" s="286"/>
      <c r="DH331" s="286"/>
      <c r="DI331" s="286"/>
      <c r="DJ331" s="286"/>
      <c r="DK331" s="286"/>
      <c r="DL331" s="286"/>
      <c r="DM331" s="286"/>
      <c r="DN331" s="286"/>
      <c r="DO331" s="286"/>
      <c r="DP331" s="286"/>
      <c r="DQ331" s="286"/>
      <c r="DR331" s="286"/>
      <c r="DS331" s="286"/>
      <c r="DT331" s="286"/>
      <c r="DU331" s="286"/>
      <c r="DV331" s="286"/>
      <c r="DW331" s="286"/>
      <c r="DX331" s="286"/>
      <c r="DY331" s="286"/>
      <c r="DZ331" s="286"/>
      <c r="EA331" s="286"/>
      <c r="EB331" s="286"/>
      <c r="EC331" s="286"/>
      <c r="ED331" s="286"/>
      <c r="EE331" s="286"/>
      <c r="EF331" s="286"/>
      <c r="EG331" s="286"/>
      <c r="EH331" s="286"/>
      <c r="EI331" s="286"/>
      <c r="EJ331" s="286"/>
      <c r="EK331" s="286"/>
      <c r="EL331" s="286"/>
      <c r="EM331" s="286"/>
      <c r="EN331" s="286"/>
      <c r="EO331" s="286"/>
      <c r="EP331" s="286"/>
      <c r="EQ331" s="286"/>
      <c r="ER331" s="286"/>
      <c r="ES331" s="286"/>
      <c r="ET331" s="286"/>
      <c r="EU331" s="286"/>
      <c r="EV331" s="286"/>
      <c r="EW331" s="286"/>
      <c r="EX331" s="286"/>
      <c r="EY331" s="286"/>
      <c r="EZ331" s="286"/>
      <c r="FA331" s="286"/>
      <c r="FB331" s="286"/>
      <c r="FC331" s="286"/>
      <c r="FD331" s="286"/>
      <c r="FE331" s="286"/>
      <c r="FF331" s="286"/>
      <c r="FG331" s="286"/>
      <c r="FH331" s="286"/>
      <c r="FI331" s="286"/>
      <c r="FJ331" s="286"/>
      <c r="FK331" s="286"/>
      <c r="FL331" s="286"/>
      <c r="FM331" s="286"/>
      <c r="FN331" s="286"/>
      <c r="FO331" s="286"/>
      <c r="FP331" s="286"/>
      <c r="FQ331" s="286"/>
      <c r="FR331" s="286"/>
      <c r="FS331" s="286"/>
    </row>
    <row r="332" spans="1:175">
      <c r="A332" s="212" t="s">
        <v>3159</v>
      </c>
      <c r="B332" s="212" t="s">
        <v>3160</v>
      </c>
      <c r="C332" s="212" t="s">
        <v>3172</v>
      </c>
      <c r="D332" s="212" t="s">
        <v>3492</v>
      </c>
      <c r="E332" s="212" t="s">
        <v>3500</v>
      </c>
      <c r="F332" s="278">
        <v>12897</v>
      </c>
      <c r="G332" s="278">
        <v>292515</v>
      </c>
      <c r="H332" s="287">
        <f t="shared" si="5"/>
        <v>3.3988000615353058</v>
      </c>
      <c r="I332" s="286">
        <v>362</v>
      </c>
      <c r="J332" s="286">
        <v>9942</v>
      </c>
      <c r="K332" s="286">
        <v>9089</v>
      </c>
      <c r="L332" s="286">
        <v>853</v>
      </c>
      <c r="M332" s="286">
        <v>9372</v>
      </c>
      <c r="N332" s="286">
        <v>8653</v>
      </c>
      <c r="O332" s="286">
        <v>719</v>
      </c>
      <c r="P332" s="286">
        <v>362</v>
      </c>
      <c r="Q332" s="286">
        <v>9942</v>
      </c>
      <c r="R332" s="286">
        <v>9089</v>
      </c>
      <c r="S332" s="286">
        <v>853</v>
      </c>
      <c r="T332" s="286">
        <v>9372</v>
      </c>
      <c r="U332" s="286">
        <v>8653</v>
      </c>
      <c r="V332" s="286">
        <v>719</v>
      </c>
      <c r="W332" s="286"/>
      <c r="X332" s="286"/>
      <c r="Y332" s="286"/>
      <c r="Z332" s="286"/>
      <c r="AA332" s="286"/>
      <c r="AB332" s="286"/>
      <c r="AC332" s="286"/>
      <c r="AD332" s="286"/>
      <c r="AE332" s="286"/>
      <c r="AF332" s="286"/>
      <c r="AG332" s="286"/>
      <c r="AH332" s="286"/>
      <c r="AI332" s="286"/>
      <c r="AJ332" s="286"/>
      <c r="AK332" s="286"/>
      <c r="AL332" s="286"/>
      <c r="AM332" s="286"/>
      <c r="AN332" s="286"/>
      <c r="AO332" s="286"/>
      <c r="AP332" s="286"/>
      <c r="AQ332" s="286"/>
      <c r="AR332" s="286"/>
      <c r="AS332" s="286"/>
      <c r="AT332" s="286"/>
      <c r="AU332" s="286"/>
      <c r="AV332" s="286"/>
      <c r="AW332" s="286"/>
      <c r="AX332" s="286"/>
      <c r="AY332" s="286"/>
      <c r="AZ332" s="286"/>
      <c r="BA332" s="286"/>
      <c r="BB332" s="286"/>
      <c r="BC332" s="286"/>
      <c r="BD332" s="286"/>
      <c r="BE332" s="286"/>
      <c r="BF332" s="286"/>
      <c r="BG332" s="286"/>
      <c r="BH332" s="286"/>
      <c r="BI332" s="286"/>
      <c r="BJ332" s="286"/>
      <c r="BK332" s="286"/>
      <c r="BL332" s="286"/>
      <c r="BM332" s="286"/>
      <c r="BN332" s="286"/>
      <c r="BO332" s="286"/>
      <c r="BP332" s="286"/>
      <c r="BQ332" s="286"/>
      <c r="BR332" s="286"/>
      <c r="BS332" s="286"/>
      <c r="BT332" s="286"/>
      <c r="BU332" s="286"/>
      <c r="BV332" s="286"/>
      <c r="BW332" s="286"/>
      <c r="BX332" s="286"/>
      <c r="BY332" s="286"/>
      <c r="BZ332" s="286"/>
      <c r="CA332" s="286"/>
      <c r="CB332" s="286"/>
      <c r="CC332" s="286"/>
      <c r="CD332" s="286"/>
      <c r="CE332" s="286"/>
      <c r="CF332" s="286"/>
      <c r="CG332" s="286"/>
      <c r="CH332" s="286"/>
      <c r="CI332" s="286"/>
      <c r="CJ332" s="286"/>
      <c r="CK332" s="286"/>
      <c r="CL332" s="286"/>
      <c r="CM332" s="286"/>
      <c r="CN332" s="286"/>
      <c r="CO332" s="286"/>
      <c r="CP332" s="286"/>
      <c r="CQ332" s="286"/>
      <c r="CR332" s="286"/>
      <c r="CS332" s="286"/>
      <c r="CT332" s="286"/>
      <c r="CU332" s="286"/>
      <c r="CV332" s="286"/>
      <c r="CW332" s="286"/>
      <c r="CX332" s="286"/>
      <c r="CY332" s="286"/>
      <c r="CZ332" s="286"/>
      <c r="DA332" s="286"/>
      <c r="DB332" s="286"/>
      <c r="DC332" s="286"/>
      <c r="DD332" s="286"/>
      <c r="DE332" s="286"/>
      <c r="DF332" s="286"/>
      <c r="DG332" s="286"/>
      <c r="DH332" s="286"/>
      <c r="DI332" s="286"/>
      <c r="DJ332" s="286"/>
      <c r="DK332" s="286"/>
      <c r="DL332" s="286"/>
      <c r="DM332" s="286"/>
      <c r="DN332" s="286"/>
      <c r="DO332" s="286"/>
      <c r="DP332" s="286"/>
      <c r="DQ332" s="286"/>
      <c r="DR332" s="286"/>
      <c r="DS332" s="286"/>
      <c r="DT332" s="286"/>
      <c r="DU332" s="286"/>
      <c r="DV332" s="286"/>
      <c r="DW332" s="286"/>
      <c r="DX332" s="286"/>
      <c r="DY332" s="286"/>
      <c r="DZ332" s="286"/>
      <c r="EA332" s="286"/>
      <c r="EB332" s="286"/>
      <c r="EC332" s="286"/>
      <c r="ED332" s="286"/>
      <c r="EE332" s="286"/>
      <c r="EF332" s="286"/>
      <c r="EG332" s="286"/>
      <c r="EH332" s="286"/>
      <c r="EI332" s="286"/>
      <c r="EJ332" s="286"/>
      <c r="EK332" s="286"/>
      <c r="EL332" s="286"/>
      <c r="EM332" s="286"/>
      <c r="EN332" s="286"/>
      <c r="EO332" s="286"/>
      <c r="EP332" s="286"/>
      <c r="EQ332" s="286"/>
      <c r="ER332" s="286"/>
      <c r="ES332" s="286"/>
      <c r="ET332" s="286"/>
      <c r="EU332" s="286"/>
      <c r="EV332" s="286"/>
      <c r="EW332" s="286"/>
      <c r="EX332" s="286"/>
      <c r="EY332" s="286"/>
      <c r="EZ332" s="286"/>
      <c r="FA332" s="286"/>
      <c r="FB332" s="286"/>
      <c r="FC332" s="286"/>
      <c r="FD332" s="286"/>
      <c r="FE332" s="286"/>
      <c r="FF332" s="286"/>
      <c r="FG332" s="286"/>
      <c r="FH332" s="286"/>
      <c r="FI332" s="286"/>
      <c r="FJ332" s="286"/>
      <c r="FK332" s="286"/>
      <c r="FL332" s="286"/>
      <c r="FM332" s="286"/>
      <c r="FN332" s="286"/>
      <c r="FO332" s="286"/>
      <c r="FP332" s="286"/>
      <c r="FQ332" s="286"/>
      <c r="FR332" s="286"/>
      <c r="FS332" s="286"/>
    </row>
    <row r="333" spans="1:175">
      <c r="A333" s="212" t="s">
        <v>3159</v>
      </c>
      <c r="B333" s="212" t="s">
        <v>3160</v>
      </c>
      <c r="C333" s="212" t="s">
        <v>3172</v>
      </c>
      <c r="D333" s="212" t="s">
        <v>3492</v>
      </c>
      <c r="E333" s="212" t="s">
        <v>3501</v>
      </c>
      <c r="F333" s="278">
        <v>2616</v>
      </c>
      <c r="G333" s="278">
        <v>51044</v>
      </c>
      <c r="H333" s="287">
        <f t="shared" si="5"/>
        <v>2.6055951727921007</v>
      </c>
      <c r="I333" s="286">
        <v>69</v>
      </c>
      <c r="J333" s="286">
        <v>1330</v>
      </c>
      <c r="K333" s="286">
        <v>1076</v>
      </c>
      <c r="L333" s="286">
        <v>254</v>
      </c>
      <c r="M333" s="286">
        <v>1207</v>
      </c>
      <c r="N333" s="286">
        <v>992</v>
      </c>
      <c r="O333" s="286">
        <v>215</v>
      </c>
      <c r="P333" s="286">
        <v>69</v>
      </c>
      <c r="Q333" s="286">
        <v>1330</v>
      </c>
      <c r="R333" s="286">
        <v>1076</v>
      </c>
      <c r="S333" s="286">
        <v>254</v>
      </c>
      <c r="T333" s="286">
        <v>1207</v>
      </c>
      <c r="U333" s="286">
        <v>992</v>
      </c>
      <c r="V333" s="286">
        <v>215</v>
      </c>
      <c r="W333" s="286"/>
      <c r="X333" s="286"/>
      <c r="Y333" s="286"/>
      <c r="Z333" s="286"/>
      <c r="AA333" s="286"/>
      <c r="AB333" s="286"/>
      <c r="AC333" s="286"/>
      <c r="AD333" s="286"/>
      <c r="AE333" s="286"/>
      <c r="AF333" s="286"/>
      <c r="AG333" s="286"/>
      <c r="AH333" s="286"/>
      <c r="AI333" s="286"/>
      <c r="AJ333" s="286"/>
      <c r="AK333" s="286"/>
      <c r="AL333" s="286"/>
      <c r="AM333" s="286"/>
      <c r="AN333" s="286"/>
      <c r="AO333" s="286"/>
      <c r="AP333" s="286"/>
      <c r="AQ333" s="286"/>
      <c r="AR333" s="286"/>
      <c r="AS333" s="286"/>
      <c r="AT333" s="286"/>
      <c r="AU333" s="286"/>
      <c r="AV333" s="286"/>
      <c r="AW333" s="286"/>
      <c r="AX333" s="286"/>
      <c r="AY333" s="286"/>
      <c r="AZ333" s="286"/>
      <c r="BA333" s="286"/>
      <c r="BB333" s="286"/>
      <c r="BC333" s="286"/>
      <c r="BD333" s="286"/>
      <c r="BE333" s="286"/>
      <c r="BF333" s="286"/>
      <c r="BG333" s="286"/>
      <c r="BH333" s="286"/>
      <c r="BI333" s="286"/>
      <c r="BJ333" s="286"/>
      <c r="BK333" s="286"/>
      <c r="BL333" s="286"/>
      <c r="BM333" s="286"/>
      <c r="BN333" s="286"/>
      <c r="BO333" s="286"/>
      <c r="BP333" s="286"/>
      <c r="BQ333" s="286"/>
      <c r="BR333" s="286"/>
      <c r="BS333" s="286"/>
      <c r="BT333" s="286"/>
      <c r="BU333" s="286"/>
      <c r="BV333" s="286"/>
      <c r="BW333" s="286"/>
      <c r="BX333" s="286"/>
      <c r="BY333" s="286"/>
      <c r="BZ333" s="286"/>
      <c r="CA333" s="286"/>
      <c r="CB333" s="286"/>
      <c r="CC333" s="286"/>
      <c r="CD333" s="286"/>
      <c r="CE333" s="286"/>
      <c r="CF333" s="286"/>
      <c r="CG333" s="286"/>
      <c r="CH333" s="286"/>
      <c r="CI333" s="286"/>
      <c r="CJ333" s="286"/>
      <c r="CK333" s="286"/>
      <c r="CL333" s="286"/>
      <c r="CM333" s="286"/>
      <c r="CN333" s="286"/>
      <c r="CO333" s="286"/>
      <c r="CP333" s="286"/>
      <c r="CQ333" s="286"/>
      <c r="CR333" s="286"/>
      <c r="CS333" s="286"/>
      <c r="CT333" s="286"/>
      <c r="CU333" s="286"/>
      <c r="CV333" s="286"/>
      <c r="CW333" s="286"/>
      <c r="CX333" s="286"/>
      <c r="CY333" s="286"/>
      <c r="CZ333" s="286"/>
      <c r="DA333" s="286"/>
      <c r="DB333" s="286"/>
      <c r="DC333" s="286"/>
      <c r="DD333" s="286"/>
      <c r="DE333" s="286"/>
      <c r="DF333" s="286"/>
      <c r="DG333" s="286"/>
      <c r="DH333" s="286"/>
      <c r="DI333" s="286"/>
      <c r="DJ333" s="286"/>
      <c r="DK333" s="286"/>
      <c r="DL333" s="286"/>
      <c r="DM333" s="286"/>
      <c r="DN333" s="286"/>
      <c r="DO333" s="286"/>
      <c r="DP333" s="286"/>
      <c r="DQ333" s="286"/>
      <c r="DR333" s="286"/>
      <c r="DS333" s="286"/>
      <c r="DT333" s="286"/>
      <c r="DU333" s="286"/>
      <c r="DV333" s="286"/>
      <c r="DW333" s="286"/>
      <c r="DX333" s="286"/>
      <c r="DY333" s="286"/>
      <c r="DZ333" s="286"/>
      <c r="EA333" s="286"/>
      <c r="EB333" s="286"/>
      <c r="EC333" s="286"/>
      <c r="ED333" s="286"/>
      <c r="EE333" s="286"/>
      <c r="EF333" s="286"/>
      <c r="EG333" s="286"/>
      <c r="EH333" s="286"/>
      <c r="EI333" s="286"/>
      <c r="EJ333" s="286"/>
      <c r="EK333" s="286"/>
      <c r="EL333" s="286"/>
      <c r="EM333" s="286"/>
      <c r="EN333" s="286"/>
      <c r="EO333" s="286"/>
      <c r="EP333" s="286"/>
      <c r="EQ333" s="286"/>
      <c r="ER333" s="286"/>
      <c r="ES333" s="286"/>
      <c r="ET333" s="286"/>
      <c r="EU333" s="286"/>
      <c r="EV333" s="286"/>
      <c r="EW333" s="286"/>
      <c r="EX333" s="286"/>
      <c r="EY333" s="286"/>
      <c r="EZ333" s="286"/>
      <c r="FA333" s="286"/>
      <c r="FB333" s="286"/>
      <c r="FC333" s="286"/>
      <c r="FD333" s="286"/>
      <c r="FE333" s="286"/>
      <c r="FF333" s="286"/>
      <c r="FG333" s="286"/>
      <c r="FH333" s="286"/>
      <c r="FI333" s="286"/>
      <c r="FJ333" s="286"/>
      <c r="FK333" s="286"/>
      <c r="FL333" s="286"/>
      <c r="FM333" s="286"/>
      <c r="FN333" s="286"/>
      <c r="FO333" s="286"/>
      <c r="FP333" s="286"/>
      <c r="FQ333" s="286"/>
      <c r="FR333" s="286"/>
      <c r="FS333" s="286"/>
    </row>
    <row r="334" spans="1:175">
      <c r="A334" s="212" t="s">
        <v>3159</v>
      </c>
      <c r="B334" s="212" t="s">
        <v>3160</v>
      </c>
      <c r="C334" s="212" t="s">
        <v>3172</v>
      </c>
      <c r="D334" s="212" t="s">
        <v>3492</v>
      </c>
      <c r="E334" s="212" t="s">
        <v>3502</v>
      </c>
      <c r="F334" s="278">
        <v>266</v>
      </c>
      <c r="G334" s="278">
        <v>7381</v>
      </c>
      <c r="H334" s="287">
        <f t="shared" si="5"/>
        <v>1.0703156753827394</v>
      </c>
      <c r="I334" s="286">
        <v>7</v>
      </c>
      <c r="J334" s="286">
        <v>79</v>
      </c>
      <c r="K334" s="286">
        <v>64</v>
      </c>
      <c r="L334" s="286">
        <v>15</v>
      </c>
      <c r="M334" s="286">
        <v>68</v>
      </c>
      <c r="N334" s="286">
        <v>58</v>
      </c>
      <c r="O334" s="286">
        <v>10</v>
      </c>
      <c r="P334" s="286">
        <v>7</v>
      </c>
      <c r="Q334" s="286">
        <v>79</v>
      </c>
      <c r="R334" s="286">
        <v>64</v>
      </c>
      <c r="S334" s="286">
        <v>15</v>
      </c>
      <c r="T334" s="286">
        <v>68</v>
      </c>
      <c r="U334" s="286">
        <v>58</v>
      </c>
      <c r="V334" s="286">
        <v>10</v>
      </c>
      <c r="W334" s="286"/>
      <c r="X334" s="286"/>
      <c r="Y334" s="286"/>
      <c r="Z334" s="286"/>
      <c r="AA334" s="286"/>
      <c r="AB334" s="286"/>
      <c r="AC334" s="286"/>
      <c r="AD334" s="286"/>
      <c r="AE334" s="286"/>
      <c r="AF334" s="286"/>
      <c r="AG334" s="286"/>
      <c r="AH334" s="286"/>
      <c r="AI334" s="286"/>
      <c r="AJ334" s="286"/>
      <c r="AK334" s="286"/>
      <c r="AL334" s="286"/>
      <c r="AM334" s="286"/>
      <c r="AN334" s="286"/>
      <c r="AO334" s="286"/>
      <c r="AP334" s="286"/>
      <c r="AQ334" s="286"/>
      <c r="AR334" s="286"/>
      <c r="AS334" s="286"/>
      <c r="AT334" s="286"/>
      <c r="AU334" s="286"/>
      <c r="AV334" s="286"/>
      <c r="AW334" s="286"/>
      <c r="AX334" s="286"/>
      <c r="AY334" s="286"/>
      <c r="AZ334" s="286"/>
      <c r="BA334" s="286"/>
      <c r="BB334" s="286"/>
      <c r="BC334" s="286"/>
      <c r="BD334" s="286"/>
      <c r="BE334" s="286"/>
      <c r="BF334" s="286"/>
      <c r="BG334" s="286"/>
      <c r="BH334" s="286"/>
      <c r="BI334" s="286"/>
      <c r="BJ334" s="286"/>
      <c r="BK334" s="286"/>
      <c r="BL334" s="286"/>
      <c r="BM334" s="286"/>
      <c r="BN334" s="286"/>
      <c r="BO334" s="286"/>
      <c r="BP334" s="286"/>
      <c r="BQ334" s="286"/>
      <c r="BR334" s="286"/>
      <c r="BS334" s="286"/>
      <c r="BT334" s="286"/>
      <c r="BU334" s="286"/>
      <c r="BV334" s="286"/>
      <c r="BW334" s="286"/>
      <c r="BX334" s="286"/>
      <c r="BY334" s="286"/>
      <c r="BZ334" s="286"/>
      <c r="CA334" s="286"/>
      <c r="CB334" s="286"/>
      <c r="CC334" s="286"/>
      <c r="CD334" s="286"/>
      <c r="CE334" s="286"/>
      <c r="CF334" s="286"/>
      <c r="CG334" s="286"/>
      <c r="CH334" s="286"/>
      <c r="CI334" s="286"/>
      <c r="CJ334" s="286"/>
      <c r="CK334" s="286"/>
      <c r="CL334" s="286"/>
      <c r="CM334" s="286"/>
      <c r="CN334" s="286"/>
      <c r="CO334" s="286"/>
      <c r="CP334" s="286"/>
      <c r="CQ334" s="286"/>
      <c r="CR334" s="286"/>
      <c r="CS334" s="286"/>
      <c r="CT334" s="286"/>
      <c r="CU334" s="286"/>
      <c r="CV334" s="286"/>
      <c r="CW334" s="286"/>
      <c r="CX334" s="286"/>
      <c r="CY334" s="286"/>
      <c r="CZ334" s="286"/>
      <c r="DA334" s="286"/>
      <c r="DB334" s="286"/>
      <c r="DC334" s="286"/>
      <c r="DD334" s="286"/>
      <c r="DE334" s="286"/>
      <c r="DF334" s="286"/>
      <c r="DG334" s="286"/>
      <c r="DH334" s="286"/>
      <c r="DI334" s="286"/>
      <c r="DJ334" s="286"/>
      <c r="DK334" s="286"/>
      <c r="DL334" s="286"/>
      <c r="DM334" s="286"/>
      <c r="DN334" s="286"/>
      <c r="DO334" s="286"/>
      <c r="DP334" s="286"/>
      <c r="DQ334" s="286"/>
      <c r="DR334" s="286"/>
      <c r="DS334" s="286"/>
      <c r="DT334" s="286"/>
      <c r="DU334" s="286"/>
      <c r="DV334" s="286"/>
      <c r="DW334" s="286"/>
      <c r="DX334" s="286"/>
      <c r="DY334" s="286"/>
      <c r="DZ334" s="286"/>
      <c r="EA334" s="286"/>
      <c r="EB334" s="286"/>
      <c r="EC334" s="286"/>
      <c r="ED334" s="286"/>
      <c r="EE334" s="286"/>
      <c r="EF334" s="286"/>
      <c r="EG334" s="286"/>
      <c r="EH334" s="286"/>
      <c r="EI334" s="286"/>
      <c r="EJ334" s="286"/>
      <c r="EK334" s="286"/>
      <c r="EL334" s="286"/>
      <c r="EM334" s="286"/>
      <c r="EN334" s="286"/>
      <c r="EO334" s="286"/>
      <c r="EP334" s="286"/>
      <c r="EQ334" s="286"/>
      <c r="ER334" s="286"/>
      <c r="ES334" s="286"/>
      <c r="ET334" s="286"/>
      <c r="EU334" s="286"/>
      <c r="EV334" s="286"/>
      <c r="EW334" s="286"/>
      <c r="EX334" s="286"/>
      <c r="EY334" s="286"/>
      <c r="EZ334" s="286"/>
      <c r="FA334" s="286"/>
      <c r="FB334" s="286"/>
      <c r="FC334" s="286"/>
      <c r="FD334" s="286"/>
      <c r="FE334" s="286"/>
      <c r="FF334" s="286"/>
      <c r="FG334" s="286"/>
      <c r="FH334" s="286"/>
      <c r="FI334" s="286"/>
      <c r="FJ334" s="286"/>
      <c r="FK334" s="286"/>
      <c r="FL334" s="286"/>
      <c r="FM334" s="286"/>
      <c r="FN334" s="286"/>
      <c r="FO334" s="286"/>
      <c r="FP334" s="286"/>
      <c r="FQ334" s="286"/>
      <c r="FR334" s="286"/>
      <c r="FS334" s="286"/>
    </row>
    <row r="335" spans="1:175">
      <c r="A335" s="212" t="s">
        <v>3159</v>
      </c>
      <c r="B335" s="212" t="s">
        <v>3160</v>
      </c>
      <c r="C335" s="212" t="s">
        <v>3170</v>
      </c>
      <c r="D335" s="212" t="s">
        <v>3492</v>
      </c>
      <c r="E335" s="212" t="s">
        <v>3503</v>
      </c>
      <c r="F335" s="278">
        <v>73190</v>
      </c>
      <c r="G335" s="278">
        <v>1776512</v>
      </c>
      <c r="H335" s="287">
        <f t="shared" si="5"/>
        <v>3.7610215973773329</v>
      </c>
      <c r="I335" s="286">
        <v>2846</v>
      </c>
      <c r="J335" s="286">
        <v>66815</v>
      </c>
      <c r="K335" s="286">
        <v>54021</v>
      </c>
      <c r="L335" s="286">
        <v>12754</v>
      </c>
      <c r="M335" s="286">
        <v>62429</v>
      </c>
      <c r="N335" s="286">
        <v>50794</v>
      </c>
      <c r="O335" s="286">
        <v>11595</v>
      </c>
      <c r="P335" s="286">
        <v>2846</v>
      </c>
      <c r="Q335" s="286">
        <v>66815</v>
      </c>
      <c r="R335" s="286">
        <v>54021</v>
      </c>
      <c r="S335" s="286">
        <v>12754</v>
      </c>
      <c r="T335" s="286">
        <v>62429</v>
      </c>
      <c r="U335" s="286">
        <v>50794</v>
      </c>
      <c r="V335" s="286">
        <v>11595</v>
      </c>
      <c r="W335" s="286"/>
      <c r="X335" s="286"/>
      <c r="Y335" s="286"/>
      <c r="Z335" s="286"/>
      <c r="AA335" s="286"/>
      <c r="AB335" s="286"/>
      <c r="AC335" s="286"/>
      <c r="AD335" s="286"/>
      <c r="AE335" s="286"/>
      <c r="AF335" s="286"/>
      <c r="AG335" s="286"/>
      <c r="AH335" s="286"/>
      <c r="AI335" s="286"/>
      <c r="AJ335" s="286"/>
      <c r="AK335" s="286"/>
      <c r="AL335" s="286"/>
      <c r="AM335" s="286"/>
      <c r="AN335" s="286"/>
      <c r="AO335" s="286"/>
      <c r="AP335" s="286"/>
      <c r="AQ335" s="286"/>
      <c r="AR335" s="286"/>
      <c r="AS335" s="286"/>
      <c r="AT335" s="286"/>
      <c r="AU335" s="286"/>
      <c r="AV335" s="286"/>
      <c r="AW335" s="286"/>
      <c r="AX335" s="286"/>
      <c r="AY335" s="286"/>
      <c r="AZ335" s="286"/>
      <c r="BA335" s="286"/>
      <c r="BB335" s="286"/>
      <c r="BC335" s="286"/>
      <c r="BD335" s="286"/>
      <c r="BE335" s="286"/>
      <c r="BF335" s="286"/>
      <c r="BG335" s="286"/>
      <c r="BH335" s="286"/>
      <c r="BI335" s="286"/>
      <c r="BJ335" s="286"/>
      <c r="BK335" s="286"/>
      <c r="BL335" s="286"/>
      <c r="BM335" s="286"/>
      <c r="BN335" s="286"/>
      <c r="BO335" s="286"/>
      <c r="BP335" s="286"/>
      <c r="BQ335" s="286"/>
      <c r="BR335" s="286"/>
      <c r="BS335" s="286"/>
      <c r="BT335" s="286"/>
      <c r="BU335" s="286"/>
      <c r="BV335" s="286"/>
      <c r="BW335" s="286"/>
      <c r="BX335" s="286"/>
      <c r="BY335" s="286"/>
      <c r="BZ335" s="286"/>
      <c r="CA335" s="286"/>
      <c r="CB335" s="286"/>
      <c r="CC335" s="286"/>
      <c r="CD335" s="286"/>
      <c r="CE335" s="286"/>
      <c r="CF335" s="286"/>
      <c r="CG335" s="286"/>
      <c r="CH335" s="286"/>
      <c r="CI335" s="286"/>
      <c r="CJ335" s="286"/>
      <c r="CK335" s="286"/>
      <c r="CL335" s="286"/>
      <c r="CM335" s="286"/>
      <c r="CN335" s="286"/>
      <c r="CO335" s="286"/>
      <c r="CP335" s="286"/>
      <c r="CQ335" s="286"/>
      <c r="CR335" s="286"/>
      <c r="CS335" s="286"/>
      <c r="CT335" s="286"/>
      <c r="CU335" s="286"/>
      <c r="CV335" s="286"/>
      <c r="CW335" s="286"/>
      <c r="CX335" s="286"/>
      <c r="CY335" s="286"/>
      <c r="CZ335" s="286"/>
      <c r="DA335" s="286"/>
      <c r="DB335" s="286"/>
      <c r="DC335" s="286"/>
      <c r="DD335" s="286"/>
      <c r="DE335" s="286"/>
      <c r="DF335" s="286"/>
      <c r="DG335" s="286"/>
      <c r="DH335" s="286"/>
      <c r="DI335" s="286"/>
      <c r="DJ335" s="286"/>
      <c r="DK335" s="286"/>
      <c r="DL335" s="286"/>
      <c r="DM335" s="286"/>
      <c r="DN335" s="286"/>
      <c r="DO335" s="286"/>
      <c r="DP335" s="286"/>
      <c r="DQ335" s="286"/>
      <c r="DR335" s="286"/>
      <c r="DS335" s="286"/>
      <c r="DT335" s="286"/>
      <c r="DU335" s="286"/>
      <c r="DV335" s="286"/>
      <c r="DW335" s="286"/>
      <c r="DX335" s="286"/>
      <c r="DY335" s="286"/>
      <c r="DZ335" s="286"/>
      <c r="EA335" s="286"/>
      <c r="EB335" s="286"/>
      <c r="EC335" s="286"/>
      <c r="ED335" s="286"/>
      <c r="EE335" s="286"/>
      <c r="EF335" s="286"/>
      <c r="EG335" s="286"/>
      <c r="EH335" s="286"/>
      <c r="EI335" s="286"/>
      <c r="EJ335" s="286"/>
      <c r="EK335" s="286"/>
      <c r="EL335" s="286"/>
      <c r="EM335" s="286"/>
      <c r="EN335" s="286"/>
      <c r="EO335" s="286"/>
      <c r="EP335" s="286"/>
      <c r="EQ335" s="286"/>
      <c r="ER335" s="286"/>
      <c r="ES335" s="286"/>
      <c r="ET335" s="286"/>
      <c r="EU335" s="286"/>
      <c r="EV335" s="286"/>
      <c r="EW335" s="286"/>
      <c r="EX335" s="286"/>
      <c r="EY335" s="286"/>
      <c r="EZ335" s="286"/>
      <c r="FA335" s="286"/>
      <c r="FB335" s="286"/>
      <c r="FC335" s="286"/>
      <c r="FD335" s="286"/>
      <c r="FE335" s="286"/>
      <c r="FF335" s="286"/>
      <c r="FG335" s="286"/>
      <c r="FH335" s="286"/>
      <c r="FI335" s="286"/>
      <c r="FJ335" s="286"/>
      <c r="FK335" s="286"/>
      <c r="FL335" s="286"/>
      <c r="FM335" s="286"/>
      <c r="FN335" s="286"/>
      <c r="FO335" s="286"/>
      <c r="FP335" s="286"/>
      <c r="FQ335" s="286"/>
      <c r="FR335" s="286"/>
      <c r="FS335" s="286"/>
    </row>
    <row r="336" spans="1:175">
      <c r="A336" s="212" t="s">
        <v>3159</v>
      </c>
      <c r="B336" s="212" t="s">
        <v>3160</v>
      </c>
      <c r="C336" s="212" t="s">
        <v>3172</v>
      </c>
      <c r="D336" s="212" t="s">
        <v>3492</v>
      </c>
      <c r="E336" s="212" t="s">
        <v>3504</v>
      </c>
      <c r="F336" s="278">
        <v>1369</v>
      </c>
      <c r="G336" s="278">
        <v>20875</v>
      </c>
      <c r="H336" s="287">
        <f t="shared" si="5"/>
        <v>2.2562874251497007</v>
      </c>
      <c r="I336" s="286">
        <v>52</v>
      </c>
      <c r="J336" s="286">
        <v>471</v>
      </c>
      <c r="K336" s="286">
        <v>322</v>
      </c>
      <c r="L336" s="286">
        <v>149</v>
      </c>
      <c r="M336" s="286">
        <v>263</v>
      </c>
      <c r="N336" s="286">
        <v>183</v>
      </c>
      <c r="O336" s="286">
        <v>80</v>
      </c>
      <c r="P336" s="286">
        <v>52</v>
      </c>
      <c r="Q336" s="286">
        <v>471</v>
      </c>
      <c r="R336" s="286">
        <v>322</v>
      </c>
      <c r="S336" s="286">
        <v>149</v>
      </c>
      <c r="T336" s="286">
        <v>263</v>
      </c>
      <c r="U336" s="286">
        <v>183</v>
      </c>
      <c r="V336" s="286">
        <v>80</v>
      </c>
      <c r="W336" s="286"/>
      <c r="X336" s="286"/>
      <c r="Y336" s="286"/>
      <c r="Z336" s="286"/>
      <c r="AA336" s="286"/>
      <c r="AB336" s="286"/>
      <c r="AC336" s="286"/>
      <c r="AD336" s="286"/>
      <c r="AE336" s="286"/>
      <c r="AF336" s="286"/>
      <c r="AG336" s="286"/>
      <c r="AH336" s="286"/>
      <c r="AI336" s="286"/>
      <c r="AJ336" s="286"/>
      <c r="AK336" s="286"/>
      <c r="AL336" s="286"/>
      <c r="AM336" s="286"/>
      <c r="AN336" s="286"/>
      <c r="AO336" s="286"/>
      <c r="AP336" s="286"/>
      <c r="AQ336" s="286"/>
      <c r="AR336" s="286"/>
      <c r="AS336" s="286"/>
      <c r="AT336" s="286"/>
      <c r="AU336" s="286"/>
      <c r="AV336" s="286"/>
      <c r="AW336" s="286"/>
      <c r="AX336" s="286"/>
      <c r="AY336" s="286"/>
      <c r="AZ336" s="286"/>
      <c r="BA336" s="286"/>
      <c r="BB336" s="286"/>
      <c r="BC336" s="286"/>
      <c r="BD336" s="286"/>
      <c r="BE336" s="286"/>
      <c r="BF336" s="286"/>
      <c r="BG336" s="286"/>
      <c r="BH336" s="286"/>
      <c r="BI336" s="286"/>
      <c r="BJ336" s="286"/>
      <c r="BK336" s="286"/>
      <c r="BL336" s="286"/>
      <c r="BM336" s="286"/>
      <c r="BN336" s="286"/>
      <c r="BO336" s="286"/>
      <c r="BP336" s="286"/>
      <c r="BQ336" s="286"/>
      <c r="BR336" s="286"/>
      <c r="BS336" s="286"/>
      <c r="BT336" s="286"/>
      <c r="BU336" s="286"/>
      <c r="BV336" s="286"/>
      <c r="BW336" s="286"/>
      <c r="BX336" s="286"/>
      <c r="BY336" s="286"/>
      <c r="BZ336" s="286"/>
      <c r="CA336" s="286"/>
      <c r="CB336" s="286"/>
      <c r="CC336" s="286"/>
      <c r="CD336" s="286"/>
      <c r="CE336" s="286"/>
      <c r="CF336" s="286"/>
      <c r="CG336" s="286"/>
      <c r="CH336" s="286"/>
      <c r="CI336" s="286"/>
      <c r="CJ336" s="286"/>
      <c r="CK336" s="286"/>
      <c r="CL336" s="286"/>
      <c r="CM336" s="286"/>
      <c r="CN336" s="286"/>
      <c r="CO336" s="286"/>
      <c r="CP336" s="286"/>
      <c r="CQ336" s="286"/>
      <c r="CR336" s="286"/>
      <c r="CS336" s="286"/>
      <c r="CT336" s="286"/>
      <c r="CU336" s="286"/>
      <c r="CV336" s="286"/>
      <c r="CW336" s="286"/>
      <c r="CX336" s="286"/>
      <c r="CY336" s="286"/>
      <c r="CZ336" s="286"/>
      <c r="DA336" s="286"/>
      <c r="DB336" s="286"/>
      <c r="DC336" s="286"/>
      <c r="DD336" s="286"/>
      <c r="DE336" s="286"/>
      <c r="DF336" s="286"/>
      <c r="DG336" s="286"/>
      <c r="DH336" s="286"/>
      <c r="DI336" s="286"/>
      <c r="DJ336" s="286"/>
      <c r="DK336" s="286"/>
      <c r="DL336" s="286"/>
      <c r="DM336" s="286"/>
      <c r="DN336" s="286"/>
      <c r="DO336" s="286"/>
      <c r="DP336" s="286"/>
      <c r="DQ336" s="286"/>
      <c r="DR336" s="286"/>
      <c r="DS336" s="286"/>
      <c r="DT336" s="286"/>
      <c r="DU336" s="286"/>
      <c r="DV336" s="286"/>
      <c r="DW336" s="286"/>
      <c r="DX336" s="286"/>
      <c r="DY336" s="286"/>
      <c r="DZ336" s="286"/>
      <c r="EA336" s="286"/>
      <c r="EB336" s="286"/>
      <c r="EC336" s="286"/>
      <c r="ED336" s="286"/>
      <c r="EE336" s="286"/>
      <c r="EF336" s="286"/>
      <c r="EG336" s="286"/>
      <c r="EH336" s="286"/>
      <c r="EI336" s="286"/>
      <c r="EJ336" s="286"/>
      <c r="EK336" s="286"/>
      <c r="EL336" s="286"/>
      <c r="EM336" s="286"/>
      <c r="EN336" s="286"/>
      <c r="EO336" s="286"/>
      <c r="EP336" s="286"/>
      <c r="EQ336" s="286"/>
      <c r="ER336" s="286"/>
      <c r="ES336" s="286"/>
      <c r="ET336" s="286"/>
      <c r="EU336" s="286"/>
      <c r="EV336" s="286"/>
      <c r="EW336" s="286"/>
      <c r="EX336" s="286"/>
      <c r="EY336" s="286"/>
      <c r="EZ336" s="286"/>
      <c r="FA336" s="286"/>
      <c r="FB336" s="286"/>
      <c r="FC336" s="286"/>
      <c r="FD336" s="286"/>
      <c r="FE336" s="286"/>
      <c r="FF336" s="286"/>
      <c r="FG336" s="286"/>
      <c r="FH336" s="286"/>
      <c r="FI336" s="286"/>
      <c r="FJ336" s="286"/>
      <c r="FK336" s="286"/>
      <c r="FL336" s="286"/>
      <c r="FM336" s="286"/>
      <c r="FN336" s="286"/>
      <c r="FO336" s="286"/>
      <c r="FP336" s="286"/>
      <c r="FQ336" s="286"/>
      <c r="FR336" s="286"/>
      <c r="FS336" s="286"/>
    </row>
    <row r="337" spans="1:175">
      <c r="A337" s="212" t="s">
        <v>3159</v>
      </c>
      <c r="B337" s="212" t="s">
        <v>3160</v>
      </c>
      <c r="C337" s="212" t="s">
        <v>3172</v>
      </c>
      <c r="D337" s="212" t="s">
        <v>3492</v>
      </c>
      <c r="E337" s="212" t="s">
        <v>3505</v>
      </c>
      <c r="F337" s="278">
        <v>65552</v>
      </c>
      <c r="G337" s="278">
        <v>1678415</v>
      </c>
      <c r="H337" s="287">
        <f t="shared" si="5"/>
        <v>3.7313775198624897</v>
      </c>
      <c r="I337" s="286">
        <v>2572</v>
      </c>
      <c r="J337" s="286">
        <v>62628</v>
      </c>
      <c r="K337" s="286">
        <v>50485</v>
      </c>
      <c r="L337" s="286">
        <v>12139</v>
      </c>
      <c r="M337" s="286">
        <v>58736</v>
      </c>
      <c r="N337" s="286">
        <v>47625</v>
      </c>
      <c r="O337" s="286">
        <v>11107</v>
      </c>
      <c r="P337" s="286">
        <v>2572</v>
      </c>
      <c r="Q337" s="286">
        <v>62628</v>
      </c>
      <c r="R337" s="286">
        <v>50485</v>
      </c>
      <c r="S337" s="286">
        <v>12139</v>
      </c>
      <c r="T337" s="286">
        <v>58736</v>
      </c>
      <c r="U337" s="286">
        <v>47625</v>
      </c>
      <c r="V337" s="286">
        <v>11107</v>
      </c>
      <c r="W337" s="286"/>
      <c r="X337" s="286"/>
      <c r="Y337" s="286"/>
      <c r="Z337" s="286"/>
      <c r="AA337" s="286"/>
      <c r="AB337" s="286"/>
      <c r="AC337" s="286"/>
      <c r="AD337" s="286"/>
      <c r="AE337" s="286"/>
      <c r="AF337" s="286"/>
      <c r="AG337" s="286"/>
      <c r="AH337" s="286"/>
      <c r="AI337" s="286"/>
      <c r="AJ337" s="286"/>
      <c r="AK337" s="286"/>
      <c r="AL337" s="286"/>
      <c r="AM337" s="286"/>
      <c r="AN337" s="286"/>
      <c r="AO337" s="286"/>
      <c r="AP337" s="286"/>
      <c r="AQ337" s="286"/>
      <c r="AR337" s="286"/>
      <c r="AS337" s="286"/>
      <c r="AT337" s="286"/>
      <c r="AU337" s="286"/>
      <c r="AV337" s="286"/>
      <c r="AW337" s="286"/>
      <c r="AX337" s="286"/>
      <c r="AY337" s="286"/>
      <c r="AZ337" s="286"/>
      <c r="BA337" s="286"/>
      <c r="BB337" s="286"/>
      <c r="BC337" s="286"/>
      <c r="BD337" s="286"/>
      <c r="BE337" s="286"/>
      <c r="BF337" s="286"/>
      <c r="BG337" s="286"/>
      <c r="BH337" s="286"/>
      <c r="BI337" s="286"/>
      <c r="BJ337" s="286"/>
      <c r="BK337" s="286"/>
      <c r="BL337" s="286"/>
      <c r="BM337" s="286"/>
      <c r="BN337" s="286"/>
      <c r="BO337" s="286"/>
      <c r="BP337" s="286"/>
      <c r="BQ337" s="286"/>
      <c r="BR337" s="286"/>
      <c r="BS337" s="286"/>
      <c r="BT337" s="286"/>
      <c r="BU337" s="286"/>
      <c r="BV337" s="286"/>
      <c r="BW337" s="286"/>
      <c r="BX337" s="286"/>
      <c r="BY337" s="286"/>
      <c r="BZ337" s="286"/>
      <c r="CA337" s="286"/>
      <c r="CB337" s="286"/>
      <c r="CC337" s="286"/>
      <c r="CD337" s="286"/>
      <c r="CE337" s="286"/>
      <c r="CF337" s="286"/>
      <c r="CG337" s="286"/>
      <c r="CH337" s="286"/>
      <c r="CI337" s="286"/>
      <c r="CJ337" s="286"/>
      <c r="CK337" s="286"/>
      <c r="CL337" s="286"/>
      <c r="CM337" s="286"/>
      <c r="CN337" s="286"/>
      <c r="CO337" s="286"/>
      <c r="CP337" s="286"/>
      <c r="CQ337" s="286"/>
      <c r="CR337" s="286"/>
      <c r="CS337" s="286"/>
      <c r="CT337" s="286"/>
      <c r="CU337" s="286"/>
      <c r="CV337" s="286"/>
      <c r="CW337" s="286"/>
      <c r="CX337" s="286"/>
      <c r="CY337" s="286"/>
      <c r="CZ337" s="286"/>
      <c r="DA337" s="286"/>
      <c r="DB337" s="286"/>
      <c r="DC337" s="286"/>
      <c r="DD337" s="286"/>
      <c r="DE337" s="286"/>
      <c r="DF337" s="286"/>
      <c r="DG337" s="286"/>
      <c r="DH337" s="286"/>
      <c r="DI337" s="286"/>
      <c r="DJ337" s="286"/>
      <c r="DK337" s="286"/>
      <c r="DL337" s="286"/>
      <c r="DM337" s="286"/>
      <c r="DN337" s="286"/>
      <c r="DO337" s="286"/>
      <c r="DP337" s="286"/>
      <c r="DQ337" s="286"/>
      <c r="DR337" s="286"/>
      <c r="DS337" s="286"/>
      <c r="DT337" s="286"/>
      <c r="DU337" s="286"/>
      <c r="DV337" s="286"/>
      <c r="DW337" s="286"/>
      <c r="DX337" s="286"/>
      <c r="DY337" s="286"/>
      <c r="DZ337" s="286"/>
      <c r="EA337" s="286"/>
      <c r="EB337" s="286"/>
      <c r="EC337" s="286"/>
      <c r="ED337" s="286"/>
      <c r="EE337" s="286"/>
      <c r="EF337" s="286"/>
      <c r="EG337" s="286"/>
      <c r="EH337" s="286"/>
      <c r="EI337" s="286"/>
      <c r="EJ337" s="286"/>
      <c r="EK337" s="286"/>
      <c r="EL337" s="286"/>
      <c r="EM337" s="286"/>
      <c r="EN337" s="286"/>
      <c r="EO337" s="286"/>
      <c r="EP337" s="286"/>
      <c r="EQ337" s="286"/>
      <c r="ER337" s="286"/>
      <c r="ES337" s="286"/>
      <c r="ET337" s="286"/>
      <c r="EU337" s="286"/>
      <c r="EV337" s="286"/>
      <c r="EW337" s="286"/>
      <c r="EX337" s="286"/>
      <c r="EY337" s="286"/>
      <c r="EZ337" s="286"/>
      <c r="FA337" s="286"/>
      <c r="FB337" s="286"/>
      <c r="FC337" s="286"/>
      <c r="FD337" s="286"/>
      <c r="FE337" s="286"/>
      <c r="FF337" s="286"/>
      <c r="FG337" s="286"/>
      <c r="FH337" s="286"/>
      <c r="FI337" s="286"/>
      <c r="FJ337" s="286"/>
      <c r="FK337" s="286"/>
      <c r="FL337" s="286"/>
      <c r="FM337" s="286"/>
      <c r="FN337" s="286"/>
      <c r="FO337" s="286"/>
      <c r="FP337" s="286"/>
      <c r="FQ337" s="286"/>
      <c r="FR337" s="286"/>
      <c r="FS337" s="286"/>
    </row>
    <row r="338" spans="1:175">
      <c r="A338" s="212" t="s">
        <v>3159</v>
      </c>
      <c r="B338" s="212" t="s">
        <v>3160</v>
      </c>
      <c r="C338" s="212" t="s">
        <v>3172</v>
      </c>
      <c r="D338" s="212" t="s">
        <v>3492</v>
      </c>
      <c r="E338" s="212" t="s">
        <v>3506</v>
      </c>
      <c r="F338" s="278">
        <v>1184</v>
      </c>
      <c r="G338" s="278">
        <v>20111</v>
      </c>
      <c r="H338" s="287">
        <f t="shared" si="5"/>
        <v>5.3005817711700063</v>
      </c>
      <c r="I338" s="286">
        <v>43</v>
      </c>
      <c r="J338" s="286">
        <v>1066</v>
      </c>
      <c r="K338" s="286">
        <v>1006</v>
      </c>
      <c r="L338" s="286">
        <v>48</v>
      </c>
      <c r="M338" s="286">
        <v>998</v>
      </c>
      <c r="N338" s="286">
        <v>946</v>
      </c>
      <c r="O338" s="286">
        <v>40</v>
      </c>
      <c r="P338" s="286">
        <v>43</v>
      </c>
      <c r="Q338" s="286">
        <v>1066</v>
      </c>
      <c r="R338" s="286">
        <v>1006</v>
      </c>
      <c r="S338" s="286">
        <v>48</v>
      </c>
      <c r="T338" s="286">
        <v>998</v>
      </c>
      <c r="U338" s="286">
        <v>946</v>
      </c>
      <c r="V338" s="286">
        <v>40</v>
      </c>
      <c r="W338" s="286"/>
      <c r="X338" s="286"/>
      <c r="Y338" s="286"/>
      <c r="Z338" s="286"/>
      <c r="AA338" s="286"/>
      <c r="AB338" s="286"/>
      <c r="AC338" s="286"/>
      <c r="AD338" s="286"/>
      <c r="AE338" s="286"/>
      <c r="AF338" s="286"/>
      <c r="AG338" s="286"/>
      <c r="AH338" s="286"/>
      <c r="AI338" s="286"/>
      <c r="AJ338" s="286"/>
      <c r="AK338" s="286"/>
      <c r="AL338" s="286"/>
      <c r="AM338" s="286"/>
      <c r="AN338" s="286"/>
      <c r="AO338" s="286"/>
      <c r="AP338" s="286"/>
      <c r="AQ338" s="286"/>
      <c r="AR338" s="286"/>
      <c r="AS338" s="286"/>
      <c r="AT338" s="286"/>
      <c r="AU338" s="286"/>
      <c r="AV338" s="286"/>
      <c r="AW338" s="286"/>
      <c r="AX338" s="286"/>
      <c r="AY338" s="286"/>
      <c r="AZ338" s="286"/>
      <c r="BA338" s="286"/>
      <c r="BB338" s="286"/>
      <c r="BC338" s="286"/>
      <c r="BD338" s="286"/>
      <c r="BE338" s="286"/>
      <c r="BF338" s="286"/>
      <c r="BG338" s="286"/>
      <c r="BH338" s="286"/>
      <c r="BI338" s="286"/>
      <c r="BJ338" s="286"/>
      <c r="BK338" s="286"/>
      <c r="BL338" s="286"/>
      <c r="BM338" s="286"/>
      <c r="BN338" s="286"/>
      <c r="BO338" s="286"/>
      <c r="BP338" s="286"/>
      <c r="BQ338" s="286"/>
      <c r="BR338" s="286"/>
      <c r="BS338" s="286"/>
      <c r="BT338" s="286"/>
      <c r="BU338" s="286"/>
      <c r="BV338" s="286"/>
      <c r="BW338" s="286"/>
      <c r="BX338" s="286"/>
      <c r="BY338" s="286"/>
      <c r="BZ338" s="286"/>
      <c r="CA338" s="286"/>
      <c r="CB338" s="286"/>
      <c r="CC338" s="286"/>
      <c r="CD338" s="286"/>
      <c r="CE338" s="286"/>
      <c r="CF338" s="286"/>
      <c r="CG338" s="286"/>
      <c r="CH338" s="286"/>
      <c r="CI338" s="286"/>
      <c r="CJ338" s="286"/>
      <c r="CK338" s="286"/>
      <c r="CL338" s="286"/>
      <c r="CM338" s="286"/>
      <c r="CN338" s="286"/>
      <c r="CO338" s="286"/>
      <c r="CP338" s="286"/>
      <c r="CQ338" s="286"/>
      <c r="CR338" s="286"/>
      <c r="CS338" s="286"/>
      <c r="CT338" s="286"/>
      <c r="CU338" s="286"/>
      <c r="CV338" s="286"/>
      <c r="CW338" s="286"/>
      <c r="CX338" s="286"/>
      <c r="CY338" s="286"/>
      <c r="CZ338" s="286"/>
      <c r="DA338" s="286"/>
      <c r="DB338" s="286"/>
      <c r="DC338" s="286"/>
      <c r="DD338" s="286"/>
      <c r="DE338" s="286"/>
      <c r="DF338" s="286"/>
      <c r="DG338" s="286"/>
      <c r="DH338" s="286"/>
      <c r="DI338" s="286"/>
      <c r="DJ338" s="286"/>
      <c r="DK338" s="286"/>
      <c r="DL338" s="286"/>
      <c r="DM338" s="286"/>
      <c r="DN338" s="286"/>
      <c r="DO338" s="286"/>
      <c r="DP338" s="286"/>
      <c r="DQ338" s="286"/>
      <c r="DR338" s="286"/>
      <c r="DS338" s="286"/>
      <c r="DT338" s="286"/>
      <c r="DU338" s="286"/>
      <c r="DV338" s="286"/>
      <c r="DW338" s="286"/>
      <c r="DX338" s="286"/>
      <c r="DY338" s="286"/>
      <c r="DZ338" s="286"/>
      <c r="EA338" s="286"/>
      <c r="EB338" s="286"/>
      <c r="EC338" s="286"/>
      <c r="ED338" s="286"/>
      <c r="EE338" s="286"/>
      <c r="EF338" s="286"/>
      <c r="EG338" s="286"/>
      <c r="EH338" s="286"/>
      <c r="EI338" s="286"/>
      <c r="EJ338" s="286"/>
      <c r="EK338" s="286"/>
      <c r="EL338" s="286"/>
      <c r="EM338" s="286"/>
      <c r="EN338" s="286"/>
      <c r="EO338" s="286"/>
      <c r="EP338" s="286"/>
      <c r="EQ338" s="286"/>
      <c r="ER338" s="286"/>
      <c r="ES338" s="286"/>
      <c r="ET338" s="286"/>
      <c r="EU338" s="286"/>
      <c r="EV338" s="286"/>
      <c r="EW338" s="286"/>
      <c r="EX338" s="286"/>
      <c r="EY338" s="286"/>
      <c r="EZ338" s="286"/>
      <c r="FA338" s="286"/>
      <c r="FB338" s="286"/>
      <c r="FC338" s="286"/>
      <c r="FD338" s="286"/>
      <c r="FE338" s="286"/>
      <c r="FF338" s="286"/>
      <c r="FG338" s="286"/>
      <c r="FH338" s="286"/>
      <c r="FI338" s="286"/>
      <c r="FJ338" s="286"/>
      <c r="FK338" s="286"/>
      <c r="FL338" s="286"/>
      <c r="FM338" s="286"/>
      <c r="FN338" s="286"/>
      <c r="FO338" s="286"/>
      <c r="FP338" s="286"/>
      <c r="FQ338" s="286"/>
      <c r="FR338" s="286"/>
      <c r="FS338" s="286"/>
    </row>
    <row r="339" spans="1:175">
      <c r="A339" s="212" t="s">
        <v>3159</v>
      </c>
      <c r="B339" s="212" t="s">
        <v>3160</v>
      </c>
      <c r="C339" s="212" t="s">
        <v>3172</v>
      </c>
      <c r="D339" s="212" t="s">
        <v>3492</v>
      </c>
      <c r="E339" s="212" t="s">
        <v>3507</v>
      </c>
      <c r="F339" s="278">
        <v>3595</v>
      </c>
      <c r="G339" s="278">
        <v>18899</v>
      </c>
      <c r="H339" s="287">
        <f t="shared" si="5"/>
        <v>4.3917667601460399</v>
      </c>
      <c r="I339" s="286">
        <v>123</v>
      </c>
      <c r="J339" s="286">
        <v>830</v>
      </c>
      <c r="K339" s="286">
        <v>660</v>
      </c>
      <c r="L339" s="286">
        <v>146</v>
      </c>
      <c r="M339" s="286">
        <v>636</v>
      </c>
      <c r="N339" s="286">
        <v>511</v>
      </c>
      <c r="O339" s="286">
        <v>101</v>
      </c>
      <c r="P339" s="286">
        <v>123</v>
      </c>
      <c r="Q339" s="286">
        <v>830</v>
      </c>
      <c r="R339" s="286">
        <v>660</v>
      </c>
      <c r="S339" s="286">
        <v>146</v>
      </c>
      <c r="T339" s="286">
        <v>636</v>
      </c>
      <c r="U339" s="286">
        <v>511</v>
      </c>
      <c r="V339" s="286">
        <v>101</v>
      </c>
      <c r="W339" s="286"/>
      <c r="X339" s="286"/>
      <c r="Y339" s="286"/>
      <c r="Z339" s="286"/>
      <c r="AA339" s="286"/>
      <c r="AB339" s="286"/>
      <c r="AC339" s="286"/>
      <c r="AD339" s="286"/>
      <c r="AE339" s="286"/>
      <c r="AF339" s="286"/>
      <c r="AG339" s="286"/>
      <c r="AH339" s="286"/>
      <c r="AI339" s="286"/>
      <c r="AJ339" s="286"/>
      <c r="AK339" s="286"/>
      <c r="AL339" s="286"/>
      <c r="AM339" s="286"/>
      <c r="AN339" s="286"/>
      <c r="AO339" s="286"/>
      <c r="AP339" s="286"/>
      <c r="AQ339" s="286"/>
      <c r="AR339" s="286"/>
      <c r="AS339" s="286"/>
      <c r="AT339" s="286"/>
      <c r="AU339" s="286"/>
      <c r="AV339" s="286"/>
      <c r="AW339" s="286"/>
      <c r="AX339" s="286"/>
      <c r="AY339" s="286"/>
      <c r="AZ339" s="286"/>
      <c r="BA339" s="286"/>
      <c r="BB339" s="286"/>
      <c r="BC339" s="286"/>
      <c r="BD339" s="286"/>
      <c r="BE339" s="286"/>
      <c r="BF339" s="286"/>
      <c r="BG339" s="286"/>
      <c r="BH339" s="286"/>
      <c r="BI339" s="286"/>
      <c r="BJ339" s="286"/>
      <c r="BK339" s="286"/>
      <c r="BL339" s="286"/>
      <c r="BM339" s="286"/>
      <c r="BN339" s="286"/>
      <c r="BO339" s="286"/>
      <c r="BP339" s="286"/>
      <c r="BQ339" s="286"/>
      <c r="BR339" s="286"/>
      <c r="BS339" s="286"/>
      <c r="BT339" s="286"/>
      <c r="BU339" s="286"/>
      <c r="BV339" s="286"/>
      <c r="BW339" s="286"/>
      <c r="BX339" s="286"/>
      <c r="BY339" s="286"/>
      <c r="BZ339" s="286"/>
      <c r="CA339" s="286"/>
      <c r="CB339" s="286"/>
      <c r="CC339" s="286"/>
      <c r="CD339" s="286"/>
      <c r="CE339" s="286"/>
      <c r="CF339" s="286"/>
      <c r="CG339" s="286"/>
      <c r="CH339" s="286"/>
      <c r="CI339" s="286"/>
      <c r="CJ339" s="286"/>
      <c r="CK339" s="286"/>
      <c r="CL339" s="286"/>
      <c r="CM339" s="286"/>
      <c r="CN339" s="286"/>
      <c r="CO339" s="286"/>
      <c r="CP339" s="286"/>
      <c r="CQ339" s="286"/>
      <c r="CR339" s="286"/>
      <c r="CS339" s="286"/>
      <c r="CT339" s="286"/>
      <c r="CU339" s="286"/>
      <c r="CV339" s="286"/>
      <c r="CW339" s="286"/>
      <c r="CX339" s="286"/>
      <c r="CY339" s="286"/>
      <c r="CZ339" s="286"/>
      <c r="DA339" s="286"/>
      <c r="DB339" s="286"/>
      <c r="DC339" s="286"/>
      <c r="DD339" s="286"/>
      <c r="DE339" s="286"/>
      <c r="DF339" s="286"/>
      <c r="DG339" s="286"/>
      <c r="DH339" s="286"/>
      <c r="DI339" s="286"/>
      <c r="DJ339" s="286"/>
      <c r="DK339" s="286"/>
      <c r="DL339" s="286"/>
      <c r="DM339" s="286"/>
      <c r="DN339" s="286"/>
      <c r="DO339" s="286"/>
      <c r="DP339" s="286"/>
      <c r="DQ339" s="286"/>
      <c r="DR339" s="286"/>
      <c r="DS339" s="286"/>
      <c r="DT339" s="286"/>
      <c r="DU339" s="286"/>
      <c r="DV339" s="286"/>
      <c r="DW339" s="286"/>
      <c r="DX339" s="286"/>
      <c r="DY339" s="286"/>
      <c r="DZ339" s="286"/>
      <c r="EA339" s="286"/>
      <c r="EB339" s="286"/>
      <c r="EC339" s="286"/>
      <c r="ED339" s="286"/>
      <c r="EE339" s="286"/>
      <c r="EF339" s="286"/>
      <c r="EG339" s="286"/>
      <c r="EH339" s="286"/>
      <c r="EI339" s="286"/>
      <c r="EJ339" s="286"/>
      <c r="EK339" s="286"/>
      <c r="EL339" s="286"/>
      <c r="EM339" s="286"/>
      <c r="EN339" s="286"/>
      <c r="EO339" s="286"/>
      <c r="EP339" s="286"/>
      <c r="EQ339" s="286"/>
      <c r="ER339" s="286"/>
      <c r="ES339" s="286"/>
      <c r="ET339" s="286"/>
      <c r="EU339" s="286"/>
      <c r="EV339" s="286"/>
      <c r="EW339" s="286"/>
      <c r="EX339" s="286"/>
      <c r="EY339" s="286"/>
      <c r="EZ339" s="286"/>
      <c r="FA339" s="286"/>
      <c r="FB339" s="286"/>
      <c r="FC339" s="286"/>
      <c r="FD339" s="286"/>
      <c r="FE339" s="286"/>
      <c r="FF339" s="286"/>
      <c r="FG339" s="286"/>
      <c r="FH339" s="286"/>
      <c r="FI339" s="286"/>
      <c r="FJ339" s="286"/>
      <c r="FK339" s="286"/>
      <c r="FL339" s="286"/>
      <c r="FM339" s="286"/>
      <c r="FN339" s="286"/>
      <c r="FO339" s="286"/>
      <c r="FP339" s="286"/>
      <c r="FQ339" s="286"/>
      <c r="FR339" s="286"/>
      <c r="FS339" s="286"/>
    </row>
    <row r="340" spans="1:175">
      <c r="A340" s="212" t="s">
        <v>3159</v>
      </c>
      <c r="B340" s="212" t="s">
        <v>3160</v>
      </c>
      <c r="C340" s="212" t="s">
        <v>3172</v>
      </c>
      <c r="D340" s="212" t="s">
        <v>3492</v>
      </c>
      <c r="E340" s="212" t="s">
        <v>3508</v>
      </c>
      <c r="F340" s="278">
        <v>1361</v>
      </c>
      <c r="G340" s="278">
        <v>36776</v>
      </c>
      <c r="H340" s="287">
        <f t="shared" si="5"/>
        <v>4.7340656950184901</v>
      </c>
      <c r="I340" s="286">
        <v>52</v>
      </c>
      <c r="J340" s="286">
        <v>1741</v>
      </c>
      <c r="K340" s="286">
        <v>1471</v>
      </c>
      <c r="L340" s="286">
        <v>270</v>
      </c>
      <c r="M340" s="286">
        <v>1720</v>
      </c>
      <c r="N340" s="286">
        <v>1455</v>
      </c>
      <c r="O340" s="286">
        <v>265</v>
      </c>
      <c r="P340" s="286">
        <v>52</v>
      </c>
      <c r="Q340" s="286">
        <v>1741</v>
      </c>
      <c r="R340" s="286">
        <v>1471</v>
      </c>
      <c r="S340" s="286">
        <v>270</v>
      </c>
      <c r="T340" s="286">
        <v>1720</v>
      </c>
      <c r="U340" s="286">
        <v>1455</v>
      </c>
      <c r="V340" s="286">
        <v>265</v>
      </c>
      <c r="W340" s="286"/>
      <c r="X340" s="286"/>
      <c r="Y340" s="286"/>
      <c r="Z340" s="286"/>
      <c r="AA340" s="286"/>
      <c r="AB340" s="286"/>
      <c r="AC340" s="286"/>
      <c r="AD340" s="286"/>
      <c r="AE340" s="286"/>
      <c r="AF340" s="286"/>
      <c r="AG340" s="286"/>
      <c r="AH340" s="286"/>
      <c r="AI340" s="286"/>
      <c r="AJ340" s="286"/>
      <c r="AK340" s="286"/>
      <c r="AL340" s="286"/>
      <c r="AM340" s="286"/>
      <c r="AN340" s="286"/>
      <c r="AO340" s="286"/>
      <c r="AP340" s="286"/>
      <c r="AQ340" s="286"/>
      <c r="AR340" s="286"/>
      <c r="AS340" s="286"/>
      <c r="AT340" s="286"/>
      <c r="AU340" s="286"/>
      <c r="AV340" s="286"/>
      <c r="AW340" s="286"/>
      <c r="AX340" s="286"/>
      <c r="AY340" s="286"/>
      <c r="AZ340" s="286"/>
      <c r="BA340" s="286"/>
      <c r="BB340" s="286"/>
      <c r="BC340" s="286"/>
      <c r="BD340" s="286"/>
      <c r="BE340" s="286"/>
      <c r="BF340" s="286"/>
      <c r="BG340" s="286"/>
      <c r="BH340" s="286"/>
      <c r="BI340" s="286"/>
      <c r="BJ340" s="286"/>
      <c r="BK340" s="286"/>
      <c r="BL340" s="286"/>
      <c r="BM340" s="286"/>
      <c r="BN340" s="286"/>
      <c r="BO340" s="286"/>
      <c r="BP340" s="286"/>
      <c r="BQ340" s="286"/>
      <c r="BR340" s="286"/>
      <c r="BS340" s="286"/>
      <c r="BT340" s="286"/>
      <c r="BU340" s="286"/>
      <c r="BV340" s="286"/>
      <c r="BW340" s="286"/>
      <c r="BX340" s="286"/>
      <c r="BY340" s="286"/>
      <c r="BZ340" s="286"/>
      <c r="CA340" s="286"/>
      <c r="CB340" s="286"/>
      <c r="CC340" s="286"/>
      <c r="CD340" s="286"/>
      <c r="CE340" s="286"/>
      <c r="CF340" s="286"/>
      <c r="CG340" s="286"/>
      <c r="CH340" s="286"/>
      <c r="CI340" s="286"/>
      <c r="CJ340" s="286"/>
      <c r="CK340" s="286"/>
      <c r="CL340" s="286"/>
      <c r="CM340" s="286"/>
      <c r="CN340" s="286"/>
      <c r="CO340" s="286"/>
      <c r="CP340" s="286"/>
      <c r="CQ340" s="286"/>
      <c r="CR340" s="286"/>
      <c r="CS340" s="286"/>
      <c r="CT340" s="286"/>
      <c r="CU340" s="286"/>
      <c r="CV340" s="286"/>
      <c r="CW340" s="286"/>
      <c r="CX340" s="286"/>
      <c r="CY340" s="286"/>
      <c r="CZ340" s="286"/>
      <c r="DA340" s="286"/>
      <c r="DB340" s="286"/>
      <c r="DC340" s="286"/>
      <c r="DD340" s="286"/>
      <c r="DE340" s="286"/>
      <c r="DF340" s="286"/>
      <c r="DG340" s="286"/>
      <c r="DH340" s="286"/>
      <c r="DI340" s="286"/>
      <c r="DJ340" s="286"/>
      <c r="DK340" s="286"/>
      <c r="DL340" s="286"/>
      <c r="DM340" s="286"/>
      <c r="DN340" s="286"/>
      <c r="DO340" s="286"/>
      <c r="DP340" s="286"/>
      <c r="DQ340" s="286"/>
      <c r="DR340" s="286"/>
      <c r="DS340" s="286"/>
      <c r="DT340" s="286"/>
      <c r="DU340" s="286"/>
      <c r="DV340" s="286"/>
      <c r="DW340" s="286"/>
      <c r="DX340" s="286"/>
      <c r="DY340" s="286"/>
      <c r="DZ340" s="286"/>
      <c r="EA340" s="286"/>
      <c r="EB340" s="286"/>
      <c r="EC340" s="286"/>
      <c r="ED340" s="286"/>
      <c r="EE340" s="286"/>
      <c r="EF340" s="286"/>
      <c r="EG340" s="286"/>
      <c r="EH340" s="286"/>
      <c r="EI340" s="286"/>
      <c r="EJ340" s="286"/>
      <c r="EK340" s="286"/>
      <c r="EL340" s="286"/>
      <c r="EM340" s="286"/>
      <c r="EN340" s="286"/>
      <c r="EO340" s="286"/>
      <c r="EP340" s="286"/>
      <c r="EQ340" s="286"/>
      <c r="ER340" s="286"/>
      <c r="ES340" s="286"/>
      <c r="ET340" s="286"/>
      <c r="EU340" s="286"/>
      <c r="EV340" s="286"/>
      <c r="EW340" s="286"/>
      <c r="EX340" s="286"/>
      <c r="EY340" s="286"/>
      <c r="EZ340" s="286"/>
      <c r="FA340" s="286"/>
      <c r="FB340" s="286"/>
      <c r="FC340" s="286"/>
      <c r="FD340" s="286"/>
      <c r="FE340" s="286"/>
      <c r="FF340" s="286"/>
      <c r="FG340" s="286"/>
      <c r="FH340" s="286"/>
      <c r="FI340" s="286"/>
      <c r="FJ340" s="286"/>
      <c r="FK340" s="286"/>
      <c r="FL340" s="286"/>
      <c r="FM340" s="286"/>
      <c r="FN340" s="286"/>
      <c r="FO340" s="286"/>
      <c r="FP340" s="286"/>
      <c r="FQ340" s="286"/>
      <c r="FR340" s="286"/>
      <c r="FS340" s="286"/>
    </row>
    <row r="341" spans="1:175">
      <c r="A341" s="212" t="s">
        <v>3159</v>
      </c>
      <c r="B341" s="212" t="s">
        <v>3160</v>
      </c>
      <c r="C341" s="212" t="s">
        <v>3172</v>
      </c>
      <c r="D341" s="212" t="s">
        <v>3492</v>
      </c>
      <c r="E341" s="212" t="s">
        <v>3509</v>
      </c>
      <c r="F341" s="278">
        <v>129</v>
      </c>
      <c r="G341" s="278">
        <v>1436</v>
      </c>
      <c r="H341" s="287">
        <f t="shared" si="5"/>
        <v>5.5013927576601676</v>
      </c>
      <c r="I341" s="286">
        <v>4</v>
      </c>
      <c r="J341" s="286">
        <v>79</v>
      </c>
      <c r="K341" s="286">
        <v>77</v>
      </c>
      <c r="L341" s="286">
        <v>2</v>
      </c>
      <c r="M341" s="286">
        <v>76</v>
      </c>
      <c r="N341" s="286">
        <v>74</v>
      </c>
      <c r="O341" s="286">
        <v>2</v>
      </c>
      <c r="P341" s="286">
        <v>4</v>
      </c>
      <c r="Q341" s="286">
        <v>79</v>
      </c>
      <c r="R341" s="286">
        <v>77</v>
      </c>
      <c r="S341" s="286">
        <v>2</v>
      </c>
      <c r="T341" s="286">
        <v>76</v>
      </c>
      <c r="U341" s="286">
        <v>74</v>
      </c>
      <c r="V341" s="286">
        <v>2</v>
      </c>
      <c r="W341" s="286"/>
      <c r="X341" s="286"/>
      <c r="Y341" s="286"/>
      <c r="Z341" s="286"/>
      <c r="AA341" s="286"/>
      <c r="AB341" s="286"/>
      <c r="AC341" s="286"/>
      <c r="AD341" s="286"/>
      <c r="AE341" s="286"/>
      <c r="AF341" s="286"/>
      <c r="AG341" s="286"/>
      <c r="AH341" s="286"/>
      <c r="AI341" s="286"/>
      <c r="AJ341" s="286"/>
      <c r="AK341" s="286"/>
      <c r="AL341" s="286"/>
      <c r="AM341" s="286"/>
      <c r="AN341" s="286"/>
      <c r="AO341" s="286"/>
      <c r="AP341" s="286"/>
      <c r="AQ341" s="286"/>
      <c r="AR341" s="286"/>
      <c r="AS341" s="286"/>
      <c r="AT341" s="286"/>
      <c r="AU341" s="286"/>
      <c r="AV341" s="286"/>
      <c r="AW341" s="286"/>
      <c r="AX341" s="286"/>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c r="CC341" s="286"/>
      <c r="CD341" s="286"/>
      <c r="CE341" s="286"/>
      <c r="CF341" s="286"/>
      <c r="CG341" s="286"/>
      <c r="CH341" s="286"/>
      <c r="CI341" s="286"/>
      <c r="CJ341" s="286"/>
      <c r="CK341" s="286"/>
      <c r="CL341" s="286"/>
      <c r="CM341" s="286"/>
      <c r="CN341" s="286"/>
      <c r="CO341" s="286"/>
      <c r="CP341" s="286"/>
      <c r="CQ341" s="286"/>
      <c r="CR341" s="286"/>
      <c r="CS341" s="286"/>
      <c r="CT341" s="286"/>
      <c r="CU341" s="286"/>
      <c r="CV341" s="286"/>
      <c r="CW341" s="286"/>
      <c r="CX341" s="286"/>
      <c r="CY341" s="286"/>
      <c r="CZ341" s="286"/>
      <c r="DA341" s="286"/>
      <c r="DB341" s="286"/>
      <c r="DC341" s="286"/>
      <c r="DD341" s="286"/>
      <c r="DE341" s="286"/>
      <c r="DF341" s="286"/>
      <c r="DG341" s="286"/>
      <c r="DH341" s="286"/>
      <c r="DI341" s="286"/>
      <c r="DJ341" s="286"/>
      <c r="DK341" s="286"/>
      <c r="DL341" s="286"/>
      <c r="DM341" s="286"/>
      <c r="DN341" s="286"/>
      <c r="DO341" s="286"/>
      <c r="DP341" s="286"/>
      <c r="DQ341" s="286"/>
      <c r="DR341" s="286"/>
      <c r="DS341" s="286"/>
      <c r="DT341" s="286"/>
      <c r="DU341" s="286"/>
      <c r="DV341" s="286"/>
      <c r="DW341" s="286"/>
      <c r="DX341" s="286"/>
      <c r="DY341" s="286"/>
      <c r="DZ341" s="286"/>
      <c r="EA341" s="286"/>
      <c r="EB341" s="286"/>
      <c r="EC341" s="286"/>
      <c r="ED341" s="286"/>
      <c r="EE341" s="286"/>
      <c r="EF341" s="286"/>
      <c r="EG341" s="286"/>
      <c r="EH341" s="286"/>
      <c r="EI341" s="286"/>
      <c r="EJ341" s="286"/>
      <c r="EK341" s="286"/>
      <c r="EL341" s="286"/>
      <c r="EM341" s="286"/>
      <c r="EN341" s="286"/>
      <c r="EO341" s="286"/>
      <c r="EP341" s="286"/>
      <c r="EQ341" s="286"/>
      <c r="ER341" s="286"/>
      <c r="ES341" s="286"/>
      <c r="ET341" s="286"/>
      <c r="EU341" s="286"/>
      <c r="EV341" s="286"/>
      <c r="EW341" s="286"/>
      <c r="EX341" s="286"/>
      <c r="EY341" s="286"/>
      <c r="EZ341" s="286"/>
      <c r="FA341" s="286"/>
      <c r="FB341" s="286"/>
      <c r="FC341" s="286"/>
      <c r="FD341" s="286"/>
      <c r="FE341" s="286"/>
      <c r="FF341" s="286"/>
      <c r="FG341" s="286"/>
      <c r="FH341" s="286"/>
      <c r="FI341" s="286"/>
      <c r="FJ341" s="286"/>
      <c r="FK341" s="286"/>
      <c r="FL341" s="286"/>
      <c r="FM341" s="286"/>
      <c r="FN341" s="286"/>
      <c r="FO341" s="286"/>
      <c r="FP341" s="286"/>
      <c r="FQ341" s="286"/>
      <c r="FR341" s="286"/>
      <c r="FS341" s="286"/>
    </row>
    <row r="342" spans="1:175">
      <c r="A342" s="212" t="s">
        <v>3159</v>
      </c>
      <c r="B342" s="212" t="s">
        <v>3160</v>
      </c>
      <c r="C342" s="212" t="s">
        <v>3170</v>
      </c>
      <c r="D342" s="212" t="s">
        <v>3492</v>
      </c>
      <c r="E342" s="212" t="s">
        <v>3510</v>
      </c>
      <c r="F342" s="278">
        <v>3019</v>
      </c>
      <c r="G342" s="278">
        <v>47989</v>
      </c>
      <c r="H342" s="287">
        <f t="shared" si="5"/>
        <v>4.8656983892141952</v>
      </c>
      <c r="I342" s="286">
        <v>182</v>
      </c>
      <c r="J342" s="286">
        <v>2335</v>
      </c>
      <c r="K342" s="286">
        <v>1913</v>
      </c>
      <c r="L342" s="286">
        <v>422</v>
      </c>
      <c r="M342" s="286">
        <v>1960</v>
      </c>
      <c r="N342" s="286">
        <v>1635</v>
      </c>
      <c r="O342" s="286">
        <v>325</v>
      </c>
      <c r="P342" s="286">
        <v>182</v>
      </c>
      <c r="Q342" s="286">
        <v>2335</v>
      </c>
      <c r="R342" s="286">
        <v>1913</v>
      </c>
      <c r="S342" s="286">
        <v>422</v>
      </c>
      <c r="T342" s="286">
        <v>1960</v>
      </c>
      <c r="U342" s="286">
        <v>1635</v>
      </c>
      <c r="V342" s="286">
        <v>325</v>
      </c>
      <c r="W342" s="286"/>
      <c r="X342" s="286"/>
      <c r="Y342" s="286"/>
      <c r="Z342" s="286"/>
      <c r="AA342" s="286"/>
      <c r="AB342" s="286"/>
      <c r="AC342" s="286"/>
      <c r="AD342" s="286"/>
      <c r="AE342" s="286"/>
      <c r="AF342" s="286"/>
      <c r="AG342" s="286"/>
      <c r="AH342" s="286"/>
      <c r="AI342" s="286"/>
      <c r="AJ342" s="286"/>
      <c r="AK342" s="286"/>
      <c r="AL342" s="286"/>
      <c r="AM342" s="286"/>
      <c r="AN342" s="286"/>
      <c r="AO342" s="286"/>
      <c r="AP342" s="286"/>
      <c r="AQ342" s="286"/>
      <c r="AR342" s="286"/>
      <c r="AS342" s="286"/>
      <c r="AT342" s="286"/>
      <c r="AU342" s="286"/>
      <c r="AV342" s="286"/>
      <c r="AW342" s="286"/>
      <c r="AX342" s="286"/>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c r="CC342" s="286"/>
      <c r="CD342" s="286"/>
      <c r="CE342" s="286"/>
      <c r="CF342" s="286"/>
      <c r="CG342" s="286"/>
      <c r="CH342" s="286"/>
      <c r="CI342" s="286"/>
      <c r="CJ342" s="286"/>
      <c r="CK342" s="286"/>
      <c r="CL342" s="286"/>
      <c r="CM342" s="286"/>
      <c r="CN342" s="286"/>
      <c r="CO342" s="286"/>
      <c r="CP342" s="286"/>
      <c r="CQ342" s="286"/>
      <c r="CR342" s="286"/>
      <c r="CS342" s="286"/>
      <c r="CT342" s="286"/>
      <c r="CU342" s="286"/>
      <c r="CV342" s="286"/>
      <c r="CW342" s="286"/>
      <c r="CX342" s="286"/>
      <c r="CY342" s="286"/>
      <c r="CZ342" s="286"/>
      <c r="DA342" s="286"/>
      <c r="DB342" s="286"/>
      <c r="DC342" s="286"/>
      <c r="DD342" s="286"/>
      <c r="DE342" s="286"/>
      <c r="DF342" s="286"/>
      <c r="DG342" s="286"/>
      <c r="DH342" s="286"/>
      <c r="DI342" s="286"/>
      <c r="DJ342" s="286"/>
      <c r="DK342" s="286"/>
      <c r="DL342" s="286"/>
      <c r="DM342" s="286"/>
      <c r="DN342" s="286"/>
      <c r="DO342" s="286"/>
      <c r="DP342" s="286"/>
      <c r="DQ342" s="286"/>
      <c r="DR342" s="286"/>
      <c r="DS342" s="286"/>
      <c r="DT342" s="286"/>
      <c r="DU342" s="286"/>
      <c r="DV342" s="286"/>
      <c r="DW342" s="286"/>
      <c r="DX342" s="286"/>
      <c r="DY342" s="286"/>
      <c r="DZ342" s="286"/>
      <c r="EA342" s="286"/>
      <c r="EB342" s="286"/>
      <c r="EC342" s="286"/>
      <c r="ED342" s="286"/>
      <c r="EE342" s="286"/>
      <c r="EF342" s="286"/>
      <c r="EG342" s="286"/>
      <c r="EH342" s="286"/>
      <c r="EI342" s="286"/>
      <c r="EJ342" s="286"/>
      <c r="EK342" s="286"/>
      <c r="EL342" s="286"/>
      <c r="EM342" s="286"/>
      <c r="EN342" s="286"/>
      <c r="EO342" s="286"/>
      <c r="EP342" s="286"/>
      <c r="EQ342" s="286"/>
      <c r="ER342" s="286"/>
      <c r="ES342" s="286"/>
      <c r="ET342" s="286"/>
      <c r="EU342" s="286"/>
      <c r="EV342" s="286"/>
      <c r="EW342" s="286"/>
      <c r="EX342" s="286"/>
      <c r="EY342" s="286"/>
      <c r="EZ342" s="286"/>
      <c r="FA342" s="286"/>
      <c r="FB342" s="286"/>
      <c r="FC342" s="286"/>
      <c r="FD342" s="286"/>
      <c r="FE342" s="286"/>
      <c r="FF342" s="286"/>
      <c r="FG342" s="286"/>
      <c r="FH342" s="286"/>
      <c r="FI342" s="286"/>
      <c r="FJ342" s="286"/>
      <c r="FK342" s="286"/>
      <c r="FL342" s="286"/>
      <c r="FM342" s="286"/>
      <c r="FN342" s="286"/>
      <c r="FO342" s="286"/>
      <c r="FP342" s="286"/>
      <c r="FQ342" s="286"/>
      <c r="FR342" s="286"/>
      <c r="FS342" s="286"/>
    </row>
    <row r="343" spans="1:175">
      <c r="A343" s="212" t="s">
        <v>3159</v>
      </c>
      <c r="B343" s="212" t="s">
        <v>3160</v>
      </c>
      <c r="C343" s="212" t="s">
        <v>3172</v>
      </c>
      <c r="D343" s="212" t="s">
        <v>3492</v>
      </c>
      <c r="E343" s="212" t="s">
        <v>3511</v>
      </c>
      <c r="F343" s="278">
        <v>46</v>
      </c>
      <c r="G343" s="278">
        <v>465</v>
      </c>
      <c r="H343" s="287">
        <f t="shared" si="5"/>
        <v>8.6021505376344098</v>
      </c>
      <c r="I343" s="286">
        <v>2</v>
      </c>
      <c r="J343" s="286">
        <v>40</v>
      </c>
      <c r="K343" s="286">
        <v>33</v>
      </c>
      <c r="L343" s="286">
        <v>7</v>
      </c>
      <c r="M343" s="286">
        <v>27</v>
      </c>
      <c r="N343" s="286">
        <v>22</v>
      </c>
      <c r="O343" s="286">
        <v>5</v>
      </c>
      <c r="P343" s="286">
        <v>2</v>
      </c>
      <c r="Q343" s="286">
        <v>40</v>
      </c>
      <c r="R343" s="286">
        <v>33</v>
      </c>
      <c r="S343" s="286">
        <v>7</v>
      </c>
      <c r="T343" s="286">
        <v>27</v>
      </c>
      <c r="U343" s="286">
        <v>22</v>
      </c>
      <c r="V343" s="286">
        <v>5</v>
      </c>
      <c r="W343" s="286"/>
      <c r="X343" s="286"/>
      <c r="Y343" s="286"/>
      <c r="Z343" s="286"/>
      <c r="AA343" s="286"/>
      <c r="AB343" s="286"/>
      <c r="AC343" s="286"/>
      <c r="AD343" s="286"/>
      <c r="AE343" s="286"/>
      <c r="AF343" s="286"/>
      <c r="AG343" s="286"/>
      <c r="AH343" s="286"/>
      <c r="AI343" s="286"/>
      <c r="AJ343" s="286"/>
      <c r="AK343" s="286"/>
      <c r="AL343" s="286"/>
      <c r="AM343" s="286"/>
      <c r="AN343" s="286"/>
      <c r="AO343" s="286"/>
      <c r="AP343" s="286"/>
      <c r="AQ343" s="286"/>
      <c r="AR343" s="286"/>
      <c r="AS343" s="286"/>
      <c r="AT343" s="286"/>
      <c r="AU343" s="286"/>
      <c r="AV343" s="286"/>
      <c r="AW343" s="286"/>
      <c r="AX343" s="286"/>
      <c r="AY343" s="286"/>
      <c r="AZ343" s="286"/>
      <c r="BA343" s="286"/>
      <c r="BB343" s="286"/>
      <c r="BC343" s="286"/>
      <c r="BD343" s="286"/>
      <c r="BE343" s="286"/>
      <c r="BF343" s="286"/>
      <c r="BG343" s="286"/>
      <c r="BH343" s="286"/>
      <c r="BI343" s="286"/>
      <c r="BJ343" s="286"/>
      <c r="BK343" s="286"/>
      <c r="BL343" s="286"/>
      <c r="BM343" s="286"/>
      <c r="BN343" s="286"/>
      <c r="BO343" s="286"/>
      <c r="BP343" s="286"/>
      <c r="BQ343" s="286"/>
      <c r="BR343" s="286"/>
      <c r="BS343" s="286"/>
      <c r="BT343" s="286"/>
      <c r="BU343" s="286"/>
      <c r="BV343" s="286"/>
      <c r="BW343" s="286"/>
      <c r="BX343" s="286"/>
      <c r="BY343" s="286"/>
      <c r="BZ343" s="286"/>
      <c r="CA343" s="286"/>
      <c r="CB343" s="286"/>
      <c r="CC343" s="286"/>
      <c r="CD343" s="286"/>
      <c r="CE343" s="286"/>
      <c r="CF343" s="286"/>
      <c r="CG343" s="286"/>
      <c r="CH343" s="286"/>
      <c r="CI343" s="286"/>
      <c r="CJ343" s="286"/>
      <c r="CK343" s="286"/>
      <c r="CL343" s="286"/>
      <c r="CM343" s="286"/>
      <c r="CN343" s="286"/>
      <c r="CO343" s="286"/>
      <c r="CP343" s="286"/>
      <c r="CQ343" s="286"/>
      <c r="CR343" s="286"/>
      <c r="CS343" s="286"/>
      <c r="CT343" s="286"/>
      <c r="CU343" s="286"/>
      <c r="CV343" s="286"/>
      <c r="CW343" s="286"/>
      <c r="CX343" s="286"/>
      <c r="CY343" s="286"/>
      <c r="CZ343" s="286"/>
      <c r="DA343" s="286"/>
      <c r="DB343" s="286"/>
      <c r="DC343" s="286"/>
      <c r="DD343" s="286"/>
      <c r="DE343" s="286"/>
      <c r="DF343" s="286"/>
      <c r="DG343" s="286"/>
      <c r="DH343" s="286"/>
      <c r="DI343" s="286"/>
      <c r="DJ343" s="286"/>
      <c r="DK343" s="286"/>
      <c r="DL343" s="286"/>
      <c r="DM343" s="286"/>
      <c r="DN343" s="286"/>
      <c r="DO343" s="286"/>
      <c r="DP343" s="286"/>
      <c r="DQ343" s="286"/>
      <c r="DR343" s="286"/>
      <c r="DS343" s="286"/>
      <c r="DT343" s="286"/>
      <c r="DU343" s="286"/>
      <c r="DV343" s="286"/>
      <c r="DW343" s="286"/>
      <c r="DX343" s="286"/>
      <c r="DY343" s="286"/>
      <c r="DZ343" s="286"/>
      <c r="EA343" s="286"/>
      <c r="EB343" s="286"/>
      <c r="EC343" s="286"/>
      <c r="ED343" s="286"/>
      <c r="EE343" s="286"/>
      <c r="EF343" s="286"/>
      <c r="EG343" s="286"/>
      <c r="EH343" s="286"/>
      <c r="EI343" s="286"/>
      <c r="EJ343" s="286"/>
      <c r="EK343" s="286"/>
      <c r="EL343" s="286"/>
      <c r="EM343" s="286"/>
      <c r="EN343" s="286"/>
      <c r="EO343" s="286"/>
      <c r="EP343" s="286"/>
      <c r="EQ343" s="286"/>
      <c r="ER343" s="286"/>
      <c r="ES343" s="286"/>
      <c r="ET343" s="286"/>
      <c r="EU343" s="286"/>
      <c r="EV343" s="286"/>
      <c r="EW343" s="286"/>
      <c r="EX343" s="286"/>
      <c r="EY343" s="286"/>
      <c r="EZ343" s="286"/>
      <c r="FA343" s="286"/>
      <c r="FB343" s="286"/>
      <c r="FC343" s="286"/>
      <c r="FD343" s="286"/>
      <c r="FE343" s="286"/>
      <c r="FF343" s="286"/>
      <c r="FG343" s="286"/>
      <c r="FH343" s="286"/>
      <c r="FI343" s="286"/>
      <c r="FJ343" s="286"/>
      <c r="FK343" s="286"/>
      <c r="FL343" s="286"/>
      <c r="FM343" s="286"/>
      <c r="FN343" s="286"/>
      <c r="FO343" s="286"/>
      <c r="FP343" s="286"/>
      <c r="FQ343" s="286"/>
      <c r="FR343" s="286"/>
      <c r="FS343" s="286"/>
    </row>
    <row r="344" spans="1:175">
      <c r="A344" s="212" t="s">
        <v>3159</v>
      </c>
      <c r="B344" s="212" t="s">
        <v>3160</v>
      </c>
      <c r="C344" s="212" t="s">
        <v>3172</v>
      </c>
      <c r="D344" s="212" t="s">
        <v>3492</v>
      </c>
      <c r="E344" s="212" t="s">
        <v>3512</v>
      </c>
      <c r="F344" s="278">
        <v>250</v>
      </c>
      <c r="G344" s="278">
        <v>9857</v>
      </c>
      <c r="H344" s="287">
        <f t="shared" si="5"/>
        <v>2.9725068479253323</v>
      </c>
      <c r="I344" s="286">
        <v>19</v>
      </c>
      <c r="J344" s="286">
        <v>293</v>
      </c>
      <c r="K344" s="286">
        <v>250</v>
      </c>
      <c r="L344" s="286">
        <v>43</v>
      </c>
      <c r="M344" s="286">
        <v>274</v>
      </c>
      <c r="N344" s="286">
        <v>233</v>
      </c>
      <c r="O344" s="286">
        <v>41</v>
      </c>
      <c r="P344" s="286">
        <v>19</v>
      </c>
      <c r="Q344" s="286">
        <v>293</v>
      </c>
      <c r="R344" s="286">
        <v>250</v>
      </c>
      <c r="S344" s="286">
        <v>43</v>
      </c>
      <c r="T344" s="286">
        <v>274</v>
      </c>
      <c r="U344" s="286">
        <v>233</v>
      </c>
      <c r="V344" s="286">
        <v>41</v>
      </c>
      <c r="W344" s="286"/>
      <c r="X344" s="286"/>
      <c r="Y344" s="286"/>
      <c r="Z344" s="286"/>
      <c r="AA344" s="286"/>
      <c r="AB344" s="286"/>
      <c r="AC344" s="286"/>
      <c r="AD344" s="286"/>
      <c r="AE344" s="286"/>
      <c r="AF344" s="286"/>
      <c r="AG344" s="286"/>
      <c r="AH344" s="286"/>
      <c r="AI344" s="286"/>
      <c r="AJ344" s="286"/>
      <c r="AK344" s="286"/>
      <c r="AL344" s="286"/>
      <c r="AM344" s="286"/>
      <c r="AN344" s="286"/>
      <c r="AO344" s="286"/>
      <c r="AP344" s="286"/>
      <c r="AQ344" s="286"/>
      <c r="AR344" s="286"/>
      <c r="AS344" s="286"/>
      <c r="AT344" s="286"/>
      <c r="AU344" s="286"/>
      <c r="AV344" s="286"/>
      <c r="AW344" s="286"/>
      <c r="AX344" s="286"/>
      <c r="AY344" s="286"/>
      <c r="AZ344" s="286"/>
      <c r="BA344" s="286"/>
      <c r="BB344" s="286"/>
      <c r="BC344" s="286"/>
      <c r="BD344" s="286"/>
      <c r="BE344" s="286"/>
      <c r="BF344" s="286"/>
      <c r="BG344" s="286"/>
      <c r="BH344" s="286"/>
      <c r="BI344" s="286"/>
      <c r="BJ344" s="286"/>
      <c r="BK344" s="286"/>
      <c r="BL344" s="286"/>
      <c r="BM344" s="286"/>
      <c r="BN344" s="286"/>
      <c r="BO344" s="286"/>
      <c r="BP344" s="286"/>
      <c r="BQ344" s="286"/>
      <c r="BR344" s="286"/>
      <c r="BS344" s="286"/>
      <c r="BT344" s="286"/>
      <c r="BU344" s="286"/>
      <c r="BV344" s="286"/>
      <c r="BW344" s="286"/>
      <c r="BX344" s="286"/>
      <c r="BY344" s="286"/>
      <c r="BZ344" s="286"/>
      <c r="CA344" s="286"/>
      <c r="CB344" s="286"/>
      <c r="CC344" s="286"/>
      <c r="CD344" s="286"/>
      <c r="CE344" s="286"/>
      <c r="CF344" s="286"/>
      <c r="CG344" s="286"/>
      <c r="CH344" s="286"/>
      <c r="CI344" s="286"/>
      <c r="CJ344" s="286"/>
      <c r="CK344" s="286"/>
      <c r="CL344" s="286"/>
      <c r="CM344" s="286"/>
      <c r="CN344" s="286"/>
      <c r="CO344" s="286"/>
      <c r="CP344" s="286"/>
      <c r="CQ344" s="286"/>
      <c r="CR344" s="286"/>
      <c r="CS344" s="286"/>
      <c r="CT344" s="286"/>
      <c r="CU344" s="286"/>
      <c r="CV344" s="286"/>
      <c r="CW344" s="286"/>
      <c r="CX344" s="286"/>
      <c r="CY344" s="286"/>
      <c r="CZ344" s="286"/>
      <c r="DA344" s="286"/>
      <c r="DB344" s="286"/>
      <c r="DC344" s="286"/>
      <c r="DD344" s="286"/>
      <c r="DE344" s="286"/>
      <c r="DF344" s="286"/>
      <c r="DG344" s="286"/>
      <c r="DH344" s="286"/>
      <c r="DI344" s="286"/>
      <c r="DJ344" s="286"/>
      <c r="DK344" s="286"/>
      <c r="DL344" s="286"/>
      <c r="DM344" s="286"/>
      <c r="DN344" s="286"/>
      <c r="DO344" s="286"/>
      <c r="DP344" s="286"/>
      <c r="DQ344" s="286"/>
      <c r="DR344" s="286"/>
      <c r="DS344" s="286"/>
      <c r="DT344" s="286"/>
      <c r="DU344" s="286"/>
      <c r="DV344" s="286"/>
      <c r="DW344" s="286"/>
      <c r="DX344" s="286"/>
      <c r="DY344" s="286"/>
      <c r="DZ344" s="286"/>
      <c r="EA344" s="286"/>
      <c r="EB344" s="286"/>
      <c r="EC344" s="286"/>
      <c r="ED344" s="286"/>
      <c r="EE344" s="286"/>
      <c r="EF344" s="286"/>
      <c r="EG344" s="286"/>
      <c r="EH344" s="286"/>
      <c r="EI344" s="286"/>
      <c r="EJ344" s="286"/>
      <c r="EK344" s="286"/>
      <c r="EL344" s="286"/>
      <c r="EM344" s="286"/>
      <c r="EN344" s="286"/>
      <c r="EO344" s="286"/>
      <c r="EP344" s="286"/>
      <c r="EQ344" s="286"/>
      <c r="ER344" s="286"/>
      <c r="ES344" s="286"/>
      <c r="ET344" s="286"/>
      <c r="EU344" s="286"/>
      <c r="EV344" s="286"/>
      <c r="EW344" s="286"/>
      <c r="EX344" s="286"/>
      <c r="EY344" s="286"/>
      <c r="EZ344" s="286"/>
      <c r="FA344" s="286"/>
      <c r="FB344" s="286"/>
      <c r="FC344" s="286"/>
      <c r="FD344" s="286"/>
      <c r="FE344" s="286"/>
      <c r="FF344" s="286"/>
      <c r="FG344" s="286"/>
      <c r="FH344" s="286"/>
      <c r="FI344" s="286"/>
      <c r="FJ344" s="286"/>
      <c r="FK344" s="286"/>
      <c r="FL344" s="286"/>
      <c r="FM344" s="286"/>
      <c r="FN344" s="286"/>
      <c r="FO344" s="286"/>
      <c r="FP344" s="286"/>
      <c r="FQ344" s="286"/>
      <c r="FR344" s="286"/>
      <c r="FS344" s="286"/>
    </row>
    <row r="345" spans="1:175">
      <c r="A345" s="212" t="s">
        <v>3159</v>
      </c>
      <c r="B345" s="212" t="s">
        <v>3160</v>
      </c>
      <c r="C345" s="212" t="s">
        <v>3172</v>
      </c>
      <c r="D345" s="212" t="s">
        <v>3492</v>
      </c>
      <c r="E345" s="212" t="s">
        <v>3513</v>
      </c>
      <c r="F345" s="278">
        <v>1605</v>
      </c>
      <c r="G345" s="278">
        <v>22777</v>
      </c>
      <c r="H345" s="287">
        <f t="shared" si="5"/>
        <v>6.8534047504061117</v>
      </c>
      <c r="I345" s="286">
        <v>121</v>
      </c>
      <c r="J345" s="286">
        <v>1561</v>
      </c>
      <c r="K345" s="286">
        <v>1270</v>
      </c>
      <c r="L345" s="286">
        <v>291</v>
      </c>
      <c r="M345" s="286">
        <v>1288</v>
      </c>
      <c r="N345" s="286">
        <v>1074</v>
      </c>
      <c r="O345" s="286">
        <v>214</v>
      </c>
      <c r="P345" s="286">
        <v>121</v>
      </c>
      <c r="Q345" s="286">
        <v>1561</v>
      </c>
      <c r="R345" s="286">
        <v>1270</v>
      </c>
      <c r="S345" s="286">
        <v>291</v>
      </c>
      <c r="T345" s="286">
        <v>1288</v>
      </c>
      <c r="U345" s="286">
        <v>1074</v>
      </c>
      <c r="V345" s="286">
        <v>214</v>
      </c>
      <c r="W345" s="286"/>
      <c r="X345" s="286"/>
      <c r="Y345" s="286"/>
      <c r="Z345" s="286"/>
      <c r="AA345" s="286"/>
      <c r="AB345" s="286"/>
      <c r="AC345" s="286"/>
      <c r="AD345" s="286"/>
      <c r="AE345" s="286"/>
      <c r="AF345" s="286"/>
      <c r="AG345" s="286"/>
      <c r="AH345" s="286"/>
      <c r="AI345" s="286"/>
      <c r="AJ345" s="286"/>
      <c r="AK345" s="286"/>
      <c r="AL345" s="286"/>
      <c r="AM345" s="286"/>
      <c r="AN345" s="286"/>
      <c r="AO345" s="286"/>
      <c r="AP345" s="286"/>
      <c r="AQ345" s="286"/>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286"/>
      <c r="BT345" s="286"/>
      <c r="BU345" s="286"/>
      <c r="BV345" s="286"/>
      <c r="BW345" s="286"/>
      <c r="BX345" s="286"/>
      <c r="BY345" s="286"/>
      <c r="BZ345" s="286"/>
      <c r="CA345" s="286"/>
      <c r="CB345" s="286"/>
      <c r="CC345" s="286"/>
      <c r="CD345" s="286"/>
      <c r="CE345" s="286"/>
      <c r="CF345" s="286"/>
      <c r="CG345" s="286"/>
      <c r="CH345" s="286"/>
      <c r="CI345" s="286"/>
      <c r="CJ345" s="286"/>
      <c r="CK345" s="286"/>
      <c r="CL345" s="286"/>
      <c r="CM345" s="286"/>
      <c r="CN345" s="286"/>
      <c r="CO345" s="286"/>
      <c r="CP345" s="286"/>
      <c r="CQ345" s="286"/>
      <c r="CR345" s="286"/>
      <c r="CS345" s="286"/>
      <c r="CT345" s="286"/>
      <c r="CU345" s="286"/>
      <c r="CV345" s="286"/>
      <c r="CW345" s="286"/>
      <c r="CX345" s="286"/>
      <c r="CY345" s="286"/>
      <c r="CZ345" s="286"/>
      <c r="DA345" s="286"/>
      <c r="DB345" s="286"/>
      <c r="DC345" s="286"/>
      <c r="DD345" s="286"/>
      <c r="DE345" s="286"/>
      <c r="DF345" s="286"/>
      <c r="DG345" s="286"/>
      <c r="DH345" s="286"/>
      <c r="DI345" s="286"/>
      <c r="DJ345" s="286"/>
      <c r="DK345" s="286"/>
      <c r="DL345" s="286"/>
      <c r="DM345" s="286"/>
      <c r="DN345" s="286"/>
      <c r="DO345" s="286"/>
      <c r="DP345" s="286"/>
      <c r="DQ345" s="286"/>
      <c r="DR345" s="286"/>
      <c r="DS345" s="286"/>
      <c r="DT345" s="286"/>
      <c r="DU345" s="286"/>
      <c r="DV345" s="286"/>
      <c r="DW345" s="286"/>
      <c r="DX345" s="286"/>
      <c r="DY345" s="286"/>
      <c r="DZ345" s="286"/>
      <c r="EA345" s="286"/>
      <c r="EB345" s="286"/>
      <c r="EC345" s="286"/>
      <c r="ED345" s="286"/>
      <c r="EE345" s="286"/>
      <c r="EF345" s="286"/>
      <c r="EG345" s="286"/>
      <c r="EH345" s="286"/>
      <c r="EI345" s="286"/>
      <c r="EJ345" s="286"/>
      <c r="EK345" s="286"/>
      <c r="EL345" s="286"/>
      <c r="EM345" s="286"/>
      <c r="EN345" s="286"/>
      <c r="EO345" s="286"/>
      <c r="EP345" s="286"/>
      <c r="EQ345" s="286"/>
      <c r="ER345" s="286"/>
      <c r="ES345" s="286"/>
      <c r="ET345" s="286"/>
      <c r="EU345" s="286"/>
      <c r="EV345" s="286"/>
      <c r="EW345" s="286"/>
      <c r="EX345" s="286"/>
      <c r="EY345" s="286"/>
      <c r="EZ345" s="286"/>
      <c r="FA345" s="286"/>
      <c r="FB345" s="286"/>
      <c r="FC345" s="286"/>
      <c r="FD345" s="286"/>
      <c r="FE345" s="286"/>
      <c r="FF345" s="286"/>
      <c r="FG345" s="286"/>
      <c r="FH345" s="286"/>
      <c r="FI345" s="286"/>
      <c r="FJ345" s="286"/>
      <c r="FK345" s="286"/>
      <c r="FL345" s="286"/>
      <c r="FM345" s="286"/>
      <c r="FN345" s="286"/>
      <c r="FO345" s="286"/>
      <c r="FP345" s="286"/>
      <c r="FQ345" s="286"/>
      <c r="FR345" s="286"/>
      <c r="FS345" s="286"/>
    </row>
    <row r="346" spans="1:175">
      <c r="A346" s="212" t="s">
        <v>3159</v>
      </c>
      <c r="B346" s="212" t="s">
        <v>3160</v>
      </c>
      <c r="C346" s="212" t="s">
        <v>3172</v>
      </c>
      <c r="D346" s="212" t="s">
        <v>3492</v>
      </c>
      <c r="E346" s="212" t="s">
        <v>3514</v>
      </c>
      <c r="F346" s="278">
        <v>391</v>
      </c>
      <c r="G346" s="278">
        <v>4355</v>
      </c>
      <c r="H346" s="287">
        <f t="shared" si="5"/>
        <v>2.8932261768082665</v>
      </c>
      <c r="I346" s="286">
        <v>8</v>
      </c>
      <c r="J346" s="286">
        <v>126</v>
      </c>
      <c r="K346" s="286">
        <v>102</v>
      </c>
      <c r="L346" s="286">
        <v>24</v>
      </c>
      <c r="M346" s="286">
        <v>114</v>
      </c>
      <c r="N346" s="286">
        <v>93</v>
      </c>
      <c r="O346" s="286">
        <v>21</v>
      </c>
      <c r="P346" s="286">
        <v>8</v>
      </c>
      <c r="Q346" s="286">
        <v>126</v>
      </c>
      <c r="R346" s="286">
        <v>102</v>
      </c>
      <c r="S346" s="286">
        <v>24</v>
      </c>
      <c r="T346" s="286">
        <v>114</v>
      </c>
      <c r="U346" s="286">
        <v>93</v>
      </c>
      <c r="V346" s="286">
        <v>21</v>
      </c>
      <c r="W346" s="286"/>
      <c r="X346" s="286"/>
      <c r="Y346" s="286"/>
      <c r="Z346" s="286"/>
      <c r="AA346" s="286"/>
      <c r="AB346" s="286"/>
      <c r="AC346" s="286"/>
      <c r="AD346" s="286"/>
      <c r="AE346" s="286"/>
      <c r="AF346" s="286"/>
      <c r="AG346" s="286"/>
      <c r="AH346" s="286"/>
      <c r="AI346" s="286"/>
      <c r="AJ346" s="286"/>
      <c r="AK346" s="286"/>
      <c r="AL346" s="286"/>
      <c r="AM346" s="286"/>
      <c r="AN346" s="286"/>
      <c r="AO346" s="286"/>
      <c r="AP346" s="286"/>
      <c r="AQ346" s="286"/>
      <c r="AR346" s="286"/>
      <c r="AS346" s="286"/>
      <c r="AT346" s="286"/>
      <c r="AU346" s="286"/>
      <c r="AV346" s="286"/>
      <c r="AW346" s="286"/>
      <c r="AX346" s="286"/>
      <c r="AY346" s="286"/>
      <c r="AZ346" s="286"/>
      <c r="BA346" s="286"/>
      <c r="BB346" s="286"/>
      <c r="BC346" s="286"/>
      <c r="BD346" s="286"/>
      <c r="BE346" s="286"/>
      <c r="BF346" s="286"/>
      <c r="BG346" s="286"/>
      <c r="BH346" s="286"/>
      <c r="BI346" s="286"/>
      <c r="BJ346" s="286"/>
      <c r="BK346" s="286"/>
      <c r="BL346" s="286"/>
      <c r="BM346" s="286"/>
      <c r="BN346" s="286"/>
      <c r="BO346" s="286"/>
      <c r="BP346" s="286"/>
      <c r="BQ346" s="286"/>
      <c r="BR346" s="286"/>
      <c r="BS346" s="286"/>
      <c r="BT346" s="286"/>
      <c r="BU346" s="286"/>
      <c r="BV346" s="286"/>
      <c r="BW346" s="286"/>
      <c r="BX346" s="286"/>
      <c r="BY346" s="286"/>
      <c r="BZ346" s="286"/>
      <c r="CA346" s="286"/>
      <c r="CB346" s="286"/>
      <c r="CC346" s="286"/>
      <c r="CD346" s="286"/>
      <c r="CE346" s="286"/>
      <c r="CF346" s="286"/>
      <c r="CG346" s="286"/>
      <c r="CH346" s="286"/>
      <c r="CI346" s="286"/>
      <c r="CJ346" s="286"/>
      <c r="CK346" s="286"/>
      <c r="CL346" s="286"/>
      <c r="CM346" s="286"/>
      <c r="CN346" s="286"/>
      <c r="CO346" s="286"/>
      <c r="CP346" s="286"/>
      <c r="CQ346" s="286"/>
      <c r="CR346" s="286"/>
      <c r="CS346" s="286"/>
      <c r="CT346" s="286"/>
      <c r="CU346" s="286"/>
      <c r="CV346" s="286"/>
      <c r="CW346" s="286"/>
      <c r="CX346" s="286"/>
      <c r="CY346" s="286"/>
      <c r="CZ346" s="286"/>
      <c r="DA346" s="286"/>
      <c r="DB346" s="286"/>
      <c r="DC346" s="286"/>
      <c r="DD346" s="286"/>
      <c r="DE346" s="286"/>
      <c r="DF346" s="286"/>
      <c r="DG346" s="286"/>
      <c r="DH346" s="286"/>
      <c r="DI346" s="286"/>
      <c r="DJ346" s="286"/>
      <c r="DK346" s="286"/>
      <c r="DL346" s="286"/>
      <c r="DM346" s="286"/>
      <c r="DN346" s="286"/>
      <c r="DO346" s="286"/>
      <c r="DP346" s="286"/>
      <c r="DQ346" s="286"/>
      <c r="DR346" s="286"/>
      <c r="DS346" s="286"/>
      <c r="DT346" s="286"/>
      <c r="DU346" s="286"/>
      <c r="DV346" s="286"/>
      <c r="DW346" s="286"/>
      <c r="DX346" s="286"/>
      <c r="DY346" s="286"/>
      <c r="DZ346" s="286"/>
      <c r="EA346" s="286"/>
      <c r="EB346" s="286"/>
      <c r="EC346" s="286"/>
      <c r="ED346" s="286"/>
      <c r="EE346" s="286"/>
      <c r="EF346" s="286"/>
      <c r="EG346" s="286"/>
      <c r="EH346" s="286"/>
      <c r="EI346" s="286"/>
      <c r="EJ346" s="286"/>
      <c r="EK346" s="286"/>
      <c r="EL346" s="286"/>
      <c r="EM346" s="286"/>
      <c r="EN346" s="286"/>
      <c r="EO346" s="286"/>
      <c r="EP346" s="286"/>
      <c r="EQ346" s="286"/>
      <c r="ER346" s="286"/>
      <c r="ES346" s="286"/>
      <c r="ET346" s="286"/>
      <c r="EU346" s="286"/>
      <c r="EV346" s="286"/>
      <c r="EW346" s="286"/>
      <c r="EX346" s="286"/>
      <c r="EY346" s="286"/>
      <c r="EZ346" s="286"/>
      <c r="FA346" s="286"/>
      <c r="FB346" s="286"/>
      <c r="FC346" s="286"/>
      <c r="FD346" s="286"/>
      <c r="FE346" s="286"/>
      <c r="FF346" s="286"/>
      <c r="FG346" s="286"/>
      <c r="FH346" s="286"/>
      <c r="FI346" s="286"/>
      <c r="FJ346" s="286"/>
      <c r="FK346" s="286"/>
      <c r="FL346" s="286"/>
      <c r="FM346" s="286"/>
      <c r="FN346" s="286"/>
      <c r="FO346" s="286"/>
      <c r="FP346" s="286"/>
      <c r="FQ346" s="286"/>
      <c r="FR346" s="286"/>
      <c r="FS346" s="286"/>
    </row>
    <row r="347" spans="1:175">
      <c r="A347" s="212" t="s">
        <v>3159</v>
      </c>
      <c r="B347" s="212" t="s">
        <v>3160</v>
      </c>
      <c r="C347" s="212" t="s">
        <v>3172</v>
      </c>
      <c r="D347" s="212" t="s">
        <v>3492</v>
      </c>
      <c r="E347" s="212" t="s">
        <v>3515</v>
      </c>
      <c r="F347" s="278">
        <v>727</v>
      </c>
      <c r="G347" s="278">
        <v>10535</v>
      </c>
      <c r="H347" s="287">
        <f t="shared" si="5"/>
        <v>2.9900332225913622</v>
      </c>
      <c r="I347" s="286">
        <v>32</v>
      </c>
      <c r="J347" s="286">
        <v>315</v>
      </c>
      <c r="K347" s="286">
        <v>258</v>
      </c>
      <c r="L347" s="286">
        <v>57</v>
      </c>
      <c r="M347" s="286">
        <v>257</v>
      </c>
      <c r="N347" s="286">
        <v>213</v>
      </c>
      <c r="O347" s="286">
        <v>44</v>
      </c>
      <c r="P347" s="286">
        <v>32</v>
      </c>
      <c r="Q347" s="286">
        <v>315</v>
      </c>
      <c r="R347" s="286">
        <v>258</v>
      </c>
      <c r="S347" s="286">
        <v>57</v>
      </c>
      <c r="T347" s="286">
        <v>257</v>
      </c>
      <c r="U347" s="286">
        <v>213</v>
      </c>
      <c r="V347" s="286">
        <v>44</v>
      </c>
      <c r="W347" s="286"/>
      <c r="X347" s="286"/>
      <c r="Y347" s="286"/>
      <c r="Z347" s="286"/>
      <c r="AA347" s="286"/>
      <c r="AB347" s="286"/>
      <c r="AC347" s="286"/>
      <c r="AD347" s="286"/>
      <c r="AE347" s="286"/>
      <c r="AF347" s="286"/>
      <c r="AG347" s="286"/>
      <c r="AH347" s="286"/>
      <c r="AI347" s="286"/>
      <c r="AJ347" s="286"/>
      <c r="AK347" s="286"/>
      <c r="AL347" s="286"/>
      <c r="AM347" s="286"/>
      <c r="AN347" s="286"/>
      <c r="AO347" s="286"/>
      <c r="AP347" s="286"/>
      <c r="AQ347" s="286"/>
      <c r="AR347" s="286"/>
      <c r="AS347" s="286"/>
      <c r="AT347" s="286"/>
      <c r="AU347" s="286"/>
      <c r="AV347" s="286"/>
      <c r="AW347" s="286"/>
      <c r="AX347" s="286"/>
      <c r="AY347" s="286"/>
      <c r="AZ347" s="286"/>
      <c r="BA347" s="286"/>
      <c r="BB347" s="286"/>
      <c r="BC347" s="286"/>
      <c r="BD347" s="286"/>
      <c r="BE347" s="286"/>
      <c r="BF347" s="286"/>
      <c r="BG347" s="286"/>
      <c r="BH347" s="286"/>
      <c r="BI347" s="286"/>
      <c r="BJ347" s="286"/>
      <c r="BK347" s="286"/>
      <c r="BL347" s="286"/>
      <c r="BM347" s="286"/>
      <c r="BN347" s="286"/>
      <c r="BO347" s="286"/>
      <c r="BP347" s="286"/>
      <c r="BQ347" s="286"/>
      <c r="BR347" s="286"/>
      <c r="BS347" s="286"/>
      <c r="BT347" s="286"/>
      <c r="BU347" s="286"/>
      <c r="BV347" s="286"/>
      <c r="BW347" s="286"/>
      <c r="BX347" s="286"/>
      <c r="BY347" s="286"/>
      <c r="BZ347" s="286"/>
      <c r="CA347" s="286"/>
      <c r="CB347" s="286"/>
      <c r="CC347" s="286"/>
      <c r="CD347" s="286"/>
      <c r="CE347" s="286"/>
      <c r="CF347" s="286"/>
      <c r="CG347" s="286"/>
      <c r="CH347" s="286"/>
      <c r="CI347" s="286"/>
      <c r="CJ347" s="286"/>
      <c r="CK347" s="286"/>
      <c r="CL347" s="286"/>
      <c r="CM347" s="286"/>
      <c r="CN347" s="286"/>
      <c r="CO347" s="286"/>
      <c r="CP347" s="286"/>
      <c r="CQ347" s="286"/>
      <c r="CR347" s="286"/>
      <c r="CS347" s="286"/>
      <c r="CT347" s="286"/>
      <c r="CU347" s="286"/>
      <c r="CV347" s="286"/>
      <c r="CW347" s="286"/>
      <c r="CX347" s="286"/>
      <c r="CY347" s="286"/>
      <c r="CZ347" s="286"/>
      <c r="DA347" s="286"/>
      <c r="DB347" s="286"/>
      <c r="DC347" s="286"/>
      <c r="DD347" s="286"/>
      <c r="DE347" s="286"/>
      <c r="DF347" s="286"/>
      <c r="DG347" s="286"/>
      <c r="DH347" s="286"/>
      <c r="DI347" s="286"/>
      <c r="DJ347" s="286"/>
      <c r="DK347" s="286"/>
      <c r="DL347" s="286"/>
      <c r="DM347" s="286"/>
      <c r="DN347" s="286"/>
      <c r="DO347" s="286"/>
      <c r="DP347" s="286"/>
      <c r="DQ347" s="286"/>
      <c r="DR347" s="286"/>
      <c r="DS347" s="286"/>
      <c r="DT347" s="286"/>
      <c r="DU347" s="286"/>
      <c r="DV347" s="286"/>
      <c r="DW347" s="286"/>
      <c r="DX347" s="286"/>
      <c r="DY347" s="286"/>
      <c r="DZ347" s="286"/>
      <c r="EA347" s="286"/>
      <c r="EB347" s="286"/>
      <c r="EC347" s="286"/>
      <c r="ED347" s="286"/>
      <c r="EE347" s="286"/>
      <c r="EF347" s="286"/>
      <c r="EG347" s="286"/>
      <c r="EH347" s="286"/>
      <c r="EI347" s="286"/>
      <c r="EJ347" s="286"/>
      <c r="EK347" s="286"/>
      <c r="EL347" s="286"/>
      <c r="EM347" s="286"/>
      <c r="EN347" s="286"/>
      <c r="EO347" s="286"/>
      <c r="EP347" s="286"/>
      <c r="EQ347" s="286"/>
      <c r="ER347" s="286"/>
      <c r="ES347" s="286"/>
      <c r="ET347" s="286"/>
      <c r="EU347" s="286"/>
      <c r="EV347" s="286"/>
      <c r="EW347" s="286"/>
      <c r="EX347" s="286"/>
      <c r="EY347" s="286"/>
      <c r="EZ347" s="286"/>
      <c r="FA347" s="286"/>
      <c r="FB347" s="286"/>
      <c r="FC347" s="286"/>
      <c r="FD347" s="286"/>
      <c r="FE347" s="286"/>
      <c r="FF347" s="286"/>
      <c r="FG347" s="286"/>
      <c r="FH347" s="286"/>
      <c r="FI347" s="286"/>
      <c r="FJ347" s="286"/>
      <c r="FK347" s="286"/>
      <c r="FL347" s="286"/>
      <c r="FM347" s="286"/>
      <c r="FN347" s="286"/>
      <c r="FO347" s="286"/>
      <c r="FP347" s="286"/>
      <c r="FQ347" s="286"/>
      <c r="FR347" s="286"/>
      <c r="FS347" s="286"/>
    </row>
    <row r="348" spans="1:175">
      <c r="A348" s="212" t="s">
        <v>3159</v>
      </c>
      <c r="B348" s="212" t="s">
        <v>3160</v>
      </c>
      <c r="C348" s="212" t="s">
        <v>3170</v>
      </c>
      <c r="D348" s="212" t="s">
        <v>3492</v>
      </c>
      <c r="E348" s="212" t="s">
        <v>3516</v>
      </c>
      <c r="F348" s="278">
        <v>816</v>
      </c>
      <c r="G348" s="278">
        <v>49446</v>
      </c>
      <c r="H348" s="287">
        <f t="shared" si="5"/>
        <v>0.73615661529749621</v>
      </c>
      <c r="I348" s="286">
        <v>11</v>
      </c>
      <c r="J348" s="286">
        <v>364</v>
      </c>
      <c r="K348" s="286">
        <v>280</v>
      </c>
      <c r="L348" s="286">
        <v>84</v>
      </c>
      <c r="M348" s="286">
        <v>361</v>
      </c>
      <c r="N348" s="286">
        <v>277</v>
      </c>
      <c r="O348" s="286">
        <v>84</v>
      </c>
      <c r="P348" s="286">
        <v>11</v>
      </c>
      <c r="Q348" s="286">
        <v>364</v>
      </c>
      <c r="R348" s="286">
        <v>280</v>
      </c>
      <c r="S348" s="286">
        <v>84</v>
      </c>
      <c r="T348" s="286">
        <v>361</v>
      </c>
      <c r="U348" s="286">
        <v>277</v>
      </c>
      <c r="V348" s="286">
        <v>84</v>
      </c>
      <c r="W348" s="286"/>
      <c r="X348" s="286"/>
      <c r="Y348" s="286"/>
      <c r="Z348" s="286"/>
      <c r="AA348" s="286"/>
      <c r="AB348" s="286"/>
      <c r="AC348" s="286"/>
      <c r="AD348" s="286"/>
      <c r="AE348" s="286"/>
      <c r="AF348" s="286"/>
      <c r="AG348" s="286"/>
      <c r="AH348" s="286"/>
      <c r="AI348" s="286"/>
      <c r="AJ348" s="286"/>
      <c r="AK348" s="286"/>
      <c r="AL348" s="286"/>
      <c r="AM348" s="286"/>
      <c r="AN348" s="286"/>
      <c r="AO348" s="286"/>
      <c r="AP348" s="286"/>
      <c r="AQ348" s="286"/>
      <c r="AR348" s="286"/>
      <c r="AS348" s="286"/>
      <c r="AT348" s="286"/>
      <c r="AU348" s="286"/>
      <c r="AV348" s="286"/>
      <c r="AW348" s="286"/>
      <c r="AX348" s="286"/>
      <c r="AY348" s="286"/>
      <c r="AZ348" s="286"/>
      <c r="BA348" s="286"/>
      <c r="BB348" s="286"/>
      <c r="BC348" s="286"/>
      <c r="BD348" s="286"/>
      <c r="BE348" s="286"/>
      <c r="BF348" s="286"/>
      <c r="BG348" s="286"/>
      <c r="BH348" s="286"/>
      <c r="BI348" s="286"/>
      <c r="BJ348" s="286"/>
      <c r="BK348" s="286"/>
      <c r="BL348" s="286"/>
      <c r="BM348" s="286"/>
      <c r="BN348" s="286"/>
      <c r="BO348" s="286"/>
      <c r="BP348" s="286"/>
      <c r="BQ348" s="286"/>
      <c r="BR348" s="286"/>
      <c r="BS348" s="286"/>
      <c r="BT348" s="286"/>
      <c r="BU348" s="286"/>
      <c r="BV348" s="286"/>
      <c r="BW348" s="286"/>
      <c r="BX348" s="286"/>
      <c r="BY348" s="286"/>
      <c r="BZ348" s="286"/>
      <c r="CA348" s="286"/>
      <c r="CB348" s="286"/>
      <c r="CC348" s="286"/>
      <c r="CD348" s="286"/>
      <c r="CE348" s="286"/>
      <c r="CF348" s="286"/>
      <c r="CG348" s="286"/>
      <c r="CH348" s="286"/>
      <c r="CI348" s="286"/>
      <c r="CJ348" s="286"/>
      <c r="CK348" s="286"/>
      <c r="CL348" s="286"/>
      <c r="CM348" s="286"/>
      <c r="CN348" s="286"/>
      <c r="CO348" s="286"/>
      <c r="CP348" s="286"/>
      <c r="CQ348" s="286"/>
      <c r="CR348" s="286"/>
      <c r="CS348" s="286"/>
      <c r="CT348" s="286"/>
      <c r="CU348" s="286"/>
      <c r="CV348" s="286"/>
      <c r="CW348" s="286"/>
      <c r="CX348" s="286"/>
      <c r="CY348" s="286"/>
      <c r="CZ348" s="286"/>
      <c r="DA348" s="286"/>
      <c r="DB348" s="286"/>
      <c r="DC348" s="286"/>
      <c r="DD348" s="286"/>
      <c r="DE348" s="286"/>
      <c r="DF348" s="286"/>
      <c r="DG348" s="286"/>
      <c r="DH348" s="286"/>
      <c r="DI348" s="286"/>
      <c r="DJ348" s="286"/>
      <c r="DK348" s="286"/>
      <c r="DL348" s="286"/>
      <c r="DM348" s="286"/>
      <c r="DN348" s="286"/>
      <c r="DO348" s="286"/>
      <c r="DP348" s="286"/>
      <c r="DQ348" s="286"/>
      <c r="DR348" s="286"/>
      <c r="DS348" s="286"/>
      <c r="DT348" s="286"/>
      <c r="DU348" s="286"/>
      <c r="DV348" s="286"/>
      <c r="DW348" s="286"/>
      <c r="DX348" s="286"/>
      <c r="DY348" s="286"/>
      <c r="DZ348" s="286"/>
      <c r="EA348" s="286"/>
      <c r="EB348" s="286"/>
      <c r="EC348" s="286"/>
      <c r="ED348" s="286"/>
      <c r="EE348" s="286"/>
      <c r="EF348" s="286"/>
      <c r="EG348" s="286"/>
      <c r="EH348" s="286"/>
      <c r="EI348" s="286"/>
      <c r="EJ348" s="286"/>
      <c r="EK348" s="286"/>
      <c r="EL348" s="286"/>
      <c r="EM348" s="286"/>
      <c r="EN348" s="286"/>
      <c r="EO348" s="286"/>
      <c r="EP348" s="286"/>
      <c r="EQ348" s="286"/>
      <c r="ER348" s="286"/>
      <c r="ES348" s="286"/>
      <c r="ET348" s="286"/>
      <c r="EU348" s="286"/>
      <c r="EV348" s="286"/>
      <c r="EW348" s="286"/>
      <c r="EX348" s="286"/>
      <c r="EY348" s="286"/>
      <c r="EZ348" s="286"/>
      <c r="FA348" s="286"/>
      <c r="FB348" s="286"/>
      <c r="FC348" s="286"/>
      <c r="FD348" s="286"/>
      <c r="FE348" s="286"/>
      <c r="FF348" s="286"/>
      <c r="FG348" s="286"/>
      <c r="FH348" s="286"/>
      <c r="FI348" s="286"/>
      <c r="FJ348" s="286"/>
      <c r="FK348" s="286"/>
      <c r="FL348" s="286"/>
      <c r="FM348" s="286"/>
      <c r="FN348" s="286"/>
      <c r="FO348" s="286"/>
      <c r="FP348" s="286"/>
      <c r="FQ348" s="286"/>
      <c r="FR348" s="286"/>
      <c r="FS348" s="286"/>
    </row>
    <row r="349" spans="1:175">
      <c r="A349" s="212" t="s">
        <v>3159</v>
      </c>
      <c r="B349" s="212" t="s">
        <v>3160</v>
      </c>
      <c r="C349" s="212" t="s">
        <v>3172</v>
      </c>
      <c r="D349" s="212" t="s">
        <v>3492</v>
      </c>
      <c r="E349" s="212" t="s">
        <v>3517</v>
      </c>
      <c r="F349" s="278">
        <v>13</v>
      </c>
      <c r="G349" s="278">
        <v>214</v>
      </c>
      <c r="H349" s="287">
        <f t="shared" si="5"/>
        <v>35.514018691588781</v>
      </c>
      <c r="I349" s="286">
        <v>1</v>
      </c>
      <c r="J349" s="286">
        <v>76</v>
      </c>
      <c r="K349" s="286">
        <v>64</v>
      </c>
      <c r="L349" s="286">
        <v>12</v>
      </c>
      <c r="M349" s="286">
        <v>73</v>
      </c>
      <c r="N349" s="286">
        <v>61</v>
      </c>
      <c r="O349" s="286">
        <v>12</v>
      </c>
      <c r="P349" s="286">
        <v>1</v>
      </c>
      <c r="Q349" s="286">
        <v>76</v>
      </c>
      <c r="R349" s="286">
        <v>64</v>
      </c>
      <c r="S349" s="286">
        <v>12</v>
      </c>
      <c r="T349" s="286">
        <v>73</v>
      </c>
      <c r="U349" s="286">
        <v>61</v>
      </c>
      <c r="V349" s="286">
        <v>12</v>
      </c>
      <c r="W349" s="286"/>
      <c r="X349" s="286"/>
      <c r="Y349" s="286"/>
      <c r="Z349" s="286"/>
      <c r="AA349" s="286"/>
      <c r="AB349" s="286"/>
      <c r="AC349" s="286"/>
      <c r="AD349" s="286"/>
      <c r="AE349" s="286"/>
      <c r="AF349" s="286"/>
      <c r="AG349" s="286"/>
      <c r="AH349" s="286"/>
      <c r="AI349" s="286"/>
      <c r="AJ349" s="286"/>
      <c r="AK349" s="286"/>
      <c r="AL349" s="286"/>
      <c r="AM349" s="286"/>
      <c r="AN349" s="286"/>
      <c r="AO349" s="286"/>
      <c r="AP349" s="286"/>
      <c r="AQ349" s="286"/>
      <c r="AR349" s="286"/>
      <c r="AS349" s="286"/>
      <c r="AT349" s="286"/>
      <c r="AU349" s="286"/>
      <c r="AV349" s="286"/>
      <c r="AW349" s="286"/>
      <c r="AX349" s="286"/>
      <c r="AY349" s="286"/>
      <c r="AZ349" s="286"/>
      <c r="BA349" s="286"/>
      <c r="BB349" s="286"/>
      <c r="BC349" s="286"/>
      <c r="BD349" s="286"/>
      <c r="BE349" s="286"/>
      <c r="BF349" s="286"/>
      <c r="BG349" s="286"/>
      <c r="BH349" s="286"/>
      <c r="BI349" s="286"/>
      <c r="BJ349" s="286"/>
      <c r="BK349" s="286"/>
      <c r="BL349" s="286"/>
      <c r="BM349" s="286"/>
      <c r="BN349" s="286"/>
      <c r="BO349" s="286"/>
      <c r="BP349" s="286"/>
      <c r="BQ349" s="286"/>
      <c r="BR349" s="286"/>
      <c r="BS349" s="286"/>
      <c r="BT349" s="286"/>
      <c r="BU349" s="286"/>
      <c r="BV349" s="286"/>
      <c r="BW349" s="286"/>
      <c r="BX349" s="286"/>
      <c r="BY349" s="286"/>
      <c r="BZ349" s="286"/>
      <c r="CA349" s="286"/>
      <c r="CB349" s="286"/>
      <c r="CC349" s="286"/>
      <c r="CD349" s="286"/>
      <c r="CE349" s="286"/>
      <c r="CF349" s="286"/>
      <c r="CG349" s="286"/>
      <c r="CH349" s="286"/>
      <c r="CI349" s="286"/>
      <c r="CJ349" s="286"/>
      <c r="CK349" s="286"/>
      <c r="CL349" s="286"/>
      <c r="CM349" s="286"/>
      <c r="CN349" s="286"/>
      <c r="CO349" s="286"/>
      <c r="CP349" s="286"/>
      <c r="CQ349" s="286"/>
      <c r="CR349" s="286"/>
      <c r="CS349" s="286"/>
      <c r="CT349" s="286"/>
      <c r="CU349" s="286"/>
      <c r="CV349" s="286"/>
      <c r="CW349" s="286"/>
      <c r="CX349" s="286"/>
      <c r="CY349" s="286"/>
      <c r="CZ349" s="286"/>
      <c r="DA349" s="286"/>
      <c r="DB349" s="286"/>
      <c r="DC349" s="286"/>
      <c r="DD349" s="286"/>
      <c r="DE349" s="286"/>
      <c r="DF349" s="286"/>
      <c r="DG349" s="286"/>
      <c r="DH349" s="286"/>
      <c r="DI349" s="286"/>
      <c r="DJ349" s="286"/>
      <c r="DK349" s="286"/>
      <c r="DL349" s="286"/>
      <c r="DM349" s="286"/>
      <c r="DN349" s="286"/>
      <c r="DO349" s="286"/>
      <c r="DP349" s="286"/>
      <c r="DQ349" s="286"/>
      <c r="DR349" s="286"/>
      <c r="DS349" s="286"/>
      <c r="DT349" s="286"/>
      <c r="DU349" s="286"/>
      <c r="DV349" s="286"/>
      <c r="DW349" s="286"/>
      <c r="DX349" s="286"/>
      <c r="DY349" s="286"/>
      <c r="DZ349" s="286"/>
      <c r="EA349" s="286"/>
      <c r="EB349" s="286"/>
      <c r="EC349" s="286"/>
      <c r="ED349" s="286"/>
      <c r="EE349" s="286"/>
      <c r="EF349" s="286"/>
      <c r="EG349" s="286"/>
      <c r="EH349" s="286"/>
      <c r="EI349" s="286"/>
      <c r="EJ349" s="286"/>
      <c r="EK349" s="286"/>
      <c r="EL349" s="286"/>
      <c r="EM349" s="286"/>
      <c r="EN349" s="286"/>
      <c r="EO349" s="286"/>
      <c r="EP349" s="286"/>
      <c r="EQ349" s="286"/>
      <c r="ER349" s="286"/>
      <c r="ES349" s="286"/>
      <c r="ET349" s="286"/>
      <c r="EU349" s="286"/>
      <c r="EV349" s="286"/>
      <c r="EW349" s="286"/>
      <c r="EX349" s="286"/>
      <c r="EY349" s="286"/>
      <c r="EZ349" s="286"/>
      <c r="FA349" s="286"/>
      <c r="FB349" s="286"/>
      <c r="FC349" s="286"/>
      <c r="FD349" s="286"/>
      <c r="FE349" s="286"/>
      <c r="FF349" s="286"/>
      <c r="FG349" s="286"/>
      <c r="FH349" s="286"/>
      <c r="FI349" s="286"/>
      <c r="FJ349" s="286"/>
      <c r="FK349" s="286"/>
      <c r="FL349" s="286"/>
      <c r="FM349" s="286"/>
      <c r="FN349" s="286"/>
      <c r="FO349" s="286"/>
      <c r="FP349" s="286"/>
      <c r="FQ349" s="286"/>
      <c r="FR349" s="286"/>
      <c r="FS349" s="286"/>
    </row>
    <row r="350" spans="1:175">
      <c r="A350" s="212" t="s">
        <v>3159</v>
      </c>
      <c r="B350" s="212" t="s">
        <v>3160</v>
      </c>
      <c r="C350" s="212" t="s">
        <v>3172</v>
      </c>
      <c r="D350" s="212" t="s">
        <v>3492</v>
      </c>
      <c r="E350" s="212" t="s">
        <v>3518</v>
      </c>
      <c r="F350" s="278">
        <v>729</v>
      </c>
      <c r="G350" s="278">
        <v>47736</v>
      </c>
      <c r="H350" s="287">
        <f t="shared" si="5"/>
        <v>0.58446455505279038</v>
      </c>
      <c r="I350" s="286">
        <v>9</v>
      </c>
      <c r="J350" s="286">
        <v>279</v>
      </c>
      <c r="K350" s="286">
        <v>207</v>
      </c>
      <c r="L350" s="286">
        <v>72</v>
      </c>
      <c r="M350" s="286">
        <v>279</v>
      </c>
      <c r="N350" s="286">
        <v>207</v>
      </c>
      <c r="O350" s="286">
        <v>72</v>
      </c>
      <c r="P350" s="286">
        <v>9</v>
      </c>
      <c r="Q350" s="286">
        <v>279</v>
      </c>
      <c r="R350" s="286">
        <v>207</v>
      </c>
      <c r="S350" s="286">
        <v>72</v>
      </c>
      <c r="T350" s="286">
        <v>279</v>
      </c>
      <c r="U350" s="286">
        <v>207</v>
      </c>
      <c r="V350" s="286">
        <v>72</v>
      </c>
      <c r="W350" s="286"/>
      <c r="X350" s="286"/>
      <c r="Y350" s="286"/>
      <c r="Z350" s="286"/>
      <c r="AA350" s="286"/>
      <c r="AB350" s="286"/>
      <c r="AC350" s="286"/>
      <c r="AD350" s="286"/>
      <c r="AE350" s="286"/>
      <c r="AF350" s="286"/>
      <c r="AG350" s="286"/>
      <c r="AH350" s="286"/>
      <c r="AI350" s="286"/>
      <c r="AJ350" s="286"/>
      <c r="AK350" s="286"/>
      <c r="AL350" s="286"/>
      <c r="AM350" s="286"/>
      <c r="AN350" s="286"/>
      <c r="AO350" s="286"/>
      <c r="AP350" s="286"/>
      <c r="AQ350" s="286"/>
      <c r="AR350" s="286"/>
      <c r="AS350" s="286"/>
      <c r="AT350" s="286"/>
      <c r="AU350" s="286"/>
      <c r="AV350" s="286"/>
      <c r="AW350" s="286"/>
      <c r="AX350" s="286"/>
      <c r="AY350" s="286"/>
      <c r="AZ350" s="286"/>
      <c r="BA350" s="286"/>
      <c r="BB350" s="286"/>
      <c r="BC350" s="286"/>
      <c r="BD350" s="286"/>
      <c r="BE350" s="286"/>
      <c r="BF350" s="286"/>
      <c r="BG350" s="286"/>
      <c r="BH350" s="286"/>
      <c r="BI350" s="286"/>
      <c r="BJ350" s="286"/>
      <c r="BK350" s="286"/>
      <c r="BL350" s="286"/>
      <c r="BM350" s="286"/>
      <c r="BN350" s="286"/>
      <c r="BO350" s="286"/>
      <c r="BP350" s="286"/>
      <c r="BQ350" s="286"/>
      <c r="BR350" s="286"/>
      <c r="BS350" s="286"/>
      <c r="BT350" s="286"/>
      <c r="BU350" s="286"/>
      <c r="BV350" s="286"/>
      <c r="BW350" s="286"/>
      <c r="BX350" s="286"/>
      <c r="BY350" s="286"/>
      <c r="BZ350" s="286"/>
      <c r="CA350" s="286"/>
      <c r="CB350" s="286"/>
      <c r="CC350" s="286"/>
      <c r="CD350" s="286"/>
      <c r="CE350" s="286"/>
      <c r="CF350" s="286"/>
      <c r="CG350" s="286"/>
      <c r="CH350" s="286"/>
      <c r="CI350" s="286"/>
      <c r="CJ350" s="286"/>
      <c r="CK350" s="286"/>
      <c r="CL350" s="286"/>
      <c r="CM350" s="286"/>
      <c r="CN350" s="286"/>
      <c r="CO350" s="286"/>
      <c r="CP350" s="286"/>
      <c r="CQ350" s="286"/>
      <c r="CR350" s="286"/>
      <c r="CS350" s="286"/>
      <c r="CT350" s="286"/>
      <c r="CU350" s="286"/>
      <c r="CV350" s="286"/>
      <c r="CW350" s="286"/>
      <c r="CX350" s="286"/>
      <c r="CY350" s="286"/>
      <c r="CZ350" s="286"/>
      <c r="DA350" s="286"/>
      <c r="DB350" s="286"/>
      <c r="DC350" s="286"/>
      <c r="DD350" s="286"/>
      <c r="DE350" s="286"/>
      <c r="DF350" s="286"/>
      <c r="DG350" s="286"/>
      <c r="DH350" s="286"/>
      <c r="DI350" s="286"/>
      <c r="DJ350" s="286"/>
      <c r="DK350" s="286"/>
      <c r="DL350" s="286"/>
      <c r="DM350" s="286"/>
      <c r="DN350" s="286"/>
      <c r="DO350" s="286"/>
      <c r="DP350" s="286"/>
      <c r="DQ350" s="286"/>
      <c r="DR350" s="286"/>
      <c r="DS350" s="286"/>
      <c r="DT350" s="286"/>
      <c r="DU350" s="286"/>
      <c r="DV350" s="286"/>
      <c r="DW350" s="286"/>
      <c r="DX350" s="286"/>
      <c r="DY350" s="286"/>
      <c r="DZ350" s="286"/>
      <c r="EA350" s="286"/>
      <c r="EB350" s="286"/>
      <c r="EC350" s="286"/>
      <c r="ED350" s="286"/>
      <c r="EE350" s="286"/>
      <c r="EF350" s="286"/>
      <c r="EG350" s="286"/>
      <c r="EH350" s="286"/>
      <c r="EI350" s="286"/>
      <c r="EJ350" s="286"/>
      <c r="EK350" s="286"/>
      <c r="EL350" s="286"/>
      <c r="EM350" s="286"/>
      <c r="EN350" s="286"/>
      <c r="EO350" s="286"/>
      <c r="EP350" s="286"/>
      <c r="EQ350" s="286"/>
      <c r="ER350" s="286"/>
      <c r="ES350" s="286"/>
      <c r="ET350" s="286"/>
      <c r="EU350" s="286"/>
      <c r="EV350" s="286"/>
      <c r="EW350" s="286"/>
      <c r="EX350" s="286"/>
      <c r="EY350" s="286"/>
      <c r="EZ350" s="286"/>
      <c r="FA350" s="286"/>
      <c r="FB350" s="286"/>
      <c r="FC350" s="286"/>
      <c r="FD350" s="286"/>
      <c r="FE350" s="286"/>
      <c r="FF350" s="286"/>
      <c r="FG350" s="286"/>
      <c r="FH350" s="286"/>
      <c r="FI350" s="286"/>
      <c r="FJ350" s="286"/>
      <c r="FK350" s="286"/>
      <c r="FL350" s="286"/>
      <c r="FM350" s="286"/>
      <c r="FN350" s="286"/>
      <c r="FO350" s="286"/>
      <c r="FP350" s="286"/>
      <c r="FQ350" s="286"/>
      <c r="FR350" s="286"/>
      <c r="FS350" s="286"/>
    </row>
    <row r="351" spans="1:175">
      <c r="A351" s="212" t="s">
        <v>3159</v>
      </c>
      <c r="B351" s="212" t="s">
        <v>3160</v>
      </c>
      <c r="C351" s="212" t="s">
        <v>3172</v>
      </c>
      <c r="D351" s="212" t="s">
        <v>3492</v>
      </c>
      <c r="E351" s="212" t="s">
        <v>3519</v>
      </c>
      <c r="F351" s="278">
        <v>74</v>
      </c>
      <c r="G351" s="278">
        <v>1496</v>
      </c>
      <c r="H351" s="287">
        <f t="shared" si="5"/>
        <v>0.60160427807486627</v>
      </c>
      <c r="I351" s="286">
        <v>1</v>
      </c>
      <c r="J351" s="286">
        <v>9</v>
      </c>
      <c r="K351" s="286">
        <v>9</v>
      </c>
      <c r="L351" s="286">
        <v>0</v>
      </c>
      <c r="M351" s="286">
        <v>9</v>
      </c>
      <c r="N351" s="286">
        <v>9</v>
      </c>
      <c r="O351" s="286">
        <v>0</v>
      </c>
      <c r="P351" s="286">
        <v>1</v>
      </c>
      <c r="Q351" s="286">
        <v>9</v>
      </c>
      <c r="R351" s="286">
        <v>9</v>
      </c>
      <c r="S351" s="286">
        <v>0</v>
      </c>
      <c r="T351" s="286">
        <v>9</v>
      </c>
      <c r="U351" s="286">
        <v>9</v>
      </c>
      <c r="V351" s="286">
        <v>0</v>
      </c>
      <c r="W351" s="286"/>
      <c r="X351" s="286"/>
      <c r="Y351" s="286"/>
      <c r="Z351" s="286"/>
      <c r="AA351" s="286"/>
      <c r="AB351" s="286"/>
      <c r="AC351" s="286"/>
      <c r="AD351" s="286"/>
      <c r="AE351" s="286"/>
      <c r="AF351" s="286"/>
      <c r="AG351" s="286"/>
      <c r="AH351" s="286"/>
      <c r="AI351" s="286"/>
      <c r="AJ351" s="286"/>
      <c r="AK351" s="286"/>
      <c r="AL351" s="286"/>
      <c r="AM351" s="286"/>
      <c r="AN351" s="286"/>
      <c r="AO351" s="286"/>
      <c r="AP351" s="286"/>
      <c r="AQ351" s="286"/>
      <c r="AR351" s="286"/>
      <c r="AS351" s="286"/>
      <c r="AT351" s="286"/>
      <c r="AU351" s="286"/>
      <c r="AV351" s="286"/>
      <c r="AW351" s="286"/>
      <c r="AX351" s="286"/>
      <c r="AY351" s="286"/>
      <c r="AZ351" s="286"/>
      <c r="BA351" s="286"/>
      <c r="BB351" s="286"/>
      <c r="BC351" s="286"/>
      <c r="BD351" s="286"/>
      <c r="BE351" s="286"/>
      <c r="BF351" s="286"/>
      <c r="BG351" s="286"/>
      <c r="BH351" s="286"/>
      <c r="BI351" s="286"/>
      <c r="BJ351" s="286"/>
      <c r="BK351" s="286"/>
      <c r="BL351" s="286"/>
      <c r="BM351" s="286"/>
      <c r="BN351" s="286"/>
      <c r="BO351" s="286"/>
      <c r="BP351" s="286"/>
      <c r="BQ351" s="286"/>
      <c r="BR351" s="286"/>
      <c r="BS351" s="286"/>
      <c r="BT351" s="286"/>
      <c r="BU351" s="286"/>
      <c r="BV351" s="286"/>
      <c r="BW351" s="286"/>
      <c r="BX351" s="286"/>
      <c r="BY351" s="286"/>
      <c r="BZ351" s="286"/>
      <c r="CA351" s="286"/>
      <c r="CB351" s="286"/>
      <c r="CC351" s="286"/>
      <c r="CD351" s="286"/>
      <c r="CE351" s="286"/>
      <c r="CF351" s="286"/>
      <c r="CG351" s="286"/>
      <c r="CH351" s="286"/>
      <c r="CI351" s="286"/>
      <c r="CJ351" s="286"/>
      <c r="CK351" s="286"/>
      <c r="CL351" s="286"/>
      <c r="CM351" s="286"/>
      <c r="CN351" s="286"/>
      <c r="CO351" s="286"/>
      <c r="CP351" s="286"/>
      <c r="CQ351" s="286"/>
      <c r="CR351" s="286"/>
      <c r="CS351" s="286"/>
      <c r="CT351" s="286"/>
      <c r="CU351" s="286"/>
      <c r="CV351" s="286"/>
      <c r="CW351" s="286"/>
      <c r="CX351" s="286"/>
      <c r="CY351" s="286"/>
      <c r="CZ351" s="286"/>
      <c r="DA351" s="286"/>
      <c r="DB351" s="286"/>
      <c r="DC351" s="286"/>
      <c r="DD351" s="286"/>
      <c r="DE351" s="286"/>
      <c r="DF351" s="286"/>
      <c r="DG351" s="286"/>
      <c r="DH351" s="286"/>
      <c r="DI351" s="286"/>
      <c r="DJ351" s="286"/>
      <c r="DK351" s="286"/>
      <c r="DL351" s="286"/>
      <c r="DM351" s="286"/>
      <c r="DN351" s="286"/>
      <c r="DO351" s="286"/>
      <c r="DP351" s="286"/>
      <c r="DQ351" s="286"/>
      <c r="DR351" s="286"/>
      <c r="DS351" s="286"/>
      <c r="DT351" s="286"/>
      <c r="DU351" s="286"/>
      <c r="DV351" s="286"/>
      <c r="DW351" s="286"/>
      <c r="DX351" s="286"/>
      <c r="DY351" s="286"/>
      <c r="DZ351" s="286"/>
      <c r="EA351" s="286"/>
      <c r="EB351" s="286"/>
      <c r="EC351" s="286"/>
      <c r="ED351" s="286"/>
      <c r="EE351" s="286"/>
      <c r="EF351" s="286"/>
      <c r="EG351" s="286"/>
      <c r="EH351" s="286"/>
      <c r="EI351" s="286"/>
      <c r="EJ351" s="286"/>
      <c r="EK351" s="286"/>
      <c r="EL351" s="286"/>
      <c r="EM351" s="286"/>
      <c r="EN351" s="286"/>
      <c r="EO351" s="286"/>
      <c r="EP351" s="286"/>
      <c r="EQ351" s="286"/>
      <c r="ER351" s="286"/>
      <c r="ES351" s="286"/>
      <c r="ET351" s="286"/>
      <c r="EU351" s="286"/>
      <c r="EV351" s="286"/>
      <c r="EW351" s="286"/>
      <c r="EX351" s="286"/>
      <c r="EY351" s="286"/>
      <c r="EZ351" s="286"/>
      <c r="FA351" s="286"/>
      <c r="FB351" s="286"/>
      <c r="FC351" s="286"/>
      <c r="FD351" s="286"/>
      <c r="FE351" s="286"/>
      <c r="FF351" s="286"/>
      <c r="FG351" s="286"/>
      <c r="FH351" s="286"/>
      <c r="FI351" s="286"/>
      <c r="FJ351" s="286"/>
      <c r="FK351" s="286"/>
      <c r="FL351" s="286"/>
      <c r="FM351" s="286"/>
      <c r="FN351" s="286"/>
      <c r="FO351" s="286"/>
      <c r="FP351" s="286"/>
      <c r="FQ351" s="286"/>
      <c r="FR351" s="286"/>
      <c r="FS351" s="286"/>
    </row>
    <row r="352" spans="1:175">
      <c r="A352" s="212" t="s">
        <v>3159</v>
      </c>
      <c r="B352" s="212" t="s">
        <v>3160</v>
      </c>
      <c r="C352" s="212" t="s">
        <v>3170</v>
      </c>
      <c r="D352" s="212" t="s">
        <v>3492</v>
      </c>
      <c r="E352" s="212" t="s">
        <v>3520</v>
      </c>
      <c r="F352" s="278">
        <v>11081</v>
      </c>
      <c r="G352" s="278">
        <v>222588</v>
      </c>
      <c r="H352" s="287">
        <f t="shared" si="5"/>
        <v>4.861448056499003</v>
      </c>
      <c r="I352" s="286">
        <v>534</v>
      </c>
      <c r="J352" s="286">
        <v>10821</v>
      </c>
      <c r="K352" s="286">
        <v>6616</v>
      </c>
      <c r="L352" s="286">
        <v>4195</v>
      </c>
      <c r="M352" s="286">
        <v>10240</v>
      </c>
      <c r="N352" s="286">
        <v>6214</v>
      </c>
      <c r="O352" s="286">
        <v>4020</v>
      </c>
      <c r="P352" s="286">
        <v>534</v>
      </c>
      <c r="Q352" s="286">
        <v>10821</v>
      </c>
      <c r="R352" s="286">
        <v>6616</v>
      </c>
      <c r="S352" s="286">
        <v>4195</v>
      </c>
      <c r="T352" s="286">
        <v>10240</v>
      </c>
      <c r="U352" s="286">
        <v>6214</v>
      </c>
      <c r="V352" s="286">
        <v>4020</v>
      </c>
      <c r="W352" s="286"/>
      <c r="X352" s="286"/>
      <c r="Y352" s="286"/>
      <c r="Z352" s="286"/>
      <c r="AA352" s="286"/>
      <c r="AB352" s="286"/>
      <c r="AC352" s="286"/>
      <c r="AD352" s="286"/>
      <c r="AE352" s="286"/>
      <c r="AF352" s="286"/>
      <c r="AG352" s="286"/>
      <c r="AH352" s="286"/>
      <c r="AI352" s="286"/>
      <c r="AJ352" s="286"/>
      <c r="AK352" s="286"/>
      <c r="AL352" s="286"/>
      <c r="AM352" s="286"/>
      <c r="AN352" s="286"/>
      <c r="AO352" s="286"/>
      <c r="AP352" s="286"/>
      <c r="AQ352" s="286"/>
      <c r="AR352" s="286"/>
      <c r="AS352" s="286"/>
      <c r="AT352" s="286"/>
      <c r="AU352" s="286"/>
      <c r="AV352" s="286"/>
      <c r="AW352" s="286"/>
      <c r="AX352" s="286"/>
      <c r="AY352" s="286"/>
      <c r="AZ352" s="286"/>
      <c r="BA352" s="286"/>
      <c r="BB352" s="286"/>
      <c r="BC352" s="286"/>
      <c r="BD352" s="286"/>
      <c r="BE352" s="286"/>
      <c r="BF352" s="286"/>
      <c r="BG352" s="286"/>
      <c r="BH352" s="286"/>
      <c r="BI352" s="286"/>
      <c r="BJ352" s="286"/>
      <c r="BK352" s="286"/>
      <c r="BL352" s="286"/>
      <c r="BM352" s="286"/>
      <c r="BN352" s="286"/>
      <c r="BO352" s="286"/>
      <c r="BP352" s="286"/>
      <c r="BQ352" s="286"/>
      <c r="BR352" s="286"/>
      <c r="BS352" s="286"/>
      <c r="BT352" s="286"/>
      <c r="BU352" s="286"/>
      <c r="BV352" s="286"/>
      <c r="BW352" s="286"/>
      <c r="BX352" s="286"/>
      <c r="BY352" s="286"/>
      <c r="BZ352" s="286"/>
      <c r="CA352" s="286"/>
      <c r="CB352" s="286"/>
      <c r="CC352" s="286"/>
      <c r="CD352" s="286"/>
      <c r="CE352" s="286"/>
      <c r="CF352" s="286"/>
      <c r="CG352" s="286"/>
      <c r="CH352" s="286"/>
      <c r="CI352" s="286"/>
      <c r="CJ352" s="286"/>
      <c r="CK352" s="286"/>
      <c r="CL352" s="286"/>
      <c r="CM352" s="286"/>
      <c r="CN352" s="286"/>
      <c r="CO352" s="286"/>
      <c r="CP352" s="286"/>
      <c r="CQ352" s="286"/>
      <c r="CR352" s="286"/>
      <c r="CS352" s="286"/>
      <c r="CT352" s="286"/>
      <c r="CU352" s="286"/>
      <c r="CV352" s="286"/>
      <c r="CW352" s="286"/>
      <c r="CX352" s="286"/>
      <c r="CY352" s="286"/>
      <c r="CZ352" s="286"/>
      <c r="DA352" s="286"/>
      <c r="DB352" s="286"/>
      <c r="DC352" s="286"/>
      <c r="DD352" s="286"/>
      <c r="DE352" s="286"/>
      <c r="DF352" s="286"/>
      <c r="DG352" s="286"/>
      <c r="DH352" s="286"/>
      <c r="DI352" s="286"/>
      <c r="DJ352" s="286"/>
      <c r="DK352" s="286"/>
      <c r="DL352" s="286"/>
      <c r="DM352" s="286"/>
      <c r="DN352" s="286"/>
      <c r="DO352" s="286"/>
      <c r="DP352" s="286"/>
      <c r="DQ352" s="286"/>
      <c r="DR352" s="286"/>
      <c r="DS352" s="286"/>
      <c r="DT352" s="286"/>
      <c r="DU352" s="286"/>
      <c r="DV352" s="286"/>
      <c r="DW352" s="286"/>
      <c r="DX352" s="286"/>
      <c r="DY352" s="286"/>
      <c r="DZ352" s="286"/>
      <c r="EA352" s="286"/>
      <c r="EB352" s="286"/>
      <c r="EC352" s="286"/>
      <c r="ED352" s="286"/>
      <c r="EE352" s="286"/>
      <c r="EF352" s="286"/>
      <c r="EG352" s="286"/>
      <c r="EH352" s="286"/>
      <c r="EI352" s="286"/>
      <c r="EJ352" s="286"/>
      <c r="EK352" s="286"/>
      <c r="EL352" s="286"/>
      <c r="EM352" s="286"/>
      <c r="EN352" s="286"/>
      <c r="EO352" s="286"/>
      <c r="EP352" s="286"/>
      <c r="EQ352" s="286"/>
      <c r="ER352" s="286"/>
      <c r="ES352" s="286"/>
      <c r="ET352" s="286"/>
      <c r="EU352" s="286"/>
      <c r="EV352" s="286"/>
      <c r="EW352" s="286"/>
      <c r="EX352" s="286"/>
      <c r="EY352" s="286"/>
      <c r="EZ352" s="286"/>
      <c r="FA352" s="286"/>
      <c r="FB352" s="286"/>
      <c r="FC352" s="286"/>
      <c r="FD352" s="286"/>
      <c r="FE352" s="286"/>
      <c r="FF352" s="286"/>
      <c r="FG352" s="286"/>
      <c r="FH352" s="286"/>
      <c r="FI352" s="286"/>
      <c r="FJ352" s="286"/>
      <c r="FK352" s="286"/>
      <c r="FL352" s="286"/>
      <c r="FM352" s="286"/>
      <c r="FN352" s="286"/>
      <c r="FO352" s="286"/>
      <c r="FP352" s="286"/>
      <c r="FQ352" s="286"/>
      <c r="FR352" s="286"/>
      <c r="FS352" s="286"/>
    </row>
    <row r="353" spans="1:175">
      <c r="A353" s="212" t="s">
        <v>3159</v>
      </c>
      <c r="B353" s="212" t="s">
        <v>3160</v>
      </c>
      <c r="C353" s="212" t="s">
        <v>3172</v>
      </c>
      <c r="D353" s="212" t="s">
        <v>3492</v>
      </c>
      <c r="E353" s="212" t="s">
        <v>3521</v>
      </c>
      <c r="F353" s="278">
        <v>208</v>
      </c>
      <c r="G353" s="278">
        <v>4665</v>
      </c>
      <c r="H353" s="287">
        <f t="shared" si="5"/>
        <v>4.244372990353698</v>
      </c>
      <c r="I353" s="286">
        <v>9</v>
      </c>
      <c r="J353" s="286">
        <v>198</v>
      </c>
      <c r="K353" s="286">
        <v>118</v>
      </c>
      <c r="L353" s="286">
        <v>80</v>
      </c>
      <c r="M353" s="286">
        <v>170</v>
      </c>
      <c r="N353" s="286">
        <v>94</v>
      </c>
      <c r="O353" s="286">
        <v>76</v>
      </c>
      <c r="P353" s="286">
        <v>9</v>
      </c>
      <c r="Q353" s="286">
        <v>198</v>
      </c>
      <c r="R353" s="286">
        <v>118</v>
      </c>
      <c r="S353" s="286">
        <v>80</v>
      </c>
      <c r="T353" s="286">
        <v>170</v>
      </c>
      <c r="U353" s="286">
        <v>94</v>
      </c>
      <c r="V353" s="286">
        <v>76</v>
      </c>
      <c r="W353" s="286"/>
      <c r="X353" s="286"/>
      <c r="Y353" s="286"/>
      <c r="Z353" s="286"/>
      <c r="AA353" s="286"/>
      <c r="AB353" s="286"/>
      <c r="AC353" s="286"/>
      <c r="AD353" s="286"/>
      <c r="AE353" s="286"/>
      <c r="AF353" s="286"/>
      <c r="AG353" s="286"/>
      <c r="AH353" s="286"/>
      <c r="AI353" s="286"/>
      <c r="AJ353" s="286"/>
      <c r="AK353" s="286"/>
      <c r="AL353" s="286"/>
      <c r="AM353" s="286"/>
      <c r="AN353" s="286"/>
      <c r="AO353" s="286"/>
      <c r="AP353" s="286"/>
      <c r="AQ353" s="286"/>
      <c r="AR353" s="286"/>
      <c r="AS353" s="286"/>
      <c r="AT353" s="286"/>
      <c r="AU353" s="286"/>
      <c r="AV353" s="286"/>
      <c r="AW353" s="286"/>
      <c r="AX353" s="286"/>
      <c r="AY353" s="286"/>
      <c r="AZ353" s="286"/>
      <c r="BA353" s="286"/>
      <c r="BB353" s="286"/>
      <c r="BC353" s="286"/>
      <c r="BD353" s="286"/>
      <c r="BE353" s="286"/>
      <c r="BF353" s="286"/>
      <c r="BG353" s="286"/>
      <c r="BH353" s="286"/>
      <c r="BI353" s="286"/>
      <c r="BJ353" s="286"/>
      <c r="BK353" s="286"/>
      <c r="BL353" s="286"/>
      <c r="BM353" s="286"/>
      <c r="BN353" s="286"/>
      <c r="BO353" s="286"/>
      <c r="BP353" s="286"/>
      <c r="BQ353" s="286"/>
      <c r="BR353" s="286"/>
      <c r="BS353" s="286"/>
      <c r="BT353" s="286"/>
      <c r="BU353" s="286"/>
      <c r="BV353" s="286"/>
      <c r="BW353" s="286"/>
      <c r="BX353" s="286"/>
      <c r="BY353" s="286"/>
      <c r="BZ353" s="286"/>
      <c r="CA353" s="286"/>
      <c r="CB353" s="286"/>
      <c r="CC353" s="286"/>
      <c r="CD353" s="286"/>
      <c r="CE353" s="286"/>
      <c r="CF353" s="286"/>
      <c r="CG353" s="286"/>
      <c r="CH353" s="286"/>
      <c r="CI353" s="286"/>
      <c r="CJ353" s="286"/>
      <c r="CK353" s="286"/>
      <c r="CL353" s="286"/>
      <c r="CM353" s="286"/>
      <c r="CN353" s="286"/>
      <c r="CO353" s="286"/>
      <c r="CP353" s="286"/>
      <c r="CQ353" s="286"/>
      <c r="CR353" s="286"/>
      <c r="CS353" s="286"/>
      <c r="CT353" s="286"/>
      <c r="CU353" s="286"/>
      <c r="CV353" s="286"/>
      <c r="CW353" s="286"/>
      <c r="CX353" s="286"/>
      <c r="CY353" s="286"/>
      <c r="CZ353" s="286"/>
      <c r="DA353" s="286"/>
      <c r="DB353" s="286"/>
      <c r="DC353" s="286"/>
      <c r="DD353" s="286"/>
      <c r="DE353" s="286"/>
      <c r="DF353" s="286"/>
      <c r="DG353" s="286"/>
      <c r="DH353" s="286"/>
      <c r="DI353" s="286"/>
      <c r="DJ353" s="286"/>
      <c r="DK353" s="286"/>
      <c r="DL353" s="286"/>
      <c r="DM353" s="286"/>
      <c r="DN353" s="286"/>
      <c r="DO353" s="286"/>
      <c r="DP353" s="286"/>
      <c r="DQ353" s="286"/>
      <c r="DR353" s="286"/>
      <c r="DS353" s="286"/>
      <c r="DT353" s="286"/>
      <c r="DU353" s="286"/>
      <c r="DV353" s="286"/>
      <c r="DW353" s="286"/>
      <c r="DX353" s="286"/>
      <c r="DY353" s="286"/>
      <c r="DZ353" s="286"/>
      <c r="EA353" s="286"/>
      <c r="EB353" s="286"/>
      <c r="EC353" s="286"/>
      <c r="ED353" s="286"/>
      <c r="EE353" s="286"/>
      <c r="EF353" s="286"/>
      <c r="EG353" s="286"/>
      <c r="EH353" s="286"/>
      <c r="EI353" s="286"/>
      <c r="EJ353" s="286"/>
      <c r="EK353" s="286"/>
      <c r="EL353" s="286"/>
      <c r="EM353" s="286"/>
      <c r="EN353" s="286"/>
      <c r="EO353" s="286"/>
      <c r="EP353" s="286"/>
      <c r="EQ353" s="286"/>
      <c r="ER353" s="286"/>
      <c r="ES353" s="286"/>
      <c r="ET353" s="286"/>
      <c r="EU353" s="286"/>
      <c r="EV353" s="286"/>
      <c r="EW353" s="286"/>
      <c r="EX353" s="286"/>
      <c r="EY353" s="286"/>
      <c r="EZ353" s="286"/>
      <c r="FA353" s="286"/>
      <c r="FB353" s="286"/>
      <c r="FC353" s="286"/>
      <c r="FD353" s="286"/>
      <c r="FE353" s="286"/>
      <c r="FF353" s="286"/>
      <c r="FG353" s="286"/>
      <c r="FH353" s="286"/>
      <c r="FI353" s="286"/>
      <c r="FJ353" s="286"/>
      <c r="FK353" s="286"/>
      <c r="FL353" s="286"/>
      <c r="FM353" s="286"/>
      <c r="FN353" s="286"/>
      <c r="FO353" s="286"/>
      <c r="FP353" s="286"/>
      <c r="FQ353" s="286"/>
      <c r="FR353" s="286"/>
      <c r="FS353" s="286"/>
    </row>
    <row r="354" spans="1:175">
      <c r="A354" s="212" t="s">
        <v>3159</v>
      </c>
      <c r="B354" s="212" t="s">
        <v>3160</v>
      </c>
      <c r="C354" s="212" t="s">
        <v>3172</v>
      </c>
      <c r="D354" s="212" t="s">
        <v>3492</v>
      </c>
      <c r="E354" s="212" t="s">
        <v>3522</v>
      </c>
      <c r="F354" s="278">
        <v>9373</v>
      </c>
      <c r="G354" s="278">
        <v>189355</v>
      </c>
      <c r="H354" s="287">
        <f t="shared" si="5"/>
        <v>4.8527897335692218</v>
      </c>
      <c r="I354" s="286">
        <v>453</v>
      </c>
      <c r="J354" s="286">
        <v>9189</v>
      </c>
      <c r="K354" s="286">
        <v>5550</v>
      </c>
      <c r="L354" s="286">
        <v>3629</v>
      </c>
      <c r="M354" s="286">
        <v>8693</v>
      </c>
      <c r="N354" s="286">
        <v>5221</v>
      </c>
      <c r="O354" s="286">
        <v>3466</v>
      </c>
      <c r="P354" s="286">
        <v>453</v>
      </c>
      <c r="Q354" s="286">
        <v>9189</v>
      </c>
      <c r="R354" s="286">
        <v>5550</v>
      </c>
      <c r="S354" s="286">
        <v>3629</v>
      </c>
      <c r="T354" s="286">
        <v>8693</v>
      </c>
      <c r="U354" s="286">
        <v>5221</v>
      </c>
      <c r="V354" s="286">
        <v>3466</v>
      </c>
      <c r="W354" s="286"/>
      <c r="X354" s="286"/>
      <c r="Y354" s="286"/>
      <c r="Z354" s="286"/>
      <c r="AA354" s="286"/>
      <c r="AB354" s="286"/>
      <c r="AC354" s="286"/>
      <c r="AD354" s="286"/>
      <c r="AE354" s="286"/>
      <c r="AF354" s="286"/>
      <c r="AG354" s="286"/>
      <c r="AH354" s="286"/>
      <c r="AI354" s="286"/>
      <c r="AJ354" s="286"/>
      <c r="AK354" s="286"/>
      <c r="AL354" s="286"/>
      <c r="AM354" s="286"/>
      <c r="AN354" s="286"/>
      <c r="AO354" s="286"/>
      <c r="AP354" s="286"/>
      <c r="AQ354" s="286"/>
      <c r="AR354" s="286"/>
      <c r="AS354" s="286"/>
      <c r="AT354" s="286"/>
      <c r="AU354" s="286"/>
      <c r="AV354" s="286"/>
      <c r="AW354" s="286"/>
      <c r="AX354" s="286"/>
      <c r="AY354" s="286"/>
      <c r="AZ354" s="286"/>
      <c r="BA354" s="286"/>
      <c r="BB354" s="286"/>
      <c r="BC354" s="286"/>
      <c r="BD354" s="286"/>
      <c r="BE354" s="286"/>
      <c r="BF354" s="286"/>
      <c r="BG354" s="286"/>
      <c r="BH354" s="286"/>
      <c r="BI354" s="286"/>
      <c r="BJ354" s="286"/>
      <c r="BK354" s="286"/>
      <c r="BL354" s="286"/>
      <c r="BM354" s="286"/>
      <c r="BN354" s="286"/>
      <c r="BO354" s="286"/>
      <c r="BP354" s="286"/>
      <c r="BQ354" s="286"/>
      <c r="BR354" s="286"/>
      <c r="BS354" s="286"/>
      <c r="BT354" s="286"/>
      <c r="BU354" s="286"/>
      <c r="BV354" s="286"/>
      <c r="BW354" s="286"/>
      <c r="BX354" s="286"/>
      <c r="BY354" s="286"/>
      <c r="BZ354" s="286"/>
      <c r="CA354" s="286"/>
      <c r="CB354" s="286"/>
      <c r="CC354" s="286"/>
      <c r="CD354" s="286"/>
      <c r="CE354" s="286"/>
      <c r="CF354" s="286"/>
      <c r="CG354" s="286"/>
      <c r="CH354" s="286"/>
      <c r="CI354" s="286"/>
      <c r="CJ354" s="286"/>
      <c r="CK354" s="286"/>
      <c r="CL354" s="286"/>
      <c r="CM354" s="286"/>
      <c r="CN354" s="286"/>
      <c r="CO354" s="286"/>
      <c r="CP354" s="286"/>
      <c r="CQ354" s="286"/>
      <c r="CR354" s="286"/>
      <c r="CS354" s="286"/>
      <c r="CT354" s="286"/>
      <c r="CU354" s="286"/>
      <c r="CV354" s="286"/>
      <c r="CW354" s="286"/>
      <c r="CX354" s="286"/>
      <c r="CY354" s="286"/>
      <c r="CZ354" s="286"/>
      <c r="DA354" s="286"/>
      <c r="DB354" s="286"/>
      <c r="DC354" s="286"/>
      <c r="DD354" s="286"/>
      <c r="DE354" s="286"/>
      <c r="DF354" s="286"/>
      <c r="DG354" s="286"/>
      <c r="DH354" s="286"/>
      <c r="DI354" s="286"/>
      <c r="DJ354" s="286"/>
      <c r="DK354" s="286"/>
      <c r="DL354" s="286"/>
      <c r="DM354" s="286"/>
      <c r="DN354" s="286"/>
      <c r="DO354" s="286"/>
      <c r="DP354" s="286"/>
      <c r="DQ354" s="286"/>
      <c r="DR354" s="286"/>
      <c r="DS354" s="286"/>
      <c r="DT354" s="286"/>
      <c r="DU354" s="286"/>
      <c r="DV354" s="286"/>
      <c r="DW354" s="286"/>
      <c r="DX354" s="286"/>
      <c r="DY354" s="286"/>
      <c r="DZ354" s="286"/>
      <c r="EA354" s="286"/>
      <c r="EB354" s="286"/>
      <c r="EC354" s="286"/>
      <c r="ED354" s="286"/>
      <c r="EE354" s="286"/>
      <c r="EF354" s="286"/>
      <c r="EG354" s="286"/>
      <c r="EH354" s="286"/>
      <c r="EI354" s="286"/>
      <c r="EJ354" s="286"/>
      <c r="EK354" s="286"/>
      <c r="EL354" s="286"/>
      <c r="EM354" s="286"/>
      <c r="EN354" s="286"/>
      <c r="EO354" s="286"/>
      <c r="EP354" s="286"/>
      <c r="EQ354" s="286"/>
      <c r="ER354" s="286"/>
      <c r="ES354" s="286"/>
      <c r="ET354" s="286"/>
      <c r="EU354" s="286"/>
      <c r="EV354" s="286"/>
      <c r="EW354" s="286"/>
      <c r="EX354" s="286"/>
      <c r="EY354" s="286"/>
      <c r="EZ354" s="286"/>
      <c r="FA354" s="286"/>
      <c r="FB354" s="286"/>
      <c r="FC354" s="286"/>
      <c r="FD354" s="286"/>
      <c r="FE354" s="286"/>
      <c r="FF354" s="286"/>
      <c r="FG354" s="286"/>
      <c r="FH354" s="286"/>
      <c r="FI354" s="286"/>
      <c r="FJ354" s="286"/>
      <c r="FK354" s="286"/>
      <c r="FL354" s="286"/>
      <c r="FM354" s="286"/>
      <c r="FN354" s="286"/>
      <c r="FO354" s="286"/>
      <c r="FP354" s="286"/>
      <c r="FQ354" s="286"/>
      <c r="FR354" s="286"/>
      <c r="FS354" s="286"/>
    </row>
    <row r="355" spans="1:175">
      <c r="A355" s="212" t="s">
        <v>3159</v>
      </c>
      <c r="B355" s="212" t="s">
        <v>3160</v>
      </c>
      <c r="C355" s="212" t="s">
        <v>3172</v>
      </c>
      <c r="D355" s="212" t="s">
        <v>3492</v>
      </c>
      <c r="E355" s="212" t="s">
        <v>3523</v>
      </c>
      <c r="F355" s="278">
        <v>1500</v>
      </c>
      <c r="G355" s="278">
        <v>28568</v>
      </c>
      <c r="H355" s="287">
        <f t="shared" si="5"/>
        <v>5.0196023522822735</v>
      </c>
      <c r="I355" s="286">
        <v>72</v>
      </c>
      <c r="J355" s="286">
        <v>1434</v>
      </c>
      <c r="K355" s="286">
        <v>948</v>
      </c>
      <c r="L355" s="286">
        <v>486</v>
      </c>
      <c r="M355" s="286">
        <v>1377</v>
      </c>
      <c r="N355" s="286">
        <v>899</v>
      </c>
      <c r="O355" s="286">
        <v>478</v>
      </c>
      <c r="P355" s="286">
        <v>72</v>
      </c>
      <c r="Q355" s="286">
        <v>1434</v>
      </c>
      <c r="R355" s="286">
        <v>948</v>
      </c>
      <c r="S355" s="286">
        <v>486</v>
      </c>
      <c r="T355" s="286">
        <v>1377</v>
      </c>
      <c r="U355" s="286">
        <v>899</v>
      </c>
      <c r="V355" s="286">
        <v>478</v>
      </c>
      <c r="W355" s="286"/>
      <c r="X355" s="286"/>
      <c r="Y355" s="286"/>
      <c r="Z355" s="286"/>
      <c r="AA355" s="286"/>
      <c r="AB355" s="286"/>
      <c r="AC355" s="286"/>
      <c r="AD355" s="286"/>
      <c r="AE355" s="286"/>
      <c r="AF355" s="286"/>
      <c r="AG355" s="286"/>
      <c r="AH355" s="286"/>
      <c r="AI355" s="286"/>
      <c r="AJ355" s="286"/>
      <c r="AK355" s="286"/>
      <c r="AL355" s="286"/>
      <c r="AM355" s="286"/>
      <c r="AN355" s="286"/>
      <c r="AO355" s="286"/>
      <c r="AP355" s="286"/>
      <c r="AQ355" s="286"/>
      <c r="AR355" s="286"/>
      <c r="AS355" s="286"/>
      <c r="AT355" s="286"/>
      <c r="AU355" s="286"/>
      <c r="AV355" s="286"/>
      <c r="AW355" s="286"/>
      <c r="AX355" s="286"/>
      <c r="AY355" s="286"/>
      <c r="AZ355" s="286"/>
      <c r="BA355" s="286"/>
      <c r="BB355" s="286"/>
      <c r="BC355" s="286"/>
      <c r="BD355" s="286"/>
      <c r="BE355" s="286"/>
      <c r="BF355" s="286"/>
      <c r="BG355" s="286"/>
      <c r="BH355" s="286"/>
      <c r="BI355" s="286"/>
      <c r="BJ355" s="286"/>
      <c r="BK355" s="286"/>
      <c r="BL355" s="286"/>
      <c r="BM355" s="286"/>
      <c r="BN355" s="286"/>
      <c r="BO355" s="286"/>
      <c r="BP355" s="286"/>
      <c r="BQ355" s="286"/>
      <c r="BR355" s="286"/>
      <c r="BS355" s="286"/>
      <c r="BT355" s="286"/>
      <c r="BU355" s="286"/>
      <c r="BV355" s="286"/>
      <c r="BW355" s="286"/>
      <c r="BX355" s="286"/>
      <c r="BY355" s="286"/>
      <c r="BZ355" s="286"/>
      <c r="CA355" s="286"/>
      <c r="CB355" s="286"/>
      <c r="CC355" s="286"/>
      <c r="CD355" s="286"/>
      <c r="CE355" s="286"/>
      <c r="CF355" s="286"/>
      <c r="CG355" s="286"/>
      <c r="CH355" s="286"/>
      <c r="CI355" s="286"/>
      <c r="CJ355" s="286"/>
      <c r="CK355" s="286"/>
      <c r="CL355" s="286"/>
      <c r="CM355" s="286"/>
      <c r="CN355" s="286"/>
      <c r="CO355" s="286"/>
      <c r="CP355" s="286"/>
      <c r="CQ355" s="286"/>
      <c r="CR355" s="286"/>
      <c r="CS355" s="286"/>
      <c r="CT355" s="286"/>
      <c r="CU355" s="286"/>
      <c r="CV355" s="286"/>
      <c r="CW355" s="286"/>
      <c r="CX355" s="286"/>
      <c r="CY355" s="286"/>
      <c r="CZ355" s="286"/>
      <c r="DA355" s="286"/>
      <c r="DB355" s="286"/>
      <c r="DC355" s="286"/>
      <c r="DD355" s="286"/>
      <c r="DE355" s="286"/>
      <c r="DF355" s="286"/>
      <c r="DG355" s="286"/>
      <c r="DH355" s="286"/>
      <c r="DI355" s="286"/>
      <c r="DJ355" s="286"/>
      <c r="DK355" s="286"/>
      <c r="DL355" s="286"/>
      <c r="DM355" s="286"/>
      <c r="DN355" s="286"/>
      <c r="DO355" s="286"/>
      <c r="DP355" s="286"/>
      <c r="DQ355" s="286"/>
      <c r="DR355" s="286"/>
      <c r="DS355" s="286"/>
      <c r="DT355" s="286"/>
      <c r="DU355" s="286"/>
      <c r="DV355" s="286"/>
      <c r="DW355" s="286"/>
      <c r="DX355" s="286"/>
      <c r="DY355" s="286"/>
      <c r="DZ355" s="286"/>
      <c r="EA355" s="286"/>
      <c r="EB355" s="286"/>
      <c r="EC355" s="286"/>
      <c r="ED355" s="286"/>
      <c r="EE355" s="286"/>
      <c r="EF355" s="286"/>
      <c r="EG355" s="286"/>
      <c r="EH355" s="286"/>
      <c r="EI355" s="286"/>
      <c r="EJ355" s="286"/>
      <c r="EK355" s="286"/>
      <c r="EL355" s="286"/>
      <c r="EM355" s="286"/>
      <c r="EN355" s="286"/>
      <c r="EO355" s="286"/>
      <c r="EP355" s="286"/>
      <c r="EQ355" s="286"/>
      <c r="ER355" s="286"/>
      <c r="ES355" s="286"/>
      <c r="ET355" s="286"/>
      <c r="EU355" s="286"/>
      <c r="EV355" s="286"/>
      <c r="EW355" s="286"/>
      <c r="EX355" s="286"/>
      <c r="EY355" s="286"/>
      <c r="EZ355" s="286"/>
      <c r="FA355" s="286"/>
      <c r="FB355" s="286"/>
      <c r="FC355" s="286"/>
      <c r="FD355" s="286"/>
      <c r="FE355" s="286"/>
      <c r="FF355" s="286"/>
      <c r="FG355" s="286"/>
      <c r="FH355" s="286"/>
      <c r="FI355" s="286"/>
      <c r="FJ355" s="286"/>
      <c r="FK355" s="286"/>
      <c r="FL355" s="286"/>
      <c r="FM355" s="286"/>
      <c r="FN355" s="286"/>
      <c r="FO355" s="286"/>
      <c r="FP355" s="286"/>
      <c r="FQ355" s="286"/>
      <c r="FR355" s="286"/>
      <c r="FS355" s="286"/>
    </row>
    <row r="356" spans="1:175">
      <c r="A356" s="212" t="s">
        <v>3159</v>
      </c>
      <c r="B356" s="212" t="s">
        <v>3160</v>
      </c>
      <c r="C356" s="212" t="s">
        <v>3170</v>
      </c>
      <c r="D356" s="212" t="s">
        <v>3492</v>
      </c>
      <c r="E356" s="212" t="s">
        <v>3524</v>
      </c>
      <c r="F356" s="278">
        <v>18508</v>
      </c>
      <c r="G356" s="278">
        <v>386930</v>
      </c>
      <c r="H356" s="287">
        <f t="shared" si="5"/>
        <v>5.3459282040679197</v>
      </c>
      <c r="I356" s="286">
        <v>1050</v>
      </c>
      <c r="J356" s="286">
        <v>20685</v>
      </c>
      <c r="K356" s="286">
        <v>16437</v>
      </c>
      <c r="L356" s="286">
        <v>4238</v>
      </c>
      <c r="M356" s="286">
        <v>19500</v>
      </c>
      <c r="N356" s="286">
        <v>15448</v>
      </c>
      <c r="O356" s="286">
        <v>4042</v>
      </c>
      <c r="P356" s="286">
        <v>1040</v>
      </c>
      <c r="Q356" s="286">
        <v>20088</v>
      </c>
      <c r="R356" s="286">
        <v>15973</v>
      </c>
      <c r="S356" s="286">
        <v>4105</v>
      </c>
      <c r="T356" s="286">
        <v>18903</v>
      </c>
      <c r="U356" s="286">
        <v>14984</v>
      </c>
      <c r="V356" s="286">
        <v>3909</v>
      </c>
      <c r="W356" s="286"/>
      <c r="X356" s="286"/>
      <c r="Y356" s="286"/>
      <c r="Z356" s="286"/>
      <c r="AA356" s="286"/>
      <c r="AB356" s="286"/>
      <c r="AC356" s="286"/>
      <c r="AD356" s="286"/>
      <c r="AE356" s="286"/>
      <c r="AF356" s="286"/>
      <c r="AG356" s="286"/>
      <c r="AH356" s="286"/>
      <c r="AI356" s="286"/>
      <c r="AJ356" s="286"/>
      <c r="AK356" s="286"/>
      <c r="AL356" s="286"/>
      <c r="AM356" s="286"/>
      <c r="AN356" s="286"/>
      <c r="AO356" s="286"/>
      <c r="AP356" s="286"/>
      <c r="AQ356" s="286"/>
      <c r="AR356" s="286"/>
      <c r="AS356" s="286"/>
      <c r="AT356" s="286"/>
      <c r="AU356" s="286"/>
      <c r="AV356" s="286"/>
      <c r="AW356" s="286"/>
      <c r="AX356" s="286"/>
      <c r="AY356" s="286"/>
      <c r="AZ356" s="286"/>
      <c r="BA356" s="286"/>
      <c r="BB356" s="286"/>
      <c r="BC356" s="286"/>
      <c r="BD356" s="286"/>
      <c r="BE356" s="286"/>
      <c r="BF356" s="286"/>
      <c r="BG356" s="286"/>
      <c r="BH356" s="286"/>
      <c r="BI356" s="286"/>
      <c r="BJ356" s="286"/>
      <c r="BK356" s="286"/>
      <c r="BL356" s="286"/>
      <c r="BM356" s="286"/>
      <c r="BN356" s="286"/>
      <c r="BO356" s="286"/>
      <c r="BP356" s="286"/>
      <c r="BQ356" s="286"/>
      <c r="BR356" s="286"/>
      <c r="BS356" s="286"/>
      <c r="BT356" s="286"/>
      <c r="BU356" s="286"/>
      <c r="BV356" s="286"/>
      <c r="BW356" s="286"/>
      <c r="BX356" s="286"/>
      <c r="BY356" s="286"/>
      <c r="BZ356" s="286"/>
      <c r="CA356" s="286"/>
      <c r="CB356" s="286"/>
      <c r="CC356" s="286"/>
      <c r="CD356" s="286"/>
      <c r="CE356" s="286"/>
      <c r="CF356" s="286"/>
      <c r="CG356" s="286"/>
      <c r="CH356" s="286"/>
      <c r="CI356" s="286"/>
      <c r="CJ356" s="286"/>
      <c r="CK356" s="286"/>
      <c r="CL356" s="286"/>
      <c r="CM356" s="286"/>
      <c r="CN356" s="286"/>
      <c r="CO356" s="286"/>
      <c r="CP356" s="286"/>
      <c r="CQ356" s="286"/>
      <c r="CR356" s="286"/>
      <c r="CS356" s="286"/>
      <c r="CT356" s="286"/>
      <c r="CU356" s="286"/>
      <c r="CV356" s="286"/>
      <c r="CW356" s="286"/>
      <c r="CX356" s="286"/>
      <c r="CY356" s="286"/>
      <c r="CZ356" s="286"/>
      <c r="DA356" s="286"/>
      <c r="DB356" s="286"/>
      <c r="DC356" s="286"/>
      <c r="DD356" s="286"/>
      <c r="DE356" s="286"/>
      <c r="DF356" s="286"/>
      <c r="DG356" s="286"/>
      <c r="DH356" s="286"/>
      <c r="DI356" s="286"/>
      <c r="DJ356" s="286"/>
      <c r="DK356" s="286"/>
      <c r="DL356" s="286"/>
      <c r="DM356" s="286"/>
      <c r="DN356" s="286"/>
      <c r="DO356" s="286"/>
      <c r="DP356" s="286"/>
      <c r="DQ356" s="286"/>
      <c r="DR356" s="286"/>
      <c r="DS356" s="286"/>
      <c r="DT356" s="286"/>
      <c r="DU356" s="286"/>
      <c r="DV356" s="286"/>
      <c r="DW356" s="286"/>
      <c r="DX356" s="286"/>
      <c r="DY356" s="286"/>
      <c r="DZ356" s="286"/>
      <c r="EA356" s="286"/>
      <c r="EB356" s="286"/>
      <c r="EC356" s="286"/>
      <c r="ED356" s="286"/>
      <c r="EE356" s="286"/>
      <c r="EF356" s="286"/>
      <c r="EG356" s="286"/>
      <c r="EH356" s="286"/>
      <c r="EI356" s="286"/>
      <c r="EJ356" s="286"/>
      <c r="EK356" s="286"/>
      <c r="EL356" s="286"/>
      <c r="EM356" s="286"/>
      <c r="EN356" s="286"/>
      <c r="EO356" s="286"/>
      <c r="EP356" s="286"/>
      <c r="EQ356" s="286"/>
      <c r="ER356" s="286"/>
      <c r="ES356" s="286"/>
      <c r="ET356" s="286"/>
      <c r="EU356" s="286"/>
      <c r="EV356" s="286"/>
      <c r="EW356" s="286"/>
      <c r="EX356" s="286"/>
      <c r="EY356" s="286"/>
      <c r="EZ356" s="286"/>
      <c r="FA356" s="286"/>
      <c r="FB356" s="286"/>
      <c r="FC356" s="286"/>
      <c r="FD356" s="286"/>
      <c r="FE356" s="286"/>
      <c r="FF356" s="286"/>
      <c r="FG356" s="286"/>
      <c r="FH356" s="286"/>
      <c r="FI356" s="286"/>
      <c r="FJ356" s="286"/>
      <c r="FK356" s="286"/>
      <c r="FL356" s="286"/>
      <c r="FM356" s="286"/>
      <c r="FN356" s="286"/>
      <c r="FO356" s="286"/>
      <c r="FP356" s="286"/>
      <c r="FQ356" s="286"/>
      <c r="FR356" s="286"/>
      <c r="FS356" s="286"/>
    </row>
    <row r="357" spans="1:175">
      <c r="A357" s="212" t="s">
        <v>3159</v>
      </c>
      <c r="B357" s="212" t="s">
        <v>3160</v>
      </c>
      <c r="C357" s="212" t="s">
        <v>3172</v>
      </c>
      <c r="D357" s="212" t="s">
        <v>3492</v>
      </c>
      <c r="E357" s="212" t="s">
        <v>3525</v>
      </c>
      <c r="F357" s="278">
        <v>363</v>
      </c>
      <c r="G357" s="278">
        <v>5928</v>
      </c>
      <c r="H357" s="287">
        <f t="shared" si="5"/>
        <v>7.2199730094466936</v>
      </c>
      <c r="I357" s="286">
        <v>21</v>
      </c>
      <c r="J357" s="286">
        <v>428</v>
      </c>
      <c r="K357" s="286">
        <v>331</v>
      </c>
      <c r="L357" s="286">
        <v>97</v>
      </c>
      <c r="M357" s="286">
        <v>378</v>
      </c>
      <c r="N357" s="286">
        <v>287</v>
      </c>
      <c r="O357" s="286">
        <v>91</v>
      </c>
      <c r="P357" s="286">
        <v>21</v>
      </c>
      <c r="Q357" s="286">
        <v>428</v>
      </c>
      <c r="R357" s="286">
        <v>331</v>
      </c>
      <c r="S357" s="286">
        <v>97</v>
      </c>
      <c r="T357" s="286">
        <v>378</v>
      </c>
      <c r="U357" s="286">
        <v>287</v>
      </c>
      <c r="V357" s="286">
        <v>91</v>
      </c>
      <c r="W357" s="286"/>
      <c r="X357" s="286"/>
      <c r="Y357" s="286"/>
      <c r="Z357" s="286"/>
      <c r="AA357" s="286"/>
      <c r="AB357" s="286"/>
      <c r="AC357" s="286"/>
      <c r="AD357" s="286"/>
      <c r="AE357" s="286"/>
      <c r="AF357" s="286"/>
      <c r="AG357" s="286"/>
      <c r="AH357" s="286"/>
      <c r="AI357" s="286"/>
      <c r="AJ357" s="286"/>
      <c r="AK357" s="286"/>
      <c r="AL357" s="286"/>
      <c r="AM357" s="286"/>
      <c r="AN357" s="286"/>
      <c r="AO357" s="286"/>
      <c r="AP357" s="286"/>
      <c r="AQ357" s="286"/>
      <c r="AR357" s="286"/>
      <c r="AS357" s="286"/>
      <c r="AT357" s="286"/>
      <c r="AU357" s="286"/>
      <c r="AV357" s="286"/>
      <c r="AW357" s="286"/>
      <c r="AX357" s="286"/>
      <c r="AY357" s="286"/>
      <c r="AZ357" s="286"/>
      <c r="BA357" s="286"/>
      <c r="BB357" s="286"/>
      <c r="BC357" s="286"/>
      <c r="BD357" s="286"/>
      <c r="BE357" s="286"/>
      <c r="BF357" s="286"/>
      <c r="BG357" s="286"/>
      <c r="BH357" s="286"/>
      <c r="BI357" s="286"/>
      <c r="BJ357" s="286"/>
      <c r="BK357" s="286"/>
      <c r="BL357" s="286"/>
      <c r="BM357" s="286"/>
      <c r="BN357" s="286"/>
      <c r="BO357" s="286"/>
      <c r="BP357" s="286"/>
      <c r="BQ357" s="286"/>
      <c r="BR357" s="286"/>
      <c r="BS357" s="286"/>
      <c r="BT357" s="286"/>
      <c r="BU357" s="286"/>
      <c r="BV357" s="286"/>
      <c r="BW357" s="286"/>
      <c r="BX357" s="286"/>
      <c r="BY357" s="286"/>
      <c r="BZ357" s="286"/>
      <c r="CA357" s="286"/>
      <c r="CB357" s="286"/>
      <c r="CC357" s="286"/>
      <c r="CD357" s="286"/>
      <c r="CE357" s="286"/>
      <c r="CF357" s="286"/>
      <c r="CG357" s="286"/>
      <c r="CH357" s="286"/>
      <c r="CI357" s="286"/>
      <c r="CJ357" s="286"/>
      <c r="CK357" s="286"/>
      <c r="CL357" s="286"/>
      <c r="CM357" s="286"/>
      <c r="CN357" s="286"/>
      <c r="CO357" s="286"/>
      <c r="CP357" s="286"/>
      <c r="CQ357" s="286"/>
      <c r="CR357" s="286"/>
      <c r="CS357" s="286"/>
      <c r="CT357" s="286"/>
      <c r="CU357" s="286"/>
      <c r="CV357" s="286"/>
      <c r="CW357" s="286"/>
      <c r="CX357" s="286"/>
      <c r="CY357" s="286"/>
      <c r="CZ357" s="286"/>
      <c r="DA357" s="286"/>
      <c r="DB357" s="286"/>
      <c r="DC357" s="286"/>
      <c r="DD357" s="286"/>
      <c r="DE357" s="286"/>
      <c r="DF357" s="286"/>
      <c r="DG357" s="286"/>
      <c r="DH357" s="286"/>
      <c r="DI357" s="286"/>
      <c r="DJ357" s="286"/>
      <c r="DK357" s="286"/>
      <c r="DL357" s="286"/>
      <c r="DM357" s="286"/>
      <c r="DN357" s="286"/>
      <c r="DO357" s="286"/>
      <c r="DP357" s="286"/>
      <c r="DQ357" s="286"/>
      <c r="DR357" s="286"/>
      <c r="DS357" s="286"/>
      <c r="DT357" s="286"/>
      <c r="DU357" s="286"/>
      <c r="DV357" s="286"/>
      <c r="DW357" s="286"/>
      <c r="DX357" s="286"/>
      <c r="DY357" s="286"/>
      <c r="DZ357" s="286"/>
      <c r="EA357" s="286"/>
      <c r="EB357" s="286"/>
      <c r="EC357" s="286"/>
      <c r="ED357" s="286"/>
      <c r="EE357" s="286"/>
      <c r="EF357" s="286"/>
      <c r="EG357" s="286"/>
      <c r="EH357" s="286"/>
      <c r="EI357" s="286"/>
      <c r="EJ357" s="286"/>
      <c r="EK357" s="286"/>
      <c r="EL357" s="286"/>
      <c r="EM357" s="286"/>
      <c r="EN357" s="286"/>
      <c r="EO357" s="286"/>
      <c r="EP357" s="286"/>
      <c r="EQ357" s="286"/>
      <c r="ER357" s="286"/>
      <c r="ES357" s="286"/>
      <c r="ET357" s="286"/>
      <c r="EU357" s="286"/>
      <c r="EV357" s="286"/>
      <c r="EW357" s="286"/>
      <c r="EX357" s="286"/>
      <c r="EY357" s="286"/>
      <c r="EZ357" s="286"/>
      <c r="FA357" s="286"/>
      <c r="FB357" s="286"/>
      <c r="FC357" s="286"/>
      <c r="FD357" s="286"/>
      <c r="FE357" s="286"/>
      <c r="FF357" s="286"/>
      <c r="FG357" s="286"/>
      <c r="FH357" s="286"/>
      <c r="FI357" s="286"/>
      <c r="FJ357" s="286"/>
      <c r="FK357" s="286"/>
      <c r="FL357" s="286"/>
      <c r="FM357" s="286"/>
      <c r="FN357" s="286"/>
      <c r="FO357" s="286"/>
      <c r="FP357" s="286"/>
      <c r="FQ357" s="286"/>
      <c r="FR357" s="286"/>
      <c r="FS357" s="286"/>
    </row>
    <row r="358" spans="1:175">
      <c r="A358" s="212" t="s">
        <v>3159</v>
      </c>
      <c r="B358" s="212" t="s">
        <v>3160</v>
      </c>
      <c r="C358" s="212" t="s">
        <v>3172</v>
      </c>
      <c r="D358" s="212" t="s">
        <v>3492</v>
      </c>
      <c r="E358" s="212" t="s">
        <v>3526</v>
      </c>
      <c r="F358" s="278">
        <v>2198</v>
      </c>
      <c r="G358" s="278">
        <v>60498</v>
      </c>
      <c r="H358" s="287">
        <f t="shared" si="5"/>
        <v>9.4697345366788994</v>
      </c>
      <c r="I358" s="286">
        <v>213</v>
      </c>
      <c r="J358" s="286">
        <v>5729</v>
      </c>
      <c r="K358" s="286">
        <v>4950</v>
      </c>
      <c r="L358" s="286">
        <v>779</v>
      </c>
      <c r="M358" s="286">
        <v>5486</v>
      </c>
      <c r="N358" s="286">
        <v>4726</v>
      </c>
      <c r="O358" s="286">
        <v>760</v>
      </c>
      <c r="P358" s="286">
        <v>213</v>
      </c>
      <c r="Q358" s="286">
        <v>5729</v>
      </c>
      <c r="R358" s="286">
        <v>4950</v>
      </c>
      <c r="S358" s="286">
        <v>779</v>
      </c>
      <c r="T358" s="286">
        <v>5486</v>
      </c>
      <c r="U358" s="286">
        <v>4726</v>
      </c>
      <c r="V358" s="286">
        <v>760</v>
      </c>
      <c r="W358" s="286"/>
      <c r="X358" s="286"/>
      <c r="Y358" s="286"/>
      <c r="Z358" s="286"/>
      <c r="AA358" s="286"/>
      <c r="AB358" s="286"/>
      <c r="AC358" s="286"/>
      <c r="AD358" s="286"/>
      <c r="AE358" s="286"/>
      <c r="AF358" s="286"/>
      <c r="AG358" s="286"/>
      <c r="AH358" s="286"/>
      <c r="AI358" s="286"/>
      <c r="AJ358" s="286"/>
      <c r="AK358" s="286"/>
      <c r="AL358" s="286"/>
      <c r="AM358" s="286"/>
      <c r="AN358" s="286"/>
      <c r="AO358" s="286"/>
      <c r="AP358" s="286"/>
      <c r="AQ358" s="286"/>
      <c r="AR358" s="286"/>
      <c r="AS358" s="286"/>
      <c r="AT358" s="286"/>
      <c r="AU358" s="286"/>
      <c r="AV358" s="286"/>
      <c r="AW358" s="286"/>
      <c r="AX358" s="286"/>
      <c r="AY358" s="286"/>
      <c r="AZ358" s="286"/>
      <c r="BA358" s="286"/>
      <c r="BB358" s="286"/>
      <c r="BC358" s="286"/>
      <c r="BD358" s="286"/>
      <c r="BE358" s="286"/>
      <c r="BF358" s="286"/>
      <c r="BG358" s="286"/>
      <c r="BH358" s="286"/>
      <c r="BI358" s="286"/>
      <c r="BJ358" s="286"/>
      <c r="BK358" s="286"/>
      <c r="BL358" s="286"/>
      <c r="BM358" s="286"/>
      <c r="BN358" s="286"/>
      <c r="BO358" s="286"/>
      <c r="BP358" s="286"/>
      <c r="BQ358" s="286"/>
      <c r="BR358" s="286"/>
      <c r="BS358" s="286"/>
      <c r="BT358" s="286"/>
      <c r="BU358" s="286"/>
      <c r="BV358" s="286"/>
      <c r="BW358" s="286"/>
      <c r="BX358" s="286"/>
      <c r="BY358" s="286"/>
      <c r="BZ358" s="286"/>
      <c r="CA358" s="286"/>
      <c r="CB358" s="286"/>
      <c r="CC358" s="286"/>
      <c r="CD358" s="286"/>
      <c r="CE358" s="286"/>
      <c r="CF358" s="286"/>
      <c r="CG358" s="286"/>
      <c r="CH358" s="286"/>
      <c r="CI358" s="286"/>
      <c r="CJ358" s="286"/>
      <c r="CK358" s="286"/>
      <c r="CL358" s="286"/>
      <c r="CM358" s="286"/>
      <c r="CN358" s="286"/>
      <c r="CO358" s="286"/>
      <c r="CP358" s="286"/>
      <c r="CQ358" s="286"/>
      <c r="CR358" s="286"/>
      <c r="CS358" s="286"/>
      <c r="CT358" s="286"/>
      <c r="CU358" s="286"/>
      <c r="CV358" s="286"/>
      <c r="CW358" s="286"/>
      <c r="CX358" s="286"/>
      <c r="CY358" s="286"/>
      <c r="CZ358" s="286"/>
      <c r="DA358" s="286"/>
      <c r="DB358" s="286"/>
      <c r="DC358" s="286"/>
      <c r="DD358" s="286"/>
      <c r="DE358" s="286"/>
      <c r="DF358" s="286"/>
      <c r="DG358" s="286"/>
      <c r="DH358" s="286"/>
      <c r="DI358" s="286"/>
      <c r="DJ358" s="286"/>
      <c r="DK358" s="286"/>
      <c r="DL358" s="286"/>
      <c r="DM358" s="286"/>
      <c r="DN358" s="286"/>
      <c r="DO358" s="286"/>
      <c r="DP358" s="286"/>
      <c r="DQ358" s="286"/>
      <c r="DR358" s="286"/>
      <c r="DS358" s="286"/>
      <c r="DT358" s="286"/>
      <c r="DU358" s="286"/>
      <c r="DV358" s="286"/>
      <c r="DW358" s="286"/>
      <c r="DX358" s="286"/>
      <c r="DY358" s="286"/>
      <c r="DZ358" s="286"/>
      <c r="EA358" s="286"/>
      <c r="EB358" s="286"/>
      <c r="EC358" s="286"/>
      <c r="ED358" s="286"/>
      <c r="EE358" s="286"/>
      <c r="EF358" s="286"/>
      <c r="EG358" s="286"/>
      <c r="EH358" s="286"/>
      <c r="EI358" s="286"/>
      <c r="EJ358" s="286"/>
      <c r="EK358" s="286"/>
      <c r="EL358" s="286"/>
      <c r="EM358" s="286"/>
      <c r="EN358" s="286"/>
      <c r="EO358" s="286"/>
      <c r="EP358" s="286"/>
      <c r="EQ358" s="286"/>
      <c r="ER358" s="286"/>
      <c r="ES358" s="286"/>
      <c r="ET358" s="286"/>
      <c r="EU358" s="286"/>
      <c r="EV358" s="286"/>
      <c r="EW358" s="286"/>
      <c r="EX358" s="286"/>
      <c r="EY358" s="286"/>
      <c r="EZ358" s="286"/>
      <c r="FA358" s="286"/>
      <c r="FB358" s="286"/>
      <c r="FC358" s="286"/>
      <c r="FD358" s="286"/>
      <c r="FE358" s="286"/>
      <c r="FF358" s="286"/>
      <c r="FG358" s="286"/>
      <c r="FH358" s="286"/>
      <c r="FI358" s="286"/>
      <c r="FJ358" s="286"/>
      <c r="FK358" s="286"/>
      <c r="FL358" s="286"/>
      <c r="FM358" s="286"/>
      <c r="FN358" s="286"/>
      <c r="FO358" s="286"/>
      <c r="FP358" s="286"/>
      <c r="FQ358" s="286"/>
      <c r="FR358" s="286"/>
      <c r="FS358" s="286"/>
    </row>
    <row r="359" spans="1:175">
      <c r="A359" s="212" t="s">
        <v>3159</v>
      </c>
      <c r="B359" s="212" t="s">
        <v>3160</v>
      </c>
      <c r="C359" s="212" t="s">
        <v>3172</v>
      </c>
      <c r="D359" s="212" t="s">
        <v>3492</v>
      </c>
      <c r="E359" s="212" t="s">
        <v>3527</v>
      </c>
      <c r="F359" s="278">
        <v>4588</v>
      </c>
      <c r="G359" s="278">
        <v>79697</v>
      </c>
      <c r="H359" s="287">
        <f t="shared" si="5"/>
        <v>3.6111773341531048</v>
      </c>
      <c r="I359" s="286">
        <v>201</v>
      </c>
      <c r="J359" s="286">
        <v>2878</v>
      </c>
      <c r="K359" s="286">
        <v>2105</v>
      </c>
      <c r="L359" s="286">
        <v>773</v>
      </c>
      <c r="M359" s="286">
        <v>2733</v>
      </c>
      <c r="N359" s="286">
        <v>1997</v>
      </c>
      <c r="O359" s="286">
        <v>736</v>
      </c>
      <c r="P359" s="286">
        <v>201</v>
      </c>
      <c r="Q359" s="286">
        <v>2878</v>
      </c>
      <c r="R359" s="286">
        <v>2105</v>
      </c>
      <c r="S359" s="286">
        <v>773</v>
      </c>
      <c r="T359" s="286">
        <v>2733</v>
      </c>
      <c r="U359" s="286">
        <v>1997</v>
      </c>
      <c r="V359" s="286">
        <v>736</v>
      </c>
      <c r="W359" s="286"/>
      <c r="X359" s="286"/>
      <c r="Y359" s="286"/>
      <c r="Z359" s="286"/>
      <c r="AA359" s="286"/>
      <c r="AB359" s="286"/>
      <c r="AC359" s="286"/>
      <c r="AD359" s="286"/>
      <c r="AE359" s="286"/>
      <c r="AF359" s="286"/>
      <c r="AG359" s="286"/>
      <c r="AH359" s="286"/>
      <c r="AI359" s="286"/>
      <c r="AJ359" s="286"/>
      <c r="AK359" s="286"/>
      <c r="AL359" s="286"/>
      <c r="AM359" s="286"/>
      <c r="AN359" s="286"/>
      <c r="AO359" s="286"/>
      <c r="AP359" s="286"/>
      <c r="AQ359" s="286"/>
      <c r="AR359" s="286"/>
      <c r="AS359" s="286"/>
      <c r="AT359" s="286"/>
      <c r="AU359" s="286"/>
      <c r="AV359" s="286"/>
      <c r="AW359" s="286"/>
      <c r="AX359" s="286"/>
      <c r="AY359" s="286"/>
      <c r="AZ359" s="286"/>
      <c r="BA359" s="286"/>
      <c r="BB359" s="286"/>
      <c r="BC359" s="286"/>
      <c r="BD359" s="286"/>
      <c r="BE359" s="286"/>
      <c r="BF359" s="286"/>
      <c r="BG359" s="286"/>
      <c r="BH359" s="286"/>
      <c r="BI359" s="286"/>
      <c r="BJ359" s="286"/>
      <c r="BK359" s="286"/>
      <c r="BL359" s="286"/>
      <c r="BM359" s="286"/>
      <c r="BN359" s="286"/>
      <c r="BO359" s="286"/>
      <c r="BP359" s="286"/>
      <c r="BQ359" s="286"/>
      <c r="BR359" s="286"/>
      <c r="BS359" s="286"/>
      <c r="BT359" s="286"/>
      <c r="BU359" s="286"/>
      <c r="BV359" s="286"/>
      <c r="BW359" s="286"/>
      <c r="BX359" s="286"/>
      <c r="BY359" s="286"/>
      <c r="BZ359" s="286"/>
      <c r="CA359" s="286"/>
      <c r="CB359" s="286"/>
      <c r="CC359" s="286"/>
      <c r="CD359" s="286"/>
      <c r="CE359" s="286"/>
      <c r="CF359" s="286"/>
      <c r="CG359" s="286"/>
      <c r="CH359" s="286"/>
      <c r="CI359" s="286"/>
      <c r="CJ359" s="286"/>
      <c r="CK359" s="286"/>
      <c r="CL359" s="286"/>
      <c r="CM359" s="286"/>
      <c r="CN359" s="286"/>
      <c r="CO359" s="286"/>
      <c r="CP359" s="286"/>
      <c r="CQ359" s="286"/>
      <c r="CR359" s="286"/>
      <c r="CS359" s="286"/>
      <c r="CT359" s="286"/>
      <c r="CU359" s="286"/>
      <c r="CV359" s="286"/>
      <c r="CW359" s="286"/>
      <c r="CX359" s="286"/>
      <c r="CY359" s="286"/>
      <c r="CZ359" s="286"/>
      <c r="DA359" s="286"/>
      <c r="DB359" s="286"/>
      <c r="DC359" s="286"/>
      <c r="DD359" s="286"/>
      <c r="DE359" s="286"/>
      <c r="DF359" s="286"/>
      <c r="DG359" s="286"/>
      <c r="DH359" s="286"/>
      <c r="DI359" s="286"/>
      <c r="DJ359" s="286"/>
      <c r="DK359" s="286"/>
      <c r="DL359" s="286"/>
      <c r="DM359" s="286"/>
      <c r="DN359" s="286"/>
      <c r="DO359" s="286"/>
      <c r="DP359" s="286"/>
      <c r="DQ359" s="286"/>
      <c r="DR359" s="286"/>
      <c r="DS359" s="286"/>
      <c r="DT359" s="286"/>
      <c r="DU359" s="286"/>
      <c r="DV359" s="286"/>
      <c r="DW359" s="286"/>
      <c r="DX359" s="286"/>
      <c r="DY359" s="286"/>
      <c r="DZ359" s="286"/>
      <c r="EA359" s="286"/>
      <c r="EB359" s="286"/>
      <c r="EC359" s="286"/>
      <c r="ED359" s="286"/>
      <c r="EE359" s="286"/>
      <c r="EF359" s="286"/>
      <c r="EG359" s="286"/>
      <c r="EH359" s="286"/>
      <c r="EI359" s="286"/>
      <c r="EJ359" s="286"/>
      <c r="EK359" s="286"/>
      <c r="EL359" s="286"/>
      <c r="EM359" s="286"/>
      <c r="EN359" s="286"/>
      <c r="EO359" s="286"/>
      <c r="EP359" s="286"/>
      <c r="EQ359" s="286"/>
      <c r="ER359" s="286"/>
      <c r="ES359" s="286"/>
      <c r="ET359" s="286"/>
      <c r="EU359" s="286"/>
      <c r="EV359" s="286"/>
      <c r="EW359" s="286"/>
      <c r="EX359" s="286"/>
      <c r="EY359" s="286"/>
      <c r="EZ359" s="286"/>
      <c r="FA359" s="286"/>
      <c r="FB359" s="286"/>
      <c r="FC359" s="286"/>
      <c r="FD359" s="286"/>
      <c r="FE359" s="286"/>
      <c r="FF359" s="286"/>
      <c r="FG359" s="286"/>
      <c r="FH359" s="286"/>
      <c r="FI359" s="286"/>
      <c r="FJ359" s="286"/>
      <c r="FK359" s="286"/>
      <c r="FL359" s="286"/>
      <c r="FM359" s="286"/>
      <c r="FN359" s="286"/>
      <c r="FO359" s="286"/>
      <c r="FP359" s="286"/>
      <c r="FQ359" s="286"/>
      <c r="FR359" s="286"/>
      <c r="FS359" s="286"/>
    </row>
    <row r="360" spans="1:175">
      <c r="A360" s="212" t="s">
        <v>3159</v>
      </c>
      <c r="B360" s="212" t="s">
        <v>3160</v>
      </c>
      <c r="C360" s="212" t="s">
        <v>3172</v>
      </c>
      <c r="D360" s="212" t="s">
        <v>3492</v>
      </c>
      <c r="E360" s="212" t="s">
        <v>3528</v>
      </c>
      <c r="F360" s="278">
        <v>763</v>
      </c>
      <c r="G360" s="278">
        <v>10956</v>
      </c>
      <c r="H360" s="287">
        <f t="shared" si="5"/>
        <v>2.6378240233661918</v>
      </c>
      <c r="I360" s="286">
        <v>37</v>
      </c>
      <c r="J360" s="286">
        <v>289</v>
      </c>
      <c r="K360" s="286">
        <v>157</v>
      </c>
      <c r="L360" s="286">
        <v>131</v>
      </c>
      <c r="M360" s="286">
        <v>254</v>
      </c>
      <c r="N360" s="286">
        <v>133</v>
      </c>
      <c r="O360" s="286">
        <v>120</v>
      </c>
      <c r="P360" s="286">
        <v>37</v>
      </c>
      <c r="Q360" s="286">
        <v>289</v>
      </c>
      <c r="R360" s="286">
        <v>157</v>
      </c>
      <c r="S360" s="286">
        <v>131</v>
      </c>
      <c r="T360" s="286">
        <v>254</v>
      </c>
      <c r="U360" s="286">
        <v>133</v>
      </c>
      <c r="V360" s="286">
        <v>120</v>
      </c>
      <c r="W360" s="286"/>
      <c r="X360" s="286"/>
      <c r="Y360" s="286"/>
      <c r="Z360" s="286"/>
      <c r="AA360" s="286"/>
      <c r="AB360" s="286"/>
      <c r="AC360" s="286"/>
      <c r="AD360" s="286"/>
      <c r="AE360" s="286"/>
      <c r="AF360" s="286"/>
      <c r="AG360" s="286"/>
      <c r="AH360" s="286"/>
      <c r="AI360" s="286"/>
      <c r="AJ360" s="286"/>
      <c r="AK360" s="286"/>
      <c r="AL360" s="286"/>
      <c r="AM360" s="286"/>
      <c r="AN360" s="286"/>
      <c r="AO360" s="286"/>
      <c r="AP360" s="286"/>
      <c r="AQ360" s="286"/>
      <c r="AR360" s="286"/>
      <c r="AS360" s="286"/>
      <c r="AT360" s="286"/>
      <c r="AU360" s="286"/>
      <c r="AV360" s="286"/>
      <c r="AW360" s="286"/>
      <c r="AX360" s="286"/>
      <c r="AY360" s="286"/>
      <c r="AZ360" s="286"/>
      <c r="BA360" s="286"/>
      <c r="BB360" s="286"/>
      <c r="BC360" s="286"/>
      <c r="BD360" s="286"/>
      <c r="BE360" s="286"/>
      <c r="BF360" s="286"/>
      <c r="BG360" s="286"/>
      <c r="BH360" s="286"/>
      <c r="BI360" s="286"/>
      <c r="BJ360" s="286"/>
      <c r="BK360" s="286"/>
      <c r="BL360" s="286"/>
      <c r="BM360" s="286"/>
      <c r="BN360" s="286"/>
      <c r="BO360" s="286"/>
      <c r="BP360" s="286"/>
      <c r="BQ360" s="286"/>
      <c r="BR360" s="286"/>
      <c r="BS360" s="286"/>
      <c r="BT360" s="286"/>
      <c r="BU360" s="286"/>
      <c r="BV360" s="286"/>
      <c r="BW360" s="286"/>
      <c r="BX360" s="286"/>
      <c r="BY360" s="286"/>
      <c r="BZ360" s="286"/>
      <c r="CA360" s="286"/>
      <c r="CB360" s="286"/>
      <c r="CC360" s="286"/>
      <c r="CD360" s="286"/>
      <c r="CE360" s="286"/>
      <c r="CF360" s="286"/>
      <c r="CG360" s="286"/>
      <c r="CH360" s="286"/>
      <c r="CI360" s="286"/>
      <c r="CJ360" s="286"/>
      <c r="CK360" s="286"/>
      <c r="CL360" s="286"/>
      <c r="CM360" s="286"/>
      <c r="CN360" s="286"/>
      <c r="CO360" s="286"/>
      <c r="CP360" s="286"/>
      <c r="CQ360" s="286"/>
      <c r="CR360" s="286"/>
      <c r="CS360" s="286"/>
      <c r="CT360" s="286"/>
      <c r="CU360" s="286"/>
      <c r="CV360" s="286"/>
      <c r="CW360" s="286"/>
      <c r="CX360" s="286"/>
      <c r="CY360" s="286"/>
      <c r="CZ360" s="286"/>
      <c r="DA360" s="286"/>
      <c r="DB360" s="286"/>
      <c r="DC360" s="286"/>
      <c r="DD360" s="286"/>
      <c r="DE360" s="286"/>
      <c r="DF360" s="286"/>
      <c r="DG360" s="286"/>
      <c r="DH360" s="286"/>
      <c r="DI360" s="286"/>
      <c r="DJ360" s="286"/>
      <c r="DK360" s="286"/>
      <c r="DL360" s="286"/>
      <c r="DM360" s="286"/>
      <c r="DN360" s="286"/>
      <c r="DO360" s="286"/>
      <c r="DP360" s="286"/>
      <c r="DQ360" s="286"/>
      <c r="DR360" s="286"/>
      <c r="DS360" s="286"/>
      <c r="DT360" s="286"/>
      <c r="DU360" s="286"/>
      <c r="DV360" s="286"/>
      <c r="DW360" s="286"/>
      <c r="DX360" s="286"/>
      <c r="DY360" s="286"/>
      <c r="DZ360" s="286"/>
      <c r="EA360" s="286"/>
      <c r="EB360" s="286"/>
      <c r="EC360" s="286"/>
      <c r="ED360" s="286"/>
      <c r="EE360" s="286"/>
      <c r="EF360" s="286"/>
      <c r="EG360" s="286"/>
      <c r="EH360" s="286"/>
      <c r="EI360" s="286"/>
      <c r="EJ360" s="286"/>
      <c r="EK360" s="286"/>
      <c r="EL360" s="286"/>
      <c r="EM360" s="286"/>
      <c r="EN360" s="286"/>
      <c r="EO360" s="286"/>
      <c r="EP360" s="286"/>
      <c r="EQ360" s="286"/>
      <c r="ER360" s="286"/>
      <c r="ES360" s="286"/>
      <c r="ET360" s="286"/>
      <c r="EU360" s="286"/>
      <c r="EV360" s="286"/>
      <c r="EW360" s="286"/>
      <c r="EX360" s="286"/>
      <c r="EY360" s="286"/>
      <c r="EZ360" s="286"/>
      <c r="FA360" s="286"/>
      <c r="FB360" s="286"/>
      <c r="FC360" s="286"/>
      <c r="FD360" s="286"/>
      <c r="FE360" s="286"/>
      <c r="FF360" s="286"/>
      <c r="FG360" s="286"/>
      <c r="FH360" s="286"/>
      <c r="FI360" s="286"/>
      <c r="FJ360" s="286"/>
      <c r="FK360" s="286"/>
      <c r="FL360" s="286"/>
      <c r="FM360" s="286"/>
      <c r="FN360" s="286"/>
      <c r="FO360" s="286"/>
      <c r="FP360" s="286"/>
      <c r="FQ360" s="286"/>
      <c r="FR360" s="286"/>
      <c r="FS360" s="286"/>
    </row>
    <row r="361" spans="1:175">
      <c r="A361" s="212" t="s">
        <v>3159</v>
      </c>
      <c r="B361" s="212" t="s">
        <v>3160</v>
      </c>
      <c r="C361" s="212" t="s">
        <v>3172</v>
      </c>
      <c r="D361" s="212" t="s">
        <v>3492</v>
      </c>
      <c r="E361" s="212" t="s">
        <v>3529</v>
      </c>
      <c r="F361" s="278">
        <v>2547</v>
      </c>
      <c r="G361" s="278">
        <v>65347</v>
      </c>
      <c r="H361" s="287">
        <f t="shared" si="5"/>
        <v>4.1057737922169348</v>
      </c>
      <c r="I361" s="286">
        <v>141</v>
      </c>
      <c r="J361" s="286">
        <v>2683</v>
      </c>
      <c r="K361" s="286">
        <v>1895</v>
      </c>
      <c r="L361" s="286">
        <v>779</v>
      </c>
      <c r="M361" s="286">
        <v>2500</v>
      </c>
      <c r="N361" s="286">
        <v>1762</v>
      </c>
      <c r="O361" s="286">
        <v>729</v>
      </c>
      <c r="P361" s="286">
        <v>141</v>
      </c>
      <c r="Q361" s="286">
        <v>2683</v>
      </c>
      <c r="R361" s="286">
        <v>1895</v>
      </c>
      <c r="S361" s="286">
        <v>779</v>
      </c>
      <c r="T361" s="286">
        <v>2500</v>
      </c>
      <c r="U361" s="286">
        <v>1762</v>
      </c>
      <c r="V361" s="286">
        <v>729</v>
      </c>
      <c r="W361" s="286"/>
      <c r="X361" s="286"/>
      <c r="Y361" s="286"/>
      <c r="Z361" s="286"/>
      <c r="AA361" s="286"/>
      <c r="AB361" s="286"/>
      <c r="AC361" s="286"/>
      <c r="AD361" s="286"/>
      <c r="AE361" s="286"/>
      <c r="AF361" s="286"/>
      <c r="AG361" s="286"/>
      <c r="AH361" s="286"/>
      <c r="AI361" s="286"/>
      <c r="AJ361" s="286"/>
      <c r="AK361" s="286"/>
      <c r="AL361" s="286"/>
      <c r="AM361" s="286"/>
      <c r="AN361" s="286"/>
      <c r="AO361" s="286"/>
      <c r="AP361" s="286"/>
      <c r="AQ361" s="286"/>
      <c r="AR361" s="286"/>
      <c r="AS361" s="286"/>
      <c r="AT361" s="286"/>
      <c r="AU361" s="286"/>
      <c r="AV361" s="286"/>
      <c r="AW361" s="286"/>
      <c r="AX361" s="286"/>
      <c r="AY361" s="286"/>
      <c r="AZ361" s="286"/>
      <c r="BA361" s="286"/>
      <c r="BB361" s="286"/>
      <c r="BC361" s="286"/>
      <c r="BD361" s="286"/>
      <c r="BE361" s="286"/>
      <c r="BF361" s="286"/>
      <c r="BG361" s="286"/>
      <c r="BH361" s="286"/>
      <c r="BI361" s="286"/>
      <c r="BJ361" s="286"/>
      <c r="BK361" s="286"/>
      <c r="BL361" s="286"/>
      <c r="BM361" s="286"/>
      <c r="BN361" s="286"/>
      <c r="BO361" s="286"/>
      <c r="BP361" s="286"/>
      <c r="BQ361" s="286"/>
      <c r="BR361" s="286"/>
      <c r="BS361" s="286"/>
      <c r="BT361" s="286"/>
      <c r="BU361" s="286"/>
      <c r="BV361" s="286"/>
      <c r="BW361" s="286"/>
      <c r="BX361" s="286"/>
      <c r="BY361" s="286"/>
      <c r="BZ361" s="286"/>
      <c r="CA361" s="286"/>
      <c r="CB361" s="286"/>
      <c r="CC361" s="286"/>
      <c r="CD361" s="286"/>
      <c r="CE361" s="286"/>
      <c r="CF361" s="286"/>
      <c r="CG361" s="286"/>
      <c r="CH361" s="286"/>
      <c r="CI361" s="286"/>
      <c r="CJ361" s="286"/>
      <c r="CK361" s="286"/>
      <c r="CL361" s="286"/>
      <c r="CM361" s="286"/>
      <c r="CN361" s="286"/>
      <c r="CO361" s="286"/>
      <c r="CP361" s="286"/>
      <c r="CQ361" s="286"/>
      <c r="CR361" s="286"/>
      <c r="CS361" s="286"/>
      <c r="CT361" s="286"/>
      <c r="CU361" s="286"/>
      <c r="CV361" s="286"/>
      <c r="CW361" s="286"/>
      <c r="CX361" s="286"/>
      <c r="CY361" s="286"/>
      <c r="CZ361" s="286"/>
      <c r="DA361" s="286"/>
      <c r="DB361" s="286"/>
      <c r="DC361" s="286"/>
      <c r="DD361" s="286"/>
      <c r="DE361" s="286"/>
      <c r="DF361" s="286"/>
      <c r="DG361" s="286"/>
      <c r="DH361" s="286"/>
      <c r="DI361" s="286"/>
      <c r="DJ361" s="286"/>
      <c r="DK361" s="286"/>
      <c r="DL361" s="286"/>
      <c r="DM361" s="286"/>
      <c r="DN361" s="286"/>
      <c r="DO361" s="286"/>
      <c r="DP361" s="286"/>
      <c r="DQ361" s="286"/>
      <c r="DR361" s="286"/>
      <c r="DS361" s="286"/>
      <c r="DT361" s="286"/>
      <c r="DU361" s="286"/>
      <c r="DV361" s="286"/>
      <c r="DW361" s="286"/>
      <c r="DX361" s="286"/>
      <c r="DY361" s="286"/>
      <c r="DZ361" s="286"/>
      <c r="EA361" s="286"/>
      <c r="EB361" s="286"/>
      <c r="EC361" s="286"/>
      <c r="ED361" s="286"/>
      <c r="EE361" s="286"/>
      <c r="EF361" s="286"/>
      <c r="EG361" s="286"/>
      <c r="EH361" s="286"/>
      <c r="EI361" s="286"/>
      <c r="EJ361" s="286"/>
      <c r="EK361" s="286"/>
      <c r="EL361" s="286"/>
      <c r="EM361" s="286"/>
      <c r="EN361" s="286"/>
      <c r="EO361" s="286"/>
      <c r="EP361" s="286"/>
      <c r="EQ361" s="286"/>
      <c r="ER361" s="286"/>
      <c r="ES361" s="286"/>
      <c r="ET361" s="286"/>
      <c r="EU361" s="286"/>
      <c r="EV361" s="286"/>
      <c r="EW361" s="286"/>
      <c r="EX361" s="286"/>
      <c r="EY361" s="286"/>
      <c r="EZ361" s="286"/>
      <c r="FA361" s="286"/>
      <c r="FB361" s="286"/>
      <c r="FC361" s="286"/>
      <c r="FD361" s="286"/>
      <c r="FE361" s="286"/>
      <c r="FF361" s="286"/>
      <c r="FG361" s="286"/>
      <c r="FH361" s="286"/>
      <c r="FI361" s="286"/>
      <c r="FJ361" s="286"/>
      <c r="FK361" s="286"/>
      <c r="FL361" s="286"/>
      <c r="FM361" s="286"/>
      <c r="FN361" s="286"/>
      <c r="FO361" s="286"/>
      <c r="FP361" s="286"/>
      <c r="FQ361" s="286"/>
      <c r="FR361" s="286"/>
      <c r="FS361" s="286"/>
    </row>
    <row r="362" spans="1:175">
      <c r="A362" s="212" t="s">
        <v>3159</v>
      </c>
      <c r="B362" s="212" t="s">
        <v>3160</v>
      </c>
      <c r="C362" s="212" t="s">
        <v>3172</v>
      </c>
      <c r="D362" s="212" t="s">
        <v>3492</v>
      </c>
      <c r="E362" s="212" t="s">
        <v>3530</v>
      </c>
      <c r="F362" s="278">
        <v>880</v>
      </c>
      <c r="G362" s="278">
        <v>26332</v>
      </c>
      <c r="H362" s="287">
        <f t="shared" si="5"/>
        <v>7.2687224669603516</v>
      </c>
      <c r="I362" s="286">
        <v>44</v>
      </c>
      <c r="J362" s="286">
        <v>1914</v>
      </c>
      <c r="K362" s="286">
        <v>1637</v>
      </c>
      <c r="L362" s="286">
        <v>277</v>
      </c>
      <c r="M362" s="286">
        <v>1733</v>
      </c>
      <c r="N362" s="286">
        <v>1459</v>
      </c>
      <c r="O362" s="286">
        <v>274</v>
      </c>
      <c r="P362" s="286">
        <v>40</v>
      </c>
      <c r="Q362" s="286">
        <v>1594</v>
      </c>
      <c r="R362" s="286">
        <v>1374</v>
      </c>
      <c r="S362" s="286">
        <v>220</v>
      </c>
      <c r="T362" s="286">
        <v>1413</v>
      </c>
      <c r="U362" s="286">
        <v>1196</v>
      </c>
      <c r="V362" s="286">
        <v>217</v>
      </c>
      <c r="W362" s="286"/>
      <c r="X362" s="286"/>
      <c r="Y362" s="286"/>
      <c r="Z362" s="286"/>
      <c r="AA362" s="286"/>
      <c r="AB362" s="286"/>
      <c r="AC362" s="286"/>
      <c r="AD362" s="286"/>
      <c r="AE362" s="286"/>
      <c r="AF362" s="286"/>
      <c r="AG362" s="286"/>
      <c r="AH362" s="286"/>
      <c r="AI362" s="286"/>
      <c r="AJ362" s="286"/>
      <c r="AK362" s="286"/>
      <c r="AL362" s="286"/>
      <c r="AM362" s="286"/>
      <c r="AN362" s="286"/>
      <c r="AO362" s="286"/>
      <c r="AP362" s="286"/>
      <c r="AQ362" s="286"/>
      <c r="AR362" s="286"/>
      <c r="AS362" s="286"/>
      <c r="AT362" s="286"/>
      <c r="AU362" s="286"/>
      <c r="AV362" s="286"/>
      <c r="AW362" s="286"/>
      <c r="AX362" s="286"/>
      <c r="AY362" s="286"/>
      <c r="AZ362" s="286"/>
      <c r="BA362" s="286"/>
      <c r="BB362" s="286"/>
      <c r="BC362" s="286"/>
      <c r="BD362" s="286"/>
      <c r="BE362" s="286"/>
      <c r="BF362" s="286"/>
      <c r="BG362" s="286"/>
      <c r="BH362" s="286"/>
      <c r="BI362" s="286"/>
      <c r="BJ362" s="286"/>
      <c r="BK362" s="286"/>
      <c r="BL362" s="286"/>
      <c r="BM362" s="286"/>
      <c r="BN362" s="286"/>
      <c r="BO362" s="286"/>
      <c r="BP362" s="286"/>
      <c r="BQ362" s="286"/>
      <c r="BR362" s="286"/>
      <c r="BS362" s="286"/>
      <c r="BT362" s="286"/>
      <c r="BU362" s="286"/>
      <c r="BV362" s="286"/>
      <c r="BW362" s="286"/>
      <c r="BX362" s="286"/>
      <c r="BY362" s="286"/>
      <c r="BZ362" s="286"/>
      <c r="CA362" s="286"/>
      <c r="CB362" s="286"/>
      <c r="CC362" s="286"/>
      <c r="CD362" s="286"/>
      <c r="CE362" s="286"/>
      <c r="CF362" s="286"/>
      <c r="CG362" s="286"/>
      <c r="CH362" s="286"/>
      <c r="CI362" s="286"/>
      <c r="CJ362" s="286"/>
      <c r="CK362" s="286"/>
      <c r="CL362" s="286"/>
      <c r="CM362" s="286"/>
      <c r="CN362" s="286"/>
      <c r="CO362" s="286"/>
      <c r="CP362" s="286"/>
      <c r="CQ362" s="286"/>
      <c r="CR362" s="286"/>
      <c r="CS362" s="286"/>
      <c r="CT362" s="286"/>
      <c r="CU362" s="286"/>
      <c r="CV362" s="286"/>
      <c r="CW362" s="286"/>
      <c r="CX362" s="286"/>
      <c r="CY362" s="286"/>
      <c r="CZ362" s="286"/>
      <c r="DA362" s="286"/>
      <c r="DB362" s="286"/>
      <c r="DC362" s="286"/>
      <c r="DD362" s="286"/>
      <c r="DE362" s="286"/>
      <c r="DF362" s="286"/>
      <c r="DG362" s="286"/>
      <c r="DH362" s="286"/>
      <c r="DI362" s="286"/>
      <c r="DJ362" s="286"/>
      <c r="DK362" s="286"/>
      <c r="DL362" s="286"/>
      <c r="DM362" s="286"/>
      <c r="DN362" s="286"/>
      <c r="DO362" s="286"/>
      <c r="DP362" s="286"/>
      <c r="DQ362" s="286"/>
      <c r="DR362" s="286"/>
      <c r="DS362" s="286"/>
      <c r="DT362" s="286"/>
      <c r="DU362" s="286"/>
      <c r="DV362" s="286"/>
      <c r="DW362" s="286"/>
      <c r="DX362" s="286"/>
      <c r="DY362" s="286"/>
      <c r="DZ362" s="286"/>
      <c r="EA362" s="286"/>
      <c r="EB362" s="286"/>
      <c r="EC362" s="286"/>
      <c r="ED362" s="286"/>
      <c r="EE362" s="286"/>
      <c r="EF362" s="286"/>
      <c r="EG362" s="286"/>
      <c r="EH362" s="286"/>
      <c r="EI362" s="286"/>
      <c r="EJ362" s="286"/>
      <c r="EK362" s="286"/>
      <c r="EL362" s="286"/>
      <c r="EM362" s="286"/>
      <c r="EN362" s="286"/>
      <c r="EO362" s="286"/>
      <c r="EP362" s="286"/>
      <c r="EQ362" s="286"/>
      <c r="ER362" s="286"/>
      <c r="ES362" s="286"/>
      <c r="ET362" s="286"/>
      <c r="EU362" s="286"/>
      <c r="EV362" s="286"/>
      <c r="EW362" s="286"/>
      <c r="EX362" s="286"/>
      <c r="EY362" s="286"/>
      <c r="EZ362" s="286"/>
      <c r="FA362" s="286"/>
      <c r="FB362" s="286"/>
      <c r="FC362" s="286"/>
      <c r="FD362" s="286"/>
      <c r="FE362" s="286"/>
      <c r="FF362" s="286"/>
      <c r="FG362" s="286"/>
      <c r="FH362" s="286"/>
      <c r="FI362" s="286"/>
      <c r="FJ362" s="286"/>
      <c r="FK362" s="286"/>
      <c r="FL362" s="286"/>
      <c r="FM362" s="286"/>
      <c r="FN362" s="286"/>
      <c r="FO362" s="286"/>
      <c r="FP362" s="286"/>
      <c r="FQ362" s="286"/>
      <c r="FR362" s="286"/>
      <c r="FS362" s="286"/>
    </row>
    <row r="363" spans="1:175">
      <c r="A363" s="212" t="s">
        <v>3159</v>
      </c>
      <c r="B363" s="212" t="s">
        <v>3160</v>
      </c>
      <c r="C363" s="212" t="s">
        <v>3172</v>
      </c>
      <c r="D363" s="212" t="s">
        <v>3492</v>
      </c>
      <c r="E363" s="212" t="s">
        <v>3531</v>
      </c>
      <c r="F363" s="278">
        <v>7168</v>
      </c>
      <c r="G363" s="278">
        <v>138167</v>
      </c>
      <c r="H363" s="287">
        <f t="shared" si="5"/>
        <v>4.8955249806393715</v>
      </c>
      <c r="I363" s="286">
        <v>393</v>
      </c>
      <c r="J363" s="286">
        <v>6764</v>
      </c>
      <c r="K363" s="286">
        <v>5362</v>
      </c>
      <c r="L363" s="286">
        <v>1402</v>
      </c>
      <c r="M363" s="286">
        <v>6416</v>
      </c>
      <c r="N363" s="286">
        <v>5084</v>
      </c>
      <c r="O363" s="286">
        <v>1332</v>
      </c>
      <c r="P363" s="286">
        <v>387</v>
      </c>
      <c r="Q363" s="286">
        <v>6487</v>
      </c>
      <c r="R363" s="286">
        <v>5161</v>
      </c>
      <c r="S363" s="286">
        <v>1326</v>
      </c>
      <c r="T363" s="286">
        <v>6139</v>
      </c>
      <c r="U363" s="286">
        <v>4883</v>
      </c>
      <c r="V363" s="286">
        <v>1256</v>
      </c>
      <c r="W363" s="286"/>
      <c r="X363" s="286"/>
      <c r="Y363" s="286"/>
      <c r="Z363" s="286"/>
      <c r="AA363" s="286"/>
      <c r="AB363" s="286"/>
      <c r="AC363" s="286"/>
      <c r="AD363" s="286"/>
      <c r="AE363" s="286"/>
      <c r="AF363" s="286"/>
      <c r="AG363" s="286"/>
      <c r="AH363" s="286"/>
      <c r="AI363" s="286"/>
      <c r="AJ363" s="286"/>
      <c r="AK363" s="286"/>
      <c r="AL363" s="286"/>
      <c r="AM363" s="286"/>
      <c r="AN363" s="286"/>
      <c r="AO363" s="286"/>
      <c r="AP363" s="286"/>
      <c r="AQ363" s="286"/>
      <c r="AR363" s="286"/>
      <c r="AS363" s="286"/>
      <c r="AT363" s="286"/>
      <c r="AU363" s="286"/>
      <c r="AV363" s="286"/>
      <c r="AW363" s="286"/>
      <c r="AX363" s="286"/>
      <c r="AY363" s="286"/>
      <c r="AZ363" s="286"/>
      <c r="BA363" s="286"/>
      <c r="BB363" s="286"/>
      <c r="BC363" s="286"/>
      <c r="BD363" s="286"/>
      <c r="BE363" s="286"/>
      <c r="BF363" s="286"/>
      <c r="BG363" s="286"/>
      <c r="BH363" s="286"/>
      <c r="BI363" s="286"/>
      <c r="BJ363" s="286"/>
      <c r="BK363" s="286"/>
      <c r="BL363" s="286"/>
      <c r="BM363" s="286"/>
      <c r="BN363" s="286"/>
      <c r="BO363" s="286"/>
      <c r="BP363" s="286"/>
      <c r="BQ363" s="286"/>
      <c r="BR363" s="286"/>
      <c r="BS363" s="286"/>
      <c r="BT363" s="286"/>
      <c r="BU363" s="286"/>
      <c r="BV363" s="286"/>
      <c r="BW363" s="286"/>
      <c r="BX363" s="286"/>
      <c r="BY363" s="286"/>
      <c r="BZ363" s="286"/>
      <c r="CA363" s="286"/>
      <c r="CB363" s="286"/>
      <c r="CC363" s="286"/>
      <c r="CD363" s="286"/>
      <c r="CE363" s="286"/>
      <c r="CF363" s="286"/>
      <c r="CG363" s="286"/>
      <c r="CH363" s="286"/>
      <c r="CI363" s="286"/>
      <c r="CJ363" s="286"/>
      <c r="CK363" s="286"/>
      <c r="CL363" s="286"/>
      <c r="CM363" s="286"/>
      <c r="CN363" s="286"/>
      <c r="CO363" s="286"/>
      <c r="CP363" s="286"/>
      <c r="CQ363" s="286"/>
      <c r="CR363" s="286"/>
      <c r="CS363" s="286"/>
      <c r="CT363" s="286"/>
      <c r="CU363" s="286"/>
      <c r="CV363" s="286"/>
      <c r="CW363" s="286"/>
      <c r="CX363" s="286"/>
      <c r="CY363" s="286"/>
      <c r="CZ363" s="286"/>
      <c r="DA363" s="286"/>
      <c r="DB363" s="286"/>
      <c r="DC363" s="286"/>
      <c r="DD363" s="286"/>
      <c r="DE363" s="286"/>
      <c r="DF363" s="286"/>
      <c r="DG363" s="286"/>
      <c r="DH363" s="286"/>
      <c r="DI363" s="286"/>
      <c r="DJ363" s="286"/>
      <c r="DK363" s="286"/>
      <c r="DL363" s="286"/>
      <c r="DM363" s="286"/>
      <c r="DN363" s="286"/>
      <c r="DO363" s="286"/>
      <c r="DP363" s="286"/>
      <c r="DQ363" s="286"/>
      <c r="DR363" s="286"/>
      <c r="DS363" s="286"/>
      <c r="DT363" s="286"/>
      <c r="DU363" s="286"/>
      <c r="DV363" s="286"/>
      <c r="DW363" s="286"/>
      <c r="DX363" s="286"/>
      <c r="DY363" s="286"/>
      <c r="DZ363" s="286"/>
      <c r="EA363" s="286"/>
      <c r="EB363" s="286"/>
      <c r="EC363" s="286"/>
      <c r="ED363" s="286"/>
      <c r="EE363" s="286"/>
      <c r="EF363" s="286"/>
      <c r="EG363" s="286"/>
      <c r="EH363" s="286"/>
      <c r="EI363" s="286"/>
      <c r="EJ363" s="286"/>
      <c r="EK363" s="286"/>
      <c r="EL363" s="286"/>
      <c r="EM363" s="286"/>
      <c r="EN363" s="286"/>
      <c r="EO363" s="286"/>
      <c r="EP363" s="286"/>
      <c r="EQ363" s="286"/>
      <c r="ER363" s="286"/>
      <c r="ES363" s="286"/>
      <c r="ET363" s="286"/>
      <c r="EU363" s="286"/>
      <c r="EV363" s="286"/>
      <c r="EW363" s="286"/>
      <c r="EX363" s="286"/>
      <c r="EY363" s="286"/>
      <c r="EZ363" s="286"/>
      <c r="FA363" s="286"/>
      <c r="FB363" s="286"/>
      <c r="FC363" s="286"/>
      <c r="FD363" s="286"/>
      <c r="FE363" s="286"/>
      <c r="FF363" s="286"/>
      <c r="FG363" s="286"/>
      <c r="FH363" s="286"/>
      <c r="FI363" s="286"/>
      <c r="FJ363" s="286"/>
      <c r="FK363" s="286"/>
      <c r="FL363" s="286"/>
      <c r="FM363" s="286"/>
      <c r="FN363" s="286"/>
      <c r="FO363" s="286"/>
      <c r="FP363" s="286"/>
      <c r="FQ363" s="286"/>
      <c r="FR363" s="286"/>
      <c r="FS363" s="286"/>
    </row>
    <row r="364" spans="1:175">
      <c r="A364" s="212" t="s">
        <v>3159</v>
      </c>
      <c r="B364" s="212" t="s">
        <v>3160</v>
      </c>
      <c r="C364" s="212" t="s">
        <v>3170</v>
      </c>
      <c r="D364" s="212" t="s">
        <v>3492</v>
      </c>
      <c r="E364" s="212" t="s">
        <v>3532</v>
      </c>
      <c r="F364" s="278">
        <v>381</v>
      </c>
      <c r="G364" s="278">
        <v>103552</v>
      </c>
      <c r="H364" s="287">
        <f t="shared" si="5"/>
        <v>4.7299907292954266</v>
      </c>
      <c r="I364" s="286">
        <v>16</v>
      </c>
      <c r="J364" s="286">
        <v>4898</v>
      </c>
      <c r="K364" s="286">
        <v>3420</v>
      </c>
      <c r="L364" s="286">
        <v>1478</v>
      </c>
      <c r="M364" s="286">
        <v>4661</v>
      </c>
      <c r="N364" s="286">
        <v>3315</v>
      </c>
      <c r="O364" s="286">
        <v>1346</v>
      </c>
      <c r="P364" s="286">
        <v>16</v>
      </c>
      <c r="Q364" s="286">
        <v>4898</v>
      </c>
      <c r="R364" s="286">
        <v>3420</v>
      </c>
      <c r="S364" s="286">
        <v>1478</v>
      </c>
      <c r="T364" s="286">
        <v>4661</v>
      </c>
      <c r="U364" s="286">
        <v>3315</v>
      </c>
      <c r="V364" s="286">
        <v>1346</v>
      </c>
      <c r="W364" s="286"/>
      <c r="X364" s="286"/>
      <c r="Y364" s="286"/>
      <c r="Z364" s="286"/>
      <c r="AA364" s="286"/>
      <c r="AB364" s="286"/>
      <c r="AC364" s="286"/>
      <c r="AD364" s="286"/>
      <c r="AE364" s="286"/>
      <c r="AF364" s="286"/>
      <c r="AG364" s="286"/>
      <c r="AH364" s="286"/>
      <c r="AI364" s="286"/>
      <c r="AJ364" s="286"/>
      <c r="AK364" s="286"/>
      <c r="AL364" s="286"/>
      <c r="AM364" s="286"/>
      <c r="AN364" s="286"/>
      <c r="AO364" s="286"/>
      <c r="AP364" s="286"/>
      <c r="AQ364" s="286"/>
      <c r="AR364" s="286"/>
      <c r="AS364" s="286"/>
      <c r="AT364" s="286"/>
      <c r="AU364" s="286"/>
      <c r="AV364" s="286"/>
      <c r="AW364" s="286"/>
      <c r="AX364" s="286"/>
      <c r="AY364" s="286"/>
      <c r="AZ364" s="286"/>
      <c r="BA364" s="286"/>
      <c r="BB364" s="286"/>
      <c r="BC364" s="286"/>
      <c r="BD364" s="286"/>
      <c r="BE364" s="286"/>
      <c r="BF364" s="286"/>
      <c r="BG364" s="286"/>
      <c r="BH364" s="286"/>
      <c r="BI364" s="286"/>
      <c r="BJ364" s="286"/>
      <c r="BK364" s="286"/>
      <c r="BL364" s="286"/>
      <c r="BM364" s="286"/>
      <c r="BN364" s="286"/>
      <c r="BO364" s="286"/>
      <c r="BP364" s="286"/>
      <c r="BQ364" s="286"/>
      <c r="BR364" s="286"/>
      <c r="BS364" s="286"/>
      <c r="BT364" s="286"/>
      <c r="BU364" s="286"/>
      <c r="BV364" s="286"/>
      <c r="BW364" s="286"/>
      <c r="BX364" s="286"/>
      <c r="BY364" s="286"/>
      <c r="BZ364" s="286"/>
      <c r="CA364" s="286"/>
      <c r="CB364" s="286"/>
      <c r="CC364" s="286"/>
      <c r="CD364" s="286"/>
      <c r="CE364" s="286"/>
      <c r="CF364" s="286"/>
      <c r="CG364" s="286"/>
      <c r="CH364" s="286"/>
      <c r="CI364" s="286"/>
      <c r="CJ364" s="286"/>
      <c r="CK364" s="286"/>
      <c r="CL364" s="286"/>
      <c r="CM364" s="286"/>
      <c r="CN364" s="286"/>
      <c r="CO364" s="286"/>
      <c r="CP364" s="286"/>
      <c r="CQ364" s="286"/>
      <c r="CR364" s="286"/>
      <c r="CS364" s="286"/>
      <c r="CT364" s="286"/>
      <c r="CU364" s="286"/>
      <c r="CV364" s="286"/>
      <c r="CW364" s="286"/>
      <c r="CX364" s="286"/>
      <c r="CY364" s="286"/>
      <c r="CZ364" s="286"/>
      <c r="DA364" s="286"/>
      <c r="DB364" s="286"/>
      <c r="DC364" s="286"/>
      <c r="DD364" s="286"/>
      <c r="DE364" s="286"/>
      <c r="DF364" s="286"/>
      <c r="DG364" s="286"/>
      <c r="DH364" s="286"/>
      <c r="DI364" s="286"/>
      <c r="DJ364" s="286"/>
      <c r="DK364" s="286"/>
      <c r="DL364" s="286"/>
      <c r="DM364" s="286"/>
      <c r="DN364" s="286"/>
      <c r="DO364" s="286"/>
      <c r="DP364" s="286"/>
      <c r="DQ364" s="286"/>
      <c r="DR364" s="286"/>
      <c r="DS364" s="286"/>
      <c r="DT364" s="286"/>
      <c r="DU364" s="286"/>
      <c r="DV364" s="286"/>
      <c r="DW364" s="286"/>
      <c r="DX364" s="286"/>
      <c r="DY364" s="286"/>
      <c r="DZ364" s="286"/>
      <c r="EA364" s="286"/>
      <c r="EB364" s="286"/>
      <c r="EC364" s="286"/>
      <c r="ED364" s="286"/>
      <c r="EE364" s="286"/>
      <c r="EF364" s="286"/>
      <c r="EG364" s="286"/>
      <c r="EH364" s="286"/>
      <c r="EI364" s="286"/>
      <c r="EJ364" s="286"/>
      <c r="EK364" s="286"/>
      <c r="EL364" s="286"/>
      <c r="EM364" s="286"/>
      <c r="EN364" s="286"/>
      <c r="EO364" s="286"/>
      <c r="EP364" s="286"/>
      <c r="EQ364" s="286"/>
      <c r="ER364" s="286"/>
      <c r="ES364" s="286"/>
      <c r="ET364" s="286"/>
      <c r="EU364" s="286"/>
      <c r="EV364" s="286"/>
      <c r="EW364" s="286"/>
      <c r="EX364" s="286"/>
      <c r="EY364" s="286"/>
      <c r="EZ364" s="286"/>
      <c r="FA364" s="286"/>
      <c r="FB364" s="286"/>
      <c r="FC364" s="286"/>
      <c r="FD364" s="286"/>
      <c r="FE364" s="286"/>
      <c r="FF364" s="286"/>
      <c r="FG364" s="286"/>
      <c r="FH364" s="286"/>
      <c r="FI364" s="286"/>
      <c r="FJ364" s="286"/>
      <c r="FK364" s="286"/>
      <c r="FL364" s="286"/>
      <c r="FM364" s="286"/>
      <c r="FN364" s="286"/>
      <c r="FO364" s="286"/>
      <c r="FP364" s="286"/>
      <c r="FQ364" s="286"/>
      <c r="FR364" s="286"/>
      <c r="FS364" s="286"/>
    </row>
    <row r="365" spans="1:175">
      <c r="A365" s="212" t="s">
        <v>3159</v>
      </c>
      <c r="B365" s="212" t="s">
        <v>3160</v>
      </c>
      <c r="C365" s="212" t="s">
        <v>3172</v>
      </c>
      <c r="D365" s="212" t="s">
        <v>3492</v>
      </c>
      <c r="E365" s="212" t="s">
        <v>3533</v>
      </c>
      <c r="F365" s="278">
        <v>46</v>
      </c>
      <c r="G365" s="278">
        <v>1232</v>
      </c>
      <c r="H365" s="287">
        <f t="shared" si="5"/>
        <v>19.155844155844157</v>
      </c>
      <c r="I365" s="286">
        <v>2</v>
      </c>
      <c r="J365" s="286">
        <v>236</v>
      </c>
      <c r="K365" s="286">
        <v>61</v>
      </c>
      <c r="L365" s="286">
        <v>175</v>
      </c>
      <c r="M365" s="286">
        <v>236</v>
      </c>
      <c r="N365" s="286">
        <v>61</v>
      </c>
      <c r="O365" s="286">
        <v>175</v>
      </c>
      <c r="P365" s="286">
        <v>2</v>
      </c>
      <c r="Q365" s="286">
        <v>236</v>
      </c>
      <c r="R365" s="286">
        <v>61</v>
      </c>
      <c r="S365" s="286">
        <v>175</v>
      </c>
      <c r="T365" s="286">
        <v>236</v>
      </c>
      <c r="U365" s="286">
        <v>61</v>
      </c>
      <c r="V365" s="286">
        <v>175</v>
      </c>
      <c r="W365" s="286"/>
      <c r="X365" s="286"/>
      <c r="Y365" s="286"/>
      <c r="Z365" s="286"/>
      <c r="AA365" s="286"/>
      <c r="AB365" s="286"/>
      <c r="AC365" s="286"/>
      <c r="AD365" s="286"/>
      <c r="AE365" s="286"/>
      <c r="AF365" s="286"/>
      <c r="AG365" s="286"/>
      <c r="AH365" s="286"/>
      <c r="AI365" s="286"/>
      <c r="AJ365" s="286"/>
      <c r="AK365" s="286"/>
      <c r="AL365" s="286"/>
      <c r="AM365" s="286"/>
      <c r="AN365" s="286"/>
      <c r="AO365" s="286"/>
      <c r="AP365" s="286"/>
      <c r="AQ365" s="286"/>
      <c r="AR365" s="286"/>
      <c r="AS365" s="286"/>
      <c r="AT365" s="286"/>
      <c r="AU365" s="286"/>
      <c r="AV365" s="286"/>
      <c r="AW365" s="286"/>
      <c r="AX365" s="286"/>
      <c r="AY365" s="286"/>
      <c r="AZ365" s="286"/>
      <c r="BA365" s="286"/>
      <c r="BB365" s="286"/>
      <c r="BC365" s="286"/>
      <c r="BD365" s="286"/>
      <c r="BE365" s="286"/>
      <c r="BF365" s="286"/>
      <c r="BG365" s="286"/>
      <c r="BH365" s="286"/>
      <c r="BI365" s="286"/>
      <c r="BJ365" s="286"/>
      <c r="BK365" s="286"/>
      <c r="BL365" s="286"/>
      <c r="BM365" s="286"/>
      <c r="BN365" s="286"/>
      <c r="BO365" s="286"/>
      <c r="BP365" s="286"/>
      <c r="BQ365" s="286"/>
      <c r="BR365" s="286"/>
      <c r="BS365" s="286"/>
      <c r="BT365" s="286"/>
      <c r="BU365" s="286"/>
      <c r="BV365" s="286"/>
      <c r="BW365" s="286"/>
      <c r="BX365" s="286"/>
      <c r="BY365" s="286"/>
      <c r="BZ365" s="286"/>
      <c r="CA365" s="286"/>
      <c r="CB365" s="286"/>
      <c r="CC365" s="286"/>
      <c r="CD365" s="286"/>
      <c r="CE365" s="286"/>
      <c r="CF365" s="286"/>
      <c r="CG365" s="286"/>
      <c r="CH365" s="286"/>
      <c r="CI365" s="286"/>
      <c r="CJ365" s="286"/>
      <c r="CK365" s="286"/>
      <c r="CL365" s="286"/>
      <c r="CM365" s="286"/>
      <c r="CN365" s="286"/>
      <c r="CO365" s="286"/>
      <c r="CP365" s="286"/>
      <c r="CQ365" s="286"/>
      <c r="CR365" s="286"/>
      <c r="CS365" s="286"/>
      <c r="CT365" s="286"/>
      <c r="CU365" s="286"/>
      <c r="CV365" s="286"/>
      <c r="CW365" s="286"/>
      <c r="CX365" s="286"/>
      <c r="CY365" s="286"/>
      <c r="CZ365" s="286"/>
      <c r="DA365" s="286"/>
      <c r="DB365" s="286"/>
      <c r="DC365" s="286"/>
      <c r="DD365" s="286"/>
      <c r="DE365" s="286"/>
      <c r="DF365" s="286"/>
      <c r="DG365" s="286"/>
      <c r="DH365" s="286"/>
      <c r="DI365" s="286"/>
      <c r="DJ365" s="286"/>
      <c r="DK365" s="286"/>
      <c r="DL365" s="286"/>
      <c r="DM365" s="286"/>
      <c r="DN365" s="286"/>
      <c r="DO365" s="286"/>
      <c r="DP365" s="286"/>
      <c r="DQ365" s="286"/>
      <c r="DR365" s="286"/>
      <c r="DS365" s="286"/>
      <c r="DT365" s="286"/>
      <c r="DU365" s="286"/>
      <c r="DV365" s="286"/>
      <c r="DW365" s="286"/>
      <c r="DX365" s="286"/>
      <c r="DY365" s="286"/>
      <c r="DZ365" s="286"/>
      <c r="EA365" s="286"/>
      <c r="EB365" s="286"/>
      <c r="EC365" s="286"/>
      <c r="ED365" s="286"/>
      <c r="EE365" s="286"/>
      <c r="EF365" s="286"/>
      <c r="EG365" s="286"/>
      <c r="EH365" s="286"/>
      <c r="EI365" s="286"/>
      <c r="EJ365" s="286"/>
      <c r="EK365" s="286"/>
      <c r="EL365" s="286"/>
      <c r="EM365" s="286"/>
      <c r="EN365" s="286"/>
      <c r="EO365" s="286"/>
      <c r="EP365" s="286"/>
      <c r="EQ365" s="286"/>
      <c r="ER365" s="286"/>
      <c r="ES365" s="286"/>
      <c r="ET365" s="286"/>
      <c r="EU365" s="286"/>
      <c r="EV365" s="286"/>
      <c r="EW365" s="286"/>
      <c r="EX365" s="286"/>
      <c r="EY365" s="286"/>
      <c r="EZ365" s="286"/>
      <c r="FA365" s="286"/>
      <c r="FB365" s="286"/>
      <c r="FC365" s="286"/>
      <c r="FD365" s="286"/>
      <c r="FE365" s="286"/>
      <c r="FF365" s="286"/>
      <c r="FG365" s="286"/>
      <c r="FH365" s="286"/>
      <c r="FI365" s="286"/>
      <c r="FJ365" s="286"/>
      <c r="FK365" s="286"/>
      <c r="FL365" s="286"/>
      <c r="FM365" s="286"/>
      <c r="FN365" s="286"/>
      <c r="FO365" s="286"/>
      <c r="FP365" s="286"/>
      <c r="FQ365" s="286"/>
      <c r="FR365" s="286"/>
      <c r="FS365" s="286"/>
    </row>
    <row r="366" spans="1:175">
      <c r="A366" s="212" t="s">
        <v>3159</v>
      </c>
      <c r="B366" s="212" t="s">
        <v>3160</v>
      </c>
      <c r="C366" s="212" t="s">
        <v>3172</v>
      </c>
      <c r="D366" s="212" t="s">
        <v>3492</v>
      </c>
      <c r="E366" s="212" t="s">
        <v>3534</v>
      </c>
      <c r="F366" s="278">
        <v>335</v>
      </c>
      <c r="G366" s="278">
        <v>102320</v>
      </c>
      <c r="H366" s="287">
        <f t="shared" si="5"/>
        <v>4.5562939796716186</v>
      </c>
      <c r="I366" s="286">
        <v>14</v>
      </c>
      <c r="J366" s="286">
        <v>4662</v>
      </c>
      <c r="K366" s="286">
        <v>3359</v>
      </c>
      <c r="L366" s="286">
        <v>1303</v>
      </c>
      <c r="M366" s="286">
        <v>4425</v>
      </c>
      <c r="N366" s="286">
        <v>3254</v>
      </c>
      <c r="O366" s="286">
        <v>1171</v>
      </c>
      <c r="P366" s="286">
        <v>14</v>
      </c>
      <c r="Q366" s="286">
        <v>4662</v>
      </c>
      <c r="R366" s="286">
        <v>3359</v>
      </c>
      <c r="S366" s="286">
        <v>1303</v>
      </c>
      <c r="T366" s="286">
        <v>4425</v>
      </c>
      <c r="U366" s="286">
        <v>3254</v>
      </c>
      <c r="V366" s="286">
        <v>1171</v>
      </c>
      <c r="W366" s="286"/>
      <c r="X366" s="286"/>
      <c r="Y366" s="286"/>
      <c r="Z366" s="286"/>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6"/>
      <c r="BD366" s="286"/>
      <c r="BE366" s="286"/>
      <c r="BF366" s="286"/>
      <c r="BG366" s="286"/>
      <c r="BH366" s="286"/>
      <c r="BI366" s="286"/>
      <c r="BJ366" s="286"/>
      <c r="BK366" s="286"/>
      <c r="BL366" s="286"/>
      <c r="BM366" s="286"/>
      <c r="BN366" s="286"/>
      <c r="BO366" s="286"/>
      <c r="BP366" s="286"/>
      <c r="BQ366" s="286"/>
      <c r="BR366" s="286"/>
      <c r="BS366" s="286"/>
      <c r="BT366" s="286"/>
      <c r="BU366" s="286"/>
      <c r="BV366" s="286"/>
      <c r="BW366" s="286"/>
      <c r="BX366" s="286"/>
      <c r="BY366" s="286"/>
      <c r="BZ366" s="286"/>
      <c r="CA366" s="286"/>
      <c r="CB366" s="286"/>
      <c r="CC366" s="286"/>
      <c r="CD366" s="286"/>
      <c r="CE366" s="286"/>
      <c r="CF366" s="286"/>
      <c r="CG366" s="286"/>
      <c r="CH366" s="286"/>
      <c r="CI366" s="286"/>
      <c r="CJ366" s="286"/>
      <c r="CK366" s="286"/>
      <c r="CL366" s="286"/>
      <c r="CM366" s="286"/>
      <c r="CN366" s="286"/>
      <c r="CO366" s="286"/>
      <c r="CP366" s="286"/>
      <c r="CQ366" s="286"/>
      <c r="CR366" s="286"/>
      <c r="CS366" s="286"/>
      <c r="CT366" s="286"/>
      <c r="CU366" s="286"/>
      <c r="CV366" s="286"/>
      <c r="CW366" s="286"/>
      <c r="CX366" s="286"/>
      <c r="CY366" s="286"/>
      <c r="CZ366" s="286"/>
      <c r="DA366" s="286"/>
      <c r="DB366" s="286"/>
      <c r="DC366" s="286"/>
      <c r="DD366" s="286"/>
      <c r="DE366" s="286"/>
      <c r="DF366" s="286"/>
      <c r="DG366" s="286"/>
      <c r="DH366" s="286"/>
      <c r="DI366" s="286"/>
      <c r="DJ366" s="286"/>
      <c r="DK366" s="286"/>
      <c r="DL366" s="286"/>
      <c r="DM366" s="286"/>
      <c r="DN366" s="286"/>
      <c r="DO366" s="286"/>
      <c r="DP366" s="286"/>
      <c r="DQ366" s="286"/>
      <c r="DR366" s="286"/>
      <c r="DS366" s="286"/>
      <c r="DT366" s="286"/>
      <c r="DU366" s="286"/>
      <c r="DV366" s="286"/>
      <c r="DW366" s="286"/>
      <c r="DX366" s="286"/>
      <c r="DY366" s="286"/>
      <c r="DZ366" s="286"/>
      <c r="EA366" s="286"/>
      <c r="EB366" s="286"/>
      <c r="EC366" s="286"/>
      <c r="ED366" s="286"/>
      <c r="EE366" s="286"/>
      <c r="EF366" s="286"/>
      <c r="EG366" s="286"/>
      <c r="EH366" s="286"/>
      <c r="EI366" s="286"/>
      <c r="EJ366" s="286"/>
      <c r="EK366" s="286"/>
      <c r="EL366" s="286"/>
      <c r="EM366" s="286"/>
      <c r="EN366" s="286"/>
      <c r="EO366" s="286"/>
      <c r="EP366" s="286"/>
      <c r="EQ366" s="286"/>
      <c r="ER366" s="286"/>
      <c r="ES366" s="286"/>
      <c r="ET366" s="286"/>
      <c r="EU366" s="286"/>
      <c r="EV366" s="286"/>
      <c r="EW366" s="286"/>
      <c r="EX366" s="286"/>
      <c r="EY366" s="286"/>
      <c r="EZ366" s="286"/>
      <c r="FA366" s="286"/>
      <c r="FB366" s="286"/>
      <c r="FC366" s="286"/>
      <c r="FD366" s="286"/>
      <c r="FE366" s="286"/>
      <c r="FF366" s="286"/>
      <c r="FG366" s="286"/>
      <c r="FH366" s="286"/>
      <c r="FI366" s="286"/>
      <c r="FJ366" s="286"/>
      <c r="FK366" s="286"/>
      <c r="FL366" s="286"/>
      <c r="FM366" s="286"/>
      <c r="FN366" s="286"/>
      <c r="FO366" s="286"/>
      <c r="FP366" s="286"/>
      <c r="FQ366" s="286"/>
      <c r="FR366" s="286"/>
      <c r="FS366" s="286"/>
    </row>
    <row r="367" spans="1:175">
      <c r="A367" s="212" t="s">
        <v>3159</v>
      </c>
      <c r="B367" s="212" t="s">
        <v>3160</v>
      </c>
      <c r="C367" s="212" t="s">
        <v>3168</v>
      </c>
      <c r="D367" s="212" t="s">
        <v>3535</v>
      </c>
      <c r="E367" s="212" t="s">
        <v>3536</v>
      </c>
      <c r="F367" s="278">
        <v>1228968</v>
      </c>
      <c r="G367" s="278">
        <v>11612174</v>
      </c>
      <c r="H367" s="287">
        <f t="shared" si="5"/>
        <v>3.7630765780809003</v>
      </c>
      <c r="I367" s="286">
        <v>47973</v>
      </c>
      <c r="J367" s="286">
        <v>436975</v>
      </c>
      <c r="K367" s="286">
        <v>200581</v>
      </c>
      <c r="L367" s="286">
        <v>230980</v>
      </c>
      <c r="M367" s="286">
        <v>381364</v>
      </c>
      <c r="N367" s="286">
        <v>166318</v>
      </c>
      <c r="O367" s="286">
        <v>209646</v>
      </c>
      <c r="P367" s="286">
        <v>47973</v>
      </c>
      <c r="Q367" s="286">
        <v>436975</v>
      </c>
      <c r="R367" s="286">
        <v>200581</v>
      </c>
      <c r="S367" s="286">
        <v>230980</v>
      </c>
      <c r="T367" s="286">
        <v>381364</v>
      </c>
      <c r="U367" s="286">
        <v>166318</v>
      </c>
      <c r="V367" s="286">
        <v>209646</v>
      </c>
      <c r="W367" s="286"/>
      <c r="X367" s="286"/>
      <c r="Y367" s="286"/>
      <c r="Z367" s="286"/>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6"/>
      <c r="BD367" s="286"/>
      <c r="BE367" s="286"/>
      <c r="BF367" s="286"/>
      <c r="BG367" s="286"/>
      <c r="BH367" s="286"/>
      <c r="BI367" s="286"/>
      <c r="BJ367" s="286"/>
      <c r="BK367" s="286"/>
      <c r="BL367" s="286"/>
      <c r="BM367" s="286"/>
      <c r="BN367" s="286"/>
      <c r="BO367" s="286"/>
      <c r="BP367" s="286"/>
      <c r="BQ367" s="286"/>
      <c r="BR367" s="286"/>
      <c r="BS367" s="286"/>
      <c r="BT367" s="286"/>
      <c r="BU367" s="286"/>
      <c r="BV367" s="286"/>
      <c r="BW367" s="286"/>
      <c r="BX367" s="286"/>
      <c r="BY367" s="286"/>
      <c r="BZ367" s="286"/>
      <c r="CA367" s="286"/>
      <c r="CB367" s="286"/>
      <c r="CC367" s="286"/>
      <c r="CD367" s="286"/>
      <c r="CE367" s="286"/>
      <c r="CF367" s="286"/>
      <c r="CG367" s="286"/>
      <c r="CH367" s="286"/>
      <c r="CI367" s="286"/>
      <c r="CJ367" s="286"/>
      <c r="CK367" s="286"/>
      <c r="CL367" s="286"/>
      <c r="CM367" s="286"/>
      <c r="CN367" s="286"/>
      <c r="CO367" s="286"/>
      <c r="CP367" s="286"/>
      <c r="CQ367" s="286"/>
      <c r="CR367" s="286"/>
      <c r="CS367" s="286"/>
      <c r="CT367" s="286"/>
      <c r="CU367" s="286"/>
      <c r="CV367" s="286"/>
      <c r="CW367" s="286"/>
      <c r="CX367" s="286"/>
      <c r="CY367" s="286"/>
      <c r="CZ367" s="286"/>
      <c r="DA367" s="286"/>
      <c r="DB367" s="286"/>
      <c r="DC367" s="286"/>
      <c r="DD367" s="286"/>
      <c r="DE367" s="286"/>
      <c r="DF367" s="286"/>
      <c r="DG367" s="286"/>
      <c r="DH367" s="286"/>
      <c r="DI367" s="286"/>
      <c r="DJ367" s="286"/>
      <c r="DK367" s="286"/>
      <c r="DL367" s="286"/>
      <c r="DM367" s="286"/>
      <c r="DN367" s="286"/>
      <c r="DO367" s="286"/>
      <c r="DP367" s="286"/>
      <c r="DQ367" s="286"/>
      <c r="DR367" s="286"/>
      <c r="DS367" s="286"/>
      <c r="DT367" s="286"/>
      <c r="DU367" s="286"/>
      <c r="DV367" s="286"/>
      <c r="DW367" s="286"/>
      <c r="DX367" s="286"/>
      <c r="DY367" s="286"/>
      <c r="DZ367" s="286"/>
      <c r="EA367" s="286"/>
      <c r="EB367" s="286"/>
      <c r="EC367" s="286"/>
      <c r="ED367" s="286"/>
      <c r="EE367" s="286"/>
      <c r="EF367" s="286"/>
      <c r="EG367" s="286"/>
      <c r="EH367" s="286"/>
      <c r="EI367" s="286"/>
      <c r="EJ367" s="286"/>
      <c r="EK367" s="286"/>
      <c r="EL367" s="286"/>
      <c r="EM367" s="286"/>
      <c r="EN367" s="286"/>
      <c r="EO367" s="286"/>
      <c r="EP367" s="286"/>
      <c r="EQ367" s="286"/>
      <c r="ER367" s="286"/>
      <c r="ES367" s="286"/>
      <c r="ET367" s="286"/>
      <c r="EU367" s="286"/>
      <c r="EV367" s="286"/>
      <c r="EW367" s="286"/>
      <c r="EX367" s="286"/>
      <c r="EY367" s="286"/>
      <c r="EZ367" s="286"/>
      <c r="FA367" s="286"/>
      <c r="FB367" s="286"/>
      <c r="FC367" s="286"/>
      <c r="FD367" s="286"/>
      <c r="FE367" s="286"/>
      <c r="FF367" s="286"/>
      <c r="FG367" s="286"/>
      <c r="FH367" s="286"/>
      <c r="FI367" s="286"/>
      <c r="FJ367" s="286"/>
      <c r="FK367" s="286"/>
      <c r="FL367" s="286"/>
      <c r="FM367" s="286"/>
      <c r="FN367" s="286"/>
      <c r="FO367" s="286"/>
      <c r="FP367" s="286"/>
      <c r="FQ367" s="286"/>
      <c r="FR367" s="286"/>
      <c r="FS367" s="286"/>
    </row>
    <row r="368" spans="1:175">
      <c r="A368" s="212" t="s">
        <v>3159</v>
      </c>
      <c r="B368" s="212" t="s">
        <v>3160</v>
      </c>
      <c r="C368" s="212" t="s">
        <v>3459</v>
      </c>
      <c r="D368" s="212" t="s">
        <v>3537</v>
      </c>
      <c r="E368" s="212" t="s">
        <v>3538</v>
      </c>
      <c r="F368" s="278">
        <v>348890</v>
      </c>
      <c r="G368" s="278">
        <v>3900990</v>
      </c>
      <c r="H368" s="287">
        <f t="shared" si="5"/>
        <v>2.988882309362495</v>
      </c>
      <c r="I368" s="286">
        <v>12086</v>
      </c>
      <c r="J368" s="286">
        <v>116596</v>
      </c>
      <c r="K368" s="286">
        <v>75575</v>
      </c>
      <c r="L368" s="286">
        <v>40346</v>
      </c>
      <c r="M368" s="286">
        <v>99781</v>
      </c>
      <c r="N368" s="286">
        <v>63788</v>
      </c>
      <c r="O368" s="286">
        <v>35323</v>
      </c>
      <c r="P368" s="286">
        <v>12086</v>
      </c>
      <c r="Q368" s="286">
        <v>116596</v>
      </c>
      <c r="R368" s="286">
        <v>75575</v>
      </c>
      <c r="S368" s="286">
        <v>40346</v>
      </c>
      <c r="T368" s="286">
        <v>99781</v>
      </c>
      <c r="U368" s="286">
        <v>63788</v>
      </c>
      <c r="V368" s="286">
        <v>35323</v>
      </c>
      <c r="W368" s="286"/>
      <c r="X368" s="286"/>
      <c r="Y368" s="286"/>
      <c r="Z368" s="286"/>
      <c r="AA368" s="286"/>
      <c r="AB368" s="286"/>
      <c r="AC368" s="286"/>
      <c r="AD368" s="286"/>
      <c r="AE368" s="286"/>
      <c r="AF368" s="286"/>
      <c r="AG368" s="286"/>
      <c r="AH368" s="286"/>
      <c r="AI368" s="286"/>
      <c r="AJ368" s="286"/>
      <c r="AK368" s="286"/>
      <c r="AL368" s="286"/>
      <c r="AM368" s="286"/>
      <c r="AN368" s="286"/>
      <c r="AO368" s="286"/>
      <c r="AP368" s="286"/>
      <c r="AQ368" s="286"/>
      <c r="AR368" s="286"/>
      <c r="AS368" s="286"/>
      <c r="AT368" s="286"/>
      <c r="AU368" s="286"/>
      <c r="AV368" s="286"/>
      <c r="AW368" s="286"/>
      <c r="AX368" s="286"/>
      <c r="AY368" s="286"/>
      <c r="AZ368" s="286"/>
      <c r="BA368" s="286"/>
      <c r="BB368" s="286"/>
      <c r="BC368" s="286"/>
      <c r="BD368" s="286"/>
      <c r="BE368" s="286"/>
      <c r="BF368" s="286"/>
      <c r="BG368" s="286"/>
      <c r="BH368" s="286"/>
      <c r="BI368" s="286"/>
      <c r="BJ368" s="286"/>
      <c r="BK368" s="286"/>
      <c r="BL368" s="286"/>
      <c r="BM368" s="286"/>
      <c r="BN368" s="286"/>
      <c r="BO368" s="286"/>
      <c r="BP368" s="286"/>
      <c r="BQ368" s="286"/>
      <c r="BR368" s="286"/>
      <c r="BS368" s="286"/>
      <c r="BT368" s="286"/>
      <c r="BU368" s="286"/>
      <c r="BV368" s="286"/>
      <c r="BW368" s="286"/>
      <c r="BX368" s="286"/>
      <c r="BY368" s="286"/>
      <c r="BZ368" s="286"/>
      <c r="CA368" s="286"/>
      <c r="CB368" s="286"/>
      <c r="CC368" s="286"/>
      <c r="CD368" s="286"/>
      <c r="CE368" s="286"/>
      <c r="CF368" s="286"/>
      <c r="CG368" s="286"/>
      <c r="CH368" s="286"/>
      <c r="CI368" s="286"/>
      <c r="CJ368" s="286"/>
      <c r="CK368" s="286"/>
      <c r="CL368" s="286"/>
      <c r="CM368" s="286"/>
      <c r="CN368" s="286"/>
      <c r="CO368" s="286"/>
      <c r="CP368" s="286"/>
      <c r="CQ368" s="286"/>
      <c r="CR368" s="286"/>
      <c r="CS368" s="286"/>
      <c r="CT368" s="286"/>
      <c r="CU368" s="286"/>
      <c r="CV368" s="286"/>
      <c r="CW368" s="286"/>
      <c r="CX368" s="286"/>
      <c r="CY368" s="286"/>
      <c r="CZ368" s="286"/>
      <c r="DA368" s="286"/>
      <c r="DB368" s="286"/>
      <c r="DC368" s="286"/>
      <c r="DD368" s="286"/>
      <c r="DE368" s="286"/>
      <c r="DF368" s="286"/>
      <c r="DG368" s="286"/>
      <c r="DH368" s="286"/>
      <c r="DI368" s="286"/>
      <c r="DJ368" s="286"/>
      <c r="DK368" s="286"/>
      <c r="DL368" s="286"/>
      <c r="DM368" s="286"/>
      <c r="DN368" s="286"/>
      <c r="DO368" s="286"/>
      <c r="DP368" s="286"/>
      <c r="DQ368" s="286"/>
      <c r="DR368" s="286"/>
      <c r="DS368" s="286"/>
      <c r="DT368" s="286"/>
      <c r="DU368" s="286"/>
      <c r="DV368" s="286"/>
      <c r="DW368" s="286"/>
      <c r="DX368" s="286"/>
      <c r="DY368" s="286"/>
      <c r="DZ368" s="286"/>
      <c r="EA368" s="286"/>
      <c r="EB368" s="286"/>
      <c r="EC368" s="286"/>
      <c r="ED368" s="286"/>
      <c r="EE368" s="286"/>
      <c r="EF368" s="286"/>
      <c r="EG368" s="286"/>
      <c r="EH368" s="286"/>
      <c r="EI368" s="286"/>
      <c r="EJ368" s="286"/>
      <c r="EK368" s="286"/>
      <c r="EL368" s="286"/>
      <c r="EM368" s="286"/>
      <c r="EN368" s="286"/>
      <c r="EO368" s="286"/>
      <c r="EP368" s="286"/>
      <c r="EQ368" s="286"/>
      <c r="ER368" s="286"/>
      <c r="ES368" s="286"/>
      <c r="ET368" s="286"/>
      <c r="EU368" s="286"/>
      <c r="EV368" s="286"/>
      <c r="EW368" s="286"/>
      <c r="EX368" s="286"/>
      <c r="EY368" s="286"/>
      <c r="EZ368" s="286"/>
      <c r="FA368" s="286"/>
      <c r="FB368" s="286"/>
      <c r="FC368" s="286"/>
      <c r="FD368" s="286"/>
      <c r="FE368" s="286"/>
      <c r="FF368" s="286"/>
      <c r="FG368" s="286"/>
      <c r="FH368" s="286"/>
      <c r="FI368" s="286"/>
      <c r="FJ368" s="286"/>
      <c r="FK368" s="286"/>
      <c r="FL368" s="286"/>
      <c r="FM368" s="286"/>
      <c r="FN368" s="286"/>
      <c r="FO368" s="286"/>
      <c r="FP368" s="286"/>
      <c r="FQ368" s="286"/>
      <c r="FR368" s="286"/>
      <c r="FS368" s="286"/>
    </row>
    <row r="369" spans="1:175">
      <c r="A369" s="212" t="s">
        <v>3159</v>
      </c>
      <c r="B369" s="212" t="s">
        <v>3160</v>
      </c>
      <c r="C369" s="212" t="s">
        <v>3170</v>
      </c>
      <c r="D369" s="212" t="s">
        <v>3537</v>
      </c>
      <c r="E369" s="212" t="s">
        <v>3539</v>
      </c>
      <c r="F369" s="278">
        <v>1694</v>
      </c>
      <c r="G369" s="278">
        <v>40728</v>
      </c>
      <c r="H369" s="287">
        <f t="shared" si="5"/>
        <v>1.6057748968768417</v>
      </c>
      <c r="I369" s="286">
        <v>57</v>
      </c>
      <c r="J369" s="286">
        <v>654</v>
      </c>
      <c r="K369" s="286">
        <v>474</v>
      </c>
      <c r="L369" s="286">
        <v>180</v>
      </c>
      <c r="M369" s="286">
        <v>596</v>
      </c>
      <c r="N369" s="286">
        <v>438</v>
      </c>
      <c r="O369" s="286">
        <v>158</v>
      </c>
      <c r="P369" s="286">
        <v>57</v>
      </c>
      <c r="Q369" s="286">
        <v>654</v>
      </c>
      <c r="R369" s="286">
        <v>474</v>
      </c>
      <c r="S369" s="286">
        <v>180</v>
      </c>
      <c r="T369" s="286">
        <v>596</v>
      </c>
      <c r="U369" s="286">
        <v>438</v>
      </c>
      <c r="V369" s="286">
        <v>158</v>
      </c>
      <c r="W369" s="286"/>
      <c r="X369" s="286"/>
      <c r="Y369" s="286"/>
      <c r="Z369" s="286"/>
      <c r="AA369" s="286"/>
      <c r="AB369" s="286"/>
      <c r="AC369" s="286"/>
      <c r="AD369" s="286"/>
      <c r="AE369" s="286"/>
      <c r="AF369" s="286"/>
      <c r="AG369" s="286"/>
      <c r="AH369" s="286"/>
      <c r="AI369" s="286"/>
      <c r="AJ369" s="286"/>
      <c r="AK369" s="286"/>
      <c r="AL369" s="286"/>
      <c r="AM369" s="286"/>
      <c r="AN369" s="286"/>
      <c r="AO369" s="286"/>
      <c r="AP369" s="286"/>
      <c r="AQ369" s="286"/>
      <c r="AR369" s="286"/>
      <c r="AS369" s="286"/>
      <c r="AT369" s="286"/>
      <c r="AU369" s="286"/>
      <c r="AV369" s="286"/>
      <c r="AW369" s="286"/>
      <c r="AX369" s="286"/>
      <c r="AY369" s="286"/>
      <c r="AZ369" s="286"/>
      <c r="BA369" s="286"/>
      <c r="BB369" s="286"/>
      <c r="BC369" s="286"/>
      <c r="BD369" s="286"/>
      <c r="BE369" s="286"/>
      <c r="BF369" s="286"/>
      <c r="BG369" s="286"/>
      <c r="BH369" s="286"/>
      <c r="BI369" s="286"/>
      <c r="BJ369" s="286"/>
      <c r="BK369" s="286"/>
      <c r="BL369" s="286"/>
      <c r="BM369" s="286"/>
      <c r="BN369" s="286"/>
      <c r="BO369" s="286"/>
      <c r="BP369" s="286"/>
      <c r="BQ369" s="286"/>
      <c r="BR369" s="286"/>
      <c r="BS369" s="286"/>
      <c r="BT369" s="286"/>
      <c r="BU369" s="286"/>
      <c r="BV369" s="286"/>
      <c r="BW369" s="286"/>
      <c r="BX369" s="286"/>
      <c r="BY369" s="286"/>
      <c r="BZ369" s="286"/>
      <c r="CA369" s="286"/>
      <c r="CB369" s="286"/>
      <c r="CC369" s="286"/>
      <c r="CD369" s="286"/>
      <c r="CE369" s="286"/>
      <c r="CF369" s="286"/>
      <c r="CG369" s="286"/>
      <c r="CH369" s="286"/>
      <c r="CI369" s="286"/>
      <c r="CJ369" s="286"/>
      <c r="CK369" s="286"/>
      <c r="CL369" s="286"/>
      <c r="CM369" s="286"/>
      <c r="CN369" s="286"/>
      <c r="CO369" s="286"/>
      <c r="CP369" s="286"/>
      <c r="CQ369" s="286"/>
      <c r="CR369" s="286"/>
      <c r="CS369" s="286"/>
      <c r="CT369" s="286"/>
      <c r="CU369" s="286"/>
      <c r="CV369" s="286"/>
      <c r="CW369" s="286"/>
      <c r="CX369" s="286"/>
      <c r="CY369" s="286"/>
      <c r="CZ369" s="286"/>
      <c r="DA369" s="286"/>
      <c r="DB369" s="286"/>
      <c r="DC369" s="286"/>
      <c r="DD369" s="286"/>
      <c r="DE369" s="286"/>
      <c r="DF369" s="286"/>
      <c r="DG369" s="286"/>
      <c r="DH369" s="286"/>
      <c r="DI369" s="286"/>
      <c r="DJ369" s="286"/>
      <c r="DK369" s="286"/>
      <c r="DL369" s="286"/>
      <c r="DM369" s="286"/>
      <c r="DN369" s="286"/>
      <c r="DO369" s="286"/>
      <c r="DP369" s="286"/>
      <c r="DQ369" s="286"/>
      <c r="DR369" s="286"/>
      <c r="DS369" s="286"/>
      <c r="DT369" s="286"/>
      <c r="DU369" s="286"/>
      <c r="DV369" s="286"/>
      <c r="DW369" s="286"/>
      <c r="DX369" s="286"/>
      <c r="DY369" s="286"/>
      <c r="DZ369" s="286"/>
      <c r="EA369" s="286"/>
      <c r="EB369" s="286"/>
      <c r="EC369" s="286"/>
      <c r="ED369" s="286"/>
      <c r="EE369" s="286"/>
      <c r="EF369" s="286"/>
      <c r="EG369" s="286"/>
      <c r="EH369" s="286"/>
      <c r="EI369" s="286"/>
      <c r="EJ369" s="286"/>
      <c r="EK369" s="286"/>
      <c r="EL369" s="286"/>
      <c r="EM369" s="286"/>
      <c r="EN369" s="286"/>
      <c r="EO369" s="286"/>
      <c r="EP369" s="286"/>
      <c r="EQ369" s="286"/>
      <c r="ER369" s="286"/>
      <c r="ES369" s="286"/>
      <c r="ET369" s="286"/>
      <c r="EU369" s="286"/>
      <c r="EV369" s="286"/>
      <c r="EW369" s="286"/>
      <c r="EX369" s="286"/>
      <c r="EY369" s="286"/>
      <c r="EZ369" s="286"/>
      <c r="FA369" s="286"/>
      <c r="FB369" s="286"/>
      <c r="FC369" s="286"/>
      <c r="FD369" s="286"/>
      <c r="FE369" s="286"/>
      <c r="FF369" s="286"/>
      <c r="FG369" s="286"/>
      <c r="FH369" s="286"/>
      <c r="FI369" s="286"/>
      <c r="FJ369" s="286"/>
      <c r="FK369" s="286"/>
      <c r="FL369" s="286"/>
      <c r="FM369" s="286"/>
      <c r="FN369" s="286"/>
      <c r="FO369" s="286"/>
      <c r="FP369" s="286"/>
      <c r="FQ369" s="286"/>
      <c r="FR369" s="286"/>
      <c r="FS369" s="286"/>
    </row>
    <row r="370" spans="1:175">
      <c r="A370" s="212" t="s">
        <v>3159</v>
      </c>
      <c r="B370" s="212" t="s">
        <v>3160</v>
      </c>
      <c r="C370" s="212" t="s">
        <v>3172</v>
      </c>
      <c r="D370" s="212" t="s">
        <v>3537</v>
      </c>
      <c r="E370" s="212" t="s">
        <v>3540</v>
      </c>
      <c r="F370" s="278">
        <v>21</v>
      </c>
      <c r="G370" s="278">
        <v>340</v>
      </c>
      <c r="H370" s="287">
        <f t="shared" si="5"/>
        <v>4.7058823529411766</v>
      </c>
      <c r="I370" s="286">
        <v>2</v>
      </c>
      <c r="J370" s="286">
        <v>16</v>
      </c>
      <c r="K370" s="286">
        <v>13</v>
      </c>
      <c r="L370" s="286">
        <v>3</v>
      </c>
      <c r="M370" s="286">
        <v>15</v>
      </c>
      <c r="N370" s="286">
        <v>12</v>
      </c>
      <c r="O370" s="286">
        <v>3</v>
      </c>
      <c r="P370" s="286">
        <v>2</v>
      </c>
      <c r="Q370" s="286">
        <v>16</v>
      </c>
      <c r="R370" s="286">
        <v>13</v>
      </c>
      <c r="S370" s="286">
        <v>3</v>
      </c>
      <c r="T370" s="286">
        <v>15</v>
      </c>
      <c r="U370" s="286">
        <v>12</v>
      </c>
      <c r="V370" s="286">
        <v>3</v>
      </c>
      <c r="W370" s="286"/>
      <c r="X370" s="286"/>
      <c r="Y370" s="286"/>
      <c r="Z370" s="286"/>
      <c r="AA370" s="286"/>
      <c r="AB370" s="286"/>
      <c r="AC370" s="286"/>
      <c r="AD370" s="286"/>
      <c r="AE370" s="286"/>
      <c r="AF370" s="286"/>
      <c r="AG370" s="286"/>
      <c r="AH370" s="286"/>
      <c r="AI370" s="286"/>
      <c r="AJ370" s="286"/>
      <c r="AK370" s="286"/>
      <c r="AL370" s="286"/>
      <c r="AM370" s="286"/>
      <c r="AN370" s="286"/>
      <c r="AO370" s="286"/>
      <c r="AP370" s="286"/>
      <c r="AQ370" s="286"/>
      <c r="AR370" s="286"/>
      <c r="AS370" s="286"/>
      <c r="AT370" s="286"/>
      <c r="AU370" s="286"/>
      <c r="AV370" s="286"/>
      <c r="AW370" s="286"/>
      <c r="AX370" s="286"/>
      <c r="AY370" s="286"/>
      <c r="AZ370" s="286"/>
      <c r="BA370" s="286"/>
      <c r="BB370" s="286"/>
      <c r="BC370" s="286"/>
      <c r="BD370" s="286"/>
      <c r="BE370" s="286"/>
      <c r="BF370" s="286"/>
      <c r="BG370" s="286"/>
      <c r="BH370" s="286"/>
      <c r="BI370" s="286"/>
      <c r="BJ370" s="286"/>
      <c r="BK370" s="286"/>
      <c r="BL370" s="286"/>
      <c r="BM370" s="286"/>
      <c r="BN370" s="286"/>
      <c r="BO370" s="286"/>
      <c r="BP370" s="286"/>
      <c r="BQ370" s="286"/>
      <c r="BR370" s="286"/>
      <c r="BS370" s="286"/>
      <c r="BT370" s="286"/>
      <c r="BU370" s="286"/>
      <c r="BV370" s="286"/>
      <c r="BW370" s="286"/>
      <c r="BX370" s="286"/>
      <c r="BY370" s="286"/>
      <c r="BZ370" s="286"/>
      <c r="CA370" s="286"/>
      <c r="CB370" s="286"/>
      <c r="CC370" s="286"/>
      <c r="CD370" s="286"/>
      <c r="CE370" s="286"/>
      <c r="CF370" s="286"/>
      <c r="CG370" s="286"/>
      <c r="CH370" s="286"/>
      <c r="CI370" s="286"/>
      <c r="CJ370" s="286"/>
      <c r="CK370" s="286"/>
      <c r="CL370" s="286"/>
      <c r="CM370" s="286"/>
      <c r="CN370" s="286"/>
      <c r="CO370" s="286"/>
      <c r="CP370" s="286"/>
      <c r="CQ370" s="286"/>
      <c r="CR370" s="286"/>
      <c r="CS370" s="286"/>
      <c r="CT370" s="286"/>
      <c r="CU370" s="286"/>
      <c r="CV370" s="286"/>
      <c r="CW370" s="286"/>
      <c r="CX370" s="286"/>
      <c r="CY370" s="286"/>
      <c r="CZ370" s="286"/>
      <c r="DA370" s="286"/>
      <c r="DB370" s="286"/>
      <c r="DC370" s="286"/>
      <c r="DD370" s="286"/>
      <c r="DE370" s="286"/>
      <c r="DF370" s="286"/>
      <c r="DG370" s="286"/>
      <c r="DH370" s="286"/>
      <c r="DI370" s="286"/>
      <c r="DJ370" s="286"/>
      <c r="DK370" s="286"/>
      <c r="DL370" s="286"/>
      <c r="DM370" s="286"/>
      <c r="DN370" s="286"/>
      <c r="DO370" s="286"/>
      <c r="DP370" s="286"/>
      <c r="DQ370" s="286"/>
      <c r="DR370" s="286"/>
      <c r="DS370" s="286"/>
      <c r="DT370" s="286"/>
      <c r="DU370" s="286"/>
      <c r="DV370" s="286"/>
      <c r="DW370" s="286"/>
      <c r="DX370" s="286"/>
      <c r="DY370" s="286"/>
      <c r="DZ370" s="286"/>
      <c r="EA370" s="286"/>
      <c r="EB370" s="286"/>
      <c r="EC370" s="286"/>
      <c r="ED370" s="286"/>
      <c r="EE370" s="286"/>
      <c r="EF370" s="286"/>
      <c r="EG370" s="286"/>
      <c r="EH370" s="286"/>
      <c r="EI370" s="286"/>
      <c r="EJ370" s="286"/>
      <c r="EK370" s="286"/>
      <c r="EL370" s="286"/>
      <c r="EM370" s="286"/>
      <c r="EN370" s="286"/>
      <c r="EO370" s="286"/>
      <c r="EP370" s="286"/>
      <c r="EQ370" s="286"/>
      <c r="ER370" s="286"/>
      <c r="ES370" s="286"/>
      <c r="ET370" s="286"/>
      <c r="EU370" s="286"/>
      <c r="EV370" s="286"/>
      <c r="EW370" s="286"/>
      <c r="EX370" s="286"/>
      <c r="EY370" s="286"/>
      <c r="EZ370" s="286"/>
      <c r="FA370" s="286"/>
      <c r="FB370" s="286"/>
      <c r="FC370" s="286"/>
      <c r="FD370" s="286"/>
      <c r="FE370" s="286"/>
      <c r="FF370" s="286"/>
      <c r="FG370" s="286"/>
      <c r="FH370" s="286"/>
      <c r="FI370" s="286"/>
      <c r="FJ370" s="286"/>
      <c r="FK370" s="286"/>
      <c r="FL370" s="286"/>
      <c r="FM370" s="286"/>
      <c r="FN370" s="286"/>
      <c r="FO370" s="286"/>
      <c r="FP370" s="286"/>
      <c r="FQ370" s="286"/>
      <c r="FR370" s="286"/>
      <c r="FS370" s="286"/>
    </row>
    <row r="371" spans="1:175">
      <c r="A371" s="212" t="s">
        <v>3159</v>
      </c>
      <c r="B371" s="212" t="s">
        <v>3160</v>
      </c>
      <c r="C371" s="212" t="s">
        <v>3172</v>
      </c>
      <c r="D371" s="212" t="s">
        <v>3537</v>
      </c>
      <c r="E371" s="212" t="s">
        <v>3541</v>
      </c>
      <c r="F371" s="278">
        <v>1673</v>
      </c>
      <c r="G371" s="278">
        <v>40388</v>
      </c>
      <c r="H371" s="287">
        <f t="shared" si="5"/>
        <v>1.5796771318213332</v>
      </c>
      <c r="I371" s="286">
        <v>55</v>
      </c>
      <c r="J371" s="286">
        <v>638</v>
      </c>
      <c r="K371" s="286">
        <v>461</v>
      </c>
      <c r="L371" s="286">
        <v>177</v>
      </c>
      <c r="M371" s="286">
        <v>581</v>
      </c>
      <c r="N371" s="286">
        <v>426</v>
      </c>
      <c r="O371" s="286">
        <v>155</v>
      </c>
      <c r="P371" s="286">
        <v>55</v>
      </c>
      <c r="Q371" s="286">
        <v>638</v>
      </c>
      <c r="R371" s="286">
        <v>461</v>
      </c>
      <c r="S371" s="286">
        <v>177</v>
      </c>
      <c r="T371" s="286">
        <v>581</v>
      </c>
      <c r="U371" s="286">
        <v>426</v>
      </c>
      <c r="V371" s="286">
        <v>155</v>
      </c>
      <c r="W371" s="286"/>
      <c r="X371" s="286"/>
      <c r="Y371" s="286"/>
      <c r="Z371" s="286"/>
      <c r="AA371" s="286"/>
      <c r="AB371" s="286"/>
      <c r="AC371" s="286"/>
      <c r="AD371" s="286"/>
      <c r="AE371" s="286"/>
      <c r="AF371" s="286"/>
      <c r="AG371" s="286"/>
      <c r="AH371" s="286"/>
      <c r="AI371" s="286"/>
      <c r="AJ371" s="286"/>
      <c r="AK371" s="286"/>
      <c r="AL371" s="286"/>
      <c r="AM371" s="286"/>
      <c r="AN371" s="286"/>
      <c r="AO371" s="286"/>
      <c r="AP371" s="286"/>
      <c r="AQ371" s="286"/>
      <c r="AR371" s="286"/>
      <c r="AS371" s="286"/>
      <c r="AT371" s="286"/>
      <c r="AU371" s="286"/>
      <c r="AV371" s="286"/>
      <c r="AW371" s="286"/>
      <c r="AX371" s="286"/>
      <c r="AY371" s="286"/>
      <c r="AZ371" s="286"/>
      <c r="BA371" s="286"/>
      <c r="BB371" s="286"/>
      <c r="BC371" s="286"/>
      <c r="BD371" s="286"/>
      <c r="BE371" s="286"/>
      <c r="BF371" s="286"/>
      <c r="BG371" s="286"/>
      <c r="BH371" s="286"/>
      <c r="BI371" s="286"/>
      <c r="BJ371" s="286"/>
      <c r="BK371" s="286"/>
      <c r="BL371" s="286"/>
      <c r="BM371" s="286"/>
      <c r="BN371" s="286"/>
      <c r="BO371" s="286"/>
      <c r="BP371" s="286"/>
      <c r="BQ371" s="286"/>
      <c r="BR371" s="286"/>
      <c r="BS371" s="286"/>
      <c r="BT371" s="286"/>
      <c r="BU371" s="286"/>
      <c r="BV371" s="286"/>
      <c r="BW371" s="286"/>
      <c r="BX371" s="286"/>
      <c r="BY371" s="286"/>
      <c r="BZ371" s="286"/>
      <c r="CA371" s="286"/>
      <c r="CB371" s="286"/>
      <c r="CC371" s="286"/>
      <c r="CD371" s="286"/>
      <c r="CE371" s="286"/>
      <c r="CF371" s="286"/>
      <c r="CG371" s="286"/>
      <c r="CH371" s="286"/>
      <c r="CI371" s="286"/>
      <c r="CJ371" s="286"/>
      <c r="CK371" s="286"/>
      <c r="CL371" s="286"/>
      <c r="CM371" s="286"/>
      <c r="CN371" s="286"/>
      <c r="CO371" s="286"/>
      <c r="CP371" s="286"/>
      <c r="CQ371" s="286"/>
      <c r="CR371" s="286"/>
      <c r="CS371" s="286"/>
      <c r="CT371" s="286"/>
      <c r="CU371" s="286"/>
      <c r="CV371" s="286"/>
      <c r="CW371" s="286"/>
      <c r="CX371" s="286"/>
      <c r="CY371" s="286"/>
      <c r="CZ371" s="286"/>
      <c r="DA371" s="286"/>
      <c r="DB371" s="286"/>
      <c r="DC371" s="286"/>
      <c r="DD371" s="286"/>
      <c r="DE371" s="286"/>
      <c r="DF371" s="286"/>
      <c r="DG371" s="286"/>
      <c r="DH371" s="286"/>
      <c r="DI371" s="286"/>
      <c r="DJ371" s="286"/>
      <c r="DK371" s="286"/>
      <c r="DL371" s="286"/>
      <c r="DM371" s="286"/>
      <c r="DN371" s="286"/>
      <c r="DO371" s="286"/>
      <c r="DP371" s="286"/>
      <c r="DQ371" s="286"/>
      <c r="DR371" s="286"/>
      <c r="DS371" s="286"/>
      <c r="DT371" s="286"/>
      <c r="DU371" s="286"/>
      <c r="DV371" s="286"/>
      <c r="DW371" s="286"/>
      <c r="DX371" s="286"/>
      <c r="DY371" s="286"/>
      <c r="DZ371" s="286"/>
      <c r="EA371" s="286"/>
      <c r="EB371" s="286"/>
      <c r="EC371" s="286"/>
      <c r="ED371" s="286"/>
      <c r="EE371" s="286"/>
      <c r="EF371" s="286"/>
      <c r="EG371" s="286"/>
      <c r="EH371" s="286"/>
      <c r="EI371" s="286"/>
      <c r="EJ371" s="286"/>
      <c r="EK371" s="286"/>
      <c r="EL371" s="286"/>
      <c r="EM371" s="286"/>
      <c r="EN371" s="286"/>
      <c r="EO371" s="286"/>
      <c r="EP371" s="286"/>
      <c r="EQ371" s="286"/>
      <c r="ER371" s="286"/>
      <c r="ES371" s="286"/>
      <c r="ET371" s="286"/>
      <c r="EU371" s="286"/>
      <c r="EV371" s="286"/>
      <c r="EW371" s="286"/>
      <c r="EX371" s="286"/>
      <c r="EY371" s="286"/>
      <c r="EZ371" s="286"/>
      <c r="FA371" s="286"/>
      <c r="FB371" s="286"/>
      <c r="FC371" s="286"/>
      <c r="FD371" s="286"/>
      <c r="FE371" s="286"/>
      <c r="FF371" s="286"/>
      <c r="FG371" s="286"/>
      <c r="FH371" s="286"/>
      <c r="FI371" s="286"/>
      <c r="FJ371" s="286"/>
      <c r="FK371" s="286"/>
      <c r="FL371" s="286"/>
      <c r="FM371" s="286"/>
      <c r="FN371" s="286"/>
      <c r="FO371" s="286"/>
      <c r="FP371" s="286"/>
      <c r="FQ371" s="286"/>
      <c r="FR371" s="286"/>
      <c r="FS371" s="286"/>
    </row>
    <row r="372" spans="1:175">
      <c r="A372" s="212" t="s">
        <v>3159</v>
      </c>
      <c r="B372" s="212" t="s">
        <v>3160</v>
      </c>
      <c r="C372" s="212" t="s">
        <v>3432</v>
      </c>
      <c r="D372" s="212" t="s">
        <v>3537</v>
      </c>
      <c r="E372" s="212" t="s">
        <v>3542</v>
      </c>
      <c r="F372" s="278">
        <v>24</v>
      </c>
      <c r="G372" s="278">
        <v>22768</v>
      </c>
      <c r="H372" s="287">
        <f t="shared" si="5"/>
        <v>0</v>
      </c>
      <c r="I372" s="286">
        <v>0</v>
      </c>
      <c r="J372" s="286">
        <v>0</v>
      </c>
      <c r="K372" s="286">
        <v>0</v>
      </c>
      <c r="L372" s="286">
        <v>0</v>
      </c>
      <c r="M372" s="286">
        <v>0</v>
      </c>
      <c r="N372" s="286">
        <v>0</v>
      </c>
      <c r="O372" s="286">
        <v>0</v>
      </c>
      <c r="P372" s="286">
        <v>0</v>
      </c>
      <c r="Q372" s="286">
        <v>0</v>
      </c>
      <c r="R372" s="286">
        <v>0</v>
      </c>
      <c r="S372" s="286">
        <v>0</v>
      </c>
      <c r="T372" s="286">
        <v>0</v>
      </c>
      <c r="U372" s="286">
        <v>0</v>
      </c>
      <c r="V372" s="286">
        <v>0</v>
      </c>
      <c r="W372" s="286"/>
      <c r="X372" s="286"/>
      <c r="Y372" s="286"/>
      <c r="Z372" s="286"/>
      <c r="AA372" s="286"/>
      <c r="AB372" s="286"/>
      <c r="AC372" s="286"/>
      <c r="AD372" s="286"/>
      <c r="AE372" s="286"/>
      <c r="AF372" s="286"/>
      <c r="AG372" s="286"/>
      <c r="AH372" s="286"/>
      <c r="AI372" s="286"/>
      <c r="AJ372" s="286"/>
      <c r="AK372" s="286"/>
      <c r="AL372" s="286"/>
      <c r="AM372" s="286"/>
      <c r="AN372" s="286"/>
      <c r="AO372" s="286"/>
      <c r="AP372" s="286"/>
      <c r="AQ372" s="286"/>
      <c r="AR372" s="286"/>
      <c r="AS372" s="286"/>
      <c r="AT372" s="286"/>
      <c r="AU372" s="286"/>
      <c r="AV372" s="286"/>
      <c r="AW372" s="286"/>
      <c r="AX372" s="286"/>
      <c r="AY372" s="286"/>
      <c r="AZ372" s="286"/>
      <c r="BA372" s="286"/>
      <c r="BB372" s="286"/>
      <c r="BC372" s="286"/>
      <c r="BD372" s="286"/>
      <c r="BE372" s="286"/>
      <c r="BF372" s="286"/>
      <c r="BG372" s="286"/>
      <c r="BH372" s="286"/>
      <c r="BI372" s="286"/>
      <c r="BJ372" s="286"/>
      <c r="BK372" s="286"/>
      <c r="BL372" s="286"/>
      <c r="BM372" s="286"/>
      <c r="BN372" s="286"/>
      <c r="BO372" s="286"/>
      <c r="BP372" s="286"/>
      <c r="BQ372" s="286"/>
      <c r="BR372" s="286"/>
      <c r="BS372" s="286"/>
      <c r="BT372" s="286"/>
      <c r="BU372" s="286"/>
      <c r="BV372" s="286"/>
      <c r="BW372" s="286"/>
      <c r="BX372" s="286"/>
      <c r="BY372" s="286"/>
      <c r="BZ372" s="286"/>
      <c r="CA372" s="286"/>
      <c r="CB372" s="286"/>
      <c r="CC372" s="286"/>
      <c r="CD372" s="286"/>
      <c r="CE372" s="286"/>
      <c r="CF372" s="286"/>
      <c r="CG372" s="286"/>
      <c r="CH372" s="286"/>
      <c r="CI372" s="286"/>
      <c r="CJ372" s="286"/>
      <c r="CK372" s="286"/>
      <c r="CL372" s="286"/>
      <c r="CM372" s="286"/>
      <c r="CN372" s="286"/>
      <c r="CO372" s="286"/>
      <c r="CP372" s="286"/>
      <c r="CQ372" s="286"/>
      <c r="CR372" s="286"/>
      <c r="CS372" s="286"/>
      <c r="CT372" s="286"/>
      <c r="CU372" s="286"/>
      <c r="CV372" s="286"/>
      <c r="CW372" s="286"/>
      <c r="CX372" s="286"/>
      <c r="CY372" s="286"/>
      <c r="CZ372" s="286"/>
      <c r="DA372" s="286"/>
      <c r="DB372" s="286"/>
      <c r="DC372" s="286"/>
      <c r="DD372" s="286"/>
      <c r="DE372" s="286"/>
      <c r="DF372" s="286"/>
      <c r="DG372" s="286"/>
      <c r="DH372" s="286"/>
      <c r="DI372" s="286"/>
      <c r="DJ372" s="286"/>
      <c r="DK372" s="286"/>
      <c r="DL372" s="286"/>
      <c r="DM372" s="286"/>
      <c r="DN372" s="286"/>
      <c r="DO372" s="286"/>
      <c r="DP372" s="286"/>
      <c r="DQ372" s="286"/>
      <c r="DR372" s="286"/>
      <c r="DS372" s="286"/>
      <c r="DT372" s="286"/>
      <c r="DU372" s="286"/>
      <c r="DV372" s="286"/>
      <c r="DW372" s="286"/>
      <c r="DX372" s="286"/>
      <c r="DY372" s="286"/>
      <c r="DZ372" s="286"/>
      <c r="EA372" s="286"/>
      <c r="EB372" s="286"/>
      <c r="EC372" s="286"/>
      <c r="ED372" s="286"/>
      <c r="EE372" s="286"/>
      <c r="EF372" s="286"/>
      <c r="EG372" s="286"/>
      <c r="EH372" s="286"/>
      <c r="EI372" s="286"/>
      <c r="EJ372" s="286"/>
      <c r="EK372" s="286"/>
      <c r="EL372" s="286"/>
      <c r="EM372" s="286"/>
      <c r="EN372" s="286"/>
      <c r="EO372" s="286"/>
      <c r="EP372" s="286"/>
      <c r="EQ372" s="286"/>
      <c r="ER372" s="286"/>
      <c r="ES372" s="286"/>
      <c r="ET372" s="286"/>
      <c r="EU372" s="286"/>
      <c r="EV372" s="286"/>
      <c r="EW372" s="286"/>
      <c r="EX372" s="286"/>
      <c r="EY372" s="286"/>
      <c r="EZ372" s="286"/>
      <c r="FA372" s="286"/>
      <c r="FB372" s="286"/>
      <c r="FC372" s="286"/>
      <c r="FD372" s="286"/>
      <c r="FE372" s="286"/>
      <c r="FF372" s="286"/>
      <c r="FG372" s="286"/>
      <c r="FH372" s="286"/>
      <c r="FI372" s="286"/>
      <c r="FJ372" s="286"/>
      <c r="FK372" s="286"/>
      <c r="FL372" s="286"/>
      <c r="FM372" s="286"/>
      <c r="FN372" s="286"/>
      <c r="FO372" s="286"/>
      <c r="FP372" s="286"/>
      <c r="FQ372" s="286"/>
      <c r="FR372" s="286"/>
      <c r="FS372" s="286"/>
    </row>
    <row r="373" spans="1:175">
      <c r="A373" s="212" t="s">
        <v>3159</v>
      </c>
      <c r="B373" s="212" t="s">
        <v>3160</v>
      </c>
      <c r="C373" s="212" t="s">
        <v>3432</v>
      </c>
      <c r="D373" s="212" t="s">
        <v>3537</v>
      </c>
      <c r="E373" s="212" t="s">
        <v>3543</v>
      </c>
      <c r="F373" s="278">
        <v>1649</v>
      </c>
      <c r="G373" s="278">
        <v>17620</v>
      </c>
      <c r="H373" s="287">
        <f t="shared" si="5"/>
        <v>3.6208853575482403</v>
      </c>
      <c r="I373" s="286">
        <v>55</v>
      </c>
      <c r="J373" s="286">
        <v>638</v>
      </c>
      <c r="K373" s="286">
        <v>461</v>
      </c>
      <c r="L373" s="286">
        <v>177</v>
      </c>
      <c r="M373" s="286">
        <v>581</v>
      </c>
      <c r="N373" s="286">
        <v>426</v>
      </c>
      <c r="O373" s="286">
        <v>155</v>
      </c>
      <c r="P373" s="286">
        <v>55</v>
      </c>
      <c r="Q373" s="286">
        <v>638</v>
      </c>
      <c r="R373" s="286">
        <v>461</v>
      </c>
      <c r="S373" s="286">
        <v>177</v>
      </c>
      <c r="T373" s="286">
        <v>581</v>
      </c>
      <c r="U373" s="286">
        <v>426</v>
      </c>
      <c r="V373" s="286">
        <v>155</v>
      </c>
      <c r="W373" s="286"/>
      <c r="X373" s="286"/>
      <c r="Y373" s="286"/>
      <c r="Z373" s="286"/>
      <c r="AA373" s="286"/>
      <c r="AB373" s="286"/>
      <c r="AC373" s="286"/>
      <c r="AD373" s="286"/>
      <c r="AE373" s="286"/>
      <c r="AF373" s="286"/>
      <c r="AG373" s="286"/>
      <c r="AH373" s="286"/>
      <c r="AI373" s="286"/>
      <c r="AJ373" s="286"/>
      <c r="AK373" s="286"/>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c r="DK373" s="286"/>
      <c r="DL373" s="286"/>
      <c r="DM373" s="286"/>
      <c r="DN373" s="286"/>
      <c r="DO373" s="286"/>
      <c r="DP373" s="286"/>
      <c r="DQ373" s="286"/>
      <c r="DR373" s="286"/>
      <c r="DS373" s="286"/>
      <c r="DT373" s="286"/>
      <c r="DU373" s="286"/>
      <c r="DV373" s="286"/>
      <c r="DW373" s="286"/>
      <c r="DX373" s="286"/>
      <c r="DY373" s="286"/>
      <c r="DZ373" s="286"/>
      <c r="EA373" s="286"/>
      <c r="EB373" s="286"/>
      <c r="EC373" s="286"/>
      <c r="ED373" s="286"/>
      <c r="EE373" s="286"/>
      <c r="EF373" s="286"/>
      <c r="EG373" s="286"/>
      <c r="EH373" s="286"/>
      <c r="EI373" s="286"/>
      <c r="EJ373" s="286"/>
      <c r="EK373" s="286"/>
      <c r="EL373" s="286"/>
      <c r="EM373" s="286"/>
      <c r="EN373" s="286"/>
      <c r="EO373" s="286"/>
      <c r="EP373" s="286"/>
      <c r="EQ373" s="286"/>
      <c r="ER373" s="286"/>
      <c r="ES373" s="286"/>
      <c r="ET373" s="286"/>
      <c r="EU373" s="286"/>
      <c r="EV373" s="286"/>
      <c r="EW373" s="286"/>
      <c r="EX373" s="286"/>
      <c r="EY373" s="286"/>
      <c r="EZ373" s="286"/>
      <c r="FA373" s="286"/>
      <c r="FB373" s="286"/>
      <c r="FC373" s="286"/>
      <c r="FD373" s="286"/>
      <c r="FE373" s="286"/>
      <c r="FF373" s="286"/>
      <c r="FG373" s="286"/>
      <c r="FH373" s="286"/>
      <c r="FI373" s="286"/>
      <c r="FJ373" s="286"/>
      <c r="FK373" s="286"/>
      <c r="FL373" s="286"/>
      <c r="FM373" s="286"/>
      <c r="FN373" s="286"/>
      <c r="FO373" s="286"/>
      <c r="FP373" s="286"/>
      <c r="FQ373" s="286"/>
      <c r="FR373" s="286"/>
      <c r="FS373" s="286"/>
    </row>
    <row r="374" spans="1:175">
      <c r="A374" s="212" t="s">
        <v>3159</v>
      </c>
      <c r="B374" s="212" t="s">
        <v>3160</v>
      </c>
      <c r="C374" s="212" t="s">
        <v>3170</v>
      </c>
      <c r="D374" s="212" t="s">
        <v>3537</v>
      </c>
      <c r="E374" s="212" t="s">
        <v>3544</v>
      </c>
      <c r="F374" s="278">
        <v>20122</v>
      </c>
      <c r="G374" s="278">
        <v>206971</v>
      </c>
      <c r="H374" s="287">
        <f t="shared" si="5"/>
        <v>3.1487503080141663</v>
      </c>
      <c r="I374" s="286">
        <v>808</v>
      </c>
      <c r="J374" s="286">
        <v>6517</v>
      </c>
      <c r="K374" s="286">
        <v>3140</v>
      </c>
      <c r="L374" s="286">
        <v>3371</v>
      </c>
      <c r="M374" s="286">
        <v>5240</v>
      </c>
      <c r="N374" s="286">
        <v>2325</v>
      </c>
      <c r="O374" s="286">
        <v>2910</v>
      </c>
      <c r="P374" s="286">
        <v>808</v>
      </c>
      <c r="Q374" s="286">
        <v>6517</v>
      </c>
      <c r="R374" s="286">
        <v>3140</v>
      </c>
      <c r="S374" s="286">
        <v>3371</v>
      </c>
      <c r="T374" s="286">
        <v>5240</v>
      </c>
      <c r="U374" s="286">
        <v>2325</v>
      </c>
      <c r="V374" s="286">
        <v>2910</v>
      </c>
      <c r="W374" s="286"/>
      <c r="X374" s="286"/>
      <c r="Y374" s="286"/>
      <c r="Z374" s="286"/>
      <c r="AA374" s="286"/>
      <c r="AB374" s="286"/>
      <c r="AC374" s="286"/>
      <c r="AD374" s="286"/>
      <c r="AE374" s="286"/>
      <c r="AF374" s="286"/>
      <c r="AG374" s="286"/>
      <c r="AH374" s="286"/>
      <c r="AI374" s="286"/>
      <c r="AJ374" s="286"/>
      <c r="AK374" s="286"/>
      <c r="AL374" s="286"/>
      <c r="AM374" s="286"/>
      <c r="AN374" s="286"/>
      <c r="AO374" s="286"/>
      <c r="AP374" s="28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86"/>
      <c r="BY374" s="286"/>
      <c r="BZ374" s="286"/>
      <c r="CA374" s="286"/>
      <c r="CB374" s="286"/>
      <c r="CC374" s="286"/>
      <c r="CD374" s="286"/>
      <c r="CE374" s="286"/>
      <c r="CF374" s="286"/>
      <c r="CG374" s="286"/>
      <c r="CH374" s="286"/>
      <c r="CI374" s="286"/>
      <c r="CJ374" s="286"/>
      <c r="CK374" s="286"/>
      <c r="CL374" s="286"/>
      <c r="CM374" s="286"/>
      <c r="CN374" s="286"/>
      <c r="CO374" s="286"/>
      <c r="CP374" s="286"/>
      <c r="CQ374" s="286"/>
      <c r="CR374" s="286"/>
      <c r="CS374" s="286"/>
      <c r="CT374" s="286"/>
      <c r="CU374" s="286"/>
      <c r="CV374" s="286"/>
      <c r="CW374" s="286"/>
      <c r="CX374" s="286"/>
      <c r="CY374" s="286"/>
      <c r="CZ374" s="286"/>
      <c r="DA374" s="286"/>
      <c r="DB374" s="286"/>
      <c r="DC374" s="286"/>
      <c r="DD374" s="286"/>
      <c r="DE374" s="286"/>
      <c r="DF374" s="286"/>
      <c r="DG374" s="286"/>
      <c r="DH374" s="286"/>
      <c r="DI374" s="286"/>
      <c r="DJ374" s="286"/>
      <c r="DK374" s="286"/>
      <c r="DL374" s="286"/>
      <c r="DM374" s="286"/>
      <c r="DN374" s="286"/>
      <c r="DO374" s="286"/>
      <c r="DP374" s="286"/>
      <c r="DQ374" s="286"/>
      <c r="DR374" s="286"/>
      <c r="DS374" s="286"/>
      <c r="DT374" s="286"/>
      <c r="DU374" s="286"/>
      <c r="DV374" s="286"/>
      <c r="DW374" s="286"/>
      <c r="DX374" s="286"/>
      <c r="DY374" s="286"/>
      <c r="DZ374" s="286"/>
      <c r="EA374" s="286"/>
      <c r="EB374" s="286"/>
      <c r="EC374" s="286"/>
      <c r="ED374" s="286"/>
      <c r="EE374" s="286"/>
      <c r="EF374" s="286"/>
      <c r="EG374" s="286"/>
      <c r="EH374" s="286"/>
      <c r="EI374" s="286"/>
      <c r="EJ374" s="286"/>
      <c r="EK374" s="286"/>
      <c r="EL374" s="286"/>
      <c r="EM374" s="286"/>
      <c r="EN374" s="286"/>
      <c r="EO374" s="286"/>
      <c r="EP374" s="286"/>
      <c r="EQ374" s="286"/>
      <c r="ER374" s="286"/>
      <c r="ES374" s="286"/>
      <c r="ET374" s="286"/>
      <c r="EU374" s="286"/>
      <c r="EV374" s="286"/>
      <c r="EW374" s="286"/>
      <c r="EX374" s="286"/>
      <c r="EY374" s="286"/>
      <c r="EZ374" s="286"/>
      <c r="FA374" s="286"/>
      <c r="FB374" s="286"/>
      <c r="FC374" s="286"/>
      <c r="FD374" s="286"/>
      <c r="FE374" s="286"/>
      <c r="FF374" s="286"/>
      <c r="FG374" s="286"/>
      <c r="FH374" s="286"/>
      <c r="FI374" s="286"/>
      <c r="FJ374" s="286"/>
      <c r="FK374" s="286"/>
      <c r="FL374" s="286"/>
      <c r="FM374" s="286"/>
      <c r="FN374" s="286"/>
      <c r="FO374" s="286"/>
      <c r="FP374" s="286"/>
      <c r="FQ374" s="286"/>
      <c r="FR374" s="286"/>
      <c r="FS374" s="286"/>
    </row>
    <row r="375" spans="1:175">
      <c r="A375" s="212" t="s">
        <v>3159</v>
      </c>
      <c r="B375" s="212" t="s">
        <v>3160</v>
      </c>
      <c r="C375" s="212" t="s">
        <v>3172</v>
      </c>
      <c r="D375" s="212" t="s">
        <v>3537</v>
      </c>
      <c r="E375" s="212" t="s">
        <v>3545</v>
      </c>
      <c r="F375" s="278">
        <v>413</v>
      </c>
      <c r="G375" s="278">
        <v>5324</v>
      </c>
      <c r="H375" s="287">
        <f t="shared" si="5"/>
        <v>2.5169045830202856</v>
      </c>
      <c r="I375" s="286">
        <v>13</v>
      </c>
      <c r="J375" s="286">
        <v>134</v>
      </c>
      <c r="K375" s="286">
        <v>68</v>
      </c>
      <c r="L375" s="286">
        <v>66</v>
      </c>
      <c r="M375" s="286">
        <v>127</v>
      </c>
      <c r="N375" s="286">
        <v>67</v>
      </c>
      <c r="O375" s="286">
        <v>60</v>
      </c>
      <c r="P375" s="286">
        <v>13</v>
      </c>
      <c r="Q375" s="286">
        <v>134</v>
      </c>
      <c r="R375" s="286">
        <v>68</v>
      </c>
      <c r="S375" s="286">
        <v>66</v>
      </c>
      <c r="T375" s="286">
        <v>127</v>
      </c>
      <c r="U375" s="286">
        <v>67</v>
      </c>
      <c r="V375" s="286">
        <v>60</v>
      </c>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86"/>
      <c r="BY375" s="286"/>
      <c r="BZ375" s="286"/>
      <c r="CA375" s="286"/>
      <c r="CB375" s="286"/>
      <c r="CC375" s="286"/>
      <c r="CD375" s="286"/>
      <c r="CE375" s="286"/>
      <c r="CF375" s="286"/>
      <c r="CG375" s="286"/>
      <c r="CH375" s="286"/>
      <c r="CI375" s="286"/>
      <c r="CJ375" s="286"/>
      <c r="CK375" s="286"/>
      <c r="CL375" s="286"/>
      <c r="CM375" s="286"/>
      <c r="CN375" s="286"/>
      <c r="CO375" s="286"/>
      <c r="CP375" s="286"/>
      <c r="CQ375" s="286"/>
      <c r="CR375" s="286"/>
      <c r="CS375" s="286"/>
      <c r="CT375" s="286"/>
      <c r="CU375" s="286"/>
      <c r="CV375" s="286"/>
      <c r="CW375" s="286"/>
      <c r="CX375" s="286"/>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c r="DV375" s="286"/>
      <c r="DW375" s="286"/>
      <c r="DX375" s="286"/>
      <c r="DY375" s="286"/>
      <c r="DZ375" s="286"/>
      <c r="EA375" s="286"/>
      <c r="EB375" s="286"/>
      <c r="EC375" s="286"/>
      <c r="ED375" s="286"/>
      <c r="EE375" s="286"/>
      <c r="EF375" s="286"/>
      <c r="EG375" s="286"/>
      <c r="EH375" s="286"/>
      <c r="EI375" s="286"/>
      <c r="EJ375" s="286"/>
      <c r="EK375" s="286"/>
      <c r="EL375" s="286"/>
      <c r="EM375" s="286"/>
      <c r="EN375" s="286"/>
      <c r="EO375" s="286"/>
      <c r="EP375" s="286"/>
      <c r="EQ375" s="286"/>
      <c r="ER375" s="286"/>
      <c r="ES375" s="286"/>
      <c r="ET375" s="286"/>
      <c r="EU375" s="286"/>
      <c r="EV375" s="286"/>
      <c r="EW375" s="286"/>
      <c r="EX375" s="286"/>
      <c r="EY375" s="286"/>
      <c r="EZ375" s="286"/>
      <c r="FA375" s="286"/>
      <c r="FB375" s="286"/>
      <c r="FC375" s="286"/>
      <c r="FD375" s="286"/>
      <c r="FE375" s="286"/>
      <c r="FF375" s="286"/>
      <c r="FG375" s="286"/>
      <c r="FH375" s="286"/>
      <c r="FI375" s="286"/>
      <c r="FJ375" s="286"/>
      <c r="FK375" s="286"/>
      <c r="FL375" s="286"/>
      <c r="FM375" s="286"/>
      <c r="FN375" s="286"/>
      <c r="FO375" s="286"/>
      <c r="FP375" s="286"/>
      <c r="FQ375" s="286"/>
      <c r="FR375" s="286"/>
      <c r="FS375" s="286"/>
    </row>
    <row r="376" spans="1:175">
      <c r="A376" s="212" t="s">
        <v>3159</v>
      </c>
      <c r="B376" s="212" t="s">
        <v>3160</v>
      </c>
      <c r="C376" s="212" t="s">
        <v>3172</v>
      </c>
      <c r="D376" s="212" t="s">
        <v>3537</v>
      </c>
      <c r="E376" s="212" t="s">
        <v>3546</v>
      </c>
      <c r="F376" s="278">
        <v>3717</v>
      </c>
      <c r="G376" s="278">
        <v>30447</v>
      </c>
      <c r="H376" s="287">
        <f t="shared" si="5"/>
        <v>2.4567280848687885</v>
      </c>
      <c r="I376" s="286">
        <v>146</v>
      </c>
      <c r="J376" s="286">
        <v>748</v>
      </c>
      <c r="K376" s="286">
        <v>427</v>
      </c>
      <c r="L376" s="286">
        <v>321</v>
      </c>
      <c r="M376" s="286">
        <v>536</v>
      </c>
      <c r="N376" s="286">
        <v>271</v>
      </c>
      <c r="O376" s="286">
        <v>265</v>
      </c>
      <c r="P376" s="286">
        <v>146</v>
      </c>
      <c r="Q376" s="286">
        <v>748</v>
      </c>
      <c r="R376" s="286">
        <v>427</v>
      </c>
      <c r="S376" s="286">
        <v>321</v>
      </c>
      <c r="T376" s="286">
        <v>536</v>
      </c>
      <c r="U376" s="286">
        <v>271</v>
      </c>
      <c r="V376" s="286">
        <v>265</v>
      </c>
      <c r="W376" s="286"/>
      <c r="X376" s="286"/>
      <c r="Y376" s="286"/>
      <c r="Z376" s="286"/>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86"/>
      <c r="BY376" s="286"/>
      <c r="BZ376" s="286"/>
      <c r="CA376" s="286"/>
      <c r="CB376" s="286"/>
      <c r="CC376" s="286"/>
      <c r="CD376" s="286"/>
      <c r="CE376" s="286"/>
      <c r="CF376" s="286"/>
      <c r="CG376" s="286"/>
      <c r="CH376" s="286"/>
      <c r="CI376" s="286"/>
      <c r="CJ376" s="286"/>
      <c r="CK376" s="286"/>
      <c r="CL376" s="286"/>
      <c r="CM376" s="286"/>
      <c r="CN376" s="286"/>
      <c r="CO376" s="286"/>
      <c r="CP376" s="286"/>
      <c r="CQ376" s="286"/>
      <c r="CR376" s="286"/>
      <c r="CS376" s="286"/>
      <c r="CT376" s="286"/>
      <c r="CU376" s="286"/>
      <c r="CV376" s="286"/>
      <c r="CW376" s="286"/>
      <c r="CX376" s="286"/>
      <c r="CY376" s="286"/>
      <c r="CZ376" s="286"/>
      <c r="DA376" s="286"/>
      <c r="DB376" s="286"/>
      <c r="DC376" s="286"/>
      <c r="DD376" s="286"/>
      <c r="DE376" s="286"/>
      <c r="DF376" s="286"/>
      <c r="DG376" s="286"/>
      <c r="DH376" s="286"/>
      <c r="DI376" s="286"/>
      <c r="DJ376" s="286"/>
      <c r="DK376" s="286"/>
      <c r="DL376" s="286"/>
      <c r="DM376" s="286"/>
      <c r="DN376" s="286"/>
      <c r="DO376" s="286"/>
      <c r="DP376" s="286"/>
      <c r="DQ376" s="286"/>
      <c r="DR376" s="286"/>
      <c r="DS376" s="286"/>
      <c r="DT376" s="286"/>
      <c r="DU376" s="286"/>
      <c r="DV376" s="286"/>
      <c r="DW376" s="286"/>
      <c r="DX376" s="286"/>
      <c r="DY376" s="286"/>
      <c r="DZ376" s="286"/>
      <c r="EA376" s="286"/>
      <c r="EB376" s="286"/>
      <c r="EC376" s="286"/>
      <c r="ED376" s="286"/>
      <c r="EE376" s="286"/>
      <c r="EF376" s="286"/>
      <c r="EG376" s="286"/>
      <c r="EH376" s="286"/>
      <c r="EI376" s="286"/>
      <c r="EJ376" s="286"/>
      <c r="EK376" s="286"/>
      <c r="EL376" s="286"/>
      <c r="EM376" s="286"/>
      <c r="EN376" s="286"/>
      <c r="EO376" s="286"/>
      <c r="EP376" s="286"/>
      <c r="EQ376" s="286"/>
      <c r="ER376" s="286"/>
      <c r="ES376" s="286"/>
      <c r="ET376" s="286"/>
      <c r="EU376" s="286"/>
      <c r="EV376" s="286"/>
      <c r="EW376" s="286"/>
      <c r="EX376" s="286"/>
      <c r="EY376" s="286"/>
      <c r="EZ376" s="286"/>
      <c r="FA376" s="286"/>
      <c r="FB376" s="286"/>
      <c r="FC376" s="286"/>
      <c r="FD376" s="286"/>
      <c r="FE376" s="286"/>
      <c r="FF376" s="286"/>
      <c r="FG376" s="286"/>
      <c r="FH376" s="286"/>
      <c r="FI376" s="286"/>
      <c r="FJ376" s="286"/>
      <c r="FK376" s="286"/>
      <c r="FL376" s="286"/>
      <c r="FM376" s="286"/>
      <c r="FN376" s="286"/>
      <c r="FO376" s="286"/>
      <c r="FP376" s="286"/>
      <c r="FQ376" s="286"/>
      <c r="FR376" s="286"/>
      <c r="FS376" s="286"/>
    </row>
    <row r="377" spans="1:175">
      <c r="A377" s="212" t="s">
        <v>3159</v>
      </c>
      <c r="B377" s="212" t="s">
        <v>3160</v>
      </c>
      <c r="C377" s="212" t="s">
        <v>3172</v>
      </c>
      <c r="D377" s="212" t="s">
        <v>3537</v>
      </c>
      <c r="E377" s="212" t="s">
        <v>3547</v>
      </c>
      <c r="F377" s="278">
        <v>8371</v>
      </c>
      <c r="G377" s="278">
        <v>96008</v>
      </c>
      <c r="H377" s="287">
        <f t="shared" si="5"/>
        <v>2.3195983668027664</v>
      </c>
      <c r="I377" s="286">
        <v>277</v>
      </c>
      <c r="J377" s="286">
        <v>2227</v>
      </c>
      <c r="K377" s="286">
        <v>1009</v>
      </c>
      <c r="L377" s="286">
        <v>1218</v>
      </c>
      <c r="M377" s="286">
        <v>1812</v>
      </c>
      <c r="N377" s="286">
        <v>766</v>
      </c>
      <c r="O377" s="286">
        <v>1046</v>
      </c>
      <c r="P377" s="286">
        <v>277</v>
      </c>
      <c r="Q377" s="286">
        <v>2227</v>
      </c>
      <c r="R377" s="286">
        <v>1009</v>
      </c>
      <c r="S377" s="286">
        <v>1218</v>
      </c>
      <c r="T377" s="286">
        <v>1812</v>
      </c>
      <c r="U377" s="286">
        <v>766</v>
      </c>
      <c r="V377" s="286">
        <v>1046</v>
      </c>
      <c r="W377" s="286"/>
      <c r="X377" s="286"/>
      <c r="Y377" s="286"/>
      <c r="Z377" s="286"/>
      <c r="AA377" s="286"/>
      <c r="AB377" s="286"/>
      <c r="AC377" s="286"/>
      <c r="AD377" s="286"/>
      <c r="AE377" s="286"/>
      <c r="AF377" s="286"/>
      <c r="AG377" s="286"/>
      <c r="AH377" s="286"/>
      <c r="AI377" s="286"/>
      <c r="AJ377" s="286"/>
      <c r="AK377" s="286"/>
      <c r="AL377" s="286"/>
      <c r="AM377" s="286"/>
      <c r="AN377" s="286"/>
      <c r="AO377" s="286"/>
      <c r="AP377" s="286"/>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86"/>
      <c r="BY377" s="286"/>
      <c r="BZ377" s="286"/>
      <c r="CA377" s="286"/>
      <c r="CB377" s="286"/>
      <c r="CC377" s="286"/>
      <c r="CD377" s="286"/>
      <c r="CE377" s="286"/>
      <c r="CF377" s="286"/>
      <c r="CG377" s="286"/>
      <c r="CH377" s="286"/>
      <c r="CI377" s="286"/>
      <c r="CJ377" s="286"/>
      <c r="CK377" s="286"/>
      <c r="CL377" s="286"/>
      <c r="CM377" s="286"/>
      <c r="CN377" s="286"/>
      <c r="CO377" s="286"/>
      <c r="CP377" s="286"/>
      <c r="CQ377" s="286"/>
      <c r="CR377" s="286"/>
      <c r="CS377" s="286"/>
      <c r="CT377" s="286"/>
      <c r="CU377" s="286"/>
      <c r="CV377" s="286"/>
      <c r="CW377" s="286"/>
      <c r="CX377" s="286"/>
      <c r="CY377" s="286"/>
      <c r="CZ377" s="286"/>
      <c r="DA377" s="286"/>
      <c r="DB377" s="286"/>
      <c r="DC377" s="286"/>
      <c r="DD377" s="286"/>
      <c r="DE377" s="286"/>
      <c r="DF377" s="286"/>
      <c r="DG377" s="286"/>
      <c r="DH377" s="286"/>
      <c r="DI377" s="286"/>
      <c r="DJ377" s="286"/>
      <c r="DK377" s="286"/>
      <c r="DL377" s="286"/>
      <c r="DM377" s="286"/>
      <c r="DN377" s="286"/>
      <c r="DO377" s="286"/>
      <c r="DP377" s="286"/>
      <c r="DQ377" s="286"/>
      <c r="DR377" s="286"/>
      <c r="DS377" s="286"/>
      <c r="DT377" s="286"/>
      <c r="DU377" s="286"/>
      <c r="DV377" s="286"/>
      <c r="DW377" s="286"/>
      <c r="DX377" s="286"/>
      <c r="DY377" s="286"/>
      <c r="DZ377" s="286"/>
      <c r="EA377" s="286"/>
      <c r="EB377" s="286"/>
      <c r="EC377" s="286"/>
      <c r="ED377" s="286"/>
      <c r="EE377" s="286"/>
      <c r="EF377" s="286"/>
      <c r="EG377" s="286"/>
      <c r="EH377" s="286"/>
      <c r="EI377" s="286"/>
      <c r="EJ377" s="286"/>
      <c r="EK377" s="286"/>
      <c r="EL377" s="286"/>
      <c r="EM377" s="286"/>
      <c r="EN377" s="286"/>
      <c r="EO377" s="286"/>
      <c r="EP377" s="286"/>
      <c r="EQ377" s="286"/>
      <c r="ER377" s="286"/>
      <c r="ES377" s="286"/>
      <c r="ET377" s="286"/>
      <c r="EU377" s="286"/>
      <c r="EV377" s="286"/>
      <c r="EW377" s="286"/>
      <c r="EX377" s="286"/>
      <c r="EY377" s="286"/>
      <c r="EZ377" s="286"/>
      <c r="FA377" s="286"/>
      <c r="FB377" s="286"/>
      <c r="FC377" s="286"/>
      <c r="FD377" s="286"/>
      <c r="FE377" s="286"/>
      <c r="FF377" s="286"/>
      <c r="FG377" s="286"/>
      <c r="FH377" s="286"/>
      <c r="FI377" s="286"/>
      <c r="FJ377" s="286"/>
      <c r="FK377" s="286"/>
      <c r="FL377" s="286"/>
      <c r="FM377" s="286"/>
      <c r="FN377" s="286"/>
      <c r="FO377" s="286"/>
      <c r="FP377" s="286"/>
      <c r="FQ377" s="286"/>
      <c r="FR377" s="286"/>
      <c r="FS377" s="286"/>
    </row>
    <row r="378" spans="1:175">
      <c r="A378" s="212" t="s">
        <v>3159</v>
      </c>
      <c r="B378" s="212" t="s">
        <v>3160</v>
      </c>
      <c r="C378" s="212" t="s">
        <v>3172</v>
      </c>
      <c r="D378" s="212" t="s">
        <v>3537</v>
      </c>
      <c r="E378" s="212" t="s">
        <v>3548</v>
      </c>
      <c r="F378" s="278">
        <v>7621</v>
      </c>
      <c r="G378" s="278">
        <v>75192</v>
      </c>
      <c r="H378" s="287">
        <f t="shared" si="5"/>
        <v>4.5323970635173954</v>
      </c>
      <c r="I378" s="286">
        <v>372</v>
      </c>
      <c r="J378" s="286">
        <v>3408</v>
      </c>
      <c r="K378" s="286">
        <v>1636</v>
      </c>
      <c r="L378" s="286">
        <v>1766</v>
      </c>
      <c r="M378" s="286">
        <v>2765</v>
      </c>
      <c r="N378" s="286">
        <v>1221</v>
      </c>
      <c r="O378" s="286">
        <v>1539</v>
      </c>
      <c r="P378" s="286">
        <v>372</v>
      </c>
      <c r="Q378" s="286">
        <v>3408</v>
      </c>
      <c r="R378" s="286">
        <v>1636</v>
      </c>
      <c r="S378" s="286">
        <v>1766</v>
      </c>
      <c r="T378" s="286">
        <v>2765</v>
      </c>
      <c r="U378" s="286">
        <v>1221</v>
      </c>
      <c r="V378" s="286">
        <v>1539</v>
      </c>
      <c r="W378" s="286"/>
      <c r="X378" s="286"/>
      <c r="Y378" s="286"/>
      <c r="Z378" s="286"/>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86"/>
      <c r="BY378" s="286"/>
      <c r="BZ378" s="286"/>
      <c r="CA378" s="286"/>
      <c r="CB378" s="286"/>
      <c r="CC378" s="286"/>
      <c r="CD378" s="286"/>
      <c r="CE378" s="286"/>
      <c r="CF378" s="286"/>
      <c r="CG378" s="286"/>
      <c r="CH378" s="286"/>
      <c r="CI378" s="286"/>
      <c r="CJ378" s="286"/>
      <c r="CK378" s="286"/>
      <c r="CL378" s="286"/>
      <c r="CM378" s="286"/>
      <c r="CN378" s="286"/>
      <c r="CO378" s="286"/>
      <c r="CP378" s="286"/>
      <c r="CQ378" s="286"/>
      <c r="CR378" s="286"/>
      <c r="CS378" s="286"/>
      <c r="CT378" s="286"/>
      <c r="CU378" s="286"/>
      <c r="CV378" s="286"/>
      <c r="CW378" s="286"/>
      <c r="CX378" s="286"/>
      <c r="CY378" s="286"/>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c r="DV378" s="286"/>
      <c r="DW378" s="286"/>
      <c r="DX378" s="286"/>
      <c r="DY378" s="286"/>
      <c r="DZ378" s="286"/>
      <c r="EA378" s="286"/>
      <c r="EB378" s="286"/>
      <c r="EC378" s="286"/>
      <c r="ED378" s="286"/>
      <c r="EE378" s="286"/>
      <c r="EF378" s="286"/>
      <c r="EG378" s="286"/>
      <c r="EH378" s="286"/>
      <c r="EI378" s="286"/>
      <c r="EJ378" s="286"/>
      <c r="EK378" s="286"/>
      <c r="EL378" s="286"/>
      <c r="EM378" s="286"/>
      <c r="EN378" s="286"/>
      <c r="EO378" s="286"/>
      <c r="EP378" s="286"/>
      <c r="EQ378" s="286"/>
      <c r="ER378" s="286"/>
      <c r="ES378" s="286"/>
      <c r="ET378" s="286"/>
      <c r="EU378" s="286"/>
      <c r="EV378" s="286"/>
      <c r="EW378" s="286"/>
      <c r="EX378" s="286"/>
      <c r="EY378" s="286"/>
      <c r="EZ378" s="286"/>
      <c r="FA378" s="286"/>
      <c r="FB378" s="286"/>
      <c r="FC378" s="286"/>
      <c r="FD378" s="286"/>
      <c r="FE378" s="286"/>
      <c r="FF378" s="286"/>
      <c r="FG378" s="286"/>
      <c r="FH378" s="286"/>
      <c r="FI378" s="286"/>
      <c r="FJ378" s="286"/>
      <c r="FK378" s="286"/>
      <c r="FL378" s="286"/>
      <c r="FM378" s="286"/>
      <c r="FN378" s="286"/>
      <c r="FO378" s="286"/>
      <c r="FP378" s="286"/>
      <c r="FQ378" s="286"/>
      <c r="FR378" s="286"/>
      <c r="FS378" s="286"/>
    </row>
    <row r="379" spans="1:175">
      <c r="A379" s="212" t="s">
        <v>3159</v>
      </c>
      <c r="B379" s="212" t="s">
        <v>3160</v>
      </c>
      <c r="C379" s="212" t="s">
        <v>3170</v>
      </c>
      <c r="D379" s="212" t="s">
        <v>3537</v>
      </c>
      <c r="E379" s="212" t="s">
        <v>3549</v>
      </c>
      <c r="F379" s="278">
        <v>64123</v>
      </c>
      <c r="G379" s="278">
        <v>746111</v>
      </c>
      <c r="H379" s="287">
        <f t="shared" si="5"/>
        <v>3.7455552860097225</v>
      </c>
      <c r="I379" s="286">
        <v>2405</v>
      </c>
      <c r="J379" s="286">
        <v>27946</v>
      </c>
      <c r="K379" s="286">
        <v>16877</v>
      </c>
      <c r="L379" s="286">
        <v>11062</v>
      </c>
      <c r="M379" s="286">
        <v>23848</v>
      </c>
      <c r="N379" s="286">
        <v>13996</v>
      </c>
      <c r="O379" s="286">
        <v>9845</v>
      </c>
      <c r="P379" s="286">
        <v>2405</v>
      </c>
      <c r="Q379" s="286">
        <v>27946</v>
      </c>
      <c r="R379" s="286">
        <v>16877</v>
      </c>
      <c r="S379" s="286">
        <v>11062</v>
      </c>
      <c r="T379" s="286">
        <v>23848</v>
      </c>
      <c r="U379" s="286">
        <v>13996</v>
      </c>
      <c r="V379" s="286">
        <v>9845</v>
      </c>
      <c r="W379" s="286"/>
      <c r="X379" s="286"/>
      <c r="Y379" s="286"/>
      <c r="Z379" s="286"/>
      <c r="AA379" s="286"/>
      <c r="AB379" s="286"/>
      <c r="AC379" s="286"/>
      <c r="AD379" s="286"/>
      <c r="AE379" s="286"/>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86"/>
      <c r="BY379" s="286"/>
      <c r="BZ379" s="286"/>
      <c r="CA379" s="286"/>
      <c r="CB379" s="286"/>
      <c r="CC379" s="286"/>
      <c r="CD379" s="286"/>
      <c r="CE379" s="286"/>
      <c r="CF379" s="286"/>
      <c r="CG379" s="286"/>
      <c r="CH379" s="286"/>
      <c r="CI379" s="286"/>
      <c r="CJ379" s="286"/>
      <c r="CK379" s="286"/>
      <c r="CL379" s="286"/>
      <c r="CM379" s="286"/>
      <c r="CN379" s="286"/>
      <c r="CO379" s="286"/>
      <c r="CP379" s="286"/>
      <c r="CQ379" s="286"/>
      <c r="CR379" s="286"/>
      <c r="CS379" s="286"/>
      <c r="CT379" s="286"/>
      <c r="CU379" s="286"/>
      <c r="CV379" s="286"/>
      <c r="CW379" s="286"/>
      <c r="CX379" s="286"/>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c r="DV379" s="286"/>
      <c r="DW379" s="286"/>
      <c r="DX379" s="286"/>
      <c r="DY379" s="286"/>
      <c r="DZ379" s="286"/>
      <c r="EA379" s="286"/>
      <c r="EB379" s="286"/>
      <c r="EC379" s="286"/>
      <c r="ED379" s="286"/>
      <c r="EE379" s="286"/>
      <c r="EF379" s="286"/>
      <c r="EG379" s="286"/>
      <c r="EH379" s="286"/>
      <c r="EI379" s="286"/>
      <c r="EJ379" s="286"/>
      <c r="EK379" s="286"/>
      <c r="EL379" s="286"/>
      <c r="EM379" s="286"/>
      <c r="EN379" s="286"/>
      <c r="EO379" s="286"/>
      <c r="EP379" s="286"/>
      <c r="EQ379" s="286"/>
      <c r="ER379" s="286"/>
      <c r="ES379" s="286"/>
      <c r="ET379" s="286"/>
      <c r="EU379" s="286"/>
      <c r="EV379" s="286"/>
      <c r="EW379" s="286"/>
      <c r="EX379" s="286"/>
      <c r="EY379" s="286"/>
      <c r="EZ379" s="286"/>
      <c r="FA379" s="286"/>
      <c r="FB379" s="286"/>
      <c r="FC379" s="286"/>
      <c r="FD379" s="286"/>
      <c r="FE379" s="286"/>
      <c r="FF379" s="286"/>
      <c r="FG379" s="286"/>
      <c r="FH379" s="286"/>
      <c r="FI379" s="286"/>
      <c r="FJ379" s="286"/>
      <c r="FK379" s="286"/>
      <c r="FL379" s="286"/>
      <c r="FM379" s="286"/>
      <c r="FN379" s="286"/>
      <c r="FO379" s="286"/>
      <c r="FP379" s="286"/>
      <c r="FQ379" s="286"/>
      <c r="FR379" s="286"/>
      <c r="FS379" s="286"/>
    </row>
    <row r="380" spans="1:175">
      <c r="A380" s="212" t="s">
        <v>3159</v>
      </c>
      <c r="B380" s="212" t="s">
        <v>3160</v>
      </c>
      <c r="C380" s="212" t="s">
        <v>3172</v>
      </c>
      <c r="D380" s="212" t="s">
        <v>3537</v>
      </c>
      <c r="E380" s="212" t="s">
        <v>3550</v>
      </c>
      <c r="F380" s="278">
        <v>1465</v>
      </c>
      <c r="G380" s="278">
        <v>14870</v>
      </c>
      <c r="H380" s="287">
        <f t="shared" si="5"/>
        <v>3.3019502353732348</v>
      </c>
      <c r="I380" s="286">
        <v>51</v>
      </c>
      <c r="J380" s="286">
        <v>491</v>
      </c>
      <c r="K380" s="286">
        <v>237</v>
      </c>
      <c r="L380" s="286">
        <v>254</v>
      </c>
      <c r="M380" s="286">
        <v>476</v>
      </c>
      <c r="N380" s="286">
        <v>227</v>
      </c>
      <c r="O380" s="286">
        <v>249</v>
      </c>
      <c r="P380" s="286">
        <v>51</v>
      </c>
      <c r="Q380" s="286">
        <v>491</v>
      </c>
      <c r="R380" s="286">
        <v>237</v>
      </c>
      <c r="S380" s="286">
        <v>254</v>
      </c>
      <c r="T380" s="286">
        <v>476</v>
      </c>
      <c r="U380" s="286">
        <v>227</v>
      </c>
      <c r="V380" s="286">
        <v>249</v>
      </c>
      <c r="W380" s="286"/>
      <c r="X380" s="286"/>
      <c r="Y380" s="286"/>
      <c r="Z380" s="286"/>
      <c r="AA380" s="286"/>
      <c r="AB380" s="286"/>
      <c r="AC380" s="286"/>
      <c r="AD380" s="286"/>
      <c r="AE380" s="286"/>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86"/>
      <c r="EK380" s="286"/>
      <c r="EL380" s="286"/>
      <c r="EM380" s="286"/>
      <c r="EN380" s="286"/>
      <c r="EO380" s="286"/>
      <c r="EP380" s="286"/>
      <c r="EQ380" s="286"/>
      <c r="ER380" s="286"/>
      <c r="ES380" s="286"/>
      <c r="ET380" s="286"/>
      <c r="EU380" s="286"/>
      <c r="EV380" s="286"/>
      <c r="EW380" s="286"/>
      <c r="EX380" s="286"/>
      <c r="EY380" s="286"/>
      <c r="EZ380" s="286"/>
      <c r="FA380" s="286"/>
      <c r="FB380" s="286"/>
      <c r="FC380" s="286"/>
      <c r="FD380" s="286"/>
      <c r="FE380" s="286"/>
      <c r="FF380" s="286"/>
      <c r="FG380" s="286"/>
      <c r="FH380" s="286"/>
      <c r="FI380" s="286"/>
      <c r="FJ380" s="286"/>
      <c r="FK380" s="286"/>
      <c r="FL380" s="286"/>
      <c r="FM380" s="286"/>
      <c r="FN380" s="286"/>
      <c r="FO380" s="286"/>
      <c r="FP380" s="286"/>
      <c r="FQ380" s="286"/>
      <c r="FR380" s="286"/>
      <c r="FS380" s="286"/>
    </row>
    <row r="381" spans="1:175">
      <c r="A381" s="212" t="s">
        <v>3159</v>
      </c>
      <c r="B381" s="212" t="s">
        <v>3160</v>
      </c>
      <c r="C381" s="212" t="s">
        <v>3172</v>
      </c>
      <c r="D381" s="212" t="s">
        <v>3537</v>
      </c>
      <c r="E381" s="212" t="s">
        <v>3551</v>
      </c>
      <c r="F381" s="278">
        <v>30635</v>
      </c>
      <c r="G381" s="278">
        <v>342045</v>
      </c>
      <c r="H381" s="287">
        <f t="shared" si="5"/>
        <v>3.7427823824350592</v>
      </c>
      <c r="I381" s="286">
        <v>1201</v>
      </c>
      <c r="J381" s="286">
        <v>12802</v>
      </c>
      <c r="K381" s="286">
        <v>8157</v>
      </c>
      <c r="L381" s="286">
        <v>4645</v>
      </c>
      <c r="M381" s="286">
        <v>10373</v>
      </c>
      <c r="N381" s="286">
        <v>6398</v>
      </c>
      <c r="O381" s="286">
        <v>3975</v>
      </c>
      <c r="P381" s="286">
        <v>1201</v>
      </c>
      <c r="Q381" s="286">
        <v>12802</v>
      </c>
      <c r="R381" s="286">
        <v>8157</v>
      </c>
      <c r="S381" s="286">
        <v>4645</v>
      </c>
      <c r="T381" s="286">
        <v>10373</v>
      </c>
      <c r="U381" s="286">
        <v>6398</v>
      </c>
      <c r="V381" s="286">
        <v>3975</v>
      </c>
      <c r="W381" s="286"/>
      <c r="X381" s="286"/>
      <c r="Y381" s="286"/>
      <c r="Z381" s="286"/>
      <c r="AA381" s="286"/>
      <c r="AB381" s="286"/>
      <c r="AC381" s="286"/>
      <c r="AD381" s="286"/>
      <c r="AE381" s="286"/>
      <c r="AF381" s="286"/>
      <c r="AG381" s="286"/>
      <c r="AH381" s="286"/>
      <c r="AI381" s="286"/>
      <c r="AJ381" s="286"/>
      <c r="AK381" s="286"/>
      <c r="AL381" s="286"/>
      <c r="AM381" s="286"/>
      <c r="AN381" s="286"/>
      <c r="AO381" s="286"/>
      <c r="AP381" s="286"/>
      <c r="AQ381" s="286"/>
      <c r="AR381" s="286"/>
      <c r="AS381" s="286"/>
      <c r="AT381" s="286"/>
      <c r="AU381" s="286"/>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86"/>
      <c r="BY381" s="286"/>
      <c r="BZ381" s="286"/>
      <c r="CA381" s="286"/>
      <c r="CB381" s="286"/>
      <c r="CC381" s="286"/>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86"/>
      <c r="CY381" s="286"/>
      <c r="CZ381" s="286"/>
      <c r="DA381" s="286"/>
      <c r="DB381" s="286"/>
      <c r="DC381" s="286"/>
      <c r="DD381" s="286"/>
      <c r="DE381" s="286"/>
      <c r="DF381" s="286"/>
      <c r="DG381" s="286"/>
      <c r="DH381" s="286"/>
      <c r="DI381" s="286"/>
      <c r="DJ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c r="EI381" s="286"/>
      <c r="EJ381" s="286"/>
      <c r="EK381" s="286"/>
      <c r="EL381" s="286"/>
      <c r="EM381" s="286"/>
      <c r="EN381" s="286"/>
      <c r="EO381" s="286"/>
      <c r="EP381" s="286"/>
      <c r="EQ381" s="286"/>
      <c r="ER381" s="286"/>
      <c r="ES381" s="286"/>
      <c r="ET381" s="286"/>
      <c r="EU381" s="286"/>
      <c r="EV381" s="286"/>
      <c r="EW381" s="286"/>
      <c r="EX381" s="286"/>
      <c r="EY381" s="286"/>
      <c r="EZ381" s="286"/>
      <c r="FA381" s="286"/>
      <c r="FB381" s="286"/>
      <c r="FC381" s="286"/>
      <c r="FD381" s="286"/>
      <c r="FE381" s="286"/>
      <c r="FF381" s="286"/>
      <c r="FG381" s="286"/>
      <c r="FH381" s="286"/>
      <c r="FI381" s="286"/>
      <c r="FJ381" s="286"/>
      <c r="FK381" s="286"/>
      <c r="FL381" s="286"/>
      <c r="FM381" s="286"/>
      <c r="FN381" s="286"/>
      <c r="FO381" s="286"/>
      <c r="FP381" s="286"/>
      <c r="FQ381" s="286"/>
      <c r="FR381" s="286"/>
      <c r="FS381" s="286"/>
    </row>
    <row r="382" spans="1:175">
      <c r="A382" s="212" t="s">
        <v>3159</v>
      </c>
      <c r="B382" s="212" t="s">
        <v>3160</v>
      </c>
      <c r="C382" s="212" t="s">
        <v>3432</v>
      </c>
      <c r="D382" s="212" t="s">
        <v>3537</v>
      </c>
      <c r="E382" s="212" t="s">
        <v>3552</v>
      </c>
      <c r="F382" s="278">
        <v>3420</v>
      </c>
      <c r="G382" s="278">
        <v>28709</v>
      </c>
      <c r="H382" s="287">
        <f t="shared" si="5"/>
        <v>4.5630290152913719</v>
      </c>
      <c r="I382" s="286">
        <v>128</v>
      </c>
      <c r="J382" s="286">
        <v>1310</v>
      </c>
      <c r="K382" s="286">
        <v>870</v>
      </c>
      <c r="L382" s="286">
        <v>440</v>
      </c>
      <c r="M382" s="286">
        <v>949</v>
      </c>
      <c r="N382" s="286">
        <v>572</v>
      </c>
      <c r="O382" s="286">
        <v>377</v>
      </c>
      <c r="P382" s="286">
        <v>128</v>
      </c>
      <c r="Q382" s="286">
        <v>1310</v>
      </c>
      <c r="R382" s="286">
        <v>870</v>
      </c>
      <c r="S382" s="286">
        <v>440</v>
      </c>
      <c r="T382" s="286">
        <v>949</v>
      </c>
      <c r="U382" s="286">
        <v>572</v>
      </c>
      <c r="V382" s="286">
        <v>377</v>
      </c>
      <c r="W382" s="286"/>
      <c r="X382" s="286"/>
      <c r="Y382" s="286"/>
      <c r="Z382" s="286"/>
      <c r="AA382" s="286"/>
      <c r="AB382" s="286"/>
      <c r="AC382" s="286"/>
      <c r="AD382" s="286"/>
      <c r="AE382" s="286"/>
      <c r="AF382" s="286"/>
      <c r="AG382" s="286"/>
      <c r="AH382" s="286"/>
      <c r="AI382" s="286"/>
      <c r="AJ382" s="286"/>
      <c r="AK382" s="286"/>
      <c r="AL382" s="286"/>
      <c r="AM382" s="286"/>
      <c r="AN382" s="286"/>
      <c r="AO382" s="286"/>
      <c r="AP382" s="286"/>
      <c r="AQ382" s="286"/>
      <c r="AR382" s="286"/>
      <c r="AS382" s="286"/>
      <c r="AT382" s="286"/>
      <c r="AU382" s="286"/>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86"/>
      <c r="BY382" s="286"/>
      <c r="BZ382" s="286"/>
      <c r="CA382" s="286"/>
      <c r="CB382" s="286"/>
      <c r="CC382" s="286"/>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86"/>
      <c r="CY382" s="286"/>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c r="DV382" s="286"/>
      <c r="DW382" s="286"/>
      <c r="DX382" s="286"/>
      <c r="DY382" s="286"/>
      <c r="DZ382" s="286"/>
      <c r="EA382" s="286"/>
      <c r="EB382" s="286"/>
      <c r="EC382" s="286"/>
      <c r="ED382" s="286"/>
      <c r="EE382" s="286"/>
      <c r="EF382" s="286"/>
      <c r="EG382" s="286"/>
      <c r="EH382" s="286"/>
      <c r="EI382" s="286"/>
      <c r="EJ382" s="286"/>
      <c r="EK382" s="286"/>
      <c r="EL382" s="286"/>
      <c r="EM382" s="286"/>
      <c r="EN382" s="286"/>
      <c r="EO382" s="286"/>
      <c r="EP382" s="286"/>
      <c r="EQ382" s="286"/>
      <c r="ER382" s="286"/>
      <c r="ES382" s="286"/>
      <c r="ET382" s="286"/>
      <c r="EU382" s="286"/>
      <c r="EV382" s="286"/>
      <c r="EW382" s="286"/>
      <c r="EX382" s="286"/>
      <c r="EY382" s="286"/>
      <c r="EZ382" s="286"/>
      <c r="FA382" s="286"/>
      <c r="FB382" s="286"/>
      <c r="FC382" s="286"/>
      <c r="FD382" s="286"/>
      <c r="FE382" s="286"/>
      <c r="FF382" s="286"/>
      <c r="FG382" s="286"/>
      <c r="FH382" s="286"/>
      <c r="FI382" s="286"/>
      <c r="FJ382" s="286"/>
      <c r="FK382" s="286"/>
      <c r="FL382" s="286"/>
      <c r="FM382" s="286"/>
      <c r="FN382" s="286"/>
      <c r="FO382" s="286"/>
      <c r="FP382" s="286"/>
      <c r="FQ382" s="286"/>
      <c r="FR382" s="286"/>
      <c r="FS382" s="286"/>
    </row>
    <row r="383" spans="1:175">
      <c r="A383" s="212" t="s">
        <v>3159</v>
      </c>
      <c r="B383" s="212" t="s">
        <v>3160</v>
      </c>
      <c r="C383" s="212" t="s">
        <v>3432</v>
      </c>
      <c r="D383" s="212" t="s">
        <v>3537</v>
      </c>
      <c r="E383" s="212" t="s">
        <v>3553</v>
      </c>
      <c r="F383" s="278">
        <v>9671</v>
      </c>
      <c r="G383" s="278">
        <v>133968</v>
      </c>
      <c r="H383" s="287">
        <f t="shared" si="5"/>
        <v>3.359011107130061</v>
      </c>
      <c r="I383" s="286">
        <v>389</v>
      </c>
      <c r="J383" s="286">
        <v>4500</v>
      </c>
      <c r="K383" s="286">
        <v>2635</v>
      </c>
      <c r="L383" s="286">
        <v>1865</v>
      </c>
      <c r="M383" s="286">
        <v>3667</v>
      </c>
      <c r="N383" s="286">
        <v>2070</v>
      </c>
      <c r="O383" s="286">
        <v>1597</v>
      </c>
      <c r="P383" s="286">
        <v>389</v>
      </c>
      <c r="Q383" s="286">
        <v>4500</v>
      </c>
      <c r="R383" s="286">
        <v>2635</v>
      </c>
      <c r="S383" s="286">
        <v>1865</v>
      </c>
      <c r="T383" s="286">
        <v>3667</v>
      </c>
      <c r="U383" s="286">
        <v>2070</v>
      </c>
      <c r="V383" s="286">
        <v>1597</v>
      </c>
      <c r="W383" s="286"/>
      <c r="X383" s="286"/>
      <c r="Y383" s="286"/>
      <c r="Z383" s="286"/>
      <c r="AA383" s="286"/>
      <c r="AB383" s="286"/>
      <c r="AC383" s="286"/>
      <c r="AD383" s="286"/>
      <c r="AE383" s="286"/>
      <c r="AF383" s="286"/>
      <c r="AG383" s="286"/>
      <c r="AH383" s="286"/>
      <c r="AI383" s="286"/>
      <c r="AJ383" s="286"/>
      <c r="AK383" s="286"/>
      <c r="AL383" s="286"/>
      <c r="AM383" s="286"/>
      <c r="AN383" s="286"/>
      <c r="AO383" s="286"/>
      <c r="AP383" s="286"/>
      <c r="AQ383" s="286"/>
      <c r="AR383" s="286"/>
      <c r="AS383" s="286"/>
      <c r="AT383" s="286"/>
      <c r="AU383" s="286"/>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86"/>
      <c r="BY383" s="286"/>
      <c r="BZ383" s="286"/>
      <c r="CA383" s="286"/>
      <c r="CB383" s="286"/>
      <c r="CC383" s="286"/>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86"/>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c r="DV383" s="286"/>
      <c r="DW383" s="286"/>
      <c r="DX383" s="286"/>
      <c r="DY383" s="286"/>
      <c r="DZ383" s="286"/>
      <c r="EA383" s="286"/>
      <c r="EB383" s="286"/>
      <c r="EC383" s="286"/>
      <c r="ED383" s="286"/>
      <c r="EE383" s="286"/>
      <c r="EF383" s="286"/>
      <c r="EG383" s="286"/>
      <c r="EH383" s="286"/>
      <c r="EI383" s="286"/>
      <c r="EJ383" s="286"/>
      <c r="EK383" s="286"/>
      <c r="EL383" s="286"/>
      <c r="EM383" s="286"/>
      <c r="EN383" s="286"/>
      <c r="EO383" s="286"/>
      <c r="EP383" s="286"/>
      <c r="EQ383" s="286"/>
      <c r="ER383" s="286"/>
      <c r="ES383" s="286"/>
      <c r="ET383" s="286"/>
      <c r="EU383" s="286"/>
      <c r="EV383" s="286"/>
      <c r="EW383" s="286"/>
      <c r="EX383" s="286"/>
      <c r="EY383" s="286"/>
      <c r="EZ383" s="286"/>
      <c r="FA383" s="286"/>
      <c r="FB383" s="286"/>
      <c r="FC383" s="286"/>
      <c r="FD383" s="286"/>
      <c r="FE383" s="286"/>
      <c r="FF383" s="286"/>
      <c r="FG383" s="286"/>
      <c r="FH383" s="286"/>
      <c r="FI383" s="286"/>
      <c r="FJ383" s="286"/>
      <c r="FK383" s="286"/>
      <c r="FL383" s="286"/>
      <c r="FM383" s="286"/>
      <c r="FN383" s="286"/>
      <c r="FO383" s="286"/>
      <c r="FP383" s="286"/>
      <c r="FQ383" s="286"/>
      <c r="FR383" s="286"/>
      <c r="FS383" s="286"/>
    </row>
    <row r="384" spans="1:175">
      <c r="A384" s="212" t="s">
        <v>3159</v>
      </c>
      <c r="B384" s="212" t="s">
        <v>3160</v>
      </c>
      <c r="C384" s="212" t="s">
        <v>3432</v>
      </c>
      <c r="D384" s="212" t="s">
        <v>3537</v>
      </c>
      <c r="E384" s="212" t="s">
        <v>3554</v>
      </c>
      <c r="F384" s="278">
        <v>5922</v>
      </c>
      <c r="G384" s="278">
        <v>66072</v>
      </c>
      <c r="H384" s="287">
        <f t="shared" si="5"/>
        <v>4.6509868022763046</v>
      </c>
      <c r="I384" s="286">
        <v>259</v>
      </c>
      <c r="J384" s="286">
        <v>3073</v>
      </c>
      <c r="K384" s="286">
        <v>2115</v>
      </c>
      <c r="L384" s="286">
        <v>958</v>
      </c>
      <c r="M384" s="286">
        <v>2655</v>
      </c>
      <c r="N384" s="286">
        <v>1812</v>
      </c>
      <c r="O384" s="286">
        <v>843</v>
      </c>
      <c r="P384" s="286">
        <v>259</v>
      </c>
      <c r="Q384" s="286">
        <v>3073</v>
      </c>
      <c r="R384" s="286">
        <v>2115</v>
      </c>
      <c r="S384" s="286">
        <v>958</v>
      </c>
      <c r="T384" s="286">
        <v>2655</v>
      </c>
      <c r="U384" s="286">
        <v>1812</v>
      </c>
      <c r="V384" s="286">
        <v>843</v>
      </c>
      <c r="W384" s="286"/>
      <c r="X384" s="286"/>
      <c r="Y384" s="286"/>
      <c r="Z384" s="286"/>
      <c r="AA384" s="286"/>
      <c r="AB384" s="286"/>
      <c r="AC384" s="286"/>
      <c r="AD384" s="286"/>
      <c r="AE384" s="286"/>
      <c r="AF384" s="286"/>
      <c r="AG384" s="286"/>
      <c r="AH384" s="286"/>
      <c r="AI384" s="286"/>
      <c r="AJ384" s="286"/>
      <c r="AK384" s="286"/>
      <c r="AL384" s="286"/>
      <c r="AM384" s="286"/>
      <c r="AN384" s="286"/>
      <c r="AO384" s="286"/>
      <c r="AP384" s="286"/>
      <c r="AQ384" s="286"/>
      <c r="AR384" s="286"/>
      <c r="AS384" s="286"/>
      <c r="AT384" s="286"/>
      <c r="AU384" s="286"/>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286"/>
      <c r="DF384" s="286"/>
      <c r="DG384" s="286"/>
      <c r="DH384" s="286"/>
      <c r="DI384" s="286"/>
      <c r="DJ384" s="286"/>
      <c r="DK384" s="286"/>
      <c r="DL384" s="286"/>
      <c r="DM384" s="286"/>
      <c r="DN384" s="286"/>
      <c r="DO384" s="286"/>
      <c r="DP384" s="286"/>
      <c r="DQ384" s="286"/>
      <c r="DR384" s="286"/>
      <c r="DS384" s="286"/>
      <c r="DT384" s="286"/>
      <c r="DU384" s="286"/>
      <c r="DV384" s="286"/>
      <c r="DW384" s="286"/>
      <c r="DX384" s="286"/>
      <c r="DY384" s="286"/>
      <c r="DZ384" s="286"/>
      <c r="EA384" s="286"/>
      <c r="EB384" s="286"/>
      <c r="EC384" s="286"/>
      <c r="ED384" s="286"/>
      <c r="EE384" s="286"/>
      <c r="EF384" s="286"/>
      <c r="EG384" s="286"/>
      <c r="EH384" s="286"/>
      <c r="EI384" s="286"/>
      <c r="EJ384" s="286"/>
      <c r="EK384" s="286"/>
      <c r="EL384" s="286"/>
      <c r="EM384" s="286"/>
      <c r="EN384" s="286"/>
      <c r="EO384" s="286"/>
      <c r="EP384" s="286"/>
      <c r="EQ384" s="286"/>
      <c r="ER384" s="286"/>
      <c r="ES384" s="286"/>
      <c r="ET384" s="286"/>
      <c r="EU384" s="286"/>
      <c r="EV384" s="286"/>
      <c r="EW384" s="286"/>
      <c r="EX384" s="286"/>
      <c r="EY384" s="286"/>
      <c r="EZ384" s="286"/>
      <c r="FA384" s="286"/>
      <c r="FB384" s="286"/>
      <c r="FC384" s="286"/>
      <c r="FD384" s="286"/>
      <c r="FE384" s="286"/>
      <c r="FF384" s="286"/>
      <c r="FG384" s="286"/>
      <c r="FH384" s="286"/>
      <c r="FI384" s="286"/>
      <c r="FJ384" s="286"/>
      <c r="FK384" s="286"/>
      <c r="FL384" s="286"/>
      <c r="FM384" s="286"/>
      <c r="FN384" s="286"/>
      <c r="FO384" s="286"/>
      <c r="FP384" s="286"/>
      <c r="FQ384" s="286"/>
      <c r="FR384" s="286"/>
      <c r="FS384" s="286"/>
    </row>
    <row r="385" spans="1:175">
      <c r="A385" s="212" t="s">
        <v>3159</v>
      </c>
      <c r="B385" s="212" t="s">
        <v>3160</v>
      </c>
      <c r="C385" s="212" t="s">
        <v>3432</v>
      </c>
      <c r="D385" s="212" t="s">
        <v>3537</v>
      </c>
      <c r="E385" s="212" t="s">
        <v>3555</v>
      </c>
      <c r="F385" s="278">
        <v>9071</v>
      </c>
      <c r="G385" s="278">
        <v>85074</v>
      </c>
      <c r="H385" s="287">
        <f t="shared" si="5"/>
        <v>3.2007428826668551</v>
      </c>
      <c r="I385" s="286">
        <v>312</v>
      </c>
      <c r="J385" s="286">
        <v>2723</v>
      </c>
      <c r="K385" s="286">
        <v>1914</v>
      </c>
      <c r="L385" s="286">
        <v>809</v>
      </c>
      <c r="M385" s="286">
        <v>2088</v>
      </c>
      <c r="N385" s="286">
        <v>1449</v>
      </c>
      <c r="O385" s="286">
        <v>639</v>
      </c>
      <c r="P385" s="286">
        <v>312</v>
      </c>
      <c r="Q385" s="286">
        <v>2723</v>
      </c>
      <c r="R385" s="286">
        <v>1914</v>
      </c>
      <c r="S385" s="286">
        <v>809</v>
      </c>
      <c r="T385" s="286">
        <v>2088</v>
      </c>
      <c r="U385" s="286">
        <v>1449</v>
      </c>
      <c r="V385" s="286">
        <v>639</v>
      </c>
      <c r="W385" s="286"/>
      <c r="X385" s="286"/>
      <c r="Y385" s="286"/>
      <c r="Z385" s="286"/>
      <c r="AA385" s="286"/>
      <c r="AB385" s="286"/>
      <c r="AC385" s="286"/>
      <c r="AD385" s="286"/>
      <c r="AE385" s="286"/>
      <c r="AF385" s="286"/>
      <c r="AG385" s="286"/>
      <c r="AH385" s="286"/>
      <c r="AI385" s="286"/>
      <c r="AJ385" s="286"/>
      <c r="AK385" s="286"/>
      <c r="AL385" s="286"/>
      <c r="AM385" s="286"/>
      <c r="AN385" s="286"/>
      <c r="AO385" s="286"/>
      <c r="AP385" s="286"/>
      <c r="AQ385" s="286"/>
      <c r="AR385" s="286"/>
      <c r="AS385" s="286"/>
      <c r="AT385" s="286"/>
      <c r="AU385" s="286"/>
      <c r="AV385" s="286"/>
      <c r="AW385" s="286"/>
      <c r="AX385" s="286"/>
      <c r="AY385" s="286"/>
      <c r="AZ385" s="286"/>
      <c r="BA385" s="286"/>
      <c r="BB385" s="286"/>
      <c r="BC385" s="286"/>
      <c r="BD385" s="286"/>
      <c r="BE385" s="286"/>
      <c r="BF385" s="286"/>
      <c r="BG385" s="286"/>
      <c r="BH385" s="286"/>
      <c r="BI385" s="286"/>
      <c r="BJ385" s="286"/>
      <c r="BK385" s="286"/>
      <c r="BL385" s="286"/>
      <c r="BM385" s="286"/>
      <c r="BN385" s="286"/>
      <c r="BO385" s="286"/>
      <c r="BP385" s="286"/>
      <c r="BQ385" s="286"/>
      <c r="BR385" s="286"/>
      <c r="BS385" s="286"/>
      <c r="BT385" s="286"/>
      <c r="BU385" s="286"/>
      <c r="BV385" s="286"/>
      <c r="BW385" s="286"/>
      <c r="BX385" s="286"/>
      <c r="BY385" s="286"/>
      <c r="BZ385" s="286"/>
      <c r="CA385" s="286"/>
      <c r="CB385" s="286"/>
      <c r="CC385" s="286"/>
      <c r="CD385" s="286"/>
      <c r="CE385" s="286"/>
      <c r="CF385" s="286"/>
      <c r="CG385" s="286"/>
      <c r="CH385" s="286"/>
      <c r="CI385" s="286"/>
      <c r="CJ385" s="286"/>
      <c r="CK385" s="286"/>
      <c r="CL385" s="286"/>
      <c r="CM385" s="286"/>
      <c r="CN385" s="286"/>
      <c r="CO385" s="286"/>
      <c r="CP385" s="286"/>
      <c r="CQ385" s="286"/>
      <c r="CR385" s="286"/>
      <c r="CS385" s="286"/>
      <c r="CT385" s="286"/>
      <c r="CU385" s="286"/>
      <c r="CV385" s="286"/>
      <c r="CW385" s="286"/>
      <c r="CX385" s="286"/>
      <c r="CY385" s="286"/>
      <c r="CZ385" s="286"/>
      <c r="DA385" s="286"/>
      <c r="DB385" s="286"/>
      <c r="DC385" s="286"/>
      <c r="DD385" s="286"/>
      <c r="DE385" s="286"/>
      <c r="DF385" s="286"/>
      <c r="DG385" s="286"/>
      <c r="DH385" s="286"/>
      <c r="DI385" s="286"/>
      <c r="DJ385" s="286"/>
      <c r="DK385" s="286"/>
      <c r="DL385" s="286"/>
      <c r="DM385" s="286"/>
      <c r="DN385" s="286"/>
      <c r="DO385" s="286"/>
      <c r="DP385" s="286"/>
      <c r="DQ385" s="286"/>
      <c r="DR385" s="286"/>
      <c r="DS385" s="286"/>
      <c r="DT385" s="286"/>
      <c r="DU385" s="286"/>
      <c r="DV385" s="286"/>
      <c r="DW385" s="286"/>
      <c r="DX385" s="286"/>
      <c r="DY385" s="286"/>
      <c r="DZ385" s="286"/>
      <c r="EA385" s="286"/>
      <c r="EB385" s="286"/>
      <c r="EC385" s="286"/>
      <c r="ED385" s="286"/>
      <c r="EE385" s="286"/>
      <c r="EF385" s="286"/>
      <c r="EG385" s="286"/>
      <c r="EH385" s="286"/>
      <c r="EI385" s="286"/>
      <c r="EJ385" s="286"/>
      <c r="EK385" s="286"/>
      <c r="EL385" s="286"/>
      <c r="EM385" s="286"/>
      <c r="EN385" s="286"/>
      <c r="EO385" s="286"/>
      <c r="EP385" s="286"/>
      <c r="EQ385" s="286"/>
      <c r="ER385" s="286"/>
      <c r="ES385" s="286"/>
      <c r="ET385" s="286"/>
      <c r="EU385" s="286"/>
      <c r="EV385" s="286"/>
      <c r="EW385" s="286"/>
      <c r="EX385" s="286"/>
      <c r="EY385" s="286"/>
      <c r="EZ385" s="286"/>
      <c r="FA385" s="286"/>
      <c r="FB385" s="286"/>
      <c r="FC385" s="286"/>
      <c r="FD385" s="286"/>
      <c r="FE385" s="286"/>
      <c r="FF385" s="286"/>
      <c r="FG385" s="286"/>
      <c r="FH385" s="286"/>
      <c r="FI385" s="286"/>
      <c r="FJ385" s="286"/>
      <c r="FK385" s="286"/>
      <c r="FL385" s="286"/>
      <c r="FM385" s="286"/>
      <c r="FN385" s="286"/>
      <c r="FO385" s="286"/>
      <c r="FP385" s="286"/>
      <c r="FQ385" s="286"/>
      <c r="FR385" s="286"/>
      <c r="FS385" s="286"/>
    </row>
    <row r="386" spans="1:175">
      <c r="A386" s="212" t="s">
        <v>3159</v>
      </c>
      <c r="B386" s="212" t="s">
        <v>3160</v>
      </c>
      <c r="C386" s="212" t="s">
        <v>3432</v>
      </c>
      <c r="D386" s="212" t="s">
        <v>3537</v>
      </c>
      <c r="E386" s="212" t="s">
        <v>3556</v>
      </c>
      <c r="F386" s="278">
        <v>2551</v>
      </c>
      <c r="G386" s="278">
        <v>28222</v>
      </c>
      <c r="H386" s="287">
        <f t="shared" si="5"/>
        <v>4.2378286443200341</v>
      </c>
      <c r="I386" s="286">
        <v>113</v>
      </c>
      <c r="J386" s="286">
        <v>1196</v>
      </c>
      <c r="K386" s="286">
        <v>623</v>
      </c>
      <c r="L386" s="286">
        <v>573</v>
      </c>
      <c r="M386" s="286">
        <v>1014</v>
      </c>
      <c r="N386" s="286">
        <v>495</v>
      </c>
      <c r="O386" s="286">
        <v>519</v>
      </c>
      <c r="P386" s="286">
        <v>113</v>
      </c>
      <c r="Q386" s="286">
        <v>1196</v>
      </c>
      <c r="R386" s="286">
        <v>623</v>
      </c>
      <c r="S386" s="286">
        <v>573</v>
      </c>
      <c r="T386" s="286">
        <v>1014</v>
      </c>
      <c r="U386" s="286">
        <v>495</v>
      </c>
      <c r="V386" s="286">
        <v>519</v>
      </c>
      <c r="W386" s="286"/>
      <c r="X386" s="286"/>
      <c r="Y386" s="286"/>
      <c r="Z386" s="286"/>
      <c r="AA386" s="286"/>
      <c r="AB386" s="286"/>
      <c r="AC386" s="286"/>
      <c r="AD386" s="286"/>
      <c r="AE386" s="286"/>
      <c r="AF386" s="286"/>
      <c r="AG386" s="286"/>
      <c r="AH386" s="286"/>
      <c r="AI386" s="286"/>
      <c r="AJ386" s="286"/>
      <c r="AK386" s="286"/>
      <c r="AL386" s="286"/>
      <c r="AM386" s="286"/>
      <c r="AN386" s="286"/>
      <c r="AO386" s="286"/>
      <c r="AP386" s="286"/>
      <c r="AQ386" s="286"/>
      <c r="AR386" s="286"/>
      <c r="AS386" s="286"/>
      <c r="AT386" s="286"/>
      <c r="AU386" s="286"/>
      <c r="AV386" s="286"/>
      <c r="AW386" s="286"/>
      <c r="AX386" s="286"/>
      <c r="AY386" s="286"/>
      <c r="AZ386" s="286"/>
      <c r="BA386" s="286"/>
      <c r="BB386" s="286"/>
      <c r="BC386" s="286"/>
      <c r="BD386" s="286"/>
      <c r="BE386" s="286"/>
      <c r="BF386" s="286"/>
      <c r="BG386" s="286"/>
      <c r="BH386" s="286"/>
      <c r="BI386" s="286"/>
      <c r="BJ386" s="286"/>
      <c r="BK386" s="286"/>
      <c r="BL386" s="286"/>
      <c r="BM386" s="286"/>
      <c r="BN386" s="286"/>
      <c r="BO386" s="286"/>
      <c r="BP386" s="286"/>
      <c r="BQ386" s="286"/>
      <c r="BR386" s="286"/>
      <c r="BS386" s="286"/>
      <c r="BT386" s="286"/>
      <c r="BU386" s="286"/>
      <c r="BV386" s="286"/>
      <c r="BW386" s="286"/>
      <c r="BX386" s="286"/>
      <c r="BY386" s="286"/>
      <c r="BZ386" s="286"/>
      <c r="CA386" s="286"/>
      <c r="CB386" s="286"/>
      <c r="CC386" s="286"/>
      <c r="CD386" s="286"/>
      <c r="CE386" s="286"/>
      <c r="CF386" s="286"/>
      <c r="CG386" s="286"/>
      <c r="CH386" s="286"/>
      <c r="CI386" s="286"/>
      <c r="CJ386" s="286"/>
      <c r="CK386" s="286"/>
      <c r="CL386" s="286"/>
      <c r="CM386" s="286"/>
      <c r="CN386" s="286"/>
      <c r="CO386" s="286"/>
      <c r="CP386" s="286"/>
      <c r="CQ386" s="286"/>
      <c r="CR386" s="286"/>
      <c r="CS386" s="286"/>
      <c r="CT386" s="286"/>
      <c r="CU386" s="286"/>
      <c r="CV386" s="286"/>
      <c r="CW386" s="286"/>
      <c r="CX386" s="286"/>
      <c r="CY386" s="286"/>
      <c r="CZ386" s="286"/>
      <c r="DA386" s="286"/>
      <c r="DB386" s="286"/>
      <c r="DC386" s="286"/>
      <c r="DD386" s="286"/>
      <c r="DE386" s="286"/>
      <c r="DF386" s="286"/>
      <c r="DG386" s="286"/>
      <c r="DH386" s="286"/>
      <c r="DI386" s="286"/>
      <c r="DJ386" s="286"/>
      <c r="DK386" s="286"/>
      <c r="DL386" s="286"/>
      <c r="DM386" s="286"/>
      <c r="DN386" s="286"/>
      <c r="DO386" s="286"/>
      <c r="DP386" s="286"/>
      <c r="DQ386" s="286"/>
      <c r="DR386" s="286"/>
      <c r="DS386" s="286"/>
      <c r="DT386" s="286"/>
      <c r="DU386" s="286"/>
      <c r="DV386" s="286"/>
      <c r="DW386" s="286"/>
      <c r="DX386" s="286"/>
      <c r="DY386" s="286"/>
      <c r="DZ386" s="286"/>
      <c r="EA386" s="286"/>
      <c r="EB386" s="286"/>
      <c r="EC386" s="286"/>
      <c r="ED386" s="286"/>
      <c r="EE386" s="286"/>
      <c r="EF386" s="286"/>
      <c r="EG386" s="286"/>
      <c r="EH386" s="286"/>
      <c r="EI386" s="286"/>
      <c r="EJ386" s="286"/>
      <c r="EK386" s="286"/>
      <c r="EL386" s="286"/>
      <c r="EM386" s="286"/>
      <c r="EN386" s="286"/>
      <c r="EO386" s="286"/>
      <c r="EP386" s="286"/>
      <c r="EQ386" s="286"/>
      <c r="ER386" s="286"/>
      <c r="ES386" s="286"/>
      <c r="ET386" s="286"/>
      <c r="EU386" s="286"/>
      <c r="EV386" s="286"/>
      <c r="EW386" s="286"/>
      <c r="EX386" s="286"/>
      <c r="EY386" s="286"/>
      <c r="EZ386" s="286"/>
      <c r="FA386" s="286"/>
      <c r="FB386" s="286"/>
      <c r="FC386" s="286"/>
      <c r="FD386" s="286"/>
      <c r="FE386" s="286"/>
      <c r="FF386" s="286"/>
      <c r="FG386" s="286"/>
      <c r="FH386" s="286"/>
      <c r="FI386" s="286"/>
      <c r="FJ386" s="286"/>
      <c r="FK386" s="286"/>
      <c r="FL386" s="286"/>
      <c r="FM386" s="286"/>
      <c r="FN386" s="286"/>
      <c r="FO386" s="286"/>
      <c r="FP386" s="286"/>
      <c r="FQ386" s="286"/>
      <c r="FR386" s="286"/>
      <c r="FS386" s="286"/>
    </row>
    <row r="387" spans="1:175">
      <c r="A387" s="212" t="s">
        <v>3159</v>
      </c>
      <c r="B387" s="212" t="s">
        <v>3160</v>
      </c>
      <c r="C387" s="212" t="s">
        <v>3172</v>
      </c>
      <c r="D387" s="212" t="s">
        <v>3537</v>
      </c>
      <c r="E387" s="212" t="s">
        <v>3557</v>
      </c>
      <c r="F387" s="278">
        <v>32023</v>
      </c>
      <c r="G387" s="278">
        <v>389196</v>
      </c>
      <c r="H387" s="287">
        <f t="shared" si="5"/>
        <v>3.7649410579759297</v>
      </c>
      <c r="I387" s="286">
        <v>1153</v>
      </c>
      <c r="J387" s="286">
        <v>14653</v>
      </c>
      <c r="K387" s="286">
        <v>8483</v>
      </c>
      <c r="L387" s="286">
        <v>6163</v>
      </c>
      <c r="M387" s="286">
        <v>12999</v>
      </c>
      <c r="N387" s="286">
        <v>7371</v>
      </c>
      <c r="O387" s="286">
        <v>5621</v>
      </c>
      <c r="P387" s="286">
        <v>1153</v>
      </c>
      <c r="Q387" s="286">
        <v>14653</v>
      </c>
      <c r="R387" s="286">
        <v>8483</v>
      </c>
      <c r="S387" s="286">
        <v>6163</v>
      </c>
      <c r="T387" s="286">
        <v>12999</v>
      </c>
      <c r="U387" s="286">
        <v>7371</v>
      </c>
      <c r="V387" s="286">
        <v>5621</v>
      </c>
      <c r="W387" s="286"/>
      <c r="X387" s="286"/>
      <c r="Y387" s="286"/>
      <c r="Z387" s="286"/>
      <c r="AA387" s="286"/>
      <c r="AB387" s="286"/>
      <c r="AC387" s="286"/>
      <c r="AD387" s="286"/>
      <c r="AE387" s="286"/>
      <c r="AF387" s="286"/>
      <c r="AG387" s="286"/>
      <c r="AH387" s="286"/>
      <c r="AI387" s="286"/>
      <c r="AJ387" s="286"/>
      <c r="AK387" s="286"/>
      <c r="AL387" s="286"/>
      <c r="AM387" s="286"/>
      <c r="AN387" s="286"/>
      <c r="AO387" s="286"/>
      <c r="AP387" s="286"/>
      <c r="AQ387" s="286"/>
      <c r="AR387" s="286"/>
      <c r="AS387" s="286"/>
      <c r="AT387" s="286"/>
      <c r="AU387" s="286"/>
      <c r="AV387" s="286"/>
      <c r="AW387" s="286"/>
      <c r="AX387" s="286"/>
      <c r="AY387" s="286"/>
      <c r="AZ387" s="286"/>
      <c r="BA387" s="286"/>
      <c r="BB387" s="286"/>
      <c r="BC387" s="286"/>
      <c r="BD387" s="286"/>
      <c r="BE387" s="286"/>
      <c r="BF387" s="286"/>
      <c r="BG387" s="286"/>
      <c r="BH387" s="286"/>
      <c r="BI387" s="286"/>
      <c r="BJ387" s="286"/>
      <c r="BK387" s="286"/>
      <c r="BL387" s="286"/>
      <c r="BM387" s="286"/>
      <c r="BN387" s="286"/>
      <c r="BO387" s="286"/>
      <c r="BP387" s="286"/>
      <c r="BQ387" s="286"/>
      <c r="BR387" s="286"/>
      <c r="BS387" s="286"/>
      <c r="BT387" s="286"/>
      <c r="BU387" s="286"/>
      <c r="BV387" s="286"/>
      <c r="BW387" s="286"/>
      <c r="BX387" s="286"/>
      <c r="BY387" s="286"/>
      <c r="BZ387" s="286"/>
      <c r="CA387" s="286"/>
      <c r="CB387" s="286"/>
      <c r="CC387" s="286"/>
      <c r="CD387" s="286"/>
      <c r="CE387" s="286"/>
      <c r="CF387" s="286"/>
      <c r="CG387" s="286"/>
      <c r="CH387" s="286"/>
      <c r="CI387" s="286"/>
      <c r="CJ387" s="286"/>
      <c r="CK387" s="286"/>
      <c r="CL387" s="286"/>
      <c r="CM387" s="286"/>
      <c r="CN387" s="286"/>
      <c r="CO387" s="286"/>
      <c r="CP387" s="286"/>
      <c r="CQ387" s="286"/>
      <c r="CR387" s="286"/>
      <c r="CS387" s="286"/>
      <c r="CT387" s="286"/>
      <c r="CU387" s="286"/>
      <c r="CV387" s="286"/>
      <c r="CW387" s="286"/>
      <c r="CX387" s="286"/>
      <c r="CY387" s="286"/>
      <c r="CZ387" s="286"/>
      <c r="DA387" s="286"/>
      <c r="DB387" s="286"/>
      <c r="DC387" s="286"/>
      <c r="DD387" s="286"/>
      <c r="DE387" s="286"/>
      <c r="DF387" s="286"/>
      <c r="DG387" s="286"/>
      <c r="DH387" s="286"/>
      <c r="DI387" s="286"/>
      <c r="DJ387" s="286"/>
      <c r="DK387" s="286"/>
      <c r="DL387" s="286"/>
      <c r="DM387" s="286"/>
      <c r="DN387" s="286"/>
      <c r="DO387" s="286"/>
      <c r="DP387" s="286"/>
      <c r="DQ387" s="286"/>
      <c r="DR387" s="286"/>
      <c r="DS387" s="286"/>
      <c r="DT387" s="286"/>
      <c r="DU387" s="286"/>
      <c r="DV387" s="286"/>
      <c r="DW387" s="286"/>
      <c r="DX387" s="286"/>
      <c r="DY387" s="286"/>
      <c r="DZ387" s="286"/>
      <c r="EA387" s="286"/>
      <c r="EB387" s="286"/>
      <c r="EC387" s="286"/>
      <c r="ED387" s="286"/>
      <c r="EE387" s="286"/>
      <c r="EF387" s="286"/>
      <c r="EG387" s="286"/>
      <c r="EH387" s="286"/>
      <c r="EI387" s="286"/>
      <c r="EJ387" s="286"/>
      <c r="EK387" s="286"/>
      <c r="EL387" s="286"/>
      <c r="EM387" s="286"/>
      <c r="EN387" s="286"/>
      <c r="EO387" s="286"/>
      <c r="EP387" s="286"/>
      <c r="EQ387" s="286"/>
      <c r="ER387" s="286"/>
      <c r="ES387" s="286"/>
      <c r="ET387" s="286"/>
      <c r="EU387" s="286"/>
      <c r="EV387" s="286"/>
      <c r="EW387" s="286"/>
      <c r="EX387" s="286"/>
      <c r="EY387" s="286"/>
      <c r="EZ387" s="286"/>
      <c r="FA387" s="286"/>
      <c r="FB387" s="286"/>
      <c r="FC387" s="286"/>
      <c r="FD387" s="286"/>
      <c r="FE387" s="286"/>
      <c r="FF387" s="286"/>
      <c r="FG387" s="286"/>
      <c r="FH387" s="286"/>
      <c r="FI387" s="286"/>
      <c r="FJ387" s="286"/>
      <c r="FK387" s="286"/>
      <c r="FL387" s="286"/>
      <c r="FM387" s="286"/>
      <c r="FN387" s="286"/>
      <c r="FO387" s="286"/>
      <c r="FP387" s="286"/>
      <c r="FQ387" s="286"/>
      <c r="FR387" s="286"/>
      <c r="FS387" s="286"/>
    </row>
    <row r="388" spans="1:175">
      <c r="A388" s="212" t="s">
        <v>3159</v>
      </c>
      <c r="B388" s="212" t="s">
        <v>3160</v>
      </c>
      <c r="C388" s="212" t="s">
        <v>3170</v>
      </c>
      <c r="D388" s="212" t="s">
        <v>3537</v>
      </c>
      <c r="E388" s="212" t="s">
        <v>3558</v>
      </c>
      <c r="F388" s="278">
        <v>82709</v>
      </c>
      <c r="G388" s="278">
        <v>762946</v>
      </c>
      <c r="H388" s="287">
        <f t="shared" si="5"/>
        <v>3.0183001156045117</v>
      </c>
      <c r="I388" s="286">
        <v>2787</v>
      </c>
      <c r="J388" s="286">
        <v>23028</v>
      </c>
      <c r="K388" s="286">
        <v>16816</v>
      </c>
      <c r="L388" s="286">
        <v>6201</v>
      </c>
      <c r="M388" s="286">
        <v>19017</v>
      </c>
      <c r="N388" s="286">
        <v>13936</v>
      </c>
      <c r="O388" s="286">
        <v>5070</v>
      </c>
      <c r="P388" s="286">
        <v>2787</v>
      </c>
      <c r="Q388" s="286">
        <v>23028</v>
      </c>
      <c r="R388" s="286">
        <v>16816</v>
      </c>
      <c r="S388" s="286">
        <v>6201</v>
      </c>
      <c r="T388" s="286">
        <v>19017</v>
      </c>
      <c r="U388" s="286">
        <v>13936</v>
      </c>
      <c r="V388" s="286">
        <v>5070</v>
      </c>
      <c r="W388" s="286"/>
      <c r="X388" s="286"/>
      <c r="Y388" s="286"/>
      <c r="Z388" s="286"/>
      <c r="AA388" s="286"/>
      <c r="AB388" s="286"/>
      <c r="AC388" s="286"/>
      <c r="AD388" s="286"/>
      <c r="AE388" s="286"/>
      <c r="AF388" s="286"/>
      <c r="AG388" s="286"/>
      <c r="AH388" s="286"/>
      <c r="AI388" s="286"/>
      <c r="AJ388" s="286"/>
      <c r="AK388" s="286"/>
      <c r="AL388" s="286"/>
      <c r="AM388" s="286"/>
      <c r="AN388" s="286"/>
      <c r="AO388" s="286"/>
      <c r="AP388" s="286"/>
      <c r="AQ388" s="286"/>
      <c r="AR388" s="286"/>
      <c r="AS388" s="286"/>
      <c r="AT388" s="286"/>
      <c r="AU388" s="286"/>
      <c r="AV388" s="286"/>
      <c r="AW388" s="286"/>
      <c r="AX388" s="286"/>
      <c r="AY388" s="286"/>
      <c r="AZ388" s="286"/>
      <c r="BA388" s="286"/>
      <c r="BB388" s="286"/>
      <c r="BC388" s="286"/>
      <c r="BD388" s="286"/>
      <c r="BE388" s="286"/>
      <c r="BF388" s="286"/>
      <c r="BG388" s="286"/>
      <c r="BH388" s="286"/>
      <c r="BI388" s="286"/>
      <c r="BJ388" s="286"/>
      <c r="BK388" s="286"/>
      <c r="BL388" s="286"/>
      <c r="BM388" s="286"/>
      <c r="BN388" s="286"/>
      <c r="BO388" s="286"/>
      <c r="BP388" s="286"/>
      <c r="BQ388" s="286"/>
      <c r="BR388" s="286"/>
      <c r="BS388" s="286"/>
      <c r="BT388" s="286"/>
      <c r="BU388" s="286"/>
      <c r="BV388" s="286"/>
      <c r="BW388" s="286"/>
      <c r="BX388" s="286"/>
      <c r="BY388" s="286"/>
      <c r="BZ388" s="286"/>
      <c r="CA388" s="286"/>
      <c r="CB388" s="286"/>
      <c r="CC388" s="286"/>
      <c r="CD388" s="286"/>
      <c r="CE388" s="286"/>
      <c r="CF388" s="286"/>
      <c r="CG388" s="286"/>
      <c r="CH388" s="286"/>
      <c r="CI388" s="286"/>
      <c r="CJ388" s="286"/>
      <c r="CK388" s="286"/>
      <c r="CL388" s="286"/>
      <c r="CM388" s="286"/>
      <c r="CN388" s="286"/>
      <c r="CO388" s="286"/>
      <c r="CP388" s="286"/>
      <c r="CQ388" s="286"/>
      <c r="CR388" s="286"/>
      <c r="CS388" s="286"/>
      <c r="CT388" s="286"/>
      <c r="CU388" s="286"/>
      <c r="CV388" s="286"/>
      <c r="CW388" s="286"/>
      <c r="CX388" s="286"/>
      <c r="CY388" s="286"/>
      <c r="CZ388" s="286"/>
      <c r="DA388" s="286"/>
      <c r="DB388" s="286"/>
      <c r="DC388" s="286"/>
      <c r="DD388" s="286"/>
      <c r="DE388" s="286"/>
      <c r="DF388" s="286"/>
      <c r="DG388" s="286"/>
      <c r="DH388" s="286"/>
      <c r="DI388" s="286"/>
      <c r="DJ388" s="286"/>
      <c r="DK388" s="286"/>
      <c r="DL388" s="286"/>
      <c r="DM388" s="286"/>
      <c r="DN388" s="286"/>
      <c r="DO388" s="286"/>
      <c r="DP388" s="286"/>
      <c r="DQ388" s="286"/>
      <c r="DR388" s="286"/>
      <c r="DS388" s="286"/>
      <c r="DT388" s="286"/>
      <c r="DU388" s="286"/>
      <c r="DV388" s="286"/>
      <c r="DW388" s="286"/>
      <c r="DX388" s="286"/>
      <c r="DY388" s="286"/>
      <c r="DZ388" s="286"/>
      <c r="EA388" s="286"/>
      <c r="EB388" s="286"/>
      <c r="EC388" s="286"/>
      <c r="ED388" s="286"/>
      <c r="EE388" s="286"/>
      <c r="EF388" s="286"/>
      <c r="EG388" s="286"/>
      <c r="EH388" s="286"/>
      <c r="EI388" s="286"/>
      <c r="EJ388" s="286"/>
      <c r="EK388" s="286"/>
      <c r="EL388" s="286"/>
      <c r="EM388" s="286"/>
      <c r="EN388" s="286"/>
      <c r="EO388" s="286"/>
      <c r="EP388" s="286"/>
      <c r="EQ388" s="286"/>
      <c r="ER388" s="286"/>
      <c r="ES388" s="286"/>
      <c r="ET388" s="286"/>
      <c r="EU388" s="286"/>
      <c r="EV388" s="286"/>
      <c r="EW388" s="286"/>
      <c r="EX388" s="286"/>
      <c r="EY388" s="286"/>
      <c r="EZ388" s="286"/>
      <c r="FA388" s="286"/>
      <c r="FB388" s="286"/>
      <c r="FC388" s="286"/>
      <c r="FD388" s="286"/>
      <c r="FE388" s="286"/>
      <c r="FF388" s="286"/>
      <c r="FG388" s="286"/>
      <c r="FH388" s="286"/>
      <c r="FI388" s="286"/>
      <c r="FJ388" s="286"/>
      <c r="FK388" s="286"/>
      <c r="FL388" s="286"/>
      <c r="FM388" s="286"/>
      <c r="FN388" s="286"/>
      <c r="FO388" s="286"/>
      <c r="FP388" s="286"/>
      <c r="FQ388" s="286"/>
      <c r="FR388" s="286"/>
      <c r="FS388" s="286"/>
    </row>
    <row r="389" spans="1:175">
      <c r="A389" s="212" t="s">
        <v>3159</v>
      </c>
      <c r="B389" s="212" t="s">
        <v>3160</v>
      </c>
      <c r="C389" s="212" t="s">
        <v>3172</v>
      </c>
      <c r="D389" s="212" t="s">
        <v>3537</v>
      </c>
      <c r="E389" s="212" t="s">
        <v>3559</v>
      </c>
      <c r="F389" s="278">
        <v>1422</v>
      </c>
      <c r="G389" s="278">
        <v>10416</v>
      </c>
      <c r="H389" s="287">
        <f t="shared" si="5"/>
        <v>2.7457757296466974</v>
      </c>
      <c r="I389" s="286">
        <v>46</v>
      </c>
      <c r="J389" s="286">
        <v>286</v>
      </c>
      <c r="K389" s="286">
        <v>207</v>
      </c>
      <c r="L389" s="286">
        <v>79</v>
      </c>
      <c r="M389" s="286">
        <v>253</v>
      </c>
      <c r="N389" s="286">
        <v>186</v>
      </c>
      <c r="O389" s="286">
        <v>67</v>
      </c>
      <c r="P389" s="286">
        <v>46</v>
      </c>
      <c r="Q389" s="286">
        <v>286</v>
      </c>
      <c r="R389" s="286">
        <v>207</v>
      </c>
      <c r="S389" s="286">
        <v>79</v>
      </c>
      <c r="T389" s="286">
        <v>253</v>
      </c>
      <c r="U389" s="286">
        <v>186</v>
      </c>
      <c r="V389" s="286">
        <v>67</v>
      </c>
      <c r="W389" s="286"/>
      <c r="X389" s="286"/>
      <c r="Y389" s="286"/>
      <c r="Z389" s="286"/>
      <c r="AA389" s="286"/>
      <c r="AB389" s="286"/>
      <c r="AC389" s="286"/>
      <c r="AD389" s="286"/>
      <c r="AE389" s="286"/>
      <c r="AF389" s="286"/>
      <c r="AG389" s="286"/>
      <c r="AH389" s="286"/>
      <c r="AI389" s="286"/>
      <c r="AJ389" s="286"/>
      <c r="AK389" s="286"/>
      <c r="AL389" s="286"/>
      <c r="AM389" s="286"/>
      <c r="AN389" s="286"/>
      <c r="AO389" s="286"/>
      <c r="AP389" s="286"/>
      <c r="AQ389" s="286"/>
      <c r="AR389" s="286"/>
      <c r="AS389" s="286"/>
      <c r="AT389" s="286"/>
      <c r="AU389" s="286"/>
      <c r="AV389" s="286"/>
      <c r="AW389" s="286"/>
      <c r="AX389" s="286"/>
      <c r="AY389" s="286"/>
      <c r="AZ389" s="286"/>
      <c r="BA389" s="286"/>
      <c r="BB389" s="286"/>
      <c r="BC389" s="286"/>
      <c r="BD389" s="286"/>
      <c r="BE389" s="286"/>
      <c r="BF389" s="286"/>
      <c r="BG389" s="286"/>
      <c r="BH389" s="286"/>
      <c r="BI389" s="286"/>
      <c r="BJ389" s="286"/>
      <c r="BK389" s="286"/>
      <c r="BL389" s="286"/>
      <c r="BM389" s="286"/>
      <c r="BN389" s="286"/>
      <c r="BO389" s="286"/>
      <c r="BP389" s="286"/>
      <c r="BQ389" s="286"/>
      <c r="BR389" s="286"/>
      <c r="BS389" s="286"/>
      <c r="BT389" s="286"/>
      <c r="BU389" s="286"/>
      <c r="BV389" s="286"/>
      <c r="BW389" s="286"/>
      <c r="BX389" s="286"/>
      <c r="BY389" s="286"/>
      <c r="BZ389" s="286"/>
      <c r="CA389" s="286"/>
      <c r="CB389" s="286"/>
      <c r="CC389" s="286"/>
      <c r="CD389" s="286"/>
      <c r="CE389" s="286"/>
      <c r="CF389" s="286"/>
      <c r="CG389" s="286"/>
      <c r="CH389" s="286"/>
      <c r="CI389" s="286"/>
      <c r="CJ389" s="286"/>
      <c r="CK389" s="286"/>
      <c r="CL389" s="286"/>
      <c r="CM389" s="286"/>
      <c r="CN389" s="286"/>
      <c r="CO389" s="286"/>
      <c r="CP389" s="286"/>
      <c r="CQ389" s="286"/>
      <c r="CR389" s="286"/>
      <c r="CS389" s="286"/>
      <c r="CT389" s="286"/>
      <c r="CU389" s="286"/>
      <c r="CV389" s="286"/>
      <c r="CW389" s="286"/>
      <c r="CX389" s="286"/>
      <c r="CY389" s="286"/>
      <c r="CZ389" s="286"/>
      <c r="DA389" s="286"/>
      <c r="DB389" s="286"/>
      <c r="DC389" s="286"/>
      <c r="DD389" s="286"/>
      <c r="DE389" s="286"/>
      <c r="DF389" s="286"/>
      <c r="DG389" s="286"/>
      <c r="DH389" s="286"/>
      <c r="DI389" s="286"/>
      <c r="DJ389" s="286"/>
      <c r="DK389" s="286"/>
      <c r="DL389" s="286"/>
      <c r="DM389" s="286"/>
      <c r="DN389" s="286"/>
      <c r="DO389" s="286"/>
      <c r="DP389" s="286"/>
      <c r="DQ389" s="286"/>
      <c r="DR389" s="286"/>
      <c r="DS389" s="286"/>
      <c r="DT389" s="286"/>
      <c r="DU389" s="286"/>
      <c r="DV389" s="286"/>
      <c r="DW389" s="286"/>
      <c r="DX389" s="286"/>
      <c r="DY389" s="286"/>
      <c r="DZ389" s="286"/>
      <c r="EA389" s="286"/>
      <c r="EB389" s="286"/>
      <c r="EC389" s="286"/>
      <c r="ED389" s="286"/>
      <c r="EE389" s="286"/>
      <c r="EF389" s="286"/>
      <c r="EG389" s="286"/>
      <c r="EH389" s="286"/>
      <c r="EI389" s="286"/>
      <c r="EJ389" s="286"/>
      <c r="EK389" s="286"/>
      <c r="EL389" s="286"/>
      <c r="EM389" s="286"/>
      <c r="EN389" s="286"/>
      <c r="EO389" s="286"/>
      <c r="EP389" s="286"/>
      <c r="EQ389" s="286"/>
      <c r="ER389" s="286"/>
      <c r="ES389" s="286"/>
      <c r="ET389" s="286"/>
      <c r="EU389" s="286"/>
      <c r="EV389" s="286"/>
      <c r="EW389" s="286"/>
      <c r="EX389" s="286"/>
      <c r="EY389" s="286"/>
      <c r="EZ389" s="286"/>
      <c r="FA389" s="286"/>
      <c r="FB389" s="286"/>
      <c r="FC389" s="286"/>
      <c r="FD389" s="286"/>
      <c r="FE389" s="286"/>
      <c r="FF389" s="286"/>
      <c r="FG389" s="286"/>
      <c r="FH389" s="286"/>
      <c r="FI389" s="286"/>
      <c r="FJ389" s="286"/>
      <c r="FK389" s="286"/>
      <c r="FL389" s="286"/>
      <c r="FM389" s="286"/>
      <c r="FN389" s="286"/>
      <c r="FO389" s="286"/>
      <c r="FP389" s="286"/>
      <c r="FQ389" s="286"/>
      <c r="FR389" s="286"/>
      <c r="FS389" s="286"/>
    </row>
    <row r="390" spans="1:175">
      <c r="A390" s="212" t="s">
        <v>3159</v>
      </c>
      <c r="B390" s="212" t="s">
        <v>3160</v>
      </c>
      <c r="C390" s="212" t="s">
        <v>3172</v>
      </c>
      <c r="D390" s="212" t="s">
        <v>3537</v>
      </c>
      <c r="E390" s="212" t="s">
        <v>3560</v>
      </c>
      <c r="F390" s="278">
        <v>34027</v>
      </c>
      <c r="G390" s="278">
        <v>266654</v>
      </c>
      <c r="H390" s="287">
        <f t="shared" si="5"/>
        <v>2.6885027038784344</v>
      </c>
      <c r="I390" s="286">
        <v>1132</v>
      </c>
      <c r="J390" s="286">
        <v>7169</v>
      </c>
      <c r="K390" s="286">
        <v>5167</v>
      </c>
      <c r="L390" s="286">
        <v>1991</v>
      </c>
      <c r="M390" s="286">
        <v>5594</v>
      </c>
      <c r="N390" s="286">
        <v>4040</v>
      </c>
      <c r="O390" s="286">
        <v>1543</v>
      </c>
      <c r="P390" s="286">
        <v>1132</v>
      </c>
      <c r="Q390" s="286">
        <v>7169</v>
      </c>
      <c r="R390" s="286">
        <v>5167</v>
      </c>
      <c r="S390" s="286">
        <v>1991</v>
      </c>
      <c r="T390" s="286">
        <v>5594</v>
      </c>
      <c r="U390" s="286">
        <v>4040</v>
      </c>
      <c r="V390" s="286">
        <v>1543</v>
      </c>
      <c r="W390" s="286"/>
      <c r="X390" s="286"/>
      <c r="Y390" s="286"/>
      <c r="Z390" s="286"/>
      <c r="AA390" s="286"/>
      <c r="AB390" s="286"/>
      <c r="AC390" s="286"/>
      <c r="AD390" s="286"/>
      <c r="AE390" s="286"/>
      <c r="AF390" s="286"/>
      <c r="AG390" s="286"/>
      <c r="AH390" s="286"/>
      <c r="AI390" s="286"/>
      <c r="AJ390" s="286"/>
      <c r="AK390" s="286"/>
      <c r="AL390" s="286"/>
      <c r="AM390" s="286"/>
      <c r="AN390" s="286"/>
      <c r="AO390" s="286"/>
      <c r="AP390" s="286"/>
      <c r="AQ390" s="286"/>
      <c r="AR390" s="286"/>
      <c r="AS390" s="286"/>
      <c r="AT390" s="286"/>
      <c r="AU390" s="286"/>
      <c r="AV390" s="286"/>
      <c r="AW390" s="286"/>
      <c r="AX390" s="286"/>
      <c r="AY390" s="286"/>
      <c r="AZ390" s="286"/>
      <c r="BA390" s="286"/>
      <c r="BB390" s="286"/>
      <c r="BC390" s="286"/>
      <c r="BD390" s="286"/>
      <c r="BE390" s="286"/>
      <c r="BF390" s="286"/>
      <c r="BG390" s="286"/>
      <c r="BH390" s="286"/>
      <c r="BI390" s="286"/>
      <c r="BJ390" s="286"/>
      <c r="BK390" s="286"/>
      <c r="BL390" s="286"/>
      <c r="BM390" s="286"/>
      <c r="BN390" s="286"/>
      <c r="BO390" s="286"/>
      <c r="BP390" s="286"/>
      <c r="BQ390" s="286"/>
      <c r="BR390" s="286"/>
      <c r="BS390" s="286"/>
      <c r="BT390" s="286"/>
      <c r="BU390" s="286"/>
      <c r="BV390" s="286"/>
      <c r="BW390" s="286"/>
      <c r="BX390" s="286"/>
      <c r="BY390" s="286"/>
      <c r="BZ390" s="286"/>
      <c r="CA390" s="286"/>
      <c r="CB390" s="286"/>
      <c r="CC390" s="286"/>
      <c r="CD390" s="286"/>
      <c r="CE390" s="286"/>
      <c r="CF390" s="286"/>
      <c r="CG390" s="286"/>
      <c r="CH390" s="286"/>
      <c r="CI390" s="286"/>
      <c r="CJ390" s="286"/>
      <c r="CK390" s="286"/>
      <c r="CL390" s="286"/>
      <c r="CM390" s="286"/>
      <c r="CN390" s="286"/>
      <c r="CO390" s="286"/>
      <c r="CP390" s="286"/>
      <c r="CQ390" s="286"/>
      <c r="CR390" s="286"/>
      <c r="CS390" s="286"/>
      <c r="CT390" s="286"/>
      <c r="CU390" s="286"/>
      <c r="CV390" s="286"/>
      <c r="CW390" s="286"/>
      <c r="CX390" s="286"/>
      <c r="CY390" s="286"/>
      <c r="CZ390" s="286"/>
      <c r="DA390" s="286"/>
      <c r="DB390" s="286"/>
      <c r="DC390" s="286"/>
      <c r="DD390" s="286"/>
      <c r="DE390" s="286"/>
      <c r="DF390" s="286"/>
      <c r="DG390" s="286"/>
      <c r="DH390" s="286"/>
      <c r="DI390" s="286"/>
      <c r="DJ390" s="286"/>
      <c r="DK390" s="286"/>
      <c r="DL390" s="286"/>
      <c r="DM390" s="286"/>
      <c r="DN390" s="286"/>
      <c r="DO390" s="286"/>
      <c r="DP390" s="286"/>
      <c r="DQ390" s="286"/>
      <c r="DR390" s="286"/>
      <c r="DS390" s="286"/>
      <c r="DT390" s="286"/>
      <c r="DU390" s="286"/>
      <c r="DV390" s="286"/>
      <c r="DW390" s="286"/>
      <c r="DX390" s="286"/>
      <c r="DY390" s="286"/>
      <c r="DZ390" s="286"/>
      <c r="EA390" s="286"/>
      <c r="EB390" s="286"/>
      <c r="EC390" s="286"/>
      <c r="ED390" s="286"/>
      <c r="EE390" s="286"/>
      <c r="EF390" s="286"/>
      <c r="EG390" s="286"/>
      <c r="EH390" s="286"/>
      <c r="EI390" s="286"/>
      <c r="EJ390" s="286"/>
      <c r="EK390" s="286"/>
      <c r="EL390" s="286"/>
      <c r="EM390" s="286"/>
      <c r="EN390" s="286"/>
      <c r="EO390" s="286"/>
      <c r="EP390" s="286"/>
      <c r="EQ390" s="286"/>
      <c r="ER390" s="286"/>
      <c r="ES390" s="286"/>
      <c r="ET390" s="286"/>
      <c r="EU390" s="286"/>
      <c r="EV390" s="286"/>
      <c r="EW390" s="286"/>
      <c r="EX390" s="286"/>
      <c r="EY390" s="286"/>
      <c r="EZ390" s="286"/>
      <c r="FA390" s="286"/>
      <c r="FB390" s="286"/>
      <c r="FC390" s="286"/>
      <c r="FD390" s="286"/>
      <c r="FE390" s="286"/>
      <c r="FF390" s="286"/>
      <c r="FG390" s="286"/>
      <c r="FH390" s="286"/>
      <c r="FI390" s="286"/>
      <c r="FJ390" s="286"/>
      <c r="FK390" s="286"/>
      <c r="FL390" s="286"/>
      <c r="FM390" s="286"/>
      <c r="FN390" s="286"/>
      <c r="FO390" s="286"/>
      <c r="FP390" s="286"/>
      <c r="FQ390" s="286"/>
      <c r="FR390" s="286"/>
      <c r="FS390" s="286"/>
    </row>
    <row r="391" spans="1:175">
      <c r="A391" s="212" t="s">
        <v>3159</v>
      </c>
      <c r="B391" s="212" t="s">
        <v>3160</v>
      </c>
      <c r="C391" s="212" t="s">
        <v>3172</v>
      </c>
      <c r="D391" s="212" t="s">
        <v>3537</v>
      </c>
      <c r="E391" s="212" t="s">
        <v>3561</v>
      </c>
      <c r="F391" s="278">
        <v>17852</v>
      </c>
      <c r="G391" s="278">
        <v>192164</v>
      </c>
      <c r="H391" s="287">
        <f t="shared" si="5"/>
        <v>2.1164213900626545</v>
      </c>
      <c r="I391" s="286">
        <v>589</v>
      </c>
      <c r="J391" s="286">
        <v>4067</v>
      </c>
      <c r="K391" s="286">
        <v>2728</v>
      </c>
      <c r="L391" s="286">
        <v>1339</v>
      </c>
      <c r="M391" s="286">
        <v>3229</v>
      </c>
      <c r="N391" s="286">
        <v>2140</v>
      </c>
      <c r="O391" s="286">
        <v>1089</v>
      </c>
      <c r="P391" s="286">
        <v>589</v>
      </c>
      <c r="Q391" s="286">
        <v>4067</v>
      </c>
      <c r="R391" s="286">
        <v>2728</v>
      </c>
      <c r="S391" s="286">
        <v>1339</v>
      </c>
      <c r="T391" s="286">
        <v>3229</v>
      </c>
      <c r="U391" s="286">
        <v>2140</v>
      </c>
      <c r="V391" s="286">
        <v>1089</v>
      </c>
      <c r="W391" s="286"/>
      <c r="X391" s="286"/>
      <c r="Y391" s="286"/>
      <c r="Z391" s="286"/>
      <c r="AA391" s="286"/>
      <c r="AB391" s="286"/>
      <c r="AC391" s="286"/>
      <c r="AD391" s="286"/>
      <c r="AE391" s="286"/>
      <c r="AF391" s="286"/>
      <c r="AG391" s="286"/>
      <c r="AH391" s="286"/>
      <c r="AI391" s="286"/>
      <c r="AJ391" s="286"/>
      <c r="AK391" s="286"/>
      <c r="AL391" s="286"/>
      <c r="AM391" s="286"/>
      <c r="AN391" s="286"/>
      <c r="AO391" s="286"/>
      <c r="AP391" s="286"/>
      <c r="AQ391" s="286"/>
      <c r="AR391" s="286"/>
      <c r="AS391" s="286"/>
      <c r="AT391" s="286"/>
      <c r="AU391" s="286"/>
      <c r="AV391" s="286"/>
      <c r="AW391" s="286"/>
      <c r="AX391" s="286"/>
      <c r="AY391" s="286"/>
      <c r="AZ391" s="286"/>
      <c r="BA391" s="286"/>
      <c r="BB391" s="286"/>
      <c r="BC391" s="286"/>
      <c r="BD391" s="286"/>
      <c r="BE391" s="286"/>
      <c r="BF391" s="286"/>
      <c r="BG391" s="286"/>
      <c r="BH391" s="286"/>
      <c r="BI391" s="286"/>
      <c r="BJ391" s="286"/>
      <c r="BK391" s="286"/>
      <c r="BL391" s="286"/>
      <c r="BM391" s="286"/>
      <c r="BN391" s="286"/>
      <c r="BO391" s="286"/>
      <c r="BP391" s="286"/>
      <c r="BQ391" s="286"/>
      <c r="BR391" s="286"/>
      <c r="BS391" s="286"/>
      <c r="BT391" s="286"/>
      <c r="BU391" s="286"/>
      <c r="BV391" s="286"/>
      <c r="BW391" s="286"/>
      <c r="BX391" s="286"/>
      <c r="BY391" s="286"/>
      <c r="BZ391" s="286"/>
      <c r="CA391" s="286"/>
      <c r="CB391" s="286"/>
      <c r="CC391" s="286"/>
      <c r="CD391" s="286"/>
      <c r="CE391" s="286"/>
      <c r="CF391" s="286"/>
      <c r="CG391" s="286"/>
      <c r="CH391" s="286"/>
      <c r="CI391" s="286"/>
      <c r="CJ391" s="286"/>
      <c r="CK391" s="286"/>
      <c r="CL391" s="286"/>
      <c r="CM391" s="286"/>
      <c r="CN391" s="286"/>
      <c r="CO391" s="286"/>
      <c r="CP391" s="286"/>
      <c r="CQ391" s="286"/>
      <c r="CR391" s="286"/>
      <c r="CS391" s="286"/>
      <c r="CT391" s="286"/>
      <c r="CU391" s="286"/>
      <c r="CV391" s="286"/>
      <c r="CW391" s="286"/>
      <c r="CX391" s="286"/>
      <c r="CY391" s="286"/>
      <c r="CZ391" s="286"/>
      <c r="DA391" s="286"/>
      <c r="DB391" s="286"/>
      <c r="DC391" s="286"/>
      <c r="DD391" s="286"/>
      <c r="DE391" s="286"/>
      <c r="DF391" s="286"/>
      <c r="DG391" s="286"/>
      <c r="DH391" s="286"/>
      <c r="DI391" s="286"/>
      <c r="DJ391" s="286"/>
      <c r="DK391" s="286"/>
      <c r="DL391" s="286"/>
      <c r="DM391" s="286"/>
      <c r="DN391" s="286"/>
      <c r="DO391" s="286"/>
      <c r="DP391" s="286"/>
      <c r="DQ391" s="286"/>
      <c r="DR391" s="286"/>
      <c r="DS391" s="286"/>
      <c r="DT391" s="286"/>
      <c r="DU391" s="286"/>
      <c r="DV391" s="286"/>
      <c r="DW391" s="286"/>
      <c r="DX391" s="286"/>
      <c r="DY391" s="286"/>
      <c r="DZ391" s="286"/>
      <c r="EA391" s="286"/>
      <c r="EB391" s="286"/>
      <c r="EC391" s="286"/>
      <c r="ED391" s="286"/>
      <c r="EE391" s="286"/>
      <c r="EF391" s="286"/>
      <c r="EG391" s="286"/>
      <c r="EH391" s="286"/>
      <c r="EI391" s="286"/>
      <c r="EJ391" s="286"/>
      <c r="EK391" s="286"/>
      <c r="EL391" s="286"/>
      <c r="EM391" s="286"/>
      <c r="EN391" s="286"/>
      <c r="EO391" s="286"/>
      <c r="EP391" s="286"/>
      <c r="EQ391" s="286"/>
      <c r="ER391" s="286"/>
      <c r="ES391" s="286"/>
      <c r="ET391" s="286"/>
      <c r="EU391" s="286"/>
      <c r="EV391" s="286"/>
      <c r="EW391" s="286"/>
      <c r="EX391" s="286"/>
      <c r="EY391" s="286"/>
      <c r="EZ391" s="286"/>
      <c r="FA391" s="286"/>
      <c r="FB391" s="286"/>
      <c r="FC391" s="286"/>
      <c r="FD391" s="286"/>
      <c r="FE391" s="286"/>
      <c r="FF391" s="286"/>
      <c r="FG391" s="286"/>
      <c r="FH391" s="286"/>
      <c r="FI391" s="286"/>
      <c r="FJ391" s="286"/>
      <c r="FK391" s="286"/>
      <c r="FL391" s="286"/>
      <c r="FM391" s="286"/>
      <c r="FN391" s="286"/>
      <c r="FO391" s="286"/>
      <c r="FP391" s="286"/>
      <c r="FQ391" s="286"/>
      <c r="FR391" s="286"/>
      <c r="FS391" s="286"/>
    </row>
    <row r="392" spans="1:175">
      <c r="A392" s="212" t="s">
        <v>3159</v>
      </c>
      <c r="B392" s="212" t="s">
        <v>3160</v>
      </c>
      <c r="C392" s="212" t="s">
        <v>3172</v>
      </c>
      <c r="D392" s="212" t="s">
        <v>3537</v>
      </c>
      <c r="E392" s="212" t="s">
        <v>3562</v>
      </c>
      <c r="F392" s="278">
        <v>5804</v>
      </c>
      <c r="G392" s="278">
        <v>68765</v>
      </c>
      <c r="H392" s="287">
        <f t="shared" si="5"/>
        <v>2.7513996946120849</v>
      </c>
      <c r="I392" s="286">
        <v>218</v>
      </c>
      <c r="J392" s="286">
        <v>1892</v>
      </c>
      <c r="K392" s="286">
        <v>1367</v>
      </c>
      <c r="L392" s="286">
        <v>525</v>
      </c>
      <c r="M392" s="286">
        <v>1551</v>
      </c>
      <c r="N392" s="286">
        <v>1120</v>
      </c>
      <c r="O392" s="286">
        <v>431</v>
      </c>
      <c r="P392" s="286">
        <v>218</v>
      </c>
      <c r="Q392" s="286">
        <v>1892</v>
      </c>
      <c r="R392" s="286">
        <v>1367</v>
      </c>
      <c r="S392" s="286">
        <v>525</v>
      </c>
      <c r="T392" s="286">
        <v>1551</v>
      </c>
      <c r="U392" s="286">
        <v>1120</v>
      </c>
      <c r="V392" s="286">
        <v>431</v>
      </c>
      <c r="W392" s="286"/>
      <c r="X392" s="286"/>
      <c r="Y392" s="286"/>
      <c r="Z392" s="286"/>
      <c r="AA392" s="286"/>
      <c r="AB392" s="286"/>
      <c r="AC392" s="286"/>
      <c r="AD392" s="286"/>
      <c r="AE392" s="286"/>
      <c r="AF392" s="286"/>
      <c r="AG392" s="286"/>
      <c r="AH392" s="286"/>
      <c r="AI392" s="286"/>
      <c r="AJ392" s="286"/>
      <c r="AK392" s="286"/>
      <c r="AL392" s="286"/>
      <c r="AM392" s="286"/>
      <c r="AN392" s="286"/>
      <c r="AO392" s="286"/>
      <c r="AP392" s="286"/>
      <c r="AQ392" s="286"/>
      <c r="AR392" s="286"/>
      <c r="AS392" s="286"/>
      <c r="AT392" s="286"/>
      <c r="AU392" s="286"/>
      <c r="AV392" s="286"/>
      <c r="AW392" s="286"/>
      <c r="AX392" s="286"/>
      <c r="AY392" s="286"/>
      <c r="AZ392" s="286"/>
      <c r="BA392" s="286"/>
      <c r="BB392" s="286"/>
      <c r="BC392" s="286"/>
      <c r="BD392" s="286"/>
      <c r="BE392" s="286"/>
      <c r="BF392" s="286"/>
      <c r="BG392" s="286"/>
      <c r="BH392" s="286"/>
      <c r="BI392" s="286"/>
      <c r="BJ392" s="286"/>
      <c r="BK392" s="286"/>
      <c r="BL392" s="286"/>
      <c r="BM392" s="286"/>
      <c r="BN392" s="286"/>
      <c r="BO392" s="286"/>
      <c r="BP392" s="286"/>
      <c r="BQ392" s="286"/>
      <c r="BR392" s="286"/>
      <c r="BS392" s="286"/>
      <c r="BT392" s="286"/>
      <c r="BU392" s="286"/>
      <c r="BV392" s="286"/>
      <c r="BW392" s="286"/>
      <c r="BX392" s="286"/>
      <c r="BY392" s="286"/>
      <c r="BZ392" s="286"/>
      <c r="CA392" s="286"/>
      <c r="CB392" s="286"/>
      <c r="CC392" s="286"/>
      <c r="CD392" s="286"/>
      <c r="CE392" s="286"/>
      <c r="CF392" s="286"/>
      <c r="CG392" s="286"/>
      <c r="CH392" s="286"/>
      <c r="CI392" s="286"/>
      <c r="CJ392" s="286"/>
      <c r="CK392" s="286"/>
      <c r="CL392" s="286"/>
      <c r="CM392" s="286"/>
      <c r="CN392" s="286"/>
      <c r="CO392" s="286"/>
      <c r="CP392" s="286"/>
      <c r="CQ392" s="286"/>
      <c r="CR392" s="286"/>
      <c r="CS392" s="286"/>
      <c r="CT392" s="286"/>
      <c r="CU392" s="286"/>
      <c r="CV392" s="286"/>
      <c r="CW392" s="286"/>
      <c r="CX392" s="286"/>
      <c r="CY392" s="286"/>
      <c r="CZ392" s="286"/>
      <c r="DA392" s="286"/>
      <c r="DB392" s="286"/>
      <c r="DC392" s="286"/>
      <c r="DD392" s="286"/>
      <c r="DE392" s="286"/>
      <c r="DF392" s="286"/>
      <c r="DG392" s="286"/>
      <c r="DH392" s="286"/>
      <c r="DI392" s="286"/>
      <c r="DJ392" s="286"/>
      <c r="DK392" s="286"/>
      <c r="DL392" s="286"/>
      <c r="DM392" s="286"/>
      <c r="DN392" s="286"/>
      <c r="DO392" s="286"/>
      <c r="DP392" s="286"/>
      <c r="DQ392" s="286"/>
      <c r="DR392" s="286"/>
      <c r="DS392" s="286"/>
      <c r="DT392" s="286"/>
      <c r="DU392" s="286"/>
      <c r="DV392" s="286"/>
      <c r="DW392" s="286"/>
      <c r="DX392" s="286"/>
      <c r="DY392" s="286"/>
      <c r="DZ392" s="286"/>
      <c r="EA392" s="286"/>
      <c r="EB392" s="286"/>
      <c r="EC392" s="286"/>
      <c r="ED392" s="286"/>
      <c r="EE392" s="286"/>
      <c r="EF392" s="286"/>
      <c r="EG392" s="286"/>
      <c r="EH392" s="286"/>
      <c r="EI392" s="286"/>
      <c r="EJ392" s="286"/>
      <c r="EK392" s="286"/>
      <c r="EL392" s="286"/>
      <c r="EM392" s="286"/>
      <c r="EN392" s="286"/>
      <c r="EO392" s="286"/>
      <c r="EP392" s="286"/>
      <c r="EQ392" s="286"/>
      <c r="ER392" s="286"/>
      <c r="ES392" s="286"/>
      <c r="ET392" s="286"/>
      <c r="EU392" s="286"/>
      <c r="EV392" s="286"/>
      <c r="EW392" s="286"/>
      <c r="EX392" s="286"/>
      <c r="EY392" s="286"/>
      <c r="EZ392" s="286"/>
      <c r="FA392" s="286"/>
      <c r="FB392" s="286"/>
      <c r="FC392" s="286"/>
      <c r="FD392" s="286"/>
      <c r="FE392" s="286"/>
      <c r="FF392" s="286"/>
      <c r="FG392" s="286"/>
      <c r="FH392" s="286"/>
      <c r="FI392" s="286"/>
      <c r="FJ392" s="286"/>
      <c r="FK392" s="286"/>
      <c r="FL392" s="286"/>
      <c r="FM392" s="286"/>
      <c r="FN392" s="286"/>
      <c r="FO392" s="286"/>
      <c r="FP392" s="286"/>
      <c r="FQ392" s="286"/>
      <c r="FR392" s="286"/>
      <c r="FS392" s="286"/>
    </row>
    <row r="393" spans="1:175">
      <c r="A393" s="212" t="s">
        <v>3159</v>
      </c>
      <c r="B393" s="212" t="s">
        <v>3160</v>
      </c>
      <c r="C393" s="212" t="s">
        <v>3172</v>
      </c>
      <c r="D393" s="212" t="s">
        <v>3537</v>
      </c>
      <c r="E393" s="212" t="s">
        <v>3563</v>
      </c>
      <c r="F393" s="278">
        <v>8566</v>
      </c>
      <c r="G393" s="278">
        <v>100372</v>
      </c>
      <c r="H393" s="287">
        <f t="shared" si="5"/>
        <v>5.4865898856254729</v>
      </c>
      <c r="I393" s="286">
        <v>284</v>
      </c>
      <c r="J393" s="286">
        <v>5507</v>
      </c>
      <c r="K393" s="286">
        <v>4354</v>
      </c>
      <c r="L393" s="286">
        <v>1153</v>
      </c>
      <c r="M393" s="286">
        <v>5047</v>
      </c>
      <c r="N393" s="286">
        <v>4007</v>
      </c>
      <c r="O393" s="286">
        <v>1040</v>
      </c>
      <c r="P393" s="286">
        <v>284</v>
      </c>
      <c r="Q393" s="286">
        <v>5507</v>
      </c>
      <c r="R393" s="286">
        <v>4354</v>
      </c>
      <c r="S393" s="286">
        <v>1153</v>
      </c>
      <c r="T393" s="286">
        <v>5047</v>
      </c>
      <c r="U393" s="286">
        <v>4007</v>
      </c>
      <c r="V393" s="286">
        <v>1040</v>
      </c>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286"/>
      <c r="BQ393" s="286"/>
      <c r="BR393" s="286"/>
      <c r="BS393" s="286"/>
      <c r="BT393" s="286"/>
      <c r="BU393" s="286"/>
      <c r="BV393" s="286"/>
      <c r="BW393" s="286"/>
      <c r="BX393" s="286"/>
      <c r="BY393" s="286"/>
      <c r="BZ393" s="286"/>
      <c r="CA393" s="286"/>
      <c r="CB393" s="286"/>
      <c r="CC393" s="286"/>
      <c r="CD393" s="286"/>
      <c r="CE393" s="286"/>
      <c r="CF393" s="286"/>
      <c r="CG393" s="286"/>
      <c r="CH393" s="286"/>
      <c r="CI393" s="286"/>
      <c r="CJ393" s="286"/>
      <c r="CK393" s="286"/>
      <c r="CL393" s="286"/>
      <c r="CM393" s="286"/>
      <c r="CN393" s="286"/>
      <c r="CO393" s="286"/>
      <c r="CP393" s="286"/>
      <c r="CQ393" s="286"/>
      <c r="CR393" s="286"/>
      <c r="CS393" s="286"/>
      <c r="CT393" s="286"/>
      <c r="CU393" s="286"/>
      <c r="CV393" s="286"/>
      <c r="CW393" s="286"/>
      <c r="CX393" s="286"/>
      <c r="CY393" s="286"/>
      <c r="CZ393" s="286"/>
      <c r="DA393" s="286"/>
      <c r="DB393" s="286"/>
      <c r="DC393" s="286"/>
      <c r="DD393" s="286"/>
      <c r="DE393" s="286"/>
      <c r="DF393" s="286"/>
      <c r="DG393" s="286"/>
      <c r="DH393" s="286"/>
      <c r="DI393" s="286"/>
      <c r="DJ393" s="286"/>
      <c r="DK393" s="286"/>
      <c r="DL393" s="286"/>
      <c r="DM393" s="286"/>
      <c r="DN393" s="286"/>
      <c r="DO393" s="286"/>
      <c r="DP393" s="286"/>
      <c r="DQ393" s="286"/>
      <c r="DR393" s="286"/>
      <c r="DS393" s="286"/>
      <c r="DT393" s="286"/>
      <c r="DU393" s="286"/>
      <c r="DV393" s="286"/>
      <c r="DW393" s="286"/>
      <c r="DX393" s="286"/>
      <c r="DY393" s="286"/>
      <c r="DZ393" s="286"/>
      <c r="EA393" s="286"/>
      <c r="EB393" s="286"/>
      <c r="EC393" s="286"/>
      <c r="ED393" s="286"/>
      <c r="EE393" s="286"/>
      <c r="EF393" s="286"/>
      <c r="EG393" s="286"/>
      <c r="EH393" s="286"/>
      <c r="EI393" s="286"/>
      <c r="EJ393" s="286"/>
      <c r="EK393" s="286"/>
      <c r="EL393" s="286"/>
      <c r="EM393" s="286"/>
      <c r="EN393" s="286"/>
      <c r="EO393" s="286"/>
      <c r="EP393" s="286"/>
      <c r="EQ393" s="286"/>
      <c r="ER393" s="286"/>
      <c r="ES393" s="286"/>
      <c r="ET393" s="286"/>
      <c r="EU393" s="286"/>
      <c r="EV393" s="286"/>
      <c r="EW393" s="286"/>
      <c r="EX393" s="286"/>
      <c r="EY393" s="286"/>
      <c r="EZ393" s="286"/>
      <c r="FA393" s="286"/>
      <c r="FB393" s="286"/>
      <c r="FC393" s="286"/>
      <c r="FD393" s="286"/>
      <c r="FE393" s="286"/>
      <c r="FF393" s="286"/>
      <c r="FG393" s="286"/>
      <c r="FH393" s="286"/>
      <c r="FI393" s="286"/>
      <c r="FJ393" s="286"/>
      <c r="FK393" s="286"/>
      <c r="FL393" s="286"/>
      <c r="FM393" s="286"/>
      <c r="FN393" s="286"/>
      <c r="FO393" s="286"/>
      <c r="FP393" s="286"/>
      <c r="FQ393" s="286"/>
      <c r="FR393" s="286"/>
      <c r="FS393" s="286"/>
    </row>
    <row r="394" spans="1:175">
      <c r="A394" s="212" t="s">
        <v>3159</v>
      </c>
      <c r="B394" s="212" t="s">
        <v>3160</v>
      </c>
      <c r="C394" s="212" t="s">
        <v>3172</v>
      </c>
      <c r="D394" s="212" t="s">
        <v>3537</v>
      </c>
      <c r="E394" s="212" t="s">
        <v>3564</v>
      </c>
      <c r="F394" s="278">
        <v>4421</v>
      </c>
      <c r="G394" s="278">
        <v>37917</v>
      </c>
      <c r="H394" s="287">
        <f t="shared" si="5"/>
        <v>2.2232771580030066</v>
      </c>
      <c r="I394" s="286">
        <v>116</v>
      </c>
      <c r="J394" s="286">
        <v>843</v>
      </c>
      <c r="K394" s="286">
        <v>404</v>
      </c>
      <c r="L394" s="286">
        <v>439</v>
      </c>
      <c r="M394" s="286">
        <v>709</v>
      </c>
      <c r="N394" s="286">
        <v>309</v>
      </c>
      <c r="O394" s="286">
        <v>400</v>
      </c>
      <c r="P394" s="286">
        <v>116</v>
      </c>
      <c r="Q394" s="286">
        <v>843</v>
      </c>
      <c r="R394" s="286">
        <v>404</v>
      </c>
      <c r="S394" s="286">
        <v>439</v>
      </c>
      <c r="T394" s="286">
        <v>709</v>
      </c>
      <c r="U394" s="286">
        <v>309</v>
      </c>
      <c r="V394" s="286">
        <v>400</v>
      </c>
      <c r="W394" s="286"/>
      <c r="X394" s="286"/>
      <c r="Y394" s="286"/>
      <c r="Z394" s="286"/>
      <c r="AA394" s="286"/>
      <c r="AB394" s="286"/>
      <c r="AC394" s="286"/>
      <c r="AD394" s="286"/>
      <c r="AE394" s="286"/>
      <c r="AF394" s="286"/>
      <c r="AG394" s="286"/>
      <c r="AH394" s="286"/>
      <c r="AI394" s="286"/>
      <c r="AJ394" s="286"/>
      <c r="AK394" s="286"/>
      <c r="AL394" s="286"/>
      <c r="AM394" s="286"/>
      <c r="AN394" s="286"/>
      <c r="AO394" s="286"/>
      <c r="AP394" s="286"/>
      <c r="AQ394" s="286"/>
      <c r="AR394" s="286"/>
      <c r="AS394" s="286"/>
      <c r="AT394" s="286"/>
      <c r="AU394" s="286"/>
      <c r="AV394" s="286"/>
      <c r="AW394" s="286"/>
      <c r="AX394" s="286"/>
      <c r="AY394" s="286"/>
      <c r="AZ394" s="286"/>
      <c r="BA394" s="286"/>
      <c r="BB394" s="286"/>
      <c r="BC394" s="286"/>
      <c r="BD394" s="286"/>
      <c r="BE394" s="286"/>
      <c r="BF394" s="286"/>
      <c r="BG394" s="286"/>
      <c r="BH394" s="286"/>
      <c r="BI394" s="286"/>
      <c r="BJ394" s="286"/>
      <c r="BK394" s="286"/>
      <c r="BL394" s="286"/>
      <c r="BM394" s="286"/>
      <c r="BN394" s="286"/>
      <c r="BO394" s="286"/>
      <c r="BP394" s="286"/>
      <c r="BQ394" s="286"/>
      <c r="BR394" s="286"/>
      <c r="BS394" s="286"/>
      <c r="BT394" s="286"/>
      <c r="BU394" s="286"/>
      <c r="BV394" s="286"/>
      <c r="BW394" s="286"/>
      <c r="BX394" s="286"/>
      <c r="BY394" s="286"/>
      <c r="BZ394" s="286"/>
      <c r="CA394" s="286"/>
      <c r="CB394" s="286"/>
      <c r="CC394" s="286"/>
      <c r="CD394" s="286"/>
      <c r="CE394" s="286"/>
      <c r="CF394" s="286"/>
      <c r="CG394" s="286"/>
      <c r="CH394" s="286"/>
      <c r="CI394" s="286"/>
      <c r="CJ394" s="286"/>
      <c r="CK394" s="286"/>
      <c r="CL394" s="286"/>
      <c r="CM394" s="286"/>
      <c r="CN394" s="286"/>
      <c r="CO394" s="286"/>
      <c r="CP394" s="286"/>
      <c r="CQ394" s="286"/>
      <c r="CR394" s="286"/>
      <c r="CS394" s="286"/>
      <c r="CT394" s="286"/>
      <c r="CU394" s="286"/>
      <c r="CV394" s="286"/>
      <c r="CW394" s="286"/>
      <c r="CX394" s="286"/>
      <c r="CY394" s="286"/>
      <c r="CZ394" s="286"/>
      <c r="DA394" s="286"/>
      <c r="DB394" s="286"/>
      <c r="DC394" s="286"/>
      <c r="DD394" s="286"/>
      <c r="DE394" s="286"/>
      <c r="DF394" s="286"/>
      <c r="DG394" s="286"/>
      <c r="DH394" s="286"/>
      <c r="DI394" s="286"/>
      <c r="DJ394" s="286"/>
      <c r="DK394" s="286"/>
      <c r="DL394" s="286"/>
      <c r="DM394" s="286"/>
      <c r="DN394" s="286"/>
      <c r="DO394" s="286"/>
      <c r="DP394" s="286"/>
      <c r="DQ394" s="286"/>
      <c r="DR394" s="286"/>
      <c r="DS394" s="286"/>
      <c r="DT394" s="286"/>
      <c r="DU394" s="286"/>
      <c r="DV394" s="286"/>
      <c r="DW394" s="286"/>
      <c r="DX394" s="286"/>
      <c r="DY394" s="286"/>
      <c r="DZ394" s="286"/>
      <c r="EA394" s="286"/>
      <c r="EB394" s="286"/>
      <c r="EC394" s="286"/>
      <c r="ED394" s="286"/>
      <c r="EE394" s="286"/>
      <c r="EF394" s="286"/>
      <c r="EG394" s="286"/>
      <c r="EH394" s="286"/>
      <c r="EI394" s="286"/>
      <c r="EJ394" s="286"/>
      <c r="EK394" s="286"/>
      <c r="EL394" s="286"/>
      <c r="EM394" s="286"/>
      <c r="EN394" s="286"/>
      <c r="EO394" s="286"/>
      <c r="EP394" s="286"/>
      <c r="EQ394" s="286"/>
      <c r="ER394" s="286"/>
      <c r="ES394" s="286"/>
      <c r="ET394" s="286"/>
      <c r="EU394" s="286"/>
      <c r="EV394" s="286"/>
      <c r="EW394" s="286"/>
      <c r="EX394" s="286"/>
      <c r="EY394" s="286"/>
      <c r="EZ394" s="286"/>
      <c r="FA394" s="286"/>
      <c r="FB394" s="286"/>
      <c r="FC394" s="286"/>
      <c r="FD394" s="286"/>
      <c r="FE394" s="286"/>
      <c r="FF394" s="286"/>
      <c r="FG394" s="286"/>
      <c r="FH394" s="286"/>
      <c r="FI394" s="286"/>
      <c r="FJ394" s="286"/>
      <c r="FK394" s="286"/>
      <c r="FL394" s="286"/>
      <c r="FM394" s="286"/>
      <c r="FN394" s="286"/>
      <c r="FO394" s="286"/>
      <c r="FP394" s="286"/>
      <c r="FQ394" s="286"/>
      <c r="FR394" s="286"/>
      <c r="FS394" s="286"/>
    </row>
    <row r="395" spans="1:175">
      <c r="A395" s="212" t="s">
        <v>3159</v>
      </c>
      <c r="B395" s="212" t="s">
        <v>3160</v>
      </c>
      <c r="C395" s="212" t="s">
        <v>3172</v>
      </c>
      <c r="D395" s="212" t="s">
        <v>3537</v>
      </c>
      <c r="E395" s="212" t="s">
        <v>3565</v>
      </c>
      <c r="F395" s="278">
        <v>10617</v>
      </c>
      <c r="G395" s="278">
        <v>86658</v>
      </c>
      <c r="H395" s="287">
        <f t="shared" ref="H395:H458" si="6">J395/G395*100</f>
        <v>3.7665304992037663</v>
      </c>
      <c r="I395" s="286">
        <v>402</v>
      </c>
      <c r="J395" s="286">
        <v>3264</v>
      </c>
      <c r="K395" s="286">
        <v>2589</v>
      </c>
      <c r="L395" s="286">
        <v>675</v>
      </c>
      <c r="M395" s="286">
        <v>2634</v>
      </c>
      <c r="N395" s="286">
        <v>2134</v>
      </c>
      <c r="O395" s="286">
        <v>500</v>
      </c>
      <c r="P395" s="286">
        <v>402</v>
      </c>
      <c r="Q395" s="286">
        <v>3264</v>
      </c>
      <c r="R395" s="286">
        <v>2589</v>
      </c>
      <c r="S395" s="286">
        <v>675</v>
      </c>
      <c r="T395" s="286">
        <v>2634</v>
      </c>
      <c r="U395" s="286">
        <v>2134</v>
      </c>
      <c r="V395" s="286">
        <v>500</v>
      </c>
      <c r="W395" s="286"/>
      <c r="X395" s="286"/>
      <c r="Y395" s="286"/>
      <c r="Z395" s="286"/>
      <c r="AA395" s="286"/>
      <c r="AB395" s="286"/>
      <c r="AC395" s="286"/>
      <c r="AD395" s="286"/>
      <c r="AE395" s="286"/>
      <c r="AF395" s="286"/>
      <c r="AG395" s="286"/>
      <c r="AH395" s="286"/>
      <c r="AI395" s="286"/>
      <c r="AJ395" s="286"/>
      <c r="AK395" s="286"/>
      <c r="AL395" s="286"/>
      <c r="AM395" s="286"/>
      <c r="AN395" s="286"/>
      <c r="AO395" s="286"/>
      <c r="AP395" s="286"/>
      <c r="AQ395" s="286"/>
      <c r="AR395" s="286"/>
      <c r="AS395" s="286"/>
      <c r="AT395" s="286"/>
      <c r="AU395" s="286"/>
      <c r="AV395" s="286"/>
      <c r="AW395" s="286"/>
      <c r="AX395" s="286"/>
      <c r="AY395" s="286"/>
      <c r="AZ395" s="286"/>
      <c r="BA395" s="286"/>
      <c r="BB395" s="286"/>
      <c r="BC395" s="286"/>
      <c r="BD395" s="286"/>
      <c r="BE395" s="286"/>
      <c r="BF395" s="286"/>
      <c r="BG395" s="286"/>
      <c r="BH395" s="286"/>
      <c r="BI395" s="286"/>
      <c r="BJ395" s="286"/>
      <c r="BK395" s="286"/>
      <c r="BL395" s="286"/>
      <c r="BM395" s="286"/>
      <c r="BN395" s="286"/>
      <c r="BO395" s="286"/>
      <c r="BP395" s="286"/>
      <c r="BQ395" s="286"/>
      <c r="BR395" s="286"/>
      <c r="BS395" s="286"/>
      <c r="BT395" s="286"/>
      <c r="BU395" s="286"/>
      <c r="BV395" s="286"/>
      <c r="BW395" s="286"/>
      <c r="BX395" s="286"/>
      <c r="BY395" s="286"/>
      <c r="BZ395" s="286"/>
      <c r="CA395" s="286"/>
      <c r="CB395" s="286"/>
      <c r="CC395" s="286"/>
      <c r="CD395" s="286"/>
      <c r="CE395" s="286"/>
      <c r="CF395" s="286"/>
      <c r="CG395" s="286"/>
      <c r="CH395" s="286"/>
      <c r="CI395" s="286"/>
      <c r="CJ395" s="286"/>
      <c r="CK395" s="286"/>
      <c r="CL395" s="286"/>
      <c r="CM395" s="286"/>
      <c r="CN395" s="286"/>
      <c r="CO395" s="286"/>
      <c r="CP395" s="286"/>
      <c r="CQ395" s="286"/>
      <c r="CR395" s="286"/>
      <c r="CS395" s="286"/>
      <c r="CT395" s="286"/>
      <c r="CU395" s="286"/>
      <c r="CV395" s="286"/>
      <c r="CW395" s="286"/>
      <c r="CX395" s="286"/>
      <c r="CY395" s="286"/>
      <c r="CZ395" s="286"/>
      <c r="DA395" s="286"/>
      <c r="DB395" s="286"/>
      <c r="DC395" s="286"/>
      <c r="DD395" s="286"/>
      <c r="DE395" s="286"/>
      <c r="DF395" s="286"/>
      <c r="DG395" s="286"/>
      <c r="DH395" s="286"/>
      <c r="DI395" s="286"/>
      <c r="DJ395" s="286"/>
      <c r="DK395" s="286"/>
      <c r="DL395" s="286"/>
      <c r="DM395" s="286"/>
      <c r="DN395" s="286"/>
      <c r="DO395" s="286"/>
      <c r="DP395" s="286"/>
      <c r="DQ395" s="286"/>
      <c r="DR395" s="286"/>
      <c r="DS395" s="286"/>
      <c r="DT395" s="286"/>
      <c r="DU395" s="286"/>
      <c r="DV395" s="286"/>
      <c r="DW395" s="286"/>
      <c r="DX395" s="286"/>
      <c r="DY395" s="286"/>
      <c r="DZ395" s="286"/>
      <c r="EA395" s="286"/>
      <c r="EB395" s="286"/>
      <c r="EC395" s="286"/>
      <c r="ED395" s="286"/>
      <c r="EE395" s="286"/>
      <c r="EF395" s="286"/>
      <c r="EG395" s="286"/>
      <c r="EH395" s="286"/>
      <c r="EI395" s="286"/>
      <c r="EJ395" s="286"/>
      <c r="EK395" s="286"/>
      <c r="EL395" s="286"/>
      <c r="EM395" s="286"/>
      <c r="EN395" s="286"/>
      <c r="EO395" s="286"/>
      <c r="EP395" s="286"/>
      <c r="EQ395" s="286"/>
      <c r="ER395" s="286"/>
      <c r="ES395" s="286"/>
      <c r="ET395" s="286"/>
      <c r="EU395" s="286"/>
      <c r="EV395" s="286"/>
      <c r="EW395" s="286"/>
      <c r="EX395" s="286"/>
      <c r="EY395" s="286"/>
      <c r="EZ395" s="286"/>
      <c r="FA395" s="286"/>
      <c r="FB395" s="286"/>
      <c r="FC395" s="286"/>
      <c r="FD395" s="286"/>
      <c r="FE395" s="286"/>
      <c r="FF395" s="286"/>
      <c r="FG395" s="286"/>
      <c r="FH395" s="286"/>
      <c r="FI395" s="286"/>
      <c r="FJ395" s="286"/>
      <c r="FK395" s="286"/>
      <c r="FL395" s="286"/>
      <c r="FM395" s="286"/>
      <c r="FN395" s="286"/>
      <c r="FO395" s="286"/>
      <c r="FP395" s="286"/>
      <c r="FQ395" s="286"/>
      <c r="FR395" s="286"/>
      <c r="FS395" s="286"/>
    </row>
    <row r="396" spans="1:175">
      <c r="A396" s="212" t="s">
        <v>3159</v>
      </c>
      <c r="B396" s="212" t="s">
        <v>3160</v>
      </c>
      <c r="C396" s="212" t="s">
        <v>3170</v>
      </c>
      <c r="D396" s="212" t="s">
        <v>3537</v>
      </c>
      <c r="E396" s="212" t="s">
        <v>3566</v>
      </c>
      <c r="F396" s="278">
        <v>98363</v>
      </c>
      <c r="G396" s="278">
        <v>1252891</v>
      </c>
      <c r="H396" s="287">
        <f t="shared" si="6"/>
        <v>2.5919253949465677</v>
      </c>
      <c r="I396" s="286">
        <v>3208</v>
      </c>
      <c r="J396" s="286">
        <v>32474</v>
      </c>
      <c r="K396" s="286">
        <v>23726</v>
      </c>
      <c r="L396" s="286">
        <v>8138</v>
      </c>
      <c r="M396" s="286">
        <v>28893</v>
      </c>
      <c r="N396" s="286">
        <v>21096</v>
      </c>
      <c r="O396" s="286">
        <v>7187</v>
      </c>
      <c r="P396" s="286">
        <v>3208</v>
      </c>
      <c r="Q396" s="286">
        <v>32474</v>
      </c>
      <c r="R396" s="286">
        <v>23726</v>
      </c>
      <c r="S396" s="286">
        <v>8138</v>
      </c>
      <c r="T396" s="286">
        <v>28893</v>
      </c>
      <c r="U396" s="286">
        <v>21096</v>
      </c>
      <c r="V396" s="286">
        <v>7187</v>
      </c>
      <c r="W396" s="286"/>
      <c r="X396" s="286"/>
      <c r="Y396" s="286"/>
      <c r="Z396" s="286"/>
      <c r="AA396" s="286"/>
      <c r="AB396" s="286"/>
      <c r="AC396" s="286"/>
      <c r="AD396" s="286"/>
      <c r="AE396" s="286"/>
      <c r="AF396" s="286"/>
      <c r="AG396" s="286"/>
      <c r="AH396" s="286"/>
      <c r="AI396" s="286"/>
      <c r="AJ396" s="286"/>
      <c r="AK396" s="286"/>
      <c r="AL396" s="286"/>
      <c r="AM396" s="286"/>
      <c r="AN396" s="286"/>
      <c r="AO396" s="286"/>
      <c r="AP396" s="286"/>
      <c r="AQ396" s="286"/>
      <c r="AR396" s="286"/>
      <c r="AS396" s="286"/>
      <c r="AT396" s="286"/>
      <c r="AU396" s="286"/>
      <c r="AV396" s="286"/>
      <c r="AW396" s="286"/>
      <c r="AX396" s="286"/>
      <c r="AY396" s="286"/>
      <c r="AZ396" s="286"/>
      <c r="BA396" s="286"/>
      <c r="BB396" s="286"/>
      <c r="BC396" s="286"/>
      <c r="BD396" s="286"/>
      <c r="BE396" s="286"/>
      <c r="BF396" s="286"/>
      <c r="BG396" s="286"/>
      <c r="BH396" s="286"/>
      <c r="BI396" s="286"/>
      <c r="BJ396" s="286"/>
      <c r="BK396" s="286"/>
      <c r="BL396" s="286"/>
      <c r="BM396" s="286"/>
      <c r="BN396" s="286"/>
      <c r="BO396" s="286"/>
      <c r="BP396" s="286"/>
      <c r="BQ396" s="286"/>
      <c r="BR396" s="286"/>
      <c r="BS396" s="286"/>
      <c r="BT396" s="286"/>
      <c r="BU396" s="286"/>
      <c r="BV396" s="286"/>
      <c r="BW396" s="286"/>
      <c r="BX396" s="286"/>
      <c r="BY396" s="286"/>
      <c r="BZ396" s="286"/>
      <c r="CA396" s="286"/>
      <c r="CB396" s="286"/>
      <c r="CC396" s="286"/>
      <c r="CD396" s="286"/>
      <c r="CE396" s="286"/>
      <c r="CF396" s="286"/>
      <c r="CG396" s="286"/>
      <c r="CH396" s="286"/>
      <c r="CI396" s="286"/>
      <c r="CJ396" s="286"/>
      <c r="CK396" s="286"/>
      <c r="CL396" s="286"/>
      <c r="CM396" s="286"/>
      <c r="CN396" s="286"/>
      <c r="CO396" s="286"/>
      <c r="CP396" s="286"/>
      <c r="CQ396" s="286"/>
      <c r="CR396" s="286"/>
      <c r="CS396" s="286"/>
      <c r="CT396" s="286"/>
      <c r="CU396" s="286"/>
      <c r="CV396" s="286"/>
      <c r="CW396" s="286"/>
      <c r="CX396" s="286"/>
      <c r="CY396" s="286"/>
      <c r="CZ396" s="286"/>
      <c r="DA396" s="286"/>
      <c r="DB396" s="286"/>
      <c r="DC396" s="286"/>
      <c r="DD396" s="286"/>
      <c r="DE396" s="286"/>
      <c r="DF396" s="286"/>
      <c r="DG396" s="286"/>
      <c r="DH396" s="286"/>
      <c r="DI396" s="286"/>
      <c r="DJ396" s="286"/>
      <c r="DK396" s="286"/>
      <c r="DL396" s="286"/>
      <c r="DM396" s="286"/>
      <c r="DN396" s="286"/>
      <c r="DO396" s="286"/>
      <c r="DP396" s="286"/>
      <c r="DQ396" s="286"/>
      <c r="DR396" s="286"/>
      <c r="DS396" s="286"/>
      <c r="DT396" s="286"/>
      <c r="DU396" s="286"/>
      <c r="DV396" s="286"/>
      <c r="DW396" s="286"/>
      <c r="DX396" s="286"/>
      <c r="DY396" s="286"/>
      <c r="DZ396" s="286"/>
      <c r="EA396" s="286"/>
      <c r="EB396" s="286"/>
      <c r="EC396" s="286"/>
      <c r="ED396" s="286"/>
      <c r="EE396" s="286"/>
      <c r="EF396" s="286"/>
      <c r="EG396" s="286"/>
      <c r="EH396" s="286"/>
      <c r="EI396" s="286"/>
      <c r="EJ396" s="286"/>
      <c r="EK396" s="286"/>
      <c r="EL396" s="286"/>
      <c r="EM396" s="286"/>
      <c r="EN396" s="286"/>
      <c r="EO396" s="286"/>
      <c r="EP396" s="286"/>
      <c r="EQ396" s="286"/>
      <c r="ER396" s="286"/>
      <c r="ES396" s="286"/>
      <c r="ET396" s="286"/>
      <c r="EU396" s="286"/>
      <c r="EV396" s="286"/>
      <c r="EW396" s="286"/>
      <c r="EX396" s="286"/>
      <c r="EY396" s="286"/>
      <c r="EZ396" s="286"/>
      <c r="FA396" s="286"/>
      <c r="FB396" s="286"/>
      <c r="FC396" s="286"/>
      <c r="FD396" s="286"/>
      <c r="FE396" s="286"/>
      <c r="FF396" s="286"/>
      <c r="FG396" s="286"/>
      <c r="FH396" s="286"/>
      <c r="FI396" s="286"/>
      <c r="FJ396" s="286"/>
      <c r="FK396" s="286"/>
      <c r="FL396" s="286"/>
      <c r="FM396" s="286"/>
      <c r="FN396" s="286"/>
      <c r="FO396" s="286"/>
      <c r="FP396" s="286"/>
      <c r="FQ396" s="286"/>
      <c r="FR396" s="286"/>
      <c r="FS396" s="286"/>
    </row>
    <row r="397" spans="1:175">
      <c r="A397" s="212" t="s">
        <v>3159</v>
      </c>
      <c r="B397" s="212" t="s">
        <v>3160</v>
      </c>
      <c r="C397" s="212" t="s">
        <v>3172</v>
      </c>
      <c r="D397" s="212" t="s">
        <v>3537</v>
      </c>
      <c r="E397" s="212" t="s">
        <v>3567</v>
      </c>
      <c r="F397" s="278">
        <v>1830</v>
      </c>
      <c r="G397" s="278">
        <v>41678</v>
      </c>
      <c r="H397" s="287">
        <f t="shared" si="6"/>
        <v>3.183933969960171</v>
      </c>
      <c r="I397" s="286">
        <v>67</v>
      </c>
      <c r="J397" s="286">
        <v>1327</v>
      </c>
      <c r="K397" s="286">
        <v>734</v>
      </c>
      <c r="L397" s="286">
        <v>593</v>
      </c>
      <c r="M397" s="286">
        <v>1235</v>
      </c>
      <c r="N397" s="286">
        <v>688</v>
      </c>
      <c r="O397" s="286">
        <v>547</v>
      </c>
      <c r="P397" s="286">
        <v>67</v>
      </c>
      <c r="Q397" s="286">
        <v>1327</v>
      </c>
      <c r="R397" s="286">
        <v>734</v>
      </c>
      <c r="S397" s="286">
        <v>593</v>
      </c>
      <c r="T397" s="286">
        <v>1235</v>
      </c>
      <c r="U397" s="286">
        <v>688</v>
      </c>
      <c r="V397" s="286">
        <v>547</v>
      </c>
      <c r="W397" s="286"/>
      <c r="X397" s="286"/>
      <c r="Y397" s="286"/>
      <c r="Z397" s="286"/>
      <c r="AA397" s="286"/>
      <c r="AB397" s="286"/>
      <c r="AC397" s="286"/>
      <c r="AD397" s="286"/>
      <c r="AE397" s="286"/>
      <c r="AF397" s="286"/>
      <c r="AG397" s="286"/>
      <c r="AH397" s="286"/>
      <c r="AI397" s="286"/>
      <c r="AJ397" s="286"/>
      <c r="AK397" s="286"/>
      <c r="AL397" s="286"/>
      <c r="AM397" s="286"/>
      <c r="AN397" s="286"/>
      <c r="AO397" s="286"/>
      <c r="AP397" s="286"/>
      <c r="AQ397" s="286"/>
      <c r="AR397" s="286"/>
      <c r="AS397" s="286"/>
      <c r="AT397" s="286"/>
      <c r="AU397" s="286"/>
      <c r="AV397" s="286"/>
      <c r="AW397" s="286"/>
      <c r="AX397" s="286"/>
      <c r="AY397" s="286"/>
      <c r="AZ397" s="286"/>
      <c r="BA397" s="286"/>
      <c r="BB397" s="286"/>
      <c r="BC397" s="286"/>
      <c r="BD397" s="286"/>
      <c r="BE397" s="286"/>
      <c r="BF397" s="286"/>
      <c r="BG397" s="286"/>
      <c r="BH397" s="286"/>
      <c r="BI397" s="286"/>
      <c r="BJ397" s="286"/>
      <c r="BK397" s="286"/>
      <c r="BL397" s="286"/>
      <c r="BM397" s="286"/>
      <c r="BN397" s="286"/>
      <c r="BO397" s="286"/>
      <c r="BP397" s="286"/>
      <c r="BQ397" s="286"/>
      <c r="BR397" s="286"/>
      <c r="BS397" s="286"/>
      <c r="BT397" s="286"/>
      <c r="BU397" s="286"/>
      <c r="BV397" s="286"/>
      <c r="BW397" s="286"/>
      <c r="BX397" s="286"/>
      <c r="BY397" s="286"/>
      <c r="BZ397" s="286"/>
      <c r="CA397" s="286"/>
      <c r="CB397" s="286"/>
      <c r="CC397" s="286"/>
      <c r="CD397" s="286"/>
      <c r="CE397" s="286"/>
      <c r="CF397" s="286"/>
      <c r="CG397" s="286"/>
      <c r="CH397" s="286"/>
      <c r="CI397" s="286"/>
      <c r="CJ397" s="286"/>
      <c r="CK397" s="286"/>
      <c r="CL397" s="286"/>
      <c r="CM397" s="286"/>
      <c r="CN397" s="286"/>
      <c r="CO397" s="286"/>
      <c r="CP397" s="286"/>
      <c r="CQ397" s="286"/>
      <c r="CR397" s="286"/>
      <c r="CS397" s="286"/>
      <c r="CT397" s="286"/>
      <c r="CU397" s="286"/>
      <c r="CV397" s="286"/>
      <c r="CW397" s="286"/>
      <c r="CX397" s="286"/>
      <c r="CY397" s="286"/>
      <c r="CZ397" s="286"/>
      <c r="DA397" s="286"/>
      <c r="DB397" s="286"/>
      <c r="DC397" s="286"/>
      <c r="DD397" s="286"/>
      <c r="DE397" s="286"/>
      <c r="DF397" s="286"/>
      <c r="DG397" s="286"/>
      <c r="DH397" s="286"/>
      <c r="DI397" s="286"/>
      <c r="DJ397" s="286"/>
      <c r="DK397" s="286"/>
      <c r="DL397" s="286"/>
      <c r="DM397" s="286"/>
      <c r="DN397" s="286"/>
      <c r="DO397" s="286"/>
      <c r="DP397" s="286"/>
      <c r="DQ397" s="286"/>
      <c r="DR397" s="286"/>
      <c r="DS397" s="286"/>
      <c r="DT397" s="286"/>
      <c r="DU397" s="286"/>
      <c r="DV397" s="286"/>
      <c r="DW397" s="286"/>
      <c r="DX397" s="286"/>
      <c r="DY397" s="286"/>
      <c r="DZ397" s="286"/>
      <c r="EA397" s="286"/>
      <c r="EB397" s="286"/>
      <c r="EC397" s="286"/>
      <c r="ED397" s="286"/>
      <c r="EE397" s="286"/>
      <c r="EF397" s="286"/>
      <c r="EG397" s="286"/>
      <c r="EH397" s="286"/>
      <c r="EI397" s="286"/>
      <c r="EJ397" s="286"/>
      <c r="EK397" s="286"/>
      <c r="EL397" s="286"/>
      <c r="EM397" s="286"/>
      <c r="EN397" s="286"/>
      <c r="EO397" s="286"/>
      <c r="EP397" s="286"/>
      <c r="EQ397" s="286"/>
      <c r="ER397" s="286"/>
      <c r="ES397" s="286"/>
      <c r="ET397" s="286"/>
      <c r="EU397" s="286"/>
      <c r="EV397" s="286"/>
      <c r="EW397" s="286"/>
      <c r="EX397" s="286"/>
      <c r="EY397" s="286"/>
      <c r="EZ397" s="286"/>
      <c r="FA397" s="286"/>
      <c r="FB397" s="286"/>
      <c r="FC397" s="286"/>
      <c r="FD397" s="286"/>
      <c r="FE397" s="286"/>
      <c r="FF397" s="286"/>
      <c r="FG397" s="286"/>
      <c r="FH397" s="286"/>
      <c r="FI397" s="286"/>
      <c r="FJ397" s="286"/>
      <c r="FK397" s="286"/>
      <c r="FL397" s="286"/>
      <c r="FM397" s="286"/>
      <c r="FN397" s="286"/>
      <c r="FO397" s="286"/>
      <c r="FP397" s="286"/>
      <c r="FQ397" s="286"/>
      <c r="FR397" s="286"/>
      <c r="FS397" s="286"/>
    </row>
    <row r="398" spans="1:175">
      <c r="A398" s="212" t="s">
        <v>3159</v>
      </c>
      <c r="B398" s="212" t="s">
        <v>3160</v>
      </c>
      <c r="C398" s="212" t="s">
        <v>3172</v>
      </c>
      <c r="D398" s="212" t="s">
        <v>3537</v>
      </c>
      <c r="E398" s="212" t="s">
        <v>3568</v>
      </c>
      <c r="F398" s="278">
        <v>38783</v>
      </c>
      <c r="G398" s="278">
        <v>404926</v>
      </c>
      <c r="H398" s="287">
        <f t="shared" si="6"/>
        <v>3.3443147636852166</v>
      </c>
      <c r="I398" s="286">
        <v>1361</v>
      </c>
      <c r="J398" s="286">
        <v>13542</v>
      </c>
      <c r="K398" s="286">
        <v>9680</v>
      </c>
      <c r="L398" s="286">
        <v>3302</v>
      </c>
      <c r="M398" s="286">
        <v>11860</v>
      </c>
      <c r="N398" s="286">
        <v>8453</v>
      </c>
      <c r="O398" s="286">
        <v>2847</v>
      </c>
      <c r="P398" s="286">
        <v>1361</v>
      </c>
      <c r="Q398" s="286">
        <v>13542</v>
      </c>
      <c r="R398" s="286">
        <v>9680</v>
      </c>
      <c r="S398" s="286">
        <v>3302</v>
      </c>
      <c r="T398" s="286">
        <v>11860</v>
      </c>
      <c r="U398" s="286">
        <v>8453</v>
      </c>
      <c r="V398" s="286">
        <v>2847</v>
      </c>
      <c r="W398" s="286"/>
      <c r="X398" s="286"/>
      <c r="Y398" s="286"/>
      <c r="Z398" s="286"/>
      <c r="AA398" s="286"/>
      <c r="AB398" s="286"/>
      <c r="AC398" s="286"/>
      <c r="AD398" s="286"/>
      <c r="AE398" s="286"/>
      <c r="AF398" s="286"/>
      <c r="AG398" s="286"/>
      <c r="AH398" s="286"/>
      <c r="AI398" s="286"/>
      <c r="AJ398" s="286"/>
      <c r="AK398" s="286"/>
      <c r="AL398" s="286"/>
      <c r="AM398" s="286"/>
      <c r="AN398" s="286"/>
      <c r="AO398" s="286"/>
      <c r="AP398" s="286"/>
      <c r="AQ398" s="286"/>
      <c r="AR398" s="286"/>
      <c r="AS398" s="286"/>
      <c r="AT398" s="286"/>
      <c r="AU398" s="286"/>
      <c r="AV398" s="286"/>
      <c r="AW398" s="286"/>
      <c r="AX398" s="286"/>
      <c r="AY398" s="286"/>
      <c r="AZ398" s="286"/>
      <c r="BA398" s="286"/>
      <c r="BB398" s="286"/>
      <c r="BC398" s="286"/>
      <c r="BD398" s="286"/>
      <c r="BE398" s="286"/>
      <c r="BF398" s="286"/>
      <c r="BG398" s="286"/>
      <c r="BH398" s="286"/>
      <c r="BI398" s="286"/>
      <c r="BJ398" s="286"/>
      <c r="BK398" s="286"/>
      <c r="BL398" s="286"/>
      <c r="BM398" s="286"/>
      <c r="BN398" s="286"/>
      <c r="BO398" s="286"/>
      <c r="BP398" s="286"/>
      <c r="BQ398" s="286"/>
      <c r="BR398" s="286"/>
      <c r="BS398" s="286"/>
      <c r="BT398" s="286"/>
      <c r="BU398" s="286"/>
      <c r="BV398" s="286"/>
      <c r="BW398" s="286"/>
      <c r="BX398" s="286"/>
      <c r="BY398" s="286"/>
      <c r="BZ398" s="286"/>
      <c r="CA398" s="286"/>
      <c r="CB398" s="286"/>
      <c r="CC398" s="286"/>
      <c r="CD398" s="286"/>
      <c r="CE398" s="286"/>
      <c r="CF398" s="286"/>
      <c r="CG398" s="286"/>
      <c r="CH398" s="286"/>
      <c r="CI398" s="286"/>
      <c r="CJ398" s="286"/>
      <c r="CK398" s="286"/>
      <c r="CL398" s="286"/>
      <c r="CM398" s="286"/>
      <c r="CN398" s="286"/>
      <c r="CO398" s="286"/>
      <c r="CP398" s="286"/>
      <c r="CQ398" s="286"/>
      <c r="CR398" s="286"/>
      <c r="CS398" s="286"/>
      <c r="CT398" s="286"/>
      <c r="CU398" s="286"/>
      <c r="CV398" s="286"/>
      <c r="CW398" s="286"/>
      <c r="CX398" s="286"/>
      <c r="CY398" s="286"/>
      <c r="CZ398" s="286"/>
      <c r="DA398" s="286"/>
      <c r="DB398" s="286"/>
      <c r="DC398" s="286"/>
      <c r="DD398" s="286"/>
      <c r="DE398" s="286"/>
      <c r="DF398" s="286"/>
      <c r="DG398" s="286"/>
      <c r="DH398" s="286"/>
      <c r="DI398" s="286"/>
      <c r="DJ398" s="286"/>
      <c r="DK398" s="286"/>
      <c r="DL398" s="286"/>
      <c r="DM398" s="286"/>
      <c r="DN398" s="286"/>
      <c r="DO398" s="286"/>
      <c r="DP398" s="286"/>
      <c r="DQ398" s="286"/>
      <c r="DR398" s="286"/>
      <c r="DS398" s="286"/>
      <c r="DT398" s="286"/>
      <c r="DU398" s="286"/>
      <c r="DV398" s="286"/>
      <c r="DW398" s="286"/>
      <c r="DX398" s="286"/>
      <c r="DY398" s="286"/>
      <c r="DZ398" s="286"/>
      <c r="EA398" s="286"/>
      <c r="EB398" s="286"/>
      <c r="EC398" s="286"/>
      <c r="ED398" s="286"/>
      <c r="EE398" s="286"/>
      <c r="EF398" s="286"/>
      <c r="EG398" s="286"/>
      <c r="EH398" s="286"/>
      <c r="EI398" s="286"/>
      <c r="EJ398" s="286"/>
      <c r="EK398" s="286"/>
      <c r="EL398" s="286"/>
      <c r="EM398" s="286"/>
      <c r="EN398" s="286"/>
      <c r="EO398" s="286"/>
      <c r="EP398" s="286"/>
      <c r="EQ398" s="286"/>
      <c r="ER398" s="286"/>
      <c r="ES398" s="286"/>
      <c r="ET398" s="286"/>
      <c r="EU398" s="286"/>
      <c r="EV398" s="286"/>
      <c r="EW398" s="286"/>
      <c r="EX398" s="286"/>
      <c r="EY398" s="286"/>
      <c r="EZ398" s="286"/>
      <c r="FA398" s="286"/>
      <c r="FB398" s="286"/>
      <c r="FC398" s="286"/>
      <c r="FD398" s="286"/>
      <c r="FE398" s="286"/>
      <c r="FF398" s="286"/>
      <c r="FG398" s="286"/>
      <c r="FH398" s="286"/>
      <c r="FI398" s="286"/>
      <c r="FJ398" s="286"/>
      <c r="FK398" s="286"/>
      <c r="FL398" s="286"/>
      <c r="FM398" s="286"/>
      <c r="FN398" s="286"/>
      <c r="FO398" s="286"/>
      <c r="FP398" s="286"/>
      <c r="FQ398" s="286"/>
      <c r="FR398" s="286"/>
      <c r="FS398" s="286"/>
    </row>
    <row r="399" spans="1:175">
      <c r="A399" s="212" t="s">
        <v>3159</v>
      </c>
      <c r="B399" s="212" t="s">
        <v>3160</v>
      </c>
      <c r="C399" s="212" t="s">
        <v>3172</v>
      </c>
      <c r="D399" s="212" t="s">
        <v>3537</v>
      </c>
      <c r="E399" s="212" t="s">
        <v>3569</v>
      </c>
      <c r="F399" s="278">
        <v>18142</v>
      </c>
      <c r="G399" s="278">
        <v>220759</v>
      </c>
      <c r="H399" s="287">
        <f t="shared" si="6"/>
        <v>2.7328444140442745</v>
      </c>
      <c r="I399" s="286">
        <v>633</v>
      </c>
      <c r="J399" s="286">
        <v>6033</v>
      </c>
      <c r="K399" s="286">
        <v>4787</v>
      </c>
      <c r="L399" s="286">
        <v>1242</v>
      </c>
      <c r="M399" s="286">
        <v>5278</v>
      </c>
      <c r="N399" s="286">
        <v>4214</v>
      </c>
      <c r="O399" s="286">
        <v>1060</v>
      </c>
      <c r="P399" s="286">
        <v>633</v>
      </c>
      <c r="Q399" s="286">
        <v>6033</v>
      </c>
      <c r="R399" s="286">
        <v>4787</v>
      </c>
      <c r="S399" s="286">
        <v>1242</v>
      </c>
      <c r="T399" s="286">
        <v>5278</v>
      </c>
      <c r="U399" s="286">
        <v>4214</v>
      </c>
      <c r="V399" s="286">
        <v>1060</v>
      </c>
      <c r="W399" s="286"/>
      <c r="X399" s="286"/>
      <c r="Y399" s="286"/>
      <c r="Z399" s="286"/>
      <c r="AA399" s="286"/>
      <c r="AB399" s="286"/>
      <c r="AC399" s="286"/>
      <c r="AD399" s="286"/>
      <c r="AE399" s="286"/>
      <c r="AF399" s="286"/>
      <c r="AG399" s="286"/>
      <c r="AH399" s="286"/>
      <c r="AI399" s="286"/>
      <c r="AJ399" s="286"/>
      <c r="AK399" s="286"/>
      <c r="AL399" s="286"/>
      <c r="AM399" s="286"/>
      <c r="AN399" s="286"/>
      <c r="AO399" s="286"/>
      <c r="AP399" s="286"/>
      <c r="AQ399" s="286"/>
      <c r="AR399" s="286"/>
      <c r="AS399" s="286"/>
      <c r="AT399" s="286"/>
      <c r="AU399" s="286"/>
      <c r="AV399" s="286"/>
      <c r="AW399" s="286"/>
      <c r="AX399" s="286"/>
      <c r="AY399" s="286"/>
      <c r="AZ399" s="286"/>
      <c r="BA399" s="286"/>
      <c r="BB399" s="286"/>
      <c r="BC399" s="286"/>
      <c r="BD399" s="286"/>
      <c r="BE399" s="286"/>
      <c r="BF399" s="286"/>
      <c r="BG399" s="286"/>
      <c r="BH399" s="286"/>
      <c r="BI399" s="286"/>
      <c r="BJ399" s="286"/>
      <c r="BK399" s="286"/>
      <c r="BL399" s="286"/>
      <c r="BM399" s="286"/>
      <c r="BN399" s="286"/>
      <c r="BO399" s="286"/>
      <c r="BP399" s="286"/>
      <c r="BQ399" s="286"/>
      <c r="BR399" s="286"/>
      <c r="BS399" s="286"/>
      <c r="BT399" s="286"/>
      <c r="BU399" s="286"/>
      <c r="BV399" s="286"/>
      <c r="BW399" s="286"/>
      <c r="BX399" s="286"/>
      <c r="BY399" s="286"/>
      <c r="BZ399" s="286"/>
      <c r="CA399" s="286"/>
      <c r="CB399" s="286"/>
      <c r="CC399" s="286"/>
      <c r="CD399" s="286"/>
      <c r="CE399" s="286"/>
      <c r="CF399" s="286"/>
      <c r="CG399" s="286"/>
      <c r="CH399" s="286"/>
      <c r="CI399" s="286"/>
      <c r="CJ399" s="286"/>
      <c r="CK399" s="286"/>
      <c r="CL399" s="286"/>
      <c r="CM399" s="286"/>
      <c r="CN399" s="286"/>
      <c r="CO399" s="286"/>
      <c r="CP399" s="286"/>
      <c r="CQ399" s="286"/>
      <c r="CR399" s="286"/>
      <c r="CS399" s="286"/>
      <c r="CT399" s="286"/>
      <c r="CU399" s="286"/>
      <c r="CV399" s="286"/>
      <c r="CW399" s="286"/>
      <c r="CX399" s="286"/>
      <c r="CY399" s="286"/>
      <c r="CZ399" s="286"/>
      <c r="DA399" s="286"/>
      <c r="DB399" s="286"/>
      <c r="DC399" s="286"/>
      <c r="DD399" s="286"/>
      <c r="DE399" s="286"/>
      <c r="DF399" s="286"/>
      <c r="DG399" s="286"/>
      <c r="DH399" s="286"/>
      <c r="DI399" s="286"/>
      <c r="DJ399" s="286"/>
      <c r="DK399" s="286"/>
      <c r="DL399" s="286"/>
      <c r="DM399" s="286"/>
      <c r="DN399" s="286"/>
      <c r="DO399" s="286"/>
      <c r="DP399" s="286"/>
      <c r="DQ399" s="286"/>
      <c r="DR399" s="286"/>
      <c r="DS399" s="286"/>
      <c r="DT399" s="286"/>
      <c r="DU399" s="286"/>
      <c r="DV399" s="286"/>
      <c r="DW399" s="286"/>
      <c r="DX399" s="286"/>
      <c r="DY399" s="286"/>
      <c r="DZ399" s="286"/>
      <c r="EA399" s="286"/>
      <c r="EB399" s="286"/>
      <c r="EC399" s="286"/>
      <c r="ED399" s="286"/>
      <c r="EE399" s="286"/>
      <c r="EF399" s="286"/>
      <c r="EG399" s="286"/>
      <c r="EH399" s="286"/>
      <c r="EI399" s="286"/>
      <c r="EJ399" s="286"/>
      <c r="EK399" s="286"/>
      <c r="EL399" s="286"/>
      <c r="EM399" s="286"/>
      <c r="EN399" s="286"/>
      <c r="EO399" s="286"/>
      <c r="EP399" s="286"/>
      <c r="EQ399" s="286"/>
      <c r="ER399" s="286"/>
      <c r="ES399" s="286"/>
      <c r="ET399" s="286"/>
      <c r="EU399" s="286"/>
      <c r="EV399" s="286"/>
      <c r="EW399" s="286"/>
      <c r="EX399" s="286"/>
      <c r="EY399" s="286"/>
      <c r="EZ399" s="286"/>
      <c r="FA399" s="286"/>
      <c r="FB399" s="286"/>
      <c r="FC399" s="286"/>
      <c r="FD399" s="286"/>
      <c r="FE399" s="286"/>
      <c r="FF399" s="286"/>
      <c r="FG399" s="286"/>
      <c r="FH399" s="286"/>
      <c r="FI399" s="286"/>
      <c r="FJ399" s="286"/>
      <c r="FK399" s="286"/>
      <c r="FL399" s="286"/>
      <c r="FM399" s="286"/>
      <c r="FN399" s="286"/>
      <c r="FO399" s="286"/>
      <c r="FP399" s="286"/>
      <c r="FQ399" s="286"/>
      <c r="FR399" s="286"/>
      <c r="FS399" s="286"/>
    </row>
    <row r="400" spans="1:175">
      <c r="A400" s="212" t="s">
        <v>3159</v>
      </c>
      <c r="B400" s="212" t="s">
        <v>3160</v>
      </c>
      <c r="C400" s="212" t="s">
        <v>3172</v>
      </c>
      <c r="D400" s="212" t="s">
        <v>3537</v>
      </c>
      <c r="E400" s="212" t="s">
        <v>3570</v>
      </c>
      <c r="F400" s="278">
        <v>25090</v>
      </c>
      <c r="G400" s="278">
        <v>399213</v>
      </c>
      <c r="H400" s="287">
        <f t="shared" si="6"/>
        <v>1.638974682688189</v>
      </c>
      <c r="I400" s="286">
        <v>666</v>
      </c>
      <c r="J400" s="286">
        <v>6543</v>
      </c>
      <c r="K400" s="286">
        <v>4883</v>
      </c>
      <c r="L400" s="286">
        <v>1659</v>
      </c>
      <c r="M400" s="286">
        <v>5955</v>
      </c>
      <c r="N400" s="286">
        <v>4438</v>
      </c>
      <c r="O400" s="286">
        <v>1516</v>
      </c>
      <c r="P400" s="286">
        <v>666</v>
      </c>
      <c r="Q400" s="286">
        <v>6543</v>
      </c>
      <c r="R400" s="286">
        <v>4883</v>
      </c>
      <c r="S400" s="286">
        <v>1659</v>
      </c>
      <c r="T400" s="286">
        <v>5955</v>
      </c>
      <c r="U400" s="286">
        <v>4438</v>
      </c>
      <c r="V400" s="286">
        <v>1516</v>
      </c>
      <c r="W400" s="286"/>
      <c r="X400" s="286"/>
      <c r="Y400" s="286"/>
      <c r="Z400" s="286"/>
      <c r="AA400" s="286"/>
      <c r="AB400" s="286"/>
      <c r="AC400" s="286"/>
      <c r="AD400" s="286"/>
      <c r="AE400" s="286"/>
      <c r="AF400" s="286"/>
      <c r="AG400" s="286"/>
      <c r="AH400" s="286"/>
      <c r="AI400" s="286"/>
      <c r="AJ400" s="286"/>
      <c r="AK400" s="286"/>
      <c r="AL400" s="286"/>
      <c r="AM400" s="286"/>
      <c r="AN400" s="286"/>
      <c r="AO400" s="286"/>
      <c r="AP400" s="286"/>
      <c r="AQ400" s="286"/>
      <c r="AR400" s="286"/>
      <c r="AS400" s="286"/>
      <c r="AT400" s="286"/>
      <c r="AU400" s="286"/>
      <c r="AV400" s="286"/>
      <c r="AW400" s="286"/>
      <c r="AX400" s="286"/>
      <c r="AY400" s="286"/>
      <c r="AZ400" s="286"/>
      <c r="BA400" s="286"/>
      <c r="BB400" s="286"/>
      <c r="BC400" s="286"/>
      <c r="BD400" s="286"/>
      <c r="BE400" s="286"/>
      <c r="BF400" s="286"/>
      <c r="BG400" s="286"/>
      <c r="BH400" s="286"/>
      <c r="BI400" s="286"/>
      <c r="BJ400" s="286"/>
      <c r="BK400" s="286"/>
      <c r="BL400" s="286"/>
      <c r="BM400" s="286"/>
      <c r="BN400" s="286"/>
      <c r="BO400" s="286"/>
      <c r="BP400" s="286"/>
      <c r="BQ400" s="286"/>
      <c r="BR400" s="286"/>
      <c r="BS400" s="286"/>
      <c r="BT400" s="286"/>
      <c r="BU400" s="286"/>
      <c r="BV400" s="286"/>
      <c r="BW400" s="286"/>
      <c r="BX400" s="286"/>
      <c r="BY400" s="286"/>
      <c r="BZ400" s="286"/>
      <c r="CA400" s="286"/>
      <c r="CB400" s="286"/>
      <c r="CC400" s="286"/>
      <c r="CD400" s="286"/>
      <c r="CE400" s="286"/>
      <c r="CF400" s="286"/>
      <c r="CG400" s="286"/>
      <c r="CH400" s="286"/>
      <c r="CI400" s="286"/>
      <c r="CJ400" s="286"/>
      <c r="CK400" s="286"/>
      <c r="CL400" s="286"/>
      <c r="CM400" s="286"/>
      <c r="CN400" s="286"/>
      <c r="CO400" s="286"/>
      <c r="CP400" s="286"/>
      <c r="CQ400" s="286"/>
      <c r="CR400" s="286"/>
      <c r="CS400" s="286"/>
      <c r="CT400" s="286"/>
      <c r="CU400" s="286"/>
      <c r="CV400" s="286"/>
      <c r="CW400" s="286"/>
      <c r="CX400" s="286"/>
      <c r="CY400" s="286"/>
      <c r="CZ400" s="286"/>
      <c r="DA400" s="286"/>
      <c r="DB400" s="286"/>
      <c r="DC400" s="286"/>
      <c r="DD400" s="286"/>
      <c r="DE400" s="286"/>
      <c r="DF400" s="286"/>
      <c r="DG400" s="286"/>
      <c r="DH400" s="286"/>
      <c r="DI400" s="286"/>
      <c r="DJ400" s="286"/>
      <c r="DK400" s="286"/>
      <c r="DL400" s="286"/>
      <c r="DM400" s="286"/>
      <c r="DN400" s="286"/>
      <c r="DO400" s="286"/>
      <c r="DP400" s="286"/>
      <c r="DQ400" s="286"/>
      <c r="DR400" s="286"/>
      <c r="DS400" s="286"/>
      <c r="DT400" s="286"/>
      <c r="DU400" s="286"/>
      <c r="DV400" s="286"/>
      <c r="DW400" s="286"/>
      <c r="DX400" s="286"/>
      <c r="DY400" s="286"/>
      <c r="DZ400" s="286"/>
      <c r="EA400" s="286"/>
      <c r="EB400" s="286"/>
      <c r="EC400" s="286"/>
      <c r="ED400" s="286"/>
      <c r="EE400" s="286"/>
      <c r="EF400" s="286"/>
      <c r="EG400" s="286"/>
      <c r="EH400" s="286"/>
      <c r="EI400" s="286"/>
      <c r="EJ400" s="286"/>
      <c r="EK400" s="286"/>
      <c r="EL400" s="286"/>
      <c r="EM400" s="286"/>
      <c r="EN400" s="286"/>
      <c r="EO400" s="286"/>
      <c r="EP400" s="286"/>
      <c r="EQ400" s="286"/>
      <c r="ER400" s="286"/>
      <c r="ES400" s="286"/>
      <c r="ET400" s="286"/>
      <c r="EU400" s="286"/>
      <c r="EV400" s="286"/>
      <c r="EW400" s="286"/>
      <c r="EX400" s="286"/>
      <c r="EY400" s="286"/>
      <c r="EZ400" s="286"/>
      <c r="FA400" s="286"/>
      <c r="FB400" s="286"/>
      <c r="FC400" s="286"/>
      <c r="FD400" s="286"/>
      <c r="FE400" s="286"/>
      <c r="FF400" s="286"/>
      <c r="FG400" s="286"/>
      <c r="FH400" s="286"/>
      <c r="FI400" s="286"/>
      <c r="FJ400" s="286"/>
      <c r="FK400" s="286"/>
      <c r="FL400" s="286"/>
      <c r="FM400" s="286"/>
      <c r="FN400" s="286"/>
      <c r="FO400" s="286"/>
      <c r="FP400" s="286"/>
      <c r="FQ400" s="286"/>
      <c r="FR400" s="286"/>
      <c r="FS400" s="286"/>
    </row>
    <row r="401" spans="1:175">
      <c r="A401" s="212" t="s">
        <v>3159</v>
      </c>
      <c r="B401" s="212" t="s">
        <v>3160</v>
      </c>
      <c r="C401" s="212" t="s">
        <v>3172</v>
      </c>
      <c r="D401" s="212" t="s">
        <v>3537</v>
      </c>
      <c r="E401" s="212" t="s">
        <v>3571</v>
      </c>
      <c r="F401" s="278">
        <v>14518</v>
      </c>
      <c r="G401" s="278">
        <v>186315</v>
      </c>
      <c r="H401" s="287">
        <f t="shared" si="6"/>
        <v>2.6991922282156562</v>
      </c>
      <c r="I401" s="286">
        <v>481</v>
      </c>
      <c r="J401" s="286">
        <v>5029</v>
      </c>
      <c r="K401" s="286">
        <v>3642</v>
      </c>
      <c r="L401" s="286">
        <v>1342</v>
      </c>
      <c r="M401" s="286">
        <v>4565</v>
      </c>
      <c r="N401" s="286">
        <v>3303</v>
      </c>
      <c r="O401" s="286">
        <v>1217</v>
      </c>
      <c r="P401" s="286">
        <v>481</v>
      </c>
      <c r="Q401" s="286">
        <v>5029</v>
      </c>
      <c r="R401" s="286">
        <v>3642</v>
      </c>
      <c r="S401" s="286">
        <v>1342</v>
      </c>
      <c r="T401" s="286">
        <v>4565</v>
      </c>
      <c r="U401" s="286">
        <v>3303</v>
      </c>
      <c r="V401" s="286">
        <v>1217</v>
      </c>
      <c r="W401" s="286"/>
      <c r="X401" s="286"/>
      <c r="Y401" s="286"/>
      <c r="Z401" s="286"/>
      <c r="AA401" s="286"/>
      <c r="AB401" s="286"/>
      <c r="AC401" s="286"/>
      <c r="AD401" s="286"/>
      <c r="AE401" s="286"/>
      <c r="AF401" s="286"/>
      <c r="AG401" s="286"/>
      <c r="AH401" s="286"/>
      <c r="AI401" s="286"/>
      <c r="AJ401" s="286"/>
      <c r="AK401" s="286"/>
      <c r="AL401" s="286"/>
      <c r="AM401" s="286"/>
      <c r="AN401" s="286"/>
      <c r="AO401" s="286"/>
      <c r="AP401" s="286"/>
      <c r="AQ401" s="286"/>
      <c r="AR401" s="286"/>
      <c r="AS401" s="286"/>
      <c r="AT401" s="286"/>
      <c r="AU401" s="286"/>
      <c r="AV401" s="286"/>
      <c r="AW401" s="286"/>
      <c r="AX401" s="286"/>
      <c r="AY401" s="286"/>
      <c r="AZ401" s="286"/>
      <c r="BA401" s="286"/>
      <c r="BB401" s="286"/>
      <c r="BC401" s="286"/>
      <c r="BD401" s="286"/>
      <c r="BE401" s="286"/>
      <c r="BF401" s="286"/>
      <c r="BG401" s="286"/>
      <c r="BH401" s="286"/>
      <c r="BI401" s="286"/>
      <c r="BJ401" s="286"/>
      <c r="BK401" s="286"/>
      <c r="BL401" s="286"/>
      <c r="BM401" s="286"/>
      <c r="BN401" s="286"/>
      <c r="BO401" s="286"/>
      <c r="BP401" s="286"/>
      <c r="BQ401" s="286"/>
      <c r="BR401" s="286"/>
      <c r="BS401" s="286"/>
      <c r="BT401" s="286"/>
      <c r="BU401" s="286"/>
      <c r="BV401" s="286"/>
      <c r="BW401" s="286"/>
      <c r="BX401" s="286"/>
      <c r="BY401" s="286"/>
      <c r="BZ401" s="286"/>
      <c r="CA401" s="286"/>
      <c r="CB401" s="286"/>
      <c r="CC401" s="286"/>
      <c r="CD401" s="286"/>
      <c r="CE401" s="286"/>
      <c r="CF401" s="286"/>
      <c r="CG401" s="286"/>
      <c r="CH401" s="286"/>
      <c r="CI401" s="286"/>
      <c r="CJ401" s="286"/>
      <c r="CK401" s="286"/>
      <c r="CL401" s="286"/>
      <c r="CM401" s="286"/>
      <c r="CN401" s="286"/>
      <c r="CO401" s="286"/>
      <c r="CP401" s="286"/>
      <c r="CQ401" s="286"/>
      <c r="CR401" s="286"/>
      <c r="CS401" s="286"/>
      <c r="CT401" s="286"/>
      <c r="CU401" s="286"/>
      <c r="CV401" s="286"/>
      <c r="CW401" s="286"/>
      <c r="CX401" s="286"/>
      <c r="CY401" s="286"/>
      <c r="CZ401" s="286"/>
      <c r="DA401" s="286"/>
      <c r="DB401" s="286"/>
      <c r="DC401" s="286"/>
      <c r="DD401" s="286"/>
      <c r="DE401" s="286"/>
      <c r="DF401" s="286"/>
      <c r="DG401" s="286"/>
      <c r="DH401" s="286"/>
      <c r="DI401" s="286"/>
      <c r="DJ401" s="286"/>
      <c r="DK401" s="286"/>
      <c r="DL401" s="286"/>
      <c r="DM401" s="286"/>
      <c r="DN401" s="286"/>
      <c r="DO401" s="286"/>
      <c r="DP401" s="286"/>
      <c r="DQ401" s="286"/>
      <c r="DR401" s="286"/>
      <c r="DS401" s="286"/>
      <c r="DT401" s="286"/>
      <c r="DU401" s="286"/>
      <c r="DV401" s="286"/>
      <c r="DW401" s="286"/>
      <c r="DX401" s="286"/>
      <c r="DY401" s="286"/>
      <c r="DZ401" s="286"/>
      <c r="EA401" s="286"/>
      <c r="EB401" s="286"/>
      <c r="EC401" s="286"/>
      <c r="ED401" s="286"/>
      <c r="EE401" s="286"/>
      <c r="EF401" s="286"/>
      <c r="EG401" s="286"/>
      <c r="EH401" s="286"/>
      <c r="EI401" s="286"/>
      <c r="EJ401" s="286"/>
      <c r="EK401" s="286"/>
      <c r="EL401" s="286"/>
      <c r="EM401" s="286"/>
      <c r="EN401" s="286"/>
      <c r="EO401" s="286"/>
      <c r="EP401" s="286"/>
      <c r="EQ401" s="286"/>
      <c r="ER401" s="286"/>
      <c r="ES401" s="286"/>
      <c r="ET401" s="286"/>
      <c r="EU401" s="286"/>
      <c r="EV401" s="286"/>
      <c r="EW401" s="286"/>
      <c r="EX401" s="286"/>
      <c r="EY401" s="286"/>
      <c r="EZ401" s="286"/>
      <c r="FA401" s="286"/>
      <c r="FB401" s="286"/>
      <c r="FC401" s="286"/>
      <c r="FD401" s="286"/>
      <c r="FE401" s="286"/>
      <c r="FF401" s="286"/>
      <c r="FG401" s="286"/>
      <c r="FH401" s="286"/>
      <c r="FI401" s="286"/>
      <c r="FJ401" s="286"/>
      <c r="FK401" s="286"/>
      <c r="FL401" s="286"/>
      <c r="FM401" s="286"/>
      <c r="FN401" s="286"/>
      <c r="FO401" s="286"/>
      <c r="FP401" s="286"/>
      <c r="FQ401" s="286"/>
      <c r="FR401" s="286"/>
      <c r="FS401" s="286"/>
    </row>
    <row r="402" spans="1:175">
      <c r="A402" s="212" t="s">
        <v>3159</v>
      </c>
      <c r="B402" s="212" t="s">
        <v>3160</v>
      </c>
      <c r="C402" s="212" t="s">
        <v>3170</v>
      </c>
      <c r="D402" s="212" t="s">
        <v>3537</v>
      </c>
      <c r="E402" s="212" t="s">
        <v>3572</v>
      </c>
      <c r="F402" s="278">
        <v>81695</v>
      </c>
      <c r="G402" s="278">
        <v>886852</v>
      </c>
      <c r="H402" s="287">
        <f t="shared" si="6"/>
        <v>2.9110832472610988</v>
      </c>
      <c r="I402" s="286">
        <v>2819</v>
      </c>
      <c r="J402" s="286">
        <v>25817</v>
      </c>
      <c r="K402" s="286">
        <v>14413</v>
      </c>
      <c r="L402" s="286">
        <v>11363</v>
      </c>
      <c r="M402" s="286">
        <v>22039</v>
      </c>
      <c r="N402" s="286">
        <v>11880</v>
      </c>
      <c r="O402" s="286">
        <v>10122</v>
      </c>
      <c r="P402" s="286">
        <v>2819</v>
      </c>
      <c r="Q402" s="286">
        <v>25817</v>
      </c>
      <c r="R402" s="286">
        <v>14413</v>
      </c>
      <c r="S402" s="286">
        <v>11363</v>
      </c>
      <c r="T402" s="286">
        <v>22039</v>
      </c>
      <c r="U402" s="286">
        <v>11880</v>
      </c>
      <c r="V402" s="286">
        <v>10122</v>
      </c>
      <c r="W402" s="286"/>
      <c r="X402" s="286"/>
      <c r="Y402" s="286"/>
      <c r="Z402" s="286"/>
      <c r="AA402" s="286"/>
      <c r="AB402" s="286"/>
      <c r="AC402" s="286"/>
      <c r="AD402" s="286"/>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AZ402" s="286"/>
      <c r="BA402" s="286"/>
      <c r="BB402" s="286"/>
      <c r="BC402" s="286"/>
      <c r="BD402" s="286"/>
      <c r="BE402" s="286"/>
      <c r="BF402" s="286"/>
      <c r="BG402" s="286"/>
      <c r="BH402" s="286"/>
      <c r="BI402" s="286"/>
      <c r="BJ402" s="286"/>
      <c r="BK402" s="286"/>
      <c r="BL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c r="DK402" s="286"/>
      <c r="DL402" s="286"/>
      <c r="DM402" s="286"/>
      <c r="DN402" s="286"/>
      <c r="DO402" s="286"/>
      <c r="DP402" s="286"/>
      <c r="DQ402" s="286"/>
      <c r="DR402" s="286"/>
      <c r="DS402" s="286"/>
      <c r="DT402" s="286"/>
      <c r="DU402" s="286"/>
      <c r="DV402" s="286"/>
      <c r="DW402" s="286"/>
      <c r="DX402" s="286"/>
      <c r="DY402" s="286"/>
      <c r="DZ402" s="286"/>
      <c r="EA402" s="286"/>
      <c r="EB402" s="286"/>
      <c r="EC402" s="286"/>
      <c r="ED402" s="286"/>
      <c r="EE402" s="286"/>
      <c r="EF402" s="286"/>
      <c r="EG402" s="286"/>
      <c r="EH402" s="286"/>
      <c r="EI402" s="286"/>
      <c r="EJ402" s="286"/>
      <c r="EK402" s="286"/>
      <c r="EL402" s="286"/>
      <c r="EM402" s="286"/>
      <c r="EN402" s="286"/>
      <c r="EO402" s="286"/>
      <c r="EP402" s="286"/>
      <c r="EQ402" s="286"/>
      <c r="ER402" s="286"/>
      <c r="ES402" s="286"/>
      <c r="ET402" s="286"/>
      <c r="EU402" s="286"/>
      <c r="EV402" s="286"/>
      <c r="EW402" s="286"/>
      <c r="EX402" s="286"/>
      <c r="EY402" s="286"/>
      <c r="EZ402" s="286"/>
      <c r="FA402" s="286"/>
      <c r="FB402" s="286"/>
      <c r="FC402" s="286"/>
      <c r="FD402" s="286"/>
      <c r="FE402" s="286"/>
      <c r="FF402" s="286"/>
      <c r="FG402" s="286"/>
      <c r="FH402" s="286"/>
      <c r="FI402" s="286"/>
      <c r="FJ402" s="286"/>
      <c r="FK402" s="286"/>
      <c r="FL402" s="286"/>
      <c r="FM402" s="286"/>
      <c r="FN402" s="286"/>
      <c r="FO402" s="286"/>
      <c r="FP402" s="286"/>
      <c r="FQ402" s="286"/>
      <c r="FR402" s="286"/>
      <c r="FS402" s="286"/>
    </row>
    <row r="403" spans="1:175">
      <c r="A403" s="212" t="s">
        <v>3159</v>
      </c>
      <c r="B403" s="212" t="s">
        <v>3160</v>
      </c>
      <c r="C403" s="212" t="s">
        <v>3172</v>
      </c>
      <c r="D403" s="212" t="s">
        <v>3537</v>
      </c>
      <c r="E403" s="212" t="s">
        <v>3573</v>
      </c>
      <c r="F403" s="278">
        <v>1534</v>
      </c>
      <c r="G403" s="278">
        <v>34440</v>
      </c>
      <c r="H403" s="287">
        <f t="shared" si="6"/>
        <v>3.1271777003484318</v>
      </c>
      <c r="I403" s="286">
        <v>68</v>
      </c>
      <c r="J403" s="286">
        <v>1077</v>
      </c>
      <c r="K403" s="286">
        <v>534</v>
      </c>
      <c r="L403" s="286">
        <v>543</v>
      </c>
      <c r="M403" s="286">
        <v>1015</v>
      </c>
      <c r="N403" s="286">
        <v>512</v>
      </c>
      <c r="O403" s="286">
        <v>503</v>
      </c>
      <c r="P403" s="286">
        <v>68</v>
      </c>
      <c r="Q403" s="286">
        <v>1077</v>
      </c>
      <c r="R403" s="286">
        <v>534</v>
      </c>
      <c r="S403" s="286">
        <v>543</v>
      </c>
      <c r="T403" s="286">
        <v>1015</v>
      </c>
      <c r="U403" s="286">
        <v>512</v>
      </c>
      <c r="V403" s="286">
        <v>503</v>
      </c>
      <c r="W403" s="286"/>
      <c r="X403" s="286"/>
      <c r="Y403" s="286"/>
      <c r="Z403" s="286"/>
      <c r="AA403" s="286"/>
      <c r="AB403" s="286"/>
      <c r="AC403" s="286"/>
      <c r="AD403" s="286"/>
      <c r="AE403" s="286"/>
      <c r="AF403" s="286"/>
      <c r="AG403" s="286"/>
      <c r="AH403" s="286"/>
      <c r="AI403" s="286"/>
      <c r="AJ403" s="286"/>
      <c r="AK403" s="286"/>
      <c r="AL403" s="286"/>
      <c r="AM403" s="286"/>
      <c r="AN403" s="286"/>
      <c r="AO403" s="286"/>
      <c r="AP403" s="286"/>
      <c r="AQ403" s="286"/>
      <c r="AR403" s="286"/>
      <c r="AS403" s="286"/>
      <c r="AT403" s="286"/>
      <c r="AU403" s="286"/>
      <c r="AV403" s="286"/>
      <c r="AW403" s="286"/>
      <c r="AX403" s="286"/>
      <c r="AY403" s="286"/>
      <c r="AZ403" s="286"/>
      <c r="BA403" s="286"/>
      <c r="BB403" s="286"/>
      <c r="BC403" s="286"/>
      <c r="BD403" s="286"/>
      <c r="BE403" s="286"/>
      <c r="BF403" s="286"/>
      <c r="BG403" s="286"/>
      <c r="BH403" s="286"/>
      <c r="BI403" s="286"/>
      <c r="BJ403" s="286"/>
      <c r="BK403" s="286"/>
      <c r="BL403" s="286"/>
      <c r="BM403" s="286"/>
      <c r="BN403" s="286"/>
      <c r="BO403" s="286"/>
      <c r="BP403" s="286"/>
      <c r="BQ403" s="286"/>
      <c r="BR403" s="286"/>
      <c r="BS403" s="286"/>
      <c r="BT403" s="286"/>
      <c r="BU403" s="286"/>
      <c r="BV403" s="286"/>
      <c r="BW403" s="286"/>
      <c r="BX403" s="286"/>
      <c r="BY403" s="286"/>
      <c r="BZ403" s="286"/>
      <c r="CA403" s="286"/>
      <c r="CB403" s="286"/>
      <c r="CC403" s="286"/>
      <c r="CD403" s="286"/>
      <c r="CE403" s="286"/>
      <c r="CF403" s="286"/>
      <c r="CG403" s="286"/>
      <c r="CH403" s="286"/>
      <c r="CI403" s="286"/>
      <c r="CJ403" s="286"/>
      <c r="CK403" s="286"/>
      <c r="CL403" s="286"/>
      <c r="CM403" s="286"/>
      <c r="CN403" s="286"/>
      <c r="CO403" s="286"/>
      <c r="CP403" s="286"/>
      <c r="CQ403" s="286"/>
      <c r="CR403" s="286"/>
      <c r="CS403" s="286"/>
      <c r="CT403" s="286"/>
      <c r="CU403" s="286"/>
      <c r="CV403" s="286"/>
      <c r="CW403" s="286"/>
      <c r="CX403" s="286"/>
      <c r="CY403" s="286"/>
      <c r="CZ403" s="286"/>
      <c r="DA403" s="286"/>
      <c r="DB403" s="286"/>
      <c r="DC403" s="286"/>
      <c r="DD403" s="286"/>
      <c r="DE403" s="286"/>
      <c r="DF403" s="286"/>
      <c r="DG403" s="286"/>
      <c r="DH403" s="286"/>
      <c r="DI403" s="286"/>
      <c r="DJ403" s="286"/>
      <c r="DK403" s="286"/>
      <c r="DL403" s="286"/>
      <c r="DM403" s="286"/>
      <c r="DN403" s="286"/>
      <c r="DO403" s="286"/>
      <c r="DP403" s="286"/>
      <c r="DQ403" s="286"/>
      <c r="DR403" s="286"/>
      <c r="DS403" s="286"/>
      <c r="DT403" s="286"/>
      <c r="DU403" s="286"/>
      <c r="DV403" s="286"/>
      <c r="DW403" s="286"/>
      <c r="DX403" s="286"/>
      <c r="DY403" s="286"/>
      <c r="DZ403" s="286"/>
      <c r="EA403" s="286"/>
      <c r="EB403" s="286"/>
      <c r="EC403" s="286"/>
      <c r="ED403" s="286"/>
      <c r="EE403" s="286"/>
      <c r="EF403" s="286"/>
      <c r="EG403" s="286"/>
      <c r="EH403" s="286"/>
      <c r="EI403" s="286"/>
      <c r="EJ403" s="286"/>
      <c r="EK403" s="286"/>
      <c r="EL403" s="286"/>
      <c r="EM403" s="286"/>
      <c r="EN403" s="286"/>
      <c r="EO403" s="286"/>
      <c r="EP403" s="286"/>
      <c r="EQ403" s="286"/>
      <c r="ER403" s="286"/>
      <c r="ES403" s="286"/>
      <c r="ET403" s="286"/>
      <c r="EU403" s="286"/>
      <c r="EV403" s="286"/>
      <c r="EW403" s="286"/>
      <c r="EX403" s="286"/>
      <c r="EY403" s="286"/>
      <c r="EZ403" s="286"/>
      <c r="FA403" s="286"/>
      <c r="FB403" s="286"/>
      <c r="FC403" s="286"/>
      <c r="FD403" s="286"/>
      <c r="FE403" s="286"/>
      <c r="FF403" s="286"/>
      <c r="FG403" s="286"/>
      <c r="FH403" s="286"/>
      <c r="FI403" s="286"/>
      <c r="FJ403" s="286"/>
      <c r="FK403" s="286"/>
      <c r="FL403" s="286"/>
      <c r="FM403" s="286"/>
      <c r="FN403" s="286"/>
      <c r="FO403" s="286"/>
      <c r="FP403" s="286"/>
      <c r="FQ403" s="286"/>
      <c r="FR403" s="286"/>
      <c r="FS403" s="286"/>
    </row>
    <row r="404" spans="1:175">
      <c r="A404" s="212" t="s">
        <v>3159</v>
      </c>
      <c r="B404" s="212" t="s">
        <v>3160</v>
      </c>
      <c r="C404" s="212" t="s">
        <v>3172</v>
      </c>
      <c r="D404" s="212" t="s">
        <v>3537</v>
      </c>
      <c r="E404" s="212" t="s">
        <v>3574</v>
      </c>
      <c r="F404" s="278">
        <v>11527</v>
      </c>
      <c r="G404" s="278">
        <v>108338</v>
      </c>
      <c r="H404" s="287">
        <f t="shared" si="6"/>
        <v>2.6140412413003746</v>
      </c>
      <c r="I404" s="286">
        <v>359</v>
      </c>
      <c r="J404" s="286">
        <v>2832</v>
      </c>
      <c r="K404" s="286">
        <v>1761</v>
      </c>
      <c r="L404" s="286">
        <v>1071</v>
      </c>
      <c r="M404" s="286">
        <v>2418</v>
      </c>
      <c r="N404" s="286">
        <v>1468</v>
      </c>
      <c r="O404" s="286">
        <v>950</v>
      </c>
      <c r="P404" s="286">
        <v>359</v>
      </c>
      <c r="Q404" s="286">
        <v>2832</v>
      </c>
      <c r="R404" s="286">
        <v>1761</v>
      </c>
      <c r="S404" s="286">
        <v>1071</v>
      </c>
      <c r="T404" s="286">
        <v>2418</v>
      </c>
      <c r="U404" s="286">
        <v>1468</v>
      </c>
      <c r="V404" s="286">
        <v>950</v>
      </c>
      <c r="W404" s="286"/>
      <c r="X404" s="286"/>
      <c r="Y404" s="286"/>
      <c r="Z404" s="286"/>
      <c r="AA404" s="286"/>
      <c r="AB404" s="286"/>
      <c r="AC404" s="286"/>
      <c r="AD404" s="286"/>
      <c r="AE404" s="286"/>
      <c r="AF404" s="286"/>
      <c r="AG404" s="286"/>
      <c r="AH404" s="286"/>
      <c r="AI404" s="286"/>
      <c r="AJ404" s="286"/>
      <c r="AK404" s="286"/>
      <c r="AL404" s="286"/>
      <c r="AM404" s="286"/>
      <c r="AN404" s="286"/>
      <c r="AO404" s="286"/>
      <c r="AP404" s="286"/>
      <c r="AQ404" s="286"/>
      <c r="AR404" s="286"/>
      <c r="AS404" s="286"/>
      <c r="AT404" s="286"/>
      <c r="AU404" s="286"/>
      <c r="AV404" s="286"/>
      <c r="AW404" s="286"/>
      <c r="AX404" s="286"/>
      <c r="AY404" s="286"/>
      <c r="AZ404" s="286"/>
      <c r="BA404" s="286"/>
      <c r="BB404" s="286"/>
      <c r="BC404" s="286"/>
      <c r="BD404" s="286"/>
      <c r="BE404" s="286"/>
      <c r="BF404" s="286"/>
      <c r="BG404" s="286"/>
      <c r="BH404" s="286"/>
      <c r="BI404" s="286"/>
      <c r="BJ404" s="286"/>
      <c r="BK404" s="286"/>
      <c r="BL404" s="286"/>
      <c r="BM404" s="286"/>
      <c r="BN404" s="286"/>
      <c r="BO404" s="286"/>
      <c r="BP404" s="286"/>
      <c r="BQ404" s="286"/>
      <c r="BR404" s="286"/>
      <c r="BS404" s="286"/>
      <c r="BT404" s="286"/>
      <c r="BU404" s="286"/>
      <c r="BV404" s="286"/>
      <c r="BW404" s="286"/>
      <c r="BX404" s="286"/>
      <c r="BY404" s="286"/>
      <c r="BZ404" s="286"/>
      <c r="CA404" s="286"/>
      <c r="CB404" s="286"/>
      <c r="CC404" s="286"/>
      <c r="CD404" s="286"/>
      <c r="CE404" s="286"/>
      <c r="CF404" s="286"/>
      <c r="CG404" s="286"/>
      <c r="CH404" s="286"/>
      <c r="CI404" s="286"/>
      <c r="CJ404" s="286"/>
      <c r="CK404" s="286"/>
      <c r="CL404" s="286"/>
      <c r="CM404" s="286"/>
      <c r="CN404" s="286"/>
      <c r="CO404" s="286"/>
      <c r="CP404" s="286"/>
      <c r="CQ404" s="286"/>
      <c r="CR404" s="286"/>
      <c r="CS404" s="286"/>
      <c r="CT404" s="286"/>
      <c r="CU404" s="286"/>
      <c r="CV404" s="286"/>
      <c r="CW404" s="286"/>
      <c r="CX404" s="286"/>
      <c r="CY404" s="286"/>
      <c r="CZ404" s="286"/>
      <c r="DA404" s="286"/>
      <c r="DB404" s="286"/>
      <c r="DC404" s="286"/>
      <c r="DD404" s="286"/>
      <c r="DE404" s="286"/>
      <c r="DF404" s="286"/>
      <c r="DG404" s="286"/>
      <c r="DH404" s="286"/>
      <c r="DI404" s="286"/>
      <c r="DJ404" s="286"/>
      <c r="DK404" s="286"/>
      <c r="DL404" s="286"/>
      <c r="DM404" s="286"/>
      <c r="DN404" s="286"/>
      <c r="DO404" s="286"/>
      <c r="DP404" s="286"/>
      <c r="DQ404" s="286"/>
      <c r="DR404" s="286"/>
      <c r="DS404" s="286"/>
      <c r="DT404" s="286"/>
      <c r="DU404" s="286"/>
      <c r="DV404" s="286"/>
      <c r="DW404" s="286"/>
      <c r="DX404" s="286"/>
      <c r="DY404" s="286"/>
      <c r="DZ404" s="286"/>
      <c r="EA404" s="286"/>
      <c r="EB404" s="286"/>
      <c r="EC404" s="286"/>
      <c r="ED404" s="286"/>
      <c r="EE404" s="286"/>
      <c r="EF404" s="286"/>
      <c r="EG404" s="286"/>
      <c r="EH404" s="286"/>
      <c r="EI404" s="286"/>
      <c r="EJ404" s="286"/>
      <c r="EK404" s="286"/>
      <c r="EL404" s="286"/>
      <c r="EM404" s="286"/>
      <c r="EN404" s="286"/>
      <c r="EO404" s="286"/>
      <c r="EP404" s="286"/>
      <c r="EQ404" s="286"/>
      <c r="ER404" s="286"/>
      <c r="ES404" s="286"/>
      <c r="ET404" s="286"/>
      <c r="EU404" s="286"/>
      <c r="EV404" s="286"/>
      <c r="EW404" s="286"/>
      <c r="EX404" s="286"/>
      <c r="EY404" s="286"/>
      <c r="EZ404" s="286"/>
      <c r="FA404" s="286"/>
      <c r="FB404" s="286"/>
      <c r="FC404" s="286"/>
      <c r="FD404" s="286"/>
      <c r="FE404" s="286"/>
      <c r="FF404" s="286"/>
      <c r="FG404" s="286"/>
      <c r="FH404" s="286"/>
      <c r="FI404" s="286"/>
      <c r="FJ404" s="286"/>
      <c r="FK404" s="286"/>
      <c r="FL404" s="286"/>
      <c r="FM404" s="286"/>
      <c r="FN404" s="286"/>
      <c r="FO404" s="286"/>
      <c r="FP404" s="286"/>
      <c r="FQ404" s="286"/>
      <c r="FR404" s="286"/>
      <c r="FS404" s="286"/>
    </row>
    <row r="405" spans="1:175">
      <c r="A405" s="212" t="s">
        <v>3159</v>
      </c>
      <c r="B405" s="212" t="s">
        <v>3160</v>
      </c>
      <c r="C405" s="212" t="s">
        <v>3172</v>
      </c>
      <c r="D405" s="212" t="s">
        <v>3537</v>
      </c>
      <c r="E405" s="212" t="s">
        <v>3575</v>
      </c>
      <c r="F405" s="278">
        <v>16980</v>
      </c>
      <c r="G405" s="278">
        <v>290762</v>
      </c>
      <c r="H405" s="287">
        <f t="shared" si="6"/>
        <v>2.7730583776421955</v>
      </c>
      <c r="I405" s="286">
        <v>568</v>
      </c>
      <c r="J405" s="286">
        <v>8063</v>
      </c>
      <c r="K405" s="286">
        <v>4226</v>
      </c>
      <c r="L405" s="286">
        <v>3802</v>
      </c>
      <c r="M405" s="286">
        <v>7408</v>
      </c>
      <c r="N405" s="286">
        <v>3857</v>
      </c>
      <c r="O405" s="286">
        <v>3520</v>
      </c>
      <c r="P405" s="286">
        <v>568</v>
      </c>
      <c r="Q405" s="286">
        <v>8063</v>
      </c>
      <c r="R405" s="286">
        <v>4226</v>
      </c>
      <c r="S405" s="286">
        <v>3802</v>
      </c>
      <c r="T405" s="286">
        <v>7408</v>
      </c>
      <c r="U405" s="286">
        <v>3857</v>
      </c>
      <c r="V405" s="286">
        <v>3520</v>
      </c>
      <c r="W405" s="286"/>
      <c r="X405" s="286"/>
      <c r="Y405" s="286"/>
      <c r="Z405" s="286"/>
      <c r="AA405" s="286"/>
      <c r="AB405" s="286"/>
      <c r="AC405" s="286"/>
      <c r="AD405" s="286"/>
      <c r="AE405" s="286"/>
      <c r="AF405" s="286"/>
      <c r="AG405" s="286"/>
      <c r="AH405" s="286"/>
      <c r="AI405" s="286"/>
      <c r="AJ405" s="286"/>
      <c r="AK405" s="286"/>
      <c r="AL405" s="286"/>
      <c r="AM405" s="286"/>
      <c r="AN405" s="286"/>
      <c r="AO405" s="286"/>
      <c r="AP405" s="286"/>
      <c r="AQ405" s="286"/>
      <c r="AR405" s="286"/>
      <c r="AS405" s="286"/>
      <c r="AT405" s="286"/>
      <c r="AU405" s="286"/>
      <c r="AV405" s="286"/>
      <c r="AW405" s="286"/>
      <c r="AX405" s="286"/>
      <c r="AY405" s="286"/>
      <c r="AZ405" s="286"/>
      <c r="BA405" s="286"/>
      <c r="BB405" s="286"/>
      <c r="BC405" s="286"/>
      <c r="BD405" s="286"/>
      <c r="BE405" s="286"/>
      <c r="BF405" s="286"/>
      <c r="BG405" s="286"/>
      <c r="BH405" s="286"/>
      <c r="BI405" s="286"/>
      <c r="BJ405" s="286"/>
      <c r="BK405" s="286"/>
      <c r="BL405" s="286"/>
      <c r="BM405" s="286"/>
      <c r="BN405" s="286"/>
      <c r="BO405" s="286"/>
      <c r="BP405" s="286"/>
      <c r="BQ405" s="286"/>
      <c r="BR405" s="286"/>
      <c r="BS405" s="286"/>
      <c r="BT405" s="286"/>
      <c r="BU405" s="286"/>
      <c r="BV405" s="286"/>
      <c r="BW405" s="286"/>
      <c r="BX405" s="286"/>
      <c r="BY405" s="286"/>
      <c r="BZ405" s="286"/>
      <c r="CA405" s="286"/>
      <c r="CB405" s="286"/>
      <c r="CC405" s="286"/>
      <c r="CD405" s="286"/>
      <c r="CE405" s="286"/>
      <c r="CF405" s="286"/>
      <c r="CG405" s="286"/>
      <c r="CH405" s="286"/>
      <c r="CI405" s="286"/>
      <c r="CJ405" s="286"/>
      <c r="CK405" s="286"/>
      <c r="CL405" s="286"/>
      <c r="CM405" s="286"/>
      <c r="CN405" s="286"/>
      <c r="CO405" s="286"/>
      <c r="CP405" s="286"/>
      <c r="CQ405" s="286"/>
      <c r="CR405" s="286"/>
      <c r="CS405" s="286"/>
      <c r="CT405" s="286"/>
      <c r="CU405" s="286"/>
      <c r="CV405" s="286"/>
      <c r="CW405" s="286"/>
      <c r="CX405" s="286"/>
      <c r="CY405" s="286"/>
      <c r="CZ405" s="286"/>
      <c r="DA405" s="286"/>
      <c r="DB405" s="286"/>
      <c r="DC405" s="286"/>
      <c r="DD405" s="286"/>
      <c r="DE405" s="286"/>
      <c r="DF405" s="286"/>
      <c r="DG405" s="286"/>
      <c r="DH405" s="286"/>
      <c r="DI405" s="286"/>
      <c r="DJ405" s="286"/>
      <c r="DK405" s="286"/>
      <c r="DL405" s="286"/>
      <c r="DM405" s="286"/>
      <c r="DN405" s="286"/>
      <c r="DO405" s="286"/>
      <c r="DP405" s="286"/>
      <c r="DQ405" s="286"/>
      <c r="DR405" s="286"/>
      <c r="DS405" s="286"/>
      <c r="DT405" s="286"/>
      <c r="DU405" s="286"/>
      <c r="DV405" s="286"/>
      <c r="DW405" s="286"/>
      <c r="DX405" s="286"/>
      <c r="DY405" s="286"/>
      <c r="DZ405" s="286"/>
      <c r="EA405" s="286"/>
      <c r="EB405" s="286"/>
      <c r="EC405" s="286"/>
      <c r="ED405" s="286"/>
      <c r="EE405" s="286"/>
      <c r="EF405" s="286"/>
      <c r="EG405" s="286"/>
      <c r="EH405" s="286"/>
      <c r="EI405" s="286"/>
      <c r="EJ405" s="286"/>
      <c r="EK405" s="286"/>
      <c r="EL405" s="286"/>
      <c r="EM405" s="286"/>
      <c r="EN405" s="286"/>
      <c r="EO405" s="286"/>
      <c r="EP405" s="286"/>
      <c r="EQ405" s="286"/>
      <c r="ER405" s="286"/>
      <c r="ES405" s="286"/>
      <c r="ET405" s="286"/>
      <c r="EU405" s="286"/>
      <c r="EV405" s="286"/>
      <c r="EW405" s="286"/>
      <c r="EX405" s="286"/>
      <c r="EY405" s="286"/>
      <c r="EZ405" s="286"/>
      <c r="FA405" s="286"/>
      <c r="FB405" s="286"/>
      <c r="FC405" s="286"/>
      <c r="FD405" s="286"/>
      <c r="FE405" s="286"/>
      <c r="FF405" s="286"/>
      <c r="FG405" s="286"/>
      <c r="FH405" s="286"/>
      <c r="FI405" s="286"/>
      <c r="FJ405" s="286"/>
      <c r="FK405" s="286"/>
      <c r="FL405" s="286"/>
      <c r="FM405" s="286"/>
      <c r="FN405" s="286"/>
      <c r="FO405" s="286"/>
      <c r="FP405" s="286"/>
      <c r="FQ405" s="286"/>
      <c r="FR405" s="286"/>
      <c r="FS405" s="286"/>
    </row>
    <row r="406" spans="1:175">
      <c r="A406" s="212" t="s">
        <v>3159</v>
      </c>
      <c r="B406" s="212" t="s">
        <v>3160</v>
      </c>
      <c r="C406" s="212" t="s">
        <v>3172</v>
      </c>
      <c r="D406" s="212" t="s">
        <v>3537</v>
      </c>
      <c r="E406" s="212" t="s">
        <v>3576</v>
      </c>
      <c r="F406" s="278">
        <v>6065</v>
      </c>
      <c r="G406" s="278">
        <v>60086</v>
      </c>
      <c r="H406" s="287">
        <f t="shared" si="6"/>
        <v>2.0770229337948942</v>
      </c>
      <c r="I406" s="286">
        <v>171</v>
      </c>
      <c r="J406" s="286">
        <v>1248</v>
      </c>
      <c r="K406" s="286">
        <v>710</v>
      </c>
      <c r="L406" s="286">
        <v>538</v>
      </c>
      <c r="M406" s="286">
        <v>1013</v>
      </c>
      <c r="N406" s="286">
        <v>552</v>
      </c>
      <c r="O406" s="286">
        <v>461</v>
      </c>
      <c r="P406" s="286">
        <v>171</v>
      </c>
      <c r="Q406" s="286">
        <v>1248</v>
      </c>
      <c r="R406" s="286">
        <v>710</v>
      </c>
      <c r="S406" s="286">
        <v>538</v>
      </c>
      <c r="T406" s="286">
        <v>1013</v>
      </c>
      <c r="U406" s="286">
        <v>552</v>
      </c>
      <c r="V406" s="286">
        <v>461</v>
      </c>
      <c r="W406" s="286"/>
      <c r="X406" s="286"/>
      <c r="Y406" s="286"/>
      <c r="Z406" s="286"/>
      <c r="AA406" s="286"/>
      <c r="AB406" s="286"/>
      <c r="AC406" s="286"/>
      <c r="AD406" s="286"/>
      <c r="AE406" s="286"/>
      <c r="AF406" s="286"/>
      <c r="AG406" s="286"/>
      <c r="AH406" s="286"/>
      <c r="AI406" s="286"/>
      <c r="AJ406" s="286"/>
      <c r="AK406" s="286"/>
      <c r="AL406" s="286"/>
      <c r="AM406" s="286"/>
      <c r="AN406" s="286"/>
      <c r="AO406" s="286"/>
      <c r="AP406" s="286"/>
      <c r="AQ406" s="286"/>
      <c r="AR406" s="286"/>
      <c r="AS406" s="286"/>
      <c r="AT406" s="286"/>
      <c r="AU406" s="286"/>
      <c r="AV406" s="286"/>
      <c r="AW406" s="286"/>
      <c r="AX406" s="286"/>
      <c r="AY406" s="286"/>
      <c r="AZ406" s="286"/>
      <c r="BA406" s="286"/>
      <c r="BB406" s="286"/>
      <c r="BC406" s="286"/>
      <c r="BD406" s="286"/>
      <c r="BE406" s="286"/>
      <c r="BF406" s="286"/>
      <c r="BG406" s="286"/>
      <c r="BH406" s="286"/>
      <c r="BI406" s="286"/>
      <c r="BJ406" s="286"/>
      <c r="BK406" s="286"/>
      <c r="BL406" s="286"/>
      <c r="BM406" s="286"/>
      <c r="BN406" s="286"/>
      <c r="BO406" s="286"/>
      <c r="BP406" s="286"/>
      <c r="BQ406" s="286"/>
      <c r="BR406" s="286"/>
      <c r="BS406" s="286"/>
      <c r="BT406" s="286"/>
      <c r="BU406" s="286"/>
      <c r="BV406" s="286"/>
      <c r="BW406" s="286"/>
      <c r="BX406" s="286"/>
      <c r="BY406" s="286"/>
      <c r="BZ406" s="286"/>
      <c r="CA406" s="286"/>
      <c r="CB406" s="286"/>
      <c r="CC406" s="286"/>
      <c r="CD406" s="286"/>
      <c r="CE406" s="286"/>
      <c r="CF406" s="286"/>
      <c r="CG406" s="286"/>
      <c r="CH406" s="286"/>
      <c r="CI406" s="286"/>
      <c r="CJ406" s="286"/>
      <c r="CK406" s="286"/>
      <c r="CL406" s="286"/>
      <c r="CM406" s="286"/>
      <c r="CN406" s="286"/>
      <c r="CO406" s="286"/>
      <c r="CP406" s="286"/>
      <c r="CQ406" s="286"/>
      <c r="CR406" s="286"/>
      <c r="CS406" s="286"/>
      <c r="CT406" s="286"/>
      <c r="CU406" s="286"/>
      <c r="CV406" s="286"/>
      <c r="CW406" s="286"/>
      <c r="CX406" s="286"/>
      <c r="CY406" s="286"/>
      <c r="CZ406" s="286"/>
      <c r="DA406" s="286"/>
      <c r="DB406" s="286"/>
      <c r="DC406" s="286"/>
      <c r="DD406" s="286"/>
      <c r="DE406" s="286"/>
      <c r="DF406" s="286"/>
      <c r="DG406" s="286"/>
      <c r="DH406" s="286"/>
      <c r="DI406" s="286"/>
      <c r="DJ406" s="286"/>
      <c r="DK406" s="286"/>
      <c r="DL406" s="286"/>
      <c r="DM406" s="286"/>
      <c r="DN406" s="286"/>
      <c r="DO406" s="286"/>
      <c r="DP406" s="286"/>
      <c r="DQ406" s="286"/>
      <c r="DR406" s="286"/>
      <c r="DS406" s="286"/>
      <c r="DT406" s="286"/>
      <c r="DU406" s="286"/>
      <c r="DV406" s="286"/>
      <c r="DW406" s="286"/>
      <c r="DX406" s="286"/>
      <c r="DY406" s="286"/>
      <c r="DZ406" s="286"/>
      <c r="EA406" s="286"/>
      <c r="EB406" s="286"/>
      <c r="EC406" s="286"/>
      <c r="ED406" s="286"/>
      <c r="EE406" s="286"/>
      <c r="EF406" s="286"/>
      <c r="EG406" s="286"/>
      <c r="EH406" s="286"/>
      <c r="EI406" s="286"/>
      <c r="EJ406" s="286"/>
      <c r="EK406" s="286"/>
      <c r="EL406" s="286"/>
      <c r="EM406" s="286"/>
      <c r="EN406" s="286"/>
      <c r="EO406" s="286"/>
      <c r="EP406" s="286"/>
      <c r="EQ406" s="286"/>
      <c r="ER406" s="286"/>
      <c r="ES406" s="286"/>
      <c r="ET406" s="286"/>
      <c r="EU406" s="286"/>
      <c r="EV406" s="286"/>
      <c r="EW406" s="286"/>
      <c r="EX406" s="286"/>
      <c r="EY406" s="286"/>
      <c r="EZ406" s="286"/>
      <c r="FA406" s="286"/>
      <c r="FB406" s="286"/>
      <c r="FC406" s="286"/>
      <c r="FD406" s="286"/>
      <c r="FE406" s="286"/>
      <c r="FF406" s="286"/>
      <c r="FG406" s="286"/>
      <c r="FH406" s="286"/>
      <c r="FI406" s="286"/>
      <c r="FJ406" s="286"/>
      <c r="FK406" s="286"/>
      <c r="FL406" s="286"/>
      <c r="FM406" s="286"/>
      <c r="FN406" s="286"/>
      <c r="FO406" s="286"/>
      <c r="FP406" s="286"/>
      <c r="FQ406" s="286"/>
      <c r="FR406" s="286"/>
      <c r="FS406" s="286"/>
    </row>
    <row r="407" spans="1:175">
      <c r="A407" s="212" t="s">
        <v>3159</v>
      </c>
      <c r="B407" s="212" t="s">
        <v>3160</v>
      </c>
      <c r="C407" s="212" t="s">
        <v>3172</v>
      </c>
      <c r="D407" s="212" t="s">
        <v>3537</v>
      </c>
      <c r="E407" s="212" t="s">
        <v>3577</v>
      </c>
      <c r="F407" s="278">
        <v>45589</v>
      </c>
      <c r="G407" s="278">
        <v>393226</v>
      </c>
      <c r="H407" s="287">
        <f t="shared" si="6"/>
        <v>3.2035012944210197</v>
      </c>
      <c r="I407" s="286">
        <v>1653</v>
      </c>
      <c r="J407" s="286">
        <v>12597</v>
      </c>
      <c r="K407" s="286">
        <v>7182</v>
      </c>
      <c r="L407" s="286">
        <v>5409</v>
      </c>
      <c r="M407" s="286">
        <v>10185</v>
      </c>
      <c r="N407" s="286">
        <v>5491</v>
      </c>
      <c r="O407" s="286">
        <v>4688</v>
      </c>
      <c r="P407" s="286">
        <v>1653</v>
      </c>
      <c r="Q407" s="286">
        <v>12597</v>
      </c>
      <c r="R407" s="286">
        <v>7182</v>
      </c>
      <c r="S407" s="286">
        <v>5409</v>
      </c>
      <c r="T407" s="286">
        <v>10185</v>
      </c>
      <c r="U407" s="286">
        <v>5491</v>
      </c>
      <c r="V407" s="286">
        <v>4688</v>
      </c>
      <c r="W407" s="286"/>
      <c r="X407" s="286"/>
      <c r="Y407" s="286"/>
      <c r="Z407" s="286"/>
      <c r="AA407" s="286"/>
      <c r="AB407" s="286"/>
      <c r="AC407" s="286"/>
      <c r="AD407" s="286"/>
      <c r="AE407" s="286"/>
      <c r="AF407" s="286"/>
      <c r="AG407" s="286"/>
      <c r="AH407" s="286"/>
      <c r="AI407" s="286"/>
      <c r="AJ407" s="286"/>
      <c r="AK407" s="286"/>
      <c r="AL407" s="286"/>
      <c r="AM407" s="286"/>
      <c r="AN407" s="286"/>
      <c r="AO407" s="286"/>
      <c r="AP407" s="286"/>
      <c r="AQ407" s="286"/>
      <c r="AR407" s="286"/>
      <c r="AS407" s="286"/>
      <c r="AT407" s="286"/>
      <c r="AU407" s="286"/>
      <c r="AV407" s="286"/>
      <c r="AW407" s="286"/>
      <c r="AX407" s="286"/>
      <c r="AY407" s="286"/>
      <c r="AZ407" s="286"/>
      <c r="BA407" s="286"/>
      <c r="BB407" s="286"/>
      <c r="BC407" s="286"/>
      <c r="BD407" s="286"/>
      <c r="BE407" s="286"/>
      <c r="BF407" s="286"/>
      <c r="BG407" s="286"/>
      <c r="BH407" s="286"/>
      <c r="BI407" s="286"/>
      <c r="BJ407" s="286"/>
      <c r="BK407" s="286"/>
      <c r="BL407" s="286"/>
      <c r="BM407" s="286"/>
      <c r="BN407" s="286"/>
      <c r="BO407" s="286"/>
      <c r="BP407" s="286"/>
      <c r="BQ407" s="286"/>
      <c r="BR407" s="286"/>
      <c r="BS407" s="286"/>
      <c r="BT407" s="286"/>
      <c r="BU407" s="286"/>
      <c r="BV407" s="286"/>
      <c r="BW407" s="286"/>
      <c r="BX407" s="286"/>
      <c r="BY407" s="286"/>
      <c r="BZ407" s="286"/>
      <c r="CA407" s="286"/>
      <c r="CB407" s="286"/>
      <c r="CC407" s="286"/>
      <c r="CD407" s="286"/>
      <c r="CE407" s="286"/>
      <c r="CF407" s="286"/>
      <c r="CG407" s="286"/>
      <c r="CH407" s="286"/>
      <c r="CI407" s="286"/>
      <c r="CJ407" s="286"/>
      <c r="CK407" s="286"/>
      <c r="CL407" s="286"/>
      <c r="CM407" s="286"/>
      <c r="CN407" s="286"/>
      <c r="CO407" s="286"/>
      <c r="CP407" s="286"/>
      <c r="CQ407" s="286"/>
      <c r="CR407" s="286"/>
      <c r="CS407" s="286"/>
      <c r="CT407" s="286"/>
      <c r="CU407" s="286"/>
      <c r="CV407" s="286"/>
      <c r="CW407" s="286"/>
      <c r="CX407" s="286"/>
      <c r="CY407" s="286"/>
      <c r="CZ407" s="286"/>
      <c r="DA407" s="286"/>
      <c r="DB407" s="286"/>
      <c r="DC407" s="286"/>
      <c r="DD407" s="286"/>
      <c r="DE407" s="286"/>
      <c r="DF407" s="286"/>
      <c r="DG407" s="286"/>
      <c r="DH407" s="286"/>
      <c r="DI407" s="286"/>
      <c r="DJ407" s="286"/>
      <c r="DK407" s="286"/>
      <c r="DL407" s="286"/>
      <c r="DM407" s="286"/>
      <c r="DN407" s="286"/>
      <c r="DO407" s="286"/>
      <c r="DP407" s="286"/>
      <c r="DQ407" s="286"/>
      <c r="DR407" s="286"/>
      <c r="DS407" s="286"/>
      <c r="DT407" s="286"/>
      <c r="DU407" s="286"/>
      <c r="DV407" s="286"/>
      <c r="DW407" s="286"/>
      <c r="DX407" s="286"/>
      <c r="DY407" s="286"/>
      <c r="DZ407" s="286"/>
      <c r="EA407" s="286"/>
      <c r="EB407" s="286"/>
      <c r="EC407" s="286"/>
      <c r="ED407" s="286"/>
      <c r="EE407" s="286"/>
      <c r="EF407" s="286"/>
      <c r="EG407" s="286"/>
      <c r="EH407" s="286"/>
      <c r="EI407" s="286"/>
      <c r="EJ407" s="286"/>
      <c r="EK407" s="286"/>
      <c r="EL407" s="286"/>
      <c r="EM407" s="286"/>
      <c r="EN407" s="286"/>
      <c r="EO407" s="286"/>
      <c r="EP407" s="286"/>
      <c r="EQ407" s="286"/>
      <c r="ER407" s="286"/>
      <c r="ES407" s="286"/>
      <c r="ET407" s="286"/>
      <c r="EU407" s="286"/>
      <c r="EV407" s="286"/>
      <c r="EW407" s="286"/>
      <c r="EX407" s="286"/>
      <c r="EY407" s="286"/>
      <c r="EZ407" s="286"/>
      <c r="FA407" s="286"/>
      <c r="FB407" s="286"/>
      <c r="FC407" s="286"/>
      <c r="FD407" s="286"/>
      <c r="FE407" s="286"/>
      <c r="FF407" s="286"/>
      <c r="FG407" s="286"/>
      <c r="FH407" s="286"/>
      <c r="FI407" s="286"/>
      <c r="FJ407" s="286"/>
      <c r="FK407" s="286"/>
      <c r="FL407" s="286"/>
      <c r="FM407" s="286"/>
      <c r="FN407" s="286"/>
      <c r="FO407" s="286"/>
      <c r="FP407" s="286"/>
      <c r="FQ407" s="286"/>
      <c r="FR407" s="286"/>
      <c r="FS407" s="286"/>
    </row>
    <row r="408" spans="1:175">
      <c r="A408" s="212" t="s">
        <v>3159</v>
      </c>
      <c r="B408" s="212" t="s">
        <v>3160</v>
      </c>
      <c r="C408" s="212" t="s">
        <v>3432</v>
      </c>
      <c r="D408" s="212" t="s">
        <v>3537</v>
      </c>
      <c r="E408" s="212" t="s">
        <v>3578</v>
      </c>
      <c r="F408" s="278">
        <v>3321</v>
      </c>
      <c r="G408" s="278">
        <v>20572</v>
      </c>
      <c r="H408" s="287">
        <f t="shared" si="6"/>
        <v>4.3846004277658954</v>
      </c>
      <c r="I408" s="286">
        <v>149</v>
      </c>
      <c r="J408" s="286">
        <v>902</v>
      </c>
      <c r="K408" s="286">
        <v>536</v>
      </c>
      <c r="L408" s="286">
        <v>366</v>
      </c>
      <c r="M408" s="286">
        <v>623</v>
      </c>
      <c r="N408" s="286">
        <v>331</v>
      </c>
      <c r="O408" s="286">
        <v>292</v>
      </c>
      <c r="P408" s="286">
        <v>149</v>
      </c>
      <c r="Q408" s="286">
        <v>902</v>
      </c>
      <c r="R408" s="286">
        <v>536</v>
      </c>
      <c r="S408" s="286">
        <v>366</v>
      </c>
      <c r="T408" s="286">
        <v>623</v>
      </c>
      <c r="U408" s="286">
        <v>331</v>
      </c>
      <c r="V408" s="286">
        <v>292</v>
      </c>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R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c r="BU408" s="286"/>
      <c r="BV408" s="286"/>
      <c r="BW408" s="286"/>
      <c r="BX408" s="286"/>
      <c r="BY408" s="286"/>
      <c r="BZ408" s="286"/>
      <c r="CA408" s="286"/>
      <c r="CB408" s="286"/>
      <c r="CC408" s="286"/>
      <c r="CD408" s="286"/>
      <c r="CE408" s="286"/>
      <c r="CF408" s="286"/>
      <c r="CG408" s="286"/>
      <c r="CH408" s="286"/>
      <c r="CI408" s="286"/>
      <c r="CJ408" s="286"/>
      <c r="CK408" s="286"/>
      <c r="CL408" s="286"/>
      <c r="CM408" s="286"/>
      <c r="CN408" s="286"/>
      <c r="CO408" s="286"/>
      <c r="CP408" s="286"/>
      <c r="CQ408" s="286"/>
      <c r="CR408" s="286"/>
      <c r="CS408" s="286"/>
      <c r="CT408" s="286"/>
      <c r="CU408" s="286"/>
      <c r="CV408" s="286"/>
      <c r="CW408" s="286"/>
      <c r="CX408" s="286"/>
      <c r="CY408" s="286"/>
      <c r="CZ408" s="286"/>
      <c r="DA408" s="286"/>
      <c r="DB408" s="286"/>
      <c r="DC408" s="286"/>
      <c r="DD408" s="286"/>
      <c r="DE408" s="286"/>
      <c r="DF408" s="286"/>
      <c r="DG408" s="286"/>
      <c r="DH408" s="286"/>
      <c r="DI408" s="286"/>
      <c r="DJ408" s="286"/>
      <c r="DK408" s="286"/>
      <c r="DL408" s="286"/>
      <c r="DM408" s="286"/>
      <c r="DN408" s="286"/>
      <c r="DO408" s="286"/>
      <c r="DP408" s="286"/>
      <c r="DQ408" s="286"/>
      <c r="DR408" s="286"/>
      <c r="DS408" s="286"/>
      <c r="DT408" s="286"/>
      <c r="DU408" s="286"/>
      <c r="DV408" s="286"/>
      <c r="DW408" s="286"/>
      <c r="DX408" s="286"/>
      <c r="DY408" s="286"/>
      <c r="DZ408" s="286"/>
      <c r="EA408" s="286"/>
      <c r="EB408" s="286"/>
      <c r="EC408" s="286"/>
      <c r="ED408" s="286"/>
      <c r="EE408" s="286"/>
      <c r="EF408" s="286"/>
      <c r="EG408" s="286"/>
      <c r="EH408" s="286"/>
      <c r="EI408" s="286"/>
      <c r="EJ408" s="286"/>
      <c r="EK408" s="286"/>
      <c r="EL408" s="286"/>
      <c r="EM408" s="286"/>
      <c r="EN408" s="286"/>
      <c r="EO408" s="286"/>
      <c r="EP408" s="286"/>
      <c r="EQ408" s="286"/>
      <c r="ER408" s="286"/>
      <c r="ES408" s="286"/>
      <c r="ET408" s="286"/>
      <c r="EU408" s="286"/>
      <c r="EV408" s="286"/>
      <c r="EW408" s="286"/>
      <c r="EX408" s="286"/>
      <c r="EY408" s="286"/>
      <c r="EZ408" s="286"/>
      <c r="FA408" s="286"/>
      <c r="FB408" s="286"/>
      <c r="FC408" s="286"/>
      <c r="FD408" s="286"/>
      <c r="FE408" s="286"/>
      <c r="FF408" s="286"/>
      <c r="FG408" s="286"/>
      <c r="FH408" s="286"/>
      <c r="FI408" s="286"/>
      <c r="FJ408" s="286"/>
      <c r="FK408" s="286"/>
      <c r="FL408" s="286"/>
      <c r="FM408" s="286"/>
      <c r="FN408" s="286"/>
      <c r="FO408" s="286"/>
      <c r="FP408" s="286"/>
      <c r="FQ408" s="286"/>
      <c r="FR408" s="286"/>
      <c r="FS408" s="286"/>
    </row>
    <row r="409" spans="1:175">
      <c r="A409" s="212" t="s">
        <v>3159</v>
      </c>
      <c r="B409" s="212" t="s">
        <v>3160</v>
      </c>
      <c r="C409" s="212" t="s">
        <v>3432</v>
      </c>
      <c r="D409" s="212" t="s">
        <v>3537</v>
      </c>
      <c r="E409" s="212" t="s">
        <v>3579</v>
      </c>
      <c r="F409" s="278">
        <v>42268</v>
      </c>
      <c r="G409" s="278">
        <v>372654</v>
      </c>
      <c r="H409" s="287">
        <f t="shared" si="6"/>
        <v>3.1382998706575003</v>
      </c>
      <c r="I409" s="286">
        <v>1504</v>
      </c>
      <c r="J409" s="286">
        <v>11695</v>
      </c>
      <c r="K409" s="286">
        <v>6646</v>
      </c>
      <c r="L409" s="286">
        <v>5043</v>
      </c>
      <c r="M409" s="286">
        <v>9562</v>
      </c>
      <c r="N409" s="286">
        <v>5160</v>
      </c>
      <c r="O409" s="286">
        <v>4396</v>
      </c>
      <c r="P409" s="286">
        <v>1504</v>
      </c>
      <c r="Q409" s="286">
        <v>11695</v>
      </c>
      <c r="R409" s="286">
        <v>6646</v>
      </c>
      <c r="S409" s="286">
        <v>5043</v>
      </c>
      <c r="T409" s="286">
        <v>9562</v>
      </c>
      <c r="U409" s="286">
        <v>5160</v>
      </c>
      <c r="V409" s="286">
        <v>4396</v>
      </c>
      <c r="W409" s="286"/>
      <c r="X409" s="286"/>
      <c r="Y409" s="286"/>
      <c r="Z409" s="286"/>
      <c r="AA409" s="286"/>
      <c r="AB409" s="286"/>
      <c r="AC409" s="286"/>
      <c r="AD409" s="286"/>
      <c r="AE409" s="286"/>
      <c r="AF409" s="286"/>
      <c r="AG409" s="286"/>
      <c r="AH409" s="286"/>
      <c r="AI409" s="286"/>
      <c r="AJ409" s="286"/>
      <c r="AK409" s="286"/>
      <c r="AL409" s="286"/>
      <c r="AM409" s="286"/>
      <c r="AN409" s="286"/>
      <c r="AO409" s="286"/>
      <c r="AP409" s="286"/>
      <c r="AQ409" s="286"/>
      <c r="AR409" s="286"/>
      <c r="AS409" s="286"/>
      <c r="AT409" s="286"/>
      <c r="AU409" s="286"/>
      <c r="AV409" s="286"/>
      <c r="AW409" s="286"/>
      <c r="AX409" s="286"/>
      <c r="AY409" s="286"/>
      <c r="AZ409" s="286"/>
      <c r="BA409" s="286"/>
      <c r="BB409" s="286"/>
      <c r="BC409" s="286"/>
      <c r="BD409" s="286"/>
      <c r="BE409" s="286"/>
      <c r="BF409" s="286"/>
      <c r="BG409" s="286"/>
      <c r="BH409" s="286"/>
      <c r="BI409" s="286"/>
      <c r="BJ409" s="286"/>
      <c r="BK409" s="286"/>
      <c r="BL409" s="286"/>
      <c r="BM409" s="286"/>
      <c r="BN409" s="286"/>
      <c r="BO409" s="286"/>
      <c r="BP409" s="286"/>
      <c r="BQ409" s="286"/>
      <c r="BR409" s="286"/>
      <c r="BS409" s="286"/>
      <c r="BT409" s="286"/>
      <c r="BU409" s="286"/>
      <c r="BV409" s="286"/>
      <c r="BW409" s="286"/>
      <c r="BX409" s="286"/>
      <c r="BY409" s="286"/>
      <c r="BZ409" s="286"/>
      <c r="CA409" s="286"/>
      <c r="CB409" s="286"/>
      <c r="CC409" s="286"/>
      <c r="CD409" s="286"/>
      <c r="CE409" s="286"/>
      <c r="CF409" s="286"/>
      <c r="CG409" s="286"/>
      <c r="CH409" s="286"/>
      <c r="CI409" s="286"/>
      <c r="CJ409" s="286"/>
      <c r="CK409" s="286"/>
      <c r="CL409" s="286"/>
      <c r="CM409" s="286"/>
      <c r="CN409" s="286"/>
      <c r="CO409" s="286"/>
      <c r="CP409" s="286"/>
      <c r="CQ409" s="286"/>
      <c r="CR409" s="286"/>
      <c r="CS409" s="286"/>
      <c r="CT409" s="286"/>
      <c r="CU409" s="286"/>
      <c r="CV409" s="286"/>
      <c r="CW409" s="286"/>
      <c r="CX409" s="286"/>
      <c r="CY409" s="286"/>
      <c r="CZ409" s="286"/>
      <c r="DA409" s="286"/>
      <c r="DB409" s="286"/>
      <c r="DC409" s="286"/>
      <c r="DD409" s="286"/>
      <c r="DE409" s="286"/>
      <c r="DF409" s="286"/>
      <c r="DG409" s="286"/>
      <c r="DH409" s="286"/>
      <c r="DI409" s="286"/>
      <c r="DJ409" s="286"/>
      <c r="DK409" s="286"/>
      <c r="DL409" s="286"/>
      <c r="DM409" s="286"/>
      <c r="DN409" s="286"/>
      <c r="DO409" s="286"/>
      <c r="DP409" s="286"/>
      <c r="DQ409" s="286"/>
      <c r="DR409" s="286"/>
      <c r="DS409" s="286"/>
      <c r="DT409" s="286"/>
      <c r="DU409" s="286"/>
      <c r="DV409" s="286"/>
      <c r="DW409" s="286"/>
      <c r="DX409" s="286"/>
      <c r="DY409" s="286"/>
      <c r="DZ409" s="286"/>
      <c r="EA409" s="286"/>
      <c r="EB409" s="286"/>
      <c r="EC409" s="286"/>
      <c r="ED409" s="286"/>
      <c r="EE409" s="286"/>
      <c r="EF409" s="286"/>
      <c r="EG409" s="286"/>
      <c r="EH409" s="286"/>
      <c r="EI409" s="286"/>
      <c r="EJ409" s="286"/>
      <c r="EK409" s="286"/>
      <c r="EL409" s="286"/>
      <c r="EM409" s="286"/>
      <c r="EN409" s="286"/>
      <c r="EO409" s="286"/>
      <c r="EP409" s="286"/>
      <c r="EQ409" s="286"/>
      <c r="ER409" s="286"/>
      <c r="ES409" s="286"/>
      <c r="ET409" s="286"/>
      <c r="EU409" s="286"/>
      <c r="EV409" s="286"/>
      <c r="EW409" s="286"/>
      <c r="EX409" s="286"/>
      <c r="EY409" s="286"/>
      <c r="EZ409" s="286"/>
      <c r="FA409" s="286"/>
      <c r="FB409" s="286"/>
      <c r="FC409" s="286"/>
      <c r="FD409" s="286"/>
      <c r="FE409" s="286"/>
      <c r="FF409" s="286"/>
      <c r="FG409" s="286"/>
      <c r="FH409" s="286"/>
      <c r="FI409" s="286"/>
      <c r="FJ409" s="286"/>
      <c r="FK409" s="286"/>
      <c r="FL409" s="286"/>
      <c r="FM409" s="286"/>
      <c r="FN409" s="286"/>
      <c r="FO409" s="286"/>
      <c r="FP409" s="286"/>
      <c r="FQ409" s="286"/>
      <c r="FR409" s="286"/>
      <c r="FS409" s="286"/>
    </row>
    <row r="410" spans="1:175">
      <c r="A410" s="212" t="s">
        <v>3159</v>
      </c>
      <c r="B410" s="212" t="s">
        <v>3160</v>
      </c>
      <c r="C410" s="212" t="s">
        <v>3459</v>
      </c>
      <c r="D410" s="212" t="s">
        <v>3580</v>
      </c>
      <c r="E410" s="212" t="s">
        <v>3581</v>
      </c>
      <c r="F410" s="278">
        <v>880078</v>
      </c>
      <c r="G410" s="278">
        <v>7711184</v>
      </c>
      <c r="H410" s="287">
        <f t="shared" si="6"/>
        <v>4.1547316209806429</v>
      </c>
      <c r="I410" s="286">
        <v>35887</v>
      </c>
      <c r="J410" s="286">
        <v>320379</v>
      </c>
      <c r="K410" s="286">
        <v>125006</v>
      </c>
      <c r="L410" s="286">
        <v>190634</v>
      </c>
      <c r="M410" s="286">
        <v>281583</v>
      </c>
      <c r="N410" s="286">
        <v>102530</v>
      </c>
      <c r="O410" s="286">
        <v>174323</v>
      </c>
      <c r="P410" s="286">
        <v>35887</v>
      </c>
      <c r="Q410" s="286">
        <v>320379</v>
      </c>
      <c r="R410" s="286">
        <v>125006</v>
      </c>
      <c r="S410" s="286">
        <v>190634</v>
      </c>
      <c r="T410" s="286">
        <v>281583</v>
      </c>
      <c r="U410" s="286">
        <v>102530</v>
      </c>
      <c r="V410" s="286">
        <v>174323</v>
      </c>
      <c r="W410" s="286"/>
      <c r="X410" s="286"/>
      <c r="Y410" s="286"/>
      <c r="Z410" s="286"/>
      <c r="AA410" s="286"/>
      <c r="AB410" s="286"/>
      <c r="AC410" s="286"/>
      <c r="AD410" s="286"/>
      <c r="AE410" s="286"/>
      <c r="AF410" s="286"/>
      <c r="AG410" s="286"/>
      <c r="AH410" s="286"/>
      <c r="AI410" s="286"/>
      <c r="AJ410" s="286"/>
      <c r="AK410" s="286"/>
      <c r="AL410" s="286"/>
      <c r="AM410" s="286"/>
      <c r="AN410" s="286"/>
      <c r="AO410" s="286"/>
      <c r="AP410" s="286"/>
      <c r="AQ410" s="286"/>
      <c r="AR410" s="286"/>
      <c r="AS410" s="286"/>
      <c r="AT410" s="286"/>
      <c r="AU410" s="286"/>
      <c r="AV410" s="286"/>
      <c r="AW410" s="286"/>
      <c r="AX410" s="286"/>
      <c r="AY410" s="286"/>
      <c r="AZ410" s="286"/>
      <c r="BA410" s="286"/>
      <c r="BB410" s="286"/>
      <c r="BC410" s="286"/>
      <c r="BD410" s="286"/>
      <c r="BE410" s="286"/>
      <c r="BF410" s="286"/>
      <c r="BG410" s="286"/>
      <c r="BH410" s="286"/>
      <c r="BI410" s="286"/>
      <c r="BJ410" s="286"/>
      <c r="BK410" s="286"/>
      <c r="BL410" s="286"/>
      <c r="BM410" s="286"/>
      <c r="BN410" s="286"/>
      <c r="BO410" s="286"/>
      <c r="BP410" s="286"/>
      <c r="BQ410" s="286"/>
      <c r="BR410" s="286"/>
      <c r="BS410" s="286"/>
      <c r="BT410" s="286"/>
      <c r="BU410" s="286"/>
      <c r="BV410" s="286"/>
      <c r="BW410" s="286"/>
      <c r="BX410" s="286"/>
      <c r="BY410" s="286"/>
      <c r="BZ410" s="286"/>
      <c r="CA410" s="286"/>
      <c r="CB410" s="286"/>
      <c r="CC410" s="286"/>
      <c r="CD410" s="286"/>
      <c r="CE410" s="286"/>
      <c r="CF410" s="286"/>
      <c r="CG410" s="286"/>
      <c r="CH410" s="286"/>
      <c r="CI410" s="286"/>
      <c r="CJ410" s="286"/>
      <c r="CK410" s="286"/>
      <c r="CL410" s="286"/>
      <c r="CM410" s="286"/>
      <c r="CN410" s="286"/>
      <c r="CO410" s="286"/>
      <c r="CP410" s="286"/>
      <c r="CQ410" s="286"/>
      <c r="CR410" s="286"/>
      <c r="CS410" s="286"/>
      <c r="CT410" s="286"/>
      <c r="CU410" s="286"/>
      <c r="CV410" s="286"/>
      <c r="CW410" s="286"/>
      <c r="CX410" s="286"/>
      <c r="CY410" s="286"/>
      <c r="CZ410" s="286"/>
      <c r="DA410" s="286"/>
      <c r="DB410" s="286"/>
      <c r="DC410" s="286"/>
      <c r="DD410" s="286"/>
      <c r="DE410" s="286"/>
      <c r="DF410" s="286"/>
      <c r="DG410" s="286"/>
      <c r="DH410" s="286"/>
      <c r="DI410" s="286"/>
      <c r="DJ410" s="286"/>
      <c r="DK410" s="286"/>
      <c r="DL410" s="286"/>
      <c r="DM410" s="286"/>
      <c r="DN410" s="286"/>
      <c r="DO410" s="286"/>
      <c r="DP410" s="286"/>
      <c r="DQ410" s="286"/>
      <c r="DR410" s="286"/>
      <c r="DS410" s="286"/>
      <c r="DT410" s="286"/>
      <c r="DU410" s="286"/>
      <c r="DV410" s="286"/>
      <c r="DW410" s="286"/>
      <c r="DX410" s="286"/>
      <c r="DY410" s="286"/>
      <c r="DZ410" s="286"/>
      <c r="EA410" s="286"/>
      <c r="EB410" s="286"/>
      <c r="EC410" s="286"/>
      <c r="ED410" s="286"/>
      <c r="EE410" s="286"/>
      <c r="EF410" s="286"/>
      <c r="EG410" s="286"/>
      <c r="EH410" s="286"/>
      <c r="EI410" s="286"/>
      <c r="EJ410" s="286"/>
      <c r="EK410" s="286"/>
      <c r="EL410" s="286"/>
      <c r="EM410" s="286"/>
      <c r="EN410" s="286"/>
      <c r="EO410" s="286"/>
      <c r="EP410" s="286"/>
      <c r="EQ410" s="286"/>
      <c r="ER410" s="286"/>
      <c r="ES410" s="286"/>
      <c r="ET410" s="286"/>
      <c r="EU410" s="286"/>
      <c r="EV410" s="286"/>
      <c r="EW410" s="286"/>
      <c r="EX410" s="286"/>
      <c r="EY410" s="286"/>
      <c r="EZ410" s="286"/>
      <c r="FA410" s="286"/>
      <c r="FB410" s="286"/>
      <c r="FC410" s="286"/>
      <c r="FD410" s="286"/>
      <c r="FE410" s="286"/>
      <c r="FF410" s="286"/>
      <c r="FG410" s="286"/>
      <c r="FH410" s="286"/>
      <c r="FI410" s="286"/>
      <c r="FJ410" s="286"/>
      <c r="FK410" s="286"/>
      <c r="FL410" s="286"/>
      <c r="FM410" s="286"/>
      <c r="FN410" s="286"/>
      <c r="FO410" s="286"/>
      <c r="FP410" s="286"/>
      <c r="FQ410" s="286"/>
      <c r="FR410" s="286"/>
      <c r="FS410" s="286"/>
    </row>
    <row r="411" spans="1:175">
      <c r="A411" s="212" t="s">
        <v>3159</v>
      </c>
      <c r="B411" s="212" t="s">
        <v>3160</v>
      </c>
      <c r="C411" s="212" t="s">
        <v>3170</v>
      </c>
      <c r="D411" s="212" t="s">
        <v>3580</v>
      </c>
      <c r="E411" s="212" t="s">
        <v>3582</v>
      </c>
      <c r="F411" s="278">
        <v>2870</v>
      </c>
      <c r="G411" s="278">
        <v>292708</v>
      </c>
      <c r="H411" s="287">
        <f t="shared" si="6"/>
        <v>5.0036213564371312</v>
      </c>
      <c r="I411" s="286">
        <v>128</v>
      </c>
      <c r="J411" s="286">
        <v>14646</v>
      </c>
      <c r="K411" s="286">
        <v>3315</v>
      </c>
      <c r="L411" s="286">
        <v>11331</v>
      </c>
      <c r="M411" s="286">
        <v>14406</v>
      </c>
      <c r="N411" s="286">
        <v>3259</v>
      </c>
      <c r="O411" s="286">
        <v>11147</v>
      </c>
      <c r="P411" s="286">
        <v>128</v>
      </c>
      <c r="Q411" s="286">
        <v>14646</v>
      </c>
      <c r="R411" s="286">
        <v>3315</v>
      </c>
      <c r="S411" s="286">
        <v>11331</v>
      </c>
      <c r="T411" s="286">
        <v>14406</v>
      </c>
      <c r="U411" s="286">
        <v>3259</v>
      </c>
      <c r="V411" s="286">
        <v>11147</v>
      </c>
      <c r="W411" s="286"/>
      <c r="X411" s="286"/>
      <c r="Y411" s="286"/>
      <c r="Z411" s="286"/>
      <c r="AA411" s="286"/>
      <c r="AB411" s="286"/>
      <c r="AC411" s="286"/>
      <c r="AD411" s="286"/>
      <c r="AE411" s="286"/>
      <c r="AF411" s="286"/>
      <c r="AG411" s="286"/>
      <c r="AH411" s="286"/>
      <c r="AI411" s="286"/>
      <c r="AJ411" s="286"/>
      <c r="AK411" s="286"/>
      <c r="AL411" s="286"/>
      <c r="AM411" s="286"/>
      <c r="AN411" s="286"/>
      <c r="AO411" s="286"/>
      <c r="AP411" s="286"/>
      <c r="AQ411" s="286"/>
      <c r="AR411" s="286"/>
      <c r="AS411" s="286"/>
      <c r="AT411" s="286"/>
      <c r="AU411" s="286"/>
      <c r="AV411" s="286"/>
      <c r="AW411" s="286"/>
      <c r="AX411" s="286"/>
      <c r="AY411" s="286"/>
      <c r="AZ411" s="286"/>
      <c r="BA411" s="286"/>
      <c r="BB411" s="286"/>
      <c r="BC411" s="286"/>
      <c r="BD411" s="286"/>
      <c r="BE411" s="286"/>
      <c r="BF411" s="286"/>
      <c r="BG411" s="286"/>
      <c r="BH411" s="286"/>
      <c r="BI411" s="286"/>
      <c r="BJ411" s="286"/>
      <c r="BK411" s="286"/>
      <c r="BL411" s="286"/>
      <c r="BM411" s="286"/>
      <c r="BN411" s="286"/>
      <c r="BO411" s="286"/>
      <c r="BP411" s="286"/>
      <c r="BQ411" s="286"/>
      <c r="BR411" s="286"/>
      <c r="BS411" s="286"/>
      <c r="BT411" s="286"/>
      <c r="BU411" s="286"/>
      <c r="BV411" s="286"/>
      <c r="BW411" s="286"/>
      <c r="BX411" s="286"/>
      <c r="BY411" s="286"/>
      <c r="BZ411" s="286"/>
      <c r="CA411" s="286"/>
      <c r="CB411" s="286"/>
      <c r="CC411" s="286"/>
      <c r="CD411" s="286"/>
      <c r="CE411" s="286"/>
      <c r="CF411" s="286"/>
      <c r="CG411" s="286"/>
      <c r="CH411" s="286"/>
      <c r="CI411" s="286"/>
      <c r="CJ411" s="286"/>
      <c r="CK411" s="286"/>
      <c r="CL411" s="286"/>
      <c r="CM411" s="286"/>
      <c r="CN411" s="286"/>
      <c r="CO411" s="286"/>
      <c r="CP411" s="286"/>
      <c r="CQ411" s="286"/>
      <c r="CR411" s="286"/>
      <c r="CS411" s="286"/>
      <c r="CT411" s="286"/>
      <c r="CU411" s="286"/>
      <c r="CV411" s="286"/>
      <c r="CW411" s="286"/>
      <c r="CX411" s="286"/>
      <c r="CY411" s="286"/>
      <c r="CZ411" s="286"/>
      <c r="DA411" s="286"/>
      <c r="DB411" s="286"/>
      <c r="DC411" s="286"/>
      <c r="DD411" s="286"/>
      <c r="DE411" s="286"/>
      <c r="DF411" s="286"/>
      <c r="DG411" s="286"/>
      <c r="DH411" s="286"/>
      <c r="DI411" s="286"/>
      <c r="DJ411" s="286"/>
      <c r="DK411" s="286"/>
      <c r="DL411" s="286"/>
      <c r="DM411" s="286"/>
      <c r="DN411" s="286"/>
      <c r="DO411" s="286"/>
      <c r="DP411" s="286"/>
      <c r="DQ411" s="286"/>
      <c r="DR411" s="286"/>
      <c r="DS411" s="286"/>
      <c r="DT411" s="286"/>
      <c r="DU411" s="286"/>
      <c r="DV411" s="286"/>
      <c r="DW411" s="286"/>
      <c r="DX411" s="286"/>
      <c r="DY411" s="286"/>
      <c r="DZ411" s="286"/>
      <c r="EA411" s="286"/>
      <c r="EB411" s="286"/>
      <c r="EC411" s="286"/>
      <c r="ED411" s="286"/>
      <c r="EE411" s="286"/>
      <c r="EF411" s="286"/>
      <c r="EG411" s="286"/>
      <c r="EH411" s="286"/>
      <c r="EI411" s="286"/>
      <c r="EJ411" s="286"/>
      <c r="EK411" s="286"/>
      <c r="EL411" s="286"/>
      <c r="EM411" s="286"/>
      <c r="EN411" s="286"/>
      <c r="EO411" s="286"/>
      <c r="EP411" s="286"/>
      <c r="EQ411" s="286"/>
      <c r="ER411" s="286"/>
      <c r="ES411" s="286"/>
      <c r="ET411" s="286"/>
      <c r="EU411" s="286"/>
      <c r="EV411" s="286"/>
      <c r="EW411" s="286"/>
      <c r="EX411" s="286"/>
      <c r="EY411" s="286"/>
      <c r="EZ411" s="286"/>
      <c r="FA411" s="286"/>
      <c r="FB411" s="286"/>
      <c r="FC411" s="286"/>
      <c r="FD411" s="286"/>
      <c r="FE411" s="286"/>
      <c r="FF411" s="286"/>
      <c r="FG411" s="286"/>
      <c r="FH411" s="286"/>
      <c r="FI411" s="286"/>
      <c r="FJ411" s="286"/>
      <c r="FK411" s="286"/>
      <c r="FL411" s="286"/>
      <c r="FM411" s="286"/>
      <c r="FN411" s="286"/>
      <c r="FO411" s="286"/>
      <c r="FP411" s="286"/>
      <c r="FQ411" s="286"/>
      <c r="FR411" s="286"/>
      <c r="FS411" s="286"/>
    </row>
    <row r="412" spans="1:175">
      <c r="A412" s="212" t="s">
        <v>3159</v>
      </c>
      <c r="B412" s="212" t="s">
        <v>3160</v>
      </c>
      <c r="C412" s="212" t="s">
        <v>3172</v>
      </c>
      <c r="D412" s="212" t="s">
        <v>3580</v>
      </c>
      <c r="E412" s="212" t="s">
        <v>3583</v>
      </c>
      <c r="F412" s="278">
        <v>121</v>
      </c>
      <c r="G412" s="278">
        <v>20371</v>
      </c>
      <c r="H412" s="287">
        <f t="shared" si="6"/>
        <v>4.9089391782435815E-3</v>
      </c>
      <c r="I412" s="286">
        <v>1</v>
      </c>
      <c r="J412" s="286">
        <v>1</v>
      </c>
      <c r="K412" s="286">
        <v>1</v>
      </c>
      <c r="L412" s="286">
        <v>0</v>
      </c>
      <c r="M412" s="286">
        <v>1</v>
      </c>
      <c r="N412" s="286">
        <v>1</v>
      </c>
      <c r="O412" s="286">
        <v>0</v>
      </c>
      <c r="P412" s="286">
        <v>1</v>
      </c>
      <c r="Q412" s="286">
        <v>1</v>
      </c>
      <c r="R412" s="286">
        <v>1</v>
      </c>
      <c r="S412" s="286">
        <v>0</v>
      </c>
      <c r="T412" s="286">
        <v>1</v>
      </c>
      <c r="U412" s="286">
        <v>1</v>
      </c>
      <c r="V412" s="286">
        <v>0</v>
      </c>
      <c r="W412" s="286"/>
      <c r="X412" s="286"/>
      <c r="Y412" s="286"/>
      <c r="Z412" s="286"/>
      <c r="AA412" s="286"/>
      <c r="AB412" s="286"/>
      <c r="AC412" s="286"/>
      <c r="AD412" s="286"/>
      <c r="AE412" s="286"/>
      <c r="AF412" s="286"/>
      <c r="AG412" s="286"/>
      <c r="AH412" s="286"/>
      <c r="AI412" s="286"/>
      <c r="AJ412" s="286"/>
      <c r="AK412" s="286"/>
      <c r="AL412" s="286"/>
      <c r="AM412" s="286"/>
      <c r="AN412" s="286"/>
      <c r="AO412" s="286"/>
      <c r="AP412" s="286"/>
      <c r="AQ412" s="286"/>
      <c r="AR412" s="286"/>
      <c r="AS412" s="286"/>
      <c r="AT412" s="286"/>
      <c r="AU412" s="286"/>
      <c r="AV412" s="286"/>
      <c r="AW412" s="286"/>
      <c r="AX412" s="286"/>
      <c r="AY412" s="286"/>
      <c r="AZ412" s="286"/>
      <c r="BA412" s="286"/>
      <c r="BB412" s="286"/>
      <c r="BC412" s="286"/>
      <c r="BD412" s="286"/>
      <c r="BE412" s="286"/>
      <c r="BF412" s="286"/>
      <c r="BG412" s="286"/>
      <c r="BH412" s="286"/>
      <c r="BI412" s="286"/>
      <c r="BJ412" s="286"/>
      <c r="BK412" s="286"/>
      <c r="BL412" s="286"/>
      <c r="BM412" s="286"/>
      <c r="BN412" s="286"/>
      <c r="BO412" s="286"/>
      <c r="BP412" s="286"/>
      <c r="BQ412" s="286"/>
      <c r="BR412" s="286"/>
      <c r="BS412" s="286"/>
      <c r="BT412" s="286"/>
      <c r="BU412" s="286"/>
      <c r="BV412" s="286"/>
      <c r="BW412" s="286"/>
      <c r="BX412" s="286"/>
      <c r="BY412" s="286"/>
      <c r="BZ412" s="286"/>
      <c r="CA412" s="286"/>
      <c r="CB412" s="286"/>
      <c r="CC412" s="286"/>
      <c r="CD412" s="286"/>
      <c r="CE412" s="286"/>
      <c r="CF412" s="286"/>
      <c r="CG412" s="286"/>
      <c r="CH412" s="286"/>
      <c r="CI412" s="286"/>
      <c r="CJ412" s="286"/>
      <c r="CK412" s="286"/>
      <c r="CL412" s="286"/>
      <c r="CM412" s="286"/>
      <c r="CN412" s="286"/>
      <c r="CO412" s="286"/>
      <c r="CP412" s="286"/>
      <c r="CQ412" s="286"/>
      <c r="CR412" s="286"/>
      <c r="CS412" s="286"/>
      <c r="CT412" s="286"/>
      <c r="CU412" s="286"/>
      <c r="CV412" s="286"/>
      <c r="CW412" s="286"/>
      <c r="CX412" s="286"/>
      <c r="CY412" s="286"/>
      <c r="CZ412" s="286"/>
      <c r="DA412" s="286"/>
      <c r="DB412" s="286"/>
      <c r="DC412" s="286"/>
      <c r="DD412" s="286"/>
      <c r="DE412" s="286"/>
      <c r="DF412" s="286"/>
      <c r="DG412" s="286"/>
      <c r="DH412" s="286"/>
      <c r="DI412" s="286"/>
      <c r="DJ412" s="286"/>
      <c r="DK412" s="286"/>
      <c r="DL412" s="286"/>
      <c r="DM412" s="286"/>
      <c r="DN412" s="286"/>
      <c r="DO412" s="286"/>
      <c r="DP412" s="286"/>
      <c r="DQ412" s="286"/>
      <c r="DR412" s="286"/>
      <c r="DS412" s="286"/>
      <c r="DT412" s="286"/>
      <c r="DU412" s="286"/>
      <c r="DV412" s="286"/>
      <c r="DW412" s="286"/>
      <c r="DX412" s="286"/>
      <c r="DY412" s="286"/>
      <c r="DZ412" s="286"/>
      <c r="EA412" s="286"/>
      <c r="EB412" s="286"/>
      <c r="EC412" s="286"/>
      <c r="ED412" s="286"/>
      <c r="EE412" s="286"/>
      <c r="EF412" s="286"/>
      <c r="EG412" s="286"/>
      <c r="EH412" s="286"/>
      <c r="EI412" s="286"/>
      <c r="EJ412" s="286"/>
      <c r="EK412" s="286"/>
      <c r="EL412" s="286"/>
      <c r="EM412" s="286"/>
      <c r="EN412" s="286"/>
      <c r="EO412" s="286"/>
      <c r="EP412" s="286"/>
      <c r="EQ412" s="286"/>
      <c r="ER412" s="286"/>
      <c r="ES412" s="286"/>
      <c r="ET412" s="286"/>
      <c r="EU412" s="286"/>
      <c r="EV412" s="286"/>
      <c r="EW412" s="286"/>
      <c r="EX412" s="286"/>
      <c r="EY412" s="286"/>
      <c r="EZ412" s="286"/>
      <c r="FA412" s="286"/>
      <c r="FB412" s="286"/>
      <c r="FC412" s="286"/>
      <c r="FD412" s="286"/>
      <c r="FE412" s="286"/>
      <c r="FF412" s="286"/>
      <c r="FG412" s="286"/>
      <c r="FH412" s="286"/>
      <c r="FI412" s="286"/>
      <c r="FJ412" s="286"/>
      <c r="FK412" s="286"/>
      <c r="FL412" s="286"/>
      <c r="FM412" s="286"/>
      <c r="FN412" s="286"/>
      <c r="FO412" s="286"/>
      <c r="FP412" s="286"/>
      <c r="FQ412" s="286"/>
      <c r="FR412" s="286"/>
      <c r="FS412" s="286"/>
    </row>
    <row r="413" spans="1:175">
      <c r="A413" s="212" t="s">
        <v>3159</v>
      </c>
      <c r="B413" s="212" t="s">
        <v>3160</v>
      </c>
      <c r="C413" s="212" t="s">
        <v>3172</v>
      </c>
      <c r="D413" s="212" t="s">
        <v>3580</v>
      </c>
      <c r="E413" s="212" t="s">
        <v>3584</v>
      </c>
      <c r="F413" s="278">
        <v>1097</v>
      </c>
      <c r="G413" s="278">
        <v>250147</v>
      </c>
      <c r="H413" s="287">
        <f t="shared" si="6"/>
        <v>5.455991876776455</v>
      </c>
      <c r="I413" s="286">
        <v>56</v>
      </c>
      <c r="J413" s="286">
        <v>13648</v>
      </c>
      <c r="K413" s="286">
        <v>3107</v>
      </c>
      <c r="L413" s="286">
        <v>10541</v>
      </c>
      <c r="M413" s="286">
        <v>13465</v>
      </c>
      <c r="N413" s="286">
        <v>3070</v>
      </c>
      <c r="O413" s="286">
        <v>10395</v>
      </c>
      <c r="P413" s="286">
        <v>56</v>
      </c>
      <c r="Q413" s="286">
        <v>13648</v>
      </c>
      <c r="R413" s="286">
        <v>3107</v>
      </c>
      <c r="S413" s="286">
        <v>10541</v>
      </c>
      <c r="T413" s="286">
        <v>13465</v>
      </c>
      <c r="U413" s="286">
        <v>3070</v>
      </c>
      <c r="V413" s="286">
        <v>10395</v>
      </c>
      <c r="W413" s="286"/>
      <c r="X413" s="286"/>
      <c r="Y413" s="286"/>
      <c r="Z413" s="286"/>
      <c r="AA413" s="286"/>
      <c r="AB413" s="286"/>
      <c r="AC413" s="286"/>
      <c r="AD413" s="286"/>
      <c r="AE413" s="286"/>
      <c r="AF413" s="286"/>
      <c r="AG413" s="286"/>
      <c r="AH413" s="286"/>
      <c r="AI413" s="286"/>
      <c r="AJ413" s="286"/>
      <c r="AK413" s="286"/>
      <c r="AL413" s="286"/>
      <c r="AM413" s="286"/>
      <c r="AN413" s="286"/>
      <c r="AO413" s="286"/>
      <c r="AP413" s="286"/>
      <c r="AQ413" s="286"/>
      <c r="AR413" s="286"/>
      <c r="AS413" s="286"/>
      <c r="AT413" s="286"/>
      <c r="AU413" s="286"/>
      <c r="AV413" s="286"/>
      <c r="AW413" s="286"/>
      <c r="AX413" s="286"/>
      <c r="AY413" s="286"/>
      <c r="AZ413" s="286"/>
      <c r="BA413" s="286"/>
      <c r="BB413" s="286"/>
      <c r="BC413" s="286"/>
      <c r="BD413" s="286"/>
      <c r="BE413" s="286"/>
      <c r="BF413" s="286"/>
      <c r="BG413" s="286"/>
      <c r="BH413" s="286"/>
      <c r="BI413" s="286"/>
      <c r="BJ413" s="286"/>
      <c r="BK413" s="286"/>
      <c r="BL413" s="286"/>
      <c r="BM413" s="286"/>
      <c r="BN413" s="286"/>
      <c r="BO413" s="286"/>
      <c r="BP413" s="286"/>
      <c r="BQ413" s="286"/>
      <c r="BR413" s="286"/>
      <c r="BS413" s="286"/>
      <c r="BT413" s="286"/>
      <c r="BU413" s="286"/>
      <c r="BV413" s="286"/>
      <c r="BW413" s="286"/>
      <c r="BX413" s="286"/>
      <c r="BY413" s="286"/>
      <c r="BZ413" s="286"/>
      <c r="CA413" s="286"/>
      <c r="CB413" s="286"/>
      <c r="CC413" s="286"/>
      <c r="CD413" s="286"/>
      <c r="CE413" s="286"/>
      <c r="CF413" s="286"/>
      <c r="CG413" s="286"/>
      <c r="CH413" s="286"/>
      <c r="CI413" s="286"/>
      <c r="CJ413" s="286"/>
      <c r="CK413" s="286"/>
      <c r="CL413" s="286"/>
      <c r="CM413" s="286"/>
      <c r="CN413" s="286"/>
      <c r="CO413" s="286"/>
      <c r="CP413" s="286"/>
      <c r="CQ413" s="286"/>
      <c r="CR413" s="286"/>
      <c r="CS413" s="286"/>
      <c r="CT413" s="286"/>
      <c r="CU413" s="286"/>
      <c r="CV413" s="286"/>
      <c r="CW413" s="286"/>
      <c r="CX413" s="286"/>
      <c r="CY413" s="286"/>
      <c r="CZ413" s="286"/>
      <c r="DA413" s="286"/>
      <c r="DB413" s="286"/>
      <c r="DC413" s="286"/>
      <c r="DD413" s="286"/>
      <c r="DE413" s="286"/>
      <c r="DF413" s="286"/>
      <c r="DG413" s="286"/>
      <c r="DH413" s="286"/>
      <c r="DI413" s="286"/>
      <c r="DJ413" s="286"/>
      <c r="DK413" s="286"/>
      <c r="DL413" s="286"/>
      <c r="DM413" s="286"/>
      <c r="DN413" s="286"/>
      <c r="DO413" s="286"/>
      <c r="DP413" s="286"/>
      <c r="DQ413" s="286"/>
      <c r="DR413" s="286"/>
      <c r="DS413" s="286"/>
      <c r="DT413" s="286"/>
      <c r="DU413" s="286"/>
      <c r="DV413" s="286"/>
      <c r="DW413" s="286"/>
      <c r="DX413" s="286"/>
      <c r="DY413" s="286"/>
      <c r="DZ413" s="286"/>
      <c r="EA413" s="286"/>
      <c r="EB413" s="286"/>
      <c r="EC413" s="286"/>
      <c r="ED413" s="286"/>
      <c r="EE413" s="286"/>
      <c r="EF413" s="286"/>
      <c r="EG413" s="286"/>
      <c r="EH413" s="286"/>
      <c r="EI413" s="286"/>
      <c r="EJ413" s="286"/>
      <c r="EK413" s="286"/>
      <c r="EL413" s="286"/>
      <c r="EM413" s="286"/>
      <c r="EN413" s="286"/>
      <c r="EO413" s="286"/>
      <c r="EP413" s="286"/>
      <c r="EQ413" s="286"/>
      <c r="ER413" s="286"/>
      <c r="ES413" s="286"/>
      <c r="ET413" s="286"/>
      <c r="EU413" s="286"/>
      <c r="EV413" s="286"/>
      <c r="EW413" s="286"/>
      <c r="EX413" s="286"/>
      <c r="EY413" s="286"/>
      <c r="EZ413" s="286"/>
      <c r="FA413" s="286"/>
      <c r="FB413" s="286"/>
      <c r="FC413" s="286"/>
      <c r="FD413" s="286"/>
      <c r="FE413" s="286"/>
      <c r="FF413" s="286"/>
      <c r="FG413" s="286"/>
      <c r="FH413" s="286"/>
      <c r="FI413" s="286"/>
      <c r="FJ413" s="286"/>
      <c r="FK413" s="286"/>
      <c r="FL413" s="286"/>
      <c r="FM413" s="286"/>
      <c r="FN413" s="286"/>
      <c r="FO413" s="286"/>
      <c r="FP413" s="286"/>
      <c r="FQ413" s="286"/>
      <c r="FR413" s="286"/>
      <c r="FS413" s="286"/>
    </row>
    <row r="414" spans="1:175">
      <c r="A414" s="212" t="s">
        <v>3159</v>
      </c>
      <c r="B414" s="212" t="s">
        <v>3160</v>
      </c>
      <c r="C414" s="212" t="s">
        <v>3172</v>
      </c>
      <c r="D414" s="212" t="s">
        <v>3580</v>
      </c>
      <c r="E414" s="212" t="s">
        <v>3585</v>
      </c>
      <c r="F414" s="278">
        <v>1652</v>
      </c>
      <c r="G414" s="278">
        <v>22190</v>
      </c>
      <c r="H414" s="287">
        <f t="shared" si="6"/>
        <v>4.4930148715637674</v>
      </c>
      <c r="I414" s="286">
        <v>71</v>
      </c>
      <c r="J414" s="286">
        <v>997</v>
      </c>
      <c r="K414" s="286">
        <v>207</v>
      </c>
      <c r="L414" s="286">
        <v>790</v>
      </c>
      <c r="M414" s="286">
        <v>940</v>
      </c>
      <c r="N414" s="286">
        <v>188</v>
      </c>
      <c r="O414" s="286">
        <v>752</v>
      </c>
      <c r="P414" s="286">
        <v>71</v>
      </c>
      <c r="Q414" s="286">
        <v>997</v>
      </c>
      <c r="R414" s="286">
        <v>207</v>
      </c>
      <c r="S414" s="286">
        <v>790</v>
      </c>
      <c r="T414" s="286">
        <v>940</v>
      </c>
      <c r="U414" s="286">
        <v>188</v>
      </c>
      <c r="V414" s="286">
        <v>752</v>
      </c>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R414" s="286"/>
      <c r="AS414" s="286"/>
      <c r="AT414" s="286"/>
      <c r="AU414" s="286"/>
      <c r="AV414" s="286"/>
      <c r="AW414" s="286"/>
      <c r="AX414" s="286"/>
      <c r="AY414" s="286"/>
      <c r="AZ414" s="286"/>
      <c r="BA414" s="286"/>
      <c r="BB414" s="286"/>
      <c r="BC414" s="286"/>
      <c r="BD414" s="286"/>
      <c r="BE414" s="286"/>
      <c r="BF414" s="286"/>
      <c r="BG414" s="286"/>
      <c r="BH414" s="286"/>
      <c r="BI414" s="286"/>
      <c r="BJ414" s="286"/>
      <c r="BK414" s="286"/>
      <c r="BL414" s="286"/>
      <c r="BM414" s="286"/>
      <c r="BN414" s="286"/>
      <c r="BO414" s="286"/>
      <c r="BP414" s="286"/>
      <c r="BQ414" s="286"/>
      <c r="BR414" s="286"/>
      <c r="BS414" s="286"/>
      <c r="BT414" s="286"/>
      <c r="BU414" s="286"/>
      <c r="BV414" s="286"/>
      <c r="BW414" s="286"/>
      <c r="BX414" s="286"/>
      <c r="BY414" s="286"/>
      <c r="BZ414" s="286"/>
      <c r="CA414" s="286"/>
      <c r="CB414" s="286"/>
      <c r="CC414" s="286"/>
      <c r="CD414" s="286"/>
      <c r="CE414" s="286"/>
      <c r="CF414" s="286"/>
      <c r="CG414" s="286"/>
      <c r="CH414" s="286"/>
      <c r="CI414" s="286"/>
      <c r="CJ414" s="286"/>
      <c r="CK414" s="286"/>
      <c r="CL414" s="286"/>
      <c r="CM414" s="286"/>
      <c r="CN414" s="286"/>
      <c r="CO414" s="286"/>
      <c r="CP414" s="286"/>
      <c r="CQ414" s="286"/>
      <c r="CR414" s="286"/>
      <c r="CS414" s="286"/>
      <c r="CT414" s="286"/>
      <c r="CU414" s="286"/>
      <c r="CV414" s="286"/>
      <c r="CW414" s="286"/>
      <c r="CX414" s="286"/>
      <c r="CY414" s="286"/>
      <c r="CZ414" s="286"/>
      <c r="DA414" s="286"/>
      <c r="DB414" s="286"/>
      <c r="DC414" s="286"/>
      <c r="DD414" s="286"/>
      <c r="DE414" s="286"/>
      <c r="DF414" s="286"/>
      <c r="DG414" s="286"/>
      <c r="DH414" s="286"/>
      <c r="DI414" s="286"/>
      <c r="DJ414" s="286"/>
      <c r="DK414" s="286"/>
      <c r="DL414" s="286"/>
      <c r="DM414" s="286"/>
      <c r="DN414" s="286"/>
      <c r="DO414" s="286"/>
      <c r="DP414" s="286"/>
      <c r="DQ414" s="286"/>
      <c r="DR414" s="286"/>
      <c r="DS414" s="286"/>
      <c r="DT414" s="286"/>
      <c r="DU414" s="286"/>
      <c r="DV414" s="286"/>
      <c r="DW414" s="286"/>
      <c r="DX414" s="286"/>
      <c r="DY414" s="286"/>
      <c r="DZ414" s="286"/>
      <c r="EA414" s="286"/>
      <c r="EB414" s="286"/>
      <c r="EC414" s="286"/>
      <c r="ED414" s="286"/>
      <c r="EE414" s="286"/>
      <c r="EF414" s="286"/>
      <c r="EG414" s="286"/>
      <c r="EH414" s="286"/>
      <c r="EI414" s="286"/>
      <c r="EJ414" s="286"/>
      <c r="EK414" s="286"/>
      <c r="EL414" s="286"/>
      <c r="EM414" s="286"/>
      <c r="EN414" s="286"/>
      <c r="EO414" s="286"/>
      <c r="EP414" s="286"/>
      <c r="EQ414" s="286"/>
      <c r="ER414" s="286"/>
      <c r="ES414" s="286"/>
      <c r="ET414" s="286"/>
      <c r="EU414" s="286"/>
      <c r="EV414" s="286"/>
      <c r="EW414" s="286"/>
      <c r="EX414" s="286"/>
      <c r="EY414" s="286"/>
      <c r="EZ414" s="286"/>
      <c r="FA414" s="286"/>
      <c r="FB414" s="286"/>
      <c r="FC414" s="286"/>
      <c r="FD414" s="286"/>
      <c r="FE414" s="286"/>
      <c r="FF414" s="286"/>
      <c r="FG414" s="286"/>
      <c r="FH414" s="286"/>
      <c r="FI414" s="286"/>
      <c r="FJ414" s="286"/>
      <c r="FK414" s="286"/>
      <c r="FL414" s="286"/>
      <c r="FM414" s="286"/>
      <c r="FN414" s="286"/>
      <c r="FO414" s="286"/>
      <c r="FP414" s="286"/>
      <c r="FQ414" s="286"/>
      <c r="FR414" s="286"/>
      <c r="FS414" s="286"/>
    </row>
    <row r="415" spans="1:175">
      <c r="A415" s="212" t="s">
        <v>3159</v>
      </c>
      <c r="B415" s="212" t="s">
        <v>3160</v>
      </c>
      <c r="C415" s="212" t="s">
        <v>3170</v>
      </c>
      <c r="D415" s="212" t="s">
        <v>3580</v>
      </c>
      <c r="E415" s="212" t="s">
        <v>3586</v>
      </c>
      <c r="F415" s="278">
        <v>113470</v>
      </c>
      <c r="G415" s="278">
        <v>597940</v>
      </c>
      <c r="H415" s="287">
        <f t="shared" si="6"/>
        <v>4.7180319095561423</v>
      </c>
      <c r="I415" s="286">
        <v>5469</v>
      </c>
      <c r="J415" s="286">
        <v>28211</v>
      </c>
      <c r="K415" s="286">
        <v>6930</v>
      </c>
      <c r="L415" s="286">
        <v>19710</v>
      </c>
      <c r="M415" s="286">
        <v>23965</v>
      </c>
      <c r="N415" s="286">
        <v>4953</v>
      </c>
      <c r="O415" s="286">
        <v>17441</v>
      </c>
      <c r="P415" s="286">
        <v>5469</v>
      </c>
      <c r="Q415" s="286">
        <v>28211</v>
      </c>
      <c r="R415" s="286">
        <v>6930</v>
      </c>
      <c r="S415" s="286">
        <v>19710</v>
      </c>
      <c r="T415" s="286">
        <v>23965</v>
      </c>
      <c r="U415" s="286">
        <v>4953</v>
      </c>
      <c r="V415" s="286">
        <v>17441</v>
      </c>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U415" s="286"/>
      <c r="AV415" s="286"/>
      <c r="AW415" s="286"/>
      <c r="AX415" s="286"/>
      <c r="AY415" s="286"/>
      <c r="AZ415" s="286"/>
      <c r="BA415" s="286"/>
      <c r="BB415" s="286"/>
      <c r="BC415" s="286"/>
      <c r="BD415" s="286"/>
      <c r="BE415" s="286"/>
      <c r="BF415" s="286"/>
      <c r="BG415" s="286"/>
      <c r="BH415" s="286"/>
      <c r="BI415" s="286"/>
      <c r="BJ415" s="286"/>
      <c r="BK415" s="286"/>
      <c r="BL415" s="286"/>
      <c r="BM415" s="286"/>
      <c r="BN415" s="286"/>
      <c r="BO415" s="286"/>
      <c r="BP415" s="286"/>
      <c r="BQ415" s="286"/>
      <c r="BR415" s="286"/>
      <c r="BS415" s="286"/>
      <c r="BT415" s="286"/>
      <c r="BU415" s="286"/>
      <c r="BV415" s="286"/>
      <c r="BW415" s="286"/>
      <c r="BX415" s="286"/>
      <c r="BY415" s="286"/>
      <c r="BZ415" s="286"/>
      <c r="CA415" s="286"/>
      <c r="CB415" s="286"/>
      <c r="CC415" s="286"/>
      <c r="CD415" s="286"/>
      <c r="CE415" s="286"/>
      <c r="CF415" s="286"/>
      <c r="CG415" s="286"/>
      <c r="CH415" s="286"/>
      <c r="CI415" s="286"/>
      <c r="CJ415" s="286"/>
      <c r="CK415" s="286"/>
      <c r="CL415" s="286"/>
      <c r="CM415" s="286"/>
      <c r="CN415" s="286"/>
      <c r="CO415" s="286"/>
      <c r="CP415" s="286"/>
      <c r="CQ415" s="286"/>
      <c r="CR415" s="286"/>
      <c r="CS415" s="286"/>
      <c r="CT415" s="286"/>
      <c r="CU415" s="286"/>
      <c r="CV415" s="286"/>
      <c r="CW415" s="286"/>
      <c r="CX415" s="286"/>
      <c r="CY415" s="286"/>
      <c r="CZ415" s="286"/>
      <c r="DA415" s="286"/>
      <c r="DB415" s="286"/>
      <c r="DC415" s="286"/>
      <c r="DD415" s="286"/>
      <c r="DE415" s="286"/>
      <c r="DF415" s="286"/>
      <c r="DG415" s="286"/>
      <c r="DH415" s="286"/>
      <c r="DI415" s="286"/>
      <c r="DJ415" s="286"/>
      <c r="DK415" s="286"/>
      <c r="DL415" s="286"/>
      <c r="DM415" s="286"/>
      <c r="DN415" s="286"/>
      <c r="DO415" s="286"/>
      <c r="DP415" s="286"/>
      <c r="DQ415" s="286"/>
      <c r="DR415" s="286"/>
      <c r="DS415" s="286"/>
      <c r="DT415" s="286"/>
      <c r="DU415" s="286"/>
      <c r="DV415" s="286"/>
      <c r="DW415" s="286"/>
      <c r="DX415" s="286"/>
      <c r="DY415" s="286"/>
      <c r="DZ415" s="286"/>
      <c r="EA415" s="286"/>
      <c r="EB415" s="286"/>
      <c r="EC415" s="286"/>
      <c r="ED415" s="286"/>
      <c r="EE415" s="286"/>
      <c r="EF415" s="286"/>
      <c r="EG415" s="286"/>
      <c r="EH415" s="286"/>
      <c r="EI415" s="286"/>
      <c r="EJ415" s="286"/>
      <c r="EK415" s="286"/>
      <c r="EL415" s="286"/>
      <c r="EM415" s="286"/>
      <c r="EN415" s="286"/>
      <c r="EO415" s="286"/>
      <c r="EP415" s="286"/>
      <c r="EQ415" s="286"/>
      <c r="ER415" s="286"/>
      <c r="ES415" s="286"/>
      <c r="ET415" s="286"/>
      <c r="EU415" s="286"/>
      <c r="EV415" s="286"/>
      <c r="EW415" s="286"/>
      <c r="EX415" s="286"/>
      <c r="EY415" s="286"/>
      <c r="EZ415" s="286"/>
      <c r="FA415" s="286"/>
      <c r="FB415" s="286"/>
      <c r="FC415" s="286"/>
      <c r="FD415" s="286"/>
      <c r="FE415" s="286"/>
      <c r="FF415" s="286"/>
      <c r="FG415" s="286"/>
      <c r="FH415" s="286"/>
      <c r="FI415" s="286"/>
      <c r="FJ415" s="286"/>
      <c r="FK415" s="286"/>
      <c r="FL415" s="286"/>
      <c r="FM415" s="286"/>
      <c r="FN415" s="286"/>
      <c r="FO415" s="286"/>
      <c r="FP415" s="286"/>
      <c r="FQ415" s="286"/>
      <c r="FR415" s="286"/>
      <c r="FS415" s="286"/>
    </row>
    <row r="416" spans="1:175">
      <c r="A416" s="212" t="s">
        <v>3159</v>
      </c>
      <c r="B416" s="212" t="s">
        <v>3160</v>
      </c>
      <c r="C416" s="212" t="s">
        <v>3172</v>
      </c>
      <c r="D416" s="212" t="s">
        <v>3580</v>
      </c>
      <c r="E416" s="212" t="s">
        <v>3587</v>
      </c>
      <c r="F416" s="278">
        <v>910</v>
      </c>
      <c r="G416" s="278">
        <v>16405</v>
      </c>
      <c r="H416" s="287">
        <f t="shared" si="6"/>
        <v>2.2188357208168243</v>
      </c>
      <c r="I416" s="286">
        <v>39</v>
      </c>
      <c r="J416" s="286">
        <v>364</v>
      </c>
      <c r="K416" s="286">
        <v>170</v>
      </c>
      <c r="L416" s="286">
        <v>194</v>
      </c>
      <c r="M416" s="286">
        <v>334</v>
      </c>
      <c r="N416" s="286">
        <v>151</v>
      </c>
      <c r="O416" s="286">
        <v>183</v>
      </c>
      <c r="P416" s="286">
        <v>39</v>
      </c>
      <c r="Q416" s="286">
        <v>364</v>
      </c>
      <c r="R416" s="286">
        <v>170</v>
      </c>
      <c r="S416" s="286">
        <v>194</v>
      </c>
      <c r="T416" s="286">
        <v>334</v>
      </c>
      <c r="U416" s="286">
        <v>151</v>
      </c>
      <c r="V416" s="286">
        <v>183</v>
      </c>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BP416" s="286"/>
      <c r="BQ416" s="286"/>
      <c r="BR416" s="286"/>
      <c r="BS416" s="286"/>
      <c r="BT416" s="286"/>
      <c r="BU416" s="286"/>
      <c r="BV416" s="286"/>
      <c r="BW416" s="286"/>
      <c r="BX416" s="286"/>
      <c r="BY416" s="286"/>
      <c r="BZ416" s="286"/>
      <c r="CA416" s="286"/>
      <c r="CB416" s="286"/>
      <c r="CC416" s="286"/>
      <c r="CD416" s="286"/>
      <c r="CE416" s="286"/>
      <c r="CF416" s="286"/>
      <c r="CG416" s="286"/>
      <c r="CH416" s="286"/>
      <c r="CI416" s="286"/>
      <c r="CJ416" s="286"/>
      <c r="CK416" s="286"/>
      <c r="CL416" s="286"/>
      <c r="CM416" s="286"/>
      <c r="CN416" s="286"/>
      <c r="CO416" s="286"/>
      <c r="CP416" s="286"/>
      <c r="CQ416" s="286"/>
      <c r="CR416" s="286"/>
      <c r="CS416" s="286"/>
      <c r="CT416" s="286"/>
      <c r="CU416" s="286"/>
      <c r="CV416" s="286"/>
      <c r="CW416" s="286"/>
      <c r="CX416" s="286"/>
      <c r="CY416" s="286"/>
      <c r="CZ416" s="286"/>
      <c r="DA416" s="286"/>
      <c r="DB416" s="286"/>
      <c r="DC416" s="286"/>
      <c r="DD416" s="286"/>
      <c r="DE416" s="286"/>
      <c r="DF416" s="286"/>
      <c r="DG416" s="286"/>
      <c r="DH416" s="286"/>
      <c r="DI416" s="286"/>
      <c r="DJ416" s="286"/>
      <c r="DK416" s="286"/>
      <c r="DL416" s="286"/>
      <c r="DM416" s="286"/>
      <c r="DN416" s="286"/>
      <c r="DO416" s="286"/>
      <c r="DP416" s="286"/>
      <c r="DQ416" s="286"/>
      <c r="DR416" s="286"/>
      <c r="DS416" s="286"/>
      <c r="DT416" s="286"/>
      <c r="DU416" s="286"/>
      <c r="DV416" s="286"/>
      <c r="DW416" s="286"/>
      <c r="DX416" s="286"/>
      <c r="DY416" s="286"/>
      <c r="DZ416" s="286"/>
      <c r="EA416" s="286"/>
      <c r="EB416" s="286"/>
      <c r="EC416" s="286"/>
      <c r="ED416" s="286"/>
      <c r="EE416" s="286"/>
      <c r="EF416" s="286"/>
      <c r="EG416" s="286"/>
      <c r="EH416" s="286"/>
      <c r="EI416" s="286"/>
      <c r="EJ416" s="286"/>
      <c r="EK416" s="286"/>
      <c r="EL416" s="286"/>
      <c r="EM416" s="286"/>
      <c r="EN416" s="286"/>
      <c r="EO416" s="286"/>
      <c r="EP416" s="286"/>
      <c r="EQ416" s="286"/>
      <c r="ER416" s="286"/>
      <c r="ES416" s="286"/>
      <c r="ET416" s="286"/>
      <c r="EU416" s="286"/>
      <c r="EV416" s="286"/>
      <c r="EW416" s="286"/>
      <c r="EX416" s="286"/>
      <c r="EY416" s="286"/>
      <c r="EZ416" s="286"/>
      <c r="FA416" s="286"/>
      <c r="FB416" s="286"/>
      <c r="FC416" s="286"/>
      <c r="FD416" s="286"/>
      <c r="FE416" s="286"/>
      <c r="FF416" s="286"/>
      <c r="FG416" s="286"/>
      <c r="FH416" s="286"/>
      <c r="FI416" s="286"/>
      <c r="FJ416" s="286"/>
      <c r="FK416" s="286"/>
      <c r="FL416" s="286"/>
      <c r="FM416" s="286"/>
      <c r="FN416" s="286"/>
      <c r="FO416" s="286"/>
      <c r="FP416" s="286"/>
      <c r="FQ416" s="286"/>
      <c r="FR416" s="286"/>
      <c r="FS416" s="286"/>
    </row>
    <row r="417" spans="1:175">
      <c r="A417" s="212" t="s">
        <v>3159</v>
      </c>
      <c r="B417" s="212" t="s">
        <v>3160</v>
      </c>
      <c r="C417" s="212" t="s">
        <v>3172</v>
      </c>
      <c r="D417" s="212" t="s">
        <v>3580</v>
      </c>
      <c r="E417" s="212" t="s">
        <v>3588</v>
      </c>
      <c r="F417" s="278">
        <v>11454</v>
      </c>
      <c r="G417" s="278">
        <v>41585</v>
      </c>
      <c r="H417" s="287">
        <f t="shared" si="6"/>
        <v>5.1484910424431884</v>
      </c>
      <c r="I417" s="286">
        <v>566</v>
      </c>
      <c r="J417" s="286">
        <v>2141</v>
      </c>
      <c r="K417" s="286">
        <v>698</v>
      </c>
      <c r="L417" s="286">
        <v>1443</v>
      </c>
      <c r="M417" s="286">
        <v>1511</v>
      </c>
      <c r="N417" s="286">
        <v>334</v>
      </c>
      <c r="O417" s="286">
        <v>1177</v>
      </c>
      <c r="P417" s="286">
        <v>566</v>
      </c>
      <c r="Q417" s="286">
        <v>2141</v>
      </c>
      <c r="R417" s="286">
        <v>698</v>
      </c>
      <c r="S417" s="286">
        <v>1443</v>
      </c>
      <c r="T417" s="286">
        <v>1511</v>
      </c>
      <c r="U417" s="286">
        <v>334</v>
      </c>
      <c r="V417" s="286">
        <v>1177</v>
      </c>
      <c r="W417" s="286"/>
      <c r="X417" s="286"/>
      <c r="Y417" s="286"/>
      <c r="Z417" s="286"/>
      <c r="AA417" s="286"/>
      <c r="AB417" s="286"/>
      <c r="AC417" s="286"/>
      <c r="AD417" s="286"/>
      <c r="AE417" s="286"/>
      <c r="AF417" s="286"/>
      <c r="AG417" s="286"/>
      <c r="AH417" s="286"/>
      <c r="AI417" s="286"/>
      <c r="AJ417" s="286"/>
      <c r="AK417" s="286"/>
      <c r="AL417" s="286"/>
      <c r="AM417" s="286"/>
      <c r="AN417" s="286"/>
      <c r="AO417" s="286"/>
      <c r="AP417" s="286"/>
      <c r="AQ417" s="286"/>
      <c r="AR417" s="286"/>
      <c r="AS417" s="286"/>
      <c r="AT417" s="286"/>
      <c r="AU417" s="286"/>
      <c r="AV417" s="286"/>
      <c r="AW417" s="286"/>
      <c r="AX417" s="286"/>
      <c r="AY417" s="286"/>
      <c r="AZ417" s="286"/>
      <c r="BA417" s="286"/>
      <c r="BB417" s="286"/>
      <c r="BC417" s="286"/>
      <c r="BD417" s="286"/>
      <c r="BE417" s="286"/>
      <c r="BF417" s="286"/>
      <c r="BG417" s="286"/>
      <c r="BH417" s="286"/>
      <c r="BI417" s="286"/>
      <c r="BJ417" s="286"/>
      <c r="BK417" s="286"/>
      <c r="BL417" s="286"/>
      <c r="BM417" s="286"/>
      <c r="BN417" s="286"/>
      <c r="BO417" s="286"/>
      <c r="BP417" s="286"/>
      <c r="BQ417" s="286"/>
      <c r="BR417" s="286"/>
      <c r="BS417" s="286"/>
      <c r="BT417" s="286"/>
      <c r="BU417" s="286"/>
      <c r="BV417" s="286"/>
      <c r="BW417" s="286"/>
      <c r="BX417" s="286"/>
      <c r="BY417" s="286"/>
      <c r="BZ417" s="286"/>
      <c r="CA417" s="286"/>
      <c r="CB417" s="286"/>
      <c r="CC417" s="286"/>
      <c r="CD417" s="286"/>
      <c r="CE417" s="286"/>
      <c r="CF417" s="286"/>
      <c r="CG417" s="286"/>
      <c r="CH417" s="286"/>
      <c r="CI417" s="286"/>
      <c r="CJ417" s="286"/>
      <c r="CK417" s="286"/>
      <c r="CL417" s="286"/>
      <c r="CM417" s="286"/>
      <c r="CN417" s="286"/>
      <c r="CO417" s="286"/>
      <c r="CP417" s="286"/>
      <c r="CQ417" s="286"/>
      <c r="CR417" s="286"/>
      <c r="CS417" s="286"/>
      <c r="CT417" s="286"/>
      <c r="CU417" s="286"/>
      <c r="CV417" s="286"/>
      <c r="CW417" s="286"/>
      <c r="CX417" s="286"/>
      <c r="CY417" s="286"/>
      <c r="CZ417" s="286"/>
      <c r="DA417" s="286"/>
      <c r="DB417" s="286"/>
      <c r="DC417" s="286"/>
      <c r="DD417" s="286"/>
      <c r="DE417" s="286"/>
      <c r="DF417" s="286"/>
      <c r="DG417" s="286"/>
      <c r="DH417" s="286"/>
      <c r="DI417" s="286"/>
      <c r="DJ417" s="286"/>
      <c r="DK417" s="286"/>
      <c r="DL417" s="286"/>
      <c r="DM417" s="286"/>
      <c r="DN417" s="286"/>
      <c r="DO417" s="286"/>
      <c r="DP417" s="286"/>
      <c r="DQ417" s="286"/>
      <c r="DR417" s="286"/>
      <c r="DS417" s="286"/>
      <c r="DT417" s="286"/>
      <c r="DU417" s="286"/>
      <c r="DV417" s="286"/>
      <c r="DW417" s="286"/>
      <c r="DX417" s="286"/>
      <c r="DY417" s="286"/>
      <c r="DZ417" s="286"/>
      <c r="EA417" s="286"/>
      <c r="EB417" s="286"/>
      <c r="EC417" s="286"/>
      <c r="ED417" s="286"/>
      <c r="EE417" s="286"/>
      <c r="EF417" s="286"/>
      <c r="EG417" s="286"/>
      <c r="EH417" s="286"/>
      <c r="EI417" s="286"/>
      <c r="EJ417" s="286"/>
      <c r="EK417" s="286"/>
      <c r="EL417" s="286"/>
      <c r="EM417" s="286"/>
      <c r="EN417" s="286"/>
      <c r="EO417" s="286"/>
      <c r="EP417" s="286"/>
      <c r="EQ417" s="286"/>
      <c r="ER417" s="286"/>
      <c r="ES417" s="286"/>
      <c r="ET417" s="286"/>
      <c r="EU417" s="286"/>
      <c r="EV417" s="286"/>
      <c r="EW417" s="286"/>
      <c r="EX417" s="286"/>
      <c r="EY417" s="286"/>
      <c r="EZ417" s="286"/>
      <c r="FA417" s="286"/>
      <c r="FB417" s="286"/>
      <c r="FC417" s="286"/>
      <c r="FD417" s="286"/>
      <c r="FE417" s="286"/>
      <c r="FF417" s="286"/>
      <c r="FG417" s="286"/>
      <c r="FH417" s="286"/>
      <c r="FI417" s="286"/>
      <c r="FJ417" s="286"/>
      <c r="FK417" s="286"/>
      <c r="FL417" s="286"/>
      <c r="FM417" s="286"/>
      <c r="FN417" s="286"/>
      <c r="FO417" s="286"/>
      <c r="FP417" s="286"/>
      <c r="FQ417" s="286"/>
      <c r="FR417" s="286"/>
      <c r="FS417" s="286"/>
    </row>
    <row r="418" spans="1:175">
      <c r="A418" s="212" t="s">
        <v>3159</v>
      </c>
      <c r="B418" s="212" t="s">
        <v>3160</v>
      </c>
      <c r="C418" s="212" t="s">
        <v>3172</v>
      </c>
      <c r="D418" s="212" t="s">
        <v>3580</v>
      </c>
      <c r="E418" s="212" t="s">
        <v>3589</v>
      </c>
      <c r="F418" s="278">
        <v>14982</v>
      </c>
      <c r="G418" s="278">
        <v>73358</v>
      </c>
      <c r="H418" s="287">
        <f t="shared" si="6"/>
        <v>4.041822296136754</v>
      </c>
      <c r="I418" s="286">
        <v>627</v>
      </c>
      <c r="J418" s="286">
        <v>2965</v>
      </c>
      <c r="K418" s="286">
        <v>1348</v>
      </c>
      <c r="L418" s="286">
        <v>1607</v>
      </c>
      <c r="M418" s="286">
        <v>2510</v>
      </c>
      <c r="N418" s="286">
        <v>1061</v>
      </c>
      <c r="O418" s="286">
        <v>1439</v>
      </c>
      <c r="P418" s="286">
        <v>627</v>
      </c>
      <c r="Q418" s="286">
        <v>2965</v>
      </c>
      <c r="R418" s="286">
        <v>1348</v>
      </c>
      <c r="S418" s="286">
        <v>1607</v>
      </c>
      <c r="T418" s="286">
        <v>2510</v>
      </c>
      <c r="U418" s="286">
        <v>1061</v>
      </c>
      <c r="V418" s="286">
        <v>1439</v>
      </c>
      <c r="W418" s="286"/>
      <c r="X418" s="286"/>
      <c r="Y418" s="286"/>
      <c r="Z418" s="286"/>
      <c r="AA418" s="286"/>
      <c r="AB418" s="286"/>
      <c r="AC418" s="286"/>
      <c r="AD418" s="286"/>
      <c r="AE418" s="286"/>
      <c r="AF418" s="286"/>
      <c r="AG418" s="286"/>
      <c r="AH418" s="286"/>
      <c r="AI418" s="286"/>
      <c r="AJ418" s="286"/>
      <c r="AK418" s="286"/>
      <c r="AL418" s="286"/>
      <c r="AM418" s="286"/>
      <c r="AN418" s="286"/>
      <c r="AO418" s="286"/>
      <c r="AP418" s="286"/>
      <c r="AQ418" s="286"/>
      <c r="AR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c r="BO418" s="286"/>
      <c r="BP418" s="286"/>
      <c r="BQ418" s="286"/>
      <c r="BR418" s="286"/>
      <c r="BS418" s="286"/>
      <c r="BT418" s="286"/>
      <c r="BU418" s="286"/>
      <c r="BV418" s="286"/>
      <c r="BW418" s="286"/>
      <c r="BX418" s="286"/>
      <c r="BY418" s="286"/>
      <c r="BZ418" s="286"/>
      <c r="CA418" s="286"/>
      <c r="CB418" s="286"/>
      <c r="CC418" s="286"/>
      <c r="CD418" s="286"/>
      <c r="CE418" s="286"/>
      <c r="CF418" s="286"/>
      <c r="CG418" s="286"/>
      <c r="CH418" s="286"/>
      <c r="CI418" s="286"/>
      <c r="CJ418" s="286"/>
      <c r="CK418" s="286"/>
      <c r="CL418" s="286"/>
      <c r="CM418" s="286"/>
      <c r="CN418" s="286"/>
      <c r="CO418" s="286"/>
      <c r="CP418" s="286"/>
      <c r="CQ418" s="286"/>
      <c r="CR418" s="286"/>
      <c r="CS418" s="286"/>
      <c r="CT418" s="286"/>
      <c r="CU418" s="286"/>
      <c r="CV418" s="286"/>
      <c r="CW418" s="286"/>
      <c r="CX418" s="286"/>
      <c r="CY418" s="286"/>
      <c r="CZ418" s="286"/>
      <c r="DA418" s="286"/>
      <c r="DB418" s="286"/>
      <c r="DC418" s="286"/>
      <c r="DD418" s="286"/>
      <c r="DE418" s="286"/>
      <c r="DF418" s="286"/>
      <c r="DG418" s="286"/>
      <c r="DH418" s="286"/>
      <c r="DI418" s="286"/>
      <c r="DJ418" s="286"/>
      <c r="DK418" s="286"/>
      <c r="DL418" s="286"/>
      <c r="DM418" s="286"/>
      <c r="DN418" s="286"/>
      <c r="DO418" s="286"/>
      <c r="DP418" s="286"/>
      <c r="DQ418" s="286"/>
      <c r="DR418" s="286"/>
      <c r="DS418" s="286"/>
      <c r="DT418" s="286"/>
      <c r="DU418" s="286"/>
      <c r="DV418" s="286"/>
      <c r="DW418" s="286"/>
      <c r="DX418" s="286"/>
      <c r="DY418" s="286"/>
      <c r="DZ418" s="286"/>
      <c r="EA418" s="286"/>
      <c r="EB418" s="286"/>
      <c r="EC418" s="286"/>
      <c r="ED418" s="286"/>
      <c r="EE418" s="286"/>
      <c r="EF418" s="286"/>
      <c r="EG418" s="286"/>
      <c r="EH418" s="286"/>
      <c r="EI418" s="286"/>
      <c r="EJ418" s="286"/>
      <c r="EK418" s="286"/>
      <c r="EL418" s="286"/>
      <c r="EM418" s="286"/>
      <c r="EN418" s="286"/>
      <c r="EO418" s="286"/>
      <c r="EP418" s="286"/>
      <c r="EQ418" s="286"/>
      <c r="ER418" s="286"/>
      <c r="ES418" s="286"/>
      <c r="ET418" s="286"/>
      <c r="EU418" s="286"/>
      <c r="EV418" s="286"/>
      <c r="EW418" s="286"/>
      <c r="EX418" s="286"/>
      <c r="EY418" s="286"/>
      <c r="EZ418" s="286"/>
      <c r="FA418" s="286"/>
      <c r="FB418" s="286"/>
      <c r="FC418" s="286"/>
      <c r="FD418" s="286"/>
      <c r="FE418" s="286"/>
      <c r="FF418" s="286"/>
      <c r="FG418" s="286"/>
      <c r="FH418" s="286"/>
      <c r="FI418" s="286"/>
      <c r="FJ418" s="286"/>
      <c r="FK418" s="286"/>
      <c r="FL418" s="286"/>
      <c r="FM418" s="286"/>
      <c r="FN418" s="286"/>
      <c r="FO418" s="286"/>
      <c r="FP418" s="286"/>
      <c r="FQ418" s="286"/>
      <c r="FR418" s="286"/>
      <c r="FS418" s="286"/>
    </row>
    <row r="419" spans="1:175">
      <c r="A419" s="212" t="s">
        <v>3159</v>
      </c>
      <c r="B419" s="212" t="s">
        <v>3160</v>
      </c>
      <c r="C419" s="212" t="s">
        <v>3172</v>
      </c>
      <c r="D419" s="212" t="s">
        <v>3580</v>
      </c>
      <c r="E419" s="212" t="s">
        <v>3590</v>
      </c>
      <c r="F419" s="278">
        <v>49948</v>
      </c>
      <c r="G419" s="278">
        <v>266683</v>
      </c>
      <c r="H419" s="287">
        <f t="shared" si="6"/>
        <v>5.1769329128590877</v>
      </c>
      <c r="I419" s="286">
        <v>2493</v>
      </c>
      <c r="J419" s="286">
        <v>13806</v>
      </c>
      <c r="K419" s="286">
        <v>2545</v>
      </c>
      <c r="L419" s="286">
        <v>9735</v>
      </c>
      <c r="M419" s="286">
        <v>11866</v>
      </c>
      <c r="N419" s="286">
        <v>1764</v>
      </c>
      <c r="O419" s="286">
        <v>8576</v>
      </c>
      <c r="P419" s="286">
        <v>2493</v>
      </c>
      <c r="Q419" s="286">
        <v>13806</v>
      </c>
      <c r="R419" s="286">
        <v>2545</v>
      </c>
      <c r="S419" s="286">
        <v>9735</v>
      </c>
      <c r="T419" s="286">
        <v>11866</v>
      </c>
      <c r="U419" s="286">
        <v>1764</v>
      </c>
      <c r="V419" s="286">
        <v>8576</v>
      </c>
      <c r="W419" s="286"/>
      <c r="X419" s="286"/>
      <c r="Y419" s="286"/>
      <c r="Z419" s="286"/>
      <c r="AA419" s="286"/>
      <c r="AB419" s="286"/>
      <c r="AC419" s="286"/>
      <c r="AD419" s="286"/>
      <c r="AE419" s="286"/>
      <c r="AF419" s="286"/>
      <c r="AG419" s="286"/>
      <c r="AH419" s="286"/>
      <c r="AI419" s="286"/>
      <c r="AJ419" s="286"/>
      <c r="AK419" s="286"/>
      <c r="AL419" s="286"/>
      <c r="AM419" s="286"/>
      <c r="AN419" s="286"/>
      <c r="AO419" s="286"/>
      <c r="AP419" s="286"/>
      <c r="AQ419" s="286"/>
      <c r="AR419" s="286"/>
      <c r="AS419" s="286"/>
      <c r="AT419" s="286"/>
      <c r="AU419" s="286"/>
      <c r="AV419" s="286"/>
      <c r="AW419" s="286"/>
      <c r="AX419" s="286"/>
      <c r="AY419" s="286"/>
      <c r="AZ419" s="286"/>
      <c r="BA419" s="286"/>
      <c r="BB419" s="286"/>
      <c r="BC419" s="286"/>
      <c r="BD419" s="286"/>
      <c r="BE419" s="286"/>
      <c r="BF419" s="286"/>
      <c r="BG419" s="286"/>
      <c r="BH419" s="286"/>
      <c r="BI419" s="286"/>
      <c r="BJ419" s="286"/>
      <c r="BK419" s="286"/>
      <c r="BL419" s="286"/>
      <c r="BM419" s="286"/>
      <c r="BN419" s="286"/>
      <c r="BO419" s="286"/>
      <c r="BP419" s="286"/>
      <c r="BQ419" s="286"/>
      <c r="BR419" s="286"/>
      <c r="BS419" s="286"/>
      <c r="BT419" s="286"/>
      <c r="BU419" s="286"/>
      <c r="BV419" s="286"/>
      <c r="BW419" s="286"/>
      <c r="BX419" s="286"/>
      <c r="BY419" s="286"/>
      <c r="BZ419" s="286"/>
      <c r="CA419" s="286"/>
      <c r="CB419" s="286"/>
      <c r="CC419" s="286"/>
      <c r="CD419" s="286"/>
      <c r="CE419" s="286"/>
      <c r="CF419" s="286"/>
      <c r="CG419" s="286"/>
      <c r="CH419" s="286"/>
      <c r="CI419" s="286"/>
      <c r="CJ419" s="286"/>
      <c r="CK419" s="286"/>
      <c r="CL419" s="286"/>
      <c r="CM419" s="286"/>
      <c r="CN419" s="286"/>
      <c r="CO419" s="286"/>
      <c r="CP419" s="286"/>
      <c r="CQ419" s="286"/>
      <c r="CR419" s="286"/>
      <c r="CS419" s="286"/>
      <c r="CT419" s="286"/>
      <c r="CU419" s="286"/>
      <c r="CV419" s="286"/>
      <c r="CW419" s="286"/>
      <c r="CX419" s="286"/>
      <c r="CY419" s="286"/>
      <c r="CZ419" s="286"/>
      <c r="DA419" s="286"/>
      <c r="DB419" s="286"/>
      <c r="DC419" s="286"/>
      <c r="DD419" s="286"/>
      <c r="DE419" s="286"/>
      <c r="DF419" s="286"/>
      <c r="DG419" s="286"/>
      <c r="DH419" s="286"/>
      <c r="DI419" s="286"/>
      <c r="DJ419" s="286"/>
      <c r="DK419" s="286"/>
      <c r="DL419" s="286"/>
      <c r="DM419" s="286"/>
      <c r="DN419" s="286"/>
      <c r="DO419" s="286"/>
      <c r="DP419" s="286"/>
      <c r="DQ419" s="286"/>
      <c r="DR419" s="286"/>
      <c r="DS419" s="286"/>
      <c r="DT419" s="286"/>
      <c r="DU419" s="286"/>
      <c r="DV419" s="286"/>
      <c r="DW419" s="286"/>
      <c r="DX419" s="286"/>
      <c r="DY419" s="286"/>
      <c r="DZ419" s="286"/>
      <c r="EA419" s="286"/>
      <c r="EB419" s="286"/>
      <c r="EC419" s="286"/>
      <c r="ED419" s="286"/>
      <c r="EE419" s="286"/>
      <c r="EF419" s="286"/>
      <c r="EG419" s="286"/>
      <c r="EH419" s="286"/>
      <c r="EI419" s="286"/>
      <c r="EJ419" s="286"/>
      <c r="EK419" s="286"/>
      <c r="EL419" s="286"/>
      <c r="EM419" s="286"/>
      <c r="EN419" s="286"/>
      <c r="EO419" s="286"/>
      <c r="EP419" s="286"/>
      <c r="EQ419" s="286"/>
      <c r="ER419" s="286"/>
      <c r="ES419" s="286"/>
      <c r="ET419" s="286"/>
      <c r="EU419" s="286"/>
      <c r="EV419" s="286"/>
      <c r="EW419" s="286"/>
      <c r="EX419" s="286"/>
      <c r="EY419" s="286"/>
      <c r="EZ419" s="286"/>
      <c r="FA419" s="286"/>
      <c r="FB419" s="286"/>
      <c r="FC419" s="286"/>
      <c r="FD419" s="286"/>
      <c r="FE419" s="286"/>
      <c r="FF419" s="286"/>
      <c r="FG419" s="286"/>
      <c r="FH419" s="286"/>
      <c r="FI419" s="286"/>
      <c r="FJ419" s="286"/>
      <c r="FK419" s="286"/>
      <c r="FL419" s="286"/>
      <c r="FM419" s="286"/>
      <c r="FN419" s="286"/>
      <c r="FO419" s="286"/>
      <c r="FP419" s="286"/>
      <c r="FQ419" s="286"/>
      <c r="FR419" s="286"/>
      <c r="FS419" s="286"/>
    </row>
    <row r="420" spans="1:175">
      <c r="A420" s="212" t="s">
        <v>3159</v>
      </c>
      <c r="B420" s="212" t="s">
        <v>3160</v>
      </c>
      <c r="C420" s="212" t="s">
        <v>3172</v>
      </c>
      <c r="D420" s="212" t="s">
        <v>3580</v>
      </c>
      <c r="E420" s="212" t="s">
        <v>3591</v>
      </c>
      <c r="F420" s="278">
        <v>8465</v>
      </c>
      <c r="G420" s="278">
        <v>36641</v>
      </c>
      <c r="H420" s="287">
        <f t="shared" si="6"/>
        <v>4.6041319832973997</v>
      </c>
      <c r="I420" s="286">
        <v>380</v>
      </c>
      <c r="J420" s="286">
        <v>1687</v>
      </c>
      <c r="K420" s="286">
        <v>633</v>
      </c>
      <c r="L420" s="286">
        <v>1054</v>
      </c>
      <c r="M420" s="286">
        <v>1430</v>
      </c>
      <c r="N420" s="286">
        <v>473</v>
      </c>
      <c r="O420" s="286">
        <v>957</v>
      </c>
      <c r="P420" s="286">
        <v>380</v>
      </c>
      <c r="Q420" s="286">
        <v>1687</v>
      </c>
      <c r="R420" s="286">
        <v>633</v>
      </c>
      <c r="S420" s="286">
        <v>1054</v>
      </c>
      <c r="T420" s="286">
        <v>1430</v>
      </c>
      <c r="U420" s="286">
        <v>473</v>
      </c>
      <c r="V420" s="286">
        <v>957</v>
      </c>
      <c r="W420" s="286"/>
      <c r="X420" s="286"/>
      <c r="Y420" s="286"/>
      <c r="Z420" s="286"/>
      <c r="AA420" s="286"/>
      <c r="AB420" s="286"/>
      <c r="AC420" s="286"/>
      <c r="AD420" s="286"/>
      <c r="AE420" s="286"/>
      <c r="AF420" s="286"/>
      <c r="AG420" s="286"/>
      <c r="AH420" s="286"/>
      <c r="AI420" s="286"/>
      <c r="AJ420" s="286"/>
      <c r="AK420" s="286"/>
      <c r="AL420" s="286"/>
      <c r="AM420" s="286"/>
      <c r="AN420" s="286"/>
      <c r="AO420" s="286"/>
      <c r="AP420" s="286"/>
      <c r="AQ420" s="286"/>
      <c r="AR420" s="286"/>
      <c r="AS420" s="286"/>
      <c r="AT420" s="286"/>
      <c r="AU420" s="286"/>
      <c r="AV420" s="286"/>
      <c r="AW420" s="286"/>
      <c r="AX420" s="286"/>
      <c r="AY420" s="286"/>
      <c r="AZ420" s="286"/>
      <c r="BA420" s="286"/>
      <c r="BB420" s="286"/>
      <c r="BC420" s="286"/>
      <c r="BD420" s="286"/>
      <c r="BE420" s="286"/>
      <c r="BF420" s="286"/>
      <c r="BG420" s="286"/>
      <c r="BH420" s="286"/>
      <c r="BI420" s="286"/>
      <c r="BJ420" s="286"/>
      <c r="BK420" s="286"/>
      <c r="BL420" s="286"/>
      <c r="BM420" s="286"/>
      <c r="BN420" s="286"/>
      <c r="BO420" s="286"/>
      <c r="BP420" s="286"/>
      <c r="BQ420" s="286"/>
      <c r="BR420" s="286"/>
      <c r="BS420" s="286"/>
      <c r="BT420" s="286"/>
      <c r="BU420" s="286"/>
      <c r="BV420" s="286"/>
      <c r="BW420" s="286"/>
      <c r="BX420" s="286"/>
      <c r="BY420" s="286"/>
      <c r="BZ420" s="286"/>
      <c r="CA420" s="286"/>
      <c r="CB420" s="286"/>
      <c r="CC420" s="286"/>
      <c r="CD420" s="286"/>
      <c r="CE420" s="286"/>
      <c r="CF420" s="286"/>
      <c r="CG420" s="286"/>
      <c r="CH420" s="286"/>
      <c r="CI420" s="286"/>
      <c r="CJ420" s="286"/>
      <c r="CK420" s="286"/>
      <c r="CL420" s="286"/>
      <c r="CM420" s="286"/>
      <c r="CN420" s="286"/>
      <c r="CO420" s="286"/>
      <c r="CP420" s="286"/>
      <c r="CQ420" s="286"/>
      <c r="CR420" s="286"/>
      <c r="CS420" s="286"/>
      <c r="CT420" s="286"/>
      <c r="CU420" s="286"/>
      <c r="CV420" s="286"/>
      <c r="CW420" s="286"/>
      <c r="CX420" s="286"/>
      <c r="CY420" s="286"/>
      <c r="CZ420" s="286"/>
      <c r="DA420" s="286"/>
      <c r="DB420" s="286"/>
      <c r="DC420" s="286"/>
      <c r="DD420" s="286"/>
      <c r="DE420" s="286"/>
      <c r="DF420" s="286"/>
      <c r="DG420" s="286"/>
      <c r="DH420" s="286"/>
      <c r="DI420" s="286"/>
      <c r="DJ420" s="286"/>
      <c r="DK420" s="286"/>
      <c r="DL420" s="286"/>
      <c r="DM420" s="286"/>
      <c r="DN420" s="286"/>
      <c r="DO420" s="286"/>
      <c r="DP420" s="286"/>
      <c r="DQ420" s="286"/>
      <c r="DR420" s="286"/>
      <c r="DS420" s="286"/>
      <c r="DT420" s="286"/>
      <c r="DU420" s="286"/>
      <c r="DV420" s="286"/>
      <c r="DW420" s="286"/>
      <c r="DX420" s="286"/>
      <c r="DY420" s="286"/>
      <c r="DZ420" s="286"/>
      <c r="EA420" s="286"/>
      <c r="EB420" s="286"/>
      <c r="EC420" s="286"/>
      <c r="ED420" s="286"/>
      <c r="EE420" s="286"/>
      <c r="EF420" s="286"/>
      <c r="EG420" s="286"/>
      <c r="EH420" s="286"/>
      <c r="EI420" s="286"/>
      <c r="EJ420" s="286"/>
      <c r="EK420" s="286"/>
      <c r="EL420" s="286"/>
      <c r="EM420" s="286"/>
      <c r="EN420" s="286"/>
      <c r="EO420" s="286"/>
      <c r="EP420" s="286"/>
      <c r="EQ420" s="286"/>
      <c r="ER420" s="286"/>
      <c r="ES420" s="286"/>
      <c r="ET420" s="286"/>
      <c r="EU420" s="286"/>
      <c r="EV420" s="286"/>
      <c r="EW420" s="286"/>
      <c r="EX420" s="286"/>
      <c r="EY420" s="286"/>
      <c r="EZ420" s="286"/>
      <c r="FA420" s="286"/>
      <c r="FB420" s="286"/>
      <c r="FC420" s="286"/>
      <c r="FD420" s="286"/>
      <c r="FE420" s="286"/>
      <c r="FF420" s="286"/>
      <c r="FG420" s="286"/>
      <c r="FH420" s="286"/>
      <c r="FI420" s="286"/>
      <c r="FJ420" s="286"/>
      <c r="FK420" s="286"/>
      <c r="FL420" s="286"/>
      <c r="FM420" s="286"/>
      <c r="FN420" s="286"/>
      <c r="FO420" s="286"/>
      <c r="FP420" s="286"/>
      <c r="FQ420" s="286"/>
      <c r="FR420" s="286"/>
      <c r="FS420" s="286"/>
    </row>
    <row r="421" spans="1:175">
      <c r="A421" s="212" t="s">
        <v>3159</v>
      </c>
      <c r="B421" s="212" t="s">
        <v>3160</v>
      </c>
      <c r="C421" s="212" t="s">
        <v>3172</v>
      </c>
      <c r="D421" s="212" t="s">
        <v>3580</v>
      </c>
      <c r="E421" s="212" t="s">
        <v>3592</v>
      </c>
      <c r="F421" s="278">
        <v>27711</v>
      </c>
      <c r="G421" s="278">
        <v>163268</v>
      </c>
      <c r="H421" s="287">
        <f t="shared" si="6"/>
        <v>4.4393267511086068</v>
      </c>
      <c r="I421" s="286">
        <v>1364</v>
      </c>
      <c r="J421" s="286">
        <v>7248</v>
      </c>
      <c r="K421" s="286">
        <v>1536</v>
      </c>
      <c r="L421" s="286">
        <v>5677</v>
      </c>
      <c r="M421" s="286">
        <v>6314</v>
      </c>
      <c r="N421" s="286">
        <v>1170</v>
      </c>
      <c r="O421" s="286">
        <v>5109</v>
      </c>
      <c r="P421" s="286">
        <v>1364</v>
      </c>
      <c r="Q421" s="286">
        <v>7248</v>
      </c>
      <c r="R421" s="286">
        <v>1536</v>
      </c>
      <c r="S421" s="286">
        <v>5677</v>
      </c>
      <c r="T421" s="286">
        <v>6314</v>
      </c>
      <c r="U421" s="286">
        <v>1170</v>
      </c>
      <c r="V421" s="286">
        <v>5109</v>
      </c>
      <c r="W421" s="286"/>
      <c r="X421" s="286"/>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c r="BO421" s="286"/>
      <c r="BP421" s="286"/>
      <c r="BQ421" s="286"/>
      <c r="BR421" s="286"/>
      <c r="BS421" s="286"/>
      <c r="BT421" s="286"/>
      <c r="BU421" s="286"/>
      <c r="BV421" s="286"/>
      <c r="BW421" s="286"/>
      <c r="BX421" s="286"/>
      <c r="BY421" s="286"/>
      <c r="BZ421" s="286"/>
      <c r="CA421" s="286"/>
      <c r="CB421" s="286"/>
      <c r="CC421" s="286"/>
      <c r="CD421" s="286"/>
      <c r="CE421" s="286"/>
      <c r="CF421" s="286"/>
      <c r="CG421" s="286"/>
      <c r="CH421" s="286"/>
      <c r="CI421" s="286"/>
      <c r="CJ421" s="286"/>
      <c r="CK421" s="286"/>
      <c r="CL421" s="286"/>
      <c r="CM421" s="286"/>
      <c r="CN421" s="286"/>
      <c r="CO421" s="286"/>
      <c r="CP421" s="286"/>
      <c r="CQ421" s="286"/>
      <c r="CR421" s="286"/>
      <c r="CS421" s="286"/>
      <c r="CT421" s="286"/>
      <c r="CU421" s="286"/>
      <c r="CV421" s="286"/>
      <c r="CW421" s="286"/>
      <c r="CX421" s="286"/>
      <c r="CY421" s="286"/>
      <c r="CZ421" s="286"/>
      <c r="DA421" s="286"/>
      <c r="DB421" s="286"/>
      <c r="DC421" s="286"/>
      <c r="DD421" s="286"/>
      <c r="DE421" s="286"/>
      <c r="DF421" s="286"/>
      <c r="DG421" s="286"/>
      <c r="DH421" s="286"/>
      <c r="DI421" s="286"/>
      <c r="DJ421" s="286"/>
      <c r="DK421" s="286"/>
      <c r="DL421" s="286"/>
      <c r="DM421" s="286"/>
      <c r="DN421" s="286"/>
      <c r="DO421" s="286"/>
      <c r="DP421" s="286"/>
      <c r="DQ421" s="286"/>
      <c r="DR421" s="286"/>
      <c r="DS421" s="286"/>
      <c r="DT421" s="286"/>
      <c r="DU421" s="286"/>
      <c r="DV421" s="286"/>
      <c r="DW421" s="286"/>
      <c r="DX421" s="286"/>
      <c r="DY421" s="286"/>
      <c r="DZ421" s="286"/>
      <c r="EA421" s="286"/>
      <c r="EB421" s="286"/>
      <c r="EC421" s="286"/>
      <c r="ED421" s="286"/>
      <c r="EE421" s="286"/>
      <c r="EF421" s="286"/>
      <c r="EG421" s="286"/>
      <c r="EH421" s="286"/>
      <c r="EI421" s="286"/>
      <c r="EJ421" s="286"/>
      <c r="EK421" s="286"/>
      <c r="EL421" s="286"/>
      <c r="EM421" s="286"/>
      <c r="EN421" s="286"/>
      <c r="EO421" s="286"/>
      <c r="EP421" s="286"/>
      <c r="EQ421" s="286"/>
      <c r="ER421" s="286"/>
      <c r="ES421" s="286"/>
      <c r="ET421" s="286"/>
      <c r="EU421" s="286"/>
      <c r="EV421" s="286"/>
      <c r="EW421" s="286"/>
      <c r="EX421" s="286"/>
      <c r="EY421" s="286"/>
      <c r="EZ421" s="286"/>
      <c r="FA421" s="286"/>
      <c r="FB421" s="286"/>
      <c r="FC421" s="286"/>
      <c r="FD421" s="286"/>
      <c r="FE421" s="286"/>
      <c r="FF421" s="286"/>
      <c r="FG421" s="286"/>
      <c r="FH421" s="286"/>
      <c r="FI421" s="286"/>
      <c r="FJ421" s="286"/>
      <c r="FK421" s="286"/>
      <c r="FL421" s="286"/>
      <c r="FM421" s="286"/>
      <c r="FN421" s="286"/>
      <c r="FO421" s="286"/>
      <c r="FP421" s="286"/>
      <c r="FQ421" s="286"/>
      <c r="FR421" s="286"/>
      <c r="FS421" s="286"/>
    </row>
    <row r="422" spans="1:175">
      <c r="A422" s="212" t="s">
        <v>3159</v>
      </c>
      <c r="B422" s="212" t="s">
        <v>3160</v>
      </c>
      <c r="C422" s="212" t="s">
        <v>3170</v>
      </c>
      <c r="D422" s="212" t="s">
        <v>3580</v>
      </c>
      <c r="E422" s="212" t="s">
        <v>3593</v>
      </c>
      <c r="F422" s="278">
        <v>258935</v>
      </c>
      <c r="G422" s="278">
        <v>3219229</v>
      </c>
      <c r="H422" s="287">
        <f t="shared" si="6"/>
        <v>4.3081433473667143</v>
      </c>
      <c r="I422" s="286">
        <v>10193</v>
      </c>
      <c r="J422" s="286">
        <v>138689</v>
      </c>
      <c r="K422" s="286">
        <v>46113</v>
      </c>
      <c r="L422" s="286">
        <v>91981</v>
      </c>
      <c r="M422" s="286">
        <v>125879</v>
      </c>
      <c r="N422" s="286">
        <v>39063</v>
      </c>
      <c r="O422" s="286">
        <v>86222</v>
      </c>
      <c r="P422" s="286">
        <v>10193</v>
      </c>
      <c r="Q422" s="286">
        <v>138689</v>
      </c>
      <c r="R422" s="286">
        <v>46113</v>
      </c>
      <c r="S422" s="286">
        <v>91981</v>
      </c>
      <c r="T422" s="286">
        <v>125879</v>
      </c>
      <c r="U422" s="286">
        <v>39063</v>
      </c>
      <c r="V422" s="286">
        <v>86222</v>
      </c>
      <c r="W422" s="286"/>
      <c r="X422" s="286"/>
      <c r="Y422" s="286"/>
      <c r="Z422" s="286"/>
      <c r="AA422" s="286"/>
      <c r="AB422" s="286"/>
      <c r="AC422" s="286"/>
      <c r="AD422" s="286"/>
      <c r="AE422" s="286"/>
      <c r="AF422" s="286"/>
      <c r="AG422" s="286"/>
      <c r="AH422" s="286"/>
      <c r="AI422" s="286"/>
      <c r="AJ422" s="286"/>
      <c r="AK422" s="286"/>
      <c r="AL422" s="286"/>
      <c r="AM422" s="286"/>
      <c r="AN422" s="286"/>
      <c r="AO422" s="286"/>
      <c r="AP422" s="286"/>
      <c r="AQ422" s="286"/>
      <c r="AR422" s="286"/>
      <c r="AS422" s="286"/>
      <c r="AT422" s="286"/>
      <c r="AU422" s="286"/>
      <c r="AV422" s="286"/>
      <c r="AW422" s="286"/>
      <c r="AX422" s="286"/>
      <c r="AY422" s="286"/>
      <c r="AZ422" s="286"/>
      <c r="BA422" s="286"/>
      <c r="BB422" s="286"/>
      <c r="BC422" s="286"/>
      <c r="BD422" s="286"/>
      <c r="BE422" s="286"/>
      <c r="BF422" s="286"/>
      <c r="BG422" s="286"/>
      <c r="BH422" s="286"/>
      <c r="BI422" s="286"/>
      <c r="BJ422" s="286"/>
      <c r="BK422" s="286"/>
      <c r="BL422" s="286"/>
      <c r="BM422" s="286"/>
      <c r="BN422" s="286"/>
      <c r="BO422" s="286"/>
      <c r="BP422" s="286"/>
      <c r="BQ422" s="286"/>
      <c r="BR422" s="286"/>
      <c r="BS422" s="286"/>
      <c r="BT422" s="286"/>
      <c r="BU422" s="286"/>
      <c r="BV422" s="286"/>
      <c r="BW422" s="286"/>
      <c r="BX422" s="286"/>
      <c r="BY422" s="286"/>
      <c r="BZ422" s="286"/>
      <c r="CA422" s="286"/>
      <c r="CB422" s="286"/>
      <c r="CC422" s="286"/>
      <c r="CD422" s="286"/>
      <c r="CE422" s="286"/>
      <c r="CF422" s="286"/>
      <c r="CG422" s="286"/>
      <c r="CH422" s="286"/>
      <c r="CI422" s="286"/>
      <c r="CJ422" s="286"/>
      <c r="CK422" s="286"/>
      <c r="CL422" s="286"/>
      <c r="CM422" s="286"/>
      <c r="CN422" s="286"/>
      <c r="CO422" s="286"/>
      <c r="CP422" s="286"/>
      <c r="CQ422" s="286"/>
      <c r="CR422" s="286"/>
      <c r="CS422" s="286"/>
      <c r="CT422" s="286"/>
      <c r="CU422" s="286"/>
      <c r="CV422" s="286"/>
      <c r="CW422" s="286"/>
      <c r="CX422" s="286"/>
      <c r="CY422" s="286"/>
      <c r="CZ422" s="286"/>
      <c r="DA422" s="286"/>
      <c r="DB422" s="286"/>
      <c r="DC422" s="286"/>
      <c r="DD422" s="286"/>
      <c r="DE422" s="286"/>
      <c r="DF422" s="286"/>
      <c r="DG422" s="286"/>
      <c r="DH422" s="286"/>
      <c r="DI422" s="286"/>
      <c r="DJ422" s="286"/>
      <c r="DK422" s="286"/>
      <c r="DL422" s="286"/>
      <c r="DM422" s="286"/>
      <c r="DN422" s="286"/>
      <c r="DO422" s="286"/>
      <c r="DP422" s="286"/>
      <c r="DQ422" s="286"/>
      <c r="DR422" s="286"/>
      <c r="DS422" s="286"/>
      <c r="DT422" s="286"/>
      <c r="DU422" s="286"/>
      <c r="DV422" s="286"/>
      <c r="DW422" s="286"/>
      <c r="DX422" s="286"/>
      <c r="DY422" s="286"/>
      <c r="DZ422" s="286"/>
      <c r="EA422" s="286"/>
      <c r="EB422" s="286"/>
      <c r="EC422" s="286"/>
      <c r="ED422" s="286"/>
      <c r="EE422" s="286"/>
      <c r="EF422" s="286"/>
      <c r="EG422" s="286"/>
      <c r="EH422" s="286"/>
      <c r="EI422" s="286"/>
      <c r="EJ422" s="286"/>
      <c r="EK422" s="286"/>
      <c r="EL422" s="286"/>
      <c r="EM422" s="286"/>
      <c r="EN422" s="286"/>
      <c r="EO422" s="286"/>
      <c r="EP422" s="286"/>
      <c r="EQ422" s="286"/>
      <c r="ER422" s="286"/>
      <c r="ES422" s="286"/>
      <c r="ET422" s="286"/>
      <c r="EU422" s="286"/>
      <c r="EV422" s="286"/>
      <c r="EW422" s="286"/>
      <c r="EX422" s="286"/>
      <c r="EY422" s="286"/>
      <c r="EZ422" s="286"/>
      <c r="FA422" s="286"/>
      <c r="FB422" s="286"/>
      <c r="FC422" s="286"/>
      <c r="FD422" s="286"/>
      <c r="FE422" s="286"/>
      <c r="FF422" s="286"/>
      <c r="FG422" s="286"/>
      <c r="FH422" s="286"/>
      <c r="FI422" s="286"/>
      <c r="FJ422" s="286"/>
      <c r="FK422" s="286"/>
      <c r="FL422" s="286"/>
      <c r="FM422" s="286"/>
      <c r="FN422" s="286"/>
      <c r="FO422" s="286"/>
      <c r="FP422" s="286"/>
      <c r="FQ422" s="286"/>
      <c r="FR422" s="286"/>
      <c r="FS422" s="286"/>
    </row>
    <row r="423" spans="1:175">
      <c r="A423" s="212" t="s">
        <v>3159</v>
      </c>
      <c r="B423" s="212" t="s">
        <v>3160</v>
      </c>
      <c r="C423" s="212" t="s">
        <v>3172</v>
      </c>
      <c r="D423" s="212" t="s">
        <v>3580</v>
      </c>
      <c r="E423" s="212" t="s">
        <v>3594</v>
      </c>
      <c r="F423" s="278">
        <v>2020</v>
      </c>
      <c r="G423" s="278">
        <v>54153</v>
      </c>
      <c r="H423" s="287">
        <f t="shared" si="6"/>
        <v>3.7449448784000889</v>
      </c>
      <c r="I423" s="286">
        <v>68</v>
      </c>
      <c r="J423" s="286">
        <v>2028</v>
      </c>
      <c r="K423" s="286">
        <v>975</v>
      </c>
      <c r="L423" s="286">
        <v>947</v>
      </c>
      <c r="M423" s="286">
        <v>1919</v>
      </c>
      <c r="N423" s="286">
        <v>900</v>
      </c>
      <c r="O423" s="286">
        <v>913</v>
      </c>
      <c r="P423" s="286">
        <v>68</v>
      </c>
      <c r="Q423" s="286">
        <v>2028</v>
      </c>
      <c r="R423" s="286">
        <v>975</v>
      </c>
      <c r="S423" s="286">
        <v>947</v>
      </c>
      <c r="T423" s="286">
        <v>1919</v>
      </c>
      <c r="U423" s="286">
        <v>900</v>
      </c>
      <c r="V423" s="286">
        <v>913</v>
      </c>
      <c r="W423" s="286"/>
      <c r="X423" s="286"/>
      <c r="Y423" s="286"/>
      <c r="Z423" s="286"/>
      <c r="AA423" s="286"/>
      <c r="AB423" s="286"/>
      <c r="AC423" s="286"/>
      <c r="AD423" s="286"/>
      <c r="AE423" s="286"/>
      <c r="AF423" s="286"/>
      <c r="AG423" s="286"/>
      <c r="AH423" s="286"/>
      <c r="AI423" s="286"/>
      <c r="AJ423" s="286"/>
      <c r="AK423" s="286"/>
      <c r="AL423" s="286"/>
      <c r="AM423" s="286"/>
      <c r="AN423" s="286"/>
      <c r="AO423" s="286"/>
      <c r="AP423" s="286"/>
      <c r="AQ423" s="286"/>
      <c r="AR423" s="286"/>
      <c r="AS423" s="286"/>
      <c r="AT423" s="286"/>
      <c r="AU423" s="286"/>
      <c r="AV423" s="286"/>
      <c r="AW423" s="286"/>
      <c r="AX423" s="286"/>
      <c r="AY423" s="286"/>
      <c r="AZ423" s="286"/>
      <c r="BA423" s="286"/>
      <c r="BB423" s="286"/>
      <c r="BC423" s="286"/>
      <c r="BD423" s="286"/>
      <c r="BE423" s="286"/>
      <c r="BF423" s="286"/>
      <c r="BG423" s="286"/>
      <c r="BH423" s="286"/>
      <c r="BI423" s="286"/>
      <c r="BJ423" s="286"/>
      <c r="BK423" s="286"/>
      <c r="BL423" s="286"/>
      <c r="BM423" s="286"/>
      <c r="BN423" s="286"/>
      <c r="BO423" s="286"/>
      <c r="BP423" s="286"/>
      <c r="BQ423" s="286"/>
      <c r="BR423" s="286"/>
      <c r="BS423" s="286"/>
      <c r="BT423" s="286"/>
      <c r="BU423" s="286"/>
      <c r="BV423" s="286"/>
      <c r="BW423" s="286"/>
      <c r="BX423" s="286"/>
      <c r="BY423" s="286"/>
      <c r="BZ423" s="286"/>
      <c r="CA423" s="286"/>
      <c r="CB423" s="286"/>
      <c r="CC423" s="286"/>
      <c r="CD423" s="286"/>
      <c r="CE423" s="286"/>
      <c r="CF423" s="286"/>
      <c r="CG423" s="286"/>
      <c r="CH423" s="286"/>
      <c r="CI423" s="286"/>
      <c r="CJ423" s="286"/>
      <c r="CK423" s="286"/>
      <c r="CL423" s="286"/>
      <c r="CM423" s="286"/>
      <c r="CN423" s="286"/>
      <c r="CO423" s="286"/>
      <c r="CP423" s="286"/>
      <c r="CQ423" s="286"/>
      <c r="CR423" s="286"/>
      <c r="CS423" s="286"/>
      <c r="CT423" s="286"/>
      <c r="CU423" s="286"/>
      <c r="CV423" s="286"/>
      <c r="CW423" s="286"/>
      <c r="CX423" s="286"/>
      <c r="CY423" s="286"/>
      <c r="CZ423" s="286"/>
      <c r="DA423" s="286"/>
      <c r="DB423" s="286"/>
      <c r="DC423" s="286"/>
      <c r="DD423" s="286"/>
      <c r="DE423" s="286"/>
      <c r="DF423" s="286"/>
      <c r="DG423" s="286"/>
      <c r="DH423" s="286"/>
      <c r="DI423" s="286"/>
      <c r="DJ423" s="286"/>
      <c r="DK423" s="286"/>
      <c r="DL423" s="286"/>
      <c r="DM423" s="286"/>
      <c r="DN423" s="286"/>
      <c r="DO423" s="286"/>
      <c r="DP423" s="286"/>
      <c r="DQ423" s="286"/>
      <c r="DR423" s="286"/>
      <c r="DS423" s="286"/>
      <c r="DT423" s="286"/>
      <c r="DU423" s="286"/>
      <c r="DV423" s="286"/>
      <c r="DW423" s="286"/>
      <c r="DX423" s="286"/>
      <c r="DY423" s="286"/>
      <c r="DZ423" s="286"/>
      <c r="EA423" s="286"/>
      <c r="EB423" s="286"/>
      <c r="EC423" s="286"/>
      <c r="ED423" s="286"/>
      <c r="EE423" s="286"/>
      <c r="EF423" s="286"/>
      <c r="EG423" s="286"/>
      <c r="EH423" s="286"/>
      <c r="EI423" s="286"/>
      <c r="EJ423" s="286"/>
      <c r="EK423" s="286"/>
      <c r="EL423" s="286"/>
      <c r="EM423" s="286"/>
      <c r="EN423" s="286"/>
      <c r="EO423" s="286"/>
      <c r="EP423" s="286"/>
      <c r="EQ423" s="286"/>
      <c r="ER423" s="286"/>
      <c r="ES423" s="286"/>
      <c r="ET423" s="286"/>
      <c r="EU423" s="286"/>
      <c r="EV423" s="286"/>
      <c r="EW423" s="286"/>
      <c r="EX423" s="286"/>
      <c r="EY423" s="286"/>
      <c r="EZ423" s="286"/>
      <c r="FA423" s="286"/>
      <c r="FB423" s="286"/>
      <c r="FC423" s="286"/>
      <c r="FD423" s="286"/>
      <c r="FE423" s="286"/>
      <c r="FF423" s="286"/>
      <c r="FG423" s="286"/>
      <c r="FH423" s="286"/>
      <c r="FI423" s="286"/>
      <c r="FJ423" s="286"/>
      <c r="FK423" s="286"/>
      <c r="FL423" s="286"/>
      <c r="FM423" s="286"/>
      <c r="FN423" s="286"/>
      <c r="FO423" s="286"/>
      <c r="FP423" s="286"/>
      <c r="FQ423" s="286"/>
      <c r="FR423" s="286"/>
      <c r="FS423" s="286"/>
    </row>
    <row r="424" spans="1:175">
      <c r="A424" s="212" t="s">
        <v>3159</v>
      </c>
      <c r="B424" s="212" t="s">
        <v>3160</v>
      </c>
      <c r="C424" s="212" t="s">
        <v>3172</v>
      </c>
      <c r="D424" s="212" t="s">
        <v>3580</v>
      </c>
      <c r="E424" s="212" t="s">
        <v>3595</v>
      </c>
      <c r="F424" s="278">
        <v>23863</v>
      </c>
      <c r="G424" s="278">
        <v>1126176</v>
      </c>
      <c r="H424" s="287">
        <f t="shared" si="6"/>
        <v>5.1737028670474245</v>
      </c>
      <c r="I424" s="286">
        <v>991</v>
      </c>
      <c r="J424" s="286">
        <v>58265</v>
      </c>
      <c r="K424" s="286">
        <v>16522</v>
      </c>
      <c r="L424" s="286">
        <v>41358</v>
      </c>
      <c r="M424" s="286">
        <v>57704</v>
      </c>
      <c r="N424" s="286">
        <v>16234</v>
      </c>
      <c r="O424" s="286">
        <v>41085</v>
      </c>
      <c r="P424" s="286">
        <v>991</v>
      </c>
      <c r="Q424" s="286">
        <v>58265</v>
      </c>
      <c r="R424" s="286">
        <v>16522</v>
      </c>
      <c r="S424" s="286">
        <v>41358</v>
      </c>
      <c r="T424" s="286">
        <v>57704</v>
      </c>
      <c r="U424" s="286">
        <v>16234</v>
      </c>
      <c r="V424" s="286">
        <v>41085</v>
      </c>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c r="AS424" s="286"/>
      <c r="AT424" s="286"/>
      <c r="AU424" s="286"/>
      <c r="AV424" s="286"/>
      <c r="AW424" s="286"/>
      <c r="AX424" s="286"/>
      <c r="AY424" s="286"/>
      <c r="AZ424" s="286"/>
      <c r="BA424" s="286"/>
      <c r="BB424" s="286"/>
      <c r="BC424" s="286"/>
      <c r="BD424" s="286"/>
      <c r="BE424" s="286"/>
      <c r="BF424" s="286"/>
      <c r="BG424" s="286"/>
      <c r="BH424" s="286"/>
      <c r="BI424" s="286"/>
      <c r="BJ424" s="286"/>
      <c r="BK424" s="286"/>
      <c r="BL424" s="286"/>
      <c r="BM424" s="286"/>
      <c r="BN424" s="286"/>
      <c r="BO424" s="286"/>
      <c r="BP424" s="286"/>
      <c r="BQ424" s="286"/>
      <c r="BR424" s="286"/>
      <c r="BS424" s="286"/>
      <c r="BT424" s="286"/>
      <c r="BU424" s="286"/>
      <c r="BV424" s="286"/>
      <c r="BW424" s="286"/>
      <c r="BX424" s="286"/>
      <c r="BY424" s="286"/>
      <c r="BZ424" s="286"/>
      <c r="CA424" s="286"/>
      <c r="CB424" s="286"/>
      <c r="CC424" s="286"/>
      <c r="CD424" s="286"/>
      <c r="CE424" s="286"/>
      <c r="CF424" s="286"/>
      <c r="CG424" s="286"/>
      <c r="CH424" s="286"/>
      <c r="CI424" s="286"/>
      <c r="CJ424" s="286"/>
      <c r="CK424" s="286"/>
      <c r="CL424" s="286"/>
      <c r="CM424" s="286"/>
      <c r="CN424" s="286"/>
      <c r="CO424" s="286"/>
      <c r="CP424" s="286"/>
      <c r="CQ424" s="286"/>
      <c r="CR424" s="286"/>
      <c r="CS424" s="286"/>
      <c r="CT424" s="286"/>
      <c r="CU424" s="286"/>
      <c r="CV424" s="286"/>
      <c r="CW424" s="286"/>
      <c r="CX424" s="286"/>
      <c r="CY424" s="286"/>
      <c r="CZ424" s="286"/>
      <c r="DA424" s="286"/>
      <c r="DB424" s="286"/>
      <c r="DC424" s="286"/>
      <c r="DD424" s="286"/>
      <c r="DE424" s="286"/>
      <c r="DF424" s="286"/>
      <c r="DG424" s="286"/>
      <c r="DH424" s="286"/>
      <c r="DI424" s="286"/>
      <c r="DJ424" s="286"/>
      <c r="DK424" s="286"/>
      <c r="DL424" s="286"/>
      <c r="DM424" s="286"/>
      <c r="DN424" s="286"/>
      <c r="DO424" s="286"/>
      <c r="DP424" s="286"/>
      <c r="DQ424" s="286"/>
      <c r="DR424" s="286"/>
      <c r="DS424" s="286"/>
      <c r="DT424" s="286"/>
      <c r="DU424" s="286"/>
      <c r="DV424" s="286"/>
      <c r="DW424" s="286"/>
      <c r="DX424" s="286"/>
      <c r="DY424" s="286"/>
      <c r="DZ424" s="286"/>
      <c r="EA424" s="286"/>
      <c r="EB424" s="286"/>
      <c r="EC424" s="286"/>
      <c r="ED424" s="286"/>
      <c r="EE424" s="286"/>
      <c r="EF424" s="286"/>
      <c r="EG424" s="286"/>
      <c r="EH424" s="286"/>
      <c r="EI424" s="286"/>
      <c r="EJ424" s="286"/>
      <c r="EK424" s="286"/>
      <c r="EL424" s="286"/>
      <c r="EM424" s="286"/>
      <c r="EN424" s="286"/>
      <c r="EO424" s="286"/>
      <c r="EP424" s="286"/>
      <c r="EQ424" s="286"/>
      <c r="ER424" s="286"/>
      <c r="ES424" s="286"/>
      <c r="ET424" s="286"/>
      <c r="EU424" s="286"/>
      <c r="EV424" s="286"/>
      <c r="EW424" s="286"/>
      <c r="EX424" s="286"/>
      <c r="EY424" s="286"/>
      <c r="EZ424" s="286"/>
      <c r="FA424" s="286"/>
      <c r="FB424" s="286"/>
      <c r="FC424" s="286"/>
      <c r="FD424" s="286"/>
      <c r="FE424" s="286"/>
      <c r="FF424" s="286"/>
      <c r="FG424" s="286"/>
      <c r="FH424" s="286"/>
      <c r="FI424" s="286"/>
      <c r="FJ424" s="286"/>
      <c r="FK424" s="286"/>
      <c r="FL424" s="286"/>
      <c r="FM424" s="286"/>
      <c r="FN424" s="286"/>
      <c r="FO424" s="286"/>
      <c r="FP424" s="286"/>
      <c r="FQ424" s="286"/>
      <c r="FR424" s="286"/>
      <c r="FS424" s="286"/>
    </row>
    <row r="425" spans="1:175">
      <c r="A425" s="212" t="s">
        <v>3159</v>
      </c>
      <c r="B425" s="212" t="s">
        <v>3160</v>
      </c>
      <c r="C425" s="212" t="s">
        <v>3172</v>
      </c>
      <c r="D425" s="212" t="s">
        <v>3580</v>
      </c>
      <c r="E425" s="212" t="s">
        <v>3596</v>
      </c>
      <c r="F425" s="278">
        <v>14392</v>
      </c>
      <c r="G425" s="278">
        <v>80164</v>
      </c>
      <c r="H425" s="287">
        <f t="shared" si="6"/>
        <v>3.3181976947258121</v>
      </c>
      <c r="I425" s="286">
        <v>497</v>
      </c>
      <c r="J425" s="286">
        <v>2660</v>
      </c>
      <c r="K425" s="286">
        <v>1164</v>
      </c>
      <c r="L425" s="286">
        <v>1496</v>
      </c>
      <c r="M425" s="286">
        <v>1823</v>
      </c>
      <c r="N425" s="286">
        <v>619</v>
      </c>
      <c r="O425" s="286">
        <v>1204</v>
      </c>
      <c r="P425" s="286">
        <v>497</v>
      </c>
      <c r="Q425" s="286">
        <v>2660</v>
      </c>
      <c r="R425" s="286">
        <v>1164</v>
      </c>
      <c r="S425" s="286">
        <v>1496</v>
      </c>
      <c r="T425" s="286">
        <v>1823</v>
      </c>
      <c r="U425" s="286">
        <v>619</v>
      </c>
      <c r="V425" s="286">
        <v>1204</v>
      </c>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c r="AR425" s="286"/>
      <c r="AS425" s="286"/>
      <c r="AT425" s="286"/>
      <c r="AU425" s="286"/>
      <c r="AV425" s="286"/>
      <c r="AW425" s="286"/>
      <c r="AX425" s="286"/>
      <c r="AY425" s="286"/>
      <c r="AZ425" s="286"/>
      <c r="BA425" s="286"/>
      <c r="BB425" s="286"/>
      <c r="BC425" s="286"/>
      <c r="BD425" s="286"/>
      <c r="BE425" s="286"/>
      <c r="BF425" s="286"/>
      <c r="BG425" s="286"/>
      <c r="BH425" s="286"/>
      <c r="BI425" s="286"/>
      <c r="BJ425" s="286"/>
      <c r="BK425" s="286"/>
      <c r="BL425" s="286"/>
      <c r="BM425" s="286"/>
      <c r="BN425" s="286"/>
      <c r="BO425" s="286"/>
      <c r="BP425" s="286"/>
      <c r="BQ425" s="286"/>
      <c r="BR425" s="286"/>
      <c r="BS425" s="286"/>
      <c r="BT425" s="286"/>
      <c r="BU425" s="286"/>
      <c r="BV425" s="286"/>
      <c r="BW425" s="286"/>
      <c r="BX425" s="286"/>
      <c r="BY425" s="286"/>
      <c r="BZ425" s="286"/>
      <c r="CA425" s="286"/>
      <c r="CB425" s="286"/>
      <c r="CC425" s="286"/>
      <c r="CD425" s="286"/>
      <c r="CE425" s="286"/>
      <c r="CF425" s="286"/>
      <c r="CG425" s="286"/>
      <c r="CH425" s="286"/>
      <c r="CI425" s="286"/>
      <c r="CJ425" s="286"/>
      <c r="CK425" s="286"/>
      <c r="CL425" s="286"/>
      <c r="CM425" s="286"/>
      <c r="CN425" s="286"/>
      <c r="CO425" s="286"/>
      <c r="CP425" s="286"/>
      <c r="CQ425" s="286"/>
      <c r="CR425" s="286"/>
      <c r="CS425" s="286"/>
      <c r="CT425" s="286"/>
      <c r="CU425" s="286"/>
      <c r="CV425" s="286"/>
      <c r="CW425" s="286"/>
      <c r="CX425" s="286"/>
      <c r="CY425" s="286"/>
      <c r="CZ425" s="286"/>
      <c r="DA425" s="286"/>
      <c r="DB425" s="286"/>
      <c r="DC425" s="286"/>
      <c r="DD425" s="286"/>
      <c r="DE425" s="286"/>
      <c r="DF425" s="286"/>
      <c r="DG425" s="286"/>
      <c r="DH425" s="286"/>
      <c r="DI425" s="286"/>
      <c r="DJ425" s="286"/>
      <c r="DK425" s="286"/>
      <c r="DL425" s="286"/>
      <c r="DM425" s="286"/>
      <c r="DN425" s="286"/>
      <c r="DO425" s="286"/>
      <c r="DP425" s="286"/>
      <c r="DQ425" s="286"/>
      <c r="DR425" s="286"/>
      <c r="DS425" s="286"/>
      <c r="DT425" s="286"/>
      <c r="DU425" s="286"/>
      <c r="DV425" s="286"/>
      <c r="DW425" s="286"/>
      <c r="DX425" s="286"/>
      <c r="DY425" s="286"/>
      <c r="DZ425" s="286"/>
      <c r="EA425" s="286"/>
      <c r="EB425" s="286"/>
      <c r="EC425" s="286"/>
      <c r="ED425" s="286"/>
      <c r="EE425" s="286"/>
      <c r="EF425" s="286"/>
      <c r="EG425" s="286"/>
      <c r="EH425" s="286"/>
      <c r="EI425" s="286"/>
      <c r="EJ425" s="286"/>
      <c r="EK425" s="286"/>
      <c r="EL425" s="286"/>
      <c r="EM425" s="286"/>
      <c r="EN425" s="286"/>
      <c r="EO425" s="286"/>
      <c r="EP425" s="286"/>
      <c r="EQ425" s="286"/>
      <c r="ER425" s="286"/>
      <c r="ES425" s="286"/>
      <c r="ET425" s="286"/>
      <c r="EU425" s="286"/>
      <c r="EV425" s="286"/>
      <c r="EW425" s="286"/>
      <c r="EX425" s="286"/>
      <c r="EY425" s="286"/>
      <c r="EZ425" s="286"/>
      <c r="FA425" s="286"/>
      <c r="FB425" s="286"/>
      <c r="FC425" s="286"/>
      <c r="FD425" s="286"/>
      <c r="FE425" s="286"/>
      <c r="FF425" s="286"/>
      <c r="FG425" s="286"/>
      <c r="FH425" s="286"/>
      <c r="FI425" s="286"/>
      <c r="FJ425" s="286"/>
      <c r="FK425" s="286"/>
      <c r="FL425" s="286"/>
      <c r="FM425" s="286"/>
      <c r="FN425" s="286"/>
      <c r="FO425" s="286"/>
      <c r="FP425" s="286"/>
      <c r="FQ425" s="286"/>
      <c r="FR425" s="286"/>
      <c r="FS425" s="286"/>
    </row>
    <row r="426" spans="1:175">
      <c r="A426" s="212" t="s">
        <v>3159</v>
      </c>
      <c r="B426" s="212" t="s">
        <v>3160</v>
      </c>
      <c r="C426" s="212" t="s">
        <v>3172</v>
      </c>
      <c r="D426" s="212" t="s">
        <v>3580</v>
      </c>
      <c r="E426" s="212" t="s">
        <v>3597</v>
      </c>
      <c r="F426" s="278">
        <v>9322</v>
      </c>
      <c r="G426" s="278">
        <v>56498</v>
      </c>
      <c r="H426" s="287">
        <f t="shared" si="6"/>
        <v>5.7506460405678075</v>
      </c>
      <c r="I426" s="286">
        <v>482</v>
      </c>
      <c r="J426" s="286">
        <v>3249</v>
      </c>
      <c r="K426" s="286">
        <v>1481</v>
      </c>
      <c r="L426" s="286">
        <v>1758</v>
      </c>
      <c r="M426" s="286">
        <v>2542</v>
      </c>
      <c r="N426" s="286">
        <v>1046</v>
      </c>
      <c r="O426" s="286">
        <v>1486</v>
      </c>
      <c r="P426" s="286">
        <v>482</v>
      </c>
      <c r="Q426" s="286">
        <v>3249</v>
      </c>
      <c r="R426" s="286">
        <v>1481</v>
      </c>
      <c r="S426" s="286">
        <v>1758</v>
      </c>
      <c r="T426" s="286">
        <v>2542</v>
      </c>
      <c r="U426" s="286">
        <v>1046</v>
      </c>
      <c r="V426" s="286">
        <v>1486</v>
      </c>
      <c r="W426" s="286"/>
      <c r="X426" s="286"/>
      <c r="Y426" s="286"/>
      <c r="Z426" s="286"/>
      <c r="AA426" s="286"/>
      <c r="AB426" s="286"/>
      <c r="AC426" s="286"/>
      <c r="AD426" s="286"/>
      <c r="AE426" s="286"/>
      <c r="AF426" s="286"/>
      <c r="AG426" s="286"/>
      <c r="AH426" s="286"/>
      <c r="AI426" s="286"/>
      <c r="AJ426" s="286"/>
      <c r="AK426" s="286"/>
      <c r="AL426" s="286"/>
      <c r="AM426" s="286"/>
      <c r="AN426" s="286"/>
      <c r="AO426" s="286"/>
      <c r="AP426" s="286"/>
      <c r="AQ426" s="286"/>
      <c r="AR426" s="286"/>
      <c r="AS426" s="286"/>
      <c r="AT426" s="286"/>
      <c r="AU426" s="286"/>
      <c r="AV426" s="286"/>
      <c r="AW426" s="286"/>
      <c r="AX426" s="286"/>
      <c r="AY426" s="286"/>
      <c r="AZ426" s="286"/>
      <c r="BA426" s="286"/>
      <c r="BB426" s="286"/>
      <c r="BC426" s="286"/>
      <c r="BD426" s="286"/>
      <c r="BE426" s="286"/>
      <c r="BF426" s="286"/>
      <c r="BG426" s="286"/>
      <c r="BH426" s="286"/>
      <c r="BI426" s="286"/>
      <c r="BJ426" s="286"/>
      <c r="BK426" s="286"/>
      <c r="BL426" s="286"/>
      <c r="BM426" s="286"/>
      <c r="BN426" s="286"/>
      <c r="BO426" s="286"/>
      <c r="BP426" s="286"/>
      <c r="BQ426" s="286"/>
      <c r="BR426" s="286"/>
      <c r="BS426" s="286"/>
      <c r="BT426" s="286"/>
      <c r="BU426" s="286"/>
      <c r="BV426" s="286"/>
      <c r="BW426" s="286"/>
      <c r="BX426" s="286"/>
      <c r="BY426" s="286"/>
      <c r="BZ426" s="286"/>
      <c r="CA426" s="286"/>
      <c r="CB426" s="286"/>
      <c r="CC426" s="286"/>
      <c r="CD426" s="286"/>
      <c r="CE426" s="286"/>
      <c r="CF426" s="286"/>
      <c r="CG426" s="286"/>
      <c r="CH426" s="286"/>
      <c r="CI426" s="286"/>
      <c r="CJ426" s="286"/>
      <c r="CK426" s="286"/>
      <c r="CL426" s="286"/>
      <c r="CM426" s="286"/>
      <c r="CN426" s="286"/>
      <c r="CO426" s="286"/>
      <c r="CP426" s="286"/>
      <c r="CQ426" s="286"/>
      <c r="CR426" s="286"/>
      <c r="CS426" s="286"/>
      <c r="CT426" s="286"/>
      <c r="CU426" s="286"/>
      <c r="CV426" s="286"/>
      <c r="CW426" s="286"/>
      <c r="CX426" s="286"/>
      <c r="CY426" s="286"/>
      <c r="CZ426" s="286"/>
      <c r="DA426" s="286"/>
      <c r="DB426" s="286"/>
      <c r="DC426" s="286"/>
      <c r="DD426" s="286"/>
      <c r="DE426" s="286"/>
      <c r="DF426" s="286"/>
      <c r="DG426" s="286"/>
      <c r="DH426" s="286"/>
      <c r="DI426" s="286"/>
      <c r="DJ426" s="286"/>
      <c r="DK426" s="286"/>
      <c r="DL426" s="286"/>
      <c r="DM426" s="286"/>
      <c r="DN426" s="286"/>
      <c r="DO426" s="286"/>
      <c r="DP426" s="286"/>
      <c r="DQ426" s="286"/>
      <c r="DR426" s="286"/>
      <c r="DS426" s="286"/>
      <c r="DT426" s="286"/>
      <c r="DU426" s="286"/>
      <c r="DV426" s="286"/>
      <c r="DW426" s="286"/>
      <c r="DX426" s="286"/>
      <c r="DY426" s="286"/>
      <c r="DZ426" s="286"/>
      <c r="EA426" s="286"/>
      <c r="EB426" s="286"/>
      <c r="EC426" s="286"/>
      <c r="ED426" s="286"/>
      <c r="EE426" s="286"/>
      <c r="EF426" s="286"/>
      <c r="EG426" s="286"/>
      <c r="EH426" s="286"/>
      <c r="EI426" s="286"/>
      <c r="EJ426" s="286"/>
      <c r="EK426" s="286"/>
      <c r="EL426" s="286"/>
      <c r="EM426" s="286"/>
      <c r="EN426" s="286"/>
      <c r="EO426" s="286"/>
      <c r="EP426" s="286"/>
      <c r="EQ426" s="286"/>
      <c r="ER426" s="286"/>
      <c r="ES426" s="286"/>
      <c r="ET426" s="286"/>
      <c r="EU426" s="286"/>
      <c r="EV426" s="286"/>
      <c r="EW426" s="286"/>
      <c r="EX426" s="286"/>
      <c r="EY426" s="286"/>
      <c r="EZ426" s="286"/>
      <c r="FA426" s="286"/>
      <c r="FB426" s="286"/>
      <c r="FC426" s="286"/>
      <c r="FD426" s="286"/>
      <c r="FE426" s="286"/>
      <c r="FF426" s="286"/>
      <c r="FG426" s="286"/>
      <c r="FH426" s="286"/>
      <c r="FI426" s="286"/>
      <c r="FJ426" s="286"/>
      <c r="FK426" s="286"/>
      <c r="FL426" s="286"/>
      <c r="FM426" s="286"/>
      <c r="FN426" s="286"/>
      <c r="FO426" s="286"/>
      <c r="FP426" s="286"/>
      <c r="FQ426" s="286"/>
      <c r="FR426" s="286"/>
      <c r="FS426" s="286"/>
    </row>
    <row r="427" spans="1:175">
      <c r="A427" s="212" t="s">
        <v>3159</v>
      </c>
      <c r="B427" s="212" t="s">
        <v>3160</v>
      </c>
      <c r="C427" s="212" t="s">
        <v>3172</v>
      </c>
      <c r="D427" s="212" t="s">
        <v>3580</v>
      </c>
      <c r="E427" s="212" t="s">
        <v>3598</v>
      </c>
      <c r="F427" s="278">
        <v>10246</v>
      </c>
      <c r="G427" s="278">
        <v>48801</v>
      </c>
      <c r="H427" s="287">
        <f t="shared" si="6"/>
        <v>3.3032109997745946</v>
      </c>
      <c r="I427" s="286">
        <v>352</v>
      </c>
      <c r="J427" s="286">
        <v>1612</v>
      </c>
      <c r="K427" s="286">
        <v>868</v>
      </c>
      <c r="L427" s="286">
        <v>744</v>
      </c>
      <c r="M427" s="286">
        <v>1061</v>
      </c>
      <c r="N427" s="286">
        <v>534</v>
      </c>
      <c r="O427" s="286">
        <v>527</v>
      </c>
      <c r="P427" s="286">
        <v>352</v>
      </c>
      <c r="Q427" s="286">
        <v>1612</v>
      </c>
      <c r="R427" s="286">
        <v>868</v>
      </c>
      <c r="S427" s="286">
        <v>744</v>
      </c>
      <c r="T427" s="286">
        <v>1061</v>
      </c>
      <c r="U427" s="286">
        <v>534</v>
      </c>
      <c r="V427" s="286">
        <v>527</v>
      </c>
      <c r="W427" s="286"/>
      <c r="X427" s="286"/>
      <c r="Y427" s="286"/>
      <c r="Z427" s="286"/>
      <c r="AA427" s="286"/>
      <c r="AB427" s="286"/>
      <c r="AC427" s="286"/>
      <c r="AD427" s="286"/>
      <c r="AE427" s="286"/>
      <c r="AF427" s="286"/>
      <c r="AG427" s="286"/>
      <c r="AH427" s="286"/>
      <c r="AI427" s="286"/>
      <c r="AJ427" s="286"/>
      <c r="AK427" s="286"/>
      <c r="AL427" s="286"/>
      <c r="AM427" s="286"/>
      <c r="AN427" s="286"/>
      <c r="AO427" s="286"/>
      <c r="AP427" s="286"/>
      <c r="AQ427" s="286"/>
      <c r="AR427" s="286"/>
      <c r="AS427" s="286"/>
      <c r="AT427" s="286"/>
      <c r="AU427" s="286"/>
      <c r="AV427" s="286"/>
      <c r="AW427" s="286"/>
      <c r="AX427" s="286"/>
      <c r="AY427" s="286"/>
      <c r="AZ427" s="286"/>
      <c r="BA427" s="286"/>
      <c r="BB427" s="286"/>
      <c r="BC427" s="286"/>
      <c r="BD427" s="286"/>
      <c r="BE427" s="286"/>
      <c r="BF427" s="286"/>
      <c r="BG427" s="286"/>
      <c r="BH427" s="286"/>
      <c r="BI427" s="286"/>
      <c r="BJ427" s="286"/>
      <c r="BK427" s="286"/>
      <c r="BL427" s="286"/>
      <c r="BM427" s="286"/>
      <c r="BN427" s="286"/>
      <c r="BO427" s="286"/>
      <c r="BP427" s="286"/>
      <c r="BQ427" s="286"/>
      <c r="BR427" s="286"/>
      <c r="BS427" s="286"/>
      <c r="BT427" s="286"/>
      <c r="BU427" s="286"/>
      <c r="BV427" s="286"/>
      <c r="BW427" s="286"/>
      <c r="BX427" s="286"/>
      <c r="BY427" s="286"/>
      <c r="BZ427" s="286"/>
      <c r="CA427" s="286"/>
      <c r="CB427" s="286"/>
      <c r="CC427" s="286"/>
      <c r="CD427" s="286"/>
      <c r="CE427" s="286"/>
      <c r="CF427" s="286"/>
      <c r="CG427" s="286"/>
      <c r="CH427" s="286"/>
      <c r="CI427" s="286"/>
      <c r="CJ427" s="286"/>
      <c r="CK427" s="286"/>
      <c r="CL427" s="286"/>
      <c r="CM427" s="286"/>
      <c r="CN427" s="286"/>
      <c r="CO427" s="286"/>
      <c r="CP427" s="286"/>
      <c r="CQ427" s="286"/>
      <c r="CR427" s="286"/>
      <c r="CS427" s="286"/>
      <c r="CT427" s="286"/>
      <c r="CU427" s="286"/>
      <c r="CV427" s="286"/>
      <c r="CW427" s="286"/>
      <c r="CX427" s="286"/>
      <c r="CY427" s="286"/>
      <c r="CZ427" s="286"/>
      <c r="DA427" s="286"/>
      <c r="DB427" s="286"/>
      <c r="DC427" s="286"/>
      <c r="DD427" s="286"/>
      <c r="DE427" s="286"/>
      <c r="DF427" s="286"/>
      <c r="DG427" s="286"/>
      <c r="DH427" s="286"/>
      <c r="DI427" s="286"/>
      <c r="DJ427" s="286"/>
      <c r="DK427" s="286"/>
      <c r="DL427" s="286"/>
      <c r="DM427" s="286"/>
      <c r="DN427" s="286"/>
      <c r="DO427" s="286"/>
      <c r="DP427" s="286"/>
      <c r="DQ427" s="286"/>
      <c r="DR427" s="286"/>
      <c r="DS427" s="286"/>
      <c r="DT427" s="286"/>
      <c r="DU427" s="286"/>
      <c r="DV427" s="286"/>
      <c r="DW427" s="286"/>
      <c r="DX427" s="286"/>
      <c r="DY427" s="286"/>
      <c r="DZ427" s="286"/>
      <c r="EA427" s="286"/>
      <c r="EB427" s="286"/>
      <c r="EC427" s="286"/>
      <c r="ED427" s="286"/>
      <c r="EE427" s="286"/>
      <c r="EF427" s="286"/>
      <c r="EG427" s="286"/>
      <c r="EH427" s="286"/>
      <c r="EI427" s="286"/>
      <c r="EJ427" s="286"/>
      <c r="EK427" s="286"/>
      <c r="EL427" s="286"/>
      <c r="EM427" s="286"/>
      <c r="EN427" s="286"/>
      <c r="EO427" s="286"/>
      <c r="EP427" s="286"/>
      <c r="EQ427" s="286"/>
      <c r="ER427" s="286"/>
      <c r="ES427" s="286"/>
      <c r="ET427" s="286"/>
      <c r="EU427" s="286"/>
      <c r="EV427" s="286"/>
      <c r="EW427" s="286"/>
      <c r="EX427" s="286"/>
      <c r="EY427" s="286"/>
      <c r="EZ427" s="286"/>
      <c r="FA427" s="286"/>
      <c r="FB427" s="286"/>
      <c r="FC427" s="286"/>
      <c r="FD427" s="286"/>
      <c r="FE427" s="286"/>
      <c r="FF427" s="286"/>
      <c r="FG427" s="286"/>
      <c r="FH427" s="286"/>
      <c r="FI427" s="286"/>
      <c r="FJ427" s="286"/>
      <c r="FK427" s="286"/>
      <c r="FL427" s="286"/>
      <c r="FM427" s="286"/>
      <c r="FN427" s="286"/>
      <c r="FO427" s="286"/>
      <c r="FP427" s="286"/>
      <c r="FQ427" s="286"/>
      <c r="FR427" s="286"/>
      <c r="FS427" s="286"/>
    </row>
    <row r="428" spans="1:175">
      <c r="A428" s="212" t="s">
        <v>3159</v>
      </c>
      <c r="B428" s="212" t="s">
        <v>3160</v>
      </c>
      <c r="C428" s="212" t="s">
        <v>3172</v>
      </c>
      <c r="D428" s="212" t="s">
        <v>3580</v>
      </c>
      <c r="E428" s="212" t="s">
        <v>3599</v>
      </c>
      <c r="F428" s="278">
        <v>24210</v>
      </c>
      <c r="G428" s="278">
        <v>74571</v>
      </c>
      <c r="H428" s="287">
        <f t="shared" si="6"/>
        <v>5.085086695900551</v>
      </c>
      <c r="I428" s="286">
        <v>1210</v>
      </c>
      <c r="J428" s="286">
        <v>3792</v>
      </c>
      <c r="K428" s="286">
        <v>1900</v>
      </c>
      <c r="L428" s="286">
        <v>1892</v>
      </c>
      <c r="M428" s="286">
        <v>1931</v>
      </c>
      <c r="N428" s="286">
        <v>883</v>
      </c>
      <c r="O428" s="286">
        <v>1048</v>
      </c>
      <c r="P428" s="286">
        <v>1210</v>
      </c>
      <c r="Q428" s="286">
        <v>3792</v>
      </c>
      <c r="R428" s="286">
        <v>1900</v>
      </c>
      <c r="S428" s="286">
        <v>1892</v>
      </c>
      <c r="T428" s="286">
        <v>1931</v>
      </c>
      <c r="U428" s="286">
        <v>883</v>
      </c>
      <c r="V428" s="286">
        <v>1048</v>
      </c>
      <c r="W428" s="286"/>
      <c r="X428" s="286"/>
      <c r="Y428" s="286"/>
      <c r="Z428" s="286"/>
      <c r="AA428" s="286"/>
      <c r="AB428" s="286"/>
      <c r="AC428" s="286"/>
      <c r="AD428" s="286"/>
      <c r="AE428" s="286"/>
      <c r="AF428" s="286"/>
      <c r="AG428" s="286"/>
      <c r="AH428" s="286"/>
      <c r="AI428" s="286"/>
      <c r="AJ428" s="286"/>
      <c r="AK428" s="286"/>
      <c r="AL428" s="286"/>
      <c r="AM428" s="286"/>
      <c r="AN428" s="286"/>
      <c r="AO428" s="286"/>
      <c r="AP428" s="286"/>
      <c r="AQ428" s="286"/>
      <c r="AR428" s="286"/>
      <c r="AS428" s="286"/>
      <c r="AT428" s="286"/>
      <c r="AU428" s="286"/>
      <c r="AV428" s="286"/>
      <c r="AW428" s="286"/>
      <c r="AX428" s="286"/>
      <c r="AY428" s="286"/>
      <c r="AZ428" s="286"/>
      <c r="BA428" s="286"/>
      <c r="BB428" s="286"/>
      <c r="BC428" s="286"/>
      <c r="BD428" s="286"/>
      <c r="BE428" s="286"/>
      <c r="BF428" s="286"/>
      <c r="BG428" s="286"/>
      <c r="BH428" s="286"/>
      <c r="BI428" s="286"/>
      <c r="BJ428" s="286"/>
      <c r="BK428" s="286"/>
      <c r="BL428" s="286"/>
      <c r="BM428" s="286"/>
      <c r="BN428" s="286"/>
      <c r="BO428" s="286"/>
      <c r="BP428" s="286"/>
      <c r="BQ428" s="286"/>
      <c r="BR428" s="286"/>
      <c r="BS428" s="286"/>
      <c r="BT428" s="286"/>
      <c r="BU428" s="286"/>
      <c r="BV428" s="286"/>
      <c r="BW428" s="286"/>
      <c r="BX428" s="286"/>
      <c r="BY428" s="286"/>
      <c r="BZ428" s="286"/>
      <c r="CA428" s="286"/>
      <c r="CB428" s="286"/>
      <c r="CC428" s="286"/>
      <c r="CD428" s="286"/>
      <c r="CE428" s="286"/>
      <c r="CF428" s="286"/>
      <c r="CG428" s="286"/>
      <c r="CH428" s="286"/>
      <c r="CI428" s="286"/>
      <c r="CJ428" s="286"/>
      <c r="CK428" s="286"/>
      <c r="CL428" s="286"/>
      <c r="CM428" s="286"/>
      <c r="CN428" s="286"/>
      <c r="CO428" s="286"/>
      <c r="CP428" s="286"/>
      <c r="CQ428" s="286"/>
      <c r="CR428" s="286"/>
      <c r="CS428" s="286"/>
      <c r="CT428" s="286"/>
      <c r="CU428" s="286"/>
      <c r="CV428" s="286"/>
      <c r="CW428" s="286"/>
      <c r="CX428" s="286"/>
      <c r="CY428" s="286"/>
      <c r="CZ428" s="286"/>
      <c r="DA428" s="286"/>
      <c r="DB428" s="286"/>
      <c r="DC428" s="286"/>
      <c r="DD428" s="286"/>
      <c r="DE428" s="286"/>
      <c r="DF428" s="286"/>
      <c r="DG428" s="286"/>
      <c r="DH428" s="286"/>
      <c r="DI428" s="286"/>
      <c r="DJ428" s="286"/>
      <c r="DK428" s="286"/>
      <c r="DL428" s="286"/>
      <c r="DM428" s="286"/>
      <c r="DN428" s="286"/>
      <c r="DO428" s="286"/>
      <c r="DP428" s="286"/>
      <c r="DQ428" s="286"/>
      <c r="DR428" s="286"/>
      <c r="DS428" s="286"/>
      <c r="DT428" s="286"/>
      <c r="DU428" s="286"/>
      <c r="DV428" s="286"/>
      <c r="DW428" s="286"/>
      <c r="DX428" s="286"/>
      <c r="DY428" s="286"/>
      <c r="DZ428" s="286"/>
      <c r="EA428" s="286"/>
      <c r="EB428" s="286"/>
      <c r="EC428" s="286"/>
      <c r="ED428" s="286"/>
      <c r="EE428" s="286"/>
      <c r="EF428" s="286"/>
      <c r="EG428" s="286"/>
      <c r="EH428" s="286"/>
      <c r="EI428" s="286"/>
      <c r="EJ428" s="286"/>
      <c r="EK428" s="286"/>
      <c r="EL428" s="286"/>
      <c r="EM428" s="286"/>
      <c r="EN428" s="286"/>
      <c r="EO428" s="286"/>
      <c r="EP428" s="286"/>
      <c r="EQ428" s="286"/>
      <c r="ER428" s="286"/>
      <c r="ES428" s="286"/>
      <c r="ET428" s="286"/>
      <c r="EU428" s="286"/>
      <c r="EV428" s="286"/>
      <c r="EW428" s="286"/>
      <c r="EX428" s="286"/>
      <c r="EY428" s="286"/>
      <c r="EZ428" s="286"/>
      <c r="FA428" s="286"/>
      <c r="FB428" s="286"/>
      <c r="FC428" s="286"/>
      <c r="FD428" s="286"/>
      <c r="FE428" s="286"/>
      <c r="FF428" s="286"/>
      <c r="FG428" s="286"/>
      <c r="FH428" s="286"/>
      <c r="FI428" s="286"/>
      <c r="FJ428" s="286"/>
      <c r="FK428" s="286"/>
      <c r="FL428" s="286"/>
      <c r="FM428" s="286"/>
      <c r="FN428" s="286"/>
      <c r="FO428" s="286"/>
      <c r="FP428" s="286"/>
      <c r="FQ428" s="286"/>
      <c r="FR428" s="286"/>
      <c r="FS428" s="286"/>
    </row>
    <row r="429" spans="1:175">
      <c r="A429" s="212" t="s">
        <v>3159</v>
      </c>
      <c r="B429" s="212" t="s">
        <v>3160</v>
      </c>
      <c r="C429" s="212" t="s">
        <v>3172</v>
      </c>
      <c r="D429" s="212" t="s">
        <v>3580</v>
      </c>
      <c r="E429" s="212" t="s">
        <v>3600</v>
      </c>
      <c r="F429" s="278">
        <v>55447</v>
      </c>
      <c r="G429" s="278">
        <v>366856</v>
      </c>
      <c r="H429" s="287">
        <f t="shared" si="6"/>
        <v>4.6598665416403167</v>
      </c>
      <c r="I429" s="286">
        <v>2319</v>
      </c>
      <c r="J429" s="286">
        <v>17095</v>
      </c>
      <c r="K429" s="286">
        <v>3909</v>
      </c>
      <c r="L429" s="286">
        <v>13092</v>
      </c>
      <c r="M429" s="286">
        <v>14352</v>
      </c>
      <c r="N429" s="286">
        <v>2526</v>
      </c>
      <c r="O429" s="286">
        <v>11733</v>
      </c>
      <c r="P429" s="286">
        <v>2319</v>
      </c>
      <c r="Q429" s="286">
        <v>17095</v>
      </c>
      <c r="R429" s="286">
        <v>3909</v>
      </c>
      <c r="S429" s="286">
        <v>13092</v>
      </c>
      <c r="T429" s="286">
        <v>14352</v>
      </c>
      <c r="U429" s="286">
        <v>2526</v>
      </c>
      <c r="V429" s="286">
        <v>11733</v>
      </c>
      <c r="W429" s="286"/>
      <c r="X429" s="286"/>
      <c r="Y429" s="286"/>
      <c r="Z429" s="286"/>
      <c r="AA429" s="286"/>
      <c r="AB429" s="286"/>
      <c r="AC429" s="286"/>
      <c r="AD429" s="286"/>
      <c r="AE429" s="286"/>
      <c r="AF429" s="286"/>
      <c r="AG429" s="286"/>
      <c r="AH429" s="286"/>
      <c r="AI429" s="286"/>
      <c r="AJ429" s="286"/>
      <c r="AK429" s="286"/>
      <c r="AL429" s="286"/>
      <c r="AM429" s="286"/>
      <c r="AN429" s="286"/>
      <c r="AO429" s="286"/>
      <c r="AP429" s="286"/>
      <c r="AQ429" s="286"/>
      <c r="AR429" s="286"/>
      <c r="AS429" s="286"/>
      <c r="AT429" s="286"/>
      <c r="AU429" s="286"/>
      <c r="AV429" s="286"/>
      <c r="AW429" s="286"/>
      <c r="AX429" s="286"/>
      <c r="AY429" s="286"/>
      <c r="AZ429" s="286"/>
      <c r="BA429" s="286"/>
      <c r="BB429" s="286"/>
      <c r="BC429" s="286"/>
      <c r="BD429" s="286"/>
      <c r="BE429" s="286"/>
      <c r="BF429" s="286"/>
      <c r="BG429" s="286"/>
      <c r="BH429" s="286"/>
      <c r="BI429" s="286"/>
      <c r="BJ429" s="286"/>
      <c r="BK429" s="286"/>
      <c r="BL429" s="286"/>
      <c r="BM429" s="286"/>
      <c r="BN429" s="286"/>
      <c r="BO429" s="286"/>
      <c r="BP429" s="286"/>
      <c r="BQ429" s="286"/>
      <c r="BR429" s="286"/>
      <c r="BS429" s="286"/>
      <c r="BT429" s="286"/>
      <c r="BU429" s="286"/>
      <c r="BV429" s="286"/>
      <c r="BW429" s="286"/>
      <c r="BX429" s="286"/>
      <c r="BY429" s="286"/>
      <c r="BZ429" s="286"/>
      <c r="CA429" s="286"/>
      <c r="CB429" s="286"/>
      <c r="CC429" s="286"/>
      <c r="CD429" s="286"/>
      <c r="CE429" s="286"/>
      <c r="CF429" s="286"/>
      <c r="CG429" s="286"/>
      <c r="CH429" s="286"/>
      <c r="CI429" s="286"/>
      <c r="CJ429" s="286"/>
      <c r="CK429" s="286"/>
      <c r="CL429" s="286"/>
      <c r="CM429" s="286"/>
      <c r="CN429" s="286"/>
      <c r="CO429" s="286"/>
      <c r="CP429" s="286"/>
      <c r="CQ429" s="286"/>
      <c r="CR429" s="286"/>
      <c r="CS429" s="286"/>
      <c r="CT429" s="286"/>
      <c r="CU429" s="286"/>
      <c r="CV429" s="286"/>
      <c r="CW429" s="286"/>
      <c r="CX429" s="286"/>
      <c r="CY429" s="286"/>
      <c r="CZ429" s="286"/>
      <c r="DA429" s="286"/>
      <c r="DB429" s="286"/>
      <c r="DC429" s="286"/>
      <c r="DD429" s="286"/>
      <c r="DE429" s="286"/>
      <c r="DF429" s="286"/>
      <c r="DG429" s="286"/>
      <c r="DH429" s="286"/>
      <c r="DI429" s="286"/>
      <c r="DJ429" s="286"/>
      <c r="DK429" s="286"/>
      <c r="DL429" s="286"/>
      <c r="DM429" s="286"/>
      <c r="DN429" s="286"/>
      <c r="DO429" s="286"/>
      <c r="DP429" s="286"/>
      <c r="DQ429" s="286"/>
      <c r="DR429" s="286"/>
      <c r="DS429" s="286"/>
      <c r="DT429" s="286"/>
      <c r="DU429" s="286"/>
      <c r="DV429" s="286"/>
      <c r="DW429" s="286"/>
      <c r="DX429" s="286"/>
      <c r="DY429" s="286"/>
      <c r="DZ429" s="286"/>
      <c r="EA429" s="286"/>
      <c r="EB429" s="286"/>
      <c r="EC429" s="286"/>
      <c r="ED429" s="286"/>
      <c r="EE429" s="286"/>
      <c r="EF429" s="286"/>
      <c r="EG429" s="286"/>
      <c r="EH429" s="286"/>
      <c r="EI429" s="286"/>
      <c r="EJ429" s="286"/>
      <c r="EK429" s="286"/>
      <c r="EL429" s="286"/>
      <c r="EM429" s="286"/>
      <c r="EN429" s="286"/>
      <c r="EO429" s="286"/>
      <c r="EP429" s="286"/>
      <c r="EQ429" s="286"/>
      <c r="ER429" s="286"/>
      <c r="ES429" s="286"/>
      <c r="ET429" s="286"/>
      <c r="EU429" s="286"/>
      <c r="EV429" s="286"/>
      <c r="EW429" s="286"/>
      <c r="EX429" s="286"/>
      <c r="EY429" s="286"/>
      <c r="EZ429" s="286"/>
      <c r="FA429" s="286"/>
      <c r="FB429" s="286"/>
      <c r="FC429" s="286"/>
      <c r="FD429" s="286"/>
      <c r="FE429" s="286"/>
      <c r="FF429" s="286"/>
      <c r="FG429" s="286"/>
      <c r="FH429" s="286"/>
      <c r="FI429" s="286"/>
      <c r="FJ429" s="286"/>
      <c r="FK429" s="286"/>
      <c r="FL429" s="286"/>
      <c r="FM429" s="286"/>
      <c r="FN429" s="286"/>
      <c r="FO429" s="286"/>
      <c r="FP429" s="286"/>
      <c r="FQ429" s="286"/>
      <c r="FR429" s="286"/>
      <c r="FS429" s="286"/>
    </row>
    <row r="430" spans="1:175">
      <c r="A430" s="212" t="s">
        <v>3159</v>
      </c>
      <c r="B430" s="212" t="s">
        <v>3160</v>
      </c>
      <c r="C430" s="212" t="s">
        <v>3172</v>
      </c>
      <c r="D430" s="212" t="s">
        <v>3580</v>
      </c>
      <c r="E430" s="212" t="s">
        <v>3601</v>
      </c>
      <c r="F430" s="278">
        <v>119435</v>
      </c>
      <c r="G430" s="278">
        <v>1412010</v>
      </c>
      <c r="H430" s="287">
        <f t="shared" si="6"/>
        <v>3.5402015566462</v>
      </c>
      <c r="I430" s="286">
        <v>4274</v>
      </c>
      <c r="J430" s="286">
        <v>49988</v>
      </c>
      <c r="K430" s="286">
        <v>19294</v>
      </c>
      <c r="L430" s="286">
        <v>30694</v>
      </c>
      <c r="M430" s="286">
        <v>44547</v>
      </c>
      <c r="N430" s="286">
        <v>16321</v>
      </c>
      <c r="O430" s="286">
        <v>28226</v>
      </c>
      <c r="P430" s="286">
        <v>4274</v>
      </c>
      <c r="Q430" s="286">
        <v>49988</v>
      </c>
      <c r="R430" s="286">
        <v>19294</v>
      </c>
      <c r="S430" s="286">
        <v>30694</v>
      </c>
      <c r="T430" s="286">
        <v>44547</v>
      </c>
      <c r="U430" s="286">
        <v>16321</v>
      </c>
      <c r="V430" s="286">
        <v>28226</v>
      </c>
      <c r="W430" s="286"/>
      <c r="X430" s="286"/>
      <c r="Y430" s="286"/>
      <c r="Z430" s="286"/>
      <c r="AA430" s="286"/>
      <c r="AB430" s="286"/>
      <c r="AC430" s="286"/>
      <c r="AD430" s="286"/>
      <c r="AE430" s="286"/>
      <c r="AF430" s="286"/>
      <c r="AG430" s="286"/>
      <c r="AH430" s="286"/>
      <c r="AI430" s="286"/>
      <c r="AJ430" s="286"/>
      <c r="AK430" s="286"/>
      <c r="AL430" s="286"/>
      <c r="AM430" s="286"/>
      <c r="AN430" s="286"/>
      <c r="AO430" s="286"/>
      <c r="AP430" s="286"/>
      <c r="AQ430" s="286"/>
      <c r="AR430" s="286"/>
      <c r="AS430" s="286"/>
      <c r="AT430" s="286"/>
      <c r="AU430" s="286"/>
      <c r="AV430" s="286"/>
      <c r="AW430" s="286"/>
      <c r="AX430" s="286"/>
      <c r="AY430" s="286"/>
      <c r="AZ430" s="286"/>
      <c r="BA430" s="286"/>
      <c r="BB430" s="286"/>
      <c r="BC430" s="286"/>
      <c r="BD430" s="286"/>
      <c r="BE430" s="286"/>
      <c r="BF430" s="286"/>
      <c r="BG430" s="286"/>
      <c r="BH430" s="286"/>
      <c r="BI430" s="286"/>
      <c r="BJ430" s="286"/>
      <c r="BK430" s="286"/>
      <c r="BL430" s="286"/>
      <c r="BM430" s="286"/>
      <c r="BN430" s="286"/>
      <c r="BO430" s="286"/>
      <c r="BP430" s="286"/>
      <c r="BQ430" s="286"/>
      <c r="BR430" s="286"/>
      <c r="BS430" s="286"/>
      <c r="BT430" s="286"/>
      <c r="BU430" s="286"/>
      <c r="BV430" s="286"/>
      <c r="BW430" s="286"/>
      <c r="BX430" s="286"/>
      <c r="BY430" s="286"/>
      <c r="BZ430" s="286"/>
      <c r="CA430" s="286"/>
      <c r="CB430" s="286"/>
      <c r="CC430" s="286"/>
      <c r="CD430" s="286"/>
      <c r="CE430" s="286"/>
      <c r="CF430" s="286"/>
      <c r="CG430" s="286"/>
      <c r="CH430" s="286"/>
      <c r="CI430" s="286"/>
      <c r="CJ430" s="286"/>
      <c r="CK430" s="286"/>
      <c r="CL430" s="286"/>
      <c r="CM430" s="286"/>
      <c r="CN430" s="286"/>
      <c r="CO430" s="286"/>
      <c r="CP430" s="286"/>
      <c r="CQ430" s="286"/>
      <c r="CR430" s="286"/>
      <c r="CS430" s="286"/>
      <c r="CT430" s="286"/>
      <c r="CU430" s="286"/>
      <c r="CV430" s="286"/>
      <c r="CW430" s="286"/>
      <c r="CX430" s="286"/>
      <c r="CY430" s="286"/>
      <c r="CZ430" s="286"/>
      <c r="DA430" s="286"/>
      <c r="DB430" s="286"/>
      <c r="DC430" s="286"/>
      <c r="DD430" s="286"/>
      <c r="DE430" s="286"/>
      <c r="DF430" s="286"/>
      <c r="DG430" s="286"/>
      <c r="DH430" s="286"/>
      <c r="DI430" s="286"/>
      <c r="DJ430" s="286"/>
      <c r="DK430" s="286"/>
      <c r="DL430" s="286"/>
      <c r="DM430" s="286"/>
      <c r="DN430" s="286"/>
      <c r="DO430" s="286"/>
      <c r="DP430" s="286"/>
      <c r="DQ430" s="286"/>
      <c r="DR430" s="286"/>
      <c r="DS430" s="286"/>
      <c r="DT430" s="286"/>
      <c r="DU430" s="286"/>
      <c r="DV430" s="286"/>
      <c r="DW430" s="286"/>
      <c r="DX430" s="286"/>
      <c r="DY430" s="286"/>
      <c r="DZ430" s="286"/>
      <c r="EA430" s="286"/>
      <c r="EB430" s="286"/>
      <c r="EC430" s="286"/>
      <c r="ED430" s="286"/>
      <c r="EE430" s="286"/>
      <c r="EF430" s="286"/>
      <c r="EG430" s="286"/>
      <c r="EH430" s="286"/>
      <c r="EI430" s="286"/>
      <c r="EJ430" s="286"/>
      <c r="EK430" s="286"/>
      <c r="EL430" s="286"/>
      <c r="EM430" s="286"/>
      <c r="EN430" s="286"/>
      <c r="EO430" s="286"/>
      <c r="EP430" s="286"/>
      <c r="EQ430" s="286"/>
      <c r="ER430" s="286"/>
      <c r="ES430" s="286"/>
      <c r="ET430" s="286"/>
      <c r="EU430" s="286"/>
      <c r="EV430" s="286"/>
      <c r="EW430" s="286"/>
      <c r="EX430" s="286"/>
      <c r="EY430" s="286"/>
      <c r="EZ430" s="286"/>
      <c r="FA430" s="286"/>
      <c r="FB430" s="286"/>
      <c r="FC430" s="286"/>
      <c r="FD430" s="286"/>
      <c r="FE430" s="286"/>
      <c r="FF430" s="286"/>
      <c r="FG430" s="286"/>
      <c r="FH430" s="286"/>
      <c r="FI430" s="286"/>
      <c r="FJ430" s="286"/>
      <c r="FK430" s="286"/>
      <c r="FL430" s="286"/>
      <c r="FM430" s="286"/>
      <c r="FN430" s="286"/>
      <c r="FO430" s="286"/>
      <c r="FP430" s="286"/>
      <c r="FQ430" s="286"/>
      <c r="FR430" s="286"/>
      <c r="FS430" s="286"/>
    </row>
    <row r="431" spans="1:175">
      <c r="A431" s="212" t="s">
        <v>3159</v>
      </c>
      <c r="B431" s="212" t="s">
        <v>3160</v>
      </c>
      <c r="C431" s="212" t="s">
        <v>3432</v>
      </c>
      <c r="D431" s="212" t="s">
        <v>3580</v>
      </c>
      <c r="E431" s="212" t="s">
        <v>3602</v>
      </c>
      <c r="F431" s="278">
        <v>18075</v>
      </c>
      <c r="G431" s="278">
        <v>187073</v>
      </c>
      <c r="H431" s="287">
        <f t="shared" si="6"/>
        <v>2.9758436546161127</v>
      </c>
      <c r="I431" s="286">
        <v>671</v>
      </c>
      <c r="J431" s="286">
        <v>5567</v>
      </c>
      <c r="K431" s="286">
        <v>1542</v>
      </c>
      <c r="L431" s="286">
        <v>4025</v>
      </c>
      <c r="M431" s="286">
        <v>4926</v>
      </c>
      <c r="N431" s="286">
        <v>1233</v>
      </c>
      <c r="O431" s="286">
        <v>3693</v>
      </c>
      <c r="P431" s="286">
        <v>671</v>
      </c>
      <c r="Q431" s="286">
        <v>5567</v>
      </c>
      <c r="R431" s="286">
        <v>1542</v>
      </c>
      <c r="S431" s="286">
        <v>4025</v>
      </c>
      <c r="T431" s="286">
        <v>4926</v>
      </c>
      <c r="U431" s="286">
        <v>1233</v>
      </c>
      <c r="V431" s="286">
        <v>3693</v>
      </c>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c r="AS431" s="286"/>
      <c r="AT431" s="286"/>
      <c r="AU431" s="286"/>
      <c r="AV431" s="286"/>
      <c r="AW431" s="286"/>
      <c r="AX431" s="286"/>
      <c r="AY431" s="286"/>
      <c r="AZ431" s="286"/>
      <c r="BA431" s="286"/>
      <c r="BB431" s="286"/>
      <c r="BC431" s="286"/>
      <c r="BD431" s="286"/>
      <c r="BE431" s="286"/>
      <c r="BF431" s="286"/>
      <c r="BG431" s="286"/>
      <c r="BH431" s="286"/>
      <c r="BI431" s="286"/>
      <c r="BJ431" s="286"/>
      <c r="BK431" s="286"/>
      <c r="BL431" s="286"/>
      <c r="BM431" s="286"/>
      <c r="BN431" s="286"/>
      <c r="BO431" s="286"/>
      <c r="BP431" s="286"/>
      <c r="BQ431" s="286"/>
      <c r="BR431" s="286"/>
      <c r="BS431" s="286"/>
      <c r="BT431" s="286"/>
      <c r="BU431" s="286"/>
      <c r="BV431" s="286"/>
      <c r="BW431" s="286"/>
      <c r="BX431" s="286"/>
      <c r="BY431" s="286"/>
      <c r="BZ431" s="286"/>
      <c r="CA431" s="286"/>
      <c r="CB431" s="286"/>
      <c r="CC431" s="286"/>
      <c r="CD431" s="286"/>
      <c r="CE431" s="286"/>
      <c r="CF431" s="286"/>
      <c r="CG431" s="286"/>
      <c r="CH431" s="286"/>
      <c r="CI431" s="286"/>
      <c r="CJ431" s="286"/>
      <c r="CK431" s="286"/>
      <c r="CL431" s="286"/>
      <c r="CM431" s="286"/>
      <c r="CN431" s="286"/>
      <c r="CO431" s="286"/>
      <c r="CP431" s="286"/>
      <c r="CQ431" s="286"/>
      <c r="CR431" s="286"/>
      <c r="CS431" s="286"/>
      <c r="CT431" s="286"/>
      <c r="CU431" s="286"/>
      <c r="CV431" s="286"/>
      <c r="CW431" s="286"/>
      <c r="CX431" s="286"/>
      <c r="CY431" s="286"/>
      <c r="CZ431" s="286"/>
      <c r="DA431" s="286"/>
      <c r="DB431" s="286"/>
      <c r="DC431" s="286"/>
      <c r="DD431" s="286"/>
      <c r="DE431" s="286"/>
      <c r="DF431" s="286"/>
      <c r="DG431" s="286"/>
      <c r="DH431" s="286"/>
      <c r="DI431" s="286"/>
      <c r="DJ431" s="286"/>
      <c r="DK431" s="286"/>
      <c r="DL431" s="286"/>
      <c r="DM431" s="286"/>
      <c r="DN431" s="286"/>
      <c r="DO431" s="286"/>
      <c r="DP431" s="286"/>
      <c r="DQ431" s="286"/>
      <c r="DR431" s="286"/>
      <c r="DS431" s="286"/>
      <c r="DT431" s="286"/>
      <c r="DU431" s="286"/>
      <c r="DV431" s="286"/>
      <c r="DW431" s="286"/>
      <c r="DX431" s="286"/>
      <c r="DY431" s="286"/>
      <c r="DZ431" s="286"/>
      <c r="EA431" s="286"/>
      <c r="EB431" s="286"/>
      <c r="EC431" s="286"/>
      <c r="ED431" s="286"/>
      <c r="EE431" s="286"/>
      <c r="EF431" s="286"/>
      <c r="EG431" s="286"/>
      <c r="EH431" s="286"/>
      <c r="EI431" s="286"/>
      <c r="EJ431" s="286"/>
      <c r="EK431" s="286"/>
      <c r="EL431" s="286"/>
      <c r="EM431" s="286"/>
      <c r="EN431" s="286"/>
      <c r="EO431" s="286"/>
      <c r="EP431" s="286"/>
      <c r="EQ431" s="286"/>
      <c r="ER431" s="286"/>
      <c r="ES431" s="286"/>
      <c r="ET431" s="286"/>
      <c r="EU431" s="286"/>
      <c r="EV431" s="286"/>
      <c r="EW431" s="286"/>
      <c r="EX431" s="286"/>
      <c r="EY431" s="286"/>
      <c r="EZ431" s="286"/>
      <c r="FA431" s="286"/>
      <c r="FB431" s="286"/>
      <c r="FC431" s="286"/>
      <c r="FD431" s="286"/>
      <c r="FE431" s="286"/>
      <c r="FF431" s="286"/>
      <c r="FG431" s="286"/>
      <c r="FH431" s="286"/>
      <c r="FI431" s="286"/>
      <c r="FJ431" s="286"/>
      <c r="FK431" s="286"/>
      <c r="FL431" s="286"/>
      <c r="FM431" s="286"/>
      <c r="FN431" s="286"/>
      <c r="FO431" s="286"/>
      <c r="FP431" s="286"/>
      <c r="FQ431" s="286"/>
      <c r="FR431" s="286"/>
      <c r="FS431" s="286"/>
    </row>
    <row r="432" spans="1:175">
      <c r="A432" s="212" t="s">
        <v>3159</v>
      </c>
      <c r="B432" s="212" t="s">
        <v>3160</v>
      </c>
      <c r="C432" s="212" t="s">
        <v>3432</v>
      </c>
      <c r="D432" s="212" t="s">
        <v>3580</v>
      </c>
      <c r="E432" s="212" t="s">
        <v>3603</v>
      </c>
      <c r="F432" s="278">
        <v>101360</v>
      </c>
      <c r="G432" s="278">
        <v>1224937</v>
      </c>
      <c r="H432" s="287">
        <f t="shared" si="6"/>
        <v>3.6263905817197131</v>
      </c>
      <c r="I432" s="286">
        <v>3603</v>
      </c>
      <c r="J432" s="286">
        <v>44421</v>
      </c>
      <c r="K432" s="286">
        <v>17752</v>
      </c>
      <c r="L432" s="286">
        <v>26669</v>
      </c>
      <c r="M432" s="286">
        <v>39621</v>
      </c>
      <c r="N432" s="286">
        <v>15088</v>
      </c>
      <c r="O432" s="286">
        <v>24533</v>
      </c>
      <c r="P432" s="286">
        <v>3603</v>
      </c>
      <c r="Q432" s="286">
        <v>44421</v>
      </c>
      <c r="R432" s="286">
        <v>17752</v>
      </c>
      <c r="S432" s="286">
        <v>26669</v>
      </c>
      <c r="T432" s="286">
        <v>39621</v>
      </c>
      <c r="U432" s="286">
        <v>15088</v>
      </c>
      <c r="V432" s="286">
        <v>24533</v>
      </c>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c r="AR432" s="286"/>
      <c r="AS432" s="286"/>
      <c r="AT432" s="286"/>
      <c r="AU432" s="286"/>
      <c r="AV432" s="286"/>
      <c r="AW432" s="286"/>
      <c r="AX432" s="286"/>
      <c r="AY432" s="286"/>
      <c r="AZ432" s="286"/>
      <c r="BA432" s="286"/>
      <c r="BB432" s="286"/>
      <c r="BC432" s="286"/>
      <c r="BD432" s="286"/>
      <c r="BE432" s="286"/>
      <c r="BF432" s="286"/>
      <c r="BG432" s="286"/>
      <c r="BH432" s="286"/>
      <c r="BI432" s="286"/>
      <c r="BJ432" s="286"/>
      <c r="BK432" s="286"/>
      <c r="BL432" s="286"/>
      <c r="BM432" s="286"/>
      <c r="BN432" s="286"/>
      <c r="BO432" s="286"/>
      <c r="BP432" s="286"/>
      <c r="BQ432" s="286"/>
      <c r="BR432" s="286"/>
      <c r="BS432" s="286"/>
      <c r="BT432" s="286"/>
      <c r="BU432" s="286"/>
      <c r="BV432" s="286"/>
      <c r="BW432" s="286"/>
      <c r="BX432" s="286"/>
      <c r="BY432" s="286"/>
      <c r="BZ432" s="286"/>
      <c r="CA432" s="286"/>
      <c r="CB432" s="286"/>
      <c r="CC432" s="286"/>
      <c r="CD432" s="286"/>
      <c r="CE432" s="286"/>
      <c r="CF432" s="286"/>
      <c r="CG432" s="286"/>
      <c r="CH432" s="286"/>
      <c r="CI432" s="286"/>
      <c r="CJ432" s="286"/>
      <c r="CK432" s="286"/>
      <c r="CL432" s="286"/>
      <c r="CM432" s="286"/>
      <c r="CN432" s="286"/>
      <c r="CO432" s="286"/>
      <c r="CP432" s="286"/>
      <c r="CQ432" s="286"/>
      <c r="CR432" s="286"/>
      <c r="CS432" s="286"/>
      <c r="CT432" s="286"/>
      <c r="CU432" s="286"/>
      <c r="CV432" s="286"/>
      <c r="CW432" s="286"/>
      <c r="CX432" s="286"/>
      <c r="CY432" s="286"/>
      <c r="CZ432" s="286"/>
      <c r="DA432" s="286"/>
      <c r="DB432" s="286"/>
      <c r="DC432" s="286"/>
      <c r="DD432" s="286"/>
      <c r="DE432" s="286"/>
      <c r="DF432" s="286"/>
      <c r="DG432" s="286"/>
      <c r="DH432" s="286"/>
      <c r="DI432" s="286"/>
      <c r="DJ432" s="286"/>
      <c r="DK432" s="286"/>
      <c r="DL432" s="286"/>
      <c r="DM432" s="286"/>
      <c r="DN432" s="286"/>
      <c r="DO432" s="286"/>
      <c r="DP432" s="286"/>
      <c r="DQ432" s="286"/>
      <c r="DR432" s="286"/>
      <c r="DS432" s="286"/>
      <c r="DT432" s="286"/>
      <c r="DU432" s="286"/>
      <c r="DV432" s="286"/>
      <c r="DW432" s="286"/>
      <c r="DX432" s="286"/>
      <c r="DY432" s="286"/>
      <c r="DZ432" s="286"/>
      <c r="EA432" s="286"/>
      <c r="EB432" s="286"/>
      <c r="EC432" s="286"/>
      <c r="ED432" s="286"/>
      <c r="EE432" s="286"/>
      <c r="EF432" s="286"/>
      <c r="EG432" s="286"/>
      <c r="EH432" s="286"/>
      <c r="EI432" s="286"/>
      <c r="EJ432" s="286"/>
      <c r="EK432" s="286"/>
      <c r="EL432" s="286"/>
      <c r="EM432" s="286"/>
      <c r="EN432" s="286"/>
      <c r="EO432" s="286"/>
      <c r="EP432" s="286"/>
      <c r="EQ432" s="286"/>
      <c r="ER432" s="286"/>
      <c r="ES432" s="286"/>
      <c r="ET432" s="286"/>
      <c r="EU432" s="286"/>
      <c r="EV432" s="286"/>
      <c r="EW432" s="286"/>
      <c r="EX432" s="286"/>
      <c r="EY432" s="286"/>
      <c r="EZ432" s="286"/>
      <c r="FA432" s="286"/>
      <c r="FB432" s="286"/>
      <c r="FC432" s="286"/>
      <c r="FD432" s="286"/>
      <c r="FE432" s="286"/>
      <c r="FF432" s="286"/>
      <c r="FG432" s="286"/>
      <c r="FH432" s="286"/>
      <c r="FI432" s="286"/>
      <c r="FJ432" s="286"/>
      <c r="FK432" s="286"/>
      <c r="FL432" s="286"/>
      <c r="FM432" s="286"/>
      <c r="FN432" s="286"/>
      <c r="FO432" s="286"/>
      <c r="FP432" s="286"/>
      <c r="FQ432" s="286"/>
      <c r="FR432" s="286"/>
      <c r="FS432" s="286"/>
    </row>
    <row r="433" spans="1:175">
      <c r="A433" s="212" t="s">
        <v>3159</v>
      </c>
      <c r="B433" s="212" t="s">
        <v>3160</v>
      </c>
      <c r="C433" s="212" t="s">
        <v>3170</v>
      </c>
      <c r="D433" s="212" t="s">
        <v>3580</v>
      </c>
      <c r="E433" s="212" t="s">
        <v>3604</v>
      </c>
      <c r="F433" s="278">
        <v>133055</v>
      </c>
      <c r="G433" s="278">
        <v>895400</v>
      </c>
      <c r="H433" s="287">
        <f t="shared" si="6"/>
        <v>3.8060084878266696</v>
      </c>
      <c r="I433" s="286">
        <v>5232</v>
      </c>
      <c r="J433" s="286">
        <v>34079</v>
      </c>
      <c r="K433" s="286">
        <v>23560</v>
      </c>
      <c r="L433" s="286">
        <v>9645</v>
      </c>
      <c r="M433" s="286">
        <v>27730</v>
      </c>
      <c r="N433" s="286">
        <v>18836</v>
      </c>
      <c r="O433" s="286">
        <v>8020</v>
      </c>
      <c r="P433" s="286">
        <v>5232</v>
      </c>
      <c r="Q433" s="286">
        <v>34079</v>
      </c>
      <c r="R433" s="286">
        <v>23560</v>
      </c>
      <c r="S433" s="286">
        <v>9645</v>
      </c>
      <c r="T433" s="286">
        <v>27730</v>
      </c>
      <c r="U433" s="286">
        <v>18836</v>
      </c>
      <c r="V433" s="286">
        <v>8020</v>
      </c>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c r="AS433" s="286"/>
      <c r="AT433" s="286"/>
      <c r="AU433" s="286"/>
      <c r="AV433" s="286"/>
      <c r="AW433" s="286"/>
      <c r="AX433" s="286"/>
      <c r="AY433" s="286"/>
      <c r="AZ433" s="286"/>
      <c r="BA433" s="286"/>
      <c r="BB433" s="286"/>
      <c r="BC433" s="286"/>
      <c r="BD433" s="286"/>
      <c r="BE433" s="286"/>
      <c r="BF433" s="286"/>
      <c r="BG433" s="286"/>
      <c r="BH433" s="286"/>
      <c r="BI433" s="286"/>
      <c r="BJ433" s="286"/>
      <c r="BK433" s="286"/>
      <c r="BL433" s="286"/>
      <c r="BM433" s="286"/>
      <c r="BN433" s="286"/>
      <c r="BO433" s="286"/>
      <c r="BP433" s="286"/>
      <c r="BQ433" s="286"/>
      <c r="BR433" s="286"/>
      <c r="BS433" s="286"/>
      <c r="BT433" s="286"/>
      <c r="BU433" s="286"/>
      <c r="BV433" s="286"/>
      <c r="BW433" s="286"/>
      <c r="BX433" s="286"/>
      <c r="BY433" s="286"/>
      <c r="BZ433" s="286"/>
      <c r="CA433" s="286"/>
      <c r="CB433" s="286"/>
      <c r="CC433" s="286"/>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86"/>
      <c r="CY433" s="286"/>
      <c r="CZ433" s="286"/>
      <c r="DA433" s="286"/>
      <c r="DB433" s="286"/>
      <c r="DC433" s="286"/>
      <c r="DD433" s="286"/>
      <c r="DE433" s="286"/>
      <c r="DF433" s="286"/>
      <c r="DG433" s="286"/>
      <c r="DH433" s="286"/>
      <c r="DI433" s="286"/>
      <c r="DJ433" s="286"/>
      <c r="DK433" s="286"/>
      <c r="DL433" s="286"/>
      <c r="DM433" s="286"/>
      <c r="DN433" s="286"/>
      <c r="DO433" s="286"/>
      <c r="DP433" s="286"/>
      <c r="DQ433" s="286"/>
      <c r="DR433" s="286"/>
      <c r="DS433" s="286"/>
      <c r="DT433" s="286"/>
      <c r="DU433" s="286"/>
      <c r="DV433" s="286"/>
      <c r="DW433" s="286"/>
      <c r="DX433" s="286"/>
      <c r="DY433" s="286"/>
      <c r="DZ433" s="286"/>
      <c r="EA433" s="286"/>
      <c r="EB433" s="286"/>
      <c r="EC433" s="286"/>
      <c r="ED433" s="286"/>
      <c r="EE433" s="286"/>
      <c r="EF433" s="286"/>
      <c r="EG433" s="286"/>
      <c r="EH433" s="286"/>
      <c r="EI433" s="286"/>
      <c r="EJ433" s="286"/>
      <c r="EK433" s="286"/>
      <c r="EL433" s="286"/>
      <c r="EM433" s="286"/>
      <c r="EN433" s="286"/>
      <c r="EO433" s="286"/>
      <c r="EP433" s="286"/>
      <c r="EQ433" s="286"/>
      <c r="ER433" s="286"/>
      <c r="ES433" s="286"/>
      <c r="ET433" s="286"/>
      <c r="EU433" s="286"/>
      <c r="EV433" s="286"/>
      <c r="EW433" s="286"/>
      <c r="EX433" s="286"/>
      <c r="EY433" s="286"/>
      <c r="EZ433" s="286"/>
      <c r="FA433" s="286"/>
      <c r="FB433" s="286"/>
      <c r="FC433" s="286"/>
      <c r="FD433" s="286"/>
      <c r="FE433" s="286"/>
      <c r="FF433" s="286"/>
      <c r="FG433" s="286"/>
      <c r="FH433" s="286"/>
      <c r="FI433" s="286"/>
      <c r="FJ433" s="286"/>
      <c r="FK433" s="286"/>
      <c r="FL433" s="286"/>
      <c r="FM433" s="286"/>
      <c r="FN433" s="286"/>
      <c r="FO433" s="286"/>
      <c r="FP433" s="286"/>
      <c r="FQ433" s="286"/>
      <c r="FR433" s="286"/>
      <c r="FS433" s="286"/>
    </row>
    <row r="434" spans="1:175">
      <c r="A434" s="212" t="s">
        <v>3159</v>
      </c>
      <c r="B434" s="212" t="s">
        <v>3160</v>
      </c>
      <c r="C434" s="212" t="s">
        <v>3172</v>
      </c>
      <c r="D434" s="212" t="s">
        <v>3580</v>
      </c>
      <c r="E434" s="212" t="s">
        <v>3605</v>
      </c>
      <c r="F434" s="278">
        <v>899</v>
      </c>
      <c r="G434" s="278">
        <v>20920</v>
      </c>
      <c r="H434" s="287">
        <f t="shared" si="6"/>
        <v>3.4082217973231357</v>
      </c>
      <c r="I434" s="286">
        <v>30</v>
      </c>
      <c r="J434" s="286">
        <v>713</v>
      </c>
      <c r="K434" s="286">
        <v>605</v>
      </c>
      <c r="L434" s="286">
        <v>108</v>
      </c>
      <c r="M434" s="286">
        <v>635</v>
      </c>
      <c r="N434" s="286">
        <v>538</v>
      </c>
      <c r="O434" s="286">
        <v>97</v>
      </c>
      <c r="P434" s="286">
        <v>30</v>
      </c>
      <c r="Q434" s="286">
        <v>713</v>
      </c>
      <c r="R434" s="286">
        <v>605</v>
      </c>
      <c r="S434" s="286">
        <v>108</v>
      </c>
      <c r="T434" s="286">
        <v>635</v>
      </c>
      <c r="U434" s="286">
        <v>538</v>
      </c>
      <c r="V434" s="286">
        <v>97</v>
      </c>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c r="AR434" s="286"/>
      <c r="AS434" s="286"/>
      <c r="AT434" s="286"/>
      <c r="AU434" s="286"/>
      <c r="AV434" s="286"/>
      <c r="AW434" s="286"/>
      <c r="AX434" s="286"/>
      <c r="AY434" s="286"/>
      <c r="AZ434" s="286"/>
      <c r="BA434" s="286"/>
      <c r="BB434" s="286"/>
      <c r="BC434" s="286"/>
      <c r="BD434" s="286"/>
      <c r="BE434" s="286"/>
      <c r="BF434" s="286"/>
      <c r="BG434" s="286"/>
      <c r="BH434" s="286"/>
      <c r="BI434" s="286"/>
      <c r="BJ434" s="286"/>
      <c r="BK434" s="286"/>
      <c r="BL434" s="286"/>
      <c r="BM434" s="286"/>
      <c r="BN434" s="286"/>
      <c r="BO434" s="286"/>
      <c r="BP434" s="286"/>
      <c r="BQ434" s="286"/>
      <c r="BR434" s="286"/>
      <c r="BS434" s="286"/>
      <c r="BT434" s="286"/>
      <c r="BU434" s="286"/>
      <c r="BV434" s="286"/>
      <c r="BW434" s="286"/>
      <c r="BX434" s="286"/>
      <c r="BY434" s="286"/>
      <c r="BZ434" s="286"/>
      <c r="CA434" s="286"/>
      <c r="CB434" s="286"/>
      <c r="CC434" s="286"/>
      <c r="CD434" s="286"/>
      <c r="CE434" s="286"/>
      <c r="CF434" s="286"/>
      <c r="CG434" s="286"/>
      <c r="CH434" s="286"/>
      <c r="CI434" s="286"/>
      <c r="CJ434" s="286"/>
      <c r="CK434" s="286"/>
      <c r="CL434" s="286"/>
      <c r="CM434" s="286"/>
      <c r="CN434" s="286"/>
      <c r="CO434" s="286"/>
      <c r="CP434" s="286"/>
      <c r="CQ434" s="286"/>
      <c r="CR434" s="286"/>
      <c r="CS434" s="286"/>
      <c r="CT434" s="286"/>
      <c r="CU434" s="286"/>
      <c r="CV434" s="286"/>
      <c r="CW434" s="286"/>
      <c r="CX434" s="286"/>
      <c r="CY434" s="286"/>
      <c r="CZ434" s="286"/>
      <c r="DA434" s="286"/>
      <c r="DB434" s="286"/>
      <c r="DC434" s="286"/>
      <c r="DD434" s="286"/>
      <c r="DE434" s="286"/>
      <c r="DF434" s="286"/>
      <c r="DG434" s="286"/>
      <c r="DH434" s="286"/>
      <c r="DI434" s="286"/>
      <c r="DJ434" s="286"/>
      <c r="DK434" s="286"/>
      <c r="DL434" s="286"/>
      <c r="DM434" s="286"/>
      <c r="DN434" s="286"/>
      <c r="DO434" s="286"/>
      <c r="DP434" s="286"/>
      <c r="DQ434" s="286"/>
      <c r="DR434" s="286"/>
      <c r="DS434" s="286"/>
      <c r="DT434" s="286"/>
      <c r="DU434" s="286"/>
      <c r="DV434" s="286"/>
      <c r="DW434" s="286"/>
      <c r="DX434" s="286"/>
      <c r="DY434" s="286"/>
      <c r="DZ434" s="286"/>
      <c r="EA434" s="286"/>
      <c r="EB434" s="286"/>
      <c r="EC434" s="286"/>
      <c r="ED434" s="286"/>
      <c r="EE434" s="286"/>
      <c r="EF434" s="286"/>
      <c r="EG434" s="286"/>
      <c r="EH434" s="286"/>
      <c r="EI434" s="286"/>
      <c r="EJ434" s="286"/>
      <c r="EK434" s="286"/>
      <c r="EL434" s="286"/>
      <c r="EM434" s="286"/>
      <c r="EN434" s="286"/>
      <c r="EO434" s="286"/>
      <c r="EP434" s="286"/>
      <c r="EQ434" s="286"/>
      <c r="ER434" s="286"/>
      <c r="ES434" s="286"/>
      <c r="ET434" s="286"/>
      <c r="EU434" s="286"/>
      <c r="EV434" s="286"/>
      <c r="EW434" s="286"/>
      <c r="EX434" s="286"/>
      <c r="EY434" s="286"/>
      <c r="EZ434" s="286"/>
      <c r="FA434" s="286"/>
      <c r="FB434" s="286"/>
      <c r="FC434" s="286"/>
      <c r="FD434" s="286"/>
      <c r="FE434" s="286"/>
      <c r="FF434" s="286"/>
      <c r="FG434" s="286"/>
      <c r="FH434" s="286"/>
      <c r="FI434" s="286"/>
      <c r="FJ434" s="286"/>
      <c r="FK434" s="286"/>
      <c r="FL434" s="286"/>
      <c r="FM434" s="286"/>
      <c r="FN434" s="286"/>
      <c r="FO434" s="286"/>
      <c r="FP434" s="286"/>
      <c r="FQ434" s="286"/>
      <c r="FR434" s="286"/>
      <c r="FS434" s="286"/>
    </row>
    <row r="435" spans="1:175">
      <c r="A435" s="212" t="s">
        <v>3159</v>
      </c>
      <c r="B435" s="212" t="s">
        <v>3160</v>
      </c>
      <c r="C435" s="212" t="s">
        <v>3172</v>
      </c>
      <c r="D435" s="212" t="s">
        <v>3580</v>
      </c>
      <c r="E435" s="212" t="s">
        <v>3606</v>
      </c>
      <c r="F435" s="278">
        <v>82205</v>
      </c>
      <c r="G435" s="278">
        <v>568386</v>
      </c>
      <c r="H435" s="287">
        <f t="shared" si="6"/>
        <v>3.695551966445338</v>
      </c>
      <c r="I435" s="286">
        <v>3169</v>
      </c>
      <c r="J435" s="286">
        <v>21005</v>
      </c>
      <c r="K435" s="286">
        <v>16395</v>
      </c>
      <c r="L435" s="286">
        <v>4513</v>
      </c>
      <c r="M435" s="286">
        <v>17069</v>
      </c>
      <c r="N435" s="286">
        <v>13432</v>
      </c>
      <c r="O435" s="286">
        <v>3540</v>
      </c>
      <c r="P435" s="286">
        <v>3169</v>
      </c>
      <c r="Q435" s="286">
        <v>21005</v>
      </c>
      <c r="R435" s="286">
        <v>16395</v>
      </c>
      <c r="S435" s="286">
        <v>4513</v>
      </c>
      <c r="T435" s="286">
        <v>17069</v>
      </c>
      <c r="U435" s="286">
        <v>13432</v>
      </c>
      <c r="V435" s="286">
        <v>3540</v>
      </c>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c r="AS435" s="286"/>
      <c r="AT435" s="286"/>
      <c r="AU435" s="286"/>
      <c r="AV435" s="286"/>
      <c r="AW435" s="286"/>
      <c r="AX435" s="286"/>
      <c r="AY435" s="286"/>
      <c r="AZ435" s="286"/>
      <c r="BA435" s="286"/>
      <c r="BB435" s="286"/>
      <c r="BC435" s="286"/>
      <c r="BD435" s="286"/>
      <c r="BE435" s="286"/>
      <c r="BF435" s="286"/>
      <c r="BG435" s="286"/>
      <c r="BH435" s="286"/>
      <c r="BI435" s="286"/>
      <c r="BJ435" s="286"/>
      <c r="BK435" s="286"/>
      <c r="BL435" s="286"/>
      <c r="BM435" s="286"/>
      <c r="BN435" s="286"/>
      <c r="BO435" s="286"/>
      <c r="BP435" s="286"/>
      <c r="BQ435" s="286"/>
      <c r="BR435" s="286"/>
      <c r="BS435" s="286"/>
      <c r="BT435" s="286"/>
      <c r="BU435" s="286"/>
      <c r="BV435" s="286"/>
      <c r="BW435" s="286"/>
      <c r="BX435" s="286"/>
      <c r="BY435" s="286"/>
      <c r="BZ435" s="286"/>
      <c r="CA435" s="286"/>
      <c r="CB435" s="286"/>
      <c r="CC435" s="286"/>
      <c r="CD435" s="286"/>
      <c r="CE435" s="286"/>
      <c r="CF435" s="286"/>
      <c r="CG435" s="286"/>
      <c r="CH435" s="286"/>
      <c r="CI435" s="286"/>
      <c r="CJ435" s="286"/>
      <c r="CK435" s="286"/>
      <c r="CL435" s="286"/>
      <c r="CM435" s="286"/>
      <c r="CN435" s="286"/>
      <c r="CO435" s="286"/>
      <c r="CP435" s="286"/>
      <c r="CQ435" s="286"/>
      <c r="CR435" s="286"/>
      <c r="CS435" s="286"/>
      <c r="CT435" s="286"/>
      <c r="CU435" s="286"/>
      <c r="CV435" s="286"/>
      <c r="CW435" s="286"/>
      <c r="CX435" s="286"/>
      <c r="CY435" s="286"/>
      <c r="CZ435" s="286"/>
      <c r="DA435" s="286"/>
      <c r="DB435" s="286"/>
      <c r="DC435" s="286"/>
      <c r="DD435" s="286"/>
      <c r="DE435" s="286"/>
      <c r="DF435" s="286"/>
      <c r="DG435" s="286"/>
      <c r="DH435" s="286"/>
      <c r="DI435" s="286"/>
      <c r="DJ435" s="286"/>
      <c r="DK435" s="286"/>
      <c r="DL435" s="286"/>
      <c r="DM435" s="286"/>
      <c r="DN435" s="286"/>
      <c r="DO435" s="286"/>
      <c r="DP435" s="286"/>
      <c r="DQ435" s="286"/>
      <c r="DR435" s="286"/>
      <c r="DS435" s="286"/>
      <c r="DT435" s="286"/>
      <c r="DU435" s="286"/>
      <c r="DV435" s="286"/>
      <c r="DW435" s="286"/>
      <c r="DX435" s="286"/>
      <c r="DY435" s="286"/>
      <c r="DZ435" s="286"/>
      <c r="EA435" s="286"/>
      <c r="EB435" s="286"/>
      <c r="EC435" s="286"/>
      <c r="ED435" s="286"/>
      <c r="EE435" s="286"/>
      <c r="EF435" s="286"/>
      <c r="EG435" s="286"/>
      <c r="EH435" s="286"/>
      <c r="EI435" s="286"/>
      <c r="EJ435" s="286"/>
      <c r="EK435" s="286"/>
      <c r="EL435" s="286"/>
      <c r="EM435" s="286"/>
      <c r="EN435" s="286"/>
      <c r="EO435" s="286"/>
      <c r="EP435" s="286"/>
      <c r="EQ435" s="286"/>
      <c r="ER435" s="286"/>
      <c r="ES435" s="286"/>
      <c r="ET435" s="286"/>
      <c r="EU435" s="286"/>
      <c r="EV435" s="286"/>
      <c r="EW435" s="286"/>
      <c r="EX435" s="286"/>
      <c r="EY435" s="286"/>
      <c r="EZ435" s="286"/>
      <c r="FA435" s="286"/>
      <c r="FB435" s="286"/>
      <c r="FC435" s="286"/>
      <c r="FD435" s="286"/>
      <c r="FE435" s="286"/>
      <c r="FF435" s="286"/>
      <c r="FG435" s="286"/>
      <c r="FH435" s="286"/>
      <c r="FI435" s="286"/>
      <c r="FJ435" s="286"/>
      <c r="FK435" s="286"/>
      <c r="FL435" s="286"/>
      <c r="FM435" s="286"/>
      <c r="FN435" s="286"/>
      <c r="FO435" s="286"/>
      <c r="FP435" s="286"/>
      <c r="FQ435" s="286"/>
      <c r="FR435" s="286"/>
      <c r="FS435" s="286"/>
    </row>
    <row r="436" spans="1:175">
      <c r="A436" s="212" t="s">
        <v>3159</v>
      </c>
      <c r="B436" s="212" t="s">
        <v>3160</v>
      </c>
      <c r="C436" s="212" t="s">
        <v>3172</v>
      </c>
      <c r="D436" s="212" t="s">
        <v>3580</v>
      </c>
      <c r="E436" s="212" t="s">
        <v>3607</v>
      </c>
      <c r="F436" s="278">
        <v>9552</v>
      </c>
      <c r="G436" s="278">
        <v>25850</v>
      </c>
      <c r="H436" s="287">
        <f t="shared" si="6"/>
        <v>4.7350096711798839</v>
      </c>
      <c r="I436" s="286">
        <v>415</v>
      </c>
      <c r="J436" s="286">
        <v>1224</v>
      </c>
      <c r="K436" s="286">
        <v>921</v>
      </c>
      <c r="L436" s="286">
        <v>303</v>
      </c>
      <c r="M436" s="286">
        <v>780</v>
      </c>
      <c r="N436" s="286">
        <v>567</v>
      </c>
      <c r="O436" s="286">
        <v>213</v>
      </c>
      <c r="P436" s="286">
        <v>415</v>
      </c>
      <c r="Q436" s="286">
        <v>1224</v>
      </c>
      <c r="R436" s="286">
        <v>921</v>
      </c>
      <c r="S436" s="286">
        <v>303</v>
      </c>
      <c r="T436" s="286">
        <v>780</v>
      </c>
      <c r="U436" s="286">
        <v>567</v>
      </c>
      <c r="V436" s="286">
        <v>213</v>
      </c>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c r="AR436" s="286"/>
      <c r="AS436" s="286"/>
      <c r="AT436" s="286"/>
      <c r="AU436" s="286"/>
      <c r="AV436" s="286"/>
      <c r="AW436" s="286"/>
      <c r="AX436" s="286"/>
      <c r="AY436" s="286"/>
      <c r="AZ436" s="286"/>
      <c r="BA436" s="286"/>
      <c r="BB436" s="286"/>
      <c r="BC436" s="286"/>
      <c r="BD436" s="286"/>
      <c r="BE436" s="286"/>
      <c r="BF436" s="286"/>
      <c r="BG436" s="286"/>
      <c r="BH436" s="286"/>
      <c r="BI436" s="286"/>
      <c r="BJ436" s="286"/>
      <c r="BK436" s="286"/>
      <c r="BL436" s="286"/>
      <c r="BM436" s="286"/>
      <c r="BN436" s="286"/>
      <c r="BO436" s="286"/>
      <c r="BP436" s="286"/>
      <c r="BQ436" s="286"/>
      <c r="BR436" s="286"/>
      <c r="BS436" s="286"/>
      <c r="BT436" s="286"/>
      <c r="BU436" s="286"/>
      <c r="BV436" s="286"/>
      <c r="BW436" s="286"/>
      <c r="BX436" s="286"/>
      <c r="BY436" s="286"/>
      <c r="BZ436" s="286"/>
      <c r="CA436" s="286"/>
      <c r="CB436" s="286"/>
      <c r="CC436" s="286"/>
      <c r="CD436" s="286"/>
      <c r="CE436" s="286"/>
      <c r="CF436" s="286"/>
      <c r="CG436" s="286"/>
      <c r="CH436" s="286"/>
      <c r="CI436" s="286"/>
      <c r="CJ436" s="286"/>
      <c r="CK436" s="286"/>
      <c r="CL436" s="286"/>
      <c r="CM436" s="286"/>
      <c r="CN436" s="286"/>
      <c r="CO436" s="286"/>
      <c r="CP436" s="286"/>
      <c r="CQ436" s="286"/>
      <c r="CR436" s="286"/>
      <c r="CS436" s="286"/>
      <c r="CT436" s="286"/>
      <c r="CU436" s="286"/>
      <c r="CV436" s="286"/>
      <c r="CW436" s="286"/>
      <c r="CX436" s="286"/>
      <c r="CY436" s="286"/>
      <c r="CZ436" s="286"/>
      <c r="DA436" s="286"/>
      <c r="DB436" s="286"/>
      <c r="DC436" s="286"/>
      <c r="DD436" s="286"/>
      <c r="DE436" s="286"/>
      <c r="DF436" s="286"/>
      <c r="DG436" s="286"/>
      <c r="DH436" s="286"/>
      <c r="DI436" s="286"/>
      <c r="DJ436" s="286"/>
      <c r="DK436" s="286"/>
      <c r="DL436" s="286"/>
      <c r="DM436" s="286"/>
      <c r="DN436" s="286"/>
      <c r="DO436" s="286"/>
      <c r="DP436" s="286"/>
      <c r="DQ436" s="286"/>
      <c r="DR436" s="286"/>
      <c r="DS436" s="286"/>
      <c r="DT436" s="286"/>
      <c r="DU436" s="286"/>
      <c r="DV436" s="286"/>
      <c r="DW436" s="286"/>
      <c r="DX436" s="286"/>
      <c r="DY436" s="286"/>
      <c r="DZ436" s="286"/>
      <c r="EA436" s="286"/>
      <c r="EB436" s="286"/>
      <c r="EC436" s="286"/>
      <c r="ED436" s="286"/>
      <c r="EE436" s="286"/>
      <c r="EF436" s="286"/>
      <c r="EG436" s="286"/>
      <c r="EH436" s="286"/>
      <c r="EI436" s="286"/>
      <c r="EJ436" s="286"/>
      <c r="EK436" s="286"/>
      <c r="EL436" s="286"/>
      <c r="EM436" s="286"/>
      <c r="EN436" s="286"/>
      <c r="EO436" s="286"/>
      <c r="EP436" s="286"/>
      <c r="EQ436" s="286"/>
      <c r="ER436" s="286"/>
      <c r="ES436" s="286"/>
      <c r="ET436" s="286"/>
      <c r="EU436" s="286"/>
      <c r="EV436" s="286"/>
      <c r="EW436" s="286"/>
      <c r="EX436" s="286"/>
      <c r="EY436" s="286"/>
      <c r="EZ436" s="286"/>
      <c r="FA436" s="286"/>
      <c r="FB436" s="286"/>
      <c r="FC436" s="286"/>
      <c r="FD436" s="286"/>
      <c r="FE436" s="286"/>
      <c r="FF436" s="286"/>
      <c r="FG436" s="286"/>
      <c r="FH436" s="286"/>
      <c r="FI436" s="286"/>
      <c r="FJ436" s="286"/>
      <c r="FK436" s="286"/>
      <c r="FL436" s="286"/>
      <c r="FM436" s="286"/>
      <c r="FN436" s="286"/>
      <c r="FO436" s="286"/>
      <c r="FP436" s="286"/>
      <c r="FQ436" s="286"/>
      <c r="FR436" s="286"/>
      <c r="FS436" s="286"/>
    </row>
    <row r="437" spans="1:175">
      <c r="A437" s="212" t="s">
        <v>3159</v>
      </c>
      <c r="B437" s="212" t="s">
        <v>3160</v>
      </c>
      <c r="C437" s="212" t="s">
        <v>3172</v>
      </c>
      <c r="D437" s="212" t="s">
        <v>3580</v>
      </c>
      <c r="E437" s="212" t="s">
        <v>3608</v>
      </c>
      <c r="F437" s="278">
        <v>40399</v>
      </c>
      <c r="G437" s="278">
        <v>280244</v>
      </c>
      <c r="H437" s="287">
        <f t="shared" si="6"/>
        <v>3.974036910692111</v>
      </c>
      <c r="I437" s="286">
        <v>1618</v>
      </c>
      <c r="J437" s="286">
        <v>11137</v>
      </c>
      <c r="K437" s="286">
        <v>5639</v>
      </c>
      <c r="L437" s="286">
        <v>4721</v>
      </c>
      <c r="M437" s="286">
        <v>9246</v>
      </c>
      <c r="N437" s="286">
        <v>4299</v>
      </c>
      <c r="O437" s="286">
        <v>4170</v>
      </c>
      <c r="P437" s="286">
        <v>1618</v>
      </c>
      <c r="Q437" s="286">
        <v>11137</v>
      </c>
      <c r="R437" s="286">
        <v>5639</v>
      </c>
      <c r="S437" s="286">
        <v>4721</v>
      </c>
      <c r="T437" s="286">
        <v>9246</v>
      </c>
      <c r="U437" s="286">
        <v>4299</v>
      </c>
      <c r="V437" s="286">
        <v>4170</v>
      </c>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c r="AS437" s="286"/>
      <c r="AT437" s="286"/>
      <c r="AU437" s="286"/>
      <c r="AV437" s="286"/>
      <c r="AW437" s="286"/>
      <c r="AX437" s="286"/>
      <c r="AY437" s="286"/>
      <c r="AZ437" s="286"/>
      <c r="BA437" s="286"/>
      <c r="BB437" s="286"/>
      <c r="BC437" s="286"/>
      <c r="BD437" s="286"/>
      <c r="BE437" s="286"/>
      <c r="BF437" s="286"/>
      <c r="BG437" s="286"/>
      <c r="BH437" s="286"/>
      <c r="BI437" s="286"/>
      <c r="BJ437" s="286"/>
      <c r="BK437" s="286"/>
      <c r="BL437" s="286"/>
      <c r="BM437" s="286"/>
      <c r="BN437" s="286"/>
      <c r="BO437" s="286"/>
      <c r="BP437" s="286"/>
      <c r="BQ437" s="286"/>
      <c r="BR437" s="286"/>
      <c r="BS437" s="286"/>
      <c r="BT437" s="286"/>
      <c r="BU437" s="286"/>
      <c r="BV437" s="286"/>
      <c r="BW437" s="286"/>
      <c r="BX437" s="286"/>
      <c r="BY437" s="286"/>
      <c r="BZ437" s="286"/>
      <c r="CA437" s="286"/>
      <c r="CB437" s="286"/>
      <c r="CC437" s="286"/>
      <c r="CD437" s="286"/>
      <c r="CE437" s="286"/>
      <c r="CF437" s="286"/>
      <c r="CG437" s="286"/>
      <c r="CH437" s="286"/>
      <c r="CI437" s="286"/>
      <c r="CJ437" s="286"/>
      <c r="CK437" s="286"/>
      <c r="CL437" s="286"/>
      <c r="CM437" s="286"/>
      <c r="CN437" s="286"/>
      <c r="CO437" s="286"/>
      <c r="CP437" s="286"/>
      <c r="CQ437" s="286"/>
      <c r="CR437" s="286"/>
      <c r="CS437" s="286"/>
      <c r="CT437" s="286"/>
      <c r="CU437" s="286"/>
      <c r="CV437" s="286"/>
      <c r="CW437" s="286"/>
      <c r="CX437" s="286"/>
      <c r="CY437" s="286"/>
      <c r="CZ437" s="286"/>
      <c r="DA437" s="286"/>
      <c r="DB437" s="286"/>
      <c r="DC437" s="286"/>
      <c r="DD437" s="286"/>
      <c r="DE437" s="286"/>
      <c r="DF437" s="286"/>
      <c r="DG437" s="286"/>
      <c r="DH437" s="286"/>
      <c r="DI437" s="286"/>
      <c r="DJ437" s="286"/>
      <c r="DK437" s="286"/>
      <c r="DL437" s="286"/>
      <c r="DM437" s="286"/>
      <c r="DN437" s="286"/>
      <c r="DO437" s="286"/>
      <c r="DP437" s="286"/>
      <c r="DQ437" s="286"/>
      <c r="DR437" s="286"/>
      <c r="DS437" s="286"/>
      <c r="DT437" s="286"/>
      <c r="DU437" s="286"/>
      <c r="DV437" s="286"/>
      <c r="DW437" s="286"/>
      <c r="DX437" s="286"/>
      <c r="DY437" s="286"/>
      <c r="DZ437" s="286"/>
      <c r="EA437" s="286"/>
      <c r="EB437" s="286"/>
      <c r="EC437" s="286"/>
      <c r="ED437" s="286"/>
      <c r="EE437" s="286"/>
      <c r="EF437" s="286"/>
      <c r="EG437" s="286"/>
      <c r="EH437" s="286"/>
      <c r="EI437" s="286"/>
      <c r="EJ437" s="286"/>
      <c r="EK437" s="286"/>
      <c r="EL437" s="286"/>
      <c r="EM437" s="286"/>
      <c r="EN437" s="286"/>
      <c r="EO437" s="286"/>
      <c r="EP437" s="286"/>
      <c r="EQ437" s="286"/>
      <c r="ER437" s="286"/>
      <c r="ES437" s="286"/>
      <c r="ET437" s="286"/>
      <c r="EU437" s="286"/>
      <c r="EV437" s="286"/>
      <c r="EW437" s="286"/>
      <c r="EX437" s="286"/>
      <c r="EY437" s="286"/>
      <c r="EZ437" s="286"/>
      <c r="FA437" s="286"/>
      <c r="FB437" s="286"/>
      <c r="FC437" s="286"/>
      <c r="FD437" s="286"/>
      <c r="FE437" s="286"/>
      <c r="FF437" s="286"/>
      <c r="FG437" s="286"/>
      <c r="FH437" s="286"/>
      <c r="FI437" s="286"/>
      <c r="FJ437" s="286"/>
      <c r="FK437" s="286"/>
      <c r="FL437" s="286"/>
      <c r="FM437" s="286"/>
      <c r="FN437" s="286"/>
      <c r="FO437" s="286"/>
      <c r="FP437" s="286"/>
      <c r="FQ437" s="286"/>
      <c r="FR437" s="286"/>
      <c r="FS437" s="286"/>
    </row>
    <row r="438" spans="1:175">
      <c r="A438" s="212" t="s">
        <v>3159</v>
      </c>
      <c r="B438" s="212" t="s">
        <v>3160</v>
      </c>
      <c r="C438" s="212" t="s">
        <v>3170</v>
      </c>
      <c r="D438" s="212" t="s">
        <v>3580</v>
      </c>
      <c r="E438" s="212" t="s">
        <v>3609</v>
      </c>
      <c r="F438" s="278">
        <v>328813</v>
      </c>
      <c r="G438" s="278">
        <v>2308769</v>
      </c>
      <c r="H438" s="287">
        <f t="shared" si="6"/>
        <v>3.9124745697815593</v>
      </c>
      <c r="I438" s="286">
        <v>13277</v>
      </c>
      <c r="J438" s="286">
        <v>90330</v>
      </c>
      <c r="K438" s="286">
        <v>37672</v>
      </c>
      <c r="L438" s="286">
        <v>51019</v>
      </c>
      <c r="M438" s="286">
        <v>77182</v>
      </c>
      <c r="N438" s="286">
        <v>30243</v>
      </c>
      <c r="O438" s="286">
        <v>45305</v>
      </c>
      <c r="P438" s="286">
        <v>13277</v>
      </c>
      <c r="Q438" s="286">
        <v>90330</v>
      </c>
      <c r="R438" s="286">
        <v>37672</v>
      </c>
      <c r="S438" s="286">
        <v>51019</v>
      </c>
      <c r="T438" s="286">
        <v>77182</v>
      </c>
      <c r="U438" s="286">
        <v>30243</v>
      </c>
      <c r="V438" s="286">
        <v>45305</v>
      </c>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c r="AR438" s="286"/>
      <c r="AS438" s="286"/>
      <c r="AT438" s="286"/>
      <c r="AU438" s="286"/>
      <c r="AV438" s="286"/>
      <c r="AW438" s="286"/>
      <c r="AX438" s="286"/>
      <c r="AY438" s="286"/>
      <c r="AZ438" s="286"/>
      <c r="BA438" s="286"/>
      <c r="BB438" s="286"/>
      <c r="BC438" s="286"/>
      <c r="BD438" s="286"/>
      <c r="BE438" s="286"/>
      <c r="BF438" s="286"/>
      <c r="BG438" s="286"/>
      <c r="BH438" s="286"/>
      <c r="BI438" s="286"/>
      <c r="BJ438" s="286"/>
      <c r="BK438" s="286"/>
      <c r="BL438" s="286"/>
      <c r="BM438" s="286"/>
      <c r="BN438" s="286"/>
      <c r="BO438" s="286"/>
      <c r="BP438" s="286"/>
      <c r="BQ438" s="286"/>
      <c r="BR438" s="286"/>
      <c r="BS438" s="286"/>
      <c r="BT438" s="286"/>
      <c r="BU438" s="286"/>
      <c r="BV438" s="286"/>
      <c r="BW438" s="286"/>
      <c r="BX438" s="286"/>
      <c r="BY438" s="286"/>
      <c r="BZ438" s="286"/>
      <c r="CA438" s="286"/>
      <c r="CB438" s="286"/>
      <c r="CC438" s="286"/>
      <c r="CD438" s="286"/>
      <c r="CE438" s="286"/>
      <c r="CF438" s="286"/>
      <c r="CG438" s="286"/>
      <c r="CH438" s="286"/>
      <c r="CI438" s="286"/>
      <c r="CJ438" s="286"/>
      <c r="CK438" s="286"/>
      <c r="CL438" s="286"/>
      <c r="CM438" s="286"/>
      <c r="CN438" s="286"/>
      <c r="CO438" s="286"/>
      <c r="CP438" s="286"/>
      <c r="CQ438" s="286"/>
      <c r="CR438" s="286"/>
      <c r="CS438" s="286"/>
      <c r="CT438" s="286"/>
      <c r="CU438" s="286"/>
      <c r="CV438" s="286"/>
      <c r="CW438" s="286"/>
      <c r="CX438" s="286"/>
      <c r="CY438" s="286"/>
      <c r="CZ438" s="286"/>
      <c r="DA438" s="286"/>
      <c r="DB438" s="286"/>
      <c r="DC438" s="286"/>
      <c r="DD438" s="286"/>
      <c r="DE438" s="286"/>
      <c r="DF438" s="286"/>
      <c r="DG438" s="286"/>
      <c r="DH438" s="286"/>
      <c r="DI438" s="286"/>
      <c r="DJ438" s="286"/>
      <c r="DK438" s="286"/>
      <c r="DL438" s="286"/>
      <c r="DM438" s="286"/>
      <c r="DN438" s="286"/>
      <c r="DO438" s="286"/>
      <c r="DP438" s="286"/>
      <c r="DQ438" s="286"/>
      <c r="DR438" s="286"/>
      <c r="DS438" s="286"/>
      <c r="DT438" s="286"/>
      <c r="DU438" s="286"/>
      <c r="DV438" s="286"/>
      <c r="DW438" s="286"/>
      <c r="DX438" s="286"/>
      <c r="DY438" s="286"/>
      <c r="DZ438" s="286"/>
      <c r="EA438" s="286"/>
      <c r="EB438" s="286"/>
      <c r="EC438" s="286"/>
      <c r="ED438" s="286"/>
      <c r="EE438" s="286"/>
      <c r="EF438" s="286"/>
      <c r="EG438" s="286"/>
      <c r="EH438" s="286"/>
      <c r="EI438" s="286"/>
      <c r="EJ438" s="286"/>
      <c r="EK438" s="286"/>
      <c r="EL438" s="286"/>
      <c r="EM438" s="286"/>
      <c r="EN438" s="286"/>
      <c r="EO438" s="286"/>
      <c r="EP438" s="286"/>
      <c r="EQ438" s="286"/>
      <c r="ER438" s="286"/>
      <c r="ES438" s="286"/>
      <c r="ET438" s="286"/>
      <c r="EU438" s="286"/>
      <c r="EV438" s="286"/>
      <c r="EW438" s="286"/>
      <c r="EX438" s="286"/>
      <c r="EY438" s="286"/>
      <c r="EZ438" s="286"/>
      <c r="FA438" s="286"/>
      <c r="FB438" s="286"/>
      <c r="FC438" s="286"/>
      <c r="FD438" s="286"/>
      <c r="FE438" s="286"/>
      <c r="FF438" s="286"/>
      <c r="FG438" s="286"/>
      <c r="FH438" s="286"/>
      <c r="FI438" s="286"/>
      <c r="FJ438" s="286"/>
      <c r="FK438" s="286"/>
      <c r="FL438" s="286"/>
      <c r="FM438" s="286"/>
      <c r="FN438" s="286"/>
      <c r="FO438" s="286"/>
      <c r="FP438" s="286"/>
      <c r="FQ438" s="286"/>
      <c r="FR438" s="286"/>
      <c r="FS438" s="286"/>
    </row>
    <row r="439" spans="1:175">
      <c r="A439" s="212" t="s">
        <v>3159</v>
      </c>
      <c r="B439" s="212" t="s">
        <v>3160</v>
      </c>
      <c r="C439" s="212" t="s">
        <v>3172</v>
      </c>
      <c r="D439" s="212" t="s">
        <v>3580</v>
      </c>
      <c r="E439" s="212" t="s">
        <v>3610</v>
      </c>
      <c r="F439" s="278">
        <v>2863</v>
      </c>
      <c r="G439" s="278">
        <v>41585</v>
      </c>
      <c r="H439" s="287">
        <f t="shared" si="6"/>
        <v>2.5033064807021761</v>
      </c>
      <c r="I439" s="286">
        <v>117</v>
      </c>
      <c r="J439" s="286">
        <v>1041</v>
      </c>
      <c r="K439" s="286">
        <v>562</v>
      </c>
      <c r="L439" s="286">
        <v>477</v>
      </c>
      <c r="M439" s="286">
        <v>880</v>
      </c>
      <c r="N439" s="286">
        <v>458</v>
      </c>
      <c r="O439" s="286">
        <v>420</v>
      </c>
      <c r="P439" s="286">
        <v>117</v>
      </c>
      <c r="Q439" s="286">
        <v>1041</v>
      </c>
      <c r="R439" s="286">
        <v>562</v>
      </c>
      <c r="S439" s="286">
        <v>477</v>
      </c>
      <c r="T439" s="286">
        <v>880</v>
      </c>
      <c r="U439" s="286">
        <v>458</v>
      </c>
      <c r="V439" s="286">
        <v>420</v>
      </c>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c r="AS439" s="286"/>
      <c r="AT439" s="286"/>
      <c r="AU439" s="286"/>
      <c r="AV439" s="286"/>
      <c r="AW439" s="286"/>
      <c r="AX439" s="286"/>
      <c r="AY439" s="286"/>
      <c r="AZ439" s="286"/>
      <c r="BA439" s="286"/>
      <c r="BB439" s="286"/>
      <c r="BC439" s="286"/>
      <c r="BD439" s="286"/>
      <c r="BE439" s="286"/>
      <c r="BF439" s="286"/>
      <c r="BG439" s="286"/>
      <c r="BH439" s="286"/>
      <c r="BI439" s="286"/>
      <c r="BJ439" s="286"/>
      <c r="BK439" s="286"/>
      <c r="BL439" s="286"/>
      <c r="BM439" s="286"/>
      <c r="BN439" s="286"/>
      <c r="BO439" s="286"/>
      <c r="BP439" s="286"/>
      <c r="BQ439" s="286"/>
      <c r="BR439" s="286"/>
      <c r="BS439" s="286"/>
      <c r="BT439" s="286"/>
      <c r="BU439" s="286"/>
      <c r="BV439" s="286"/>
      <c r="BW439" s="286"/>
      <c r="BX439" s="286"/>
      <c r="BY439" s="286"/>
      <c r="BZ439" s="286"/>
      <c r="CA439" s="286"/>
      <c r="CB439" s="286"/>
      <c r="CC439" s="286"/>
      <c r="CD439" s="286"/>
      <c r="CE439" s="286"/>
      <c r="CF439" s="286"/>
      <c r="CG439" s="286"/>
      <c r="CH439" s="286"/>
      <c r="CI439" s="286"/>
      <c r="CJ439" s="286"/>
      <c r="CK439" s="286"/>
      <c r="CL439" s="286"/>
      <c r="CM439" s="286"/>
      <c r="CN439" s="286"/>
      <c r="CO439" s="286"/>
      <c r="CP439" s="286"/>
      <c r="CQ439" s="286"/>
      <c r="CR439" s="286"/>
      <c r="CS439" s="286"/>
      <c r="CT439" s="286"/>
      <c r="CU439" s="286"/>
      <c r="CV439" s="286"/>
      <c r="CW439" s="286"/>
      <c r="CX439" s="286"/>
      <c r="CY439" s="286"/>
      <c r="CZ439" s="286"/>
      <c r="DA439" s="286"/>
      <c r="DB439" s="286"/>
      <c r="DC439" s="286"/>
      <c r="DD439" s="286"/>
      <c r="DE439" s="286"/>
      <c r="DF439" s="286"/>
      <c r="DG439" s="286"/>
      <c r="DH439" s="286"/>
      <c r="DI439" s="286"/>
      <c r="DJ439" s="286"/>
      <c r="DK439" s="286"/>
      <c r="DL439" s="286"/>
      <c r="DM439" s="286"/>
      <c r="DN439" s="286"/>
      <c r="DO439" s="286"/>
      <c r="DP439" s="286"/>
      <c r="DQ439" s="286"/>
      <c r="DR439" s="286"/>
      <c r="DS439" s="286"/>
      <c r="DT439" s="286"/>
      <c r="DU439" s="286"/>
      <c r="DV439" s="286"/>
      <c r="DW439" s="286"/>
      <c r="DX439" s="286"/>
      <c r="DY439" s="286"/>
      <c r="DZ439" s="286"/>
      <c r="EA439" s="286"/>
      <c r="EB439" s="286"/>
      <c r="EC439" s="286"/>
      <c r="ED439" s="286"/>
      <c r="EE439" s="286"/>
      <c r="EF439" s="286"/>
      <c r="EG439" s="286"/>
      <c r="EH439" s="286"/>
      <c r="EI439" s="286"/>
      <c r="EJ439" s="286"/>
      <c r="EK439" s="286"/>
      <c r="EL439" s="286"/>
      <c r="EM439" s="286"/>
      <c r="EN439" s="286"/>
      <c r="EO439" s="286"/>
      <c r="EP439" s="286"/>
      <c r="EQ439" s="286"/>
      <c r="ER439" s="286"/>
      <c r="ES439" s="286"/>
      <c r="ET439" s="286"/>
      <c r="EU439" s="286"/>
      <c r="EV439" s="286"/>
      <c r="EW439" s="286"/>
      <c r="EX439" s="286"/>
      <c r="EY439" s="286"/>
      <c r="EZ439" s="286"/>
      <c r="FA439" s="286"/>
      <c r="FB439" s="286"/>
      <c r="FC439" s="286"/>
      <c r="FD439" s="286"/>
      <c r="FE439" s="286"/>
      <c r="FF439" s="286"/>
      <c r="FG439" s="286"/>
      <c r="FH439" s="286"/>
      <c r="FI439" s="286"/>
      <c r="FJ439" s="286"/>
      <c r="FK439" s="286"/>
      <c r="FL439" s="286"/>
      <c r="FM439" s="286"/>
      <c r="FN439" s="286"/>
      <c r="FO439" s="286"/>
      <c r="FP439" s="286"/>
      <c r="FQ439" s="286"/>
      <c r="FR439" s="286"/>
      <c r="FS439" s="286"/>
    </row>
    <row r="440" spans="1:175">
      <c r="A440" s="212" t="s">
        <v>3159</v>
      </c>
      <c r="B440" s="212" t="s">
        <v>3160</v>
      </c>
      <c r="C440" s="212" t="s">
        <v>3172</v>
      </c>
      <c r="D440" s="212" t="s">
        <v>3580</v>
      </c>
      <c r="E440" s="212" t="s">
        <v>3611</v>
      </c>
      <c r="F440" s="278">
        <v>16555</v>
      </c>
      <c r="G440" s="278">
        <v>83829</v>
      </c>
      <c r="H440" s="287">
        <f t="shared" si="6"/>
        <v>4.5425807298190364</v>
      </c>
      <c r="I440" s="286">
        <v>699</v>
      </c>
      <c r="J440" s="286">
        <v>3808</v>
      </c>
      <c r="K440" s="286">
        <v>1905</v>
      </c>
      <c r="L440" s="286">
        <v>1888</v>
      </c>
      <c r="M440" s="286">
        <v>2943</v>
      </c>
      <c r="N440" s="286">
        <v>1294</v>
      </c>
      <c r="O440" s="286">
        <v>1634</v>
      </c>
      <c r="P440" s="286">
        <v>699</v>
      </c>
      <c r="Q440" s="286">
        <v>3808</v>
      </c>
      <c r="R440" s="286">
        <v>1905</v>
      </c>
      <c r="S440" s="286">
        <v>1888</v>
      </c>
      <c r="T440" s="286">
        <v>2943</v>
      </c>
      <c r="U440" s="286">
        <v>1294</v>
      </c>
      <c r="V440" s="286">
        <v>1634</v>
      </c>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c r="AR440" s="286"/>
      <c r="AS440" s="286"/>
      <c r="AT440" s="286"/>
      <c r="AU440" s="286"/>
      <c r="AV440" s="286"/>
      <c r="AW440" s="286"/>
      <c r="AX440" s="286"/>
      <c r="AY440" s="286"/>
      <c r="AZ440" s="286"/>
      <c r="BA440" s="286"/>
      <c r="BB440" s="286"/>
      <c r="BC440" s="286"/>
      <c r="BD440" s="286"/>
      <c r="BE440" s="286"/>
      <c r="BF440" s="286"/>
      <c r="BG440" s="286"/>
      <c r="BH440" s="286"/>
      <c r="BI440" s="286"/>
      <c r="BJ440" s="286"/>
      <c r="BK440" s="286"/>
      <c r="BL440" s="286"/>
      <c r="BM440" s="286"/>
      <c r="BN440" s="286"/>
      <c r="BO440" s="286"/>
      <c r="BP440" s="286"/>
      <c r="BQ440" s="286"/>
      <c r="BR440" s="286"/>
      <c r="BS440" s="286"/>
      <c r="BT440" s="286"/>
      <c r="BU440" s="286"/>
      <c r="BV440" s="286"/>
      <c r="BW440" s="286"/>
      <c r="BX440" s="286"/>
      <c r="BY440" s="286"/>
      <c r="BZ440" s="286"/>
      <c r="CA440" s="286"/>
      <c r="CB440" s="286"/>
      <c r="CC440" s="286"/>
      <c r="CD440" s="286"/>
      <c r="CE440" s="286"/>
      <c r="CF440" s="286"/>
      <c r="CG440" s="286"/>
      <c r="CH440" s="286"/>
      <c r="CI440" s="286"/>
      <c r="CJ440" s="286"/>
      <c r="CK440" s="286"/>
      <c r="CL440" s="286"/>
      <c r="CM440" s="286"/>
      <c r="CN440" s="286"/>
      <c r="CO440" s="286"/>
      <c r="CP440" s="286"/>
      <c r="CQ440" s="286"/>
      <c r="CR440" s="286"/>
      <c r="CS440" s="286"/>
      <c r="CT440" s="286"/>
      <c r="CU440" s="286"/>
      <c r="CV440" s="286"/>
      <c r="CW440" s="286"/>
      <c r="CX440" s="286"/>
      <c r="CY440" s="286"/>
      <c r="CZ440" s="286"/>
      <c r="DA440" s="286"/>
      <c r="DB440" s="286"/>
      <c r="DC440" s="286"/>
      <c r="DD440" s="286"/>
      <c r="DE440" s="286"/>
      <c r="DF440" s="286"/>
      <c r="DG440" s="286"/>
      <c r="DH440" s="286"/>
      <c r="DI440" s="286"/>
      <c r="DJ440" s="286"/>
      <c r="DK440" s="286"/>
      <c r="DL440" s="286"/>
      <c r="DM440" s="286"/>
      <c r="DN440" s="286"/>
      <c r="DO440" s="286"/>
      <c r="DP440" s="286"/>
      <c r="DQ440" s="286"/>
      <c r="DR440" s="286"/>
      <c r="DS440" s="286"/>
      <c r="DT440" s="286"/>
      <c r="DU440" s="286"/>
      <c r="DV440" s="286"/>
      <c r="DW440" s="286"/>
      <c r="DX440" s="286"/>
      <c r="DY440" s="286"/>
      <c r="DZ440" s="286"/>
      <c r="EA440" s="286"/>
      <c r="EB440" s="286"/>
      <c r="EC440" s="286"/>
      <c r="ED440" s="286"/>
      <c r="EE440" s="286"/>
      <c r="EF440" s="286"/>
      <c r="EG440" s="286"/>
      <c r="EH440" s="286"/>
      <c r="EI440" s="286"/>
      <c r="EJ440" s="286"/>
      <c r="EK440" s="286"/>
      <c r="EL440" s="286"/>
      <c r="EM440" s="286"/>
      <c r="EN440" s="286"/>
      <c r="EO440" s="286"/>
      <c r="EP440" s="286"/>
      <c r="EQ440" s="286"/>
      <c r="ER440" s="286"/>
      <c r="ES440" s="286"/>
      <c r="ET440" s="286"/>
      <c r="EU440" s="286"/>
      <c r="EV440" s="286"/>
      <c r="EW440" s="286"/>
      <c r="EX440" s="286"/>
      <c r="EY440" s="286"/>
      <c r="EZ440" s="286"/>
      <c r="FA440" s="286"/>
      <c r="FB440" s="286"/>
      <c r="FC440" s="286"/>
      <c r="FD440" s="286"/>
      <c r="FE440" s="286"/>
      <c r="FF440" s="286"/>
      <c r="FG440" s="286"/>
      <c r="FH440" s="286"/>
      <c r="FI440" s="286"/>
      <c r="FJ440" s="286"/>
      <c r="FK440" s="286"/>
      <c r="FL440" s="286"/>
      <c r="FM440" s="286"/>
      <c r="FN440" s="286"/>
      <c r="FO440" s="286"/>
      <c r="FP440" s="286"/>
      <c r="FQ440" s="286"/>
      <c r="FR440" s="286"/>
      <c r="FS440" s="286"/>
    </row>
    <row r="441" spans="1:175">
      <c r="A441" s="212" t="s">
        <v>3159</v>
      </c>
      <c r="B441" s="212" t="s">
        <v>3160</v>
      </c>
      <c r="C441" s="212" t="s">
        <v>3172</v>
      </c>
      <c r="D441" s="212" t="s">
        <v>3580</v>
      </c>
      <c r="E441" s="212" t="s">
        <v>3612</v>
      </c>
      <c r="F441" s="278">
        <v>14732</v>
      </c>
      <c r="G441" s="278">
        <v>55718</v>
      </c>
      <c r="H441" s="287">
        <f t="shared" si="6"/>
        <v>4.1638249757708463</v>
      </c>
      <c r="I441" s="286">
        <v>571</v>
      </c>
      <c r="J441" s="286">
        <v>2320</v>
      </c>
      <c r="K441" s="286">
        <v>641</v>
      </c>
      <c r="L441" s="286">
        <v>1679</v>
      </c>
      <c r="M441" s="286">
        <v>1692</v>
      </c>
      <c r="N441" s="286">
        <v>298</v>
      </c>
      <c r="O441" s="286">
        <v>1394</v>
      </c>
      <c r="P441" s="286">
        <v>571</v>
      </c>
      <c r="Q441" s="286">
        <v>2320</v>
      </c>
      <c r="R441" s="286">
        <v>641</v>
      </c>
      <c r="S441" s="286">
        <v>1679</v>
      </c>
      <c r="T441" s="286">
        <v>1692</v>
      </c>
      <c r="U441" s="286">
        <v>298</v>
      </c>
      <c r="V441" s="286">
        <v>1394</v>
      </c>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R441" s="286"/>
      <c r="AS441" s="286"/>
      <c r="AT441" s="286"/>
      <c r="AU441" s="286"/>
      <c r="AV441" s="286"/>
      <c r="AW441" s="286"/>
      <c r="AX441" s="286"/>
      <c r="AY441" s="286"/>
      <c r="AZ441" s="286"/>
      <c r="BA441" s="286"/>
      <c r="BB441" s="286"/>
      <c r="BC441" s="286"/>
      <c r="BD441" s="286"/>
      <c r="BE441" s="286"/>
      <c r="BF441" s="286"/>
      <c r="BG441" s="286"/>
      <c r="BH441" s="286"/>
      <c r="BI441" s="286"/>
      <c r="BJ441" s="286"/>
      <c r="BK441" s="286"/>
      <c r="BL441" s="286"/>
      <c r="BM441" s="286"/>
      <c r="BN441" s="286"/>
      <c r="BO441" s="286"/>
      <c r="BP441" s="286"/>
      <c r="BQ441" s="286"/>
      <c r="BR441" s="286"/>
      <c r="BS441" s="286"/>
      <c r="BT441" s="286"/>
      <c r="BU441" s="286"/>
      <c r="BV441" s="286"/>
      <c r="BW441" s="286"/>
      <c r="BX441" s="286"/>
      <c r="BY441" s="286"/>
      <c r="BZ441" s="286"/>
      <c r="CA441" s="286"/>
      <c r="CB441" s="286"/>
      <c r="CC441" s="286"/>
      <c r="CD441" s="286"/>
      <c r="CE441" s="286"/>
      <c r="CF441" s="286"/>
      <c r="CG441" s="286"/>
      <c r="CH441" s="286"/>
      <c r="CI441" s="286"/>
      <c r="CJ441" s="286"/>
      <c r="CK441" s="286"/>
      <c r="CL441" s="286"/>
      <c r="CM441" s="286"/>
      <c r="CN441" s="286"/>
      <c r="CO441" s="286"/>
      <c r="CP441" s="286"/>
      <c r="CQ441" s="286"/>
      <c r="CR441" s="286"/>
      <c r="CS441" s="286"/>
      <c r="CT441" s="286"/>
      <c r="CU441" s="286"/>
      <c r="CV441" s="286"/>
      <c r="CW441" s="286"/>
      <c r="CX441" s="286"/>
      <c r="CY441" s="286"/>
      <c r="CZ441" s="286"/>
      <c r="DA441" s="286"/>
      <c r="DB441" s="286"/>
      <c r="DC441" s="286"/>
      <c r="DD441" s="286"/>
      <c r="DE441" s="286"/>
      <c r="DF441" s="286"/>
      <c r="DG441" s="286"/>
      <c r="DH441" s="286"/>
      <c r="DI441" s="286"/>
      <c r="DJ441" s="286"/>
      <c r="DK441" s="286"/>
      <c r="DL441" s="286"/>
      <c r="DM441" s="286"/>
      <c r="DN441" s="286"/>
      <c r="DO441" s="286"/>
      <c r="DP441" s="286"/>
      <c r="DQ441" s="286"/>
      <c r="DR441" s="286"/>
      <c r="DS441" s="286"/>
      <c r="DT441" s="286"/>
      <c r="DU441" s="286"/>
      <c r="DV441" s="286"/>
      <c r="DW441" s="286"/>
      <c r="DX441" s="286"/>
      <c r="DY441" s="286"/>
      <c r="DZ441" s="286"/>
      <c r="EA441" s="286"/>
      <c r="EB441" s="286"/>
      <c r="EC441" s="286"/>
      <c r="ED441" s="286"/>
      <c r="EE441" s="286"/>
      <c r="EF441" s="286"/>
      <c r="EG441" s="286"/>
      <c r="EH441" s="286"/>
      <c r="EI441" s="286"/>
      <c r="EJ441" s="286"/>
      <c r="EK441" s="286"/>
      <c r="EL441" s="286"/>
      <c r="EM441" s="286"/>
      <c r="EN441" s="286"/>
      <c r="EO441" s="286"/>
      <c r="EP441" s="286"/>
      <c r="EQ441" s="286"/>
      <c r="ER441" s="286"/>
      <c r="ES441" s="286"/>
      <c r="ET441" s="286"/>
      <c r="EU441" s="286"/>
      <c r="EV441" s="286"/>
      <c r="EW441" s="286"/>
      <c r="EX441" s="286"/>
      <c r="EY441" s="286"/>
      <c r="EZ441" s="286"/>
      <c r="FA441" s="286"/>
      <c r="FB441" s="286"/>
      <c r="FC441" s="286"/>
      <c r="FD441" s="286"/>
      <c r="FE441" s="286"/>
      <c r="FF441" s="286"/>
      <c r="FG441" s="286"/>
      <c r="FH441" s="286"/>
      <c r="FI441" s="286"/>
      <c r="FJ441" s="286"/>
      <c r="FK441" s="286"/>
      <c r="FL441" s="286"/>
      <c r="FM441" s="286"/>
      <c r="FN441" s="286"/>
      <c r="FO441" s="286"/>
      <c r="FP441" s="286"/>
      <c r="FQ441" s="286"/>
      <c r="FR441" s="286"/>
      <c r="FS441" s="286"/>
    </row>
    <row r="442" spans="1:175">
      <c r="A442" s="212" t="s">
        <v>3159</v>
      </c>
      <c r="B442" s="212" t="s">
        <v>3160</v>
      </c>
      <c r="C442" s="212" t="s">
        <v>3172</v>
      </c>
      <c r="D442" s="212" t="s">
        <v>3580</v>
      </c>
      <c r="E442" s="212" t="s">
        <v>3613</v>
      </c>
      <c r="F442" s="278">
        <v>90344</v>
      </c>
      <c r="G442" s="278">
        <v>664522</v>
      </c>
      <c r="H442" s="287">
        <f t="shared" si="6"/>
        <v>4.1616379894119389</v>
      </c>
      <c r="I442" s="286">
        <v>3793</v>
      </c>
      <c r="J442" s="286">
        <v>27655</v>
      </c>
      <c r="K442" s="286">
        <v>5817</v>
      </c>
      <c r="L442" s="286">
        <v>21638</v>
      </c>
      <c r="M442" s="286">
        <v>24858</v>
      </c>
      <c r="N442" s="286">
        <v>4685</v>
      </c>
      <c r="O442" s="286">
        <v>19977</v>
      </c>
      <c r="P442" s="286">
        <v>3793</v>
      </c>
      <c r="Q442" s="286">
        <v>27655</v>
      </c>
      <c r="R442" s="286">
        <v>5817</v>
      </c>
      <c r="S442" s="286">
        <v>21638</v>
      </c>
      <c r="T442" s="286">
        <v>24858</v>
      </c>
      <c r="U442" s="286">
        <v>4685</v>
      </c>
      <c r="V442" s="286">
        <v>19977</v>
      </c>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c r="BL442" s="286"/>
      <c r="BM442" s="286"/>
      <c r="BN442" s="286"/>
      <c r="BO442" s="286"/>
      <c r="BP442" s="286"/>
      <c r="BQ442" s="286"/>
      <c r="BR442" s="286"/>
      <c r="BS442" s="286"/>
      <c r="BT442" s="286"/>
      <c r="BU442" s="286"/>
      <c r="BV442" s="286"/>
      <c r="BW442" s="286"/>
      <c r="BX442" s="286"/>
      <c r="BY442" s="286"/>
      <c r="BZ442" s="286"/>
      <c r="CA442" s="286"/>
      <c r="CB442" s="286"/>
      <c r="CC442" s="286"/>
      <c r="CD442" s="286"/>
      <c r="CE442" s="286"/>
      <c r="CF442" s="286"/>
      <c r="CG442" s="286"/>
      <c r="CH442" s="286"/>
      <c r="CI442" s="286"/>
      <c r="CJ442" s="286"/>
      <c r="CK442" s="286"/>
      <c r="CL442" s="286"/>
      <c r="CM442" s="286"/>
      <c r="CN442" s="286"/>
      <c r="CO442" s="286"/>
      <c r="CP442" s="286"/>
      <c r="CQ442" s="286"/>
      <c r="CR442" s="286"/>
      <c r="CS442" s="286"/>
      <c r="CT442" s="286"/>
      <c r="CU442" s="286"/>
      <c r="CV442" s="286"/>
      <c r="CW442" s="286"/>
      <c r="CX442" s="286"/>
      <c r="CY442" s="286"/>
      <c r="CZ442" s="286"/>
      <c r="DA442" s="286"/>
      <c r="DB442" s="286"/>
      <c r="DC442" s="286"/>
      <c r="DD442" s="286"/>
      <c r="DE442" s="286"/>
      <c r="DF442" s="286"/>
      <c r="DG442" s="286"/>
      <c r="DH442" s="286"/>
      <c r="DI442" s="286"/>
      <c r="DJ442" s="286"/>
      <c r="DK442" s="286"/>
      <c r="DL442" s="286"/>
      <c r="DM442" s="286"/>
      <c r="DN442" s="286"/>
      <c r="DO442" s="286"/>
      <c r="DP442" s="286"/>
      <c r="DQ442" s="286"/>
      <c r="DR442" s="286"/>
      <c r="DS442" s="286"/>
      <c r="DT442" s="286"/>
      <c r="DU442" s="286"/>
      <c r="DV442" s="286"/>
      <c r="DW442" s="286"/>
      <c r="DX442" s="286"/>
      <c r="DY442" s="286"/>
      <c r="DZ442" s="286"/>
      <c r="EA442" s="286"/>
      <c r="EB442" s="286"/>
      <c r="EC442" s="286"/>
      <c r="ED442" s="286"/>
      <c r="EE442" s="286"/>
      <c r="EF442" s="286"/>
      <c r="EG442" s="286"/>
      <c r="EH442" s="286"/>
      <c r="EI442" s="286"/>
      <c r="EJ442" s="286"/>
      <c r="EK442" s="286"/>
      <c r="EL442" s="286"/>
      <c r="EM442" s="286"/>
      <c r="EN442" s="286"/>
      <c r="EO442" s="286"/>
      <c r="EP442" s="286"/>
      <c r="EQ442" s="286"/>
      <c r="ER442" s="286"/>
      <c r="ES442" s="286"/>
      <c r="ET442" s="286"/>
      <c r="EU442" s="286"/>
      <c r="EV442" s="286"/>
      <c r="EW442" s="286"/>
      <c r="EX442" s="286"/>
      <c r="EY442" s="286"/>
      <c r="EZ442" s="286"/>
      <c r="FA442" s="286"/>
      <c r="FB442" s="286"/>
      <c r="FC442" s="286"/>
      <c r="FD442" s="286"/>
      <c r="FE442" s="286"/>
      <c r="FF442" s="286"/>
      <c r="FG442" s="286"/>
      <c r="FH442" s="286"/>
      <c r="FI442" s="286"/>
      <c r="FJ442" s="286"/>
      <c r="FK442" s="286"/>
      <c r="FL442" s="286"/>
      <c r="FM442" s="286"/>
      <c r="FN442" s="286"/>
      <c r="FO442" s="286"/>
      <c r="FP442" s="286"/>
      <c r="FQ442" s="286"/>
      <c r="FR442" s="286"/>
      <c r="FS442" s="286"/>
    </row>
    <row r="443" spans="1:175">
      <c r="A443" s="212" t="s">
        <v>3159</v>
      </c>
      <c r="B443" s="212" t="s">
        <v>3160</v>
      </c>
      <c r="C443" s="212" t="s">
        <v>3172</v>
      </c>
      <c r="D443" s="212" t="s">
        <v>3580</v>
      </c>
      <c r="E443" s="212" t="s">
        <v>3614</v>
      </c>
      <c r="F443" s="278">
        <v>10778</v>
      </c>
      <c r="G443" s="278">
        <v>61821</v>
      </c>
      <c r="H443" s="287">
        <f t="shared" si="6"/>
        <v>3.2125006065899937</v>
      </c>
      <c r="I443" s="286">
        <v>344</v>
      </c>
      <c r="J443" s="286">
        <v>1986</v>
      </c>
      <c r="K443" s="286">
        <v>1320</v>
      </c>
      <c r="L443" s="286">
        <v>666</v>
      </c>
      <c r="M443" s="286">
        <v>1625</v>
      </c>
      <c r="N443" s="286">
        <v>1075</v>
      </c>
      <c r="O443" s="286">
        <v>550</v>
      </c>
      <c r="P443" s="286">
        <v>344</v>
      </c>
      <c r="Q443" s="286">
        <v>1986</v>
      </c>
      <c r="R443" s="286">
        <v>1320</v>
      </c>
      <c r="S443" s="286">
        <v>666</v>
      </c>
      <c r="T443" s="286">
        <v>1625</v>
      </c>
      <c r="U443" s="286">
        <v>1075</v>
      </c>
      <c r="V443" s="286">
        <v>550</v>
      </c>
      <c r="W443" s="286"/>
      <c r="X443" s="286"/>
      <c r="Y443" s="286"/>
      <c r="Z443" s="286"/>
      <c r="AA443" s="286"/>
      <c r="AB443" s="286"/>
      <c r="AC443" s="286"/>
      <c r="AD443" s="286"/>
      <c r="AE443" s="286"/>
      <c r="AF443" s="286"/>
      <c r="AG443" s="286"/>
      <c r="AH443" s="286"/>
      <c r="AI443" s="286"/>
      <c r="AJ443" s="286"/>
      <c r="AK443" s="286"/>
      <c r="AL443" s="286"/>
      <c r="AM443" s="286"/>
      <c r="AN443" s="286"/>
      <c r="AO443" s="286"/>
      <c r="AP443" s="286"/>
      <c r="AQ443" s="286"/>
      <c r="AR443" s="286"/>
      <c r="AS443" s="286"/>
      <c r="AT443" s="286"/>
      <c r="AU443" s="286"/>
      <c r="AV443" s="286"/>
      <c r="AW443" s="286"/>
      <c r="AX443" s="286"/>
      <c r="AY443" s="286"/>
      <c r="AZ443" s="286"/>
      <c r="BA443" s="286"/>
      <c r="BB443" s="286"/>
      <c r="BC443" s="286"/>
      <c r="BD443" s="286"/>
      <c r="BE443" s="286"/>
      <c r="BF443" s="286"/>
      <c r="BG443" s="286"/>
      <c r="BH443" s="286"/>
      <c r="BI443" s="286"/>
      <c r="BJ443" s="286"/>
      <c r="BK443" s="286"/>
      <c r="BL443" s="286"/>
      <c r="BM443" s="286"/>
      <c r="BN443" s="286"/>
      <c r="BO443" s="286"/>
      <c r="BP443" s="286"/>
      <c r="BQ443" s="286"/>
      <c r="BR443" s="286"/>
      <c r="BS443" s="286"/>
      <c r="BT443" s="286"/>
      <c r="BU443" s="286"/>
      <c r="BV443" s="286"/>
      <c r="BW443" s="286"/>
      <c r="BX443" s="286"/>
      <c r="BY443" s="286"/>
      <c r="BZ443" s="286"/>
      <c r="CA443" s="286"/>
      <c r="CB443" s="286"/>
      <c r="CC443" s="286"/>
      <c r="CD443" s="286"/>
      <c r="CE443" s="286"/>
      <c r="CF443" s="286"/>
      <c r="CG443" s="286"/>
      <c r="CH443" s="286"/>
      <c r="CI443" s="286"/>
      <c r="CJ443" s="286"/>
      <c r="CK443" s="286"/>
      <c r="CL443" s="286"/>
      <c r="CM443" s="286"/>
      <c r="CN443" s="286"/>
      <c r="CO443" s="286"/>
      <c r="CP443" s="286"/>
      <c r="CQ443" s="286"/>
      <c r="CR443" s="286"/>
      <c r="CS443" s="286"/>
      <c r="CT443" s="286"/>
      <c r="CU443" s="286"/>
      <c r="CV443" s="286"/>
      <c r="CW443" s="286"/>
      <c r="CX443" s="286"/>
      <c r="CY443" s="286"/>
      <c r="CZ443" s="286"/>
      <c r="DA443" s="286"/>
      <c r="DB443" s="286"/>
      <c r="DC443" s="286"/>
      <c r="DD443" s="286"/>
      <c r="DE443" s="286"/>
      <c r="DF443" s="286"/>
      <c r="DG443" s="286"/>
      <c r="DH443" s="286"/>
      <c r="DI443" s="286"/>
      <c r="DJ443" s="286"/>
      <c r="DK443" s="286"/>
      <c r="DL443" s="286"/>
      <c r="DM443" s="286"/>
      <c r="DN443" s="286"/>
      <c r="DO443" s="286"/>
      <c r="DP443" s="286"/>
      <c r="DQ443" s="286"/>
      <c r="DR443" s="286"/>
      <c r="DS443" s="286"/>
      <c r="DT443" s="286"/>
      <c r="DU443" s="286"/>
      <c r="DV443" s="286"/>
      <c r="DW443" s="286"/>
      <c r="DX443" s="286"/>
      <c r="DY443" s="286"/>
      <c r="DZ443" s="286"/>
      <c r="EA443" s="286"/>
      <c r="EB443" s="286"/>
      <c r="EC443" s="286"/>
      <c r="ED443" s="286"/>
      <c r="EE443" s="286"/>
      <c r="EF443" s="286"/>
      <c r="EG443" s="286"/>
      <c r="EH443" s="286"/>
      <c r="EI443" s="286"/>
      <c r="EJ443" s="286"/>
      <c r="EK443" s="286"/>
      <c r="EL443" s="286"/>
      <c r="EM443" s="286"/>
      <c r="EN443" s="286"/>
      <c r="EO443" s="286"/>
      <c r="EP443" s="286"/>
      <c r="EQ443" s="286"/>
      <c r="ER443" s="286"/>
      <c r="ES443" s="286"/>
      <c r="ET443" s="286"/>
      <c r="EU443" s="286"/>
      <c r="EV443" s="286"/>
      <c r="EW443" s="286"/>
      <c r="EX443" s="286"/>
      <c r="EY443" s="286"/>
      <c r="EZ443" s="286"/>
      <c r="FA443" s="286"/>
      <c r="FB443" s="286"/>
      <c r="FC443" s="286"/>
      <c r="FD443" s="286"/>
      <c r="FE443" s="286"/>
      <c r="FF443" s="286"/>
      <c r="FG443" s="286"/>
      <c r="FH443" s="286"/>
      <c r="FI443" s="286"/>
      <c r="FJ443" s="286"/>
      <c r="FK443" s="286"/>
      <c r="FL443" s="286"/>
      <c r="FM443" s="286"/>
      <c r="FN443" s="286"/>
      <c r="FO443" s="286"/>
      <c r="FP443" s="286"/>
      <c r="FQ443" s="286"/>
      <c r="FR443" s="286"/>
      <c r="FS443" s="286"/>
    </row>
    <row r="444" spans="1:175">
      <c r="A444" s="212" t="s">
        <v>3159</v>
      </c>
      <c r="B444" s="212" t="s">
        <v>3160</v>
      </c>
      <c r="C444" s="212" t="s">
        <v>3172</v>
      </c>
      <c r="D444" s="212" t="s">
        <v>3580</v>
      </c>
      <c r="E444" s="212" t="s">
        <v>3615</v>
      </c>
      <c r="F444" s="278">
        <v>43677</v>
      </c>
      <c r="G444" s="278">
        <v>294390</v>
      </c>
      <c r="H444" s="287">
        <f t="shared" si="6"/>
        <v>2.9688508441183465</v>
      </c>
      <c r="I444" s="286">
        <v>1367</v>
      </c>
      <c r="J444" s="286">
        <v>8740</v>
      </c>
      <c r="K444" s="286">
        <v>6656</v>
      </c>
      <c r="L444" s="286">
        <v>2075</v>
      </c>
      <c r="M444" s="286">
        <v>7454</v>
      </c>
      <c r="N444" s="286">
        <v>5769</v>
      </c>
      <c r="O444" s="286">
        <v>1676</v>
      </c>
      <c r="P444" s="286">
        <v>1367</v>
      </c>
      <c r="Q444" s="286">
        <v>8740</v>
      </c>
      <c r="R444" s="286">
        <v>6656</v>
      </c>
      <c r="S444" s="286">
        <v>2075</v>
      </c>
      <c r="T444" s="286">
        <v>7454</v>
      </c>
      <c r="U444" s="286">
        <v>5769</v>
      </c>
      <c r="V444" s="286">
        <v>1676</v>
      </c>
      <c r="W444" s="286"/>
      <c r="X444" s="286"/>
      <c r="Y444" s="286"/>
      <c r="Z444" s="286"/>
      <c r="AA444" s="286"/>
      <c r="AB444" s="286"/>
      <c r="AC444" s="286"/>
      <c r="AD444" s="286"/>
      <c r="AE444" s="286"/>
      <c r="AF444" s="286"/>
      <c r="AG444" s="286"/>
      <c r="AH444" s="286"/>
      <c r="AI444" s="286"/>
      <c r="AJ444" s="286"/>
      <c r="AK444" s="286"/>
      <c r="AL444" s="286"/>
      <c r="AM444" s="286"/>
      <c r="AN444" s="286"/>
      <c r="AO444" s="286"/>
      <c r="AP444" s="286"/>
      <c r="AQ444" s="286"/>
      <c r="AR444" s="286"/>
      <c r="AS444" s="286"/>
      <c r="AT444" s="286"/>
      <c r="AU444" s="286"/>
      <c r="AV444" s="286"/>
      <c r="AW444" s="286"/>
      <c r="AX444" s="286"/>
      <c r="AY444" s="286"/>
      <c r="AZ444" s="286"/>
      <c r="BA444" s="286"/>
      <c r="BB444" s="286"/>
      <c r="BC444" s="286"/>
      <c r="BD444" s="286"/>
      <c r="BE444" s="286"/>
      <c r="BF444" s="286"/>
      <c r="BG444" s="286"/>
      <c r="BH444" s="286"/>
      <c r="BI444" s="286"/>
      <c r="BJ444" s="286"/>
      <c r="BK444" s="286"/>
      <c r="BL444" s="286"/>
      <c r="BM444" s="286"/>
      <c r="BN444" s="286"/>
      <c r="BO444" s="286"/>
      <c r="BP444" s="286"/>
      <c r="BQ444" s="286"/>
      <c r="BR444" s="286"/>
      <c r="BS444" s="286"/>
      <c r="BT444" s="286"/>
      <c r="BU444" s="286"/>
      <c r="BV444" s="286"/>
      <c r="BW444" s="286"/>
      <c r="BX444" s="286"/>
      <c r="BY444" s="286"/>
      <c r="BZ444" s="286"/>
      <c r="CA444" s="286"/>
      <c r="CB444" s="286"/>
      <c r="CC444" s="286"/>
      <c r="CD444" s="286"/>
      <c r="CE444" s="286"/>
      <c r="CF444" s="286"/>
      <c r="CG444" s="286"/>
      <c r="CH444" s="286"/>
      <c r="CI444" s="286"/>
      <c r="CJ444" s="286"/>
      <c r="CK444" s="286"/>
      <c r="CL444" s="286"/>
      <c r="CM444" s="286"/>
      <c r="CN444" s="286"/>
      <c r="CO444" s="286"/>
      <c r="CP444" s="286"/>
      <c r="CQ444" s="286"/>
      <c r="CR444" s="286"/>
      <c r="CS444" s="286"/>
      <c r="CT444" s="286"/>
      <c r="CU444" s="286"/>
      <c r="CV444" s="286"/>
      <c r="CW444" s="286"/>
      <c r="CX444" s="286"/>
      <c r="CY444" s="286"/>
      <c r="CZ444" s="286"/>
      <c r="DA444" s="286"/>
      <c r="DB444" s="286"/>
      <c r="DC444" s="286"/>
      <c r="DD444" s="286"/>
      <c r="DE444" s="286"/>
      <c r="DF444" s="286"/>
      <c r="DG444" s="286"/>
      <c r="DH444" s="286"/>
      <c r="DI444" s="286"/>
      <c r="DJ444" s="286"/>
      <c r="DK444" s="286"/>
      <c r="DL444" s="286"/>
      <c r="DM444" s="286"/>
      <c r="DN444" s="286"/>
      <c r="DO444" s="286"/>
      <c r="DP444" s="286"/>
      <c r="DQ444" s="286"/>
      <c r="DR444" s="286"/>
      <c r="DS444" s="286"/>
      <c r="DT444" s="286"/>
      <c r="DU444" s="286"/>
      <c r="DV444" s="286"/>
      <c r="DW444" s="286"/>
      <c r="DX444" s="286"/>
      <c r="DY444" s="286"/>
      <c r="DZ444" s="286"/>
      <c r="EA444" s="286"/>
      <c r="EB444" s="286"/>
      <c r="EC444" s="286"/>
      <c r="ED444" s="286"/>
      <c r="EE444" s="286"/>
      <c r="EF444" s="286"/>
      <c r="EG444" s="286"/>
      <c r="EH444" s="286"/>
      <c r="EI444" s="286"/>
      <c r="EJ444" s="286"/>
      <c r="EK444" s="286"/>
      <c r="EL444" s="286"/>
      <c r="EM444" s="286"/>
      <c r="EN444" s="286"/>
      <c r="EO444" s="286"/>
      <c r="EP444" s="286"/>
      <c r="EQ444" s="286"/>
      <c r="ER444" s="286"/>
      <c r="ES444" s="286"/>
      <c r="ET444" s="286"/>
      <c r="EU444" s="286"/>
      <c r="EV444" s="286"/>
      <c r="EW444" s="286"/>
      <c r="EX444" s="286"/>
      <c r="EY444" s="286"/>
      <c r="EZ444" s="286"/>
      <c r="FA444" s="286"/>
      <c r="FB444" s="286"/>
      <c r="FC444" s="286"/>
      <c r="FD444" s="286"/>
      <c r="FE444" s="286"/>
      <c r="FF444" s="286"/>
      <c r="FG444" s="286"/>
      <c r="FH444" s="286"/>
      <c r="FI444" s="286"/>
      <c r="FJ444" s="286"/>
      <c r="FK444" s="286"/>
      <c r="FL444" s="286"/>
      <c r="FM444" s="286"/>
      <c r="FN444" s="286"/>
      <c r="FO444" s="286"/>
      <c r="FP444" s="286"/>
      <c r="FQ444" s="286"/>
      <c r="FR444" s="286"/>
      <c r="FS444" s="286"/>
    </row>
    <row r="445" spans="1:175">
      <c r="A445" s="212" t="s">
        <v>3159</v>
      </c>
      <c r="B445" s="212" t="s">
        <v>3160</v>
      </c>
      <c r="C445" s="212" t="s">
        <v>3172</v>
      </c>
      <c r="D445" s="212" t="s">
        <v>3580</v>
      </c>
      <c r="E445" s="212" t="s">
        <v>3616</v>
      </c>
      <c r="F445" s="278">
        <v>27628</v>
      </c>
      <c r="G445" s="278">
        <v>358052</v>
      </c>
      <c r="H445" s="287">
        <f t="shared" si="6"/>
        <v>4.1555416531676963</v>
      </c>
      <c r="I445" s="286">
        <v>1179</v>
      </c>
      <c r="J445" s="286">
        <v>14879</v>
      </c>
      <c r="K445" s="286">
        <v>8084</v>
      </c>
      <c r="L445" s="286">
        <v>6630</v>
      </c>
      <c r="M445" s="286">
        <v>13279</v>
      </c>
      <c r="N445" s="286">
        <v>7104</v>
      </c>
      <c r="O445" s="286">
        <v>6010</v>
      </c>
      <c r="P445" s="286">
        <v>1179</v>
      </c>
      <c r="Q445" s="286">
        <v>14879</v>
      </c>
      <c r="R445" s="286">
        <v>8084</v>
      </c>
      <c r="S445" s="286">
        <v>6630</v>
      </c>
      <c r="T445" s="286">
        <v>13279</v>
      </c>
      <c r="U445" s="286">
        <v>7104</v>
      </c>
      <c r="V445" s="286">
        <v>6010</v>
      </c>
      <c r="W445" s="286"/>
      <c r="X445" s="286"/>
      <c r="Y445" s="286"/>
      <c r="Z445" s="286"/>
      <c r="AA445" s="286"/>
      <c r="AB445" s="286"/>
      <c r="AC445" s="286"/>
      <c r="AD445" s="286"/>
      <c r="AE445" s="286"/>
      <c r="AF445" s="286"/>
      <c r="AG445" s="286"/>
      <c r="AH445" s="286"/>
      <c r="AI445" s="286"/>
      <c r="AJ445" s="286"/>
      <c r="AK445" s="286"/>
      <c r="AL445" s="286"/>
      <c r="AM445" s="286"/>
      <c r="AN445" s="286"/>
      <c r="AO445" s="286"/>
      <c r="AP445" s="286"/>
      <c r="AQ445" s="286"/>
      <c r="AR445" s="286"/>
      <c r="AS445" s="286"/>
      <c r="AT445" s="286"/>
      <c r="AU445" s="286"/>
      <c r="AV445" s="286"/>
      <c r="AW445" s="286"/>
      <c r="AX445" s="286"/>
      <c r="AY445" s="286"/>
      <c r="AZ445" s="286"/>
      <c r="BA445" s="286"/>
      <c r="BB445" s="286"/>
      <c r="BC445" s="286"/>
      <c r="BD445" s="286"/>
      <c r="BE445" s="286"/>
      <c r="BF445" s="286"/>
      <c r="BG445" s="286"/>
      <c r="BH445" s="286"/>
      <c r="BI445" s="286"/>
      <c r="BJ445" s="286"/>
      <c r="BK445" s="286"/>
      <c r="BL445" s="286"/>
      <c r="BM445" s="286"/>
      <c r="BN445" s="286"/>
      <c r="BO445" s="286"/>
      <c r="BP445" s="286"/>
      <c r="BQ445" s="286"/>
      <c r="BR445" s="286"/>
      <c r="BS445" s="286"/>
      <c r="BT445" s="286"/>
      <c r="BU445" s="286"/>
      <c r="BV445" s="286"/>
      <c r="BW445" s="286"/>
      <c r="BX445" s="286"/>
      <c r="BY445" s="286"/>
      <c r="BZ445" s="286"/>
      <c r="CA445" s="286"/>
      <c r="CB445" s="286"/>
      <c r="CC445" s="286"/>
      <c r="CD445" s="286"/>
      <c r="CE445" s="286"/>
      <c r="CF445" s="286"/>
      <c r="CG445" s="286"/>
      <c r="CH445" s="286"/>
      <c r="CI445" s="286"/>
      <c r="CJ445" s="286"/>
      <c r="CK445" s="286"/>
      <c r="CL445" s="286"/>
      <c r="CM445" s="286"/>
      <c r="CN445" s="286"/>
      <c r="CO445" s="286"/>
      <c r="CP445" s="286"/>
      <c r="CQ445" s="286"/>
      <c r="CR445" s="286"/>
      <c r="CS445" s="286"/>
      <c r="CT445" s="286"/>
      <c r="CU445" s="286"/>
      <c r="CV445" s="286"/>
      <c r="CW445" s="286"/>
      <c r="CX445" s="286"/>
      <c r="CY445" s="286"/>
      <c r="CZ445" s="286"/>
      <c r="DA445" s="286"/>
      <c r="DB445" s="286"/>
      <c r="DC445" s="286"/>
      <c r="DD445" s="286"/>
      <c r="DE445" s="286"/>
      <c r="DF445" s="286"/>
      <c r="DG445" s="286"/>
      <c r="DH445" s="286"/>
      <c r="DI445" s="286"/>
      <c r="DJ445" s="286"/>
      <c r="DK445" s="286"/>
      <c r="DL445" s="286"/>
      <c r="DM445" s="286"/>
      <c r="DN445" s="286"/>
      <c r="DO445" s="286"/>
      <c r="DP445" s="286"/>
      <c r="DQ445" s="286"/>
      <c r="DR445" s="286"/>
      <c r="DS445" s="286"/>
      <c r="DT445" s="286"/>
      <c r="DU445" s="286"/>
      <c r="DV445" s="286"/>
      <c r="DW445" s="286"/>
      <c r="DX445" s="286"/>
      <c r="DY445" s="286"/>
      <c r="DZ445" s="286"/>
      <c r="EA445" s="286"/>
      <c r="EB445" s="286"/>
      <c r="EC445" s="286"/>
      <c r="ED445" s="286"/>
      <c r="EE445" s="286"/>
      <c r="EF445" s="286"/>
      <c r="EG445" s="286"/>
      <c r="EH445" s="286"/>
      <c r="EI445" s="286"/>
      <c r="EJ445" s="286"/>
      <c r="EK445" s="286"/>
      <c r="EL445" s="286"/>
      <c r="EM445" s="286"/>
      <c r="EN445" s="286"/>
      <c r="EO445" s="286"/>
      <c r="EP445" s="286"/>
      <c r="EQ445" s="286"/>
      <c r="ER445" s="286"/>
      <c r="ES445" s="286"/>
      <c r="ET445" s="286"/>
      <c r="EU445" s="286"/>
      <c r="EV445" s="286"/>
      <c r="EW445" s="286"/>
      <c r="EX445" s="286"/>
      <c r="EY445" s="286"/>
      <c r="EZ445" s="286"/>
      <c r="FA445" s="286"/>
      <c r="FB445" s="286"/>
      <c r="FC445" s="286"/>
      <c r="FD445" s="286"/>
      <c r="FE445" s="286"/>
      <c r="FF445" s="286"/>
      <c r="FG445" s="286"/>
      <c r="FH445" s="286"/>
      <c r="FI445" s="286"/>
      <c r="FJ445" s="286"/>
      <c r="FK445" s="286"/>
      <c r="FL445" s="286"/>
      <c r="FM445" s="286"/>
      <c r="FN445" s="286"/>
      <c r="FO445" s="286"/>
      <c r="FP445" s="286"/>
      <c r="FQ445" s="286"/>
      <c r="FR445" s="286"/>
      <c r="FS445" s="286"/>
    </row>
    <row r="446" spans="1:175">
      <c r="A446" s="212" t="s">
        <v>3159</v>
      </c>
      <c r="B446" s="212" t="s">
        <v>3160</v>
      </c>
      <c r="C446" s="212" t="s">
        <v>3172</v>
      </c>
      <c r="D446" s="212" t="s">
        <v>3580</v>
      </c>
      <c r="E446" s="290" t="s">
        <v>3617</v>
      </c>
      <c r="F446" s="291">
        <v>20601</v>
      </c>
      <c r="G446" s="291">
        <v>129983</v>
      </c>
      <c r="H446" s="292">
        <f t="shared" si="6"/>
        <v>4.1451574436657106</v>
      </c>
      <c r="I446" s="293">
        <v>852</v>
      </c>
      <c r="J446" s="286">
        <v>5388</v>
      </c>
      <c r="K446" s="286">
        <v>2933</v>
      </c>
      <c r="L446" s="286">
        <v>2455</v>
      </c>
      <c r="M446" s="286">
        <v>4533</v>
      </c>
      <c r="N446" s="286">
        <v>2380</v>
      </c>
      <c r="O446" s="286">
        <v>2153</v>
      </c>
      <c r="P446" s="286">
        <v>852</v>
      </c>
      <c r="Q446" s="286">
        <v>5388</v>
      </c>
      <c r="R446" s="286">
        <v>2933</v>
      </c>
      <c r="S446" s="286">
        <v>2455</v>
      </c>
      <c r="T446" s="286">
        <v>4533</v>
      </c>
      <c r="U446" s="286">
        <v>2380</v>
      </c>
      <c r="V446" s="286">
        <v>2153</v>
      </c>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c r="BL446" s="286"/>
      <c r="BM446" s="286"/>
      <c r="BN446" s="286"/>
      <c r="BO446" s="286"/>
      <c r="BP446" s="286"/>
      <c r="BQ446" s="286"/>
      <c r="BR446" s="286"/>
      <c r="BS446" s="286"/>
      <c r="BT446" s="286"/>
      <c r="BU446" s="286"/>
      <c r="BV446" s="286"/>
      <c r="BW446" s="286"/>
      <c r="BX446" s="286"/>
      <c r="BY446" s="286"/>
      <c r="BZ446" s="286"/>
      <c r="CA446" s="286"/>
      <c r="CB446" s="286"/>
      <c r="CC446" s="286"/>
      <c r="CD446" s="286"/>
      <c r="CE446" s="286"/>
      <c r="CF446" s="286"/>
      <c r="CG446" s="286"/>
      <c r="CH446" s="286"/>
      <c r="CI446" s="286"/>
      <c r="CJ446" s="286"/>
      <c r="CK446" s="286"/>
      <c r="CL446" s="286"/>
      <c r="CM446" s="286"/>
      <c r="CN446" s="286"/>
      <c r="CO446" s="286"/>
      <c r="CP446" s="286"/>
      <c r="CQ446" s="286"/>
      <c r="CR446" s="286"/>
      <c r="CS446" s="286"/>
      <c r="CT446" s="286"/>
      <c r="CU446" s="286"/>
      <c r="CV446" s="286"/>
      <c r="CW446" s="286"/>
      <c r="CX446" s="286"/>
      <c r="CY446" s="286"/>
      <c r="CZ446" s="286"/>
      <c r="DA446" s="286"/>
      <c r="DB446" s="286"/>
      <c r="DC446" s="286"/>
      <c r="DD446" s="286"/>
      <c r="DE446" s="286"/>
      <c r="DF446" s="286"/>
      <c r="DG446" s="286"/>
      <c r="DH446" s="286"/>
      <c r="DI446" s="286"/>
      <c r="DJ446" s="286"/>
      <c r="DK446" s="286"/>
      <c r="DL446" s="286"/>
      <c r="DM446" s="286"/>
      <c r="DN446" s="286"/>
      <c r="DO446" s="286"/>
      <c r="DP446" s="286"/>
      <c r="DQ446" s="286"/>
      <c r="DR446" s="286"/>
      <c r="DS446" s="286"/>
      <c r="DT446" s="286"/>
      <c r="DU446" s="286"/>
      <c r="DV446" s="286"/>
      <c r="DW446" s="286"/>
      <c r="DX446" s="286"/>
      <c r="DY446" s="286"/>
      <c r="DZ446" s="286"/>
      <c r="EA446" s="286"/>
      <c r="EB446" s="286"/>
      <c r="EC446" s="286"/>
      <c r="ED446" s="286"/>
      <c r="EE446" s="286"/>
      <c r="EF446" s="286"/>
      <c r="EG446" s="286"/>
      <c r="EH446" s="286"/>
      <c r="EI446" s="286"/>
      <c r="EJ446" s="286"/>
      <c r="EK446" s="286"/>
      <c r="EL446" s="286"/>
      <c r="EM446" s="286"/>
      <c r="EN446" s="286"/>
      <c r="EO446" s="286"/>
      <c r="EP446" s="286"/>
      <c r="EQ446" s="286"/>
      <c r="ER446" s="286"/>
      <c r="ES446" s="286"/>
      <c r="ET446" s="286"/>
      <c r="EU446" s="286"/>
      <c r="EV446" s="286"/>
      <c r="EW446" s="286"/>
      <c r="EX446" s="286"/>
      <c r="EY446" s="286"/>
      <c r="EZ446" s="286"/>
      <c r="FA446" s="286"/>
      <c r="FB446" s="286"/>
      <c r="FC446" s="286"/>
      <c r="FD446" s="286"/>
      <c r="FE446" s="286"/>
      <c r="FF446" s="286"/>
      <c r="FG446" s="286"/>
      <c r="FH446" s="286"/>
      <c r="FI446" s="286"/>
      <c r="FJ446" s="286"/>
      <c r="FK446" s="286"/>
      <c r="FL446" s="286"/>
      <c r="FM446" s="286"/>
      <c r="FN446" s="286"/>
      <c r="FO446" s="286"/>
      <c r="FP446" s="286"/>
      <c r="FQ446" s="286"/>
      <c r="FR446" s="286"/>
      <c r="FS446" s="286"/>
    </row>
    <row r="447" spans="1:175">
      <c r="A447" s="212" t="s">
        <v>3159</v>
      </c>
      <c r="B447" s="212" t="s">
        <v>3160</v>
      </c>
      <c r="C447" s="212" t="s">
        <v>3432</v>
      </c>
      <c r="D447" s="212" t="s">
        <v>3580</v>
      </c>
      <c r="E447" s="280" t="s">
        <v>3618</v>
      </c>
      <c r="F447" s="288">
        <v>12857</v>
      </c>
      <c r="G447" s="288">
        <v>84968</v>
      </c>
      <c r="H447" s="289">
        <f t="shared" si="6"/>
        <v>4.5169946332737032</v>
      </c>
      <c r="I447" s="294">
        <v>557</v>
      </c>
      <c r="J447" s="286">
        <v>3838</v>
      </c>
      <c r="K447" s="286">
        <v>2204</v>
      </c>
      <c r="L447" s="286">
        <v>1634</v>
      </c>
      <c r="M447" s="286">
        <v>3286</v>
      </c>
      <c r="N447" s="286">
        <v>1850</v>
      </c>
      <c r="O447" s="286">
        <v>1436</v>
      </c>
      <c r="P447" s="286">
        <v>557</v>
      </c>
      <c r="Q447" s="286">
        <v>3838</v>
      </c>
      <c r="R447" s="286">
        <v>2204</v>
      </c>
      <c r="S447" s="286">
        <v>1634</v>
      </c>
      <c r="T447" s="286">
        <v>3286</v>
      </c>
      <c r="U447" s="286">
        <v>1850</v>
      </c>
      <c r="V447" s="286">
        <v>1436</v>
      </c>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R447" s="286"/>
      <c r="AS447" s="286"/>
      <c r="AT447" s="286"/>
      <c r="AU447" s="286"/>
      <c r="AV447" s="286"/>
      <c r="AW447" s="286"/>
      <c r="AX447" s="286"/>
      <c r="AY447" s="286"/>
      <c r="AZ447" s="286"/>
      <c r="BA447" s="286"/>
      <c r="BB447" s="286"/>
      <c r="BC447" s="286"/>
      <c r="BD447" s="286"/>
      <c r="BE447" s="286"/>
      <c r="BF447" s="286"/>
      <c r="BG447" s="286"/>
      <c r="BH447" s="286"/>
      <c r="BI447" s="286"/>
      <c r="BJ447" s="286"/>
      <c r="BK447" s="286"/>
      <c r="BL447" s="286"/>
      <c r="BM447" s="286"/>
      <c r="BN447" s="286"/>
      <c r="BO447" s="286"/>
      <c r="BP447" s="286"/>
      <c r="BQ447" s="286"/>
      <c r="BR447" s="286"/>
      <c r="BS447" s="286"/>
      <c r="BT447" s="286"/>
      <c r="BU447" s="286"/>
      <c r="BV447" s="286"/>
      <c r="BW447" s="286"/>
      <c r="BX447" s="286"/>
      <c r="BY447" s="286"/>
      <c r="BZ447" s="286"/>
      <c r="CA447" s="286"/>
      <c r="CB447" s="286"/>
      <c r="CC447" s="286"/>
      <c r="CD447" s="286"/>
      <c r="CE447" s="286"/>
      <c r="CF447" s="286"/>
      <c r="CG447" s="286"/>
      <c r="CH447" s="286"/>
      <c r="CI447" s="286"/>
      <c r="CJ447" s="286"/>
      <c r="CK447" s="286"/>
      <c r="CL447" s="286"/>
      <c r="CM447" s="286"/>
      <c r="CN447" s="286"/>
      <c r="CO447" s="286"/>
      <c r="CP447" s="286"/>
      <c r="CQ447" s="286"/>
      <c r="CR447" s="286"/>
      <c r="CS447" s="286"/>
      <c r="CT447" s="286"/>
      <c r="CU447" s="286"/>
      <c r="CV447" s="286"/>
      <c r="CW447" s="286"/>
      <c r="CX447" s="286"/>
      <c r="CY447" s="286"/>
      <c r="CZ447" s="286"/>
      <c r="DA447" s="286"/>
      <c r="DB447" s="286"/>
      <c r="DC447" s="286"/>
      <c r="DD447" s="286"/>
      <c r="DE447" s="286"/>
      <c r="DF447" s="286"/>
      <c r="DG447" s="286"/>
      <c r="DH447" s="286"/>
      <c r="DI447" s="286"/>
      <c r="DJ447" s="286"/>
      <c r="DK447" s="286"/>
      <c r="DL447" s="286"/>
      <c r="DM447" s="286"/>
      <c r="DN447" s="286"/>
      <c r="DO447" s="286"/>
      <c r="DP447" s="286"/>
      <c r="DQ447" s="286"/>
      <c r="DR447" s="286"/>
      <c r="DS447" s="286"/>
      <c r="DT447" s="286"/>
      <c r="DU447" s="286"/>
      <c r="DV447" s="286"/>
      <c r="DW447" s="286"/>
      <c r="DX447" s="286"/>
      <c r="DY447" s="286"/>
      <c r="DZ447" s="286"/>
      <c r="EA447" s="286"/>
      <c r="EB447" s="286"/>
      <c r="EC447" s="286"/>
      <c r="ED447" s="286"/>
      <c r="EE447" s="286"/>
      <c r="EF447" s="286"/>
      <c r="EG447" s="286"/>
      <c r="EH447" s="286"/>
      <c r="EI447" s="286"/>
      <c r="EJ447" s="286"/>
      <c r="EK447" s="286"/>
      <c r="EL447" s="286"/>
      <c r="EM447" s="286"/>
      <c r="EN447" s="286"/>
      <c r="EO447" s="286"/>
      <c r="EP447" s="286"/>
      <c r="EQ447" s="286"/>
      <c r="ER447" s="286"/>
      <c r="ES447" s="286"/>
      <c r="ET447" s="286"/>
      <c r="EU447" s="286"/>
      <c r="EV447" s="286"/>
      <c r="EW447" s="286"/>
      <c r="EX447" s="286"/>
      <c r="EY447" s="286"/>
      <c r="EZ447" s="286"/>
      <c r="FA447" s="286"/>
      <c r="FB447" s="286"/>
      <c r="FC447" s="286"/>
      <c r="FD447" s="286"/>
      <c r="FE447" s="286"/>
      <c r="FF447" s="286"/>
      <c r="FG447" s="286"/>
      <c r="FH447" s="286"/>
      <c r="FI447" s="286"/>
      <c r="FJ447" s="286"/>
      <c r="FK447" s="286"/>
      <c r="FL447" s="286"/>
      <c r="FM447" s="286"/>
      <c r="FN447" s="286"/>
      <c r="FO447" s="286"/>
      <c r="FP447" s="286"/>
      <c r="FQ447" s="286"/>
      <c r="FR447" s="286"/>
      <c r="FS447" s="286"/>
    </row>
    <row r="448" spans="1:175">
      <c r="A448" s="212" t="s">
        <v>3159</v>
      </c>
      <c r="B448" s="212" t="s">
        <v>3160</v>
      </c>
      <c r="C448" s="212" t="s">
        <v>3432</v>
      </c>
      <c r="D448" s="212" t="s">
        <v>3580</v>
      </c>
      <c r="E448" s="212" t="s">
        <v>3619</v>
      </c>
      <c r="F448" s="278">
        <v>4946</v>
      </c>
      <c r="G448" s="278">
        <v>29382</v>
      </c>
      <c r="H448" s="287">
        <f t="shared" si="6"/>
        <v>3.7676128241780682</v>
      </c>
      <c r="I448" s="286">
        <v>184</v>
      </c>
      <c r="J448" s="286">
        <v>1107</v>
      </c>
      <c r="K448" s="286">
        <v>491</v>
      </c>
      <c r="L448" s="286">
        <v>616</v>
      </c>
      <c r="M448" s="286">
        <v>934</v>
      </c>
      <c r="N448" s="286">
        <v>386</v>
      </c>
      <c r="O448" s="286">
        <v>548</v>
      </c>
      <c r="P448" s="286">
        <v>184</v>
      </c>
      <c r="Q448" s="286">
        <v>1107</v>
      </c>
      <c r="R448" s="286">
        <v>491</v>
      </c>
      <c r="S448" s="286">
        <v>616</v>
      </c>
      <c r="T448" s="286">
        <v>934</v>
      </c>
      <c r="U448" s="286">
        <v>386</v>
      </c>
      <c r="V448" s="286">
        <v>548</v>
      </c>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c r="BL448" s="286"/>
      <c r="BM448" s="286"/>
      <c r="BN448" s="286"/>
      <c r="BO448" s="286"/>
      <c r="BP448" s="286"/>
      <c r="BQ448" s="286"/>
      <c r="BR448" s="286"/>
      <c r="BS448" s="286"/>
      <c r="BT448" s="286"/>
      <c r="BU448" s="286"/>
      <c r="BV448" s="286"/>
      <c r="BW448" s="286"/>
      <c r="BX448" s="286"/>
      <c r="BY448" s="286"/>
      <c r="BZ448" s="286"/>
      <c r="CA448" s="286"/>
      <c r="CB448" s="286"/>
      <c r="CC448" s="286"/>
      <c r="CD448" s="286"/>
      <c r="CE448" s="286"/>
      <c r="CF448" s="286"/>
      <c r="CG448" s="286"/>
      <c r="CH448" s="286"/>
      <c r="CI448" s="286"/>
      <c r="CJ448" s="286"/>
      <c r="CK448" s="286"/>
      <c r="CL448" s="286"/>
      <c r="CM448" s="286"/>
      <c r="CN448" s="286"/>
      <c r="CO448" s="286"/>
      <c r="CP448" s="286"/>
      <c r="CQ448" s="286"/>
      <c r="CR448" s="286"/>
      <c r="CS448" s="286"/>
      <c r="CT448" s="286"/>
      <c r="CU448" s="286"/>
      <c r="CV448" s="286"/>
      <c r="CW448" s="286"/>
      <c r="CX448" s="286"/>
      <c r="CY448" s="286"/>
      <c r="CZ448" s="286"/>
      <c r="DA448" s="286"/>
      <c r="DB448" s="286"/>
      <c r="DC448" s="286"/>
      <c r="DD448" s="286"/>
      <c r="DE448" s="286"/>
      <c r="DF448" s="286"/>
      <c r="DG448" s="286"/>
      <c r="DH448" s="286"/>
      <c r="DI448" s="286"/>
      <c r="DJ448" s="286"/>
      <c r="DK448" s="286"/>
      <c r="DL448" s="286"/>
      <c r="DM448" s="286"/>
      <c r="DN448" s="286"/>
      <c r="DO448" s="286"/>
      <c r="DP448" s="286"/>
      <c r="DQ448" s="286"/>
      <c r="DR448" s="286"/>
      <c r="DS448" s="286"/>
      <c r="DT448" s="286"/>
      <c r="DU448" s="286"/>
      <c r="DV448" s="286"/>
      <c r="DW448" s="286"/>
      <c r="DX448" s="286"/>
      <c r="DY448" s="286"/>
      <c r="DZ448" s="286"/>
      <c r="EA448" s="286"/>
      <c r="EB448" s="286"/>
      <c r="EC448" s="286"/>
      <c r="ED448" s="286"/>
      <c r="EE448" s="286"/>
      <c r="EF448" s="286"/>
      <c r="EG448" s="286"/>
      <c r="EH448" s="286"/>
      <c r="EI448" s="286"/>
      <c r="EJ448" s="286"/>
      <c r="EK448" s="286"/>
      <c r="EL448" s="286"/>
      <c r="EM448" s="286"/>
      <c r="EN448" s="286"/>
      <c r="EO448" s="286"/>
      <c r="EP448" s="286"/>
      <c r="EQ448" s="286"/>
      <c r="ER448" s="286"/>
      <c r="ES448" s="286"/>
      <c r="ET448" s="286"/>
      <c r="EU448" s="286"/>
      <c r="EV448" s="286"/>
      <c r="EW448" s="286"/>
      <c r="EX448" s="286"/>
      <c r="EY448" s="286"/>
      <c r="EZ448" s="286"/>
      <c r="FA448" s="286"/>
      <c r="FB448" s="286"/>
      <c r="FC448" s="286"/>
      <c r="FD448" s="286"/>
      <c r="FE448" s="286"/>
      <c r="FF448" s="286"/>
      <c r="FG448" s="286"/>
      <c r="FH448" s="286"/>
      <c r="FI448" s="286"/>
      <c r="FJ448" s="286"/>
      <c r="FK448" s="286"/>
      <c r="FL448" s="286"/>
      <c r="FM448" s="286"/>
      <c r="FN448" s="286"/>
      <c r="FO448" s="286"/>
      <c r="FP448" s="286"/>
      <c r="FQ448" s="286"/>
      <c r="FR448" s="286"/>
      <c r="FS448" s="286"/>
    </row>
    <row r="449" spans="1:175">
      <c r="A449" s="212" t="s">
        <v>3159</v>
      </c>
      <c r="B449" s="212" t="s">
        <v>3160</v>
      </c>
      <c r="C449" s="212" t="s">
        <v>3432</v>
      </c>
      <c r="D449" s="212" t="s">
        <v>3580</v>
      </c>
      <c r="E449" s="212" t="s">
        <v>3620</v>
      </c>
      <c r="F449" s="278">
        <v>2798</v>
      </c>
      <c r="G449" s="278">
        <v>15633</v>
      </c>
      <c r="H449" s="287">
        <f t="shared" si="6"/>
        <v>2.8337491204503298</v>
      </c>
      <c r="I449" s="286">
        <v>111</v>
      </c>
      <c r="J449" s="286">
        <v>443</v>
      </c>
      <c r="K449" s="286">
        <v>238</v>
      </c>
      <c r="L449" s="286">
        <v>205</v>
      </c>
      <c r="M449" s="286">
        <v>313</v>
      </c>
      <c r="N449" s="286">
        <v>144</v>
      </c>
      <c r="O449" s="286">
        <v>169</v>
      </c>
      <c r="P449" s="286">
        <v>111</v>
      </c>
      <c r="Q449" s="286">
        <v>443</v>
      </c>
      <c r="R449" s="286">
        <v>238</v>
      </c>
      <c r="S449" s="286">
        <v>205</v>
      </c>
      <c r="T449" s="286">
        <v>313</v>
      </c>
      <c r="U449" s="286">
        <v>144</v>
      </c>
      <c r="V449" s="286">
        <v>169</v>
      </c>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R449" s="286"/>
      <c r="AS449" s="286"/>
      <c r="AT449" s="286"/>
      <c r="AU449" s="286"/>
      <c r="AV449" s="286"/>
      <c r="AW449" s="286"/>
      <c r="AX449" s="286"/>
      <c r="AY449" s="286"/>
      <c r="AZ449" s="286"/>
      <c r="BA449" s="286"/>
      <c r="BB449" s="286"/>
      <c r="BC449" s="286"/>
      <c r="BD449" s="286"/>
      <c r="BE449" s="286"/>
      <c r="BF449" s="286"/>
      <c r="BG449" s="286"/>
      <c r="BH449" s="286"/>
      <c r="BI449" s="286"/>
      <c r="BJ449" s="286"/>
      <c r="BK449" s="286"/>
      <c r="BL449" s="286"/>
      <c r="BM449" s="286"/>
      <c r="BN449" s="286"/>
      <c r="BO449" s="286"/>
      <c r="BP449" s="286"/>
      <c r="BQ449" s="286"/>
      <c r="BR449" s="286"/>
      <c r="BS449" s="286"/>
      <c r="BT449" s="286"/>
      <c r="BU449" s="286"/>
      <c r="BV449" s="286"/>
      <c r="BW449" s="286"/>
      <c r="BX449" s="286"/>
      <c r="BY449" s="286"/>
      <c r="BZ449" s="286"/>
      <c r="CA449" s="286"/>
      <c r="CB449" s="286"/>
      <c r="CC449" s="286"/>
      <c r="CD449" s="286"/>
      <c r="CE449" s="286"/>
      <c r="CF449" s="286"/>
      <c r="CG449" s="286"/>
      <c r="CH449" s="286"/>
      <c r="CI449" s="286"/>
      <c r="CJ449" s="286"/>
      <c r="CK449" s="286"/>
      <c r="CL449" s="286"/>
      <c r="CM449" s="286"/>
      <c r="CN449" s="286"/>
      <c r="CO449" s="286"/>
      <c r="CP449" s="286"/>
      <c r="CQ449" s="286"/>
      <c r="CR449" s="286"/>
      <c r="CS449" s="286"/>
      <c r="CT449" s="286"/>
      <c r="CU449" s="286"/>
      <c r="CV449" s="286"/>
      <c r="CW449" s="286"/>
      <c r="CX449" s="286"/>
      <c r="CY449" s="286"/>
      <c r="CZ449" s="286"/>
      <c r="DA449" s="286"/>
      <c r="DB449" s="286"/>
      <c r="DC449" s="286"/>
      <c r="DD449" s="286"/>
      <c r="DE449" s="286"/>
      <c r="DF449" s="286"/>
      <c r="DG449" s="286"/>
      <c r="DH449" s="286"/>
      <c r="DI449" s="286"/>
      <c r="DJ449" s="286"/>
      <c r="DK449" s="286"/>
      <c r="DL449" s="286"/>
      <c r="DM449" s="286"/>
      <c r="DN449" s="286"/>
      <c r="DO449" s="286"/>
      <c r="DP449" s="286"/>
      <c r="DQ449" s="286"/>
      <c r="DR449" s="286"/>
      <c r="DS449" s="286"/>
      <c r="DT449" s="286"/>
      <c r="DU449" s="286"/>
      <c r="DV449" s="286"/>
      <c r="DW449" s="286"/>
      <c r="DX449" s="286"/>
      <c r="DY449" s="286"/>
      <c r="DZ449" s="286"/>
      <c r="EA449" s="286"/>
      <c r="EB449" s="286"/>
      <c r="EC449" s="286"/>
      <c r="ED449" s="286"/>
      <c r="EE449" s="286"/>
      <c r="EF449" s="286"/>
      <c r="EG449" s="286"/>
      <c r="EH449" s="286"/>
      <c r="EI449" s="286"/>
      <c r="EJ449" s="286"/>
      <c r="EK449" s="286"/>
      <c r="EL449" s="286"/>
      <c r="EM449" s="286"/>
      <c r="EN449" s="286"/>
      <c r="EO449" s="286"/>
      <c r="EP449" s="286"/>
      <c r="EQ449" s="286"/>
      <c r="ER449" s="286"/>
      <c r="ES449" s="286"/>
      <c r="ET449" s="286"/>
      <c r="EU449" s="286"/>
      <c r="EV449" s="286"/>
      <c r="EW449" s="286"/>
      <c r="EX449" s="286"/>
      <c r="EY449" s="286"/>
      <c r="EZ449" s="286"/>
      <c r="FA449" s="286"/>
      <c r="FB449" s="286"/>
      <c r="FC449" s="286"/>
      <c r="FD449" s="286"/>
      <c r="FE449" s="286"/>
      <c r="FF449" s="286"/>
      <c r="FG449" s="286"/>
      <c r="FH449" s="286"/>
      <c r="FI449" s="286"/>
      <c r="FJ449" s="286"/>
      <c r="FK449" s="286"/>
      <c r="FL449" s="286"/>
      <c r="FM449" s="286"/>
      <c r="FN449" s="286"/>
      <c r="FO449" s="286"/>
      <c r="FP449" s="286"/>
      <c r="FQ449" s="286"/>
      <c r="FR449" s="286"/>
      <c r="FS449" s="286"/>
    </row>
    <row r="450" spans="1:175">
      <c r="A450" s="212" t="s">
        <v>3159</v>
      </c>
      <c r="B450" s="212" t="s">
        <v>3160</v>
      </c>
      <c r="C450" s="212" t="s">
        <v>3172</v>
      </c>
      <c r="D450" s="212" t="s">
        <v>3580</v>
      </c>
      <c r="E450" s="212" t="s">
        <v>3621</v>
      </c>
      <c r="F450" s="278">
        <v>18142</v>
      </c>
      <c r="G450" s="278">
        <v>71487</v>
      </c>
      <c r="H450" s="287">
        <f t="shared" si="6"/>
        <v>4.2189488997999636</v>
      </c>
      <c r="I450" s="286">
        <v>787</v>
      </c>
      <c r="J450" s="286">
        <v>3016</v>
      </c>
      <c r="K450" s="286">
        <v>1472</v>
      </c>
      <c r="L450" s="286">
        <v>1544</v>
      </c>
      <c r="M450" s="286">
        <v>2421</v>
      </c>
      <c r="N450" s="286">
        <v>1099</v>
      </c>
      <c r="O450" s="286">
        <v>1322</v>
      </c>
      <c r="P450" s="286">
        <v>787</v>
      </c>
      <c r="Q450" s="286">
        <v>3016</v>
      </c>
      <c r="R450" s="286">
        <v>1472</v>
      </c>
      <c r="S450" s="286">
        <v>1544</v>
      </c>
      <c r="T450" s="286">
        <v>2421</v>
      </c>
      <c r="U450" s="286">
        <v>1099</v>
      </c>
      <c r="V450" s="286">
        <v>1322</v>
      </c>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c r="BL450" s="286"/>
      <c r="BM450" s="286"/>
      <c r="BN450" s="286"/>
      <c r="BO450" s="286"/>
      <c r="BP450" s="286"/>
      <c r="BQ450" s="286"/>
      <c r="BR450" s="286"/>
      <c r="BS450" s="286"/>
      <c r="BT450" s="286"/>
      <c r="BU450" s="286"/>
      <c r="BV450" s="286"/>
      <c r="BW450" s="286"/>
      <c r="BX450" s="286"/>
      <c r="BY450" s="286"/>
      <c r="BZ450" s="286"/>
      <c r="CA450" s="286"/>
      <c r="CB450" s="286"/>
      <c r="CC450" s="286"/>
      <c r="CD450" s="286"/>
      <c r="CE450" s="286"/>
      <c r="CF450" s="286"/>
      <c r="CG450" s="286"/>
      <c r="CH450" s="286"/>
      <c r="CI450" s="286"/>
      <c r="CJ450" s="286"/>
      <c r="CK450" s="286"/>
      <c r="CL450" s="286"/>
      <c r="CM450" s="286"/>
      <c r="CN450" s="286"/>
      <c r="CO450" s="286"/>
      <c r="CP450" s="286"/>
      <c r="CQ450" s="286"/>
      <c r="CR450" s="286"/>
      <c r="CS450" s="286"/>
      <c r="CT450" s="286"/>
      <c r="CU450" s="286"/>
      <c r="CV450" s="286"/>
      <c r="CW450" s="286"/>
      <c r="CX450" s="286"/>
      <c r="CY450" s="286"/>
      <c r="CZ450" s="286"/>
      <c r="DA450" s="286"/>
      <c r="DB450" s="286"/>
      <c r="DC450" s="286"/>
      <c r="DD450" s="286"/>
      <c r="DE450" s="286"/>
      <c r="DF450" s="286"/>
      <c r="DG450" s="286"/>
      <c r="DH450" s="286"/>
      <c r="DI450" s="286"/>
      <c r="DJ450" s="286"/>
      <c r="DK450" s="286"/>
      <c r="DL450" s="286"/>
      <c r="DM450" s="286"/>
      <c r="DN450" s="286"/>
      <c r="DO450" s="286"/>
      <c r="DP450" s="286"/>
      <c r="DQ450" s="286"/>
      <c r="DR450" s="286"/>
      <c r="DS450" s="286"/>
      <c r="DT450" s="286"/>
      <c r="DU450" s="286"/>
      <c r="DV450" s="286"/>
      <c r="DW450" s="286"/>
      <c r="DX450" s="286"/>
      <c r="DY450" s="286"/>
      <c r="DZ450" s="286"/>
      <c r="EA450" s="286"/>
      <c r="EB450" s="286"/>
      <c r="EC450" s="286"/>
      <c r="ED450" s="286"/>
      <c r="EE450" s="286"/>
      <c r="EF450" s="286"/>
      <c r="EG450" s="286"/>
      <c r="EH450" s="286"/>
      <c r="EI450" s="286"/>
      <c r="EJ450" s="286"/>
      <c r="EK450" s="286"/>
      <c r="EL450" s="286"/>
      <c r="EM450" s="286"/>
      <c r="EN450" s="286"/>
      <c r="EO450" s="286"/>
      <c r="EP450" s="286"/>
      <c r="EQ450" s="286"/>
      <c r="ER450" s="286"/>
      <c r="ES450" s="286"/>
      <c r="ET450" s="286"/>
      <c r="EU450" s="286"/>
      <c r="EV450" s="286"/>
      <c r="EW450" s="286"/>
      <c r="EX450" s="286"/>
      <c r="EY450" s="286"/>
      <c r="EZ450" s="286"/>
      <c r="FA450" s="286"/>
      <c r="FB450" s="286"/>
      <c r="FC450" s="286"/>
      <c r="FD450" s="286"/>
      <c r="FE450" s="286"/>
      <c r="FF450" s="286"/>
      <c r="FG450" s="286"/>
      <c r="FH450" s="286"/>
      <c r="FI450" s="286"/>
      <c r="FJ450" s="286"/>
      <c r="FK450" s="286"/>
      <c r="FL450" s="286"/>
      <c r="FM450" s="286"/>
      <c r="FN450" s="286"/>
      <c r="FO450" s="286"/>
      <c r="FP450" s="286"/>
      <c r="FQ450" s="286"/>
      <c r="FR450" s="286"/>
      <c r="FS450" s="286"/>
    </row>
    <row r="451" spans="1:175">
      <c r="A451" s="212" t="s">
        <v>3159</v>
      </c>
      <c r="B451" s="212" t="s">
        <v>3160</v>
      </c>
      <c r="C451" s="212" t="s">
        <v>3172</v>
      </c>
      <c r="D451" s="212" t="s">
        <v>3580</v>
      </c>
      <c r="E451" s="212" t="s">
        <v>3622</v>
      </c>
      <c r="F451" s="278">
        <v>83493</v>
      </c>
      <c r="G451" s="278">
        <v>547382</v>
      </c>
      <c r="H451" s="287">
        <f t="shared" si="6"/>
        <v>3.9272391127220114</v>
      </c>
      <c r="I451" s="286">
        <v>3568</v>
      </c>
      <c r="J451" s="286">
        <v>21497</v>
      </c>
      <c r="K451" s="286">
        <v>8282</v>
      </c>
      <c r="L451" s="286">
        <v>11967</v>
      </c>
      <c r="M451" s="286">
        <v>17497</v>
      </c>
      <c r="N451" s="286">
        <v>6081</v>
      </c>
      <c r="O451" s="286">
        <v>10169</v>
      </c>
      <c r="P451" s="286">
        <v>3568</v>
      </c>
      <c r="Q451" s="286">
        <v>21497</v>
      </c>
      <c r="R451" s="286">
        <v>8282</v>
      </c>
      <c r="S451" s="286">
        <v>11967</v>
      </c>
      <c r="T451" s="286">
        <v>17497</v>
      </c>
      <c r="U451" s="286">
        <v>6081</v>
      </c>
      <c r="V451" s="286">
        <v>10169</v>
      </c>
      <c r="W451" s="286"/>
      <c r="X451" s="286"/>
      <c r="Y451" s="286"/>
      <c r="Z451" s="286"/>
      <c r="AA451" s="286"/>
      <c r="AB451" s="286"/>
      <c r="AC451" s="286"/>
      <c r="AD451" s="286"/>
      <c r="AE451" s="286"/>
      <c r="AF451" s="286"/>
      <c r="AG451" s="286"/>
      <c r="AH451" s="286"/>
      <c r="AI451" s="286"/>
      <c r="AJ451" s="286"/>
      <c r="AK451" s="286"/>
      <c r="AL451" s="286"/>
      <c r="AM451" s="286"/>
      <c r="AN451" s="286"/>
      <c r="AO451" s="286"/>
      <c r="AP451" s="286"/>
      <c r="AQ451" s="286"/>
      <c r="AR451" s="286"/>
      <c r="AS451" s="286"/>
      <c r="AT451" s="286"/>
      <c r="AU451" s="286"/>
      <c r="AV451" s="286"/>
      <c r="AW451" s="286"/>
      <c r="AX451" s="286"/>
      <c r="AY451" s="286"/>
      <c r="AZ451" s="286"/>
      <c r="BA451" s="286"/>
      <c r="BB451" s="286"/>
      <c r="BC451" s="286"/>
      <c r="BD451" s="286"/>
      <c r="BE451" s="286"/>
      <c r="BF451" s="286"/>
      <c r="BG451" s="286"/>
      <c r="BH451" s="286"/>
      <c r="BI451" s="286"/>
      <c r="BJ451" s="286"/>
      <c r="BK451" s="286"/>
      <c r="BL451" s="286"/>
      <c r="BM451" s="286"/>
      <c r="BN451" s="286"/>
      <c r="BO451" s="286"/>
      <c r="BP451" s="286"/>
      <c r="BQ451" s="286"/>
      <c r="BR451" s="286"/>
      <c r="BS451" s="286"/>
      <c r="BT451" s="286"/>
      <c r="BU451" s="286"/>
      <c r="BV451" s="286"/>
      <c r="BW451" s="286"/>
      <c r="BX451" s="286"/>
      <c r="BY451" s="286"/>
      <c r="BZ451" s="286"/>
      <c r="CA451" s="286"/>
      <c r="CB451" s="286"/>
      <c r="CC451" s="286"/>
      <c r="CD451" s="286"/>
      <c r="CE451" s="286"/>
      <c r="CF451" s="286"/>
      <c r="CG451" s="286"/>
      <c r="CH451" s="286"/>
      <c r="CI451" s="286"/>
      <c r="CJ451" s="286"/>
      <c r="CK451" s="286"/>
      <c r="CL451" s="286"/>
      <c r="CM451" s="286"/>
      <c r="CN451" s="286"/>
      <c r="CO451" s="286"/>
      <c r="CP451" s="286"/>
      <c r="CQ451" s="286"/>
      <c r="CR451" s="286"/>
      <c r="CS451" s="286"/>
      <c r="CT451" s="286"/>
      <c r="CU451" s="286"/>
      <c r="CV451" s="286"/>
      <c r="CW451" s="286"/>
      <c r="CX451" s="286"/>
      <c r="CY451" s="286"/>
      <c r="CZ451" s="286"/>
      <c r="DA451" s="286"/>
      <c r="DB451" s="286"/>
      <c r="DC451" s="286"/>
      <c r="DD451" s="286"/>
      <c r="DE451" s="286"/>
      <c r="DF451" s="286"/>
      <c r="DG451" s="286"/>
      <c r="DH451" s="286"/>
      <c r="DI451" s="286"/>
      <c r="DJ451" s="286"/>
      <c r="DK451" s="286"/>
      <c r="DL451" s="286"/>
      <c r="DM451" s="286"/>
      <c r="DN451" s="286"/>
      <c r="DO451" s="286"/>
      <c r="DP451" s="286"/>
      <c r="DQ451" s="286"/>
      <c r="DR451" s="286"/>
      <c r="DS451" s="286"/>
      <c r="DT451" s="286"/>
      <c r="DU451" s="286"/>
      <c r="DV451" s="286"/>
      <c r="DW451" s="286"/>
      <c r="DX451" s="286"/>
      <c r="DY451" s="286"/>
      <c r="DZ451" s="286"/>
      <c r="EA451" s="286"/>
      <c r="EB451" s="286"/>
      <c r="EC451" s="286"/>
      <c r="ED451" s="286"/>
      <c r="EE451" s="286"/>
      <c r="EF451" s="286"/>
      <c r="EG451" s="286"/>
      <c r="EH451" s="286"/>
      <c r="EI451" s="286"/>
      <c r="EJ451" s="286"/>
      <c r="EK451" s="286"/>
      <c r="EL451" s="286"/>
      <c r="EM451" s="286"/>
      <c r="EN451" s="286"/>
      <c r="EO451" s="286"/>
      <c r="EP451" s="286"/>
      <c r="EQ451" s="286"/>
      <c r="ER451" s="286"/>
      <c r="ES451" s="286"/>
      <c r="ET451" s="286"/>
      <c r="EU451" s="286"/>
      <c r="EV451" s="286"/>
      <c r="EW451" s="286"/>
      <c r="EX451" s="286"/>
      <c r="EY451" s="286"/>
      <c r="EZ451" s="286"/>
      <c r="FA451" s="286"/>
      <c r="FB451" s="286"/>
      <c r="FC451" s="286"/>
      <c r="FD451" s="286"/>
      <c r="FE451" s="286"/>
      <c r="FF451" s="286"/>
      <c r="FG451" s="286"/>
      <c r="FH451" s="286"/>
      <c r="FI451" s="286"/>
      <c r="FJ451" s="286"/>
      <c r="FK451" s="286"/>
      <c r="FL451" s="286"/>
      <c r="FM451" s="286"/>
      <c r="FN451" s="286"/>
      <c r="FO451" s="286"/>
      <c r="FP451" s="286"/>
      <c r="FQ451" s="286"/>
      <c r="FR451" s="286"/>
      <c r="FS451" s="286"/>
    </row>
    <row r="452" spans="1:175">
      <c r="A452" s="212" t="s">
        <v>3159</v>
      </c>
      <c r="B452" s="212" t="s">
        <v>3160</v>
      </c>
      <c r="C452" s="212" t="s">
        <v>3432</v>
      </c>
      <c r="D452" s="212" t="s">
        <v>3580</v>
      </c>
      <c r="E452" s="212" t="s">
        <v>3623</v>
      </c>
      <c r="F452" s="278">
        <v>16799</v>
      </c>
      <c r="G452" s="278">
        <v>63564</v>
      </c>
      <c r="H452" s="287">
        <f t="shared" si="6"/>
        <v>3.5192876470958403</v>
      </c>
      <c r="I452" s="286">
        <v>613</v>
      </c>
      <c r="J452" s="286">
        <v>2237</v>
      </c>
      <c r="K452" s="286">
        <v>769</v>
      </c>
      <c r="L452" s="286">
        <v>1466</v>
      </c>
      <c r="M452" s="286">
        <v>1325</v>
      </c>
      <c r="N452" s="286">
        <v>311</v>
      </c>
      <c r="O452" s="286">
        <v>1013</v>
      </c>
      <c r="P452" s="286">
        <v>613</v>
      </c>
      <c r="Q452" s="286">
        <v>2237</v>
      </c>
      <c r="R452" s="286">
        <v>769</v>
      </c>
      <c r="S452" s="286">
        <v>1466</v>
      </c>
      <c r="T452" s="286">
        <v>1325</v>
      </c>
      <c r="U452" s="286">
        <v>311</v>
      </c>
      <c r="V452" s="286">
        <v>1013</v>
      </c>
      <c r="W452" s="286"/>
      <c r="X452" s="286"/>
      <c r="Y452" s="286"/>
      <c r="Z452" s="286"/>
      <c r="AA452" s="286"/>
      <c r="AB452" s="286"/>
      <c r="AC452" s="286"/>
      <c r="AD452" s="286"/>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c r="BL452" s="286"/>
      <c r="BM452" s="286"/>
      <c r="BN452" s="286"/>
      <c r="BO452" s="286"/>
      <c r="BP452" s="286"/>
      <c r="BQ452" s="286"/>
      <c r="BR452" s="286"/>
      <c r="BS452" s="286"/>
      <c r="BT452" s="286"/>
      <c r="BU452" s="286"/>
      <c r="BV452" s="286"/>
      <c r="BW452" s="286"/>
      <c r="BX452" s="286"/>
      <c r="BY452" s="286"/>
      <c r="BZ452" s="286"/>
      <c r="CA452" s="286"/>
      <c r="CB452" s="286"/>
      <c r="CC452" s="286"/>
      <c r="CD452" s="286"/>
      <c r="CE452" s="286"/>
      <c r="CF452" s="286"/>
      <c r="CG452" s="286"/>
      <c r="CH452" s="286"/>
      <c r="CI452" s="286"/>
      <c r="CJ452" s="286"/>
      <c r="CK452" s="286"/>
      <c r="CL452" s="286"/>
      <c r="CM452" s="286"/>
      <c r="CN452" s="286"/>
      <c r="CO452" s="286"/>
      <c r="CP452" s="286"/>
      <c r="CQ452" s="286"/>
      <c r="CR452" s="286"/>
      <c r="CS452" s="286"/>
      <c r="CT452" s="286"/>
      <c r="CU452" s="286"/>
      <c r="CV452" s="286"/>
      <c r="CW452" s="286"/>
      <c r="CX452" s="286"/>
      <c r="CY452" s="286"/>
      <c r="CZ452" s="286"/>
      <c r="DA452" s="286"/>
      <c r="DB452" s="286"/>
      <c r="DC452" s="286"/>
      <c r="DD452" s="286"/>
      <c r="DE452" s="286"/>
      <c r="DF452" s="286"/>
      <c r="DG452" s="286"/>
      <c r="DH452" s="286"/>
      <c r="DI452" s="286"/>
      <c r="DJ452" s="286"/>
      <c r="DK452" s="286"/>
      <c r="DL452" s="286"/>
      <c r="DM452" s="286"/>
      <c r="DN452" s="286"/>
      <c r="DO452" s="286"/>
      <c r="DP452" s="286"/>
      <c r="DQ452" s="286"/>
      <c r="DR452" s="286"/>
      <c r="DS452" s="286"/>
      <c r="DT452" s="286"/>
      <c r="DU452" s="286"/>
      <c r="DV452" s="286"/>
      <c r="DW452" s="286"/>
      <c r="DX452" s="286"/>
      <c r="DY452" s="286"/>
      <c r="DZ452" s="286"/>
      <c r="EA452" s="286"/>
      <c r="EB452" s="286"/>
      <c r="EC452" s="286"/>
      <c r="ED452" s="286"/>
      <c r="EE452" s="286"/>
      <c r="EF452" s="286"/>
      <c r="EG452" s="286"/>
      <c r="EH452" s="286"/>
      <c r="EI452" s="286"/>
      <c r="EJ452" s="286"/>
      <c r="EK452" s="286"/>
      <c r="EL452" s="286"/>
      <c r="EM452" s="286"/>
      <c r="EN452" s="286"/>
      <c r="EO452" s="286"/>
      <c r="EP452" s="286"/>
      <c r="EQ452" s="286"/>
      <c r="ER452" s="286"/>
      <c r="ES452" s="286"/>
      <c r="ET452" s="286"/>
      <c r="EU452" s="286"/>
      <c r="EV452" s="286"/>
      <c r="EW452" s="286"/>
      <c r="EX452" s="286"/>
      <c r="EY452" s="286"/>
      <c r="EZ452" s="286"/>
      <c r="FA452" s="286"/>
      <c r="FB452" s="286"/>
      <c r="FC452" s="286"/>
      <c r="FD452" s="286"/>
      <c r="FE452" s="286"/>
      <c r="FF452" s="286"/>
      <c r="FG452" s="286"/>
      <c r="FH452" s="286"/>
      <c r="FI452" s="286"/>
      <c r="FJ452" s="286"/>
      <c r="FK452" s="286"/>
      <c r="FL452" s="286"/>
      <c r="FM452" s="286"/>
      <c r="FN452" s="286"/>
      <c r="FO452" s="286"/>
      <c r="FP452" s="286"/>
      <c r="FQ452" s="286"/>
      <c r="FR452" s="286"/>
      <c r="FS452" s="286"/>
    </row>
    <row r="453" spans="1:175">
      <c r="A453" s="212" t="s">
        <v>3159</v>
      </c>
      <c r="B453" s="212" t="s">
        <v>3160</v>
      </c>
      <c r="C453" s="212" t="s">
        <v>3432</v>
      </c>
      <c r="D453" s="212" t="s">
        <v>3580</v>
      </c>
      <c r="E453" s="212" t="s">
        <v>3624</v>
      </c>
      <c r="F453" s="278">
        <v>4765</v>
      </c>
      <c r="G453" s="278">
        <v>28680</v>
      </c>
      <c r="H453" s="287">
        <f t="shared" si="6"/>
        <v>5.1046025104602508</v>
      </c>
      <c r="I453" s="286">
        <v>214</v>
      </c>
      <c r="J453" s="286">
        <v>1464</v>
      </c>
      <c r="K453" s="286">
        <v>363</v>
      </c>
      <c r="L453" s="286">
        <v>1069</v>
      </c>
      <c r="M453" s="286">
        <v>1230</v>
      </c>
      <c r="N453" s="286">
        <v>252</v>
      </c>
      <c r="O453" s="286">
        <v>946</v>
      </c>
      <c r="P453" s="286">
        <v>214</v>
      </c>
      <c r="Q453" s="286">
        <v>1464</v>
      </c>
      <c r="R453" s="286">
        <v>363</v>
      </c>
      <c r="S453" s="286">
        <v>1069</v>
      </c>
      <c r="T453" s="286">
        <v>1230</v>
      </c>
      <c r="U453" s="286">
        <v>252</v>
      </c>
      <c r="V453" s="286">
        <v>946</v>
      </c>
      <c r="W453" s="286"/>
      <c r="X453" s="286"/>
      <c r="Y453" s="286"/>
      <c r="Z453" s="286"/>
      <c r="AA453" s="286"/>
      <c r="AB453" s="286"/>
      <c r="AC453" s="286"/>
      <c r="AD453" s="286"/>
      <c r="AE453" s="286"/>
      <c r="AF453" s="286"/>
      <c r="AG453" s="286"/>
      <c r="AH453" s="286"/>
      <c r="AI453" s="286"/>
      <c r="AJ453" s="286"/>
      <c r="AK453" s="286"/>
      <c r="AL453" s="286"/>
      <c r="AM453" s="286"/>
      <c r="AN453" s="286"/>
      <c r="AO453" s="286"/>
      <c r="AP453" s="286"/>
      <c r="AQ453" s="286"/>
      <c r="AR453" s="286"/>
      <c r="AS453" s="286"/>
      <c r="AT453" s="286"/>
      <c r="AU453" s="286"/>
      <c r="AV453" s="286"/>
      <c r="AW453" s="286"/>
      <c r="AX453" s="286"/>
      <c r="AY453" s="286"/>
      <c r="AZ453" s="286"/>
      <c r="BA453" s="286"/>
      <c r="BB453" s="286"/>
      <c r="BC453" s="286"/>
      <c r="BD453" s="286"/>
      <c r="BE453" s="286"/>
      <c r="BF453" s="286"/>
      <c r="BG453" s="286"/>
      <c r="BH453" s="286"/>
      <c r="BI453" s="286"/>
      <c r="BJ453" s="286"/>
      <c r="BK453" s="286"/>
      <c r="BL453" s="286"/>
      <c r="BM453" s="286"/>
      <c r="BN453" s="286"/>
      <c r="BO453" s="286"/>
      <c r="BP453" s="286"/>
      <c r="BQ453" s="286"/>
      <c r="BR453" s="286"/>
      <c r="BS453" s="286"/>
      <c r="BT453" s="286"/>
      <c r="BU453" s="286"/>
      <c r="BV453" s="286"/>
      <c r="BW453" s="286"/>
      <c r="BX453" s="286"/>
      <c r="BY453" s="286"/>
      <c r="BZ453" s="286"/>
      <c r="CA453" s="286"/>
      <c r="CB453" s="286"/>
      <c r="CC453" s="286"/>
      <c r="CD453" s="286"/>
      <c r="CE453" s="286"/>
      <c r="CF453" s="286"/>
      <c r="CG453" s="286"/>
      <c r="CH453" s="286"/>
      <c r="CI453" s="286"/>
      <c r="CJ453" s="286"/>
      <c r="CK453" s="286"/>
      <c r="CL453" s="286"/>
      <c r="CM453" s="286"/>
      <c r="CN453" s="286"/>
      <c r="CO453" s="286"/>
      <c r="CP453" s="286"/>
      <c r="CQ453" s="286"/>
      <c r="CR453" s="286"/>
      <c r="CS453" s="286"/>
      <c r="CT453" s="286"/>
      <c r="CU453" s="286"/>
      <c r="CV453" s="286"/>
      <c r="CW453" s="286"/>
      <c r="CX453" s="286"/>
      <c r="CY453" s="286"/>
      <c r="CZ453" s="286"/>
      <c r="DA453" s="286"/>
      <c r="DB453" s="286"/>
      <c r="DC453" s="286"/>
      <c r="DD453" s="286"/>
      <c r="DE453" s="286"/>
      <c r="DF453" s="286"/>
      <c r="DG453" s="286"/>
      <c r="DH453" s="286"/>
      <c r="DI453" s="286"/>
      <c r="DJ453" s="286"/>
      <c r="DK453" s="286"/>
      <c r="DL453" s="286"/>
      <c r="DM453" s="286"/>
      <c r="DN453" s="286"/>
      <c r="DO453" s="286"/>
      <c r="DP453" s="286"/>
      <c r="DQ453" s="286"/>
      <c r="DR453" s="286"/>
      <c r="DS453" s="286"/>
      <c r="DT453" s="286"/>
      <c r="DU453" s="286"/>
      <c r="DV453" s="286"/>
      <c r="DW453" s="286"/>
      <c r="DX453" s="286"/>
      <c r="DY453" s="286"/>
      <c r="DZ453" s="286"/>
      <c r="EA453" s="286"/>
      <c r="EB453" s="286"/>
      <c r="EC453" s="286"/>
      <c r="ED453" s="286"/>
      <c r="EE453" s="286"/>
      <c r="EF453" s="286"/>
      <c r="EG453" s="286"/>
      <c r="EH453" s="286"/>
      <c r="EI453" s="286"/>
      <c r="EJ453" s="286"/>
      <c r="EK453" s="286"/>
      <c r="EL453" s="286"/>
      <c r="EM453" s="286"/>
      <c r="EN453" s="286"/>
      <c r="EO453" s="286"/>
      <c r="EP453" s="286"/>
      <c r="EQ453" s="286"/>
      <c r="ER453" s="286"/>
      <c r="ES453" s="286"/>
      <c r="ET453" s="286"/>
      <c r="EU453" s="286"/>
      <c r="EV453" s="286"/>
      <c r="EW453" s="286"/>
      <c r="EX453" s="286"/>
      <c r="EY453" s="286"/>
      <c r="EZ453" s="286"/>
      <c r="FA453" s="286"/>
      <c r="FB453" s="286"/>
      <c r="FC453" s="286"/>
      <c r="FD453" s="286"/>
      <c r="FE453" s="286"/>
      <c r="FF453" s="286"/>
      <c r="FG453" s="286"/>
      <c r="FH453" s="286"/>
      <c r="FI453" s="286"/>
      <c r="FJ453" s="286"/>
      <c r="FK453" s="286"/>
      <c r="FL453" s="286"/>
      <c r="FM453" s="286"/>
      <c r="FN453" s="286"/>
      <c r="FO453" s="286"/>
      <c r="FP453" s="286"/>
      <c r="FQ453" s="286"/>
      <c r="FR453" s="286"/>
      <c r="FS453" s="286"/>
    </row>
    <row r="454" spans="1:175">
      <c r="A454" s="212" t="s">
        <v>3159</v>
      </c>
      <c r="B454" s="212" t="s">
        <v>3160</v>
      </c>
      <c r="C454" s="212" t="s">
        <v>3432</v>
      </c>
      <c r="D454" s="212" t="s">
        <v>3580</v>
      </c>
      <c r="E454" s="212" t="s">
        <v>3625</v>
      </c>
      <c r="F454" s="278">
        <v>9234</v>
      </c>
      <c r="G454" s="278">
        <v>59183</v>
      </c>
      <c r="H454" s="287">
        <f t="shared" si="6"/>
        <v>3.5043847050673338</v>
      </c>
      <c r="I454" s="286">
        <v>387</v>
      </c>
      <c r="J454" s="286">
        <v>2074</v>
      </c>
      <c r="K454" s="286">
        <v>1365</v>
      </c>
      <c r="L454" s="286">
        <v>705</v>
      </c>
      <c r="M454" s="286">
        <v>1710</v>
      </c>
      <c r="N454" s="286">
        <v>1142</v>
      </c>
      <c r="O454" s="286">
        <v>564</v>
      </c>
      <c r="P454" s="286">
        <v>387</v>
      </c>
      <c r="Q454" s="286">
        <v>2074</v>
      </c>
      <c r="R454" s="286">
        <v>1365</v>
      </c>
      <c r="S454" s="286">
        <v>705</v>
      </c>
      <c r="T454" s="286">
        <v>1710</v>
      </c>
      <c r="U454" s="286">
        <v>1142</v>
      </c>
      <c r="V454" s="286">
        <v>564</v>
      </c>
      <c r="W454" s="286"/>
      <c r="X454" s="286"/>
      <c r="Y454" s="286"/>
      <c r="Z454" s="286"/>
      <c r="AA454" s="286"/>
      <c r="AB454" s="286"/>
      <c r="AC454" s="286"/>
      <c r="AD454" s="286"/>
      <c r="AE454" s="286"/>
      <c r="AF454" s="286"/>
      <c r="AG454" s="286"/>
      <c r="AH454" s="286"/>
      <c r="AI454" s="286"/>
      <c r="AJ454" s="286"/>
      <c r="AK454" s="286"/>
      <c r="AL454" s="286"/>
      <c r="AM454" s="286"/>
      <c r="AN454" s="286"/>
      <c r="AO454" s="286"/>
      <c r="AP454" s="286"/>
      <c r="AQ454" s="286"/>
      <c r="AR454" s="286"/>
      <c r="AS454" s="286"/>
      <c r="AT454" s="286"/>
      <c r="AU454" s="286"/>
      <c r="AV454" s="286"/>
      <c r="AW454" s="286"/>
      <c r="AX454" s="286"/>
      <c r="AY454" s="286"/>
      <c r="AZ454" s="286"/>
      <c r="BA454" s="286"/>
      <c r="BB454" s="286"/>
      <c r="BC454" s="286"/>
      <c r="BD454" s="286"/>
      <c r="BE454" s="286"/>
      <c r="BF454" s="286"/>
      <c r="BG454" s="286"/>
      <c r="BH454" s="286"/>
      <c r="BI454" s="286"/>
      <c r="BJ454" s="286"/>
      <c r="BK454" s="286"/>
      <c r="BL454" s="286"/>
      <c r="BM454" s="286"/>
      <c r="BN454" s="286"/>
      <c r="BO454" s="286"/>
      <c r="BP454" s="286"/>
      <c r="BQ454" s="286"/>
      <c r="BR454" s="286"/>
      <c r="BS454" s="286"/>
      <c r="BT454" s="286"/>
      <c r="BU454" s="286"/>
      <c r="BV454" s="286"/>
      <c r="BW454" s="286"/>
      <c r="BX454" s="286"/>
      <c r="BY454" s="286"/>
      <c r="BZ454" s="286"/>
      <c r="CA454" s="286"/>
      <c r="CB454" s="286"/>
      <c r="CC454" s="286"/>
      <c r="CD454" s="286"/>
      <c r="CE454" s="286"/>
      <c r="CF454" s="286"/>
      <c r="CG454" s="286"/>
      <c r="CH454" s="286"/>
      <c r="CI454" s="286"/>
      <c r="CJ454" s="286"/>
      <c r="CK454" s="286"/>
      <c r="CL454" s="286"/>
      <c r="CM454" s="286"/>
      <c r="CN454" s="286"/>
      <c r="CO454" s="286"/>
      <c r="CP454" s="286"/>
      <c r="CQ454" s="286"/>
      <c r="CR454" s="286"/>
      <c r="CS454" s="286"/>
      <c r="CT454" s="286"/>
      <c r="CU454" s="286"/>
      <c r="CV454" s="286"/>
      <c r="CW454" s="286"/>
      <c r="CX454" s="286"/>
      <c r="CY454" s="286"/>
      <c r="CZ454" s="286"/>
      <c r="DA454" s="286"/>
      <c r="DB454" s="286"/>
      <c r="DC454" s="286"/>
      <c r="DD454" s="286"/>
      <c r="DE454" s="286"/>
      <c r="DF454" s="286"/>
      <c r="DG454" s="286"/>
      <c r="DH454" s="286"/>
      <c r="DI454" s="286"/>
      <c r="DJ454" s="286"/>
      <c r="DK454" s="286"/>
      <c r="DL454" s="286"/>
      <c r="DM454" s="286"/>
      <c r="DN454" s="286"/>
      <c r="DO454" s="286"/>
      <c r="DP454" s="286"/>
      <c r="DQ454" s="286"/>
      <c r="DR454" s="286"/>
      <c r="DS454" s="286"/>
      <c r="DT454" s="286"/>
      <c r="DU454" s="286"/>
      <c r="DV454" s="286"/>
      <c r="DW454" s="286"/>
      <c r="DX454" s="286"/>
      <c r="DY454" s="286"/>
      <c r="DZ454" s="286"/>
      <c r="EA454" s="286"/>
      <c r="EB454" s="286"/>
      <c r="EC454" s="286"/>
      <c r="ED454" s="286"/>
      <c r="EE454" s="286"/>
      <c r="EF454" s="286"/>
      <c r="EG454" s="286"/>
      <c r="EH454" s="286"/>
      <c r="EI454" s="286"/>
      <c r="EJ454" s="286"/>
      <c r="EK454" s="286"/>
      <c r="EL454" s="286"/>
      <c r="EM454" s="286"/>
      <c r="EN454" s="286"/>
      <c r="EO454" s="286"/>
      <c r="EP454" s="286"/>
      <c r="EQ454" s="286"/>
      <c r="ER454" s="286"/>
      <c r="ES454" s="286"/>
      <c r="ET454" s="286"/>
      <c r="EU454" s="286"/>
      <c r="EV454" s="286"/>
      <c r="EW454" s="286"/>
      <c r="EX454" s="286"/>
      <c r="EY454" s="286"/>
      <c r="EZ454" s="286"/>
      <c r="FA454" s="286"/>
      <c r="FB454" s="286"/>
      <c r="FC454" s="286"/>
      <c r="FD454" s="286"/>
      <c r="FE454" s="286"/>
      <c r="FF454" s="286"/>
      <c r="FG454" s="286"/>
      <c r="FH454" s="286"/>
      <c r="FI454" s="286"/>
      <c r="FJ454" s="286"/>
      <c r="FK454" s="286"/>
      <c r="FL454" s="286"/>
      <c r="FM454" s="286"/>
      <c r="FN454" s="286"/>
      <c r="FO454" s="286"/>
      <c r="FP454" s="286"/>
      <c r="FQ454" s="286"/>
      <c r="FR454" s="286"/>
      <c r="FS454" s="286"/>
    </row>
    <row r="455" spans="1:175">
      <c r="A455" s="212" t="s">
        <v>3159</v>
      </c>
      <c r="B455" s="212" t="s">
        <v>3160</v>
      </c>
      <c r="C455" s="212" t="s">
        <v>3432</v>
      </c>
      <c r="D455" s="212" t="s">
        <v>3580</v>
      </c>
      <c r="E455" s="212" t="s">
        <v>3626</v>
      </c>
      <c r="F455" s="278">
        <v>52695</v>
      </c>
      <c r="G455" s="278">
        <v>395955</v>
      </c>
      <c r="H455" s="287">
        <f t="shared" si="6"/>
        <v>3.9706532307964291</v>
      </c>
      <c r="I455" s="286">
        <v>2354</v>
      </c>
      <c r="J455" s="286">
        <v>15722</v>
      </c>
      <c r="K455" s="286">
        <v>5785</v>
      </c>
      <c r="L455" s="286">
        <v>8727</v>
      </c>
      <c r="M455" s="286">
        <v>13232</v>
      </c>
      <c r="N455" s="286">
        <v>4376</v>
      </c>
      <c r="O455" s="286">
        <v>7646</v>
      </c>
      <c r="P455" s="286">
        <v>2354</v>
      </c>
      <c r="Q455" s="286">
        <v>15722</v>
      </c>
      <c r="R455" s="286">
        <v>5785</v>
      </c>
      <c r="S455" s="286">
        <v>8727</v>
      </c>
      <c r="T455" s="286">
        <v>13232</v>
      </c>
      <c r="U455" s="286">
        <v>4376</v>
      </c>
      <c r="V455" s="286">
        <v>7646</v>
      </c>
      <c r="W455" s="286"/>
      <c r="X455" s="286"/>
      <c r="Y455" s="286"/>
      <c r="Z455" s="286"/>
      <c r="AA455" s="286"/>
      <c r="AB455" s="286"/>
      <c r="AC455" s="286"/>
      <c r="AD455" s="286"/>
      <c r="AE455" s="286"/>
      <c r="AF455" s="286"/>
      <c r="AG455" s="286"/>
      <c r="AH455" s="286"/>
      <c r="AI455" s="286"/>
      <c r="AJ455" s="286"/>
      <c r="AK455" s="286"/>
      <c r="AL455" s="286"/>
      <c r="AM455" s="286"/>
      <c r="AN455" s="286"/>
      <c r="AO455" s="286"/>
      <c r="AP455" s="286"/>
      <c r="AQ455" s="286"/>
      <c r="AR455" s="286"/>
      <c r="AS455" s="286"/>
      <c r="AT455" s="286"/>
      <c r="AU455" s="286"/>
      <c r="AV455" s="286"/>
      <c r="AW455" s="286"/>
      <c r="AX455" s="286"/>
      <c r="AY455" s="286"/>
      <c r="AZ455" s="286"/>
      <c r="BA455" s="286"/>
      <c r="BB455" s="286"/>
      <c r="BC455" s="286"/>
      <c r="BD455" s="286"/>
      <c r="BE455" s="286"/>
      <c r="BF455" s="286"/>
      <c r="BG455" s="286"/>
      <c r="BH455" s="286"/>
      <c r="BI455" s="286"/>
      <c r="BJ455" s="286"/>
      <c r="BK455" s="286"/>
      <c r="BL455" s="286"/>
      <c r="BM455" s="286"/>
      <c r="BN455" s="286"/>
      <c r="BO455" s="286"/>
      <c r="BP455" s="286"/>
      <c r="BQ455" s="286"/>
      <c r="BR455" s="286"/>
      <c r="BS455" s="286"/>
      <c r="BT455" s="286"/>
      <c r="BU455" s="286"/>
      <c r="BV455" s="286"/>
      <c r="BW455" s="286"/>
      <c r="BX455" s="286"/>
      <c r="BY455" s="286"/>
      <c r="BZ455" s="286"/>
      <c r="CA455" s="286"/>
      <c r="CB455" s="286"/>
      <c r="CC455" s="286"/>
      <c r="CD455" s="286"/>
      <c r="CE455" s="286"/>
      <c r="CF455" s="286"/>
      <c r="CG455" s="286"/>
      <c r="CH455" s="286"/>
      <c r="CI455" s="286"/>
      <c r="CJ455" s="286"/>
      <c r="CK455" s="286"/>
      <c r="CL455" s="286"/>
      <c r="CM455" s="286"/>
      <c r="CN455" s="286"/>
      <c r="CO455" s="286"/>
      <c r="CP455" s="286"/>
      <c r="CQ455" s="286"/>
      <c r="CR455" s="286"/>
      <c r="CS455" s="286"/>
      <c r="CT455" s="286"/>
      <c r="CU455" s="286"/>
      <c r="CV455" s="286"/>
      <c r="CW455" s="286"/>
      <c r="CX455" s="286"/>
      <c r="CY455" s="286"/>
      <c r="CZ455" s="286"/>
      <c r="DA455" s="286"/>
      <c r="DB455" s="286"/>
      <c r="DC455" s="286"/>
      <c r="DD455" s="286"/>
      <c r="DE455" s="286"/>
      <c r="DF455" s="286"/>
      <c r="DG455" s="286"/>
      <c r="DH455" s="286"/>
      <c r="DI455" s="286"/>
      <c r="DJ455" s="286"/>
      <c r="DK455" s="286"/>
      <c r="DL455" s="286"/>
      <c r="DM455" s="286"/>
      <c r="DN455" s="286"/>
      <c r="DO455" s="286"/>
      <c r="DP455" s="286"/>
      <c r="DQ455" s="286"/>
      <c r="DR455" s="286"/>
      <c r="DS455" s="286"/>
      <c r="DT455" s="286"/>
      <c r="DU455" s="286"/>
      <c r="DV455" s="286"/>
      <c r="DW455" s="286"/>
      <c r="DX455" s="286"/>
      <c r="DY455" s="286"/>
      <c r="DZ455" s="286"/>
      <c r="EA455" s="286"/>
      <c r="EB455" s="286"/>
      <c r="EC455" s="286"/>
      <c r="ED455" s="286"/>
      <c r="EE455" s="286"/>
      <c r="EF455" s="286"/>
      <c r="EG455" s="286"/>
      <c r="EH455" s="286"/>
      <c r="EI455" s="286"/>
      <c r="EJ455" s="286"/>
      <c r="EK455" s="286"/>
      <c r="EL455" s="286"/>
      <c r="EM455" s="286"/>
      <c r="EN455" s="286"/>
      <c r="EO455" s="286"/>
      <c r="EP455" s="286"/>
      <c r="EQ455" s="286"/>
      <c r="ER455" s="286"/>
      <c r="ES455" s="286"/>
      <c r="ET455" s="286"/>
      <c r="EU455" s="286"/>
      <c r="EV455" s="286"/>
      <c r="EW455" s="286"/>
      <c r="EX455" s="286"/>
      <c r="EY455" s="286"/>
      <c r="EZ455" s="286"/>
      <c r="FA455" s="286"/>
      <c r="FB455" s="286"/>
      <c r="FC455" s="286"/>
      <c r="FD455" s="286"/>
      <c r="FE455" s="286"/>
      <c r="FF455" s="286"/>
      <c r="FG455" s="286"/>
      <c r="FH455" s="286"/>
      <c r="FI455" s="286"/>
      <c r="FJ455" s="286"/>
      <c r="FK455" s="286"/>
      <c r="FL455" s="286"/>
      <c r="FM455" s="286"/>
      <c r="FN455" s="286"/>
      <c r="FO455" s="286"/>
      <c r="FP455" s="286"/>
      <c r="FQ455" s="286"/>
      <c r="FR455" s="286"/>
      <c r="FS455" s="286"/>
    </row>
    <row r="456" spans="1:175">
      <c r="A456" s="212" t="s">
        <v>3159</v>
      </c>
      <c r="B456" s="212" t="s">
        <v>3160</v>
      </c>
      <c r="C456" s="212" t="s">
        <v>3170</v>
      </c>
      <c r="D456" s="212" t="s">
        <v>3580</v>
      </c>
      <c r="E456" s="212" t="s">
        <v>3627</v>
      </c>
      <c r="F456" s="278">
        <v>42696</v>
      </c>
      <c r="G456" s="278">
        <v>395393</v>
      </c>
      <c r="H456" s="287">
        <f t="shared" si="6"/>
        <v>3.6429577660707193</v>
      </c>
      <c r="I456" s="286">
        <v>1586</v>
      </c>
      <c r="J456" s="286">
        <v>14404</v>
      </c>
      <c r="K456" s="286">
        <v>7410</v>
      </c>
      <c r="L456" s="286">
        <v>6934</v>
      </c>
      <c r="M456" s="286">
        <v>12403</v>
      </c>
      <c r="N456" s="286">
        <v>6171</v>
      </c>
      <c r="O456" s="286">
        <v>6175</v>
      </c>
      <c r="P456" s="286">
        <v>1586</v>
      </c>
      <c r="Q456" s="286">
        <v>14404</v>
      </c>
      <c r="R456" s="286">
        <v>7410</v>
      </c>
      <c r="S456" s="286">
        <v>6934</v>
      </c>
      <c r="T456" s="286">
        <v>12403</v>
      </c>
      <c r="U456" s="286">
        <v>6171</v>
      </c>
      <c r="V456" s="286">
        <v>6175</v>
      </c>
      <c r="W456" s="286"/>
      <c r="X456" s="286"/>
      <c r="Y456" s="286"/>
      <c r="Z456" s="286"/>
      <c r="AA456" s="286"/>
      <c r="AB456" s="286"/>
      <c r="AC456" s="286"/>
      <c r="AD456" s="286"/>
      <c r="AE456" s="286"/>
      <c r="AF456" s="286"/>
      <c r="AG456" s="286"/>
      <c r="AH456" s="286"/>
      <c r="AI456" s="286"/>
      <c r="AJ456" s="286"/>
      <c r="AK456" s="286"/>
      <c r="AL456" s="286"/>
      <c r="AM456" s="286"/>
      <c r="AN456" s="286"/>
      <c r="AO456" s="286"/>
      <c r="AP456" s="286"/>
      <c r="AQ456" s="286"/>
      <c r="AR456" s="286"/>
      <c r="AS456" s="286"/>
      <c r="AT456" s="286"/>
      <c r="AU456" s="286"/>
      <c r="AV456" s="286"/>
      <c r="AW456" s="286"/>
      <c r="AX456" s="286"/>
      <c r="AY456" s="286"/>
      <c r="AZ456" s="286"/>
      <c r="BA456" s="286"/>
      <c r="BB456" s="286"/>
      <c r="BC456" s="286"/>
      <c r="BD456" s="286"/>
      <c r="BE456" s="286"/>
      <c r="BF456" s="286"/>
      <c r="BG456" s="286"/>
      <c r="BH456" s="286"/>
      <c r="BI456" s="286"/>
      <c r="BJ456" s="286"/>
      <c r="BK456" s="286"/>
      <c r="BL456" s="286"/>
      <c r="BM456" s="286"/>
      <c r="BN456" s="286"/>
      <c r="BO456" s="286"/>
      <c r="BP456" s="286"/>
      <c r="BQ456" s="286"/>
      <c r="BR456" s="286"/>
      <c r="BS456" s="286"/>
      <c r="BT456" s="286"/>
      <c r="BU456" s="286"/>
      <c r="BV456" s="286"/>
      <c r="BW456" s="286"/>
      <c r="BX456" s="286"/>
      <c r="BY456" s="286"/>
      <c r="BZ456" s="286"/>
      <c r="CA456" s="286"/>
      <c r="CB456" s="286"/>
      <c r="CC456" s="286"/>
      <c r="CD456" s="286"/>
      <c r="CE456" s="286"/>
      <c r="CF456" s="286"/>
      <c r="CG456" s="286"/>
      <c r="CH456" s="286"/>
      <c r="CI456" s="286"/>
      <c r="CJ456" s="286"/>
      <c r="CK456" s="286"/>
      <c r="CL456" s="286"/>
      <c r="CM456" s="286"/>
      <c r="CN456" s="286"/>
      <c r="CO456" s="286"/>
      <c r="CP456" s="286"/>
      <c r="CQ456" s="286"/>
      <c r="CR456" s="286"/>
      <c r="CS456" s="286"/>
      <c r="CT456" s="286"/>
      <c r="CU456" s="286"/>
      <c r="CV456" s="286"/>
      <c r="CW456" s="286"/>
      <c r="CX456" s="286"/>
      <c r="CY456" s="286"/>
      <c r="CZ456" s="286"/>
      <c r="DA456" s="286"/>
      <c r="DB456" s="286"/>
      <c r="DC456" s="286"/>
      <c r="DD456" s="286"/>
      <c r="DE456" s="286"/>
      <c r="DF456" s="286"/>
      <c r="DG456" s="286"/>
      <c r="DH456" s="286"/>
      <c r="DI456" s="286"/>
      <c r="DJ456" s="286"/>
      <c r="DK456" s="286"/>
      <c r="DL456" s="286"/>
      <c r="DM456" s="286"/>
      <c r="DN456" s="286"/>
      <c r="DO456" s="286"/>
      <c r="DP456" s="286"/>
      <c r="DQ456" s="286"/>
      <c r="DR456" s="286"/>
      <c r="DS456" s="286"/>
      <c r="DT456" s="286"/>
      <c r="DU456" s="286"/>
      <c r="DV456" s="286"/>
      <c r="DW456" s="286"/>
      <c r="DX456" s="286"/>
      <c r="DY456" s="286"/>
      <c r="DZ456" s="286"/>
      <c r="EA456" s="286"/>
      <c r="EB456" s="286"/>
      <c r="EC456" s="286"/>
      <c r="ED456" s="286"/>
      <c r="EE456" s="286"/>
      <c r="EF456" s="286"/>
      <c r="EG456" s="286"/>
      <c r="EH456" s="286"/>
      <c r="EI456" s="286"/>
      <c r="EJ456" s="286"/>
      <c r="EK456" s="286"/>
      <c r="EL456" s="286"/>
      <c r="EM456" s="286"/>
      <c r="EN456" s="286"/>
      <c r="EO456" s="286"/>
      <c r="EP456" s="286"/>
      <c r="EQ456" s="286"/>
      <c r="ER456" s="286"/>
      <c r="ES456" s="286"/>
      <c r="ET456" s="286"/>
      <c r="EU456" s="286"/>
      <c r="EV456" s="286"/>
      <c r="EW456" s="286"/>
      <c r="EX456" s="286"/>
      <c r="EY456" s="286"/>
      <c r="EZ456" s="286"/>
      <c r="FA456" s="286"/>
      <c r="FB456" s="286"/>
      <c r="FC456" s="286"/>
      <c r="FD456" s="286"/>
      <c r="FE456" s="286"/>
      <c r="FF456" s="286"/>
      <c r="FG456" s="286"/>
      <c r="FH456" s="286"/>
      <c r="FI456" s="286"/>
      <c r="FJ456" s="286"/>
      <c r="FK456" s="286"/>
      <c r="FL456" s="286"/>
      <c r="FM456" s="286"/>
      <c r="FN456" s="286"/>
      <c r="FO456" s="286"/>
      <c r="FP456" s="286"/>
      <c r="FQ456" s="286"/>
      <c r="FR456" s="286"/>
      <c r="FS456" s="286"/>
    </row>
    <row r="457" spans="1:175">
      <c r="A457" s="212" t="s">
        <v>3159</v>
      </c>
      <c r="B457" s="212" t="s">
        <v>3160</v>
      </c>
      <c r="C457" s="212" t="s">
        <v>3172</v>
      </c>
      <c r="D457" s="212" t="s">
        <v>3580</v>
      </c>
      <c r="E457" s="212" t="s">
        <v>3628</v>
      </c>
      <c r="F457" s="278">
        <v>327</v>
      </c>
      <c r="G457" s="278">
        <v>6921</v>
      </c>
      <c r="H457" s="287">
        <f t="shared" si="6"/>
        <v>0.73688773298656263</v>
      </c>
      <c r="I457" s="286">
        <v>9</v>
      </c>
      <c r="J457" s="286">
        <v>51</v>
      </c>
      <c r="K457" s="286">
        <v>32</v>
      </c>
      <c r="L457" s="286">
        <v>19</v>
      </c>
      <c r="M457" s="286">
        <v>45</v>
      </c>
      <c r="N457" s="286">
        <v>28</v>
      </c>
      <c r="O457" s="286">
        <v>17</v>
      </c>
      <c r="P457" s="286">
        <v>9</v>
      </c>
      <c r="Q457" s="286">
        <v>51</v>
      </c>
      <c r="R457" s="286">
        <v>32</v>
      </c>
      <c r="S457" s="286">
        <v>19</v>
      </c>
      <c r="T457" s="286">
        <v>45</v>
      </c>
      <c r="U457" s="286">
        <v>28</v>
      </c>
      <c r="V457" s="286">
        <v>17</v>
      </c>
      <c r="W457" s="286"/>
      <c r="X457" s="286"/>
      <c r="Y457" s="286"/>
      <c r="Z457" s="286"/>
      <c r="AA457" s="286"/>
      <c r="AB457" s="286"/>
      <c r="AC457" s="286"/>
      <c r="AD457" s="286"/>
      <c r="AE457" s="286"/>
      <c r="AF457" s="286"/>
      <c r="AG457" s="286"/>
      <c r="AH457" s="286"/>
      <c r="AI457" s="286"/>
      <c r="AJ457" s="286"/>
      <c r="AK457" s="286"/>
      <c r="AL457" s="286"/>
      <c r="AM457" s="286"/>
      <c r="AN457" s="286"/>
      <c r="AO457" s="286"/>
      <c r="AP457" s="286"/>
      <c r="AQ457" s="286"/>
      <c r="AR457" s="286"/>
      <c r="AS457" s="286"/>
      <c r="AT457" s="286"/>
      <c r="AU457" s="286"/>
      <c r="AV457" s="286"/>
      <c r="AW457" s="286"/>
      <c r="AX457" s="286"/>
      <c r="AY457" s="286"/>
      <c r="AZ457" s="286"/>
      <c r="BA457" s="286"/>
      <c r="BB457" s="286"/>
      <c r="BC457" s="286"/>
      <c r="BD457" s="286"/>
      <c r="BE457" s="286"/>
      <c r="BF457" s="286"/>
      <c r="BG457" s="286"/>
      <c r="BH457" s="286"/>
      <c r="BI457" s="286"/>
      <c r="BJ457" s="286"/>
      <c r="BK457" s="286"/>
      <c r="BL457" s="286"/>
      <c r="BM457" s="286"/>
      <c r="BN457" s="286"/>
      <c r="BO457" s="286"/>
      <c r="BP457" s="286"/>
      <c r="BQ457" s="286"/>
      <c r="BR457" s="286"/>
      <c r="BS457" s="286"/>
      <c r="BT457" s="286"/>
      <c r="BU457" s="286"/>
      <c r="BV457" s="286"/>
      <c r="BW457" s="286"/>
      <c r="BX457" s="286"/>
      <c r="BY457" s="286"/>
      <c r="BZ457" s="286"/>
      <c r="CA457" s="286"/>
      <c r="CB457" s="286"/>
      <c r="CC457" s="286"/>
      <c r="CD457" s="286"/>
      <c r="CE457" s="286"/>
      <c r="CF457" s="286"/>
      <c r="CG457" s="286"/>
      <c r="CH457" s="286"/>
      <c r="CI457" s="286"/>
      <c r="CJ457" s="286"/>
      <c r="CK457" s="286"/>
      <c r="CL457" s="286"/>
      <c r="CM457" s="286"/>
      <c r="CN457" s="286"/>
      <c r="CO457" s="286"/>
      <c r="CP457" s="286"/>
      <c r="CQ457" s="286"/>
      <c r="CR457" s="286"/>
      <c r="CS457" s="286"/>
      <c r="CT457" s="286"/>
      <c r="CU457" s="286"/>
      <c r="CV457" s="286"/>
      <c r="CW457" s="286"/>
      <c r="CX457" s="286"/>
      <c r="CY457" s="286"/>
      <c r="CZ457" s="286"/>
      <c r="DA457" s="286"/>
      <c r="DB457" s="286"/>
      <c r="DC457" s="286"/>
      <c r="DD457" s="286"/>
      <c r="DE457" s="286"/>
      <c r="DF457" s="286"/>
      <c r="DG457" s="286"/>
      <c r="DH457" s="286"/>
      <c r="DI457" s="286"/>
      <c r="DJ457" s="286"/>
      <c r="DK457" s="286"/>
      <c r="DL457" s="286"/>
      <c r="DM457" s="286"/>
      <c r="DN457" s="286"/>
      <c r="DO457" s="286"/>
      <c r="DP457" s="286"/>
      <c r="DQ457" s="286"/>
      <c r="DR457" s="286"/>
      <c r="DS457" s="286"/>
      <c r="DT457" s="286"/>
      <c r="DU457" s="286"/>
      <c r="DV457" s="286"/>
      <c r="DW457" s="286"/>
      <c r="DX457" s="286"/>
      <c r="DY457" s="286"/>
      <c r="DZ457" s="286"/>
      <c r="EA457" s="286"/>
      <c r="EB457" s="286"/>
      <c r="EC457" s="286"/>
      <c r="ED457" s="286"/>
      <c r="EE457" s="286"/>
      <c r="EF457" s="286"/>
      <c r="EG457" s="286"/>
      <c r="EH457" s="286"/>
      <c r="EI457" s="286"/>
      <c r="EJ457" s="286"/>
      <c r="EK457" s="286"/>
      <c r="EL457" s="286"/>
      <c r="EM457" s="286"/>
      <c r="EN457" s="286"/>
      <c r="EO457" s="286"/>
      <c r="EP457" s="286"/>
      <c r="EQ457" s="286"/>
      <c r="ER457" s="286"/>
      <c r="ES457" s="286"/>
      <c r="ET457" s="286"/>
      <c r="EU457" s="286"/>
      <c r="EV457" s="286"/>
      <c r="EW457" s="286"/>
      <c r="EX457" s="286"/>
      <c r="EY457" s="286"/>
      <c r="EZ457" s="286"/>
      <c r="FA457" s="286"/>
      <c r="FB457" s="286"/>
      <c r="FC457" s="286"/>
      <c r="FD457" s="286"/>
      <c r="FE457" s="286"/>
      <c r="FF457" s="286"/>
      <c r="FG457" s="286"/>
      <c r="FH457" s="286"/>
      <c r="FI457" s="286"/>
      <c r="FJ457" s="286"/>
      <c r="FK457" s="286"/>
      <c r="FL457" s="286"/>
      <c r="FM457" s="286"/>
      <c r="FN457" s="286"/>
      <c r="FO457" s="286"/>
      <c r="FP457" s="286"/>
      <c r="FQ457" s="286"/>
      <c r="FR457" s="286"/>
      <c r="FS457" s="286"/>
    </row>
    <row r="458" spans="1:175">
      <c r="A458" s="212" t="s">
        <v>3159</v>
      </c>
      <c r="B458" s="212" t="s">
        <v>3160</v>
      </c>
      <c r="C458" s="212" t="s">
        <v>3172</v>
      </c>
      <c r="D458" s="212" t="s">
        <v>3580</v>
      </c>
      <c r="E458" s="212" t="s">
        <v>3629</v>
      </c>
      <c r="F458" s="278">
        <v>31353</v>
      </c>
      <c r="G458" s="278">
        <v>283175</v>
      </c>
      <c r="H458" s="287">
        <f t="shared" si="6"/>
        <v>3.9184250022071154</v>
      </c>
      <c r="I458" s="286">
        <v>1146</v>
      </c>
      <c r="J458" s="286">
        <v>11096</v>
      </c>
      <c r="K458" s="286">
        <v>5079</v>
      </c>
      <c r="L458" s="286">
        <v>5963</v>
      </c>
      <c r="M458" s="286">
        <v>9594</v>
      </c>
      <c r="N458" s="286">
        <v>4162</v>
      </c>
      <c r="O458" s="286">
        <v>5381</v>
      </c>
      <c r="P458" s="286">
        <v>1146</v>
      </c>
      <c r="Q458" s="286">
        <v>11096</v>
      </c>
      <c r="R458" s="286">
        <v>5079</v>
      </c>
      <c r="S458" s="286">
        <v>5963</v>
      </c>
      <c r="T458" s="286">
        <v>9594</v>
      </c>
      <c r="U458" s="286">
        <v>4162</v>
      </c>
      <c r="V458" s="286">
        <v>5381</v>
      </c>
      <c r="W458" s="286"/>
      <c r="X458" s="286"/>
      <c r="Y458" s="286"/>
      <c r="Z458" s="286"/>
      <c r="AA458" s="286"/>
      <c r="AB458" s="286"/>
      <c r="AC458" s="286"/>
      <c r="AD458" s="286"/>
      <c r="AE458" s="286"/>
      <c r="AF458" s="286"/>
      <c r="AG458" s="286"/>
      <c r="AH458" s="286"/>
      <c r="AI458" s="286"/>
      <c r="AJ458" s="286"/>
      <c r="AK458" s="286"/>
      <c r="AL458" s="286"/>
      <c r="AM458" s="286"/>
      <c r="AN458" s="286"/>
      <c r="AO458" s="286"/>
      <c r="AP458" s="286"/>
      <c r="AQ458" s="286"/>
      <c r="AR458" s="286"/>
      <c r="AS458" s="286"/>
      <c r="AT458" s="286"/>
      <c r="AU458" s="286"/>
      <c r="AV458" s="286"/>
      <c r="AW458" s="286"/>
      <c r="AX458" s="286"/>
      <c r="AY458" s="286"/>
      <c r="AZ458" s="286"/>
      <c r="BA458" s="286"/>
      <c r="BB458" s="286"/>
      <c r="BC458" s="286"/>
      <c r="BD458" s="286"/>
      <c r="BE458" s="286"/>
      <c r="BF458" s="286"/>
      <c r="BG458" s="286"/>
      <c r="BH458" s="286"/>
      <c r="BI458" s="286"/>
      <c r="BJ458" s="286"/>
      <c r="BK458" s="286"/>
      <c r="BL458" s="286"/>
      <c r="BM458" s="286"/>
      <c r="BN458" s="286"/>
      <c r="BO458" s="286"/>
      <c r="BP458" s="286"/>
      <c r="BQ458" s="286"/>
      <c r="BR458" s="286"/>
      <c r="BS458" s="286"/>
      <c r="BT458" s="286"/>
      <c r="BU458" s="286"/>
      <c r="BV458" s="286"/>
      <c r="BW458" s="286"/>
      <c r="BX458" s="286"/>
      <c r="BY458" s="286"/>
      <c r="BZ458" s="286"/>
      <c r="CA458" s="286"/>
      <c r="CB458" s="286"/>
      <c r="CC458" s="286"/>
      <c r="CD458" s="286"/>
      <c r="CE458" s="286"/>
      <c r="CF458" s="286"/>
      <c r="CG458" s="286"/>
      <c r="CH458" s="286"/>
      <c r="CI458" s="286"/>
      <c r="CJ458" s="286"/>
      <c r="CK458" s="286"/>
      <c r="CL458" s="286"/>
      <c r="CM458" s="286"/>
      <c r="CN458" s="286"/>
      <c r="CO458" s="286"/>
      <c r="CP458" s="286"/>
      <c r="CQ458" s="286"/>
      <c r="CR458" s="286"/>
      <c r="CS458" s="286"/>
      <c r="CT458" s="286"/>
      <c r="CU458" s="286"/>
      <c r="CV458" s="286"/>
      <c r="CW458" s="286"/>
      <c r="CX458" s="286"/>
      <c r="CY458" s="286"/>
      <c r="CZ458" s="286"/>
      <c r="DA458" s="286"/>
      <c r="DB458" s="286"/>
      <c r="DC458" s="286"/>
      <c r="DD458" s="286"/>
      <c r="DE458" s="286"/>
      <c r="DF458" s="286"/>
      <c r="DG458" s="286"/>
      <c r="DH458" s="286"/>
      <c r="DI458" s="286"/>
      <c r="DJ458" s="286"/>
      <c r="DK458" s="286"/>
      <c r="DL458" s="286"/>
      <c r="DM458" s="286"/>
      <c r="DN458" s="286"/>
      <c r="DO458" s="286"/>
      <c r="DP458" s="286"/>
      <c r="DQ458" s="286"/>
      <c r="DR458" s="286"/>
      <c r="DS458" s="286"/>
      <c r="DT458" s="286"/>
      <c r="DU458" s="286"/>
      <c r="DV458" s="286"/>
      <c r="DW458" s="286"/>
      <c r="DX458" s="286"/>
      <c r="DY458" s="286"/>
      <c r="DZ458" s="286"/>
      <c r="EA458" s="286"/>
      <c r="EB458" s="286"/>
      <c r="EC458" s="286"/>
      <c r="ED458" s="286"/>
      <c r="EE458" s="286"/>
      <c r="EF458" s="286"/>
      <c r="EG458" s="286"/>
      <c r="EH458" s="286"/>
      <c r="EI458" s="286"/>
      <c r="EJ458" s="286"/>
      <c r="EK458" s="286"/>
      <c r="EL458" s="286"/>
      <c r="EM458" s="286"/>
      <c r="EN458" s="286"/>
      <c r="EO458" s="286"/>
      <c r="EP458" s="286"/>
      <c r="EQ458" s="286"/>
      <c r="ER458" s="286"/>
      <c r="ES458" s="286"/>
      <c r="ET458" s="286"/>
      <c r="EU458" s="286"/>
      <c r="EV458" s="286"/>
      <c r="EW458" s="286"/>
      <c r="EX458" s="286"/>
      <c r="EY458" s="286"/>
      <c r="EZ458" s="286"/>
      <c r="FA458" s="286"/>
      <c r="FB458" s="286"/>
      <c r="FC458" s="286"/>
      <c r="FD458" s="286"/>
      <c r="FE458" s="286"/>
      <c r="FF458" s="286"/>
      <c r="FG458" s="286"/>
      <c r="FH458" s="286"/>
      <c r="FI458" s="286"/>
      <c r="FJ458" s="286"/>
      <c r="FK458" s="286"/>
      <c r="FL458" s="286"/>
      <c r="FM458" s="286"/>
      <c r="FN458" s="286"/>
      <c r="FO458" s="286"/>
      <c r="FP458" s="286"/>
      <c r="FQ458" s="286"/>
      <c r="FR458" s="286"/>
      <c r="FS458" s="286"/>
    </row>
    <row r="459" spans="1:175">
      <c r="A459" s="212" t="s">
        <v>3159</v>
      </c>
      <c r="B459" s="212" t="s">
        <v>3160</v>
      </c>
      <c r="C459" s="212" t="s">
        <v>3172</v>
      </c>
      <c r="D459" s="212" t="s">
        <v>3580</v>
      </c>
      <c r="E459" s="212" t="s">
        <v>3630</v>
      </c>
      <c r="F459" s="278">
        <v>2852</v>
      </c>
      <c r="G459" s="278">
        <v>34451</v>
      </c>
      <c r="H459" s="287">
        <f t="shared" ref="H459:H522" si="7">J459/G459*100</f>
        <v>4.0172999332385126</v>
      </c>
      <c r="I459" s="286">
        <v>120</v>
      </c>
      <c r="J459" s="286">
        <v>1384</v>
      </c>
      <c r="K459" s="286">
        <v>1167</v>
      </c>
      <c r="L459" s="286">
        <v>217</v>
      </c>
      <c r="M459" s="286">
        <v>1274</v>
      </c>
      <c r="N459" s="286">
        <v>1090</v>
      </c>
      <c r="O459" s="286">
        <v>184</v>
      </c>
      <c r="P459" s="286">
        <v>120</v>
      </c>
      <c r="Q459" s="286">
        <v>1384</v>
      </c>
      <c r="R459" s="286">
        <v>1167</v>
      </c>
      <c r="S459" s="286">
        <v>217</v>
      </c>
      <c r="T459" s="286">
        <v>1274</v>
      </c>
      <c r="U459" s="286">
        <v>1090</v>
      </c>
      <c r="V459" s="286">
        <v>184</v>
      </c>
      <c r="W459" s="286"/>
      <c r="X459" s="286"/>
      <c r="Y459" s="286"/>
      <c r="Z459" s="286"/>
      <c r="AA459" s="286"/>
      <c r="AB459" s="286"/>
      <c r="AC459" s="286"/>
      <c r="AD459" s="286"/>
      <c r="AE459" s="286"/>
      <c r="AF459" s="286"/>
      <c r="AG459" s="286"/>
      <c r="AH459" s="286"/>
      <c r="AI459" s="286"/>
      <c r="AJ459" s="286"/>
      <c r="AK459" s="286"/>
      <c r="AL459" s="286"/>
      <c r="AM459" s="286"/>
      <c r="AN459" s="286"/>
      <c r="AO459" s="286"/>
      <c r="AP459" s="286"/>
      <c r="AQ459" s="286"/>
      <c r="AR459" s="286"/>
      <c r="AS459" s="286"/>
      <c r="AT459" s="286"/>
      <c r="AU459" s="286"/>
      <c r="AV459" s="286"/>
      <c r="AW459" s="286"/>
      <c r="AX459" s="286"/>
      <c r="AY459" s="286"/>
      <c r="AZ459" s="286"/>
      <c r="BA459" s="286"/>
      <c r="BB459" s="286"/>
      <c r="BC459" s="286"/>
      <c r="BD459" s="286"/>
      <c r="BE459" s="286"/>
      <c r="BF459" s="286"/>
      <c r="BG459" s="286"/>
      <c r="BH459" s="286"/>
      <c r="BI459" s="286"/>
      <c r="BJ459" s="286"/>
      <c r="BK459" s="286"/>
      <c r="BL459" s="286"/>
      <c r="BM459" s="286"/>
      <c r="BN459" s="286"/>
      <c r="BO459" s="286"/>
      <c r="BP459" s="286"/>
      <c r="BQ459" s="286"/>
      <c r="BR459" s="286"/>
      <c r="BS459" s="286"/>
      <c r="BT459" s="286"/>
      <c r="BU459" s="286"/>
      <c r="BV459" s="286"/>
      <c r="BW459" s="286"/>
      <c r="BX459" s="286"/>
      <c r="BY459" s="286"/>
      <c r="BZ459" s="286"/>
      <c r="CA459" s="286"/>
      <c r="CB459" s="286"/>
      <c r="CC459" s="286"/>
      <c r="CD459" s="286"/>
      <c r="CE459" s="286"/>
      <c r="CF459" s="286"/>
      <c r="CG459" s="286"/>
      <c r="CH459" s="286"/>
      <c r="CI459" s="286"/>
      <c r="CJ459" s="286"/>
      <c r="CK459" s="286"/>
      <c r="CL459" s="286"/>
      <c r="CM459" s="286"/>
      <c r="CN459" s="286"/>
      <c r="CO459" s="286"/>
      <c r="CP459" s="286"/>
      <c r="CQ459" s="286"/>
      <c r="CR459" s="286"/>
      <c r="CS459" s="286"/>
      <c r="CT459" s="286"/>
      <c r="CU459" s="286"/>
      <c r="CV459" s="286"/>
      <c r="CW459" s="286"/>
      <c r="CX459" s="286"/>
      <c r="CY459" s="286"/>
      <c r="CZ459" s="286"/>
      <c r="DA459" s="286"/>
      <c r="DB459" s="286"/>
      <c r="DC459" s="286"/>
      <c r="DD459" s="286"/>
      <c r="DE459" s="286"/>
      <c r="DF459" s="286"/>
      <c r="DG459" s="286"/>
      <c r="DH459" s="286"/>
      <c r="DI459" s="286"/>
      <c r="DJ459" s="286"/>
      <c r="DK459" s="286"/>
      <c r="DL459" s="286"/>
      <c r="DM459" s="286"/>
      <c r="DN459" s="286"/>
      <c r="DO459" s="286"/>
      <c r="DP459" s="286"/>
      <c r="DQ459" s="286"/>
      <c r="DR459" s="286"/>
      <c r="DS459" s="286"/>
      <c r="DT459" s="286"/>
      <c r="DU459" s="286"/>
      <c r="DV459" s="286"/>
      <c r="DW459" s="286"/>
      <c r="DX459" s="286"/>
      <c r="DY459" s="286"/>
      <c r="DZ459" s="286"/>
      <c r="EA459" s="286"/>
      <c r="EB459" s="286"/>
      <c r="EC459" s="286"/>
      <c r="ED459" s="286"/>
      <c r="EE459" s="286"/>
      <c r="EF459" s="286"/>
      <c r="EG459" s="286"/>
      <c r="EH459" s="286"/>
      <c r="EI459" s="286"/>
      <c r="EJ459" s="286"/>
      <c r="EK459" s="286"/>
      <c r="EL459" s="286"/>
      <c r="EM459" s="286"/>
      <c r="EN459" s="286"/>
      <c r="EO459" s="286"/>
      <c r="EP459" s="286"/>
      <c r="EQ459" s="286"/>
      <c r="ER459" s="286"/>
      <c r="ES459" s="286"/>
      <c r="ET459" s="286"/>
      <c r="EU459" s="286"/>
      <c r="EV459" s="286"/>
      <c r="EW459" s="286"/>
      <c r="EX459" s="286"/>
      <c r="EY459" s="286"/>
      <c r="EZ459" s="286"/>
      <c r="FA459" s="286"/>
      <c r="FB459" s="286"/>
      <c r="FC459" s="286"/>
      <c r="FD459" s="286"/>
      <c r="FE459" s="286"/>
      <c r="FF459" s="286"/>
      <c r="FG459" s="286"/>
      <c r="FH459" s="286"/>
      <c r="FI459" s="286"/>
      <c r="FJ459" s="286"/>
      <c r="FK459" s="286"/>
      <c r="FL459" s="286"/>
      <c r="FM459" s="286"/>
      <c r="FN459" s="286"/>
      <c r="FO459" s="286"/>
      <c r="FP459" s="286"/>
      <c r="FQ459" s="286"/>
      <c r="FR459" s="286"/>
      <c r="FS459" s="286"/>
    </row>
    <row r="460" spans="1:175">
      <c r="A460" s="212" t="s">
        <v>3159</v>
      </c>
      <c r="B460" s="212" t="s">
        <v>3160</v>
      </c>
      <c r="C460" s="212" t="s">
        <v>3172</v>
      </c>
      <c r="D460" s="212" t="s">
        <v>3580</v>
      </c>
      <c r="E460" s="212" t="s">
        <v>3631</v>
      </c>
      <c r="F460" s="278">
        <v>8164</v>
      </c>
      <c r="G460" s="278">
        <v>70846</v>
      </c>
      <c r="H460" s="287">
        <f t="shared" si="7"/>
        <v>2.6437625271716119</v>
      </c>
      <c r="I460" s="286">
        <v>311</v>
      </c>
      <c r="J460" s="286">
        <v>1873</v>
      </c>
      <c r="K460" s="286">
        <v>1132</v>
      </c>
      <c r="L460" s="286">
        <v>735</v>
      </c>
      <c r="M460" s="286">
        <v>1490</v>
      </c>
      <c r="N460" s="286">
        <v>891</v>
      </c>
      <c r="O460" s="286">
        <v>593</v>
      </c>
      <c r="P460" s="286">
        <v>311</v>
      </c>
      <c r="Q460" s="286">
        <v>1873</v>
      </c>
      <c r="R460" s="286">
        <v>1132</v>
      </c>
      <c r="S460" s="286">
        <v>735</v>
      </c>
      <c r="T460" s="286">
        <v>1490</v>
      </c>
      <c r="U460" s="286">
        <v>891</v>
      </c>
      <c r="V460" s="286">
        <v>593</v>
      </c>
      <c r="W460" s="286"/>
      <c r="X460" s="286"/>
      <c r="Y460" s="286"/>
      <c r="Z460" s="286"/>
      <c r="AA460" s="286"/>
      <c r="AB460" s="286"/>
      <c r="AC460" s="286"/>
      <c r="AD460" s="286"/>
      <c r="AE460" s="286"/>
      <c r="AF460" s="286"/>
      <c r="AG460" s="286"/>
      <c r="AH460" s="286"/>
      <c r="AI460" s="286"/>
      <c r="AJ460" s="286"/>
      <c r="AK460" s="286"/>
      <c r="AL460" s="286"/>
      <c r="AM460" s="286"/>
      <c r="AN460" s="286"/>
      <c r="AO460" s="286"/>
      <c r="AP460" s="286"/>
      <c r="AQ460" s="286"/>
      <c r="AR460" s="286"/>
      <c r="AS460" s="286"/>
      <c r="AT460" s="286"/>
      <c r="AU460" s="286"/>
      <c r="AV460" s="286"/>
      <c r="AW460" s="286"/>
      <c r="AX460" s="286"/>
      <c r="AY460" s="286"/>
      <c r="AZ460" s="286"/>
      <c r="BA460" s="286"/>
      <c r="BB460" s="286"/>
      <c r="BC460" s="286"/>
      <c r="BD460" s="286"/>
      <c r="BE460" s="286"/>
      <c r="BF460" s="286"/>
      <c r="BG460" s="286"/>
      <c r="BH460" s="286"/>
      <c r="BI460" s="286"/>
      <c r="BJ460" s="286"/>
      <c r="BK460" s="286"/>
      <c r="BL460" s="286"/>
      <c r="BM460" s="286"/>
      <c r="BN460" s="286"/>
      <c r="BO460" s="286"/>
      <c r="BP460" s="286"/>
      <c r="BQ460" s="286"/>
      <c r="BR460" s="286"/>
      <c r="BS460" s="286"/>
      <c r="BT460" s="286"/>
      <c r="BU460" s="286"/>
      <c r="BV460" s="286"/>
      <c r="BW460" s="286"/>
      <c r="BX460" s="286"/>
      <c r="BY460" s="286"/>
      <c r="BZ460" s="286"/>
      <c r="CA460" s="286"/>
      <c r="CB460" s="286"/>
      <c r="CC460" s="286"/>
      <c r="CD460" s="286"/>
      <c r="CE460" s="286"/>
      <c r="CF460" s="286"/>
      <c r="CG460" s="286"/>
      <c r="CH460" s="286"/>
      <c r="CI460" s="286"/>
      <c r="CJ460" s="286"/>
      <c r="CK460" s="286"/>
      <c r="CL460" s="286"/>
      <c r="CM460" s="286"/>
      <c r="CN460" s="286"/>
      <c r="CO460" s="286"/>
      <c r="CP460" s="286"/>
      <c r="CQ460" s="286"/>
      <c r="CR460" s="286"/>
      <c r="CS460" s="286"/>
      <c r="CT460" s="286"/>
      <c r="CU460" s="286"/>
      <c r="CV460" s="286"/>
      <c r="CW460" s="286"/>
      <c r="CX460" s="286"/>
      <c r="CY460" s="286"/>
      <c r="CZ460" s="286"/>
      <c r="DA460" s="286"/>
      <c r="DB460" s="286"/>
      <c r="DC460" s="286"/>
      <c r="DD460" s="286"/>
      <c r="DE460" s="286"/>
      <c r="DF460" s="286"/>
      <c r="DG460" s="286"/>
      <c r="DH460" s="286"/>
      <c r="DI460" s="286"/>
      <c r="DJ460" s="286"/>
      <c r="DK460" s="286"/>
      <c r="DL460" s="286"/>
      <c r="DM460" s="286"/>
      <c r="DN460" s="286"/>
      <c r="DO460" s="286"/>
      <c r="DP460" s="286"/>
      <c r="DQ460" s="286"/>
      <c r="DR460" s="286"/>
      <c r="DS460" s="286"/>
      <c r="DT460" s="286"/>
      <c r="DU460" s="286"/>
      <c r="DV460" s="286"/>
      <c r="DW460" s="286"/>
      <c r="DX460" s="286"/>
      <c r="DY460" s="286"/>
      <c r="DZ460" s="286"/>
      <c r="EA460" s="286"/>
      <c r="EB460" s="286"/>
      <c r="EC460" s="286"/>
      <c r="ED460" s="286"/>
      <c r="EE460" s="286"/>
      <c r="EF460" s="286"/>
      <c r="EG460" s="286"/>
      <c r="EH460" s="286"/>
      <c r="EI460" s="286"/>
      <c r="EJ460" s="286"/>
      <c r="EK460" s="286"/>
      <c r="EL460" s="286"/>
      <c r="EM460" s="286"/>
      <c r="EN460" s="286"/>
      <c r="EO460" s="286"/>
      <c r="EP460" s="286"/>
      <c r="EQ460" s="286"/>
      <c r="ER460" s="286"/>
      <c r="ES460" s="286"/>
      <c r="ET460" s="286"/>
      <c r="EU460" s="286"/>
      <c r="EV460" s="286"/>
      <c r="EW460" s="286"/>
      <c r="EX460" s="286"/>
      <c r="EY460" s="286"/>
      <c r="EZ460" s="286"/>
      <c r="FA460" s="286"/>
      <c r="FB460" s="286"/>
      <c r="FC460" s="286"/>
      <c r="FD460" s="286"/>
      <c r="FE460" s="286"/>
      <c r="FF460" s="286"/>
      <c r="FG460" s="286"/>
      <c r="FH460" s="286"/>
      <c r="FI460" s="286"/>
      <c r="FJ460" s="286"/>
      <c r="FK460" s="286"/>
      <c r="FL460" s="286"/>
      <c r="FM460" s="286"/>
      <c r="FN460" s="286"/>
      <c r="FO460" s="286"/>
      <c r="FP460" s="286"/>
      <c r="FQ460" s="286"/>
      <c r="FR460" s="286"/>
      <c r="FS460" s="286"/>
    </row>
    <row r="461" spans="1:175">
      <c r="A461" s="212" t="s">
        <v>3159</v>
      </c>
      <c r="B461" s="212" t="s">
        <v>3160</v>
      </c>
      <c r="C461" s="212" t="s">
        <v>3168</v>
      </c>
      <c r="D461" s="212" t="s">
        <v>3632</v>
      </c>
      <c r="E461" s="212" t="s">
        <v>3633</v>
      </c>
      <c r="F461" s="278">
        <v>83871</v>
      </c>
      <c r="G461" s="278">
        <v>1494577</v>
      </c>
      <c r="H461" s="287">
        <f t="shared" si="7"/>
        <v>2.7953728713876904</v>
      </c>
      <c r="I461" s="286">
        <v>2993</v>
      </c>
      <c r="J461" s="286">
        <v>41779</v>
      </c>
      <c r="K461" s="286">
        <v>16664</v>
      </c>
      <c r="L461" s="286">
        <v>24844</v>
      </c>
      <c r="M461" s="286">
        <v>39869</v>
      </c>
      <c r="N461" s="286">
        <v>15280</v>
      </c>
      <c r="O461" s="286">
        <v>24318</v>
      </c>
      <c r="P461" s="286">
        <v>2992</v>
      </c>
      <c r="Q461" s="286">
        <v>41775</v>
      </c>
      <c r="R461" s="286">
        <v>16660</v>
      </c>
      <c r="S461" s="286">
        <v>24844</v>
      </c>
      <c r="T461" s="286">
        <v>39865</v>
      </c>
      <c r="U461" s="286">
        <v>15276</v>
      </c>
      <c r="V461" s="286">
        <v>24318</v>
      </c>
      <c r="W461" s="286"/>
      <c r="X461" s="286"/>
      <c r="Y461" s="286"/>
      <c r="Z461" s="286"/>
      <c r="AA461" s="286"/>
      <c r="AB461" s="286"/>
      <c r="AC461" s="286"/>
      <c r="AD461" s="286"/>
      <c r="AE461" s="286"/>
      <c r="AF461" s="286"/>
      <c r="AG461" s="286"/>
      <c r="AH461" s="286"/>
      <c r="AI461" s="286"/>
      <c r="AJ461" s="286"/>
      <c r="AK461" s="286"/>
      <c r="AL461" s="286"/>
      <c r="AM461" s="286"/>
      <c r="AN461" s="286"/>
      <c r="AO461" s="286"/>
      <c r="AP461" s="286"/>
      <c r="AQ461" s="286"/>
      <c r="AR461" s="286"/>
      <c r="AS461" s="286"/>
      <c r="AT461" s="286"/>
      <c r="AU461" s="286"/>
      <c r="AV461" s="286"/>
      <c r="AW461" s="286"/>
      <c r="AX461" s="286"/>
      <c r="AY461" s="286"/>
      <c r="AZ461" s="286"/>
      <c r="BA461" s="286"/>
      <c r="BB461" s="286"/>
      <c r="BC461" s="286"/>
      <c r="BD461" s="286"/>
      <c r="BE461" s="286"/>
      <c r="BF461" s="286"/>
      <c r="BG461" s="286"/>
      <c r="BH461" s="286"/>
      <c r="BI461" s="286"/>
      <c r="BJ461" s="286"/>
      <c r="BK461" s="286"/>
      <c r="BL461" s="286"/>
      <c r="BM461" s="286"/>
      <c r="BN461" s="286"/>
      <c r="BO461" s="286"/>
      <c r="BP461" s="286"/>
      <c r="BQ461" s="286"/>
      <c r="BR461" s="286"/>
      <c r="BS461" s="286"/>
      <c r="BT461" s="286"/>
      <c r="BU461" s="286"/>
      <c r="BV461" s="286"/>
      <c r="BW461" s="286"/>
      <c r="BX461" s="286"/>
      <c r="BY461" s="286"/>
      <c r="BZ461" s="286"/>
      <c r="CA461" s="286"/>
      <c r="CB461" s="286"/>
      <c r="CC461" s="286"/>
      <c r="CD461" s="286"/>
      <c r="CE461" s="286"/>
      <c r="CF461" s="286"/>
      <c r="CG461" s="286"/>
      <c r="CH461" s="286"/>
      <c r="CI461" s="286"/>
      <c r="CJ461" s="286"/>
      <c r="CK461" s="286"/>
      <c r="CL461" s="286"/>
      <c r="CM461" s="286"/>
      <c r="CN461" s="286"/>
      <c r="CO461" s="286"/>
      <c r="CP461" s="286"/>
      <c r="CQ461" s="286"/>
      <c r="CR461" s="286"/>
      <c r="CS461" s="286"/>
      <c r="CT461" s="286"/>
      <c r="CU461" s="286"/>
      <c r="CV461" s="286"/>
      <c r="CW461" s="286"/>
      <c r="CX461" s="286"/>
      <c r="CY461" s="286"/>
      <c r="CZ461" s="286"/>
      <c r="DA461" s="286"/>
      <c r="DB461" s="286"/>
      <c r="DC461" s="286"/>
      <c r="DD461" s="286"/>
      <c r="DE461" s="286"/>
      <c r="DF461" s="286"/>
      <c r="DG461" s="286"/>
      <c r="DH461" s="286"/>
      <c r="DI461" s="286"/>
      <c r="DJ461" s="286"/>
      <c r="DK461" s="286"/>
      <c r="DL461" s="286"/>
      <c r="DM461" s="286"/>
      <c r="DN461" s="286"/>
      <c r="DO461" s="286"/>
      <c r="DP461" s="286"/>
      <c r="DQ461" s="286"/>
      <c r="DR461" s="286"/>
      <c r="DS461" s="286"/>
      <c r="DT461" s="286"/>
      <c r="DU461" s="286"/>
      <c r="DV461" s="286"/>
      <c r="DW461" s="286"/>
      <c r="DX461" s="286"/>
      <c r="DY461" s="286"/>
      <c r="DZ461" s="286"/>
      <c r="EA461" s="286"/>
      <c r="EB461" s="286"/>
      <c r="EC461" s="286"/>
      <c r="ED461" s="286"/>
      <c r="EE461" s="286"/>
      <c r="EF461" s="286"/>
      <c r="EG461" s="286"/>
      <c r="EH461" s="286"/>
      <c r="EI461" s="286"/>
      <c r="EJ461" s="286"/>
      <c r="EK461" s="286"/>
      <c r="EL461" s="286"/>
      <c r="EM461" s="286"/>
      <c r="EN461" s="286"/>
      <c r="EO461" s="286"/>
      <c r="EP461" s="286"/>
      <c r="EQ461" s="286"/>
      <c r="ER461" s="286"/>
      <c r="ES461" s="286"/>
      <c r="ET461" s="286"/>
      <c r="EU461" s="286"/>
      <c r="EV461" s="286"/>
      <c r="EW461" s="286"/>
      <c r="EX461" s="286"/>
      <c r="EY461" s="286"/>
      <c r="EZ461" s="286"/>
      <c r="FA461" s="286"/>
      <c r="FB461" s="286"/>
      <c r="FC461" s="286"/>
      <c r="FD461" s="286"/>
      <c r="FE461" s="286"/>
      <c r="FF461" s="286"/>
      <c r="FG461" s="286"/>
      <c r="FH461" s="286"/>
      <c r="FI461" s="286"/>
      <c r="FJ461" s="286"/>
      <c r="FK461" s="286"/>
      <c r="FL461" s="286"/>
      <c r="FM461" s="286"/>
      <c r="FN461" s="286"/>
      <c r="FO461" s="286"/>
      <c r="FP461" s="286"/>
      <c r="FQ461" s="286"/>
      <c r="FR461" s="286"/>
      <c r="FS461" s="286"/>
    </row>
    <row r="462" spans="1:175">
      <c r="A462" s="212" t="s">
        <v>3159</v>
      </c>
      <c r="B462" s="212" t="s">
        <v>3160</v>
      </c>
      <c r="C462" s="212" t="s">
        <v>3170</v>
      </c>
      <c r="D462" s="212" t="s">
        <v>3632</v>
      </c>
      <c r="E462" s="212" t="s">
        <v>3634</v>
      </c>
      <c r="F462" s="278">
        <v>14108</v>
      </c>
      <c r="G462" s="278">
        <v>396352</v>
      </c>
      <c r="H462" s="287">
        <f t="shared" si="7"/>
        <v>2.7011343452284837</v>
      </c>
      <c r="I462" s="286">
        <v>500</v>
      </c>
      <c r="J462" s="286">
        <v>10706</v>
      </c>
      <c r="K462" s="286">
        <v>3866</v>
      </c>
      <c r="L462" s="286">
        <v>6838</v>
      </c>
      <c r="M462" s="286">
        <v>10654</v>
      </c>
      <c r="N462" s="286">
        <v>3814</v>
      </c>
      <c r="O462" s="286">
        <v>6838</v>
      </c>
      <c r="P462" s="286">
        <v>500</v>
      </c>
      <c r="Q462" s="286">
        <v>10706</v>
      </c>
      <c r="R462" s="286">
        <v>3866</v>
      </c>
      <c r="S462" s="286">
        <v>6838</v>
      </c>
      <c r="T462" s="286">
        <v>10654</v>
      </c>
      <c r="U462" s="286">
        <v>3814</v>
      </c>
      <c r="V462" s="286">
        <v>6838</v>
      </c>
      <c r="W462" s="286"/>
      <c r="X462" s="286"/>
      <c r="Y462" s="286"/>
      <c r="Z462" s="286"/>
      <c r="AA462" s="286"/>
      <c r="AB462" s="286"/>
      <c r="AC462" s="286"/>
      <c r="AD462" s="286"/>
      <c r="AE462" s="286"/>
      <c r="AF462" s="286"/>
      <c r="AG462" s="286"/>
      <c r="AH462" s="286"/>
      <c r="AI462" s="286"/>
      <c r="AJ462" s="286"/>
      <c r="AK462" s="286"/>
      <c r="AL462" s="286"/>
      <c r="AM462" s="286"/>
      <c r="AN462" s="286"/>
      <c r="AO462" s="286"/>
      <c r="AP462" s="286"/>
      <c r="AQ462" s="286"/>
      <c r="AR462" s="286"/>
      <c r="AS462" s="286"/>
      <c r="AT462" s="286"/>
      <c r="AU462" s="286"/>
      <c r="AV462" s="286"/>
      <c r="AW462" s="286"/>
      <c r="AX462" s="286"/>
      <c r="AY462" s="286"/>
      <c r="AZ462" s="286"/>
      <c r="BA462" s="286"/>
      <c r="BB462" s="286"/>
      <c r="BC462" s="286"/>
      <c r="BD462" s="286"/>
      <c r="BE462" s="286"/>
      <c r="BF462" s="286"/>
      <c r="BG462" s="286"/>
      <c r="BH462" s="286"/>
      <c r="BI462" s="286"/>
      <c r="BJ462" s="286"/>
      <c r="BK462" s="286"/>
      <c r="BL462" s="286"/>
      <c r="BM462" s="286"/>
      <c r="BN462" s="286"/>
      <c r="BO462" s="286"/>
      <c r="BP462" s="286"/>
      <c r="BQ462" s="286"/>
      <c r="BR462" s="286"/>
      <c r="BS462" s="286"/>
      <c r="BT462" s="286"/>
      <c r="BU462" s="286"/>
      <c r="BV462" s="286"/>
      <c r="BW462" s="286"/>
      <c r="BX462" s="286"/>
      <c r="BY462" s="286"/>
      <c r="BZ462" s="286"/>
      <c r="CA462" s="286"/>
      <c r="CB462" s="286"/>
      <c r="CC462" s="286"/>
      <c r="CD462" s="286"/>
      <c r="CE462" s="286"/>
      <c r="CF462" s="286"/>
      <c r="CG462" s="286"/>
      <c r="CH462" s="286"/>
      <c r="CI462" s="286"/>
      <c r="CJ462" s="286"/>
      <c r="CK462" s="286"/>
      <c r="CL462" s="286"/>
      <c r="CM462" s="286"/>
      <c r="CN462" s="286"/>
      <c r="CO462" s="286"/>
      <c r="CP462" s="286"/>
      <c r="CQ462" s="286"/>
      <c r="CR462" s="286"/>
      <c r="CS462" s="286"/>
      <c r="CT462" s="286"/>
      <c r="CU462" s="286"/>
      <c r="CV462" s="286"/>
      <c r="CW462" s="286"/>
      <c r="CX462" s="286"/>
      <c r="CY462" s="286"/>
      <c r="CZ462" s="286"/>
      <c r="DA462" s="286"/>
      <c r="DB462" s="286"/>
      <c r="DC462" s="286"/>
      <c r="DD462" s="286"/>
      <c r="DE462" s="286"/>
      <c r="DF462" s="286"/>
      <c r="DG462" s="286"/>
      <c r="DH462" s="286"/>
      <c r="DI462" s="286"/>
      <c r="DJ462" s="286"/>
      <c r="DK462" s="286"/>
      <c r="DL462" s="286"/>
      <c r="DM462" s="286"/>
      <c r="DN462" s="286"/>
      <c r="DO462" s="286"/>
      <c r="DP462" s="286"/>
      <c r="DQ462" s="286"/>
      <c r="DR462" s="286"/>
      <c r="DS462" s="286"/>
      <c r="DT462" s="286"/>
      <c r="DU462" s="286"/>
      <c r="DV462" s="286"/>
      <c r="DW462" s="286"/>
      <c r="DX462" s="286"/>
      <c r="DY462" s="286"/>
      <c r="DZ462" s="286"/>
      <c r="EA462" s="286"/>
      <c r="EB462" s="286"/>
      <c r="EC462" s="286"/>
      <c r="ED462" s="286"/>
      <c r="EE462" s="286"/>
      <c r="EF462" s="286"/>
      <c r="EG462" s="286"/>
      <c r="EH462" s="286"/>
      <c r="EI462" s="286"/>
      <c r="EJ462" s="286"/>
      <c r="EK462" s="286"/>
      <c r="EL462" s="286"/>
      <c r="EM462" s="286"/>
      <c r="EN462" s="286"/>
      <c r="EO462" s="286"/>
      <c r="EP462" s="286"/>
      <c r="EQ462" s="286"/>
      <c r="ER462" s="286"/>
      <c r="ES462" s="286"/>
      <c r="ET462" s="286"/>
      <c r="EU462" s="286"/>
      <c r="EV462" s="286"/>
      <c r="EW462" s="286"/>
      <c r="EX462" s="286"/>
      <c r="EY462" s="286"/>
      <c r="EZ462" s="286"/>
      <c r="FA462" s="286"/>
      <c r="FB462" s="286"/>
      <c r="FC462" s="286"/>
      <c r="FD462" s="286"/>
      <c r="FE462" s="286"/>
      <c r="FF462" s="286"/>
      <c r="FG462" s="286"/>
      <c r="FH462" s="286"/>
      <c r="FI462" s="286"/>
      <c r="FJ462" s="286"/>
      <c r="FK462" s="286"/>
      <c r="FL462" s="286"/>
      <c r="FM462" s="286"/>
      <c r="FN462" s="286"/>
      <c r="FO462" s="286"/>
      <c r="FP462" s="286"/>
      <c r="FQ462" s="286"/>
      <c r="FR462" s="286"/>
      <c r="FS462" s="286"/>
    </row>
    <row r="463" spans="1:175">
      <c r="A463" s="212" t="s">
        <v>3159</v>
      </c>
      <c r="B463" s="212" t="s">
        <v>3160</v>
      </c>
      <c r="C463" s="212" t="s">
        <v>3172</v>
      </c>
      <c r="D463" s="212" t="s">
        <v>3632</v>
      </c>
      <c r="E463" s="212" t="s">
        <v>3635</v>
      </c>
      <c r="F463" s="278">
        <v>101</v>
      </c>
      <c r="G463" s="278">
        <v>8513</v>
      </c>
      <c r="H463" s="287">
        <f t="shared" si="7"/>
        <v>0.74004463761306238</v>
      </c>
      <c r="I463" s="286">
        <v>2</v>
      </c>
      <c r="J463" s="286">
        <v>63</v>
      </c>
      <c r="K463" s="286">
        <v>32</v>
      </c>
      <c r="L463" s="286">
        <v>31</v>
      </c>
      <c r="M463" s="286">
        <v>63</v>
      </c>
      <c r="N463" s="286">
        <v>32</v>
      </c>
      <c r="O463" s="286">
        <v>31</v>
      </c>
      <c r="P463" s="286">
        <v>2</v>
      </c>
      <c r="Q463" s="286">
        <v>63</v>
      </c>
      <c r="R463" s="286">
        <v>32</v>
      </c>
      <c r="S463" s="286">
        <v>31</v>
      </c>
      <c r="T463" s="286">
        <v>63</v>
      </c>
      <c r="U463" s="286">
        <v>32</v>
      </c>
      <c r="V463" s="286">
        <v>31</v>
      </c>
      <c r="W463" s="286"/>
      <c r="X463" s="286"/>
      <c r="Y463" s="286"/>
      <c r="Z463" s="286"/>
      <c r="AA463" s="286"/>
      <c r="AB463" s="286"/>
      <c r="AC463" s="286"/>
      <c r="AD463" s="286"/>
      <c r="AE463" s="286"/>
      <c r="AF463" s="286"/>
      <c r="AG463" s="286"/>
      <c r="AH463" s="286"/>
      <c r="AI463" s="286"/>
      <c r="AJ463" s="286"/>
      <c r="AK463" s="286"/>
      <c r="AL463" s="286"/>
      <c r="AM463" s="286"/>
      <c r="AN463" s="286"/>
      <c r="AO463" s="286"/>
      <c r="AP463" s="286"/>
      <c r="AQ463" s="286"/>
      <c r="AR463" s="286"/>
      <c r="AS463" s="286"/>
      <c r="AT463" s="286"/>
      <c r="AU463" s="286"/>
      <c r="AV463" s="286"/>
      <c r="AW463" s="286"/>
      <c r="AX463" s="286"/>
      <c r="AY463" s="286"/>
      <c r="AZ463" s="286"/>
      <c r="BA463" s="286"/>
      <c r="BB463" s="286"/>
      <c r="BC463" s="286"/>
      <c r="BD463" s="286"/>
      <c r="BE463" s="286"/>
      <c r="BF463" s="286"/>
      <c r="BG463" s="286"/>
      <c r="BH463" s="286"/>
      <c r="BI463" s="286"/>
      <c r="BJ463" s="286"/>
      <c r="BK463" s="286"/>
      <c r="BL463" s="286"/>
      <c r="BM463" s="286"/>
      <c r="BN463" s="286"/>
      <c r="BO463" s="286"/>
      <c r="BP463" s="286"/>
      <c r="BQ463" s="286"/>
      <c r="BR463" s="286"/>
      <c r="BS463" s="286"/>
      <c r="BT463" s="286"/>
      <c r="BU463" s="286"/>
      <c r="BV463" s="286"/>
      <c r="BW463" s="286"/>
      <c r="BX463" s="286"/>
      <c r="BY463" s="286"/>
      <c r="BZ463" s="286"/>
      <c r="CA463" s="286"/>
      <c r="CB463" s="286"/>
      <c r="CC463" s="286"/>
      <c r="CD463" s="286"/>
      <c r="CE463" s="286"/>
      <c r="CF463" s="286"/>
      <c r="CG463" s="286"/>
      <c r="CH463" s="286"/>
      <c r="CI463" s="286"/>
      <c r="CJ463" s="286"/>
      <c r="CK463" s="286"/>
      <c r="CL463" s="286"/>
      <c r="CM463" s="286"/>
      <c r="CN463" s="286"/>
      <c r="CO463" s="286"/>
      <c r="CP463" s="286"/>
      <c r="CQ463" s="286"/>
      <c r="CR463" s="286"/>
      <c r="CS463" s="286"/>
      <c r="CT463" s="286"/>
      <c r="CU463" s="286"/>
      <c r="CV463" s="286"/>
      <c r="CW463" s="286"/>
      <c r="CX463" s="286"/>
      <c r="CY463" s="286"/>
      <c r="CZ463" s="286"/>
      <c r="DA463" s="286"/>
      <c r="DB463" s="286"/>
      <c r="DC463" s="286"/>
      <c r="DD463" s="286"/>
      <c r="DE463" s="286"/>
      <c r="DF463" s="286"/>
      <c r="DG463" s="286"/>
      <c r="DH463" s="286"/>
      <c r="DI463" s="286"/>
      <c r="DJ463" s="286"/>
      <c r="DK463" s="286"/>
      <c r="DL463" s="286"/>
      <c r="DM463" s="286"/>
      <c r="DN463" s="286"/>
      <c r="DO463" s="286"/>
      <c r="DP463" s="286"/>
      <c r="DQ463" s="286"/>
      <c r="DR463" s="286"/>
      <c r="DS463" s="286"/>
      <c r="DT463" s="286"/>
      <c r="DU463" s="286"/>
      <c r="DV463" s="286"/>
      <c r="DW463" s="286"/>
      <c r="DX463" s="286"/>
      <c r="DY463" s="286"/>
      <c r="DZ463" s="286"/>
      <c r="EA463" s="286"/>
      <c r="EB463" s="286"/>
      <c r="EC463" s="286"/>
      <c r="ED463" s="286"/>
      <c r="EE463" s="286"/>
      <c r="EF463" s="286"/>
      <c r="EG463" s="286"/>
      <c r="EH463" s="286"/>
      <c r="EI463" s="286"/>
      <c r="EJ463" s="286"/>
      <c r="EK463" s="286"/>
      <c r="EL463" s="286"/>
      <c r="EM463" s="286"/>
      <c r="EN463" s="286"/>
      <c r="EO463" s="286"/>
      <c r="EP463" s="286"/>
      <c r="EQ463" s="286"/>
      <c r="ER463" s="286"/>
      <c r="ES463" s="286"/>
      <c r="ET463" s="286"/>
      <c r="EU463" s="286"/>
      <c r="EV463" s="286"/>
      <c r="EW463" s="286"/>
      <c r="EX463" s="286"/>
      <c r="EY463" s="286"/>
      <c r="EZ463" s="286"/>
      <c r="FA463" s="286"/>
      <c r="FB463" s="286"/>
      <c r="FC463" s="286"/>
      <c r="FD463" s="286"/>
      <c r="FE463" s="286"/>
      <c r="FF463" s="286"/>
      <c r="FG463" s="286"/>
      <c r="FH463" s="286"/>
      <c r="FI463" s="286"/>
      <c r="FJ463" s="286"/>
      <c r="FK463" s="286"/>
      <c r="FL463" s="286"/>
      <c r="FM463" s="286"/>
      <c r="FN463" s="286"/>
      <c r="FO463" s="286"/>
      <c r="FP463" s="286"/>
      <c r="FQ463" s="286"/>
      <c r="FR463" s="286"/>
      <c r="FS463" s="286"/>
    </row>
    <row r="464" spans="1:175">
      <c r="A464" s="212" t="s">
        <v>3159</v>
      </c>
      <c r="B464" s="212" t="s">
        <v>3160</v>
      </c>
      <c r="C464" s="212" t="s">
        <v>3172</v>
      </c>
      <c r="D464" s="212" t="s">
        <v>3632</v>
      </c>
      <c r="E464" s="212" t="s">
        <v>3636</v>
      </c>
      <c r="F464" s="278">
        <v>46</v>
      </c>
      <c r="G464" s="278">
        <v>4740</v>
      </c>
      <c r="H464" s="287">
        <f t="shared" si="7"/>
        <v>1.4345991561181435</v>
      </c>
      <c r="I464" s="286">
        <v>1</v>
      </c>
      <c r="J464" s="286">
        <v>68</v>
      </c>
      <c r="K464" s="286">
        <v>30</v>
      </c>
      <c r="L464" s="286">
        <v>38</v>
      </c>
      <c r="M464" s="286">
        <v>68</v>
      </c>
      <c r="N464" s="286">
        <v>30</v>
      </c>
      <c r="O464" s="286">
        <v>38</v>
      </c>
      <c r="P464" s="286">
        <v>1</v>
      </c>
      <c r="Q464" s="286">
        <v>68</v>
      </c>
      <c r="R464" s="286">
        <v>30</v>
      </c>
      <c r="S464" s="286">
        <v>38</v>
      </c>
      <c r="T464" s="286">
        <v>68</v>
      </c>
      <c r="U464" s="286">
        <v>30</v>
      </c>
      <c r="V464" s="286">
        <v>38</v>
      </c>
      <c r="W464" s="286"/>
      <c r="X464" s="286"/>
      <c r="Y464" s="286"/>
      <c r="Z464" s="286"/>
      <c r="AA464" s="286"/>
      <c r="AB464" s="286"/>
      <c r="AC464" s="286"/>
      <c r="AD464" s="286"/>
      <c r="AE464" s="286"/>
      <c r="AF464" s="286"/>
      <c r="AG464" s="286"/>
      <c r="AH464" s="286"/>
      <c r="AI464" s="286"/>
      <c r="AJ464" s="286"/>
      <c r="AK464" s="286"/>
      <c r="AL464" s="286"/>
      <c r="AM464" s="286"/>
      <c r="AN464" s="286"/>
      <c r="AO464" s="286"/>
      <c r="AP464" s="286"/>
      <c r="AQ464" s="286"/>
      <c r="AR464" s="286"/>
      <c r="AS464" s="286"/>
      <c r="AT464" s="286"/>
      <c r="AU464" s="286"/>
      <c r="AV464" s="286"/>
      <c r="AW464" s="286"/>
      <c r="AX464" s="286"/>
      <c r="AY464" s="286"/>
      <c r="AZ464" s="286"/>
      <c r="BA464" s="286"/>
      <c r="BB464" s="286"/>
      <c r="BC464" s="286"/>
      <c r="BD464" s="286"/>
      <c r="BE464" s="286"/>
      <c r="BF464" s="286"/>
      <c r="BG464" s="286"/>
      <c r="BH464" s="286"/>
      <c r="BI464" s="286"/>
      <c r="BJ464" s="286"/>
      <c r="BK464" s="286"/>
      <c r="BL464" s="286"/>
      <c r="BM464" s="286"/>
      <c r="BN464" s="286"/>
      <c r="BO464" s="286"/>
      <c r="BP464" s="286"/>
      <c r="BQ464" s="286"/>
      <c r="BR464" s="286"/>
      <c r="BS464" s="286"/>
      <c r="BT464" s="286"/>
      <c r="BU464" s="286"/>
      <c r="BV464" s="286"/>
      <c r="BW464" s="286"/>
      <c r="BX464" s="286"/>
      <c r="BY464" s="286"/>
      <c r="BZ464" s="286"/>
      <c r="CA464" s="286"/>
      <c r="CB464" s="286"/>
      <c r="CC464" s="286"/>
      <c r="CD464" s="286"/>
      <c r="CE464" s="286"/>
      <c r="CF464" s="286"/>
      <c r="CG464" s="286"/>
      <c r="CH464" s="286"/>
      <c r="CI464" s="286"/>
      <c r="CJ464" s="286"/>
      <c r="CK464" s="286"/>
      <c r="CL464" s="286"/>
      <c r="CM464" s="286"/>
      <c r="CN464" s="286"/>
      <c r="CO464" s="286"/>
      <c r="CP464" s="286"/>
      <c r="CQ464" s="286"/>
      <c r="CR464" s="286"/>
      <c r="CS464" s="286"/>
      <c r="CT464" s="286"/>
      <c r="CU464" s="286"/>
      <c r="CV464" s="286"/>
      <c r="CW464" s="286"/>
      <c r="CX464" s="286"/>
      <c r="CY464" s="286"/>
      <c r="CZ464" s="286"/>
      <c r="DA464" s="286"/>
      <c r="DB464" s="286"/>
      <c r="DC464" s="286"/>
      <c r="DD464" s="286"/>
      <c r="DE464" s="286"/>
      <c r="DF464" s="286"/>
      <c r="DG464" s="286"/>
      <c r="DH464" s="286"/>
      <c r="DI464" s="286"/>
      <c r="DJ464" s="286"/>
      <c r="DK464" s="286"/>
      <c r="DL464" s="286"/>
      <c r="DM464" s="286"/>
      <c r="DN464" s="286"/>
      <c r="DO464" s="286"/>
      <c r="DP464" s="286"/>
      <c r="DQ464" s="286"/>
      <c r="DR464" s="286"/>
      <c r="DS464" s="286"/>
      <c r="DT464" s="286"/>
      <c r="DU464" s="286"/>
      <c r="DV464" s="286"/>
      <c r="DW464" s="286"/>
      <c r="DX464" s="286"/>
      <c r="DY464" s="286"/>
      <c r="DZ464" s="286"/>
      <c r="EA464" s="286"/>
      <c r="EB464" s="286"/>
      <c r="EC464" s="286"/>
      <c r="ED464" s="286"/>
      <c r="EE464" s="286"/>
      <c r="EF464" s="286"/>
      <c r="EG464" s="286"/>
      <c r="EH464" s="286"/>
      <c r="EI464" s="286"/>
      <c r="EJ464" s="286"/>
      <c r="EK464" s="286"/>
      <c r="EL464" s="286"/>
      <c r="EM464" s="286"/>
      <c r="EN464" s="286"/>
      <c r="EO464" s="286"/>
      <c r="EP464" s="286"/>
      <c r="EQ464" s="286"/>
      <c r="ER464" s="286"/>
      <c r="ES464" s="286"/>
      <c r="ET464" s="286"/>
      <c r="EU464" s="286"/>
      <c r="EV464" s="286"/>
      <c r="EW464" s="286"/>
      <c r="EX464" s="286"/>
      <c r="EY464" s="286"/>
      <c r="EZ464" s="286"/>
      <c r="FA464" s="286"/>
      <c r="FB464" s="286"/>
      <c r="FC464" s="286"/>
      <c r="FD464" s="286"/>
      <c r="FE464" s="286"/>
      <c r="FF464" s="286"/>
      <c r="FG464" s="286"/>
      <c r="FH464" s="286"/>
      <c r="FI464" s="286"/>
      <c r="FJ464" s="286"/>
      <c r="FK464" s="286"/>
      <c r="FL464" s="286"/>
      <c r="FM464" s="286"/>
      <c r="FN464" s="286"/>
      <c r="FO464" s="286"/>
      <c r="FP464" s="286"/>
      <c r="FQ464" s="286"/>
      <c r="FR464" s="286"/>
      <c r="FS464" s="286"/>
    </row>
    <row r="465" spans="1:175">
      <c r="A465" s="212" t="s">
        <v>3159</v>
      </c>
      <c r="B465" s="212" t="s">
        <v>3160</v>
      </c>
      <c r="C465" s="212" t="s">
        <v>3172</v>
      </c>
      <c r="D465" s="212" t="s">
        <v>3632</v>
      </c>
      <c r="E465" s="212" t="s">
        <v>3637</v>
      </c>
      <c r="F465" s="278">
        <v>13961</v>
      </c>
      <c r="G465" s="278">
        <v>383099</v>
      </c>
      <c r="H465" s="287">
        <f t="shared" si="7"/>
        <v>2.7603830863562684</v>
      </c>
      <c r="I465" s="286">
        <v>497</v>
      </c>
      <c r="J465" s="286">
        <v>10575</v>
      </c>
      <c r="K465" s="286">
        <v>3804</v>
      </c>
      <c r="L465" s="286">
        <v>6769</v>
      </c>
      <c r="M465" s="286">
        <v>10523</v>
      </c>
      <c r="N465" s="286">
        <v>3752</v>
      </c>
      <c r="O465" s="286">
        <v>6769</v>
      </c>
      <c r="P465" s="286">
        <v>497</v>
      </c>
      <c r="Q465" s="286">
        <v>10575</v>
      </c>
      <c r="R465" s="286">
        <v>3804</v>
      </c>
      <c r="S465" s="286">
        <v>6769</v>
      </c>
      <c r="T465" s="286">
        <v>10523</v>
      </c>
      <c r="U465" s="286">
        <v>3752</v>
      </c>
      <c r="V465" s="286">
        <v>6769</v>
      </c>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c r="AS465" s="286"/>
      <c r="AT465" s="286"/>
      <c r="AU465" s="286"/>
      <c r="AV465" s="286"/>
      <c r="AW465" s="286"/>
      <c r="AX465" s="286"/>
      <c r="AY465" s="286"/>
      <c r="AZ465" s="286"/>
      <c r="BA465" s="286"/>
      <c r="BB465" s="286"/>
      <c r="BC465" s="286"/>
      <c r="BD465" s="286"/>
      <c r="BE465" s="286"/>
      <c r="BF465" s="286"/>
      <c r="BG465" s="286"/>
      <c r="BH465" s="286"/>
      <c r="BI465" s="286"/>
      <c r="BJ465" s="286"/>
      <c r="BK465" s="286"/>
      <c r="BL465" s="286"/>
      <c r="BM465" s="286"/>
      <c r="BN465" s="286"/>
      <c r="BO465" s="286"/>
      <c r="BP465" s="286"/>
      <c r="BQ465" s="286"/>
      <c r="BR465" s="286"/>
      <c r="BS465" s="286"/>
      <c r="BT465" s="286"/>
      <c r="BU465" s="286"/>
      <c r="BV465" s="286"/>
      <c r="BW465" s="286"/>
      <c r="BX465" s="286"/>
      <c r="BY465" s="286"/>
      <c r="BZ465" s="286"/>
      <c r="CA465" s="286"/>
      <c r="CB465" s="286"/>
      <c r="CC465" s="286"/>
      <c r="CD465" s="286"/>
      <c r="CE465" s="286"/>
      <c r="CF465" s="286"/>
      <c r="CG465" s="286"/>
      <c r="CH465" s="286"/>
      <c r="CI465" s="286"/>
      <c r="CJ465" s="286"/>
      <c r="CK465" s="286"/>
      <c r="CL465" s="286"/>
      <c r="CM465" s="286"/>
      <c r="CN465" s="286"/>
      <c r="CO465" s="286"/>
      <c r="CP465" s="286"/>
      <c r="CQ465" s="286"/>
      <c r="CR465" s="286"/>
      <c r="CS465" s="286"/>
      <c r="CT465" s="286"/>
      <c r="CU465" s="286"/>
      <c r="CV465" s="286"/>
      <c r="CW465" s="286"/>
      <c r="CX465" s="286"/>
      <c r="CY465" s="286"/>
      <c r="CZ465" s="286"/>
      <c r="DA465" s="286"/>
      <c r="DB465" s="286"/>
      <c r="DC465" s="286"/>
      <c r="DD465" s="286"/>
      <c r="DE465" s="286"/>
      <c r="DF465" s="286"/>
      <c r="DG465" s="286"/>
      <c r="DH465" s="286"/>
      <c r="DI465" s="286"/>
      <c r="DJ465" s="286"/>
      <c r="DK465" s="286"/>
      <c r="DL465" s="286"/>
      <c r="DM465" s="286"/>
      <c r="DN465" s="286"/>
      <c r="DO465" s="286"/>
      <c r="DP465" s="286"/>
      <c r="DQ465" s="286"/>
      <c r="DR465" s="286"/>
      <c r="DS465" s="286"/>
      <c r="DT465" s="286"/>
      <c r="DU465" s="286"/>
      <c r="DV465" s="286"/>
      <c r="DW465" s="286"/>
      <c r="DX465" s="286"/>
      <c r="DY465" s="286"/>
      <c r="DZ465" s="286"/>
      <c r="EA465" s="286"/>
      <c r="EB465" s="286"/>
      <c r="EC465" s="286"/>
      <c r="ED465" s="286"/>
      <c r="EE465" s="286"/>
      <c r="EF465" s="286"/>
      <c r="EG465" s="286"/>
      <c r="EH465" s="286"/>
      <c r="EI465" s="286"/>
      <c r="EJ465" s="286"/>
      <c r="EK465" s="286"/>
      <c r="EL465" s="286"/>
      <c r="EM465" s="286"/>
      <c r="EN465" s="286"/>
      <c r="EO465" s="286"/>
      <c r="EP465" s="286"/>
      <c r="EQ465" s="286"/>
      <c r="ER465" s="286"/>
      <c r="ES465" s="286"/>
      <c r="ET465" s="286"/>
      <c r="EU465" s="286"/>
      <c r="EV465" s="286"/>
      <c r="EW465" s="286"/>
      <c r="EX465" s="286"/>
      <c r="EY465" s="286"/>
      <c r="EZ465" s="286"/>
      <c r="FA465" s="286"/>
      <c r="FB465" s="286"/>
      <c r="FC465" s="286"/>
      <c r="FD465" s="286"/>
      <c r="FE465" s="286"/>
      <c r="FF465" s="286"/>
      <c r="FG465" s="286"/>
      <c r="FH465" s="286"/>
      <c r="FI465" s="286"/>
      <c r="FJ465" s="286"/>
      <c r="FK465" s="286"/>
      <c r="FL465" s="286"/>
      <c r="FM465" s="286"/>
      <c r="FN465" s="286"/>
      <c r="FO465" s="286"/>
      <c r="FP465" s="286"/>
      <c r="FQ465" s="286"/>
      <c r="FR465" s="286"/>
      <c r="FS465" s="286"/>
    </row>
    <row r="466" spans="1:175">
      <c r="A466" s="212" t="s">
        <v>3159</v>
      </c>
      <c r="B466" s="212" t="s">
        <v>3160</v>
      </c>
      <c r="C466" s="212" t="s">
        <v>3170</v>
      </c>
      <c r="D466" s="212" t="s">
        <v>3632</v>
      </c>
      <c r="E466" s="212" t="s">
        <v>3638</v>
      </c>
      <c r="F466" s="278">
        <v>11093</v>
      </c>
      <c r="G466" s="278">
        <v>173325</v>
      </c>
      <c r="H466" s="287">
        <f t="shared" si="7"/>
        <v>4.8619645175248811</v>
      </c>
      <c r="I466" s="286">
        <v>564</v>
      </c>
      <c r="J466" s="286">
        <v>8427</v>
      </c>
      <c r="K466" s="286">
        <v>4789</v>
      </c>
      <c r="L466" s="286">
        <v>3638</v>
      </c>
      <c r="M466" s="286">
        <v>8254</v>
      </c>
      <c r="N466" s="286">
        <v>4646</v>
      </c>
      <c r="O466" s="286">
        <v>3608</v>
      </c>
      <c r="P466" s="286">
        <v>564</v>
      </c>
      <c r="Q466" s="286">
        <v>8427</v>
      </c>
      <c r="R466" s="286">
        <v>4789</v>
      </c>
      <c r="S466" s="286">
        <v>3638</v>
      </c>
      <c r="T466" s="286">
        <v>8254</v>
      </c>
      <c r="U466" s="286">
        <v>4646</v>
      </c>
      <c r="V466" s="286">
        <v>3608</v>
      </c>
      <c r="W466" s="286"/>
      <c r="X466" s="286"/>
      <c r="Y466" s="286"/>
      <c r="Z466" s="286"/>
      <c r="AA466" s="286"/>
      <c r="AB466" s="286"/>
      <c r="AC466" s="286"/>
      <c r="AD466" s="286"/>
      <c r="AE466" s="286"/>
      <c r="AF466" s="286"/>
      <c r="AG466" s="286"/>
      <c r="AH466" s="286"/>
      <c r="AI466" s="286"/>
      <c r="AJ466" s="286"/>
      <c r="AK466" s="286"/>
      <c r="AL466" s="286"/>
      <c r="AM466" s="286"/>
      <c r="AN466" s="286"/>
      <c r="AO466" s="286"/>
      <c r="AP466" s="286"/>
      <c r="AQ466" s="286"/>
      <c r="AR466" s="286"/>
      <c r="AS466" s="286"/>
      <c r="AT466" s="286"/>
      <c r="AU466" s="286"/>
      <c r="AV466" s="286"/>
      <c r="AW466" s="286"/>
      <c r="AX466" s="286"/>
      <c r="AY466" s="286"/>
      <c r="AZ466" s="286"/>
      <c r="BA466" s="286"/>
      <c r="BB466" s="286"/>
      <c r="BC466" s="286"/>
      <c r="BD466" s="286"/>
      <c r="BE466" s="286"/>
      <c r="BF466" s="286"/>
      <c r="BG466" s="286"/>
      <c r="BH466" s="286"/>
      <c r="BI466" s="286"/>
      <c r="BJ466" s="286"/>
      <c r="BK466" s="286"/>
      <c r="BL466" s="286"/>
      <c r="BM466" s="286"/>
      <c r="BN466" s="286"/>
      <c r="BO466" s="286"/>
      <c r="BP466" s="286"/>
      <c r="BQ466" s="286"/>
      <c r="BR466" s="286"/>
      <c r="BS466" s="286"/>
      <c r="BT466" s="286"/>
      <c r="BU466" s="286"/>
      <c r="BV466" s="286"/>
      <c r="BW466" s="286"/>
      <c r="BX466" s="286"/>
      <c r="BY466" s="286"/>
      <c r="BZ466" s="286"/>
      <c r="CA466" s="286"/>
      <c r="CB466" s="286"/>
      <c r="CC466" s="286"/>
      <c r="CD466" s="286"/>
      <c r="CE466" s="286"/>
      <c r="CF466" s="286"/>
      <c r="CG466" s="286"/>
      <c r="CH466" s="286"/>
      <c r="CI466" s="286"/>
      <c r="CJ466" s="286"/>
      <c r="CK466" s="286"/>
      <c r="CL466" s="286"/>
      <c r="CM466" s="286"/>
      <c r="CN466" s="286"/>
      <c r="CO466" s="286"/>
      <c r="CP466" s="286"/>
      <c r="CQ466" s="286"/>
      <c r="CR466" s="286"/>
      <c r="CS466" s="286"/>
      <c r="CT466" s="286"/>
      <c r="CU466" s="286"/>
      <c r="CV466" s="286"/>
      <c r="CW466" s="286"/>
      <c r="CX466" s="286"/>
      <c r="CY466" s="286"/>
      <c r="CZ466" s="286"/>
      <c r="DA466" s="286"/>
      <c r="DB466" s="286"/>
      <c r="DC466" s="286"/>
      <c r="DD466" s="286"/>
      <c r="DE466" s="286"/>
      <c r="DF466" s="286"/>
      <c r="DG466" s="286"/>
      <c r="DH466" s="286"/>
      <c r="DI466" s="286"/>
      <c r="DJ466" s="286"/>
      <c r="DK466" s="286"/>
      <c r="DL466" s="286"/>
      <c r="DM466" s="286"/>
      <c r="DN466" s="286"/>
      <c r="DO466" s="286"/>
      <c r="DP466" s="286"/>
      <c r="DQ466" s="286"/>
      <c r="DR466" s="286"/>
      <c r="DS466" s="286"/>
      <c r="DT466" s="286"/>
      <c r="DU466" s="286"/>
      <c r="DV466" s="286"/>
      <c r="DW466" s="286"/>
      <c r="DX466" s="286"/>
      <c r="DY466" s="286"/>
      <c r="DZ466" s="286"/>
      <c r="EA466" s="286"/>
      <c r="EB466" s="286"/>
      <c r="EC466" s="286"/>
      <c r="ED466" s="286"/>
      <c r="EE466" s="286"/>
      <c r="EF466" s="286"/>
      <c r="EG466" s="286"/>
      <c r="EH466" s="286"/>
      <c r="EI466" s="286"/>
      <c r="EJ466" s="286"/>
      <c r="EK466" s="286"/>
      <c r="EL466" s="286"/>
      <c r="EM466" s="286"/>
      <c r="EN466" s="286"/>
      <c r="EO466" s="286"/>
      <c r="EP466" s="286"/>
      <c r="EQ466" s="286"/>
      <c r="ER466" s="286"/>
      <c r="ES466" s="286"/>
      <c r="ET466" s="286"/>
      <c r="EU466" s="286"/>
      <c r="EV466" s="286"/>
      <c r="EW466" s="286"/>
      <c r="EX466" s="286"/>
      <c r="EY466" s="286"/>
      <c r="EZ466" s="286"/>
      <c r="FA466" s="286"/>
      <c r="FB466" s="286"/>
      <c r="FC466" s="286"/>
      <c r="FD466" s="286"/>
      <c r="FE466" s="286"/>
      <c r="FF466" s="286"/>
      <c r="FG466" s="286"/>
      <c r="FH466" s="286"/>
      <c r="FI466" s="286"/>
      <c r="FJ466" s="286"/>
      <c r="FK466" s="286"/>
      <c r="FL466" s="286"/>
      <c r="FM466" s="286"/>
      <c r="FN466" s="286"/>
      <c r="FO466" s="286"/>
      <c r="FP466" s="286"/>
      <c r="FQ466" s="286"/>
      <c r="FR466" s="286"/>
      <c r="FS466" s="286"/>
    </row>
    <row r="467" spans="1:175">
      <c r="A467" s="212" t="s">
        <v>3159</v>
      </c>
      <c r="B467" s="212" t="s">
        <v>3160</v>
      </c>
      <c r="C467" s="212" t="s">
        <v>3172</v>
      </c>
      <c r="D467" s="212" t="s">
        <v>3632</v>
      </c>
      <c r="E467" s="212" t="s">
        <v>3639</v>
      </c>
      <c r="F467" s="278">
        <v>54</v>
      </c>
      <c r="G467" s="278">
        <v>2306</v>
      </c>
      <c r="H467" s="287">
        <f t="shared" si="7"/>
        <v>0</v>
      </c>
      <c r="I467" s="286">
        <v>0</v>
      </c>
      <c r="J467" s="286">
        <v>0</v>
      </c>
      <c r="K467" s="286">
        <v>0</v>
      </c>
      <c r="L467" s="286">
        <v>0</v>
      </c>
      <c r="M467" s="286">
        <v>0</v>
      </c>
      <c r="N467" s="286">
        <v>0</v>
      </c>
      <c r="O467" s="286">
        <v>0</v>
      </c>
      <c r="P467" s="286">
        <v>0</v>
      </c>
      <c r="Q467" s="286">
        <v>0</v>
      </c>
      <c r="R467" s="286">
        <v>0</v>
      </c>
      <c r="S467" s="286">
        <v>0</v>
      </c>
      <c r="T467" s="286">
        <v>0</v>
      </c>
      <c r="U467" s="286">
        <v>0</v>
      </c>
      <c r="V467" s="286">
        <v>0</v>
      </c>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c r="AS467" s="286"/>
      <c r="AT467" s="286"/>
      <c r="AU467" s="286"/>
      <c r="AV467" s="286"/>
      <c r="AW467" s="286"/>
      <c r="AX467" s="286"/>
      <c r="AY467" s="286"/>
      <c r="AZ467" s="286"/>
      <c r="BA467" s="286"/>
      <c r="BB467" s="286"/>
      <c r="BC467" s="286"/>
      <c r="BD467" s="286"/>
      <c r="BE467" s="286"/>
      <c r="BF467" s="286"/>
      <c r="BG467" s="286"/>
      <c r="BH467" s="286"/>
      <c r="BI467" s="286"/>
      <c r="BJ467" s="286"/>
      <c r="BK467" s="286"/>
      <c r="BL467" s="286"/>
      <c r="BM467" s="286"/>
      <c r="BN467" s="286"/>
      <c r="BO467" s="286"/>
      <c r="BP467" s="286"/>
      <c r="BQ467" s="286"/>
      <c r="BR467" s="286"/>
      <c r="BS467" s="286"/>
      <c r="BT467" s="286"/>
      <c r="BU467" s="286"/>
      <c r="BV467" s="286"/>
      <c r="BW467" s="286"/>
      <c r="BX467" s="286"/>
      <c r="BY467" s="286"/>
      <c r="BZ467" s="286"/>
      <c r="CA467" s="286"/>
      <c r="CB467" s="286"/>
      <c r="CC467" s="286"/>
      <c r="CD467" s="286"/>
      <c r="CE467" s="286"/>
      <c r="CF467" s="286"/>
      <c r="CG467" s="286"/>
      <c r="CH467" s="286"/>
      <c r="CI467" s="286"/>
      <c r="CJ467" s="286"/>
      <c r="CK467" s="286"/>
      <c r="CL467" s="286"/>
      <c r="CM467" s="286"/>
      <c r="CN467" s="286"/>
      <c r="CO467" s="286"/>
      <c r="CP467" s="286"/>
      <c r="CQ467" s="286"/>
      <c r="CR467" s="286"/>
      <c r="CS467" s="286"/>
      <c r="CT467" s="286"/>
      <c r="CU467" s="286"/>
      <c r="CV467" s="286"/>
      <c r="CW467" s="286"/>
      <c r="CX467" s="286"/>
      <c r="CY467" s="286"/>
      <c r="CZ467" s="286"/>
      <c r="DA467" s="286"/>
      <c r="DB467" s="286"/>
      <c r="DC467" s="286"/>
      <c r="DD467" s="286"/>
      <c r="DE467" s="286"/>
      <c r="DF467" s="286"/>
      <c r="DG467" s="286"/>
      <c r="DH467" s="286"/>
      <c r="DI467" s="286"/>
      <c r="DJ467" s="286"/>
      <c r="DK467" s="286"/>
      <c r="DL467" s="286"/>
      <c r="DM467" s="286"/>
      <c r="DN467" s="286"/>
      <c r="DO467" s="286"/>
      <c r="DP467" s="286"/>
      <c r="DQ467" s="286"/>
      <c r="DR467" s="286"/>
      <c r="DS467" s="286"/>
      <c r="DT467" s="286"/>
      <c r="DU467" s="286"/>
      <c r="DV467" s="286"/>
      <c r="DW467" s="286"/>
      <c r="DX467" s="286"/>
      <c r="DY467" s="286"/>
      <c r="DZ467" s="286"/>
      <c r="EA467" s="286"/>
      <c r="EB467" s="286"/>
      <c r="EC467" s="286"/>
      <c r="ED467" s="286"/>
      <c r="EE467" s="286"/>
      <c r="EF467" s="286"/>
      <c r="EG467" s="286"/>
      <c r="EH467" s="286"/>
      <c r="EI467" s="286"/>
      <c r="EJ467" s="286"/>
      <c r="EK467" s="286"/>
      <c r="EL467" s="286"/>
      <c r="EM467" s="286"/>
      <c r="EN467" s="286"/>
      <c r="EO467" s="286"/>
      <c r="EP467" s="286"/>
      <c r="EQ467" s="286"/>
      <c r="ER467" s="286"/>
      <c r="ES467" s="286"/>
      <c r="ET467" s="286"/>
      <c r="EU467" s="286"/>
      <c r="EV467" s="286"/>
      <c r="EW467" s="286"/>
      <c r="EX467" s="286"/>
      <c r="EY467" s="286"/>
      <c r="EZ467" s="286"/>
      <c r="FA467" s="286"/>
      <c r="FB467" s="286"/>
      <c r="FC467" s="286"/>
      <c r="FD467" s="286"/>
      <c r="FE467" s="286"/>
      <c r="FF467" s="286"/>
      <c r="FG467" s="286"/>
      <c r="FH467" s="286"/>
      <c r="FI467" s="286"/>
      <c r="FJ467" s="286"/>
      <c r="FK467" s="286"/>
      <c r="FL467" s="286"/>
      <c r="FM467" s="286"/>
      <c r="FN467" s="286"/>
      <c r="FO467" s="286"/>
      <c r="FP467" s="286"/>
      <c r="FQ467" s="286"/>
      <c r="FR467" s="286"/>
      <c r="FS467" s="286"/>
    </row>
    <row r="468" spans="1:175">
      <c r="A468" s="212" t="s">
        <v>3159</v>
      </c>
      <c r="B468" s="212" t="s">
        <v>3160</v>
      </c>
      <c r="C468" s="212" t="s">
        <v>3172</v>
      </c>
      <c r="D468" s="212" t="s">
        <v>3632</v>
      </c>
      <c r="E468" s="212" t="s">
        <v>3640</v>
      </c>
      <c r="F468" s="278">
        <v>10111</v>
      </c>
      <c r="G468" s="278">
        <v>156211</v>
      </c>
      <c r="H468" s="287">
        <f t="shared" si="7"/>
        <v>5.1084750753788146</v>
      </c>
      <c r="I468" s="286">
        <v>540</v>
      </c>
      <c r="J468" s="286">
        <v>7980</v>
      </c>
      <c r="K468" s="286">
        <v>4502</v>
      </c>
      <c r="L468" s="286">
        <v>3478</v>
      </c>
      <c r="M468" s="286">
        <v>7819</v>
      </c>
      <c r="N468" s="286">
        <v>4371</v>
      </c>
      <c r="O468" s="286">
        <v>3448</v>
      </c>
      <c r="P468" s="286">
        <v>540</v>
      </c>
      <c r="Q468" s="286">
        <v>7980</v>
      </c>
      <c r="R468" s="286">
        <v>4502</v>
      </c>
      <c r="S468" s="286">
        <v>3478</v>
      </c>
      <c r="T468" s="286">
        <v>7819</v>
      </c>
      <c r="U468" s="286">
        <v>4371</v>
      </c>
      <c r="V468" s="286">
        <v>3448</v>
      </c>
      <c r="W468" s="286"/>
      <c r="X468" s="286"/>
      <c r="Y468" s="286"/>
      <c r="Z468" s="286"/>
      <c r="AA468" s="286"/>
      <c r="AB468" s="286"/>
      <c r="AC468" s="286"/>
      <c r="AD468" s="286"/>
      <c r="AE468" s="286"/>
      <c r="AF468" s="286"/>
      <c r="AG468" s="286"/>
      <c r="AH468" s="286"/>
      <c r="AI468" s="286"/>
      <c r="AJ468" s="286"/>
      <c r="AK468" s="286"/>
      <c r="AL468" s="286"/>
      <c r="AM468" s="286"/>
      <c r="AN468" s="286"/>
      <c r="AO468" s="286"/>
      <c r="AP468" s="286"/>
      <c r="AQ468" s="286"/>
      <c r="AR468" s="286"/>
      <c r="AS468" s="286"/>
      <c r="AT468" s="286"/>
      <c r="AU468" s="286"/>
      <c r="AV468" s="286"/>
      <c r="AW468" s="286"/>
      <c r="AX468" s="286"/>
      <c r="AY468" s="286"/>
      <c r="AZ468" s="286"/>
      <c r="BA468" s="286"/>
      <c r="BB468" s="286"/>
      <c r="BC468" s="286"/>
      <c r="BD468" s="286"/>
      <c r="BE468" s="286"/>
      <c r="BF468" s="286"/>
      <c r="BG468" s="286"/>
      <c r="BH468" s="286"/>
      <c r="BI468" s="286"/>
      <c r="BJ468" s="286"/>
      <c r="BK468" s="286"/>
      <c r="BL468" s="286"/>
      <c r="BM468" s="286"/>
      <c r="BN468" s="286"/>
      <c r="BO468" s="286"/>
      <c r="BP468" s="286"/>
      <c r="BQ468" s="286"/>
      <c r="BR468" s="286"/>
      <c r="BS468" s="286"/>
      <c r="BT468" s="286"/>
      <c r="BU468" s="286"/>
      <c r="BV468" s="286"/>
      <c r="BW468" s="286"/>
      <c r="BX468" s="286"/>
      <c r="BY468" s="286"/>
      <c r="BZ468" s="286"/>
      <c r="CA468" s="286"/>
      <c r="CB468" s="286"/>
      <c r="CC468" s="286"/>
      <c r="CD468" s="286"/>
      <c r="CE468" s="286"/>
      <c r="CF468" s="286"/>
      <c r="CG468" s="286"/>
      <c r="CH468" s="286"/>
      <c r="CI468" s="286"/>
      <c r="CJ468" s="286"/>
      <c r="CK468" s="286"/>
      <c r="CL468" s="286"/>
      <c r="CM468" s="286"/>
      <c r="CN468" s="286"/>
      <c r="CO468" s="286"/>
      <c r="CP468" s="286"/>
      <c r="CQ468" s="286"/>
      <c r="CR468" s="286"/>
      <c r="CS468" s="286"/>
      <c r="CT468" s="286"/>
      <c r="CU468" s="286"/>
      <c r="CV468" s="286"/>
      <c r="CW468" s="286"/>
      <c r="CX468" s="286"/>
      <c r="CY468" s="286"/>
      <c r="CZ468" s="286"/>
      <c r="DA468" s="286"/>
      <c r="DB468" s="286"/>
      <c r="DC468" s="286"/>
      <c r="DD468" s="286"/>
      <c r="DE468" s="286"/>
      <c r="DF468" s="286"/>
      <c r="DG468" s="286"/>
      <c r="DH468" s="286"/>
      <c r="DI468" s="286"/>
      <c r="DJ468" s="286"/>
      <c r="DK468" s="286"/>
      <c r="DL468" s="286"/>
      <c r="DM468" s="286"/>
      <c r="DN468" s="286"/>
      <c r="DO468" s="286"/>
      <c r="DP468" s="286"/>
      <c r="DQ468" s="286"/>
      <c r="DR468" s="286"/>
      <c r="DS468" s="286"/>
      <c r="DT468" s="286"/>
      <c r="DU468" s="286"/>
      <c r="DV468" s="286"/>
      <c r="DW468" s="286"/>
      <c r="DX468" s="286"/>
      <c r="DY468" s="286"/>
      <c r="DZ468" s="286"/>
      <c r="EA468" s="286"/>
      <c r="EB468" s="286"/>
      <c r="EC468" s="286"/>
      <c r="ED468" s="286"/>
      <c r="EE468" s="286"/>
      <c r="EF468" s="286"/>
      <c r="EG468" s="286"/>
      <c r="EH468" s="286"/>
      <c r="EI468" s="286"/>
      <c r="EJ468" s="286"/>
      <c r="EK468" s="286"/>
      <c r="EL468" s="286"/>
      <c r="EM468" s="286"/>
      <c r="EN468" s="286"/>
      <c r="EO468" s="286"/>
      <c r="EP468" s="286"/>
      <c r="EQ468" s="286"/>
      <c r="ER468" s="286"/>
      <c r="ES468" s="286"/>
      <c r="ET468" s="286"/>
      <c r="EU468" s="286"/>
      <c r="EV468" s="286"/>
      <c r="EW468" s="286"/>
      <c r="EX468" s="286"/>
      <c r="EY468" s="286"/>
      <c r="EZ468" s="286"/>
      <c r="FA468" s="286"/>
      <c r="FB468" s="286"/>
      <c r="FC468" s="286"/>
      <c r="FD468" s="286"/>
      <c r="FE468" s="286"/>
      <c r="FF468" s="286"/>
      <c r="FG468" s="286"/>
      <c r="FH468" s="286"/>
      <c r="FI468" s="286"/>
      <c r="FJ468" s="286"/>
      <c r="FK468" s="286"/>
      <c r="FL468" s="286"/>
      <c r="FM468" s="286"/>
      <c r="FN468" s="286"/>
      <c r="FO468" s="286"/>
      <c r="FP468" s="286"/>
      <c r="FQ468" s="286"/>
      <c r="FR468" s="286"/>
      <c r="FS468" s="286"/>
    </row>
    <row r="469" spans="1:175">
      <c r="A469" s="212" t="s">
        <v>3159</v>
      </c>
      <c r="B469" s="212" t="s">
        <v>3160</v>
      </c>
      <c r="C469" s="212" t="s">
        <v>3172</v>
      </c>
      <c r="D469" s="212" t="s">
        <v>3632</v>
      </c>
      <c r="E469" s="212" t="s">
        <v>3641</v>
      </c>
      <c r="F469" s="278">
        <v>928</v>
      </c>
      <c r="G469" s="278">
        <v>14808</v>
      </c>
      <c r="H469" s="287">
        <f t="shared" si="7"/>
        <v>3.0186385737439219</v>
      </c>
      <c r="I469" s="286">
        <v>24</v>
      </c>
      <c r="J469" s="286">
        <v>447</v>
      </c>
      <c r="K469" s="286">
        <v>287</v>
      </c>
      <c r="L469" s="286">
        <v>160</v>
      </c>
      <c r="M469" s="286">
        <v>435</v>
      </c>
      <c r="N469" s="286">
        <v>275</v>
      </c>
      <c r="O469" s="286">
        <v>160</v>
      </c>
      <c r="P469" s="286">
        <v>24</v>
      </c>
      <c r="Q469" s="286">
        <v>447</v>
      </c>
      <c r="R469" s="286">
        <v>287</v>
      </c>
      <c r="S469" s="286">
        <v>160</v>
      </c>
      <c r="T469" s="286">
        <v>435</v>
      </c>
      <c r="U469" s="286">
        <v>275</v>
      </c>
      <c r="V469" s="286">
        <v>160</v>
      </c>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c r="AS469" s="286"/>
      <c r="AT469" s="286"/>
      <c r="AU469" s="286"/>
      <c r="AV469" s="286"/>
      <c r="AW469" s="286"/>
      <c r="AX469" s="286"/>
      <c r="AY469" s="286"/>
      <c r="AZ469" s="286"/>
      <c r="BA469" s="286"/>
      <c r="BB469" s="286"/>
      <c r="BC469" s="286"/>
      <c r="BD469" s="286"/>
      <c r="BE469" s="286"/>
      <c r="BF469" s="286"/>
      <c r="BG469" s="286"/>
      <c r="BH469" s="286"/>
      <c r="BI469" s="286"/>
      <c r="BJ469" s="286"/>
      <c r="BK469" s="286"/>
      <c r="BL469" s="286"/>
      <c r="BM469" s="286"/>
      <c r="BN469" s="286"/>
      <c r="BO469" s="286"/>
      <c r="BP469" s="286"/>
      <c r="BQ469" s="286"/>
      <c r="BR469" s="286"/>
      <c r="BS469" s="286"/>
      <c r="BT469" s="286"/>
      <c r="BU469" s="286"/>
      <c r="BV469" s="286"/>
      <c r="BW469" s="286"/>
      <c r="BX469" s="286"/>
      <c r="BY469" s="286"/>
      <c r="BZ469" s="286"/>
      <c r="CA469" s="286"/>
      <c r="CB469" s="286"/>
      <c r="CC469" s="286"/>
      <c r="CD469" s="286"/>
      <c r="CE469" s="286"/>
      <c r="CF469" s="286"/>
      <c r="CG469" s="286"/>
      <c r="CH469" s="286"/>
      <c r="CI469" s="286"/>
      <c r="CJ469" s="286"/>
      <c r="CK469" s="286"/>
      <c r="CL469" s="286"/>
      <c r="CM469" s="286"/>
      <c r="CN469" s="286"/>
      <c r="CO469" s="286"/>
      <c r="CP469" s="286"/>
      <c r="CQ469" s="286"/>
      <c r="CR469" s="286"/>
      <c r="CS469" s="286"/>
      <c r="CT469" s="286"/>
      <c r="CU469" s="286"/>
      <c r="CV469" s="286"/>
      <c r="CW469" s="286"/>
      <c r="CX469" s="286"/>
      <c r="CY469" s="286"/>
      <c r="CZ469" s="286"/>
      <c r="DA469" s="286"/>
      <c r="DB469" s="286"/>
      <c r="DC469" s="286"/>
      <c r="DD469" s="286"/>
      <c r="DE469" s="286"/>
      <c r="DF469" s="286"/>
      <c r="DG469" s="286"/>
      <c r="DH469" s="286"/>
      <c r="DI469" s="286"/>
      <c r="DJ469" s="286"/>
      <c r="DK469" s="286"/>
      <c r="DL469" s="286"/>
      <c r="DM469" s="286"/>
      <c r="DN469" s="286"/>
      <c r="DO469" s="286"/>
      <c r="DP469" s="286"/>
      <c r="DQ469" s="286"/>
      <c r="DR469" s="286"/>
      <c r="DS469" s="286"/>
      <c r="DT469" s="286"/>
      <c r="DU469" s="286"/>
      <c r="DV469" s="286"/>
      <c r="DW469" s="286"/>
      <c r="DX469" s="286"/>
      <c r="DY469" s="286"/>
      <c r="DZ469" s="286"/>
      <c r="EA469" s="286"/>
      <c r="EB469" s="286"/>
      <c r="EC469" s="286"/>
      <c r="ED469" s="286"/>
      <c r="EE469" s="286"/>
      <c r="EF469" s="286"/>
      <c r="EG469" s="286"/>
      <c r="EH469" s="286"/>
      <c r="EI469" s="286"/>
      <c r="EJ469" s="286"/>
      <c r="EK469" s="286"/>
      <c r="EL469" s="286"/>
      <c r="EM469" s="286"/>
      <c r="EN469" s="286"/>
      <c r="EO469" s="286"/>
      <c r="EP469" s="286"/>
      <c r="EQ469" s="286"/>
      <c r="ER469" s="286"/>
      <c r="ES469" s="286"/>
      <c r="ET469" s="286"/>
      <c r="EU469" s="286"/>
      <c r="EV469" s="286"/>
      <c r="EW469" s="286"/>
      <c r="EX469" s="286"/>
      <c r="EY469" s="286"/>
      <c r="EZ469" s="286"/>
      <c r="FA469" s="286"/>
      <c r="FB469" s="286"/>
      <c r="FC469" s="286"/>
      <c r="FD469" s="286"/>
      <c r="FE469" s="286"/>
      <c r="FF469" s="286"/>
      <c r="FG469" s="286"/>
      <c r="FH469" s="286"/>
      <c r="FI469" s="286"/>
      <c r="FJ469" s="286"/>
      <c r="FK469" s="286"/>
      <c r="FL469" s="286"/>
      <c r="FM469" s="286"/>
      <c r="FN469" s="286"/>
      <c r="FO469" s="286"/>
      <c r="FP469" s="286"/>
      <c r="FQ469" s="286"/>
      <c r="FR469" s="286"/>
      <c r="FS469" s="286"/>
    </row>
    <row r="470" spans="1:175">
      <c r="A470" s="212" t="s">
        <v>3159</v>
      </c>
      <c r="B470" s="212" t="s">
        <v>3160</v>
      </c>
      <c r="C470" s="212" t="s">
        <v>3170</v>
      </c>
      <c r="D470" s="212" t="s">
        <v>3632</v>
      </c>
      <c r="E470" s="212" t="s">
        <v>3642</v>
      </c>
      <c r="F470" s="278">
        <v>5352</v>
      </c>
      <c r="G470" s="278">
        <v>103232</v>
      </c>
      <c r="H470" s="287">
        <f t="shared" si="7"/>
        <v>0.94447458152510844</v>
      </c>
      <c r="I470" s="286">
        <v>136</v>
      </c>
      <c r="J470" s="286">
        <v>975</v>
      </c>
      <c r="K470" s="286">
        <v>501</v>
      </c>
      <c r="L470" s="286">
        <v>474</v>
      </c>
      <c r="M470" s="286">
        <v>835</v>
      </c>
      <c r="N470" s="286">
        <v>406</v>
      </c>
      <c r="O470" s="286">
        <v>429</v>
      </c>
      <c r="P470" s="286">
        <v>136</v>
      </c>
      <c r="Q470" s="286">
        <v>975</v>
      </c>
      <c r="R470" s="286">
        <v>501</v>
      </c>
      <c r="S470" s="286">
        <v>474</v>
      </c>
      <c r="T470" s="286">
        <v>835</v>
      </c>
      <c r="U470" s="286">
        <v>406</v>
      </c>
      <c r="V470" s="286">
        <v>429</v>
      </c>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c r="AS470" s="286"/>
      <c r="AT470" s="286"/>
      <c r="AU470" s="286"/>
      <c r="AV470" s="286"/>
      <c r="AW470" s="286"/>
      <c r="AX470" s="286"/>
      <c r="AY470" s="286"/>
      <c r="AZ470" s="286"/>
      <c r="BA470" s="286"/>
      <c r="BB470" s="286"/>
      <c r="BC470" s="286"/>
      <c r="BD470" s="286"/>
      <c r="BE470" s="286"/>
      <c r="BF470" s="286"/>
      <c r="BG470" s="286"/>
      <c r="BH470" s="286"/>
      <c r="BI470" s="286"/>
      <c r="BJ470" s="286"/>
      <c r="BK470" s="286"/>
      <c r="BL470" s="286"/>
      <c r="BM470" s="286"/>
      <c r="BN470" s="286"/>
      <c r="BO470" s="286"/>
      <c r="BP470" s="286"/>
      <c r="BQ470" s="286"/>
      <c r="BR470" s="286"/>
      <c r="BS470" s="286"/>
      <c r="BT470" s="286"/>
      <c r="BU470" s="286"/>
      <c r="BV470" s="286"/>
      <c r="BW470" s="286"/>
      <c r="BX470" s="286"/>
      <c r="BY470" s="286"/>
      <c r="BZ470" s="286"/>
      <c r="CA470" s="286"/>
      <c r="CB470" s="286"/>
      <c r="CC470" s="286"/>
      <c r="CD470" s="286"/>
      <c r="CE470" s="286"/>
      <c r="CF470" s="286"/>
      <c r="CG470" s="286"/>
      <c r="CH470" s="286"/>
      <c r="CI470" s="286"/>
      <c r="CJ470" s="286"/>
      <c r="CK470" s="286"/>
      <c r="CL470" s="286"/>
      <c r="CM470" s="286"/>
      <c r="CN470" s="286"/>
      <c r="CO470" s="286"/>
      <c r="CP470" s="286"/>
      <c r="CQ470" s="286"/>
      <c r="CR470" s="286"/>
      <c r="CS470" s="286"/>
      <c r="CT470" s="286"/>
      <c r="CU470" s="286"/>
      <c r="CV470" s="286"/>
      <c r="CW470" s="286"/>
      <c r="CX470" s="286"/>
      <c r="CY470" s="286"/>
      <c r="CZ470" s="286"/>
      <c r="DA470" s="286"/>
      <c r="DB470" s="286"/>
      <c r="DC470" s="286"/>
      <c r="DD470" s="286"/>
      <c r="DE470" s="286"/>
      <c r="DF470" s="286"/>
      <c r="DG470" s="286"/>
      <c r="DH470" s="286"/>
      <c r="DI470" s="286"/>
      <c r="DJ470" s="286"/>
      <c r="DK470" s="286"/>
      <c r="DL470" s="286"/>
      <c r="DM470" s="286"/>
      <c r="DN470" s="286"/>
      <c r="DO470" s="286"/>
      <c r="DP470" s="286"/>
      <c r="DQ470" s="286"/>
      <c r="DR470" s="286"/>
      <c r="DS470" s="286"/>
      <c r="DT470" s="286"/>
      <c r="DU470" s="286"/>
      <c r="DV470" s="286"/>
      <c r="DW470" s="286"/>
      <c r="DX470" s="286"/>
      <c r="DY470" s="286"/>
      <c r="DZ470" s="286"/>
      <c r="EA470" s="286"/>
      <c r="EB470" s="286"/>
      <c r="EC470" s="286"/>
      <c r="ED470" s="286"/>
      <c r="EE470" s="286"/>
      <c r="EF470" s="286"/>
      <c r="EG470" s="286"/>
      <c r="EH470" s="286"/>
      <c r="EI470" s="286"/>
      <c r="EJ470" s="286"/>
      <c r="EK470" s="286"/>
      <c r="EL470" s="286"/>
      <c r="EM470" s="286"/>
      <c r="EN470" s="286"/>
      <c r="EO470" s="286"/>
      <c r="EP470" s="286"/>
      <c r="EQ470" s="286"/>
      <c r="ER470" s="286"/>
      <c r="ES470" s="286"/>
      <c r="ET470" s="286"/>
      <c r="EU470" s="286"/>
      <c r="EV470" s="286"/>
      <c r="EW470" s="286"/>
      <c r="EX470" s="286"/>
      <c r="EY470" s="286"/>
      <c r="EZ470" s="286"/>
      <c r="FA470" s="286"/>
      <c r="FB470" s="286"/>
      <c r="FC470" s="286"/>
      <c r="FD470" s="286"/>
      <c r="FE470" s="286"/>
      <c r="FF470" s="286"/>
      <c r="FG470" s="286"/>
      <c r="FH470" s="286"/>
      <c r="FI470" s="286"/>
      <c r="FJ470" s="286"/>
      <c r="FK470" s="286"/>
      <c r="FL470" s="286"/>
      <c r="FM470" s="286"/>
      <c r="FN470" s="286"/>
      <c r="FO470" s="286"/>
      <c r="FP470" s="286"/>
      <c r="FQ470" s="286"/>
      <c r="FR470" s="286"/>
      <c r="FS470" s="286"/>
    </row>
    <row r="471" spans="1:175">
      <c r="A471" s="212" t="s">
        <v>3159</v>
      </c>
      <c r="B471" s="212" t="s">
        <v>3160</v>
      </c>
      <c r="C471" s="212" t="s">
        <v>3172</v>
      </c>
      <c r="D471" s="212" t="s">
        <v>3632</v>
      </c>
      <c r="E471" s="212" t="s">
        <v>3643</v>
      </c>
      <c r="F471" s="278">
        <v>22</v>
      </c>
      <c r="G471" s="278">
        <v>809</v>
      </c>
      <c r="H471" s="287">
        <f t="shared" si="7"/>
        <v>0</v>
      </c>
      <c r="I471" s="286">
        <v>0</v>
      </c>
      <c r="J471" s="286">
        <v>0</v>
      </c>
      <c r="K471" s="286">
        <v>0</v>
      </c>
      <c r="L471" s="286">
        <v>0</v>
      </c>
      <c r="M471" s="286">
        <v>0</v>
      </c>
      <c r="N471" s="286">
        <v>0</v>
      </c>
      <c r="O471" s="286">
        <v>0</v>
      </c>
      <c r="P471" s="286">
        <v>0</v>
      </c>
      <c r="Q471" s="286">
        <v>0</v>
      </c>
      <c r="R471" s="286">
        <v>0</v>
      </c>
      <c r="S471" s="286">
        <v>0</v>
      </c>
      <c r="T471" s="286">
        <v>0</v>
      </c>
      <c r="U471" s="286">
        <v>0</v>
      </c>
      <c r="V471" s="286">
        <v>0</v>
      </c>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c r="AS471" s="286"/>
      <c r="AT471" s="286"/>
      <c r="AU471" s="286"/>
      <c r="AV471" s="286"/>
      <c r="AW471" s="286"/>
      <c r="AX471" s="286"/>
      <c r="AY471" s="286"/>
      <c r="AZ471" s="286"/>
      <c r="BA471" s="286"/>
      <c r="BB471" s="286"/>
      <c r="BC471" s="286"/>
      <c r="BD471" s="286"/>
      <c r="BE471" s="286"/>
      <c r="BF471" s="286"/>
      <c r="BG471" s="286"/>
      <c r="BH471" s="286"/>
      <c r="BI471" s="286"/>
      <c r="BJ471" s="286"/>
      <c r="BK471" s="286"/>
      <c r="BL471" s="286"/>
      <c r="BM471" s="286"/>
      <c r="BN471" s="286"/>
      <c r="BO471" s="286"/>
      <c r="BP471" s="286"/>
      <c r="BQ471" s="286"/>
      <c r="BR471" s="286"/>
      <c r="BS471" s="286"/>
      <c r="BT471" s="286"/>
      <c r="BU471" s="286"/>
      <c r="BV471" s="286"/>
      <c r="BW471" s="286"/>
      <c r="BX471" s="286"/>
      <c r="BY471" s="286"/>
      <c r="BZ471" s="286"/>
      <c r="CA471" s="286"/>
      <c r="CB471" s="286"/>
      <c r="CC471" s="286"/>
      <c r="CD471" s="286"/>
      <c r="CE471" s="286"/>
      <c r="CF471" s="286"/>
      <c r="CG471" s="286"/>
      <c r="CH471" s="286"/>
      <c r="CI471" s="286"/>
      <c r="CJ471" s="286"/>
      <c r="CK471" s="286"/>
      <c r="CL471" s="286"/>
      <c r="CM471" s="286"/>
      <c r="CN471" s="286"/>
      <c r="CO471" s="286"/>
      <c r="CP471" s="286"/>
      <c r="CQ471" s="286"/>
      <c r="CR471" s="286"/>
      <c r="CS471" s="286"/>
      <c r="CT471" s="286"/>
      <c r="CU471" s="286"/>
      <c r="CV471" s="286"/>
      <c r="CW471" s="286"/>
      <c r="CX471" s="286"/>
      <c r="CY471" s="286"/>
      <c r="CZ471" s="286"/>
      <c r="DA471" s="286"/>
      <c r="DB471" s="286"/>
      <c r="DC471" s="286"/>
      <c r="DD471" s="286"/>
      <c r="DE471" s="286"/>
      <c r="DF471" s="286"/>
      <c r="DG471" s="286"/>
      <c r="DH471" s="286"/>
      <c r="DI471" s="286"/>
      <c r="DJ471" s="286"/>
      <c r="DK471" s="286"/>
      <c r="DL471" s="286"/>
      <c r="DM471" s="286"/>
      <c r="DN471" s="286"/>
      <c r="DO471" s="286"/>
      <c r="DP471" s="286"/>
      <c r="DQ471" s="286"/>
      <c r="DR471" s="286"/>
      <c r="DS471" s="286"/>
      <c r="DT471" s="286"/>
      <c r="DU471" s="286"/>
      <c r="DV471" s="286"/>
      <c r="DW471" s="286"/>
      <c r="DX471" s="286"/>
      <c r="DY471" s="286"/>
      <c r="DZ471" s="286"/>
      <c r="EA471" s="286"/>
      <c r="EB471" s="286"/>
      <c r="EC471" s="286"/>
      <c r="ED471" s="286"/>
      <c r="EE471" s="286"/>
      <c r="EF471" s="286"/>
      <c r="EG471" s="286"/>
      <c r="EH471" s="286"/>
      <c r="EI471" s="286"/>
      <c r="EJ471" s="286"/>
      <c r="EK471" s="286"/>
      <c r="EL471" s="286"/>
      <c r="EM471" s="286"/>
      <c r="EN471" s="286"/>
      <c r="EO471" s="286"/>
      <c r="EP471" s="286"/>
      <c r="EQ471" s="286"/>
      <c r="ER471" s="286"/>
      <c r="ES471" s="286"/>
      <c r="ET471" s="286"/>
      <c r="EU471" s="286"/>
      <c r="EV471" s="286"/>
      <c r="EW471" s="286"/>
      <c r="EX471" s="286"/>
      <c r="EY471" s="286"/>
      <c r="EZ471" s="286"/>
      <c r="FA471" s="286"/>
      <c r="FB471" s="286"/>
      <c r="FC471" s="286"/>
      <c r="FD471" s="286"/>
      <c r="FE471" s="286"/>
      <c r="FF471" s="286"/>
      <c r="FG471" s="286"/>
      <c r="FH471" s="286"/>
      <c r="FI471" s="286"/>
      <c r="FJ471" s="286"/>
      <c r="FK471" s="286"/>
      <c r="FL471" s="286"/>
      <c r="FM471" s="286"/>
      <c r="FN471" s="286"/>
      <c r="FO471" s="286"/>
      <c r="FP471" s="286"/>
      <c r="FQ471" s="286"/>
      <c r="FR471" s="286"/>
      <c r="FS471" s="286"/>
    </row>
    <row r="472" spans="1:175">
      <c r="A472" s="212" t="s">
        <v>3159</v>
      </c>
      <c r="B472" s="212" t="s">
        <v>3160</v>
      </c>
      <c r="C472" s="212" t="s">
        <v>3172</v>
      </c>
      <c r="D472" s="212" t="s">
        <v>3632</v>
      </c>
      <c r="E472" s="212" t="s">
        <v>3644</v>
      </c>
      <c r="F472" s="278">
        <v>1087</v>
      </c>
      <c r="G472" s="278">
        <v>15414</v>
      </c>
      <c r="H472" s="287">
        <f t="shared" si="7"/>
        <v>0.52549630206305964</v>
      </c>
      <c r="I472" s="286">
        <v>27</v>
      </c>
      <c r="J472" s="286">
        <v>81</v>
      </c>
      <c r="K472" s="286">
        <v>63</v>
      </c>
      <c r="L472" s="286">
        <v>18</v>
      </c>
      <c r="M472" s="286">
        <v>51</v>
      </c>
      <c r="N472" s="286">
        <v>38</v>
      </c>
      <c r="O472" s="286">
        <v>13</v>
      </c>
      <c r="P472" s="286">
        <v>27</v>
      </c>
      <c r="Q472" s="286">
        <v>81</v>
      </c>
      <c r="R472" s="286">
        <v>63</v>
      </c>
      <c r="S472" s="286">
        <v>18</v>
      </c>
      <c r="T472" s="286">
        <v>51</v>
      </c>
      <c r="U472" s="286">
        <v>38</v>
      </c>
      <c r="V472" s="286">
        <v>13</v>
      </c>
      <c r="W472" s="286"/>
      <c r="X472" s="286"/>
      <c r="Y472" s="286"/>
      <c r="Z472" s="286"/>
      <c r="AA472" s="286"/>
      <c r="AB472" s="286"/>
      <c r="AC472" s="286"/>
      <c r="AD472" s="286"/>
      <c r="AE472" s="286"/>
      <c r="AF472" s="286"/>
      <c r="AG472" s="286"/>
      <c r="AH472" s="286"/>
      <c r="AI472" s="286"/>
      <c r="AJ472" s="286"/>
      <c r="AK472" s="286"/>
      <c r="AL472" s="286"/>
      <c r="AM472" s="286"/>
      <c r="AN472" s="286"/>
      <c r="AO472" s="286"/>
      <c r="AP472" s="286"/>
      <c r="AQ472" s="286"/>
      <c r="AR472" s="286"/>
      <c r="AS472" s="286"/>
      <c r="AT472" s="286"/>
      <c r="AU472" s="286"/>
      <c r="AV472" s="286"/>
      <c r="AW472" s="286"/>
      <c r="AX472" s="286"/>
      <c r="AY472" s="286"/>
      <c r="AZ472" s="286"/>
      <c r="BA472" s="286"/>
      <c r="BB472" s="286"/>
      <c r="BC472" s="286"/>
      <c r="BD472" s="286"/>
      <c r="BE472" s="286"/>
      <c r="BF472" s="286"/>
      <c r="BG472" s="286"/>
      <c r="BH472" s="286"/>
      <c r="BI472" s="286"/>
      <c r="BJ472" s="286"/>
      <c r="BK472" s="286"/>
      <c r="BL472" s="286"/>
      <c r="BM472" s="286"/>
      <c r="BN472" s="286"/>
      <c r="BO472" s="286"/>
      <c r="BP472" s="286"/>
      <c r="BQ472" s="286"/>
      <c r="BR472" s="286"/>
      <c r="BS472" s="286"/>
      <c r="BT472" s="286"/>
      <c r="BU472" s="286"/>
      <c r="BV472" s="286"/>
      <c r="BW472" s="286"/>
      <c r="BX472" s="286"/>
      <c r="BY472" s="286"/>
      <c r="BZ472" s="286"/>
      <c r="CA472" s="286"/>
      <c r="CB472" s="286"/>
      <c r="CC472" s="286"/>
      <c r="CD472" s="286"/>
      <c r="CE472" s="286"/>
      <c r="CF472" s="286"/>
      <c r="CG472" s="286"/>
      <c r="CH472" s="286"/>
      <c r="CI472" s="286"/>
      <c r="CJ472" s="286"/>
      <c r="CK472" s="286"/>
      <c r="CL472" s="286"/>
      <c r="CM472" s="286"/>
      <c r="CN472" s="286"/>
      <c r="CO472" s="286"/>
      <c r="CP472" s="286"/>
      <c r="CQ472" s="286"/>
      <c r="CR472" s="286"/>
      <c r="CS472" s="286"/>
      <c r="CT472" s="286"/>
      <c r="CU472" s="286"/>
      <c r="CV472" s="286"/>
      <c r="CW472" s="286"/>
      <c r="CX472" s="286"/>
      <c r="CY472" s="286"/>
      <c r="CZ472" s="286"/>
      <c r="DA472" s="286"/>
      <c r="DB472" s="286"/>
      <c r="DC472" s="286"/>
      <c r="DD472" s="286"/>
      <c r="DE472" s="286"/>
      <c r="DF472" s="286"/>
      <c r="DG472" s="286"/>
      <c r="DH472" s="286"/>
      <c r="DI472" s="286"/>
      <c r="DJ472" s="286"/>
      <c r="DK472" s="286"/>
      <c r="DL472" s="286"/>
      <c r="DM472" s="286"/>
      <c r="DN472" s="286"/>
      <c r="DO472" s="286"/>
      <c r="DP472" s="286"/>
      <c r="DQ472" s="286"/>
      <c r="DR472" s="286"/>
      <c r="DS472" s="286"/>
      <c r="DT472" s="286"/>
      <c r="DU472" s="286"/>
      <c r="DV472" s="286"/>
      <c r="DW472" s="286"/>
      <c r="DX472" s="286"/>
      <c r="DY472" s="286"/>
      <c r="DZ472" s="286"/>
      <c r="EA472" s="286"/>
      <c r="EB472" s="286"/>
      <c r="EC472" s="286"/>
      <c r="ED472" s="286"/>
      <c r="EE472" s="286"/>
      <c r="EF472" s="286"/>
      <c r="EG472" s="286"/>
      <c r="EH472" s="286"/>
      <c r="EI472" s="286"/>
      <c r="EJ472" s="286"/>
      <c r="EK472" s="286"/>
      <c r="EL472" s="286"/>
      <c r="EM472" s="286"/>
      <c r="EN472" s="286"/>
      <c r="EO472" s="286"/>
      <c r="EP472" s="286"/>
      <c r="EQ472" s="286"/>
      <c r="ER472" s="286"/>
      <c r="ES472" s="286"/>
      <c r="ET472" s="286"/>
      <c r="EU472" s="286"/>
      <c r="EV472" s="286"/>
      <c r="EW472" s="286"/>
      <c r="EX472" s="286"/>
      <c r="EY472" s="286"/>
      <c r="EZ472" s="286"/>
      <c r="FA472" s="286"/>
      <c r="FB472" s="286"/>
      <c r="FC472" s="286"/>
      <c r="FD472" s="286"/>
      <c r="FE472" s="286"/>
      <c r="FF472" s="286"/>
      <c r="FG472" s="286"/>
      <c r="FH472" s="286"/>
      <c r="FI472" s="286"/>
      <c r="FJ472" s="286"/>
      <c r="FK472" s="286"/>
      <c r="FL472" s="286"/>
      <c r="FM472" s="286"/>
      <c r="FN472" s="286"/>
      <c r="FO472" s="286"/>
      <c r="FP472" s="286"/>
      <c r="FQ472" s="286"/>
      <c r="FR472" s="286"/>
      <c r="FS472" s="286"/>
    </row>
    <row r="473" spans="1:175">
      <c r="A473" s="212" t="s">
        <v>3159</v>
      </c>
      <c r="B473" s="212" t="s">
        <v>3160</v>
      </c>
      <c r="C473" s="212" t="s">
        <v>3172</v>
      </c>
      <c r="D473" s="212" t="s">
        <v>3632</v>
      </c>
      <c r="E473" s="212" t="s">
        <v>3645</v>
      </c>
      <c r="F473" s="278">
        <v>1324</v>
      </c>
      <c r="G473" s="278">
        <v>3694</v>
      </c>
      <c r="H473" s="287">
        <f t="shared" si="7"/>
        <v>4.0877097996751486</v>
      </c>
      <c r="I473" s="286">
        <v>63</v>
      </c>
      <c r="J473" s="286">
        <v>151</v>
      </c>
      <c r="K473" s="286">
        <v>83</v>
      </c>
      <c r="L473" s="286">
        <v>68</v>
      </c>
      <c r="M473" s="286">
        <v>62</v>
      </c>
      <c r="N473" s="286">
        <v>27</v>
      </c>
      <c r="O473" s="286">
        <v>35</v>
      </c>
      <c r="P473" s="286">
        <v>63</v>
      </c>
      <c r="Q473" s="286">
        <v>151</v>
      </c>
      <c r="R473" s="286">
        <v>83</v>
      </c>
      <c r="S473" s="286">
        <v>68</v>
      </c>
      <c r="T473" s="286">
        <v>62</v>
      </c>
      <c r="U473" s="286">
        <v>27</v>
      </c>
      <c r="V473" s="286">
        <v>35</v>
      </c>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c r="AS473" s="286"/>
      <c r="AT473" s="286"/>
      <c r="AU473" s="286"/>
      <c r="AV473" s="286"/>
      <c r="AW473" s="286"/>
      <c r="AX473" s="286"/>
      <c r="AY473" s="286"/>
      <c r="AZ473" s="286"/>
      <c r="BA473" s="286"/>
      <c r="BB473" s="286"/>
      <c r="BC473" s="286"/>
      <c r="BD473" s="286"/>
      <c r="BE473" s="286"/>
      <c r="BF473" s="286"/>
      <c r="BG473" s="286"/>
      <c r="BH473" s="286"/>
      <c r="BI473" s="286"/>
      <c r="BJ473" s="286"/>
      <c r="BK473" s="286"/>
      <c r="BL473" s="286"/>
      <c r="BM473" s="286"/>
      <c r="BN473" s="286"/>
      <c r="BO473" s="286"/>
      <c r="BP473" s="286"/>
      <c r="BQ473" s="286"/>
      <c r="BR473" s="286"/>
      <c r="BS473" s="286"/>
      <c r="BT473" s="286"/>
      <c r="BU473" s="286"/>
      <c r="BV473" s="286"/>
      <c r="BW473" s="286"/>
      <c r="BX473" s="286"/>
      <c r="BY473" s="286"/>
      <c r="BZ473" s="286"/>
      <c r="CA473" s="286"/>
      <c r="CB473" s="286"/>
      <c r="CC473" s="286"/>
      <c r="CD473" s="286"/>
      <c r="CE473" s="286"/>
      <c r="CF473" s="286"/>
      <c r="CG473" s="286"/>
      <c r="CH473" s="286"/>
      <c r="CI473" s="286"/>
      <c r="CJ473" s="286"/>
      <c r="CK473" s="286"/>
      <c r="CL473" s="286"/>
      <c r="CM473" s="286"/>
      <c r="CN473" s="286"/>
      <c r="CO473" s="286"/>
      <c r="CP473" s="286"/>
      <c r="CQ473" s="286"/>
      <c r="CR473" s="286"/>
      <c r="CS473" s="286"/>
      <c r="CT473" s="286"/>
      <c r="CU473" s="286"/>
      <c r="CV473" s="286"/>
      <c r="CW473" s="286"/>
      <c r="CX473" s="286"/>
      <c r="CY473" s="286"/>
      <c r="CZ473" s="286"/>
      <c r="DA473" s="286"/>
      <c r="DB473" s="286"/>
      <c r="DC473" s="286"/>
      <c r="DD473" s="286"/>
      <c r="DE473" s="286"/>
      <c r="DF473" s="286"/>
      <c r="DG473" s="286"/>
      <c r="DH473" s="286"/>
      <c r="DI473" s="286"/>
      <c r="DJ473" s="286"/>
      <c r="DK473" s="286"/>
      <c r="DL473" s="286"/>
      <c r="DM473" s="286"/>
      <c r="DN473" s="286"/>
      <c r="DO473" s="286"/>
      <c r="DP473" s="286"/>
      <c r="DQ473" s="286"/>
      <c r="DR473" s="286"/>
      <c r="DS473" s="286"/>
      <c r="DT473" s="286"/>
      <c r="DU473" s="286"/>
      <c r="DV473" s="286"/>
      <c r="DW473" s="286"/>
      <c r="DX473" s="286"/>
      <c r="DY473" s="286"/>
      <c r="DZ473" s="286"/>
      <c r="EA473" s="286"/>
      <c r="EB473" s="286"/>
      <c r="EC473" s="286"/>
      <c r="ED473" s="286"/>
      <c r="EE473" s="286"/>
      <c r="EF473" s="286"/>
      <c r="EG473" s="286"/>
      <c r="EH473" s="286"/>
      <c r="EI473" s="286"/>
      <c r="EJ473" s="286"/>
      <c r="EK473" s="286"/>
      <c r="EL473" s="286"/>
      <c r="EM473" s="286"/>
      <c r="EN473" s="286"/>
      <c r="EO473" s="286"/>
      <c r="EP473" s="286"/>
      <c r="EQ473" s="286"/>
      <c r="ER473" s="286"/>
      <c r="ES473" s="286"/>
      <c r="ET473" s="286"/>
      <c r="EU473" s="286"/>
      <c r="EV473" s="286"/>
      <c r="EW473" s="286"/>
      <c r="EX473" s="286"/>
      <c r="EY473" s="286"/>
      <c r="EZ473" s="286"/>
      <c r="FA473" s="286"/>
      <c r="FB473" s="286"/>
      <c r="FC473" s="286"/>
      <c r="FD473" s="286"/>
      <c r="FE473" s="286"/>
      <c r="FF473" s="286"/>
      <c r="FG473" s="286"/>
      <c r="FH473" s="286"/>
      <c r="FI473" s="286"/>
      <c r="FJ473" s="286"/>
      <c r="FK473" s="286"/>
      <c r="FL473" s="286"/>
      <c r="FM473" s="286"/>
      <c r="FN473" s="286"/>
      <c r="FO473" s="286"/>
      <c r="FP473" s="286"/>
      <c r="FQ473" s="286"/>
      <c r="FR473" s="286"/>
      <c r="FS473" s="286"/>
    </row>
    <row r="474" spans="1:175">
      <c r="A474" s="212" t="s">
        <v>3159</v>
      </c>
      <c r="B474" s="212" t="s">
        <v>3160</v>
      </c>
      <c r="C474" s="212" t="s">
        <v>3172</v>
      </c>
      <c r="D474" s="212" t="s">
        <v>3632</v>
      </c>
      <c r="E474" s="212" t="s">
        <v>3646</v>
      </c>
      <c r="F474" s="278">
        <v>1395</v>
      </c>
      <c r="G474" s="278">
        <v>63323</v>
      </c>
      <c r="H474" s="287">
        <f t="shared" si="7"/>
        <v>0.70274623754402032</v>
      </c>
      <c r="I474" s="286">
        <v>30</v>
      </c>
      <c r="J474" s="286">
        <v>445</v>
      </c>
      <c r="K474" s="286">
        <v>174</v>
      </c>
      <c r="L474" s="286">
        <v>271</v>
      </c>
      <c r="M474" s="286">
        <v>432</v>
      </c>
      <c r="N474" s="286">
        <v>166</v>
      </c>
      <c r="O474" s="286">
        <v>266</v>
      </c>
      <c r="P474" s="286">
        <v>30</v>
      </c>
      <c r="Q474" s="286">
        <v>445</v>
      </c>
      <c r="R474" s="286">
        <v>174</v>
      </c>
      <c r="S474" s="286">
        <v>271</v>
      </c>
      <c r="T474" s="286">
        <v>432</v>
      </c>
      <c r="U474" s="286">
        <v>166</v>
      </c>
      <c r="V474" s="286">
        <v>266</v>
      </c>
      <c r="W474" s="286"/>
      <c r="X474" s="286"/>
      <c r="Y474" s="286"/>
      <c r="Z474" s="286"/>
      <c r="AA474" s="286"/>
      <c r="AB474" s="286"/>
      <c r="AC474" s="286"/>
      <c r="AD474" s="286"/>
      <c r="AE474" s="286"/>
      <c r="AF474" s="286"/>
      <c r="AG474" s="286"/>
      <c r="AH474" s="286"/>
      <c r="AI474" s="286"/>
      <c r="AJ474" s="286"/>
      <c r="AK474" s="286"/>
      <c r="AL474" s="286"/>
      <c r="AM474" s="286"/>
      <c r="AN474" s="286"/>
      <c r="AO474" s="286"/>
      <c r="AP474" s="286"/>
      <c r="AQ474" s="286"/>
      <c r="AR474" s="286"/>
      <c r="AS474" s="286"/>
      <c r="AT474" s="286"/>
      <c r="AU474" s="286"/>
      <c r="AV474" s="286"/>
      <c r="AW474" s="286"/>
      <c r="AX474" s="286"/>
      <c r="AY474" s="286"/>
      <c r="AZ474" s="286"/>
      <c r="BA474" s="286"/>
      <c r="BB474" s="286"/>
      <c r="BC474" s="286"/>
      <c r="BD474" s="286"/>
      <c r="BE474" s="286"/>
      <c r="BF474" s="286"/>
      <c r="BG474" s="286"/>
      <c r="BH474" s="286"/>
      <c r="BI474" s="286"/>
      <c r="BJ474" s="286"/>
      <c r="BK474" s="286"/>
      <c r="BL474" s="286"/>
      <c r="BM474" s="286"/>
      <c r="BN474" s="286"/>
      <c r="BO474" s="286"/>
      <c r="BP474" s="286"/>
      <c r="BQ474" s="286"/>
      <c r="BR474" s="286"/>
      <c r="BS474" s="286"/>
      <c r="BT474" s="286"/>
      <c r="BU474" s="286"/>
      <c r="BV474" s="286"/>
      <c r="BW474" s="286"/>
      <c r="BX474" s="286"/>
      <c r="BY474" s="286"/>
      <c r="BZ474" s="286"/>
      <c r="CA474" s="286"/>
      <c r="CB474" s="286"/>
      <c r="CC474" s="286"/>
      <c r="CD474" s="286"/>
      <c r="CE474" s="286"/>
      <c r="CF474" s="286"/>
      <c r="CG474" s="286"/>
      <c r="CH474" s="286"/>
      <c r="CI474" s="286"/>
      <c r="CJ474" s="286"/>
      <c r="CK474" s="286"/>
      <c r="CL474" s="286"/>
      <c r="CM474" s="286"/>
      <c r="CN474" s="286"/>
      <c r="CO474" s="286"/>
      <c r="CP474" s="286"/>
      <c r="CQ474" s="286"/>
      <c r="CR474" s="286"/>
      <c r="CS474" s="286"/>
      <c r="CT474" s="286"/>
      <c r="CU474" s="286"/>
      <c r="CV474" s="286"/>
      <c r="CW474" s="286"/>
      <c r="CX474" s="286"/>
      <c r="CY474" s="286"/>
      <c r="CZ474" s="286"/>
      <c r="DA474" s="286"/>
      <c r="DB474" s="286"/>
      <c r="DC474" s="286"/>
      <c r="DD474" s="286"/>
      <c r="DE474" s="286"/>
      <c r="DF474" s="286"/>
      <c r="DG474" s="286"/>
      <c r="DH474" s="286"/>
      <c r="DI474" s="286"/>
      <c r="DJ474" s="286"/>
      <c r="DK474" s="286"/>
      <c r="DL474" s="286"/>
      <c r="DM474" s="286"/>
      <c r="DN474" s="286"/>
      <c r="DO474" s="286"/>
      <c r="DP474" s="286"/>
      <c r="DQ474" s="286"/>
      <c r="DR474" s="286"/>
      <c r="DS474" s="286"/>
      <c r="DT474" s="286"/>
      <c r="DU474" s="286"/>
      <c r="DV474" s="286"/>
      <c r="DW474" s="286"/>
      <c r="DX474" s="286"/>
      <c r="DY474" s="286"/>
      <c r="DZ474" s="286"/>
      <c r="EA474" s="286"/>
      <c r="EB474" s="286"/>
      <c r="EC474" s="286"/>
      <c r="ED474" s="286"/>
      <c r="EE474" s="286"/>
      <c r="EF474" s="286"/>
      <c r="EG474" s="286"/>
      <c r="EH474" s="286"/>
      <c r="EI474" s="286"/>
      <c r="EJ474" s="286"/>
      <c r="EK474" s="286"/>
      <c r="EL474" s="286"/>
      <c r="EM474" s="286"/>
      <c r="EN474" s="286"/>
      <c r="EO474" s="286"/>
      <c r="EP474" s="286"/>
      <c r="EQ474" s="286"/>
      <c r="ER474" s="286"/>
      <c r="ES474" s="286"/>
      <c r="ET474" s="286"/>
      <c r="EU474" s="286"/>
      <c r="EV474" s="286"/>
      <c r="EW474" s="286"/>
      <c r="EX474" s="286"/>
      <c r="EY474" s="286"/>
      <c r="EZ474" s="286"/>
      <c r="FA474" s="286"/>
      <c r="FB474" s="286"/>
      <c r="FC474" s="286"/>
      <c r="FD474" s="286"/>
      <c r="FE474" s="286"/>
      <c r="FF474" s="286"/>
      <c r="FG474" s="286"/>
      <c r="FH474" s="286"/>
      <c r="FI474" s="286"/>
      <c r="FJ474" s="286"/>
      <c r="FK474" s="286"/>
      <c r="FL474" s="286"/>
      <c r="FM474" s="286"/>
      <c r="FN474" s="286"/>
      <c r="FO474" s="286"/>
      <c r="FP474" s="286"/>
      <c r="FQ474" s="286"/>
      <c r="FR474" s="286"/>
      <c r="FS474" s="286"/>
    </row>
    <row r="475" spans="1:175">
      <c r="A475" s="212" t="s">
        <v>3159</v>
      </c>
      <c r="B475" s="212" t="s">
        <v>3160</v>
      </c>
      <c r="C475" s="212" t="s">
        <v>3172</v>
      </c>
      <c r="D475" s="212" t="s">
        <v>3632</v>
      </c>
      <c r="E475" s="212" t="s">
        <v>3647</v>
      </c>
      <c r="F475" s="278">
        <v>1524</v>
      </c>
      <c r="G475" s="278">
        <v>19992</v>
      </c>
      <c r="H475" s="287">
        <f t="shared" si="7"/>
        <v>1.4905962384953981</v>
      </c>
      <c r="I475" s="286">
        <v>16</v>
      </c>
      <c r="J475" s="286">
        <v>298</v>
      </c>
      <c r="K475" s="286">
        <v>181</v>
      </c>
      <c r="L475" s="286">
        <v>117</v>
      </c>
      <c r="M475" s="286">
        <v>290</v>
      </c>
      <c r="N475" s="286">
        <v>175</v>
      </c>
      <c r="O475" s="286">
        <v>115</v>
      </c>
      <c r="P475" s="286">
        <v>16</v>
      </c>
      <c r="Q475" s="286">
        <v>298</v>
      </c>
      <c r="R475" s="286">
        <v>181</v>
      </c>
      <c r="S475" s="286">
        <v>117</v>
      </c>
      <c r="T475" s="286">
        <v>290</v>
      </c>
      <c r="U475" s="286">
        <v>175</v>
      </c>
      <c r="V475" s="286">
        <v>115</v>
      </c>
      <c r="W475" s="286"/>
      <c r="X475" s="286"/>
      <c r="Y475" s="286"/>
      <c r="Z475" s="286"/>
      <c r="AA475" s="286"/>
      <c r="AB475" s="286"/>
      <c r="AC475" s="286"/>
      <c r="AD475" s="286"/>
      <c r="AE475" s="286"/>
      <c r="AF475" s="286"/>
      <c r="AG475" s="286"/>
      <c r="AH475" s="286"/>
      <c r="AI475" s="286"/>
      <c r="AJ475" s="286"/>
      <c r="AK475" s="286"/>
      <c r="AL475" s="286"/>
      <c r="AM475" s="286"/>
      <c r="AN475" s="286"/>
      <c r="AO475" s="286"/>
      <c r="AP475" s="286"/>
      <c r="AQ475" s="286"/>
      <c r="AR475" s="286"/>
      <c r="AS475" s="286"/>
      <c r="AT475" s="286"/>
      <c r="AU475" s="286"/>
      <c r="AV475" s="286"/>
      <c r="AW475" s="286"/>
      <c r="AX475" s="286"/>
      <c r="AY475" s="286"/>
      <c r="AZ475" s="286"/>
      <c r="BA475" s="286"/>
      <c r="BB475" s="286"/>
      <c r="BC475" s="286"/>
      <c r="BD475" s="286"/>
      <c r="BE475" s="286"/>
      <c r="BF475" s="286"/>
      <c r="BG475" s="286"/>
      <c r="BH475" s="286"/>
      <c r="BI475" s="286"/>
      <c r="BJ475" s="286"/>
      <c r="BK475" s="286"/>
      <c r="BL475" s="286"/>
      <c r="BM475" s="286"/>
      <c r="BN475" s="286"/>
      <c r="BO475" s="286"/>
      <c r="BP475" s="286"/>
      <c r="BQ475" s="286"/>
      <c r="BR475" s="286"/>
      <c r="BS475" s="286"/>
      <c r="BT475" s="286"/>
      <c r="BU475" s="286"/>
      <c r="BV475" s="286"/>
      <c r="BW475" s="286"/>
      <c r="BX475" s="286"/>
      <c r="BY475" s="286"/>
      <c r="BZ475" s="286"/>
      <c r="CA475" s="286"/>
      <c r="CB475" s="286"/>
      <c r="CC475" s="286"/>
      <c r="CD475" s="286"/>
      <c r="CE475" s="286"/>
      <c r="CF475" s="286"/>
      <c r="CG475" s="286"/>
      <c r="CH475" s="286"/>
      <c r="CI475" s="286"/>
      <c r="CJ475" s="286"/>
      <c r="CK475" s="286"/>
      <c r="CL475" s="286"/>
      <c r="CM475" s="286"/>
      <c r="CN475" s="286"/>
      <c r="CO475" s="286"/>
      <c r="CP475" s="286"/>
      <c r="CQ475" s="286"/>
      <c r="CR475" s="286"/>
      <c r="CS475" s="286"/>
      <c r="CT475" s="286"/>
      <c r="CU475" s="286"/>
      <c r="CV475" s="286"/>
      <c r="CW475" s="286"/>
      <c r="CX475" s="286"/>
      <c r="CY475" s="286"/>
      <c r="CZ475" s="286"/>
      <c r="DA475" s="286"/>
      <c r="DB475" s="286"/>
      <c r="DC475" s="286"/>
      <c r="DD475" s="286"/>
      <c r="DE475" s="286"/>
      <c r="DF475" s="286"/>
      <c r="DG475" s="286"/>
      <c r="DH475" s="286"/>
      <c r="DI475" s="286"/>
      <c r="DJ475" s="286"/>
      <c r="DK475" s="286"/>
      <c r="DL475" s="286"/>
      <c r="DM475" s="286"/>
      <c r="DN475" s="286"/>
      <c r="DO475" s="286"/>
      <c r="DP475" s="286"/>
      <c r="DQ475" s="286"/>
      <c r="DR475" s="286"/>
      <c r="DS475" s="286"/>
      <c r="DT475" s="286"/>
      <c r="DU475" s="286"/>
      <c r="DV475" s="286"/>
      <c r="DW475" s="286"/>
      <c r="DX475" s="286"/>
      <c r="DY475" s="286"/>
      <c r="DZ475" s="286"/>
      <c r="EA475" s="286"/>
      <c r="EB475" s="286"/>
      <c r="EC475" s="286"/>
      <c r="ED475" s="286"/>
      <c r="EE475" s="286"/>
      <c r="EF475" s="286"/>
      <c r="EG475" s="286"/>
      <c r="EH475" s="286"/>
      <c r="EI475" s="286"/>
      <c r="EJ475" s="286"/>
      <c r="EK475" s="286"/>
      <c r="EL475" s="286"/>
      <c r="EM475" s="286"/>
      <c r="EN475" s="286"/>
      <c r="EO475" s="286"/>
      <c r="EP475" s="286"/>
      <c r="EQ475" s="286"/>
      <c r="ER475" s="286"/>
      <c r="ES475" s="286"/>
      <c r="ET475" s="286"/>
      <c r="EU475" s="286"/>
      <c r="EV475" s="286"/>
      <c r="EW475" s="286"/>
      <c r="EX475" s="286"/>
      <c r="EY475" s="286"/>
      <c r="EZ475" s="286"/>
      <c r="FA475" s="286"/>
      <c r="FB475" s="286"/>
      <c r="FC475" s="286"/>
      <c r="FD475" s="286"/>
      <c r="FE475" s="286"/>
      <c r="FF475" s="286"/>
      <c r="FG475" s="286"/>
      <c r="FH475" s="286"/>
      <c r="FI475" s="286"/>
      <c r="FJ475" s="286"/>
      <c r="FK475" s="286"/>
      <c r="FL475" s="286"/>
      <c r="FM475" s="286"/>
      <c r="FN475" s="286"/>
      <c r="FO475" s="286"/>
      <c r="FP475" s="286"/>
      <c r="FQ475" s="286"/>
      <c r="FR475" s="286"/>
      <c r="FS475" s="286"/>
    </row>
    <row r="476" spans="1:175">
      <c r="A476" s="212" t="s">
        <v>3159</v>
      </c>
      <c r="B476" s="212" t="s">
        <v>3160</v>
      </c>
      <c r="C476" s="212" t="s">
        <v>3170</v>
      </c>
      <c r="D476" s="212" t="s">
        <v>3632</v>
      </c>
      <c r="E476" s="212" t="s">
        <v>3648</v>
      </c>
      <c r="F476" s="278">
        <v>5348</v>
      </c>
      <c r="G476" s="278">
        <v>103894</v>
      </c>
      <c r="H476" s="287">
        <f t="shared" si="7"/>
        <v>2.0030030608119818</v>
      </c>
      <c r="I476" s="286">
        <v>200</v>
      </c>
      <c r="J476" s="286">
        <v>2081</v>
      </c>
      <c r="K476" s="286">
        <v>1329</v>
      </c>
      <c r="L476" s="286">
        <v>736</v>
      </c>
      <c r="M476" s="286">
        <v>1873</v>
      </c>
      <c r="N476" s="286">
        <v>1212</v>
      </c>
      <c r="O476" s="286">
        <v>645</v>
      </c>
      <c r="P476" s="286">
        <v>200</v>
      </c>
      <c r="Q476" s="286">
        <v>2081</v>
      </c>
      <c r="R476" s="286">
        <v>1329</v>
      </c>
      <c r="S476" s="286">
        <v>736</v>
      </c>
      <c r="T476" s="286">
        <v>1873</v>
      </c>
      <c r="U476" s="286">
        <v>1212</v>
      </c>
      <c r="V476" s="286">
        <v>645</v>
      </c>
      <c r="W476" s="286"/>
      <c r="X476" s="286"/>
      <c r="Y476" s="286"/>
      <c r="Z476" s="286"/>
      <c r="AA476" s="286"/>
      <c r="AB476" s="286"/>
      <c r="AC476" s="286"/>
      <c r="AD476" s="286"/>
      <c r="AE476" s="286"/>
      <c r="AF476" s="286"/>
      <c r="AG476" s="286"/>
      <c r="AH476" s="286"/>
      <c r="AI476" s="286"/>
      <c r="AJ476" s="286"/>
      <c r="AK476" s="286"/>
      <c r="AL476" s="286"/>
      <c r="AM476" s="286"/>
      <c r="AN476" s="286"/>
      <c r="AO476" s="286"/>
      <c r="AP476" s="286"/>
      <c r="AQ476" s="286"/>
      <c r="AR476" s="286"/>
      <c r="AS476" s="286"/>
      <c r="AT476" s="286"/>
      <c r="AU476" s="286"/>
      <c r="AV476" s="286"/>
      <c r="AW476" s="286"/>
      <c r="AX476" s="286"/>
      <c r="AY476" s="286"/>
      <c r="AZ476" s="286"/>
      <c r="BA476" s="286"/>
      <c r="BB476" s="286"/>
      <c r="BC476" s="286"/>
      <c r="BD476" s="286"/>
      <c r="BE476" s="286"/>
      <c r="BF476" s="286"/>
      <c r="BG476" s="286"/>
      <c r="BH476" s="286"/>
      <c r="BI476" s="286"/>
      <c r="BJ476" s="286"/>
      <c r="BK476" s="286"/>
      <c r="BL476" s="286"/>
      <c r="BM476" s="286"/>
      <c r="BN476" s="286"/>
      <c r="BO476" s="286"/>
      <c r="BP476" s="286"/>
      <c r="BQ476" s="286"/>
      <c r="BR476" s="286"/>
      <c r="BS476" s="286"/>
      <c r="BT476" s="286"/>
      <c r="BU476" s="286"/>
      <c r="BV476" s="286"/>
      <c r="BW476" s="286"/>
      <c r="BX476" s="286"/>
      <c r="BY476" s="286"/>
      <c r="BZ476" s="286"/>
      <c r="CA476" s="286"/>
      <c r="CB476" s="286"/>
      <c r="CC476" s="286"/>
      <c r="CD476" s="286"/>
      <c r="CE476" s="286"/>
      <c r="CF476" s="286"/>
      <c r="CG476" s="286"/>
      <c r="CH476" s="286"/>
      <c r="CI476" s="286"/>
      <c r="CJ476" s="286"/>
      <c r="CK476" s="286"/>
      <c r="CL476" s="286"/>
      <c r="CM476" s="286"/>
      <c r="CN476" s="286"/>
      <c r="CO476" s="286"/>
      <c r="CP476" s="286"/>
      <c r="CQ476" s="286"/>
      <c r="CR476" s="286"/>
      <c r="CS476" s="286"/>
      <c r="CT476" s="286"/>
      <c r="CU476" s="286"/>
      <c r="CV476" s="286"/>
      <c r="CW476" s="286"/>
      <c r="CX476" s="286"/>
      <c r="CY476" s="286"/>
      <c r="CZ476" s="286"/>
      <c r="DA476" s="286"/>
      <c r="DB476" s="286"/>
      <c r="DC476" s="286"/>
      <c r="DD476" s="286"/>
      <c r="DE476" s="286"/>
      <c r="DF476" s="286"/>
      <c r="DG476" s="286"/>
      <c r="DH476" s="286"/>
      <c r="DI476" s="286"/>
      <c r="DJ476" s="286"/>
      <c r="DK476" s="286"/>
      <c r="DL476" s="286"/>
      <c r="DM476" s="286"/>
      <c r="DN476" s="286"/>
      <c r="DO476" s="286"/>
      <c r="DP476" s="286"/>
      <c r="DQ476" s="286"/>
      <c r="DR476" s="286"/>
      <c r="DS476" s="286"/>
      <c r="DT476" s="286"/>
      <c r="DU476" s="286"/>
      <c r="DV476" s="286"/>
      <c r="DW476" s="286"/>
      <c r="DX476" s="286"/>
      <c r="DY476" s="286"/>
      <c r="DZ476" s="286"/>
      <c r="EA476" s="286"/>
      <c r="EB476" s="286"/>
      <c r="EC476" s="286"/>
      <c r="ED476" s="286"/>
      <c r="EE476" s="286"/>
      <c r="EF476" s="286"/>
      <c r="EG476" s="286"/>
      <c r="EH476" s="286"/>
      <c r="EI476" s="286"/>
      <c r="EJ476" s="286"/>
      <c r="EK476" s="286"/>
      <c r="EL476" s="286"/>
      <c r="EM476" s="286"/>
      <c r="EN476" s="286"/>
      <c r="EO476" s="286"/>
      <c r="EP476" s="286"/>
      <c r="EQ476" s="286"/>
      <c r="ER476" s="286"/>
      <c r="ES476" s="286"/>
      <c r="ET476" s="286"/>
      <c r="EU476" s="286"/>
      <c r="EV476" s="286"/>
      <c r="EW476" s="286"/>
      <c r="EX476" s="286"/>
      <c r="EY476" s="286"/>
      <c r="EZ476" s="286"/>
      <c r="FA476" s="286"/>
      <c r="FB476" s="286"/>
      <c r="FC476" s="286"/>
      <c r="FD476" s="286"/>
      <c r="FE476" s="286"/>
      <c r="FF476" s="286"/>
      <c r="FG476" s="286"/>
      <c r="FH476" s="286"/>
      <c r="FI476" s="286"/>
      <c r="FJ476" s="286"/>
      <c r="FK476" s="286"/>
      <c r="FL476" s="286"/>
      <c r="FM476" s="286"/>
      <c r="FN476" s="286"/>
      <c r="FO476" s="286"/>
      <c r="FP476" s="286"/>
      <c r="FQ476" s="286"/>
      <c r="FR476" s="286"/>
      <c r="FS476" s="286"/>
    </row>
    <row r="477" spans="1:175">
      <c r="A477" s="212" t="s">
        <v>3159</v>
      </c>
      <c r="B477" s="212" t="s">
        <v>3160</v>
      </c>
      <c r="C477" s="212" t="s">
        <v>3172</v>
      </c>
      <c r="D477" s="212" t="s">
        <v>3632</v>
      </c>
      <c r="E477" s="212" t="s">
        <v>3649</v>
      </c>
      <c r="F477" s="278">
        <v>7</v>
      </c>
      <c r="G477" s="278">
        <v>1349</v>
      </c>
      <c r="H477" s="287">
        <f t="shared" si="7"/>
        <v>0</v>
      </c>
      <c r="I477" s="286">
        <v>0</v>
      </c>
      <c r="J477" s="286">
        <v>0</v>
      </c>
      <c r="K477" s="286">
        <v>0</v>
      </c>
      <c r="L477" s="286">
        <v>0</v>
      </c>
      <c r="M477" s="286">
        <v>0</v>
      </c>
      <c r="N477" s="286">
        <v>0</v>
      </c>
      <c r="O477" s="286">
        <v>0</v>
      </c>
      <c r="P477" s="286">
        <v>0</v>
      </c>
      <c r="Q477" s="286">
        <v>0</v>
      </c>
      <c r="R477" s="286">
        <v>0</v>
      </c>
      <c r="S477" s="286">
        <v>0</v>
      </c>
      <c r="T477" s="286">
        <v>0</v>
      </c>
      <c r="U477" s="286">
        <v>0</v>
      </c>
      <c r="V477" s="286">
        <v>0</v>
      </c>
      <c r="W477" s="286"/>
      <c r="X477" s="286"/>
      <c r="Y477" s="286"/>
      <c r="Z477" s="286"/>
      <c r="AA477" s="286"/>
      <c r="AB477" s="286"/>
      <c r="AC477" s="286"/>
      <c r="AD477" s="286"/>
      <c r="AE477" s="286"/>
      <c r="AF477" s="286"/>
      <c r="AG477" s="286"/>
      <c r="AH477" s="286"/>
      <c r="AI477" s="286"/>
      <c r="AJ477" s="286"/>
      <c r="AK477" s="286"/>
      <c r="AL477" s="286"/>
      <c r="AM477" s="286"/>
      <c r="AN477" s="286"/>
      <c r="AO477" s="286"/>
      <c r="AP477" s="286"/>
      <c r="AQ477" s="286"/>
      <c r="AR477" s="286"/>
      <c r="AS477" s="286"/>
      <c r="AT477" s="286"/>
      <c r="AU477" s="286"/>
      <c r="AV477" s="286"/>
      <c r="AW477" s="286"/>
      <c r="AX477" s="286"/>
      <c r="AY477" s="286"/>
      <c r="AZ477" s="286"/>
      <c r="BA477" s="286"/>
      <c r="BB477" s="286"/>
      <c r="BC477" s="286"/>
      <c r="BD477" s="286"/>
      <c r="BE477" s="286"/>
      <c r="BF477" s="286"/>
      <c r="BG477" s="286"/>
      <c r="BH477" s="286"/>
      <c r="BI477" s="286"/>
      <c r="BJ477" s="286"/>
      <c r="BK477" s="286"/>
      <c r="BL477" s="286"/>
      <c r="BM477" s="286"/>
      <c r="BN477" s="286"/>
      <c r="BO477" s="286"/>
      <c r="BP477" s="286"/>
      <c r="BQ477" s="286"/>
      <c r="BR477" s="286"/>
      <c r="BS477" s="286"/>
      <c r="BT477" s="286"/>
      <c r="BU477" s="286"/>
      <c r="BV477" s="286"/>
      <c r="BW477" s="286"/>
      <c r="BX477" s="286"/>
      <c r="BY477" s="286"/>
      <c r="BZ477" s="286"/>
      <c r="CA477" s="286"/>
      <c r="CB477" s="286"/>
      <c r="CC477" s="286"/>
      <c r="CD477" s="286"/>
      <c r="CE477" s="286"/>
      <c r="CF477" s="286"/>
      <c r="CG477" s="286"/>
      <c r="CH477" s="286"/>
      <c r="CI477" s="286"/>
      <c r="CJ477" s="286"/>
      <c r="CK477" s="286"/>
      <c r="CL477" s="286"/>
      <c r="CM477" s="286"/>
      <c r="CN477" s="286"/>
      <c r="CO477" s="286"/>
      <c r="CP477" s="286"/>
      <c r="CQ477" s="286"/>
      <c r="CR477" s="286"/>
      <c r="CS477" s="286"/>
      <c r="CT477" s="286"/>
      <c r="CU477" s="286"/>
      <c r="CV477" s="286"/>
      <c r="CW477" s="286"/>
      <c r="CX477" s="286"/>
      <c r="CY477" s="286"/>
      <c r="CZ477" s="286"/>
      <c r="DA477" s="286"/>
      <c r="DB477" s="286"/>
      <c r="DC477" s="286"/>
      <c r="DD477" s="286"/>
      <c r="DE477" s="286"/>
      <c r="DF477" s="286"/>
      <c r="DG477" s="286"/>
      <c r="DH477" s="286"/>
      <c r="DI477" s="286"/>
      <c r="DJ477" s="286"/>
      <c r="DK477" s="286"/>
      <c r="DL477" s="286"/>
      <c r="DM477" s="286"/>
      <c r="DN477" s="286"/>
      <c r="DO477" s="286"/>
      <c r="DP477" s="286"/>
      <c r="DQ477" s="286"/>
      <c r="DR477" s="286"/>
      <c r="DS477" s="286"/>
      <c r="DT477" s="286"/>
      <c r="DU477" s="286"/>
      <c r="DV477" s="286"/>
      <c r="DW477" s="286"/>
      <c r="DX477" s="286"/>
      <c r="DY477" s="286"/>
      <c r="DZ477" s="286"/>
      <c r="EA477" s="286"/>
      <c r="EB477" s="286"/>
      <c r="EC477" s="286"/>
      <c r="ED477" s="286"/>
      <c r="EE477" s="286"/>
      <c r="EF477" s="286"/>
      <c r="EG477" s="286"/>
      <c r="EH477" s="286"/>
      <c r="EI477" s="286"/>
      <c r="EJ477" s="286"/>
      <c r="EK477" s="286"/>
      <c r="EL477" s="286"/>
      <c r="EM477" s="286"/>
      <c r="EN477" s="286"/>
      <c r="EO477" s="286"/>
      <c r="EP477" s="286"/>
      <c r="EQ477" s="286"/>
      <c r="ER477" s="286"/>
      <c r="ES477" s="286"/>
      <c r="ET477" s="286"/>
      <c r="EU477" s="286"/>
      <c r="EV477" s="286"/>
      <c r="EW477" s="286"/>
      <c r="EX477" s="286"/>
      <c r="EY477" s="286"/>
      <c r="EZ477" s="286"/>
      <c r="FA477" s="286"/>
      <c r="FB477" s="286"/>
      <c r="FC477" s="286"/>
      <c r="FD477" s="286"/>
      <c r="FE477" s="286"/>
      <c r="FF477" s="286"/>
      <c r="FG477" s="286"/>
      <c r="FH477" s="286"/>
      <c r="FI477" s="286"/>
      <c r="FJ477" s="286"/>
      <c r="FK477" s="286"/>
      <c r="FL477" s="286"/>
      <c r="FM477" s="286"/>
      <c r="FN477" s="286"/>
      <c r="FO477" s="286"/>
      <c r="FP477" s="286"/>
      <c r="FQ477" s="286"/>
      <c r="FR477" s="286"/>
      <c r="FS477" s="286"/>
    </row>
    <row r="478" spans="1:175">
      <c r="A478" s="212" t="s">
        <v>3159</v>
      </c>
      <c r="B478" s="212" t="s">
        <v>3160</v>
      </c>
      <c r="C478" s="212" t="s">
        <v>3172</v>
      </c>
      <c r="D478" s="212" t="s">
        <v>3632</v>
      </c>
      <c r="E478" s="212" t="s">
        <v>3650</v>
      </c>
      <c r="F478" s="278">
        <v>5242</v>
      </c>
      <c r="G478" s="278">
        <v>101202</v>
      </c>
      <c r="H478" s="287">
        <f t="shared" si="7"/>
        <v>2.043437876721804</v>
      </c>
      <c r="I478" s="286">
        <v>197</v>
      </c>
      <c r="J478" s="286">
        <v>2068</v>
      </c>
      <c r="K478" s="286">
        <v>1318</v>
      </c>
      <c r="L478" s="286">
        <v>734</v>
      </c>
      <c r="M478" s="286">
        <v>1863</v>
      </c>
      <c r="N478" s="286">
        <v>1204</v>
      </c>
      <c r="O478" s="286">
        <v>643</v>
      </c>
      <c r="P478" s="286">
        <v>197</v>
      </c>
      <c r="Q478" s="286">
        <v>2068</v>
      </c>
      <c r="R478" s="286">
        <v>1318</v>
      </c>
      <c r="S478" s="286">
        <v>734</v>
      </c>
      <c r="T478" s="286">
        <v>1863</v>
      </c>
      <c r="U478" s="286">
        <v>1204</v>
      </c>
      <c r="V478" s="286">
        <v>643</v>
      </c>
      <c r="W478" s="286"/>
      <c r="X478" s="286"/>
      <c r="Y478" s="286"/>
      <c r="Z478" s="286"/>
      <c r="AA478" s="286"/>
      <c r="AB478" s="286"/>
      <c r="AC478" s="286"/>
      <c r="AD478" s="286"/>
      <c r="AE478" s="286"/>
      <c r="AF478" s="286"/>
      <c r="AG478" s="286"/>
      <c r="AH478" s="286"/>
      <c r="AI478" s="286"/>
      <c r="AJ478" s="286"/>
      <c r="AK478" s="286"/>
      <c r="AL478" s="286"/>
      <c r="AM478" s="286"/>
      <c r="AN478" s="286"/>
      <c r="AO478" s="286"/>
      <c r="AP478" s="286"/>
      <c r="AQ478" s="286"/>
      <c r="AR478" s="286"/>
      <c r="AS478" s="286"/>
      <c r="AT478" s="286"/>
      <c r="AU478" s="286"/>
      <c r="AV478" s="286"/>
      <c r="AW478" s="286"/>
      <c r="AX478" s="286"/>
      <c r="AY478" s="286"/>
      <c r="AZ478" s="286"/>
      <c r="BA478" s="286"/>
      <c r="BB478" s="286"/>
      <c r="BC478" s="286"/>
      <c r="BD478" s="286"/>
      <c r="BE478" s="286"/>
      <c r="BF478" s="286"/>
      <c r="BG478" s="286"/>
      <c r="BH478" s="286"/>
      <c r="BI478" s="286"/>
      <c r="BJ478" s="286"/>
      <c r="BK478" s="286"/>
      <c r="BL478" s="286"/>
      <c r="BM478" s="286"/>
      <c r="BN478" s="286"/>
      <c r="BO478" s="286"/>
      <c r="BP478" s="286"/>
      <c r="BQ478" s="286"/>
      <c r="BR478" s="286"/>
      <c r="BS478" s="286"/>
      <c r="BT478" s="286"/>
      <c r="BU478" s="286"/>
      <c r="BV478" s="286"/>
      <c r="BW478" s="286"/>
      <c r="BX478" s="286"/>
      <c r="BY478" s="286"/>
      <c r="BZ478" s="286"/>
      <c r="CA478" s="286"/>
      <c r="CB478" s="286"/>
      <c r="CC478" s="286"/>
      <c r="CD478" s="286"/>
      <c r="CE478" s="286"/>
      <c r="CF478" s="286"/>
      <c r="CG478" s="286"/>
      <c r="CH478" s="286"/>
      <c r="CI478" s="286"/>
      <c r="CJ478" s="286"/>
      <c r="CK478" s="286"/>
      <c r="CL478" s="286"/>
      <c r="CM478" s="286"/>
      <c r="CN478" s="286"/>
      <c r="CO478" s="286"/>
      <c r="CP478" s="286"/>
      <c r="CQ478" s="286"/>
      <c r="CR478" s="286"/>
      <c r="CS478" s="286"/>
      <c r="CT478" s="286"/>
      <c r="CU478" s="286"/>
      <c r="CV478" s="286"/>
      <c r="CW478" s="286"/>
      <c r="CX478" s="286"/>
      <c r="CY478" s="286"/>
      <c r="CZ478" s="286"/>
      <c r="DA478" s="286"/>
      <c r="DB478" s="286"/>
      <c r="DC478" s="286"/>
      <c r="DD478" s="286"/>
      <c r="DE478" s="286"/>
      <c r="DF478" s="286"/>
      <c r="DG478" s="286"/>
      <c r="DH478" s="286"/>
      <c r="DI478" s="286"/>
      <c r="DJ478" s="286"/>
      <c r="DK478" s="286"/>
      <c r="DL478" s="286"/>
      <c r="DM478" s="286"/>
      <c r="DN478" s="286"/>
      <c r="DO478" s="286"/>
      <c r="DP478" s="286"/>
      <c r="DQ478" s="286"/>
      <c r="DR478" s="286"/>
      <c r="DS478" s="286"/>
      <c r="DT478" s="286"/>
      <c r="DU478" s="286"/>
      <c r="DV478" s="286"/>
      <c r="DW478" s="286"/>
      <c r="DX478" s="286"/>
      <c r="DY478" s="286"/>
      <c r="DZ478" s="286"/>
      <c r="EA478" s="286"/>
      <c r="EB478" s="286"/>
      <c r="EC478" s="286"/>
      <c r="ED478" s="286"/>
      <c r="EE478" s="286"/>
      <c r="EF478" s="286"/>
      <c r="EG478" s="286"/>
      <c r="EH478" s="286"/>
      <c r="EI478" s="286"/>
      <c r="EJ478" s="286"/>
      <c r="EK478" s="286"/>
      <c r="EL478" s="286"/>
      <c r="EM478" s="286"/>
      <c r="EN478" s="286"/>
      <c r="EO478" s="286"/>
      <c r="EP478" s="286"/>
      <c r="EQ478" s="286"/>
      <c r="ER478" s="286"/>
      <c r="ES478" s="286"/>
      <c r="ET478" s="286"/>
      <c r="EU478" s="286"/>
      <c r="EV478" s="286"/>
      <c r="EW478" s="286"/>
      <c r="EX478" s="286"/>
      <c r="EY478" s="286"/>
      <c r="EZ478" s="286"/>
      <c r="FA478" s="286"/>
      <c r="FB478" s="286"/>
      <c r="FC478" s="286"/>
      <c r="FD478" s="286"/>
      <c r="FE478" s="286"/>
      <c r="FF478" s="286"/>
      <c r="FG478" s="286"/>
      <c r="FH478" s="286"/>
      <c r="FI478" s="286"/>
      <c r="FJ478" s="286"/>
      <c r="FK478" s="286"/>
      <c r="FL478" s="286"/>
      <c r="FM478" s="286"/>
      <c r="FN478" s="286"/>
      <c r="FO478" s="286"/>
      <c r="FP478" s="286"/>
      <c r="FQ478" s="286"/>
      <c r="FR478" s="286"/>
      <c r="FS478" s="286"/>
    </row>
    <row r="479" spans="1:175">
      <c r="A479" s="212" t="s">
        <v>3159</v>
      </c>
      <c r="B479" s="212" t="s">
        <v>3160</v>
      </c>
      <c r="C479" s="212" t="s">
        <v>3172</v>
      </c>
      <c r="D479" s="212" t="s">
        <v>3632</v>
      </c>
      <c r="E479" s="212" t="s">
        <v>3651</v>
      </c>
      <c r="F479" s="278">
        <v>99</v>
      </c>
      <c r="G479" s="278">
        <v>1343</v>
      </c>
      <c r="H479" s="287">
        <f t="shared" si="7"/>
        <v>0.96798212956068497</v>
      </c>
      <c r="I479" s="286">
        <v>3</v>
      </c>
      <c r="J479" s="286">
        <v>13</v>
      </c>
      <c r="K479" s="286">
        <v>11</v>
      </c>
      <c r="L479" s="286">
        <v>2</v>
      </c>
      <c r="M479" s="286">
        <v>10</v>
      </c>
      <c r="N479" s="286">
        <v>8</v>
      </c>
      <c r="O479" s="286">
        <v>2</v>
      </c>
      <c r="P479" s="286">
        <v>3</v>
      </c>
      <c r="Q479" s="286">
        <v>13</v>
      </c>
      <c r="R479" s="286">
        <v>11</v>
      </c>
      <c r="S479" s="286">
        <v>2</v>
      </c>
      <c r="T479" s="286">
        <v>10</v>
      </c>
      <c r="U479" s="286">
        <v>8</v>
      </c>
      <c r="V479" s="286">
        <v>2</v>
      </c>
      <c r="W479" s="286"/>
      <c r="X479" s="286"/>
      <c r="Y479" s="286"/>
      <c r="Z479" s="286"/>
      <c r="AA479" s="286"/>
      <c r="AB479" s="286"/>
      <c r="AC479" s="286"/>
      <c r="AD479" s="286"/>
      <c r="AE479" s="286"/>
      <c r="AF479" s="286"/>
      <c r="AG479" s="286"/>
      <c r="AH479" s="286"/>
      <c r="AI479" s="286"/>
      <c r="AJ479" s="286"/>
      <c r="AK479" s="286"/>
      <c r="AL479" s="286"/>
      <c r="AM479" s="286"/>
      <c r="AN479" s="286"/>
      <c r="AO479" s="286"/>
      <c r="AP479" s="286"/>
      <c r="AQ479" s="286"/>
      <c r="AR479" s="286"/>
      <c r="AS479" s="286"/>
      <c r="AT479" s="286"/>
      <c r="AU479" s="286"/>
      <c r="AV479" s="286"/>
      <c r="AW479" s="286"/>
      <c r="AX479" s="286"/>
      <c r="AY479" s="286"/>
      <c r="AZ479" s="286"/>
      <c r="BA479" s="286"/>
      <c r="BB479" s="286"/>
      <c r="BC479" s="286"/>
      <c r="BD479" s="286"/>
      <c r="BE479" s="286"/>
      <c r="BF479" s="286"/>
      <c r="BG479" s="286"/>
      <c r="BH479" s="286"/>
      <c r="BI479" s="286"/>
      <c r="BJ479" s="286"/>
      <c r="BK479" s="286"/>
      <c r="BL479" s="286"/>
      <c r="BM479" s="286"/>
      <c r="BN479" s="286"/>
      <c r="BO479" s="286"/>
      <c r="BP479" s="286"/>
      <c r="BQ479" s="286"/>
      <c r="BR479" s="286"/>
      <c r="BS479" s="286"/>
      <c r="BT479" s="286"/>
      <c r="BU479" s="286"/>
      <c r="BV479" s="286"/>
      <c r="BW479" s="286"/>
      <c r="BX479" s="286"/>
      <c r="BY479" s="286"/>
      <c r="BZ479" s="286"/>
      <c r="CA479" s="286"/>
      <c r="CB479" s="286"/>
      <c r="CC479" s="286"/>
      <c r="CD479" s="286"/>
      <c r="CE479" s="286"/>
      <c r="CF479" s="286"/>
      <c r="CG479" s="286"/>
      <c r="CH479" s="286"/>
      <c r="CI479" s="286"/>
      <c r="CJ479" s="286"/>
      <c r="CK479" s="286"/>
      <c r="CL479" s="286"/>
      <c r="CM479" s="286"/>
      <c r="CN479" s="286"/>
      <c r="CO479" s="286"/>
      <c r="CP479" s="286"/>
      <c r="CQ479" s="286"/>
      <c r="CR479" s="286"/>
      <c r="CS479" s="286"/>
      <c r="CT479" s="286"/>
      <c r="CU479" s="286"/>
      <c r="CV479" s="286"/>
      <c r="CW479" s="286"/>
      <c r="CX479" s="286"/>
      <c r="CY479" s="286"/>
      <c r="CZ479" s="286"/>
      <c r="DA479" s="286"/>
      <c r="DB479" s="286"/>
      <c r="DC479" s="286"/>
      <c r="DD479" s="286"/>
      <c r="DE479" s="286"/>
      <c r="DF479" s="286"/>
      <c r="DG479" s="286"/>
      <c r="DH479" s="286"/>
      <c r="DI479" s="286"/>
      <c r="DJ479" s="286"/>
      <c r="DK479" s="286"/>
      <c r="DL479" s="286"/>
      <c r="DM479" s="286"/>
      <c r="DN479" s="286"/>
      <c r="DO479" s="286"/>
      <c r="DP479" s="286"/>
      <c r="DQ479" s="286"/>
      <c r="DR479" s="286"/>
      <c r="DS479" s="286"/>
      <c r="DT479" s="286"/>
      <c r="DU479" s="286"/>
      <c r="DV479" s="286"/>
      <c r="DW479" s="286"/>
      <c r="DX479" s="286"/>
      <c r="DY479" s="286"/>
      <c r="DZ479" s="286"/>
      <c r="EA479" s="286"/>
      <c r="EB479" s="286"/>
      <c r="EC479" s="286"/>
      <c r="ED479" s="286"/>
      <c r="EE479" s="286"/>
      <c r="EF479" s="286"/>
      <c r="EG479" s="286"/>
      <c r="EH479" s="286"/>
      <c r="EI479" s="286"/>
      <c r="EJ479" s="286"/>
      <c r="EK479" s="286"/>
      <c r="EL479" s="286"/>
      <c r="EM479" s="286"/>
      <c r="EN479" s="286"/>
      <c r="EO479" s="286"/>
      <c r="EP479" s="286"/>
      <c r="EQ479" s="286"/>
      <c r="ER479" s="286"/>
      <c r="ES479" s="286"/>
      <c r="ET479" s="286"/>
      <c r="EU479" s="286"/>
      <c r="EV479" s="286"/>
      <c r="EW479" s="286"/>
      <c r="EX479" s="286"/>
      <c r="EY479" s="286"/>
      <c r="EZ479" s="286"/>
      <c r="FA479" s="286"/>
      <c r="FB479" s="286"/>
      <c r="FC479" s="286"/>
      <c r="FD479" s="286"/>
      <c r="FE479" s="286"/>
      <c r="FF479" s="286"/>
      <c r="FG479" s="286"/>
      <c r="FH479" s="286"/>
      <c r="FI479" s="286"/>
      <c r="FJ479" s="286"/>
      <c r="FK479" s="286"/>
      <c r="FL479" s="286"/>
      <c r="FM479" s="286"/>
      <c r="FN479" s="286"/>
      <c r="FO479" s="286"/>
      <c r="FP479" s="286"/>
      <c r="FQ479" s="286"/>
      <c r="FR479" s="286"/>
      <c r="FS479" s="286"/>
    </row>
    <row r="480" spans="1:175">
      <c r="A480" s="212" t="s">
        <v>3159</v>
      </c>
      <c r="B480" s="212" t="s">
        <v>3160</v>
      </c>
      <c r="C480" s="212" t="s">
        <v>3170</v>
      </c>
      <c r="D480" s="212" t="s">
        <v>3632</v>
      </c>
      <c r="E480" s="212" t="s">
        <v>3652</v>
      </c>
      <c r="F480" s="278">
        <v>2093</v>
      </c>
      <c r="G480" s="278">
        <v>35440</v>
      </c>
      <c r="H480" s="287">
        <f t="shared" si="7"/>
        <v>1.3572234762979685</v>
      </c>
      <c r="I480" s="286">
        <v>47</v>
      </c>
      <c r="J480" s="286">
        <v>481</v>
      </c>
      <c r="K480" s="286">
        <v>317</v>
      </c>
      <c r="L480" s="286">
        <v>160</v>
      </c>
      <c r="M480" s="286">
        <v>462</v>
      </c>
      <c r="N480" s="286">
        <v>300</v>
      </c>
      <c r="O480" s="286">
        <v>158</v>
      </c>
      <c r="P480" s="286">
        <v>47</v>
      </c>
      <c r="Q480" s="286">
        <v>481</v>
      </c>
      <c r="R480" s="286">
        <v>317</v>
      </c>
      <c r="S480" s="286">
        <v>160</v>
      </c>
      <c r="T480" s="286">
        <v>462</v>
      </c>
      <c r="U480" s="286">
        <v>300</v>
      </c>
      <c r="V480" s="286">
        <v>158</v>
      </c>
      <c r="W480" s="286"/>
      <c r="X480" s="286"/>
      <c r="Y480" s="286"/>
      <c r="Z480" s="286"/>
      <c r="AA480" s="286"/>
      <c r="AB480" s="286"/>
      <c r="AC480" s="286"/>
      <c r="AD480" s="286"/>
      <c r="AE480" s="286"/>
      <c r="AF480" s="286"/>
      <c r="AG480" s="286"/>
      <c r="AH480" s="286"/>
      <c r="AI480" s="286"/>
      <c r="AJ480" s="286"/>
      <c r="AK480" s="286"/>
      <c r="AL480" s="286"/>
      <c r="AM480" s="286"/>
      <c r="AN480" s="286"/>
      <c r="AO480" s="286"/>
      <c r="AP480" s="286"/>
      <c r="AQ480" s="286"/>
      <c r="AR480" s="286"/>
      <c r="AS480" s="286"/>
      <c r="AT480" s="286"/>
      <c r="AU480" s="286"/>
      <c r="AV480" s="286"/>
      <c r="AW480" s="286"/>
      <c r="AX480" s="286"/>
      <c r="AY480" s="286"/>
      <c r="AZ480" s="286"/>
      <c r="BA480" s="286"/>
      <c r="BB480" s="286"/>
      <c r="BC480" s="286"/>
      <c r="BD480" s="286"/>
      <c r="BE480" s="286"/>
      <c r="BF480" s="286"/>
      <c r="BG480" s="286"/>
      <c r="BH480" s="286"/>
      <c r="BI480" s="286"/>
      <c r="BJ480" s="286"/>
      <c r="BK480" s="286"/>
      <c r="BL480" s="286"/>
      <c r="BM480" s="286"/>
      <c r="BN480" s="286"/>
      <c r="BO480" s="286"/>
      <c r="BP480" s="286"/>
      <c r="BQ480" s="286"/>
      <c r="BR480" s="286"/>
      <c r="BS480" s="286"/>
      <c r="BT480" s="286"/>
      <c r="BU480" s="286"/>
      <c r="BV480" s="286"/>
      <c r="BW480" s="286"/>
      <c r="BX480" s="286"/>
      <c r="BY480" s="286"/>
      <c r="BZ480" s="286"/>
      <c r="CA480" s="286"/>
      <c r="CB480" s="286"/>
      <c r="CC480" s="286"/>
      <c r="CD480" s="286"/>
      <c r="CE480" s="286"/>
      <c r="CF480" s="286"/>
      <c r="CG480" s="286"/>
      <c r="CH480" s="286"/>
      <c r="CI480" s="286"/>
      <c r="CJ480" s="286"/>
      <c r="CK480" s="286"/>
      <c r="CL480" s="286"/>
      <c r="CM480" s="286"/>
      <c r="CN480" s="286"/>
      <c r="CO480" s="286"/>
      <c r="CP480" s="286"/>
      <c r="CQ480" s="286"/>
      <c r="CR480" s="286"/>
      <c r="CS480" s="286"/>
      <c r="CT480" s="286"/>
      <c r="CU480" s="286"/>
      <c r="CV480" s="286"/>
      <c r="CW480" s="286"/>
      <c r="CX480" s="286"/>
      <c r="CY480" s="286"/>
      <c r="CZ480" s="286"/>
      <c r="DA480" s="286"/>
      <c r="DB480" s="286"/>
      <c r="DC480" s="286"/>
      <c r="DD480" s="286"/>
      <c r="DE480" s="286"/>
      <c r="DF480" s="286"/>
      <c r="DG480" s="286"/>
      <c r="DH480" s="286"/>
      <c r="DI480" s="286"/>
      <c r="DJ480" s="286"/>
      <c r="DK480" s="286"/>
      <c r="DL480" s="286"/>
      <c r="DM480" s="286"/>
      <c r="DN480" s="286"/>
      <c r="DO480" s="286"/>
      <c r="DP480" s="286"/>
      <c r="DQ480" s="286"/>
      <c r="DR480" s="286"/>
      <c r="DS480" s="286"/>
      <c r="DT480" s="286"/>
      <c r="DU480" s="286"/>
      <c r="DV480" s="286"/>
      <c r="DW480" s="286"/>
      <c r="DX480" s="286"/>
      <c r="DY480" s="286"/>
      <c r="DZ480" s="286"/>
      <c r="EA480" s="286"/>
      <c r="EB480" s="286"/>
      <c r="EC480" s="286"/>
      <c r="ED480" s="286"/>
      <c r="EE480" s="286"/>
      <c r="EF480" s="286"/>
      <c r="EG480" s="286"/>
      <c r="EH480" s="286"/>
      <c r="EI480" s="286"/>
      <c r="EJ480" s="286"/>
      <c r="EK480" s="286"/>
      <c r="EL480" s="286"/>
      <c r="EM480" s="286"/>
      <c r="EN480" s="286"/>
      <c r="EO480" s="286"/>
      <c r="EP480" s="286"/>
      <c r="EQ480" s="286"/>
      <c r="ER480" s="286"/>
      <c r="ES480" s="286"/>
      <c r="ET480" s="286"/>
      <c r="EU480" s="286"/>
      <c r="EV480" s="286"/>
      <c r="EW480" s="286"/>
      <c r="EX480" s="286"/>
      <c r="EY480" s="286"/>
      <c r="EZ480" s="286"/>
      <c r="FA480" s="286"/>
      <c r="FB480" s="286"/>
      <c r="FC480" s="286"/>
      <c r="FD480" s="286"/>
      <c r="FE480" s="286"/>
      <c r="FF480" s="286"/>
      <c r="FG480" s="286"/>
      <c r="FH480" s="286"/>
      <c r="FI480" s="286"/>
      <c r="FJ480" s="286"/>
      <c r="FK480" s="286"/>
      <c r="FL480" s="286"/>
      <c r="FM480" s="286"/>
      <c r="FN480" s="286"/>
      <c r="FO480" s="286"/>
      <c r="FP480" s="286"/>
      <c r="FQ480" s="286"/>
      <c r="FR480" s="286"/>
      <c r="FS480" s="286"/>
    </row>
    <row r="481" spans="1:175">
      <c r="A481" s="212" t="s">
        <v>3159</v>
      </c>
      <c r="B481" s="212" t="s">
        <v>3160</v>
      </c>
      <c r="C481" s="212" t="s">
        <v>3172</v>
      </c>
      <c r="D481" s="212" t="s">
        <v>3632</v>
      </c>
      <c r="E481" s="212" t="s">
        <v>3653</v>
      </c>
      <c r="F481" s="278">
        <v>10</v>
      </c>
      <c r="G481" s="278">
        <v>374</v>
      </c>
      <c r="H481" s="287">
        <f t="shared" si="7"/>
        <v>0</v>
      </c>
      <c r="I481" s="286">
        <v>0</v>
      </c>
      <c r="J481" s="286">
        <v>0</v>
      </c>
      <c r="K481" s="286">
        <v>0</v>
      </c>
      <c r="L481" s="286">
        <v>0</v>
      </c>
      <c r="M481" s="286">
        <v>0</v>
      </c>
      <c r="N481" s="286">
        <v>0</v>
      </c>
      <c r="O481" s="286">
        <v>0</v>
      </c>
      <c r="P481" s="286">
        <v>0</v>
      </c>
      <c r="Q481" s="286">
        <v>0</v>
      </c>
      <c r="R481" s="286">
        <v>0</v>
      </c>
      <c r="S481" s="286">
        <v>0</v>
      </c>
      <c r="T481" s="286">
        <v>0</v>
      </c>
      <c r="U481" s="286">
        <v>0</v>
      </c>
      <c r="V481" s="286">
        <v>0</v>
      </c>
      <c r="W481" s="286"/>
      <c r="X481" s="286"/>
      <c r="Y481" s="286"/>
      <c r="Z481" s="286"/>
      <c r="AA481" s="286"/>
      <c r="AB481" s="286"/>
      <c r="AC481" s="286"/>
      <c r="AD481" s="286"/>
      <c r="AE481" s="286"/>
      <c r="AF481" s="286"/>
      <c r="AG481" s="286"/>
      <c r="AH481" s="286"/>
      <c r="AI481" s="286"/>
      <c r="AJ481" s="286"/>
      <c r="AK481" s="286"/>
      <c r="AL481" s="286"/>
      <c r="AM481" s="286"/>
      <c r="AN481" s="286"/>
      <c r="AO481" s="286"/>
      <c r="AP481" s="286"/>
      <c r="AQ481" s="286"/>
      <c r="AR481" s="286"/>
      <c r="AS481" s="286"/>
      <c r="AT481" s="286"/>
      <c r="AU481" s="286"/>
      <c r="AV481" s="286"/>
      <c r="AW481" s="286"/>
      <c r="AX481" s="286"/>
      <c r="AY481" s="286"/>
      <c r="AZ481" s="286"/>
      <c r="BA481" s="286"/>
      <c r="BB481" s="286"/>
      <c r="BC481" s="286"/>
      <c r="BD481" s="286"/>
      <c r="BE481" s="286"/>
      <c r="BF481" s="286"/>
      <c r="BG481" s="286"/>
      <c r="BH481" s="286"/>
      <c r="BI481" s="286"/>
      <c r="BJ481" s="286"/>
      <c r="BK481" s="286"/>
      <c r="BL481" s="286"/>
      <c r="BM481" s="286"/>
      <c r="BN481" s="286"/>
      <c r="BO481" s="286"/>
      <c r="BP481" s="286"/>
      <c r="BQ481" s="286"/>
      <c r="BR481" s="286"/>
      <c r="BS481" s="286"/>
      <c r="BT481" s="286"/>
      <c r="BU481" s="286"/>
      <c r="BV481" s="286"/>
      <c r="BW481" s="286"/>
      <c r="BX481" s="286"/>
      <c r="BY481" s="286"/>
      <c r="BZ481" s="286"/>
      <c r="CA481" s="286"/>
      <c r="CB481" s="286"/>
      <c r="CC481" s="286"/>
      <c r="CD481" s="286"/>
      <c r="CE481" s="286"/>
      <c r="CF481" s="286"/>
      <c r="CG481" s="286"/>
      <c r="CH481" s="286"/>
      <c r="CI481" s="286"/>
      <c r="CJ481" s="286"/>
      <c r="CK481" s="286"/>
      <c r="CL481" s="286"/>
      <c r="CM481" s="286"/>
      <c r="CN481" s="286"/>
      <c r="CO481" s="286"/>
      <c r="CP481" s="286"/>
      <c r="CQ481" s="286"/>
      <c r="CR481" s="286"/>
      <c r="CS481" s="286"/>
      <c r="CT481" s="286"/>
      <c r="CU481" s="286"/>
      <c r="CV481" s="286"/>
      <c r="CW481" s="286"/>
      <c r="CX481" s="286"/>
      <c r="CY481" s="286"/>
      <c r="CZ481" s="286"/>
      <c r="DA481" s="286"/>
      <c r="DB481" s="286"/>
      <c r="DC481" s="286"/>
      <c r="DD481" s="286"/>
      <c r="DE481" s="286"/>
      <c r="DF481" s="286"/>
      <c r="DG481" s="286"/>
      <c r="DH481" s="286"/>
      <c r="DI481" s="286"/>
      <c r="DJ481" s="286"/>
      <c r="DK481" s="286"/>
      <c r="DL481" s="286"/>
      <c r="DM481" s="286"/>
      <c r="DN481" s="286"/>
      <c r="DO481" s="286"/>
      <c r="DP481" s="286"/>
      <c r="DQ481" s="286"/>
      <c r="DR481" s="286"/>
      <c r="DS481" s="286"/>
      <c r="DT481" s="286"/>
      <c r="DU481" s="286"/>
      <c r="DV481" s="286"/>
      <c r="DW481" s="286"/>
      <c r="DX481" s="286"/>
      <c r="DY481" s="286"/>
      <c r="DZ481" s="286"/>
      <c r="EA481" s="286"/>
      <c r="EB481" s="286"/>
      <c r="EC481" s="286"/>
      <c r="ED481" s="286"/>
      <c r="EE481" s="286"/>
      <c r="EF481" s="286"/>
      <c r="EG481" s="286"/>
      <c r="EH481" s="286"/>
      <c r="EI481" s="286"/>
      <c r="EJ481" s="286"/>
      <c r="EK481" s="286"/>
      <c r="EL481" s="286"/>
      <c r="EM481" s="286"/>
      <c r="EN481" s="286"/>
      <c r="EO481" s="286"/>
      <c r="EP481" s="286"/>
      <c r="EQ481" s="286"/>
      <c r="ER481" s="286"/>
      <c r="ES481" s="286"/>
      <c r="ET481" s="286"/>
      <c r="EU481" s="286"/>
      <c r="EV481" s="286"/>
      <c r="EW481" s="286"/>
      <c r="EX481" s="286"/>
      <c r="EY481" s="286"/>
      <c r="EZ481" s="286"/>
      <c r="FA481" s="286"/>
      <c r="FB481" s="286"/>
      <c r="FC481" s="286"/>
      <c r="FD481" s="286"/>
      <c r="FE481" s="286"/>
      <c r="FF481" s="286"/>
      <c r="FG481" s="286"/>
      <c r="FH481" s="286"/>
      <c r="FI481" s="286"/>
      <c r="FJ481" s="286"/>
      <c r="FK481" s="286"/>
      <c r="FL481" s="286"/>
      <c r="FM481" s="286"/>
      <c r="FN481" s="286"/>
      <c r="FO481" s="286"/>
      <c r="FP481" s="286"/>
      <c r="FQ481" s="286"/>
      <c r="FR481" s="286"/>
      <c r="FS481" s="286"/>
    </row>
    <row r="482" spans="1:175">
      <c r="A482" s="212" t="s">
        <v>3159</v>
      </c>
      <c r="B482" s="212" t="s">
        <v>3160</v>
      </c>
      <c r="C482" s="212" t="s">
        <v>3172</v>
      </c>
      <c r="D482" s="212" t="s">
        <v>3632</v>
      </c>
      <c r="E482" s="212" t="s">
        <v>3654</v>
      </c>
      <c r="F482" s="278">
        <v>1466</v>
      </c>
      <c r="G482" s="278">
        <v>29491</v>
      </c>
      <c r="H482" s="287">
        <f t="shared" si="7"/>
        <v>1.3800820589332339</v>
      </c>
      <c r="I482" s="286">
        <v>33</v>
      </c>
      <c r="J482" s="286">
        <v>407</v>
      </c>
      <c r="K482" s="286">
        <v>280</v>
      </c>
      <c r="L482" s="286">
        <v>127</v>
      </c>
      <c r="M482" s="286">
        <v>392</v>
      </c>
      <c r="N482" s="286">
        <v>266</v>
      </c>
      <c r="O482" s="286">
        <v>126</v>
      </c>
      <c r="P482" s="286">
        <v>33</v>
      </c>
      <c r="Q482" s="286">
        <v>407</v>
      </c>
      <c r="R482" s="286">
        <v>280</v>
      </c>
      <c r="S482" s="286">
        <v>127</v>
      </c>
      <c r="T482" s="286">
        <v>392</v>
      </c>
      <c r="U482" s="286">
        <v>266</v>
      </c>
      <c r="V482" s="286">
        <v>126</v>
      </c>
      <c r="W482" s="286"/>
      <c r="X482" s="286"/>
      <c r="Y482" s="286"/>
      <c r="Z482" s="286"/>
      <c r="AA482" s="286"/>
      <c r="AB482" s="286"/>
      <c r="AC482" s="286"/>
      <c r="AD482" s="286"/>
      <c r="AE482" s="286"/>
      <c r="AF482" s="286"/>
      <c r="AG482" s="286"/>
      <c r="AH482" s="286"/>
      <c r="AI482" s="286"/>
      <c r="AJ482" s="286"/>
      <c r="AK482" s="286"/>
      <c r="AL482" s="286"/>
      <c r="AM482" s="286"/>
      <c r="AN482" s="286"/>
      <c r="AO482" s="286"/>
      <c r="AP482" s="286"/>
      <c r="AQ482" s="286"/>
      <c r="AR482" s="286"/>
      <c r="AS482" s="286"/>
      <c r="AT482" s="286"/>
      <c r="AU482" s="286"/>
      <c r="AV482" s="286"/>
      <c r="AW482" s="286"/>
      <c r="AX482" s="286"/>
      <c r="AY482" s="286"/>
      <c r="AZ482" s="286"/>
      <c r="BA482" s="286"/>
      <c r="BB482" s="286"/>
      <c r="BC482" s="286"/>
      <c r="BD482" s="286"/>
      <c r="BE482" s="286"/>
      <c r="BF482" s="286"/>
      <c r="BG482" s="286"/>
      <c r="BH482" s="286"/>
      <c r="BI482" s="286"/>
      <c r="BJ482" s="286"/>
      <c r="BK482" s="286"/>
      <c r="BL482" s="286"/>
      <c r="BM482" s="286"/>
      <c r="BN482" s="286"/>
      <c r="BO482" s="286"/>
      <c r="BP482" s="286"/>
      <c r="BQ482" s="286"/>
      <c r="BR482" s="286"/>
      <c r="BS482" s="286"/>
      <c r="BT482" s="286"/>
      <c r="BU482" s="286"/>
      <c r="BV482" s="286"/>
      <c r="BW482" s="286"/>
      <c r="BX482" s="286"/>
      <c r="BY482" s="286"/>
      <c r="BZ482" s="286"/>
      <c r="CA482" s="286"/>
      <c r="CB482" s="286"/>
      <c r="CC482" s="286"/>
      <c r="CD482" s="286"/>
      <c r="CE482" s="286"/>
      <c r="CF482" s="286"/>
      <c r="CG482" s="286"/>
      <c r="CH482" s="286"/>
      <c r="CI482" s="286"/>
      <c r="CJ482" s="286"/>
      <c r="CK482" s="286"/>
      <c r="CL482" s="286"/>
      <c r="CM482" s="286"/>
      <c r="CN482" s="286"/>
      <c r="CO482" s="286"/>
      <c r="CP482" s="286"/>
      <c r="CQ482" s="286"/>
      <c r="CR482" s="286"/>
      <c r="CS482" s="286"/>
      <c r="CT482" s="286"/>
      <c r="CU482" s="286"/>
      <c r="CV482" s="286"/>
      <c r="CW482" s="286"/>
      <c r="CX482" s="286"/>
      <c r="CY482" s="286"/>
      <c r="CZ482" s="286"/>
      <c r="DA482" s="286"/>
      <c r="DB482" s="286"/>
      <c r="DC482" s="286"/>
      <c r="DD482" s="286"/>
      <c r="DE482" s="286"/>
      <c r="DF482" s="286"/>
      <c r="DG482" s="286"/>
      <c r="DH482" s="286"/>
      <c r="DI482" s="286"/>
      <c r="DJ482" s="286"/>
      <c r="DK482" s="286"/>
      <c r="DL482" s="286"/>
      <c r="DM482" s="286"/>
      <c r="DN482" s="286"/>
      <c r="DO482" s="286"/>
      <c r="DP482" s="286"/>
      <c r="DQ482" s="286"/>
      <c r="DR482" s="286"/>
      <c r="DS482" s="286"/>
      <c r="DT482" s="286"/>
      <c r="DU482" s="286"/>
      <c r="DV482" s="286"/>
      <c r="DW482" s="286"/>
      <c r="DX482" s="286"/>
      <c r="DY482" s="286"/>
      <c r="DZ482" s="286"/>
      <c r="EA482" s="286"/>
      <c r="EB482" s="286"/>
      <c r="EC482" s="286"/>
      <c r="ED482" s="286"/>
      <c r="EE482" s="286"/>
      <c r="EF482" s="286"/>
      <c r="EG482" s="286"/>
      <c r="EH482" s="286"/>
      <c r="EI482" s="286"/>
      <c r="EJ482" s="286"/>
      <c r="EK482" s="286"/>
      <c r="EL482" s="286"/>
      <c r="EM482" s="286"/>
      <c r="EN482" s="286"/>
      <c r="EO482" s="286"/>
      <c r="EP482" s="286"/>
      <c r="EQ482" s="286"/>
      <c r="ER482" s="286"/>
      <c r="ES482" s="286"/>
      <c r="ET482" s="286"/>
      <c r="EU482" s="286"/>
      <c r="EV482" s="286"/>
      <c r="EW482" s="286"/>
      <c r="EX482" s="286"/>
      <c r="EY482" s="286"/>
      <c r="EZ482" s="286"/>
      <c r="FA482" s="286"/>
      <c r="FB482" s="286"/>
      <c r="FC482" s="286"/>
      <c r="FD482" s="286"/>
      <c r="FE482" s="286"/>
      <c r="FF482" s="286"/>
      <c r="FG482" s="286"/>
      <c r="FH482" s="286"/>
      <c r="FI482" s="286"/>
      <c r="FJ482" s="286"/>
      <c r="FK482" s="286"/>
      <c r="FL482" s="286"/>
      <c r="FM482" s="286"/>
      <c r="FN482" s="286"/>
      <c r="FO482" s="286"/>
      <c r="FP482" s="286"/>
      <c r="FQ482" s="286"/>
      <c r="FR482" s="286"/>
      <c r="FS482" s="286"/>
    </row>
    <row r="483" spans="1:175">
      <c r="A483" s="212" t="s">
        <v>3159</v>
      </c>
      <c r="B483" s="212" t="s">
        <v>3160</v>
      </c>
      <c r="C483" s="212" t="s">
        <v>3172</v>
      </c>
      <c r="D483" s="212" t="s">
        <v>3632</v>
      </c>
      <c r="E483" s="212" t="s">
        <v>3655</v>
      </c>
      <c r="F483" s="278">
        <v>69</v>
      </c>
      <c r="G483" s="278">
        <v>266</v>
      </c>
      <c r="H483" s="287">
        <f t="shared" si="7"/>
        <v>0</v>
      </c>
      <c r="I483" s="286">
        <v>0</v>
      </c>
      <c r="J483" s="286">
        <v>0</v>
      </c>
      <c r="K483" s="286">
        <v>0</v>
      </c>
      <c r="L483" s="286">
        <v>0</v>
      </c>
      <c r="M483" s="286">
        <v>0</v>
      </c>
      <c r="N483" s="286">
        <v>0</v>
      </c>
      <c r="O483" s="286">
        <v>0</v>
      </c>
      <c r="P483" s="286">
        <v>0</v>
      </c>
      <c r="Q483" s="286">
        <v>0</v>
      </c>
      <c r="R483" s="286">
        <v>0</v>
      </c>
      <c r="S483" s="286">
        <v>0</v>
      </c>
      <c r="T483" s="286">
        <v>0</v>
      </c>
      <c r="U483" s="286">
        <v>0</v>
      </c>
      <c r="V483" s="286">
        <v>0</v>
      </c>
      <c r="W483" s="286"/>
      <c r="X483" s="286"/>
      <c r="Y483" s="286"/>
      <c r="Z483" s="286"/>
      <c r="AA483" s="286"/>
      <c r="AB483" s="286"/>
      <c r="AC483" s="286"/>
      <c r="AD483" s="286"/>
      <c r="AE483" s="286"/>
      <c r="AF483" s="286"/>
      <c r="AG483" s="286"/>
      <c r="AH483" s="286"/>
      <c r="AI483" s="286"/>
      <c r="AJ483" s="286"/>
      <c r="AK483" s="286"/>
      <c r="AL483" s="286"/>
      <c r="AM483" s="286"/>
      <c r="AN483" s="286"/>
      <c r="AO483" s="286"/>
      <c r="AP483" s="286"/>
      <c r="AQ483" s="286"/>
      <c r="AR483" s="286"/>
      <c r="AS483" s="286"/>
      <c r="AT483" s="286"/>
      <c r="AU483" s="286"/>
      <c r="AV483" s="286"/>
      <c r="AW483" s="286"/>
      <c r="AX483" s="286"/>
      <c r="AY483" s="286"/>
      <c r="AZ483" s="286"/>
      <c r="BA483" s="286"/>
      <c r="BB483" s="286"/>
      <c r="BC483" s="286"/>
      <c r="BD483" s="286"/>
      <c r="BE483" s="286"/>
      <c r="BF483" s="286"/>
      <c r="BG483" s="286"/>
      <c r="BH483" s="286"/>
      <c r="BI483" s="286"/>
      <c r="BJ483" s="286"/>
      <c r="BK483" s="286"/>
      <c r="BL483" s="286"/>
      <c r="BM483" s="286"/>
      <c r="BN483" s="286"/>
      <c r="BO483" s="286"/>
      <c r="BP483" s="286"/>
      <c r="BQ483" s="286"/>
      <c r="BR483" s="286"/>
      <c r="BS483" s="286"/>
      <c r="BT483" s="286"/>
      <c r="BU483" s="286"/>
      <c r="BV483" s="286"/>
      <c r="BW483" s="286"/>
      <c r="BX483" s="286"/>
      <c r="BY483" s="286"/>
      <c r="BZ483" s="286"/>
      <c r="CA483" s="286"/>
      <c r="CB483" s="286"/>
      <c r="CC483" s="286"/>
      <c r="CD483" s="286"/>
      <c r="CE483" s="286"/>
      <c r="CF483" s="286"/>
      <c r="CG483" s="286"/>
      <c r="CH483" s="286"/>
      <c r="CI483" s="286"/>
      <c r="CJ483" s="286"/>
      <c r="CK483" s="286"/>
      <c r="CL483" s="286"/>
      <c r="CM483" s="286"/>
      <c r="CN483" s="286"/>
      <c r="CO483" s="286"/>
      <c r="CP483" s="286"/>
      <c r="CQ483" s="286"/>
      <c r="CR483" s="286"/>
      <c r="CS483" s="286"/>
      <c r="CT483" s="286"/>
      <c r="CU483" s="286"/>
      <c r="CV483" s="286"/>
      <c r="CW483" s="286"/>
      <c r="CX483" s="286"/>
      <c r="CY483" s="286"/>
      <c r="CZ483" s="286"/>
      <c r="DA483" s="286"/>
      <c r="DB483" s="286"/>
      <c r="DC483" s="286"/>
      <c r="DD483" s="286"/>
      <c r="DE483" s="286"/>
      <c r="DF483" s="286"/>
      <c r="DG483" s="286"/>
      <c r="DH483" s="286"/>
      <c r="DI483" s="286"/>
      <c r="DJ483" s="286"/>
      <c r="DK483" s="286"/>
      <c r="DL483" s="286"/>
      <c r="DM483" s="286"/>
      <c r="DN483" s="286"/>
      <c r="DO483" s="286"/>
      <c r="DP483" s="286"/>
      <c r="DQ483" s="286"/>
      <c r="DR483" s="286"/>
      <c r="DS483" s="286"/>
      <c r="DT483" s="286"/>
      <c r="DU483" s="286"/>
      <c r="DV483" s="286"/>
      <c r="DW483" s="286"/>
      <c r="DX483" s="286"/>
      <c r="DY483" s="286"/>
      <c r="DZ483" s="286"/>
      <c r="EA483" s="286"/>
      <c r="EB483" s="286"/>
      <c r="EC483" s="286"/>
      <c r="ED483" s="286"/>
      <c r="EE483" s="286"/>
      <c r="EF483" s="286"/>
      <c r="EG483" s="286"/>
      <c r="EH483" s="286"/>
      <c r="EI483" s="286"/>
      <c r="EJ483" s="286"/>
      <c r="EK483" s="286"/>
      <c r="EL483" s="286"/>
      <c r="EM483" s="286"/>
      <c r="EN483" s="286"/>
      <c r="EO483" s="286"/>
      <c r="EP483" s="286"/>
      <c r="EQ483" s="286"/>
      <c r="ER483" s="286"/>
      <c r="ES483" s="286"/>
      <c r="ET483" s="286"/>
      <c r="EU483" s="286"/>
      <c r="EV483" s="286"/>
      <c r="EW483" s="286"/>
      <c r="EX483" s="286"/>
      <c r="EY483" s="286"/>
      <c r="EZ483" s="286"/>
      <c r="FA483" s="286"/>
      <c r="FB483" s="286"/>
      <c r="FC483" s="286"/>
      <c r="FD483" s="286"/>
      <c r="FE483" s="286"/>
      <c r="FF483" s="286"/>
      <c r="FG483" s="286"/>
      <c r="FH483" s="286"/>
      <c r="FI483" s="286"/>
      <c r="FJ483" s="286"/>
      <c r="FK483" s="286"/>
      <c r="FL483" s="286"/>
      <c r="FM483" s="286"/>
      <c r="FN483" s="286"/>
      <c r="FO483" s="286"/>
      <c r="FP483" s="286"/>
      <c r="FQ483" s="286"/>
      <c r="FR483" s="286"/>
      <c r="FS483" s="286"/>
    </row>
    <row r="484" spans="1:175">
      <c r="A484" s="212" t="s">
        <v>3159</v>
      </c>
      <c r="B484" s="212" t="s">
        <v>3160</v>
      </c>
      <c r="C484" s="212" t="s">
        <v>3172</v>
      </c>
      <c r="D484" s="212" t="s">
        <v>3632</v>
      </c>
      <c r="E484" s="212" t="s">
        <v>3656</v>
      </c>
      <c r="F484" s="278">
        <v>548</v>
      </c>
      <c r="G484" s="278">
        <v>5309</v>
      </c>
      <c r="H484" s="287">
        <f t="shared" si="7"/>
        <v>1.3938594838952723</v>
      </c>
      <c r="I484" s="286">
        <v>14</v>
      </c>
      <c r="J484" s="286">
        <v>74</v>
      </c>
      <c r="K484" s="286">
        <v>37</v>
      </c>
      <c r="L484" s="286">
        <v>33</v>
      </c>
      <c r="M484" s="286">
        <v>70</v>
      </c>
      <c r="N484" s="286">
        <v>34</v>
      </c>
      <c r="O484" s="286">
        <v>32</v>
      </c>
      <c r="P484" s="286">
        <v>14</v>
      </c>
      <c r="Q484" s="286">
        <v>74</v>
      </c>
      <c r="R484" s="286">
        <v>37</v>
      </c>
      <c r="S484" s="286">
        <v>33</v>
      </c>
      <c r="T484" s="286">
        <v>70</v>
      </c>
      <c r="U484" s="286">
        <v>34</v>
      </c>
      <c r="V484" s="286">
        <v>32</v>
      </c>
      <c r="W484" s="286"/>
      <c r="X484" s="286"/>
      <c r="Y484" s="286"/>
      <c r="Z484" s="286"/>
      <c r="AA484" s="286"/>
      <c r="AB484" s="286"/>
      <c r="AC484" s="286"/>
      <c r="AD484" s="286"/>
      <c r="AE484" s="286"/>
      <c r="AF484" s="286"/>
      <c r="AG484" s="286"/>
      <c r="AH484" s="286"/>
      <c r="AI484" s="286"/>
      <c r="AJ484" s="286"/>
      <c r="AK484" s="286"/>
      <c r="AL484" s="286"/>
      <c r="AM484" s="286"/>
      <c r="AN484" s="286"/>
      <c r="AO484" s="286"/>
      <c r="AP484" s="286"/>
      <c r="AQ484" s="286"/>
      <c r="AR484" s="286"/>
      <c r="AS484" s="286"/>
      <c r="AT484" s="286"/>
      <c r="AU484" s="286"/>
      <c r="AV484" s="286"/>
      <c r="AW484" s="286"/>
      <c r="AX484" s="286"/>
      <c r="AY484" s="286"/>
      <c r="AZ484" s="286"/>
      <c r="BA484" s="286"/>
      <c r="BB484" s="286"/>
      <c r="BC484" s="286"/>
      <c r="BD484" s="286"/>
      <c r="BE484" s="286"/>
      <c r="BF484" s="286"/>
      <c r="BG484" s="286"/>
      <c r="BH484" s="286"/>
      <c r="BI484" s="286"/>
      <c r="BJ484" s="286"/>
      <c r="BK484" s="286"/>
      <c r="BL484" s="286"/>
      <c r="BM484" s="286"/>
      <c r="BN484" s="286"/>
      <c r="BO484" s="286"/>
      <c r="BP484" s="286"/>
      <c r="BQ484" s="286"/>
      <c r="BR484" s="286"/>
      <c r="BS484" s="286"/>
      <c r="BT484" s="286"/>
      <c r="BU484" s="286"/>
      <c r="BV484" s="286"/>
      <c r="BW484" s="286"/>
      <c r="BX484" s="286"/>
      <c r="BY484" s="286"/>
      <c r="BZ484" s="286"/>
      <c r="CA484" s="286"/>
      <c r="CB484" s="286"/>
      <c r="CC484" s="286"/>
      <c r="CD484" s="286"/>
      <c r="CE484" s="286"/>
      <c r="CF484" s="286"/>
      <c r="CG484" s="286"/>
      <c r="CH484" s="286"/>
      <c r="CI484" s="286"/>
      <c r="CJ484" s="286"/>
      <c r="CK484" s="286"/>
      <c r="CL484" s="286"/>
      <c r="CM484" s="286"/>
      <c r="CN484" s="286"/>
      <c r="CO484" s="286"/>
      <c r="CP484" s="286"/>
      <c r="CQ484" s="286"/>
      <c r="CR484" s="286"/>
      <c r="CS484" s="286"/>
      <c r="CT484" s="286"/>
      <c r="CU484" s="286"/>
      <c r="CV484" s="286"/>
      <c r="CW484" s="286"/>
      <c r="CX484" s="286"/>
      <c r="CY484" s="286"/>
      <c r="CZ484" s="286"/>
      <c r="DA484" s="286"/>
      <c r="DB484" s="286"/>
      <c r="DC484" s="286"/>
      <c r="DD484" s="286"/>
      <c r="DE484" s="286"/>
      <c r="DF484" s="286"/>
      <c r="DG484" s="286"/>
      <c r="DH484" s="286"/>
      <c r="DI484" s="286"/>
      <c r="DJ484" s="286"/>
      <c r="DK484" s="286"/>
      <c r="DL484" s="286"/>
      <c r="DM484" s="286"/>
      <c r="DN484" s="286"/>
      <c r="DO484" s="286"/>
      <c r="DP484" s="286"/>
      <c r="DQ484" s="286"/>
      <c r="DR484" s="286"/>
      <c r="DS484" s="286"/>
      <c r="DT484" s="286"/>
      <c r="DU484" s="286"/>
      <c r="DV484" s="286"/>
      <c r="DW484" s="286"/>
      <c r="DX484" s="286"/>
      <c r="DY484" s="286"/>
      <c r="DZ484" s="286"/>
      <c r="EA484" s="286"/>
      <c r="EB484" s="286"/>
      <c r="EC484" s="286"/>
      <c r="ED484" s="286"/>
      <c r="EE484" s="286"/>
      <c r="EF484" s="286"/>
      <c r="EG484" s="286"/>
      <c r="EH484" s="286"/>
      <c r="EI484" s="286"/>
      <c r="EJ484" s="286"/>
      <c r="EK484" s="286"/>
      <c r="EL484" s="286"/>
      <c r="EM484" s="286"/>
      <c r="EN484" s="286"/>
      <c r="EO484" s="286"/>
      <c r="EP484" s="286"/>
      <c r="EQ484" s="286"/>
      <c r="ER484" s="286"/>
      <c r="ES484" s="286"/>
      <c r="ET484" s="286"/>
      <c r="EU484" s="286"/>
      <c r="EV484" s="286"/>
      <c r="EW484" s="286"/>
      <c r="EX484" s="286"/>
      <c r="EY484" s="286"/>
      <c r="EZ484" s="286"/>
      <c r="FA484" s="286"/>
      <c r="FB484" s="286"/>
      <c r="FC484" s="286"/>
      <c r="FD484" s="286"/>
      <c r="FE484" s="286"/>
      <c r="FF484" s="286"/>
      <c r="FG484" s="286"/>
      <c r="FH484" s="286"/>
      <c r="FI484" s="286"/>
      <c r="FJ484" s="286"/>
      <c r="FK484" s="286"/>
      <c r="FL484" s="286"/>
      <c r="FM484" s="286"/>
      <c r="FN484" s="286"/>
      <c r="FO484" s="286"/>
      <c r="FP484" s="286"/>
      <c r="FQ484" s="286"/>
      <c r="FR484" s="286"/>
      <c r="FS484" s="286"/>
    </row>
    <row r="485" spans="1:175">
      <c r="A485" s="212" t="s">
        <v>3159</v>
      </c>
      <c r="B485" s="212" t="s">
        <v>3160</v>
      </c>
      <c r="C485" s="212" t="s">
        <v>3170</v>
      </c>
      <c r="D485" s="212" t="s">
        <v>3632</v>
      </c>
      <c r="E485" s="212" t="s">
        <v>3657</v>
      </c>
      <c r="F485" s="278">
        <v>45873</v>
      </c>
      <c r="G485" s="278">
        <v>682319</v>
      </c>
      <c r="H485" s="287">
        <f t="shared" si="7"/>
        <v>2.8005962020697064</v>
      </c>
      <c r="I485" s="286">
        <v>1546</v>
      </c>
      <c r="J485" s="286">
        <v>19109</v>
      </c>
      <c r="K485" s="286">
        <v>5862</v>
      </c>
      <c r="L485" s="286">
        <v>12998</v>
      </c>
      <c r="M485" s="286">
        <v>17791</v>
      </c>
      <c r="N485" s="286">
        <v>4902</v>
      </c>
      <c r="O485" s="286">
        <v>12640</v>
      </c>
      <c r="P485" s="286">
        <v>1545</v>
      </c>
      <c r="Q485" s="286">
        <v>19105</v>
      </c>
      <c r="R485" s="286">
        <v>5858</v>
      </c>
      <c r="S485" s="286">
        <v>12998</v>
      </c>
      <c r="T485" s="286">
        <v>17787</v>
      </c>
      <c r="U485" s="286">
        <v>4898</v>
      </c>
      <c r="V485" s="286">
        <v>12640</v>
      </c>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c r="AT485" s="286"/>
      <c r="AU485" s="286"/>
      <c r="AV485" s="286"/>
      <c r="AW485" s="286"/>
      <c r="AX485" s="286"/>
      <c r="AY485" s="286"/>
      <c r="AZ485" s="286"/>
      <c r="BA485" s="286"/>
      <c r="BB485" s="286"/>
      <c r="BC485" s="286"/>
      <c r="BD485" s="286"/>
      <c r="BE485" s="286"/>
      <c r="BF485" s="286"/>
      <c r="BG485" s="286"/>
      <c r="BH485" s="286"/>
      <c r="BI485" s="286"/>
      <c r="BJ485" s="286"/>
      <c r="BK485" s="286"/>
      <c r="BL485" s="286"/>
      <c r="BM485" s="286"/>
      <c r="BN485" s="286"/>
      <c r="BO485" s="286"/>
      <c r="BP485" s="286"/>
      <c r="BQ485" s="286"/>
      <c r="BR485" s="286"/>
      <c r="BS485" s="286"/>
      <c r="BT485" s="286"/>
      <c r="BU485" s="286"/>
      <c r="BV485" s="286"/>
      <c r="BW485" s="286"/>
      <c r="BX485" s="286"/>
      <c r="BY485" s="286"/>
      <c r="BZ485" s="286"/>
      <c r="CA485" s="286"/>
      <c r="CB485" s="286"/>
      <c r="CC485" s="286"/>
      <c r="CD485" s="286"/>
      <c r="CE485" s="286"/>
      <c r="CF485" s="286"/>
      <c r="CG485" s="286"/>
      <c r="CH485" s="286"/>
      <c r="CI485" s="286"/>
      <c r="CJ485" s="286"/>
      <c r="CK485" s="286"/>
      <c r="CL485" s="286"/>
      <c r="CM485" s="286"/>
      <c r="CN485" s="286"/>
      <c r="CO485" s="286"/>
      <c r="CP485" s="286"/>
      <c r="CQ485" s="286"/>
      <c r="CR485" s="286"/>
      <c r="CS485" s="286"/>
      <c r="CT485" s="286"/>
      <c r="CU485" s="286"/>
      <c r="CV485" s="286"/>
      <c r="CW485" s="286"/>
      <c r="CX485" s="286"/>
      <c r="CY485" s="286"/>
      <c r="CZ485" s="286"/>
      <c r="DA485" s="286"/>
      <c r="DB485" s="286"/>
      <c r="DC485" s="286"/>
      <c r="DD485" s="286"/>
      <c r="DE485" s="286"/>
      <c r="DF485" s="286"/>
      <c r="DG485" s="286"/>
      <c r="DH485" s="286"/>
      <c r="DI485" s="286"/>
      <c r="DJ485" s="286"/>
      <c r="DK485" s="286"/>
      <c r="DL485" s="286"/>
      <c r="DM485" s="286"/>
      <c r="DN485" s="286"/>
      <c r="DO485" s="286"/>
      <c r="DP485" s="286"/>
      <c r="DQ485" s="286"/>
      <c r="DR485" s="286"/>
      <c r="DS485" s="286"/>
      <c r="DT485" s="286"/>
      <c r="DU485" s="286"/>
      <c r="DV485" s="286"/>
      <c r="DW485" s="286"/>
      <c r="DX485" s="286"/>
      <c r="DY485" s="286"/>
      <c r="DZ485" s="286"/>
      <c r="EA485" s="286"/>
      <c r="EB485" s="286"/>
      <c r="EC485" s="286"/>
      <c r="ED485" s="286"/>
      <c r="EE485" s="286"/>
      <c r="EF485" s="286"/>
      <c r="EG485" s="286"/>
      <c r="EH485" s="286"/>
      <c r="EI485" s="286"/>
      <c r="EJ485" s="286"/>
      <c r="EK485" s="286"/>
      <c r="EL485" s="286"/>
      <c r="EM485" s="286"/>
      <c r="EN485" s="286"/>
      <c r="EO485" s="286"/>
      <c r="EP485" s="286"/>
      <c r="EQ485" s="286"/>
      <c r="ER485" s="286"/>
      <c r="ES485" s="286"/>
      <c r="ET485" s="286"/>
      <c r="EU485" s="286"/>
      <c r="EV485" s="286"/>
      <c r="EW485" s="286"/>
      <c r="EX485" s="286"/>
      <c r="EY485" s="286"/>
      <c r="EZ485" s="286"/>
      <c r="FA485" s="286"/>
      <c r="FB485" s="286"/>
      <c r="FC485" s="286"/>
      <c r="FD485" s="286"/>
      <c r="FE485" s="286"/>
      <c r="FF485" s="286"/>
      <c r="FG485" s="286"/>
      <c r="FH485" s="286"/>
      <c r="FI485" s="286"/>
      <c r="FJ485" s="286"/>
      <c r="FK485" s="286"/>
      <c r="FL485" s="286"/>
      <c r="FM485" s="286"/>
      <c r="FN485" s="286"/>
      <c r="FO485" s="286"/>
      <c r="FP485" s="286"/>
      <c r="FQ485" s="286"/>
      <c r="FR485" s="286"/>
      <c r="FS485" s="286"/>
    </row>
    <row r="486" spans="1:175">
      <c r="A486" s="212" t="s">
        <v>3159</v>
      </c>
      <c r="B486" s="212" t="s">
        <v>3160</v>
      </c>
      <c r="C486" s="212" t="s">
        <v>3172</v>
      </c>
      <c r="D486" s="212" t="s">
        <v>3632</v>
      </c>
      <c r="E486" s="212" t="s">
        <v>3658</v>
      </c>
      <c r="F486" s="278">
        <v>100</v>
      </c>
      <c r="G486" s="278">
        <v>1948</v>
      </c>
      <c r="H486" s="287">
        <f t="shared" si="7"/>
        <v>0.66735112936344965</v>
      </c>
      <c r="I486" s="286">
        <v>3</v>
      </c>
      <c r="J486" s="286">
        <v>13</v>
      </c>
      <c r="K486" s="286">
        <v>2</v>
      </c>
      <c r="L486" s="286">
        <v>11</v>
      </c>
      <c r="M486" s="286">
        <v>10</v>
      </c>
      <c r="N486" s="286">
        <v>0</v>
      </c>
      <c r="O486" s="286">
        <v>10</v>
      </c>
      <c r="P486" s="286">
        <v>3</v>
      </c>
      <c r="Q486" s="286">
        <v>13</v>
      </c>
      <c r="R486" s="286">
        <v>2</v>
      </c>
      <c r="S486" s="286">
        <v>11</v>
      </c>
      <c r="T486" s="286">
        <v>10</v>
      </c>
      <c r="U486" s="286">
        <v>0</v>
      </c>
      <c r="V486" s="286">
        <v>10</v>
      </c>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c r="AT486" s="286"/>
      <c r="AU486" s="286"/>
      <c r="AV486" s="286"/>
      <c r="AW486" s="286"/>
      <c r="AX486" s="286"/>
      <c r="AY486" s="286"/>
      <c r="AZ486" s="286"/>
      <c r="BA486" s="286"/>
      <c r="BB486" s="286"/>
      <c r="BC486" s="286"/>
      <c r="BD486" s="286"/>
      <c r="BE486" s="286"/>
      <c r="BF486" s="286"/>
      <c r="BG486" s="286"/>
      <c r="BH486" s="286"/>
      <c r="BI486" s="286"/>
      <c r="BJ486" s="286"/>
      <c r="BK486" s="286"/>
      <c r="BL486" s="286"/>
      <c r="BM486" s="286"/>
      <c r="BN486" s="286"/>
      <c r="BO486" s="286"/>
      <c r="BP486" s="286"/>
      <c r="BQ486" s="286"/>
      <c r="BR486" s="286"/>
      <c r="BS486" s="286"/>
      <c r="BT486" s="286"/>
      <c r="BU486" s="286"/>
      <c r="BV486" s="286"/>
      <c r="BW486" s="286"/>
      <c r="BX486" s="286"/>
      <c r="BY486" s="286"/>
      <c r="BZ486" s="286"/>
      <c r="CA486" s="286"/>
      <c r="CB486" s="286"/>
      <c r="CC486" s="286"/>
      <c r="CD486" s="286"/>
      <c r="CE486" s="286"/>
      <c r="CF486" s="286"/>
      <c r="CG486" s="286"/>
      <c r="CH486" s="286"/>
      <c r="CI486" s="286"/>
      <c r="CJ486" s="286"/>
      <c r="CK486" s="286"/>
      <c r="CL486" s="286"/>
      <c r="CM486" s="286"/>
      <c r="CN486" s="286"/>
      <c r="CO486" s="286"/>
      <c r="CP486" s="286"/>
      <c r="CQ486" s="286"/>
      <c r="CR486" s="286"/>
      <c r="CS486" s="286"/>
      <c r="CT486" s="286"/>
      <c r="CU486" s="286"/>
      <c r="CV486" s="286"/>
      <c r="CW486" s="286"/>
      <c r="CX486" s="286"/>
      <c r="CY486" s="286"/>
      <c r="CZ486" s="286"/>
      <c r="DA486" s="286"/>
      <c r="DB486" s="286"/>
      <c r="DC486" s="286"/>
      <c r="DD486" s="286"/>
      <c r="DE486" s="286"/>
      <c r="DF486" s="286"/>
      <c r="DG486" s="286"/>
      <c r="DH486" s="286"/>
      <c r="DI486" s="286"/>
      <c r="DJ486" s="286"/>
      <c r="DK486" s="286"/>
      <c r="DL486" s="286"/>
      <c r="DM486" s="286"/>
      <c r="DN486" s="286"/>
      <c r="DO486" s="286"/>
      <c r="DP486" s="286"/>
      <c r="DQ486" s="286"/>
      <c r="DR486" s="286"/>
      <c r="DS486" s="286"/>
      <c r="DT486" s="286"/>
      <c r="DU486" s="286"/>
      <c r="DV486" s="286"/>
      <c r="DW486" s="286"/>
      <c r="DX486" s="286"/>
      <c r="DY486" s="286"/>
      <c r="DZ486" s="286"/>
      <c r="EA486" s="286"/>
      <c r="EB486" s="286"/>
      <c r="EC486" s="286"/>
      <c r="ED486" s="286"/>
      <c r="EE486" s="286"/>
      <c r="EF486" s="286"/>
      <c r="EG486" s="286"/>
      <c r="EH486" s="286"/>
      <c r="EI486" s="286"/>
      <c r="EJ486" s="286"/>
      <c r="EK486" s="286"/>
      <c r="EL486" s="286"/>
      <c r="EM486" s="286"/>
      <c r="EN486" s="286"/>
      <c r="EO486" s="286"/>
      <c r="EP486" s="286"/>
      <c r="EQ486" s="286"/>
      <c r="ER486" s="286"/>
      <c r="ES486" s="286"/>
      <c r="ET486" s="286"/>
      <c r="EU486" s="286"/>
      <c r="EV486" s="286"/>
      <c r="EW486" s="286"/>
      <c r="EX486" s="286"/>
      <c r="EY486" s="286"/>
      <c r="EZ486" s="286"/>
      <c r="FA486" s="286"/>
      <c r="FB486" s="286"/>
      <c r="FC486" s="286"/>
      <c r="FD486" s="286"/>
      <c r="FE486" s="286"/>
      <c r="FF486" s="286"/>
      <c r="FG486" s="286"/>
      <c r="FH486" s="286"/>
      <c r="FI486" s="286"/>
      <c r="FJ486" s="286"/>
      <c r="FK486" s="286"/>
      <c r="FL486" s="286"/>
      <c r="FM486" s="286"/>
      <c r="FN486" s="286"/>
      <c r="FO486" s="286"/>
      <c r="FP486" s="286"/>
      <c r="FQ486" s="286"/>
      <c r="FR486" s="286"/>
      <c r="FS486" s="286"/>
    </row>
    <row r="487" spans="1:175">
      <c r="A487" s="212" t="s">
        <v>3159</v>
      </c>
      <c r="B487" s="212" t="s">
        <v>3160</v>
      </c>
      <c r="C487" s="212" t="s">
        <v>3172</v>
      </c>
      <c r="D487" s="212" t="s">
        <v>3632</v>
      </c>
      <c r="E487" s="212" t="s">
        <v>3659</v>
      </c>
      <c r="F487" s="278">
        <v>11783</v>
      </c>
      <c r="G487" s="278">
        <v>368442</v>
      </c>
      <c r="H487" s="287">
        <f t="shared" si="7"/>
        <v>3.0270707465489819</v>
      </c>
      <c r="I487" s="286">
        <v>397</v>
      </c>
      <c r="J487" s="286">
        <v>11153</v>
      </c>
      <c r="K487" s="286">
        <v>1669</v>
      </c>
      <c r="L487" s="286">
        <v>9235</v>
      </c>
      <c r="M487" s="286">
        <v>11152</v>
      </c>
      <c r="N487" s="286">
        <v>1669</v>
      </c>
      <c r="O487" s="286">
        <v>9234</v>
      </c>
      <c r="P487" s="286">
        <v>397</v>
      </c>
      <c r="Q487" s="286">
        <v>11153</v>
      </c>
      <c r="R487" s="286">
        <v>1669</v>
      </c>
      <c r="S487" s="286">
        <v>9235</v>
      </c>
      <c r="T487" s="286">
        <v>11152</v>
      </c>
      <c r="U487" s="286">
        <v>1669</v>
      </c>
      <c r="V487" s="286">
        <v>9234</v>
      </c>
      <c r="W487" s="286"/>
      <c r="X487" s="286"/>
      <c r="Y487" s="286"/>
      <c r="Z487" s="286"/>
      <c r="AA487" s="286"/>
      <c r="AB487" s="286"/>
      <c r="AC487" s="286"/>
      <c r="AD487" s="286"/>
      <c r="AE487" s="286"/>
      <c r="AF487" s="286"/>
      <c r="AG487" s="286"/>
      <c r="AH487" s="286"/>
      <c r="AI487" s="286"/>
      <c r="AJ487" s="286"/>
      <c r="AK487" s="286"/>
      <c r="AL487" s="286"/>
      <c r="AM487" s="286"/>
      <c r="AN487" s="286"/>
      <c r="AO487" s="286"/>
      <c r="AP487" s="286"/>
      <c r="AQ487" s="286"/>
      <c r="AR487" s="286"/>
      <c r="AS487" s="286"/>
      <c r="AT487" s="286"/>
      <c r="AU487" s="286"/>
      <c r="AV487" s="286"/>
      <c r="AW487" s="286"/>
      <c r="AX487" s="286"/>
      <c r="AY487" s="286"/>
      <c r="AZ487" s="286"/>
      <c r="BA487" s="286"/>
      <c r="BB487" s="286"/>
      <c r="BC487" s="286"/>
      <c r="BD487" s="286"/>
      <c r="BE487" s="286"/>
      <c r="BF487" s="286"/>
      <c r="BG487" s="286"/>
      <c r="BH487" s="286"/>
      <c r="BI487" s="286"/>
      <c r="BJ487" s="286"/>
      <c r="BK487" s="286"/>
      <c r="BL487" s="286"/>
      <c r="BM487" s="286"/>
      <c r="BN487" s="286"/>
      <c r="BO487" s="286"/>
      <c r="BP487" s="286"/>
      <c r="BQ487" s="286"/>
      <c r="BR487" s="286"/>
      <c r="BS487" s="286"/>
      <c r="BT487" s="286"/>
      <c r="BU487" s="286"/>
      <c r="BV487" s="286"/>
      <c r="BW487" s="286"/>
      <c r="BX487" s="286"/>
      <c r="BY487" s="286"/>
      <c r="BZ487" s="286"/>
      <c r="CA487" s="286"/>
      <c r="CB487" s="286"/>
      <c r="CC487" s="286"/>
      <c r="CD487" s="286"/>
      <c r="CE487" s="286"/>
      <c r="CF487" s="286"/>
      <c r="CG487" s="286"/>
      <c r="CH487" s="286"/>
      <c r="CI487" s="286"/>
      <c r="CJ487" s="286"/>
      <c r="CK487" s="286"/>
      <c r="CL487" s="286"/>
      <c r="CM487" s="286"/>
      <c r="CN487" s="286"/>
      <c r="CO487" s="286"/>
      <c r="CP487" s="286"/>
      <c r="CQ487" s="286"/>
      <c r="CR487" s="286"/>
      <c r="CS487" s="286"/>
      <c r="CT487" s="286"/>
      <c r="CU487" s="286"/>
      <c r="CV487" s="286"/>
      <c r="CW487" s="286"/>
      <c r="CX487" s="286"/>
      <c r="CY487" s="286"/>
      <c r="CZ487" s="286"/>
      <c r="DA487" s="286"/>
      <c r="DB487" s="286"/>
      <c r="DC487" s="286"/>
      <c r="DD487" s="286"/>
      <c r="DE487" s="286"/>
      <c r="DF487" s="286"/>
      <c r="DG487" s="286"/>
      <c r="DH487" s="286"/>
      <c r="DI487" s="286"/>
      <c r="DJ487" s="286"/>
      <c r="DK487" s="286"/>
      <c r="DL487" s="286"/>
      <c r="DM487" s="286"/>
      <c r="DN487" s="286"/>
      <c r="DO487" s="286"/>
      <c r="DP487" s="286"/>
      <c r="DQ487" s="286"/>
      <c r="DR487" s="286"/>
      <c r="DS487" s="286"/>
      <c r="DT487" s="286"/>
      <c r="DU487" s="286"/>
      <c r="DV487" s="286"/>
      <c r="DW487" s="286"/>
      <c r="DX487" s="286"/>
      <c r="DY487" s="286"/>
      <c r="DZ487" s="286"/>
      <c r="EA487" s="286"/>
      <c r="EB487" s="286"/>
      <c r="EC487" s="286"/>
      <c r="ED487" s="286"/>
      <c r="EE487" s="286"/>
      <c r="EF487" s="286"/>
      <c r="EG487" s="286"/>
      <c r="EH487" s="286"/>
      <c r="EI487" s="286"/>
      <c r="EJ487" s="286"/>
      <c r="EK487" s="286"/>
      <c r="EL487" s="286"/>
      <c r="EM487" s="286"/>
      <c r="EN487" s="286"/>
      <c r="EO487" s="286"/>
      <c r="EP487" s="286"/>
      <c r="EQ487" s="286"/>
      <c r="ER487" s="286"/>
      <c r="ES487" s="286"/>
      <c r="ET487" s="286"/>
      <c r="EU487" s="286"/>
      <c r="EV487" s="286"/>
      <c r="EW487" s="286"/>
      <c r="EX487" s="286"/>
      <c r="EY487" s="286"/>
      <c r="EZ487" s="286"/>
      <c r="FA487" s="286"/>
      <c r="FB487" s="286"/>
      <c r="FC487" s="286"/>
      <c r="FD487" s="286"/>
      <c r="FE487" s="286"/>
      <c r="FF487" s="286"/>
      <c r="FG487" s="286"/>
      <c r="FH487" s="286"/>
      <c r="FI487" s="286"/>
      <c r="FJ487" s="286"/>
      <c r="FK487" s="286"/>
      <c r="FL487" s="286"/>
      <c r="FM487" s="286"/>
      <c r="FN487" s="286"/>
      <c r="FO487" s="286"/>
      <c r="FP487" s="286"/>
      <c r="FQ487" s="286"/>
      <c r="FR487" s="286"/>
      <c r="FS487" s="286"/>
    </row>
    <row r="488" spans="1:175">
      <c r="A488" s="212" t="s">
        <v>3159</v>
      </c>
      <c r="B488" s="212" t="s">
        <v>3160</v>
      </c>
      <c r="C488" s="212" t="s">
        <v>3172</v>
      </c>
      <c r="D488" s="212" t="s">
        <v>3632</v>
      </c>
      <c r="E488" s="212" t="s">
        <v>3660</v>
      </c>
      <c r="F488" s="278">
        <v>2718</v>
      </c>
      <c r="G488" s="278">
        <v>107391</v>
      </c>
      <c r="H488" s="287">
        <f t="shared" si="7"/>
        <v>2.1109776424467599</v>
      </c>
      <c r="I488" s="286">
        <v>75</v>
      </c>
      <c r="J488" s="286">
        <v>2267</v>
      </c>
      <c r="K488" s="286">
        <v>917</v>
      </c>
      <c r="L488" s="286">
        <v>1350</v>
      </c>
      <c r="M488" s="286">
        <v>2267</v>
      </c>
      <c r="N488" s="286">
        <v>917</v>
      </c>
      <c r="O488" s="286">
        <v>1350</v>
      </c>
      <c r="P488" s="286">
        <v>75</v>
      </c>
      <c r="Q488" s="286">
        <v>2267</v>
      </c>
      <c r="R488" s="286">
        <v>917</v>
      </c>
      <c r="S488" s="286">
        <v>1350</v>
      </c>
      <c r="T488" s="286">
        <v>2267</v>
      </c>
      <c r="U488" s="286">
        <v>917</v>
      </c>
      <c r="V488" s="286">
        <v>1350</v>
      </c>
      <c r="W488" s="286"/>
      <c r="X488" s="286"/>
      <c r="Y488" s="286"/>
      <c r="Z488" s="286"/>
      <c r="AA488" s="286"/>
      <c r="AB488" s="286"/>
      <c r="AC488" s="286"/>
      <c r="AD488" s="286"/>
      <c r="AE488" s="286"/>
      <c r="AF488" s="286"/>
      <c r="AG488" s="286"/>
      <c r="AH488" s="286"/>
      <c r="AI488" s="286"/>
      <c r="AJ488" s="286"/>
      <c r="AK488" s="286"/>
      <c r="AL488" s="286"/>
      <c r="AM488" s="286"/>
      <c r="AN488" s="286"/>
      <c r="AO488" s="286"/>
      <c r="AP488" s="286"/>
      <c r="AQ488" s="286"/>
      <c r="AR488" s="286"/>
      <c r="AS488" s="286"/>
      <c r="AT488" s="286"/>
      <c r="AU488" s="286"/>
      <c r="AV488" s="286"/>
      <c r="AW488" s="286"/>
      <c r="AX488" s="286"/>
      <c r="AY488" s="286"/>
      <c r="AZ488" s="286"/>
      <c r="BA488" s="286"/>
      <c r="BB488" s="286"/>
      <c r="BC488" s="286"/>
      <c r="BD488" s="286"/>
      <c r="BE488" s="286"/>
      <c r="BF488" s="286"/>
      <c r="BG488" s="286"/>
      <c r="BH488" s="286"/>
      <c r="BI488" s="286"/>
      <c r="BJ488" s="286"/>
      <c r="BK488" s="286"/>
      <c r="BL488" s="286"/>
      <c r="BM488" s="286"/>
      <c r="BN488" s="286"/>
      <c r="BO488" s="286"/>
      <c r="BP488" s="286"/>
      <c r="BQ488" s="286"/>
      <c r="BR488" s="286"/>
      <c r="BS488" s="286"/>
      <c r="BT488" s="286"/>
      <c r="BU488" s="286"/>
      <c r="BV488" s="286"/>
      <c r="BW488" s="286"/>
      <c r="BX488" s="286"/>
      <c r="BY488" s="286"/>
      <c r="BZ488" s="286"/>
      <c r="CA488" s="286"/>
      <c r="CB488" s="286"/>
      <c r="CC488" s="286"/>
      <c r="CD488" s="286"/>
      <c r="CE488" s="286"/>
      <c r="CF488" s="286"/>
      <c r="CG488" s="286"/>
      <c r="CH488" s="286"/>
      <c r="CI488" s="286"/>
      <c r="CJ488" s="286"/>
      <c r="CK488" s="286"/>
      <c r="CL488" s="286"/>
      <c r="CM488" s="286"/>
      <c r="CN488" s="286"/>
      <c r="CO488" s="286"/>
      <c r="CP488" s="286"/>
      <c r="CQ488" s="286"/>
      <c r="CR488" s="286"/>
      <c r="CS488" s="286"/>
      <c r="CT488" s="286"/>
      <c r="CU488" s="286"/>
      <c r="CV488" s="286"/>
      <c r="CW488" s="286"/>
      <c r="CX488" s="286"/>
      <c r="CY488" s="286"/>
      <c r="CZ488" s="286"/>
      <c r="DA488" s="286"/>
      <c r="DB488" s="286"/>
      <c r="DC488" s="286"/>
      <c r="DD488" s="286"/>
      <c r="DE488" s="286"/>
      <c r="DF488" s="286"/>
      <c r="DG488" s="286"/>
      <c r="DH488" s="286"/>
      <c r="DI488" s="286"/>
      <c r="DJ488" s="286"/>
      <c r="DK488" s="286"/>
      <c r="DL488" s="286"/>
      <c r="DM488" s="286"/>
      <c r="DN488" s="286"/>
      <c r="DO488" s="286"/>
      <c r="DP488" s="286"/>
      <c r="DQ488" s="286"/>
      <c r="DR488" s="286"/>
      <c r="DS488" s="286"/>
      <c r="DT488" s="286"/>
      <c r="DU488" s="286"/>
      <c r="DV488" s="286"/>
      <c r="DW488" s="286"/>
      <c r="DX488" s="286"/>
      <c r="DY488" s="286"/>
      <c r="DZ488" s="286"/>
      <c r="EA488" s="286"/>
      <c r="EB488" s="286"/>
      <c r="EC488" s="286"/>
      <c r="ED488" s="286"/>
      <c r="EE488" s="286"/>
      <c r="EF488" s="286"/>
      <c r="EG488" s="286"/>
      <c r="EH488" s="286"/>
      <c r="EI488" s="286"/>
      <c r="EJ488" s="286"/>
      <c r="EK488" s="286"/>
      <c r="EL488" s="286"/>
      <c r="EM488" s="286"/>
      <c r="EN488" s="286"/>
      <c r="EO488" s="286"/>
      <c r="EP488" s="286"/>
      <c r="EQ488" s="286"/>
      <c r="ER488" s="286"/>
      <c r="ES488" s="286"/>
      <c r="ET488" s="286"/>
      <c r="EU488" s="286"/>
      <c r="EV488" s="286"/>
      <c r="EW488" s="286"/>
      <c r="EX488" s="286"/>
      <c r="EY488" s="286"/>
      <c r="EZ488" s="286"/>
      <c r="FA488" s="286"/>
      <c r="FB488" s="286"/>
      <c r="FC488" s="286"/>
      <c r="FD488" s="286"/>
      <c r="FE488" s="286"/>
      <c r="FF488" s="286"/>
      <c r="FG488" s="286"/>
      <c r="FH488" s="286"/>
      <c r="FI488" s="286"/>
      <c r="FJ488" s="286"/>
      <c r="FK488" s="286"/>
      <c r="FL488" s="286"/>
      <c r="FM488" s="286"/>
      <c r="FN488" s="286"/>
      <c r="FO488" s="286"/>
      <c r="FP488" s="286"/>
      <c r="FQ488" s="286"/>
      <c r="FR488" s="286"/>
      <c r="FS488" s="286"/>
    </row>
    <row r="489" spans="1:175">
      <c r="A489" s="212" t="s">
        <v>3159</v>
      </c>
      <c r="B489" s="212" t="s">
        <v>3160</v>
      </c>
      <c r="C489" s="212" t="s">
        <v>3172</v>
      </c>
      <c r="D489" s="212" t="s">
        <v>3632</v>
      </c>
      <c r="E489" s="212" t="s">
        <v>3661</v>
      </c>
      <c r="F489" s="278">
        <v>2309</v>
      </c>
      <c r="G489" s="278">
        <v>40088</v>
      </c>
      <c r="H489" s="287">
        <f t="shared" si="7"/>
        <v>2.7639193773697865</v>
      </c>
      <c r="I489" s="286">
        <v>68</v>
      </c>
      <c r="J489" s="286">
        <v>1108</v>
      </c>
      <c r="K489" s="286">
        <v>670</v>
      </c>
      <c r="L489" s="286">
        <v>438</v>
      </c>
      <c r="M489" s="286">
        <v>1014</v>
      </c>
      <c r="N489" s="286">
        <v>584</v>
      </c>
      <c r="O489" s="286">
        <v>430</v>
      </c>
      <c r="P489" s="286">
        <v>67</v>
      </c>
      <c r="Q489" s="286">
        <v>1104</v>
      </c>
      <c r="R489" s="286">
        <v>666</v>
      </c>
      <c r="S489" s="286">
        <v>438</v>
      </c>
      <c r="T489" s="286">
        <v>1010</v>
      </c>
      <c r="U489" s="286">
        <v>580</v>
      </c>
      <c r="V489" s="286">
        <v>430</v>
      </c>
      <c r="W489" s="286"/>
      <c r="X489" s="286"/>
      <c r="Y489" s="286"/>
      <c r="Z489" s="286"/>
      <c r="AA489" s="286"/>
      <c r="AB489" s="286"/>
      <c r="AC489" s="286"/>
      <c r="AD489" s="286"/>
      <c r="AE489" s="286"/>
      <c r="AF489" s="286"/>
      <c r="AG489" s="286"/>
      <c r="AH489" s="286"/>
      <c r="AI489" s="286"/>
      <c r="AJ489" s="286"/>
      <c r="AK489" s="286"/>
      <c r="AL489" s="286"/>
      <c r="AM489" s="286"/>
      <c r="AN489" s="286"/>
      <c r="AO489" s="286"/>
      <c r="AP489" s="286"/>
      <c r="AQ489" s="286"/>
      <c r="AR489" s="286"/>
      <c r="AS489" s="286"/>
      <c r="AT489" s="286"/>
      <c r="AU489" s="286"/>
      <c r="AV489" s="286"/>
      <c r="AW489" s="286"/>
      <c r="AX489" s="286"/>
      <c r="AY489" s="286"/>
      <c r="AZ489" s="286"/>
      <c r="BA489" s="286"/>
      <c r="BB489" s="286"/>
      <c r="BC489" s="286"/>
      <c r="BD489" s="286"/>
      <c r="BE489" s="286"/>
      <c r="BF489" s="286"/>
      <c r="BG489" s="286"/>
      <c r="BH489" s="286"/>
      <c r="BI489" s="286"/>
      <c r="BJ489" s="286"/>
      <c r="BK489" s="286"/>
      <c r="BL489" s="286"/>
      <c r="BM489" s="286"/>
      <c r="BN489" s="286"/>
      <c r="BO489" s="286"/>
      <c r="BP489" s="286"/>
      <c r="BQ489" s="286"/>
      <c r="BR489" s="286"/>
      <c r="BS489" s="286"/>
      <c r="BT489" s="286"/>
      <c r="BU489" s="286"/>
      <c r="BV489" s="286"/>
      <c r="BW489" s="286"/>
      <c r="BX489" s="286"/>
      <c r="BY489" s="286"/>
      <c r="BZ489" s="286"/>
      <c r="CA489" s="286"/>
      <c r="CB489" s="286"/>
      <c r="CC489" s="286"/>
      <c r="CD489" s="286"/>
      <c r="CE489" s="286"/>
      <c r="CF489" s="286"/>
      <c r="CG489" s="286"/>
      <c r="CH489" s="286"/>
      <c r="CI489" s="286"/>
      <c r="CJ489" s="286"/>
      <c r="CK489" s="286"/>
      <c r="CL489" s="286"/>
      <c r="CM489" s="286"/>
      <c r="CN489" s="286"/>
      <c r="CO489" s="286"/>
      <c r="CP489" s="286"/>
      <c r="CQ489" s="286"/>
      <c r="CR489" s="286"/>
      <c r="CS489" s="286"/>
      <c r="CT489" s="286"/>
      <c r="CU489" s="286"/>
      <c r="CV489" s="286"/>
      <c r="CW489" s="286"/>
      <c r="CX489" s="286"/>
      <c r="CY489" s="286"/>
      <c r="CZ489" s="286"/>
      <c r="DA489" s="286"/>
      <c r="DB489" s="286"/>
      <c r="DC489" s="286"/>
      <c r="DD489" s="286"/>
      <c r="DE489" s="286"/>
      <c r="DF489" s="286"/>
      <c r="DG489" s="286"/>
      <c r="DH489" s="286"/>
      <c r="DI489" s="286"/>
      <c r="DJ489" s="286"/>
      <c r="DK489" s="286"/>
      <c r="DL489" s="286"/>
      <c r="DM489" s="286"/>
      <c r="DN489" s="286"/>
      <c r="DO489" s="286"/>
      <c r="DP489" s="286"/>
      <c r="DQ489" s="286"/>
      <c r="DR489" s="286"/>
      <c r="DS489" s="286"/>
      <c r="DT489" s="286"/>
      <c r="DU489" s="286"/>
      <c r="DV489" s="286"/>
      <c r="DW489" s="286"/>
      <c r="DX489" s="286"/>
      <c r="DY489" s="286"/>
      <c r="DZ489" s="286"/>
      <c r="EA489" s="286"/>
      <c r="EB489" s="286"/>
      <c r="EC489" s="286"/>
      <c r="ED489" s="286"/>
      <c r="EE489" s="286"/>
      <c r="EF489" s="286"/>
      <c r="EG489" s="286"/>
      <c r="EH489" s="286"/>
      <c r="EI489" s="286"/>
      <c r="EJ489" s="286"/>
      <c r="EK489" s="286"/>
      <c r="EL489" s="286"/>
      <c r="EM489" s="286"/>
      <c r="EN489" s="286"/>
      <c r="EO489" s="286"/>
      <c r="EP489" s="286"/>
      <c r="EQ489" s="286"/>
      <c r="ER489" s="286"/>
      <c r="ES489" s="286"/>
      <c r="ET489" s="286"/>
      <c r="EU489" s="286"/>
      <c r="EV489" s="286"/>
      <c r="EW489" s="286"/>
      <c r="EX489" s="286"/>
      <c r="EY489" s="286"/>
      <c r="EZ489" s="286"/>
      <c r="FA489" s="286"/>
      <c r="FB489" s="286"/>
      <c r="FC489" s="286"/>
      <c r="FD489" s="286"/>
      <c r="FE489" s="286"/>
      <c r="FF489" s="286"/>
      <c r="FG489" s="286"/>
      <c r="FH489" s="286"/>
      <c r="FI489" s="286"/>
      <c r="FJ489" s="286"/>
      <c r="FK489" s="286"/>
      <c r="FL489" s="286"/>
      <c r="FM489" s="286"/>
      <c r="FN489" s="286"/>
      <c r="FO489" s="286"/>
      <c r="FP489" s="286"/>
      <c r="FQ489" s="286"/>
      <c r="FR489" s="286"/>
      <c r="FS489" s="286"/>
    </row>
    <row r="490" spans="1:175">
      <c r="A490" s="212" t="s">
        <v>3159</v>
      </c>
      <c r="B490" s="212" t="s">
        <v>3160</v>
      </c>
      <c r="C490" s="212" t="s">
        <v>3172</v>
      </c>
      <c r="D490" s="212" t="s">
        <v>3632</v>
      </c>
      <c r="E490" s="212" t="s">
        <v>3662</v>
      </c>
      <c r="F490" s="278">
        <v>28041</v>
      </c>
      <c r="G490" s="278">
        <v>153159</v>
      </c>
      <c r="H490" s="287">
        <f t="shared" si="7"/>
        <v>2.8088457093608605</v>
      </c>
      <c r="I490" s="286">
        <v>968</v>
      </c>
      <c r="J490" s="286">
        <v>4302</v>
      </c>
      <c r="K490" s="286">
        <v>2399</v>
      </c>
      <c r="L490" s="286">
        <v>1903</v>
      </c>
      <c r="M490" s="286">
        <v>3111</v>
      </c>
      <c r="N490" s="286">
        <v>1551</v>
      </c>
      <c r="O490" s="286">
        <v>1560</v>
      </c>
      <c r="P490" s="286">
        <v>968</v>
      </c>
      <c r="Q490" s="286">
        <v>4302</v>
      </c>
      <c r="R490" s="286">
        <v>2399</v>
      </c>
      <c r="S490" s="286">
        <v>1903</v>
      </c>
      <c r="T490" s="286">
        <v>3111</v>
      </c>
      <c r="U490" s="286">
        <v>1551</v>
      </c>
      <c r="V490" s="286">
        <v>1560</v>
      </c>
      <c r="W490" s="286"/>
      <c r="X490" s="286"/>
      <c r="Y490" s="286"/>
      <c r="Z490" s="286"/>
      <c r="AA490" s="286"/>
      <c r="AB490" s="286"/>
      <c r="AC490" s="286"/>
      <c r="AD490" s="286"/>
      <c r="AE490" s="286"/>
      <c r="AF490" s="286"/>
      <c r="AG490" s="286"/>
      <c r="AH490" s="286"/>
      <c r="AI490" s="286"/>
      <c r="AJ490" s="286"/>
      <c r="AK490" s="286"/>
      <c r="AL490" s="286"/>
      <c r="AM490" s="286"/>
      <c r="AN490" s="286"/>
      <c r="AO490" s="286"/>
      <c r="AP490" s="286"/>
      <c r="AQ490" s="286"/>
      <c r="AR490" s="286"/>
      <c r="AS490" s="286"/>
      <c r="AT490" s="286"/>
      <c r="AU490" s="286"/>
      <c r="AV490" s="286"/>
      <c r="AW490" s="286"/>
      <c r="AX490" s="286"/>
      <c r="AY490" s="286"/>
      <c r="AZ490" s="286"/>
      <c r="BA490" s="286"/>
      <c r="BB490" s="286"/>
      <c r="BC490" s="286"/>
      <c r="BD490" s="286"/>
      <c r="BE490" s="286"/>
      <c r="BF490" s="286"/>
      <c r="BG490" s="286"/>
      <c r="BH490" s="286"/>
      <c r="BI490" s="286"/>
      <c r="BJ490" s="286"/>
      <c r="BK490" s="286"/>
      <c r="BL490" s="286"/>
      <c r="BM490" s="286"/>
      <c r="BN490" s="286"/>
      <c r="BO490" s="286"/>
      <c r="BP490" s="286"/>
      <c r="BQ490" s="286"/>
      <c r="BR490" s="286"/>
      <c r="BS490" s="286"/>
      <c r="BT490" s="286"/>
      <c r="BU490" s="286"/>
      <c r="BV490" s="286"/>
      <c r="BW490" s="286"/>
      <c r="BX490" s="286"/>
      <c r="BY490" s="286"/>
      <c r="BZ490" s="286"/>
      <c r="CA490" s="286"/>
      <c r="CB490" s="286"/>
      <c r="CC490" s="286"/>
      <c r="CD490" s="286"/>
      <c r="CE490" s="286"/>
      <c r="CF490" s="286"/>
      <c r="CG490" s="286"/>
      <c r="CH490" s="286"/>
      <c r="CI490" s="286"/>
      <c r="CJ490" s="286"/>
      <c r="CK490" s="286"/>
      <c r="CL490" s="286"/>
      <c r="CM490" s="286"/>
      <c r="CN490" s="286"/>
      <c r="CO490" s="286"/>
      <c r="CP490" s="286"/>
      <c r="CQ490" s="286"/>
      <c r="CR490" s="286"/>
      <c r="CS490" s="286"/>
      <c r="CT490" s="286"/>
      <c r="CU490" s="286"/>
      <c r="CV490" s="286"/>
      <c r="CW490" s="286"/>
      <c r="CX490" s="286"/>
      <c r="CY490" s="286"/>
      <c r="CZ490" s="286"/>
      <c r="DA490" s="286"/>
      <c r="DB490" s="286"/>
      <c r="DC490" s="286"/>
      <c r="DD490" s="286"/>
      <c r="DE490" s="286"/>
      <c r="DF490" s="286"/>
      <c r="DG490" s="286"/>
      <c r="DH490" s="286"/>
      <c r="DI490" s="286"/>
      <c r="DJ490" s="286"/>
      <c r="DK490" s="286"/>
      <c r="DL490" s="286"/>
      <c r="DM490" s="286"/>
      <c r="DN490" s="286"/>
      <c r="DO490" s="286"/>
      <c r="DP490" s="286"/>
      <c r="DQ490" s="286"/>
      <c r="DR490" s="286"/>
      <c r="DS490" s="286"/>
      <c r="DT490" s="286"/>
      <c r="DU490" s="286"/>
      <c r="DV490" s="286"/>
      <c r="DW490" s="286"/>
      <c r="DX490" s="286"/>
      <c r="DY490" s="286"/>
      <c r="DZ490" s="286"/>
      <c r="EA490" s="286"/>
      <c r="EB490" s="286"/>
      <c r="EC490" s="286"/>
      <c r="ED490" s="286"/>
      <c r="EE490" s="286"/>
      <c r="EF490" s="286"/>
      <c r="EG490" s="286"/>
      <c r="EH490" s="286"/>
      <c r="EI490" s="286"/>
      <c r="EJ490" s="286"/>
      <c r="EK490" s="286"/>
      <c r="EL490" s="286"/>
      <c r="EM490" s="286"/>
      <c r="EN490" s="286"/>
      <c r="EO490" s="286"/>
      <c r="EP490" s="286"/>
      <c r="EQ490" s="286"/>
      <c r="ER490" s="286"/>
      <c r="ES490" s="286"/>
      <c r="ET490" s="286"/>
      <c r="EU490" s="286"/>
      <c r="EV490" s="286"/>
      <c r="EW490" s="286"/>
      <c r="EX490" s="286"/>
      <c r="EY490" s="286"/>
      <c r="EZ490" s="286"/>
      <c r="FA490" s="286"/>
      <c r="FB490" s="286"/>
      <c r="FC490" s="286"/>
      <c r="FD490" s="286"/>
      <c r="FE490" s="286"/>
      <c r="FF490" s="286"/>
      <c r="FG490" s="286"/>
      <c r="FH490" s="286"/>
      <c r="FI490" s="286"/>
      <c r="FJ490" s="286"/>
      <c r="FK490" s="286"/>
      <c r="FL490" s="286"/>
      <c r="FM490" s="286"/>
      <c r="FN490" s="286"/>
      <c r="FO490" s="286"/>
      <c r="FP490" s="286"/>
      <c r="FQ490" s="286"/>
      <c r="FR490" s="286"/>
      <c r="FS490" s="286"/>
    </row>
    <row r="491" spans="1:175">
      <c r="A491" s="212" t="s">
        <v>3159</v>
      </c>
      <c r="B491" s="212" t="s">
        <v>3160</v>
      </c>
      <c r="C491" s="212" t="s">
        <v>3172</v>
      </c>
      <c r="D491" s="212" t="s">
        <v>3632</v>
      </c>
      <c r="E491" s="212" t="s">
        <v>3663</v>
      </c>
      <c r="F491" s="278">
        <v>922</v>
      </c>
      <c r="G491" s="278">
        <v>11291</v>
      </c>
      <c r="H491" s="287">
        <f t="shared" si="7"/>
        <v>2.3558586484810915</v>
      </c>
      <c r="I491" s="286">
        <v>35</v>
      </c>
      <c r="J491" s="286">
        <v>266</v>
      </c>
      <c r="K491" s="286">
        <v>205</v>
      </c>
      <c r="L491" s="286">
        <v>61</v>
      </c>
      <c r="M491" s="286">
        <v>237</v>
      </c>
      <c r="N491" s="286">
        <v>181</v>
      </c>
      <c r="O491" s="286">
        <v>56</v>
      </c>
      <c r="P491" s="286">
        <v>35</v>
      </c>
      <c r="Q491" s="286">
        <v>266</v>
      </c>
      <c r="R491" s="286">
        <v>205</v>
      </c>
      <c r="S491" s="286">
        <v>61</v>
      </c>
      <c r="T491" s="286">
        <v>237</v>
      </c>
      <c r="U491" s="286">
        <v>181</v>
      </c>
      <c r="V491" s="286">
        <v>56</v>
      </c>
      <c r="W491" s="286"/>
      <c r="X491" s="286"/>
      <c r="Y491" s="286"/>
      <c r="Z491" s="286"/>
      <c r="AA491" s="286"/>
      <c r="AB491" s="286"/>
      <c r="AC491" s="286"/>
      <c r="AD491" s="286"/>
      <c r="AE491" s="286"/>
      <c r="AF491" s="286"/>
      <c r="AG491" s="286"/>
      <c r="AH491" s="286"/>
      <c r="AI491" s="286"/>
      <c r="AJ491" s="286"/>
      <c r="AK491" s="286"/>
      <c r="AL491" s="286"/>
      <c r="AM491" s="286"/>
      <c r="AN491" s="286"/>
      <c r="AO491" s="286"/>
      <c r="AP491" s="286"/>
      <c r="AQ491" s="286"/>
      <c r="AR491" s="286"/>
      <c r="AS491" s="286"/>
      <c r="AT491" s="286"/>
      <c r="AU491" s="286"/>
      <c r="AV491" s="286"/>
      <c r="AW491" s="286"/>
      <c r="AX491" s="286"/>
      <c r="AY491" s="286"/>
      <c r="AZ491" s="286"/>
      <c r="BA491" s="286"/>
      <c r="BB491" s="286"/>
      <c r="BC491" s="286"/>
      <c r="BD491" s="286"/>
      <c r="BE491" s="286"/>
      <c r="BF491" s="286"/>
      <c r="BG491" s="286"/>
      <c r="BH491" s="286"/>
      <c r="BI491" s="286"/>
      <c r="BJ491" s="286"/>
      <c r="BK491" s="286"/>
      <c r="BL491" s="286"/>
      <c r="BM491" s="286"/>
      <c r="BN491" s="286"/>
      <c r="BO491" s="286"/>
      <c r="BP491" s="286"/>
      <c r="BQ491" s="286"/>
      <c r="BR491" s="286"/>
      <c r="BS491" s="286"/>
      <c r="BT491" s="286"/>
      <c r="BU491" s="286"/>
      <c r="BV491" s="286"/>
      <c r="BW491" s="286"/>
      <c r="BX491" s="286"/>
      <c r="BY491" s="286"/>
      <c r="BZ491" s="286"/>
      <c r="CA491" s="286"/>
      <c r="CB491" s="286"/>
      <c r="CC491" s="286"/>
      <c r="CD491" s="286"/>
      <c r="CE491" s="286"/>
      <c r="CF491" s="286"/>
      <c r="CG491" s="286"/>
      <c r="CH491" s="286"/>
      <c r="CI491" s="286"/>
      <c r="CJ491" s="286"/>
      <c r="CK491" s="286"/>
      <c r="CL491" s="286"/>
      <c r="CM491" s="286"/>
      <c r="CN491" s="286"/>
      <c r="CO491" s="286"/>
      <c r="CP491" s="286"/>
      <c r="CQ491" s="286"/>
      <c r="CR491" s="286"/>
      <c r="CS491" s="286"/>
      <c r="CT491" s="286"/>
      <c r="CU491" s="286"/>
      <c r="CV491" s="286"/>
      <c r="CW491" s="286"/>
      <c r="CX491" s="286"/>
      <c r="CY491" s="286"/>
      <c r="CZ491" s="286"/>
      <c r="DA491" s="286"/>
      <c r="DB491" s="286"/>
      <c r="DC491" s="286"/>
      <c r="DD491" s="286"/>
      <c r="DE491" s="286"/>
      <c r="DF491" s="286"/>
      <c r="DG491" s="286"/>
      <c r="DH491" s="286"/>
      <c r="DI491" s="286"/>
      <c r="DJ491" s="286"/>
      <c r="DK491" s="286"/>
      <c r="DL491" s="286"/>
      <c r="DM491" s="286"/>
      <c r="DN491" s="286"/>
      <c r="DO491" s="286"/>
      <c r="DP491" s="286"/>
      <c r="DQ491" s="286"/>
      <c r="DR491" s="286"/>
      <c r="DS491" s="286"/>
      <c r="DT491" s="286"/>
      <c r="DU491" s="286"/>
      <c r="DV491" s="286"/>
      <c r="DW491" s="286"/>
      <c r="DX491" s="286"/>
      <c r="DY491" s="286"/>
      <c r="DZ491" s="286"/>
      <c r="EA491" s="286"/>
      <c r="EB491" s="286"/>
      <c r="EC491" s="286"/>
      <c r="ED491" s="286"/>
      <c r="EE491" s="286"/>
      <c r="EF491" s="286"/>
      <c r="EG491" s="286"/>
      <c r="EH491" s="286"/>
      <c r="EI491" s="286"/>
      <c r="EJ491" s="286"/>
      <c r="EK491" s="286"/>
      <c r="EL491" s="286"/>
      <c r="EM491" s="286"/>
      <c r="EN491" s="286"/>
      <c r="EO491" s="286"/>
      <c r="EP491" s="286"/>
      <c r="EQ491" s="286"/>
      <c r="ER491" s="286"/>
      <c r="ES491" s="286"/>
      <c r="ET491" s="286"/>
      <c r="EU491" s="286"/>
      <c r="EV491" s="286"/>
      <c r="EW491" s="286"/>
      <c r="EX491" s="286"/>
      <c r="EY491" s="286"/>
      <c r="EZ491" s="286"/>
      <c r="FA491" s="286"/>
      <c r="FB491" s="286"/>
      <c r="FC491" s="286"/>
      <c r="FD491" s="286"/>
      <c r="FE491" s="286"/>
      <c r="FF491" s="286"/>
      <c r="FG491" s="286"/>
      <c r="FH491" s="286"/>
      <c r="FI491" s="286"/>
      <c r="FJ491" s="286"/>
      <c r="FK491" s="286"/>
      <c r="FL491" s="286"/>
      <c r="FM491" s="286"/>
      <c r="FN491" s="286"/>
      <c r="FO491" s="286"/>
      <c r="FP491" s="286"/>
      <c r="FQ491" s="286"/>
      <c r="FR491" s="286"/>
      <c r="FS491" s="286"/>
    </row>
    <row r="492" spans="1:175">
      <c r="A492" s="212" t="s">
        <v>3159</v>
      </c>
      <c r="B492" s="212" t="s">
        <v>3160</v>
      </c>
      <c r="C492" s="212" t="s">
        <v>3168</v>
      </c>
      <c r="D492" s="212" t="s">
        <v>3664</v>
      </c>
      <c r="E492" s="212" t="s">
        <v>3665</v>
      </c>
      <c r="F492" s="278">
        <v>375097</v>
      </c>
      <c r="G492" s="278">
        <v>1622094</v>
      </c>
      <c r="H492" s="287">
        <f t="shared" si="7"/>
        <v>3.7449740890478602</v>
      </c>
      <c r="I492" s="286">
        <v>14704</v>
      </c>
      <c r="J492" s="286">
        <v>60747</v>
      </c>
      <c r="K492" s="286">
        <v>33744</v>
      </c>
      <c r="L492" s="286">
        <v>26732</v>
      </c>
      <c r="M492" s="286">
        <v>38142</v>
      </c>
      <c r="N492" s="286">
        <v>21014</v>
      </c>
      <c r="O492" s="286">
        <v>16877</v>
      </c>
      <c r="P492" s="286">
        <v>14692</v>
      </c>
      <c r="Q492" s="286">
        <v>60592</v>
      </c>
      <c r="R492" s="286">
        <v>33633</v>
      </c>
      <c r="S492" s="286">
        <v>26688</v>
      </c>
      <c r="T492" s="286">
        <v>37987</v>
      </c>
      <c r="U492" s="286">
        <v>20903</v>
      </c>
      <c r="V492" s="286">
        <v>16833</v>
      </c>
      <c r="W492" s="286"/>
      <c r="X492" s="286"/>
      <c r="Y492" s="286"/>
      <c r="Z492" s="286"/>
      <c r="AA492" s="286"/>
      <c r="AB492" s="286"/>
      <c r="AC492" s="286"/>
      <c r="AD492" s="286"/>
      <c r="AE492" s="286"/>
      <c r="AF492" s="286"/>
      <c r="AG492" s="286"/>
      <c r="AH492" s="286"/>
      <c r="AI492" s="286"/>
      <c r="AJ492" s="286"/>
      <c r="AK492" s="286"/>
      <c r="AL492" s="286"/>
      <c r="AM492" s="286"/>
      <c r="AN492" s="286"/>
      <c r="AO492" s="286"/>
      <c r="AP492" s="286"/>
      <c r="AQ492" s="286"/>
      <c r="AR492" s="286"/>
      <c r="AS492" s="286"/>
      <c r="AT492" s="286"/>
      <c r="AU492" s="286"/>
      <c r="AV492" s="286"/>
      <c r="AW492" s="286"/>
      <c r="AX492" s="286"/>
      <c r="AY492" s="286"/>
      <c r="AZ492" s="286"/>
      <c r="BA492" s="286"/>
      <c r="BB492" s="286"/>
      <c r="BC492" s="286"/>
      <c r="BD492" s="286"/>
      <c r="BE492" s="286"/>
      <c r="BF492" s="286"/>
      <c r="BG492" s="286"/>
      <c r="BH492" s="286"/>
      <c r="BI492" s="286"/>
      <c r="BJ492" s="286"/>
      <c r="BK492" s="286"/>
      <c r="BL492" s="286"/>
      <c r="BM492" s="286"/>
      <c r="BN492" s="286"/>
      <c r="BO492" s="286"/>
      <c r="BP492" s="286"/>
      <c r="BQ492" s="286"/>
      <c r="BR492" s="286"/>
      <c r="BS492" s="286"/>
      <c r="BT492" s="286"/>
      <c r="BU492" s="286"/>
      <c r="BV492" s="286"/>
      <c r="BW492" s="286"/>
      <c r="BX492" s="286"/>
      <c r="BY492" s="286"/>
      <c r="BZ492" s="286"/>
      <c r="CA492" s="286"/>
      <c r="CB492" s="286"/>
      <c r="CC492" s="286"/>
      <c r="CD492" s="286"/>
      <c r="CE492" s="286"/>
      <c r="CF492" s="286"/>
      <c r="CG492" s="286"/>
      <c r="CH492" s="286"/>
      <c r="CI492" s="286"/>
      <c r="CJ492" s="286"/>
      <c r="CK492" s="286"/>
      <c r="CL492" s="286"/>
      <c r="CM492" s="286"/>
      <c r="CN492" s="286"/>
      <c r="CO492" s="286"/>
      <c r="CP492" s="286"/>
      <c r="CQ492" s="286"/>
      <c r="CR492" s="286"/>
      <c r="CS492" s="286"/>
      <c r="CT492" s="286"/>
      <c r="CU492" s="286"/>
      <c r="CV492" s="286"/>
      <c r="CW492" s="286"/>
      <c r="CX492" s="286"/>
      <c r="CY492" s="286"/>
      <c r="CZ492" s="286"/>
      <c r="DA492" s="286"/>
      <c r="DB492" s="286"/>
      <c r="DC492" s="286"/>
      <c r="DD492" s="286"/>
      <c r="DE492" s="286"/>
      <c r="DF492" s="286"/>
      <c r="DG492" s="286"/>
      <c r="DH492" s="286"/>
      <c r="DI492" s="286"/>
      <c r="DJ492" s="286"/>
      <c r="DK492" s="286"/>
      <c r="DL492" s="286"/>
      <c r="DM492" s="286"/>
      <c r="DN492" s="286"/>
      <c r="DO492" s="286"/>
      <c r="DP492" s="286"/>
      <c r="DQ492" s="286"/>
      <c r="DR492" s="286"/>
      <c r="DS492" s="286"/>
      <c r="DT492" s="286"/>
      <c r="DU492" s="286"/>
      <c r="DV492" s="286"/>
      <c r="DW492" s="286"/>
      <c r="DX492" s="286"/>
      <c r="DY492" s="286"/>
      <c r="DZ492" s="286"/>
      <c r="EA492" s="286"/>
      <c r="EB492" s="286"/>
      <c r="EC492" s="286"/>
      <c r="ED492" s="286"/>
      <c r="EE492" s="286"/>
      <c r="EF492" s="286"/>
      <c r="EG492" s="286"/>
      <c r="EH492" s="286"/>
      <c r="EI492" s="286"/>
      <c r="EJ492" s="286"/>
      <c r="EK492" s="286"/>
      <c r="EL492" s="286"/>
      <c r="EM492" s="286"/>
      <c r="EN492" s="286"/>
      <c r="EO492" s="286"/>
      <c r="EP492" s="286"/>
      <c r="EQ492" s="286"/>
      <c r="ER492" s="286"/>
      <c r="ES492" s="286"/>
      <c r="ET492" s="286"/>
      <c r="EU492" s="286"/>
      <c r="EV492" s="286"/>
      <c r="EW492" s="286"/>
      <c r="EX492" s="286"/>
      <c r="EY492" s="286"/>
      <c r="EZ492" s="286"/>
      <c r="FA492" s="286"/>
      <c r="FB492" s="286"/>
      <c r="FC492" s="286"/>
      <c r="FD492" s="286"/>
      <c r="FE492" s="286"/>
      <c r="FF492" s="286"/>
      <c r="FG492" s="286"/>
      <c r="FH492" s="286"/>
      <c r="FI492" s="286"/>
      <c r="FJ492" s="286"/>
      <c r="FK492" s="286"/>
      <c r="FL492" s="286"/>
      <c r="FM492" s="286"/>
      <c r="FN492" s="286"/>
      <c r="FO492" s="286"/>
      <c r="FP492" s="286"/>
      <c r="FQ492" s="286"/>
      <c r="FR492" s="286"/>
      <c r="FS492" s="286"/>
    </row>
    <row r="493" spans="1:175">
      <c r="A493" s="212" t="s">
        <v>3159</v>
      </c>
      <c r="B493" s="212" t="s">
        <v>3160</v>
      </c>
      <c r="C493" s="212" t="s">
        <v>3459</v>
      </c>
      <c r="D493" s="212" t="s">
        <v>3666</v>
      </c>
      <c r="E493" s="212" t="s">
        <v>3667</v>
      </c>
      <c r="F493" s="278">
        <v>345237</v>
      </c>
      <c r="G493" s="278">
        <v>1341170</v>
      </c>
      <c r="H493" s="287">
        <f t="shared" si="7"/>
        <v>3.8312070803850373</v>
      </c>
      <c r="I493" s="286">
        <v>13615</v>
      </c>
      <c r="J493" s="286">
        <v>51383</v>
      </c>
      <c r="K493" s="286">
        <v>27657</v>
      </c>
      <c r="L493" s="286">
        <v>23490</v>
      </c>
      <c r="M493" s="286">
        <v>29846</v>
      </c>
      <c r="N493" s="286">
        <v>15609</v>
      </c>
      <c r="O493" s="286">
        <v>14021</v>
      </c>
      <c r="P493" s="286">
        <v>13603</v>
      </c>
      <c r="Q493" s="286">
        <v>51228</v>
      </c>
      <c r="R493" s="286">
        <v>27546</v>
      </c>
      <c r="S493" s="286">
        <v>23446</v>
      </c>
      <c r="T493" s="286">
        <v>29691</v>
      </c>
      <c r="U493" s="286">
        <v>15498</v>
      </c>
      <c r="V493" s="286">
        <v>13977</v>
      </c>
      <c r="W493" s="286"/>
      <c r="X493" s="286"/>
      <c r="Y493" s="286"/>
      <c r="Z493" s="286"/>
      <c r="AA493" s="286"/>
      <c r="AB493" s="286"/>
      <c r="AC493" s="286"/>
      <c r="AD493" s="286"/>
      <c r="AE493" s="286"/>
      <c r="AF493" s="286"/>
      <c r="AG493" s="286"/>
      <c r="AH493" s="286"/>
      <c r="AI493" s="286"/>
      <c r="AJ493" s="286"/>
      <c r="AK493" s="286"/>
      <c r="AL493" s="286"/>
      <c r="AM493" s="286"/>
      <c r="AN493" s="286"/>
      <c r="AO493" s="286"/>
      <c r="AP493" s="286"/>
      <c r="AQ493" s="286"/>
      <c r="AR493" s="286"/>
      <c r="AS493" s="286"/>
      <c r="AT493" s="286"/>
      <c r="AU493" s="286"/>
      <c r="AV493" s="286"/>
      <c r="AW493" s="286"/>
      <c r="AX493" s="286"/>
      <c r="AY493" s="286"/>
      <c r="AZ493" s="286"/>
      <c r="BA493" s="286"/>
      <c r="BB493" s="286"/>
      <c r="BC493" s="286"/>
      <c r="BD493" s="286"/>
      <c r="BE493" s="286"/>
      <c r="BF493" s="286"/>
      <c r="BG493" s="286"/>
      <c r="BH493" s="286"/>
      <c r="BI493" s="286"/>
      <c r="BJ493" s="286"/>
      <c r="BK493" s="286"/>
      <c r="BL493" s="286"/>
      <c r="BM493" s="286"/>
      <c r="BN493" s="286"/>
      <c r="BO493" s="286"/>
      <c r="BP493" s="286"/>
      <c r="BQ493" s="286"/>
      <c r="BR493" s="286"/>
      <c r="BS493" s="286"/>
      <c r="BT493" s="286"/>
      <c r="BU493" s="286"/>
      <c r="BV493" s="286"/>
      <c r="BW493" s="286"/>
      <c r="BX493" s="286"/>
      <c r="BY493" s="286"/>
      <c r="BZ493" s="286"/>
      <c r="CA493" s="286"/>
      <c r="CB493" s="286"/>
      <c r="CC493" s="286"/>
      <c r="CD493" s="286"/>
      <c r="CE493" s="286"/>
      <c r="CF493" s="286"/>
      <c r="CG493" s="286"/>
      <c r="CH493" s="286"/>
      <c r="CI493" s="286"/>
      <c r="CJ493" s="286"/>
      <c r="CK493" s="286"/>
      <c r="CL493" s="286"/>
      <c r="CM493" s="286"/>
      <c r="CN493" s="286"/>
      <c r="CO493" s="286"/>
      <c r="CP493" s="286"/>
      <c r="CQ493" s="286"/>
      <c r="CR493" s="286"/>
      <c r="CS493" s="286"/>
      <c r="CT493" s="286"/>
      <c r="CU493" s="286"/>
      <c r="CV493" s="286"/>
      <c r="CW493" s="286"/>
      <c r="CX493" s="286"/>
      <c r="CY493" s="286"/>
      <c r="CZ493" s="286"/>
      <c r="DA493" s="286"/>
      <c r="DB493" s="286"/>
      <c r="DC493" s="286"/>
      <c r="DD493" s="286"/>
      <c r="DE493" s="286"/>
      <c r="DF493" s="286"/>
      <c r="DG493" s="286"/>
      <c r="DH493" s="286"/>
      <c r="DI493" s="286"/>
      <c r="DJ493" s="286"/>
      <c r="DK493" s="286"/>
      <c r="DL493" s="286"/>
      <c r="DM493" s="286"/>
      <c r="DN493" s="286"/>
      <c r="DO493" s="286"/>
      <c r="DP493" s="286"/>
      <c r="DQ493" s="286"/>
      <c r="DR493" s="286"/>
      <c r="DS493" s="286"/>
      <c r="DT493" s="286"/>
      <c r="DU493" s="286"/>
      <c r="DV493" s="286"/>
      <c r="DW493" s="286"/>
      <c r="DX493" s="286"/>
      <c r="DY493" s="286"/>
      <c r="DZ493" s="286"/>
      <c r="EA493" s="286"/>
      <c r="EB493" s="286"/>
      <c r="EC493" s="286"/>
      <c r="ED493" s="286"/>
      <c r="EE493" s="286"/>
      <c r="EF493" s="286"/>
      <c r="EG493" s="286"/>
      <c r="EH493" s="286"/>
      <c r="EI493" s="286"/>
      <c r="EJ493" s="286"/>
      <c r="EK493" s="286"/>
      <c r="EL493" s="286"/>
      <c r="EM493" s="286"/>
      <c r="EN493" s="286"/>
      <c r="EO493" s="286"/>
      <c r="EP493" s="286"/>
      <c r="EQ493" s="286"/>
      <c r="ER493" s="286"/>
      <c r="ES493" s="286"/>
      <c r="ET493" s="286"/>
      <c r="EU493" s="286"/>
      <c r="EV493" s="286"/>
      <c r="EW493" s="286"/>
      <c r="EX493" s="286"/>
      <c r="EY493" s="286"/>
      <c r="EZ493" s="286"/>
      <c r="FA493" s="286"/>
      <c r="FB493" s="286"/>
      <c r="FC493" s="286"/>
      <c r="FD493" s="286"/>
      <c r="FE493" s="286"/>
      <c r="FF493" s="286"/>
      <c r="FG493" s="286"/>
      <c r="FH493" s="286"/>
      <c r="FI493" s="286"/>
      <c r="FJ493" s="286"/>
      <c r="FK493" s="286"/>
      <c r="FL493" s="286"/>
      <c r="FM493" s="286"/>
      <c r="FN493" s="286"/>
      <c r="FO493" s="286"/>
      <c r="FP493" s="286"/>
      <c r="FQ493" s="286"/>
      <c r="FR493" s="286"/>
      <c r="FS493" s="286"/>
    </row>
    <row r="494" spans="1:175">
      <c r="A494" s="212" t="s">
        <v>3159</v>
      </c>
      <c r="B494" s="212" t="s">
        <v>3160</v>
      </c>
      <c r="C494" s="212" t="s">
        <v>3170</v>
      </c>
      <c r="D494" s="212" t="s">
        <v>3666</v>
      </c>
      <c r="E494" s="212" t="s">
        <v>3668</v>
      </c>
      <c r="F494" s="278">
        <v>66942</v>
      </c>
      <c r="G494" s="278">
        <v>352108</v>
      </c>
      <c r="H494" s="287">
        <f t="shared" si="7"/>
        <v>3.7343655923750672</v>
      </c>
      <c r="I494" s="286">
        <v>2968</v>
      </c>
      <c r="J494" s="286">
        <v>13149</v>
      </c>
      <c r="K494" s="286">
        <v>7736</v>
      </c>
      <c r="L494" s="286">
        <v>5265</v>
      </c>
      <c r="M494" s="286">
        <v>9473</v>
      </c>
      <c r="N494" s="286">
        <v>5245</v>
      </c>
      <c r="O494" s="286">
        <v>4084</v>
      </c>
      <c r="P494" s="286">
        <v>2968</v>
      </c>
      <c r="Q494" s="286">
        <v>13149</v>
      </c>
      <c r="R494" s="286">
        <v>7736</v>
      </c>
      <c r="S494" s="286">
        <v>5265</v>
      </c>
      <c r="T494" s="286">
        <v>9473</v>
      </c>
      <c r="U494" s="286">
        <v>5245</v>
      </c>
      <c r="V494" s="286">
        <v>4084</v>
      </c>
      <c r="W494" s="286"/>
      <c r="X494" s="286"/>
      <c r="Y494" s="286"/>
      <c r="Z494" s="286"/>
      <c r="AA494" s="286"/>
      <c r="AB494" s="286"/>
      <c r="AC494" s="286"/>
      <c r="AD494" s="286"/>
      <c r="AE494" s="286"/>
      <c r="AF494" s="286"/>
      <c r="AG494" s="286"/>
      <c r="AH494" s="286"/>
      <c r="AI494" s="286"/>
      <c r="AJ494" s="286"/>
      <c r="AK494" s="286"/>
      <c r="AL494" s="286"/>
      <c r="AM494" s="286"/>
      <c r="AN494" s="286"/>
      <c r="AO494" s="286"/>
      <c r="AP494" s="286"/>
      <c r="AQ494" s="286"/>
      <c r="AR494" s="286"/>
      <c r="AS494" s="286"/>
      <c r="AT494" s="286"/>
      <c r="AU494" s="286"/>
      <c r="AV494" s="286"/>
      <c r="AW494" s="286"/>
      <c r="AX494" s="286"/>
      <c r="AY494" s="286"/>
      <c r="AZ494" s="286"/>
      <c r="BA494" s="286"/>
      <c r="BB494" s="286"/>
      <c r="BC494" s="286"/>
      <c r="BD494" s="286"/>
      <c r="BE494" s="286"/>
      <c r="BF494" s="286"/>
      <c r="BG494" s="286"/>
      <c r="BH494" s="286"/>
      <c r="BI494" s="286"/>
      <c r="BJ494" s="286"/>
      <c r="BK494" s="286"/>
      <c r="BL494" s="286"/>
      <c r="BM494" s="286"/>
      <c r="BN494" s="286"/>
      <c r="BO494" s="286"/>
      <c r="BP494" s="286"/>
      <c r="BQ494" s="286"/>
      <c r="BR494" s="286"/>
      <c r="BS494" s="286"/>
      <c r="BT494" s="286"/>
      <c r="BU494" s="286"/>
      <c r="BV494" s="286"/>
      <c r="BW494" s="286"/>
      <c r="BX494" s="286"/>
      <c r="BY494" s="286"/>
      <c r="BZ494" s="286"/>
      <c r="CA494" s="286"/>
      <c r="CB494" s="286"/>
      <c r="CC494" s="286"/>
      <c r="CD494" s="286"/>
      <c r="CE494" s="286"/>
      <c r="CF494" s="286"/>
      <c r="CG494" s="286"/>
      <c r="CH494" s="286"/>
      <c r="CI494" s="286"/>
      <c r="CJ494" s="286"/>
      <c r="CK494" s="286"/>
      <c r="CL494" s="286"/>
      <c r="CM494" s="286"/>
      <c r="CN494" s="286"/>
      <c r="CO494" s="286"/>
      <c r="CP494" s="286"/>
      <c r="CQ494" s="286"/>
      <c r="CR494" s="286"/>
      <c r="CS494" s="286"/>
      <c r="CT494" s="286"/>
      <c r="CU494" s="286"/>
      <c r="CV494" s="286"/>
      <c r="CW494" s="286"/>
      <c r="CX494" s="286"/>
      <c r="CY494" s="286"/>
      <c r="CZ494" s="286"/>
      <c r="DA494" s="286"/>
      <c r="DB494" s="286"/>
      <c r="DC494" s="286"/>
      <c r="DD494" s="286"/>
      <c r="DE494" s="286"/>
      <c r="DF494" s="286"/>
      <c r="DG494" s="286"/>
      <c r="DH494" s="286"/>
      <c r="DI494" s="286"/>
      <c r="DJ494" s="286"/>
      <c r="DK494" s="286"/>
      <c r="DL494" s="286"/>
      <c r="DM494" s="286"/>
      <c r="DN494" s="286"/>
      <c r="DO494" s="286"/>
      <c r="DP494" s="286"/>
      <c r="DQ494" s="286"/>
      <c r="DR494" s="286"/>
      <c r="DS494" s="286"/>
      <c r="DT494" s="286"/>
      <c r="DU494" s="286"/>
      <c r="DV494" s="286"/>
      <c r="DW494" s="286"/>
      <c r="DX494" s="286"/>
      <c r="DY494" s="286"/>
      <c r="DZ494" s="286"/>
      <c r="EA494" s="286"/>
      <c r="EB494" s="286"/>
      <c r="EC494" s="286"/>
      <c r="ED494" s="286"/>
      <c r="EE494" s="286"/>
      <c r="EF494" s="286"/>
      <c r="EG494" s="286"/>
      <c r="EH494" s="286"/>
      <c r="EI494" s="286"/>
      <c r="EJ494" s="286"/>
      <c r="EK494" s="286"/>
      <c r="EL494" s="286"/>
      <c r="EM494" s="286"/>
      <c r="EN494" s="286"/>
      <c r="EO494" s="286"/>
      <c r="EP494" s="286"/>
      <c r="EQ494" s="286"/>
      <c r="ER494" s="286"/>
      <c r="ES494" s="286"/>
      <c r="ET494" s="286"/>
      <c r="EU494" s="286"/>
      <c r="EV494" s="286"/>
      <c r="EW494" s="286"/>
      <c r="EX494" s="286"/>
      <c r="EY494" s="286"/>
      <c r="EZ494" s="286"/>
      <c r="FA494" s="286"/>
      <c r="FB494" s="286"/>
      <c r="FC494" s="286"/>
      <c r="FD494" s="286"/>
      <c r="FE494" s="286"/>
      <c r="FF494" s="286"/>
      <c r="FG494" s="286"/>
      <c r="FH494" s="286"/>
      <c r="FI494" s="286"/>
      <c r="FJ494" s="286"/>
      <c r="FK494" s="286"/>
      <c r="FL494" s="286"/>
      <c r="FM494" s="286"/>
      <c r="FN494" s="286"/>
      <c r="FO494" s="286"/>
      <c r="FP494" s="286"/>
      <c r="FQ494" s="286"/>
      <c r="FR494" s="286"/>
      <c r="FS494" s="286"/>
    </row>
    <row r="495" spans="1:175">
      <c r="A495" s="212" t="s">
        <v>3159</v>
      </c>
      <c r="B495" s="212" t="s">
        <v>3160</v>
      </c>
      <c r="C495" s="212" t="s">
        <v>3172</v>
      </c>
      <c r="D495" s="212" t="s">
        <v>3666</v>
      </c>
      <c r="E495" s="212" t="s">
        <v>3669</v>
      </c>
      <c r="F495" s="278">
        <v>87</v>
      </c>
      <c r="G495" s="278">
        <v>2215</v>
      </c>
      <c r="H495" s="287">
        <f t="shared" si="7"/>
        <v>0</v>
      </c>
      <c r="I495" s="286">
        <v>0</v>
      </c>
      <c r="J495" s="286">
        <v>0</v>
      </c>
      <c r="K495" s="286">
        <v>0</v>
      </c>
      <c r="L495" s="286">
        <v>0</v>
      </c>
      <c r="M495" s="286">
        <v>0</v>
      </c>
      <c r="N495" s="286">
        <v>0</v>
      </c>
      <c r="O495" s="286">
        <v>0</v>
      </c>
      <c r="P495" s="286">
        <v>0</v>
      </c>
      <c r="Q495" s="286">
        <v>0</v>
      </c>
      <c r="R495" s="286">
        <v>0</v>
      </c>
      <c r="S495" s="286">
        <v>0</v>
      </c>
      <c r="T495" s="286">
        <v>0</v>
      </c>
      <c r="U495" s="286">
        <v>0</v>
      </c>
      <c r="V495" s="286">
        <v>0</v>
      </c>
      <c r="W495" s="286"/>
      <c r="X495" s="286"/>
      <c r="Y495" s="286"/>
      <c r="Z495" s="286"/>
      <c r="AA495" s="286"/>
      <c r="AB495" s="286"/>
      <c r="AC495" s="286"/>
      <c r="AD495" s="286"/>
      <c r="AE495" s="286"/>
      <c r="AF495" s="286"/>
      <c r="AG495" s="286"/>
      <c r="AH495" s="286"/>
      <c r="AI495" s="286"/>
      <c r="AJ495" s="286"/>
      <c r="AK495" s="286"/>
      <c r="AL495" s="286"/>
      <c r="AM495" s="286"/>
      <c r="AN495" s="286"/>
      <c r="AO495" s="286"/>
      <c r="AP495" s="286"/>
      <c r="AQ495" s="286"/>
      <c r="AR495" s="286"/>
      <c r="AS495" s="286"/>
      <c r="AT495" s="286"/>
      <c r="AU495" s="286"/>
      <c r="AV495" s="286"/>
      <c r="AW495" s="286"/>
      <c r="AX495" s="286"/>
      <c r="AY495" s="286"/>
      <c r="AZ495" s="286"/>
      <c r="BA495" s="286"/>
      <c r="BB495" s="286"/>
      <c r="BC495" s="286"/>
      <c r="BD495" s="286"/>
      <c r="BE495" s="286"/>
      <c r="BF495" s="286"/>
      <c r="BG495" s="286"/>
      <c r="BH495" s="286"/>
      <c r="BI495" s="286"/>
      <c r="BJ495" s="286"/>
      <c r="BK495" s="286"/>
      <c r="BL495" s="286"/>
      <c r="BM495" s="286"/>
      <c r="BN495" s="286"/>
      <c r="BO495" s="286"/>
      <c r="BP495" s="286"/>
      <c r="BQ495" s="286"/>
      <c r="BR495" s="286"/>
      <c r="BS495" s="286"/>
      <c r="BT495" s="286"/>
      <c r="BU495" s="286"/>
      <c r="BV495" s="286"/>
      <c r="BW495" s="286"/>
      <c r="BX495" s="286"/>
      <c r="BY495" s="286"/>
      <c r="BZ495" s="286"/>
      <c r="CA495" s="286"/>
      <c r="CB495" s="286"/>
      <c r="CC495" s="286"/>
      <c r="CD495" s="286"/>
      <c r="CE495" s="286"/>
      <c r="CF495" s="286"/>
      <c r="CG495" s="286"/>
      <c r="CH495" s="286"/>
      <c r="CI495" s="286"/>
      <c r="CJ495" s="286"/>
      <c r="CK495" s="286"/>
      <c r="CL495" s="286"/>
      <c r="CM495" s="286"/>
      <c r="CN495" s="286"/>
      <c r="CO495" s="286"/>
      <c r="CP495" s="286"/>
      <c r="CQ495" s="286"/>
      <c r="CR495" s="286"/>
      <c r="CS495" s="286"/>
      <c r="CT495" s="286"/>
      <c r="CU495" s="286"/>
      <c r="CV495" s="286"/>
      <c r="CW495" s="286"/>
      <c r="CX495" s="286"/>
      <c r="CY495" s="286"/>
      <c r="CZ495" s="286"/>
      <c r="DA495" s="286"/>
      <c r="DB495" s="286"/>
      <c r="DC495" s="286"/>
      <c r="DD495" s="286"/>
      <c r="DE495" s="286"/>
      <c r="DF495" s="286"/>
      <c r="DG495" s="286"/>
      <c r="DH495" s="286"/>
      <c r="DI495" s="286"/>
      <c r="DJ495" s="286"/>
      <c r="DK495" s="286"/>
      <c r="DL495" s="286"/>
      <c r="DM495" s="286"/>
      <c r="DN495" s="286"/>
      <c r="DO495" s="286"/>
      <c r="DP495" s="286"/>
      <c r="DQ495" s="286"/>
      <c r="DR495" s="286"/>
      <c r="DS495" s="286"/>
      <c r="DT495" s="286"/>
      <c r="DU495" s="286"/>
      <c r="DV495" s="286"/>
      <c r="DW495" s="286"/>
      <c r="DX495" s="286"/>
      <c r="DY495" s="286"/>
      <c r="DZ495" s="286"/>
      <c r="EA495" s="286"/>
      <c r="EB495" s="286"/>
      <c r="EC495" s="286"/>
      <c r="ED495" s="286"/>
      <c r="EE495" s="286"/>
      <c r="EF495" s="286"/>
      <c r="EG495" s="286"/>
      <c r="EH495" s="286"/>
      <c r="EI495" s="286"/>
      <c r="EJ495" s="286"/>
      <c r="EK495" s="286"/>
      <c r="EL495" s="286"/>
      <c r="EM495" s="286"/>
      <c r="EN495" s="286"/>
      <c r="EO495" s="286"/>
      <c r="EP495" s="286"/>
      <c r="EQ495" s="286"/>
      <c r="ER495" s="286"/>
      <c r="ES495" s="286"/>
      <c r="ET495" s="286"/>
      <c r="EU495" s="286"/>
      <c r="EV495" s="286"/>
      <c r="EW495" s="286"/>
      <c r="EX495" s="286"/>
      <c r="EY495" s="286"/>
      <c r="EZ495" s="286"/>
      <c r="FA495" s="286"/>
      <c r="FB495" s="286"/>
      <c r="FC495" s="286"/>
      <c r="FD495" s="286"/>
      <c r="FE495" s="286"/>
      <c r="FF495" s="286"/>
      <c r="FG495" s="286"/>
      <c r="FH495" s="286"/>
      <c r="FI495" s="286"/>
      <c r="FJ495" s="286"/>
      <c r="FK495" s="286"/>
      <c r="FL495" s="286"/>
      <c r="FM495" s="286"/>
      <c r="FN495" s="286"/>
      <c r="FO495" s="286"/>
      <c r="FP495" s="286"/>
      <c r="FQ495" s="286"/>
      <c r="FR495" s="286"/>
      <c r="FS495" s="286"/>
    </row>
    <row r="496" spans="1:175">
      <c r="A496" s="212" t="s">
        <v>3159</v>
      </c>
      <c r="B496" s="212" t="s">
        <v>3160</v>
      </c>
      <c r="C496" s="212" t="s">
        <v>3172</v>
      </c>
      <c r="D496" s="212" t="s">
        <v>3666</v>
      </c>
      <c r="E496" s="212" t="s">
        <v>3670</v>
      </c>
      <c r="F496" s="278">
        <v>19613</v>
      </c>
      <c r="G496" s="278">
        <v>133492</v>
      </c>
      <c r="H496" s="287">
        <f t="shared" si="7"/>
        <v>3.0316423456087258</v>
      </c>
      <c r="I496" s="286">
        <v>806</v>
      </c>
      <c r="J496" s="286">
        <v>4047</v>
      </c>
      <c r="K496" s="286">
        <v>2397</v>
      </c>
      <c r="L496" s="286">
        <v>1515</v>
      </c>
      <c r="M496" s="286">
        <v>2843</v>
      </c>
      <c r="N496" s="286">
        <v>1565</v>
      </c>
      <c r="O496" s="286">
        <v>1147</v>
      </c>
      <c r="P496" s="286">
        <v>806</v>
      </c>
      <c r="Q496" s="286">
        <v>4047</v>
      </c>
      <c r="R496" s="286">
        <v>2397</v>
      </c>
      <c r="S496" s="286">
        <v>1515</v>
      </c>
      <c r="T496" s="286">
        <v>2843</v>
      </c>
      <c r="U496" s="286">
        <v>1565</v>
      </c>
      <c r="V496" s="286">
        <v>1147</v>
      </c>
      <c r="W496" s="286"/>
      <c r="X496" s="286"/>
      <c r="Y496" s="286"/>
      <c r="Z496" s="286"/>
      <c r="AA496" s="286"/>
      <c r="AB496" s="286"/>
      <c r="AC496" s="286"/>
      <c r="AD496" s="286"/>
      <c r="AE496" s="286"/>
      <c r="AF496" s="286"/>
      <c r="AG496" s="286"/>
      <c r="AH496" s="286"/>
      <c r="AI496" s="286"/>
      <c r="AJ496" s="286"/>
      <c r="AK496" s="286"/>
      <c r="AL496" s="286"/>
      <c r="AM496" s="286"/>
      <c r="AN496" s="286"/>
      <c r="AO496" s="286"/>
      <c r="AP496" s="286"/>
      <c r="AQ496" s="286"/>
      <c r="AR496" s="286"/>
      <c r="AS496" s="286"/>
      <c r="AT496" s="286"/>
      <c r="AU496" s="286"/>
      <c r="AV496" s="286"/>
      <c r="AW496" s="286"/>
      <c r="AX496" s="286"/>
      <c r="AY496" s="286"/>
      <c r="AZ496" s="286"/>
      <c r="BA496" s="286"/>
      <c r="BB496" s="286"/>
      <c r="BC496" s="286"/>
      <c r="BD496" s="286"/>
      <c r="BE496" s="286"/>
      <c r="BF496" s="286"/>
      <c r="BG496" s="286"/>
      <c r="BH496" s="286"/>
      <c r="BI496" s="286"/>
      <c r="BJ496" s="286"/>
      <c r="BK496" s="286"/>
      <c r="BL496" s="286"/>
      <c r="BM496" s="286"/>
      <c r="BN496" s="286"/>
      <c r="BO496" s="286"/>
      <c r="BP496" s="286"/>
      <c r="BQ496" s="286"/>
      <c r="BR496" s="286"/>
      <c r="BS496" s="286"/>
      <c r="BT496" s="286"/>
      <c r="BU496" s="286"/>
      <c r="BV496" s="286"/>
      <c r="BW496" s="286"/>
      <c r="BX496" s="286"/>
      <c r="BY496" s="286"/>
      <c r="BZ496" s="286"/>
      <c r="CA496" s="286"/>
      <c r="CB496" s="286"/>
      <c r="CC496" s="286"/>
      <c r="CD496" s="286"/>
      <c r="CE496" s="286"/>
      <c r="CF496" s="286"/>
      <c r="CG496" s="286"/>
      <c r="CH496" s="286"/>
      <c r="CI496" s="286"/>
      <c r="CJ496" s="286"/>
      <c r="CK496" s="286"/>
      <c r="CL496" s="286"/>
      <c r="CM496" s="286"/>
      <c r="CN496" s="286"/>
      <c r="CO496" s="286"/>
      <c r="CP496" s="286"/>
      <c r="CQ496" s="286"/>
      <c r="CR496" s="286"/>
      <c r="CS496" s="286"/>
      <c r="CT496" s="286"/>
      <c r="CU496" s="286"/>
      <c r="CV496" s="286"/>
      <c r="CW496" s="286"/>
      <c r="CX496" s="286"/>
      <c r="CY496" s="286"/>
      <c r="CZ496" s="286"/>
      <c r="DA496" s="286"/>
      <c r="DB496" s="286"/>
      <c r="DC496" s="286"/>
      <c r="DD496" s="286"/>
      <c r="DE496" s="286"/>
      <c r="DF496" s="286"/>
      <c r="DG496" s="286"/>
      <c r="DH496" s="286"/>
      <c r="DI496" s="286"/>
      <c r="DJ496" s="286"/>
      <c r="DK496" s="286"/>
      <c r="DL496" s="286"/>
      <c r="DM496" s="286"/>
      <c r="DN496" s="286"/>
      <c r="DO496" s="286"/>
      <c r="DP496" s="286"/>
      <c r="DQ496" s="286"/>
      <c r="DR496" s="286"/>
      <c r="DS496" s="286"/>
      <c r="DT496" s="286"/>
      <c r="DU496" s="286"/>
      <c r="DV496" s="286"/>
      <c r="DW496" s="286"/>
      <c r="DX496" s="286"/>
      <c r="DY496" s="286"/>
      <c r="DZ496" s="286"/>
      <c r="EA496" s="286"/>
      <c r="EB496" s="286"/>
      <c r="EC496" s="286"/>
      <c r="ED496" s="286"/>
      <c r="EE496" s="286"/>
      <c r="EF496" s="286"/>
      <c r="EG496" s="286"/>
      <c r="EH496" s="286"/>
      <c r="EI496" s="286"/>
      <c r="EJ496" s="286"/>
      <c r="EK496" s="286"/>
      <c r="EL496" s="286"/>
      <c r="EM496" s="286"/>
      <c r="EN496" s="286"/>
      <c r="EO496" s="286"/>
      <c r="EP496" s="286"/>
      <c r="EQ496" s="286"/>
      <c r="ER496" s="286"/>
      <c r="ES496" s="286"/>
      <c r="ET496" s="286"/>
      <c r="EU496" s="286"/>
      <c r="EV496" s="286"/>
      <c r="EW496" s="286"/>
      <c r="EX496" s="286"/>
      <c r="EY496" s="286"/>
      <c r="EZ496" s="286"/>
      <c r="FA496" s="286"/>
      <c r="FB496" s="286"/>
      <c r="FC496" s="286"/>
      <c r="FD496" s="286"/>
      <c r="FE496" s="286"/>
      <c r="FF496" s="286"/>
      <c r="FG496" s="286"/>
      <c r="FH496" s="286"/>
      <c r="FI496" s="286"/>
      <c r="FJ496" s="286"/>
      <c r="FK496" s="286"/>
      <c r="FL496" s="286"/>
      <c r="FM496" s="286"/>
      <c r="FN496" s="286"/>
      <c r="FO496" s="286"/>
      <c r="FP496" s="286"/>
      <c r="FQ496" s="286"/>
      <c r="FR496" s="286"/>
      <c r="FS496" s="286"/>
    </row>
    <row r="497" spans="1:175">
      <c r="A497" s="212" t="s">
        <v>3159</v>
      </c>
      <c r="B497" s="212" t="s">
        <v>3160</v>
      </c>
      <c r="C497" s="212" t="s">
        <v>3172</v>
      </c>
      <c r="D497" s="212" t="s">
        <v>3666</v>
      </c>
      <c r="E497" s="212" t="s">
        <v>3671</v>
      </c>
      <c r="F497" s="278">
        <v>47242</v>
      </c>
      <c r="G497" s="278">
        <v>216401</v>
      </c>
      <c r="H497" s="287">
        <f t="shared" si="7"/>
        <v>4.206080378556476</v>
      </c>
      <c r="I497" s="286">
        <v>2162</v>
      </c>
      <c r="J497" s="286">
        <v>9102</v>
      </c>
      <c r="K497" s="286">
        <v>5339</v>
      </c>
      <c r="L497" s="286">
        <v>3750</v>
      </c>
      <c r="M497" s="286">
        <v>6630</v>
      </c>
      <c r="N497" s="286">
        <v>3680</v>
      </c>
      <c r="O497" s="286">
        <v>2937</v>
      </c>
      <c r="P497" s="286">
        <v>2162</v>
      </c>
      <c r="Q497" s="286">
        <v>9102</v>
      </c>
      <c r="R497" s="286">
        <v>5339</v>
      </c>
      <c r="S497" s="286">
        <v>3750</v>
      </c>
      <c r="T497" s="286">
        <v>6630</v>
      </c>
      <c r="U497" s="286">
        <v>3680</v>
      </c>
      <c r="V497" s="286">
        <v>2937</v>
      </c>
      <c r="W497" s="286"/>
      <c r="X497" s="286"/>
      <c r="Y497" s="286"/>
      <c r="Z497" s="286"/>
      <c r="AA497" s="286"/>
      <c r="AB497" s="286"/>
      <c r="AC497" s="286"/>
      <c r="AD497" s="286"/>
      <c r="AE497" s="286"/>
      <c r="AF497" s="286"/>
      <c r="AG497" s="286"/>
      <c r="AH497" s="286"/>
      <c r="AI497" s="286"/>
      <c r="AJ497" s="286"/>
      <c r="AK497" s="286"/>
      <c r="AL497" s="286"/>
      <c r="AM497" s="286"/>
      <c r="AN497" s="286"/>
      <c r="AO497" s="286"/>
      <c r="AP497" s="286"/>
      <c r="AQ497" s="286"/>
      <c r="AR497" s="286"/>
      <c r="AS497" s="286"/>
      <c r="AT497" s="286"/>
      <c r="AU497" s="286"/>
      <c r="AV497" s="286"/>
      <c r="AW497" s="286"/>
      <c r="AX497" s="286"/>
      <c r="AY497" s="286"/>
      <c r="AZ497" s="286"/>
      <c r="BA497" s="286"/>
      <c r="BB497" s="286"/>
      <c r="BC497" s="286"/>
      <c r="BD497" s="286"/>
      <c r="BE497" s="286"/>
      <c r="BF497" s="286"/>
      <c r="BG497" s="286"/>
      <c r="BH497" s="286"/>
      <c r="BI497" s="286"/>
      <c r="BJ497" s="286"/>
      <c r="BK497" s="286"/>
      <c r="BL497" s="286"/>
      <c r="BM497" s="286"/>
      <c r="BN497" s="286"/>
      <c r="BO497" s="286"/>
      <c r="BP497" s="286"/>
      <c r="BQ497" s="286"/>
      <c r="BR497" s="286"/>
      <c r="BS497" s="286"/>
      <c r="BT497" s="286"/>
      <c r="BU497" s="286"/>
      <c r="BV497" s="286"/>
      <c r="BW497" s="286"/>
      <c r="BX497" s="286"/>
      <c r="BY497" s="286"/>
      <c r="BZ497" s="286"/>
      <c r="CA497" s="286"/>
      <c r="CB497" s="286"/>
      <c r="CC497" s="286"/>
      <c r="CD497" s="286"/>
      <c r="CE497" s="286"/>
      <c r="CF497" s="286"/>
      <c r="CG497" s="286"/>
      <c r="CH497" s="286"/>
      <c r="CI497" s="286"/>
      <c r="CJ497" s="286"/>
      <c r="CK497" s="286"/>
      <c r="CL497" s="286"/>
      <c r="CM497" s="286"/>
      <c r="CN497" s="286"/>
      <c r="CO497" s="286"/>
      <c r="CP497" s="286"/>
      <c r="CQ497" s="286"/>
      <c r="CR497" s="286"/>
      <c r="CS497" s="286"/>
      <c r="CT497" s="286"/>
      <c r="CU497" s="286"/>
      <c r="CV497" s="286"/>
      <c r="CW497" s="286"/>
      <c r="CX497" s="286"/>
      <c r="CY497" s="286"/>
      <c r="CZ497" s="286"/>
      <c r="DA497" s="286"/>
      <c r="DB497" s="286"/>
      <c r="DC497" s="286"/>
      <c r="DD497" s="286"/>
      <c r="DE497" s="286"/>
      <c r="DF497" s="286"/>
      <c r="DG497" s="286"/>
      <c r="DH497" s="286"/>
      <c r="DI497" s="286"/>
      <c r="DJ497" s="286"/>
      <c r="DK497" s="286"/>
      <c r="DL497" s="286"/>
      <c r="DM497" s="286"/>
      <c r="DN497" s="286"/>
      <c r="DO497" s="286"/>
      <c r="DP497" s="286"/>
      <c r="DQ497" s="286"/>
      <c r="DR497" s="286"/>
      <c r="DS497" s="286"/>
      <c r="DT497" s="286"/>
      <c r="DU497" s="286"/>
      <c r="DV497" s="286"/>
      <c r="DW497" s="286"/>
      <c r="DX497" s="286"/>
      <c r="DY497" s="286"/>
      <c r="DZ497" s="286"/>
      <c r="EA497" s="286"/>
      <c r="EB497" s="286"/>
      <c r="EC497" s="286"/>
      <c r="ED497" s="286"/>
      <c r="EE497" s="286"/>
      <c r="EF497" s="286"/>
      <c r="EG497" s="286"/>
      <c r="EH497" s="286"/>
      <c r="EI497" s="286"/>
      <c r="EJ497" s="286"/>
      <c r="EK497" s="286"/>
      <c r="EL497" s="286"/>
      <c r="EM497" s="286"/>
      <c r="EN497" s="286"/>
      <c r="EO497" s="286"/>
      <c r="EP497" s="286"/>
      <c r="EQ497" s="286"/>
      <c r="ER497" s="286"/>
      <c r="ES497" s="286"/>
      <c r="ET497" s="286"/>
      <c r="EU497" s="286"/>
      <c r="EV497" s="286"/>
      <c r="EW497" s="286"/>
      <c r="EX497" s="286"/>
      <c r="EY497" s="286"/>
      <c r="EZ497" s="286"/>
      <c r="FA497" s="286"/>
      <c r="FB497" s="286"/>
      <c r="FC497" s="286"/>
      <c r="FD497" s="286"/>
      <c r="FE497" s="286"/>
      <c r="FF497" s="286"/>
      <c r="FG497" s="286"/>
      <c r="FH497" s="286"/>
      <c r="FI497" s="286"/>
      <c r="FJ497" s="286"/>
      <c r="FK497" s="286"/>
      <c r="FL497" s="286"/>
      <c r="FM497" s="286"/>
      <c r="FN497" s="286"/>
      <c r="FO497" s="286"/>
      <c r="FP497" s="286"/>
      <c r="FQ497" s="286"/>
      <c r="FR497" s="286"/>
      <c r="FS497" s="286"/>
    </row>
    <row r="498" spans="1:175">
      <c r="A498" s="212" t="s">
        <v>3159</v>
      </c>
      <c r="B498" s="212" t="s">
        <v>3160</v>
      </c>
      <c r="C498" s="212" t="s">
        <v>3170</v>
      </c>
      <c r="D498" s="212" t="s">
        <v>3666</v>
      </c>
      <c r="E498" s="212" t="s">
        <v>3672</v>
      </c>
      <c r="F498" s="278">
        <v>278156</v>
      </c>
      <c r="G498" s="278">
        <v>988167</v>
      </c>
      <c r="H498" s="287">
        <f t="shared" si="7"/>
        <v>3.8675648954073552</v>
      </c>
      <c r="I498" s="286">
        <v>10642</v>
      </c>
      <c r="J498" s="286">
        <v>38218</v>
      </c>
      <c r="K498" s="286">
        <v>19913</v>
      </c>
      <c r="L498" s="286">
        <v>18217</v>
      </c>
      <c r="M498" s="286">
        <v>20365</v>
      </c>
      <c r="N498" s="286">
        <v>10362</v>
      </c>
      <c r="O498" s="286">
        <v>9931</v>
      </c>
      <c r="P498" s="286">
        <v>10630</v>
      </c>
      <c r="Q498" s="286">
        <v>38063</v>
      </c>
      <c r="R498" s="286">
        <v>19802</v>
      </c>
      <c r="S498" s="286">
        <v>18173</v>
      </c>
      <c r="T498" s="286">
        <v>20210</v>
      </c>
      <c r="U498" s="286">
        <v>10251</v>
      </c>
      <c r="V498" s="286">
        <v>9887</v>
      </c>
      <c r="W498" s="286"/>
      <c r="X498" s="286"/>
      <c r="Y498" s="286"/>
      <c r="Z498" s="286"/>
      <c r="AA498" s="286"/>
      <c r="AB498" s="286"/>
      <c r="AC498" s="286"/>
      <c r="AD498" s="286"/>
      <c r="AE498" s="286"/>
      <c r="AF498" s="286"/>
      <c r="AG498" s="286"/>
      <c r="AH498" s="286"/>
      <c r="AI498" s="286"/>
      <c r="AJ498" s="286"/>
      <c r="AK498" s="286"/>
      <c r="AL498" s="286"/>
      <c r="AM498" s="286"/>
      <c r="AN498" s="286"/>
      <c r="AO498" s="286"/>
      <c r="AP498" s="286"/>
      <c r="AQ498" s="286"/>
      <c r="AR498" s="286"/>
      <c r="AS498" s="286"/>
      <c r="AT498" s="286"/>
      <c r="AU498" s="286"/>
      <c r="AV498" s="286"/>
      <c r="AW498" s="286"/>
      <c r="AX498" s="286"/>
      <c r="AY498" s="286"/>
      <c r="AZ498" s="286"/>
      <c r="BA498" s="286"/>
      <c r="BB498" s="286"/>
      <c r="BC498" s="286"/>
      <c r="BD498" s="286"/>
      <c r="BE498" s="286"/>
      <c r="BF498" s="286"/>
      <c r="BG498" s="286"/>
      <c r="BH498" s="286"/>
      <c r="BI498" s="286"/>
      <c r="BJ498" s="286"/>
      <c r="BK498" s="286"/>
      <c r="BL498" s="286"/>
      <c r="BM498" s="286"/>
      <c r="BN498" s="286"/>
      <c r="BO498" s="286"/>
      <c r="BP498" s="286"/>
      <c r="BQ498" s="286"/>
      <c r="BR498" s="286"/>
      <c r="BS498" s="286"/>
      <c r="BT498" s="286"/>
      <c r="BU498" s="286"/>
      <c r="BV498" s="286"/>
      <c r="BW498" s="286"/>
      <c r="BX498" s="286"/>
      <c r="BY498" s="286"/>
      <c r="BZ498" s="286"/>
      <c r="CA498" s="286"/>
      <c r="CB498" s="286"/>
      <c r="CC498" s="286"/>
      <c r="CD498" s="286"/>
      <c r="CE498" s="286"/>
      <c r="CF498" s="286"/>
      <c r="CG498" s="286"/>
      <c r="CH498" s="286"/>
      <c r="CI498" s="286"/>
      <c r="CJ498" s="286"/>
      <c r="CK498" s="286"/>
      <c r="CL498" s="286"/>
      <c r="CM498" s="286"/>
      <c r="CN498" s="286"/>
      <c r="CO498" s="286"/>
      <c r="CP498" s="286"/>
      <c r="CQ498" s="286"/>
      <c r="CR498" s="286"/>
      <c r="CS498" s="286"/>
      <c r="CT498" s="286"/>
      <c r="CU498" s="286"/>
      <c r="CV498" s="286"/>
      <c r="CW498" s="286"/>
      <c r="CX498" s="286"/>
      <c r="CY498" s="286"/>
      <c r="CZ498" s="286"/>
      <c r="DA498" s="286"/>
      <c r="DB498" s="286"/>
      <c r="DC498" s="286"/>
      <c r="DD498" s="286"/>
      <c r="DE498" s="286"/>
      <c r="DF498" s="286"/>
      <c r="DG498" s="286"/>
      <c r="DH498" s="286"/>
      <c r="DI498" s="286"/>
      <c r="DJ498" s="286"/>
      <c r="DK498" s="286"/>
      <c r="DL498" s="286"/>
      <c r="DM498" s="286"/>
      <c r="DN498" s="286"/>
      <c r="DO498" s="286"/>
      <c r="DP498" s="286"/>
      <c r="DQ498" s="286"/>
      <c r="DR498" s="286"/>
      <c r="DS498" s="286"/>
      <c r="DT498" s="286"/>
      <c r="DU498" s="286"/>
      <c r="DV498" s="286"/>
      <c r="DW498" s="286"/>
      <c r="DX498" s="286"/>
      <c r="DY498" s="286"/>
      <c r="DZ498" s="286"/>
      <c r="EA498" s="286"/>
      <c r="EB498" s="286"/>
      <c r="EC498" s="286"/>
      <c r="ED498" s="286"/>
      <c r="EE498" s="286"/>
      <c r="EF498" s="286"/>
      <c r="EG498" s="286"/>
      <c r="EH498" s="286"/>
      <c r="EI498" s="286"/>
      <c r="EJ498" s="286"/>
      <c r="EK498" s="286"/>
      <c r="EL498" s="286"/>
      <c r="EM498" s="286"/>
      <c r="EN498" s="286"/>
      <c r="EO498" s="286"/>
      <c r="EP498" s="286"/>
      <c r="EQ498" s="286"/>
      <c r="ER498" s="286"/>
      <c r="ES498" s="286"/>
      <c r="ET498" s="286"/>
      <c r="EU498" s="286"/>
      <c r="EV498" s="286"/>
      <c r="EW498" s="286"/>
      <c r="EX498" s="286"/>
      <c r="EY498" s="286"/>
      <c r="EZ498" s="286"/>
      <c r="FA498" s="286"/>
      <c r="FB498" s="286"/>
      <c r="FC498" s="286"/>
      <c r="FD498" s="286"/>
      <c r="FE498" s="286"/>
      <c r="FF498" s="286"/>
      <c r="FG498" s="286"/>
      <c r="FH498" s="286"/>
      <c r="FI498" s="286"/>
      <c r="FJ498" s="286"/>
      <c r="FK498" s="286"/>
      <c r="FL498" s="286"/>
      <c r="FM498" s="286"/>
      <c r="FN498" s="286"/>
      <c r="FO498" s="286"/>
      <c r="FP498" s="286"/>
      <c r="FQ498" s="286"/>
      <c r="FR498" s="286"/>
      <c r="FS498" s="286"/>
    </row>
    <row r="499" spans="1:175">
      <c r="A499" s="212" t="s">
        <v>3159</v>
      </c>
      <c r="B499" s="212" t="s">
        <v>3160</v>
      </c>
      <c r="C499" s="212" t="s">
        <v>3172</v>
      </c>
      <c r="D499" s="212" t="s">
        <v>3666</v>
      </c>
      <c r="E499" s="212" t="s">
        <v>3673</v>
      </c>
      <c r="F499" s="278">
        <v>158</v>
      </c>
      <c r="G499" s="278">
        <v>1919</v>
      </c>
      <c r="H499" s="287">
        <f t="shared" si="7"/>
        <v>3.8561750911933297</v>
      </c>
      <c r="I499" s="286">
        <v>8</v>
      </c>
      <c r="J499" s="286">
        <v>74</v>
      </c>
      <c r="K499" s="286">
        <v>46</v>
      </c>
      <c r="L499" s="286">
        <v>28</v>
      </c>
      <c r="M499" s="286">
        <v>61</v>
      </c>
      <c r="N499" s="286">
        <v>35</v>
      </c>
      <c r="O499" s="286">
        <v>26</v>
      </c>
      <c r="P499" s="286">
        <v>8</v>
      </c>
      <c r="Q499" s="286">
        <v>74</v>
      </c>
      <c r="R499" s="286">
        <v>46</v>
      </c>
      <c r="S499" s="286">
        <v>28</v>
      </c>
      <c r="T499" s="286">
        <v>61</v>
      </c>
      <c r="U499" s="286">
        <v>35</v>
      </c>
      <c r="V499" s="286">
        <v>26</v>
      </c>
      <c r="W499" s="286"/>
      <c r="X499" s="286"/>
      <c r="Y499" s="286"/>
      <c r="Z499" s="286"/>
      <c r="AA499" s="286"/>
      <c r="AB499" s="286"/>
      <c r="AC499" s="286"/>
      <c r="AD499" s="286"/>
      <c r="AE499" s="286"/>
      <c r="AF499" s="286"/>
      <c r="AG499" s="286"/>
      <c r="AH499" s="286"/>
      <c r="AI499" s="286"/>
      <c r="AJ499" s="286"/>
      <c r="AK499" s="286"/>
      <c r="AL499" s="286"/>
      <c r="AM499" s="286"/>
      <c r="AN499" s="286"/>
      <c r="AO499" s="286"/>
      <c r="AP499" s="286"/>
      <c r="AQ499" s="286"/>
      <c r="AR499" s="286"/>
      <c r="AS499" s="286"/>
      <c r="AT499" s="286"/>
      <c r="AU499" s="286"/>
      <c r="AV499" s="286"/>
      <c r="AW499" s="286"/>
      <c r="AX499" s="286"/>
      <c r="AY499" s="286"/>
      <c r="AZ499" s="286"/>
      <c r="BA499" s="286"/>
      <c r="BB499" s="286"/>
      <c r="BC499" s="286"/>
      <c r="BD499" s="286"/>
      <c r="BE499" s="286"/>
      <c r="BF499" s="286"/>
      <c r="BG499" s="286"/>
      <c r="BH499" s="286"/>
      <c r="BI499" s="286"/>
      <c r="BJ499" s="286"/>
      <c r="BK499" s="286"/>
      <c r="BL499" s="286"/>
      <c r="BM499" s="286"/>
      <c r="BN499" s="286"/>
      <c r="BO499" s="286"/>
      <c r="BP499" s="286"/>
      <c r="BQ499" s="286"/>
      <c r="BR499" s="286"/>
      <c r="BS499" s="286"/>
      <c r="BT499" s="286"/>
      <c r="BU499" s="286"/>
      <c r="BV499" s="286"/>
      <c r="BW499" s="286"/>
      <c r="BX499" s="286"/>
      <c r="BY499" s="286"/>
      <c r="BZ499" s="286"/>
      <c r="CA499" s="286"/>
      <c r="CB499" s="286"/>
      <c r="CC499" s="286"/>
      <c r="CD499" s="286"/>
      <c r="CE499" s="286"/>
      <c r="CF499" s="286"/>
      <c r="CG499" s="286"/>
      <c r="CH499" s="286"/>
      <c r="CI499" s="286"/>
      <c r="CJ499" s="286"/>
      <c r="CK499" s="286"/>
      <c r="CL499" s="286"/>
      <c r="CM499" s="286"/>
      <c r="CN499" s="286"/>
      <c r="CO499" s="286"/>
      <c r="CP499" s="286"/>
      <c r="CQ499" s="286"/>
      <c r="CR499" s="286"/>
      <c r="CS499" s="286"/>
      <c r="CT499" s="286"/>
      <c r="CU499" s="286"/>
      <c r="CV499" s="286"/>
      <c r="CW499" s="286"/>
      <c r="CX499" s="286"/>
      <c r="CY499" s="286"/>
      <c r="CZ499" s="286"/>
      <c r="DA499" s="286"/>
      <c r="DB499" s="286"/>
      <c r="DC499" s="286"/>
      <c r="DD499" s="286"/>
      <c r="DE499" s="286"/>
      <c r="DF499" s="286"/>
      <c r="DG499" s="286"/>
      <c r="DH499" s="286"/>
      <c r="DI499" s="286"/>
      <c r="DJ499" s="286"/>
      <c r="DK499" s="286"/>
      <c r="DL499" s="286"/>
      <c r="DM499" s="286"/>
      <c r="DN499" s="286"/>
      <c r="DO499" s="286"/>
      <c r="DP499" s="286"/>
      <c r="DQ499" s="286"/>
      <c r="DR499" s="286"/>
      <c r="DS499" s="286"/>
      <c r="DT499" s="286"/>
      <c r="DU499" s="286"/>
      <c r="DV499" s="286"/>
      <c r="DW499" s="286"/>
      <c r="DX499" s="286"/>
      <c r="DY499" s="286"/>
      <c r="DZ499" s="286"/>
      <c r="EA499" s="286"/>
      <c r="EB499" s="286"/>
      <c r="EC499" s="286"/>
      <c r="ED499" s="286"/>
      <c r="EE499" s="286"/>
      <c r="EF499" s="286"/>
      <c r="EG499" s="286"/>
      <c r="EH499" s="286"/>
      <c r="EI499" s="286"/>
      <c r="EJ499" s="286"/>
      <c r="EK499" s="286"/>
      <c r="EL499" s="286"/>
      <c r="EM499" s="286"/>
      <c r="EN499" s="286"/>
      <c r="EO499" s="286"/>
      <c r="EP499" s="286"/>
      <c r="EQ499" s="286"/>
      <c r="ER499" s="286"/>
      <c r="ES499" s="286"/>
      <c r="ET499" s="286"/>
      <c r="EU499" s="286"/>
      <c r="EV499" s="286"/>
      <c r="EW499" s="286"/>
      <c r="EX499" s="286"/>
      <c r="EY499" s="286"/>
      <c r="EZ499" s="286"/>
      <c r="FA499" s="286"/>
      <c r="FB499" s="286"/>
      <c r="FC499" s="286"/>
      <c r="FD499" s="286"/>
      <c r="FE499" s="286"/>
      <c r="FF499" s="286"/>
      <c r="FG499" s="286"/>
      <c r="FH499" s="286"/>
      <c r="FI499" s="286"/>
      <c r="FJ499" s="286"/>
      <c r="FK499" s="286"/>
      <c r="FL499" s="286"/>
      <c r="FM499" s="286"/>
      <c r="FN499" s="286"/>
      <c r="FO499" s="286"/>
      <c r="FP499" s="286"/>
      <c r="FQ499" s="286"/>
      <c r="FR499" s="286"/>
      <c r="FS499" s="286"/>
    </row>
    <row r="500" spans="1:175">
      <c r="A500" s="212" t="s">
        <v>3159</v>
      </c>
      <c r="B500" s="212" t="s">
        <v>3160</v>
      </c>
      <c r="C500" s="212" t="s">
        <v>3172</v>
      </c>
      <c r="D500" s="212" t="s">
        <v>3666</v>
      </c>
      <c r="E500" s="212" t="s">
        <v>3674</v>
      </c>
      <c r="F500" s="278">
        <v>58616</v>
      </c>
      <c r="G500" s="278">
        <v>251356</v>
      </c>
      <c r="H500" s="287">
        <f t="shared" si="7"/>
        <v>3.3494326771590894</v>
      </c>
      <c r="I500" s="286">
        <v>2203</v>
      </c>
      <c r="J500" s="286">
        <v>8419</v>
      </c>
      <c r="K500" s="286">
        <v>4515</v>
      </c>
      <c r="L500" s="286">
        <v>3886</v>
      </c>
      <c r="M500" s="286">
        <v>3983</v>
      </c>
      <c r="N500" s="286">
        <v>2033</v>
      </c>
      <c r="O500" s="286">
        <v>1937</v>
      </c>
      <c r="P500" s="286">
        <v>2203</v>
      </c>
      <c r="Q500" s="286">
        <v>8419</v>
      </c>
      <c r="R500" s="286">
        <v>4515</v>
      </c>
      <c r="S500" s="286">
        <v>3886</v>
      </c>
      <c r="T500" s="286">
        <v>3983</v>
      </c>
      <c r="U500" s="286">
        <v>2033</v>
      </c>
      <c r="V500" s="286">
        <v>1937</v>
      </c>
      <c r="W500" s="286"/>
      <c r="X500" s="286"/>
      <c r="Y500" s="286"/>
      <c r="Z500" s="286"/>
      <c r="AA500" s="286"/>
      <c r="AB500" s="286"/>
      <c r="AC500" s="286"/>
      <c r="AD500" s="286"/>
      <c r="AE500" s="286"/>
      <c r="AF500" s="286"/>
      <c r="AG500" s="286"/>
      <c r="AH500" s="286"/>
      <c r="AI500" s="286"/>
      <c r="AJ500" s="286"/>
      <c r="AK500" s="286"/>
      <c r="AL500" s="286"/>
      <c r="AM500" s="286"/>
      <c r="AN500" s="286"/>
      <c r="AO500" s="286"/>
      <c r="AP500" s="286"/>
      <c r="AQ500" s="286"/>
      <c r="AR500" s="286"/>
      <c r="AS500" s="286"/>
      <c r="AT500" s="286"/>
      <c r="AU500" s="286"/>
      <c r="AV500" s="286"/>
      <c r="AW500" s="286"/>
      <c r="AX500" s="286"/>
      <c r="AY500" s="286"/>
      <c r="AZ500" s="286"/>
      <c r="BA500" s="286"/>
      <c r="BB500" s="286"/>
      <c r="BC500" s="286"/>
      <c r="BD500" s="286"/>
      <c r="BE500" s="286"/>
      <c r="BF500" s="286"/>
      <c r="BG500" s="286"/>
      <c r="BH500" s="286"/>
      <c r="BI500" s="286"/>
      <c r="BJ500" s="286"/>
      <c r="BK500" s="286"/>
      <c r="BL500" s="286"/>
      <c r="BM500" s="286"/>
      <c r="BN500" s="286"/>
      <c r="BO500" s="286"/>
      <c r="BP500" s="286"/>
      <c r="BQ500" s="286"/>
      <c r="BR500" s="286"/>
      <c r="BS500" s="286"/>
      <c r="BT500" s="286"/>
      <c r="BU500" s="286"/>
      <c r="BV500" s="286"/>
      <c r="BW500" s="286"/>
      <c r="BX500" s="286"/>
      <c r="BY500" s="286"/>
      <c r="BZ500" s="286"/>
      <c r="CA500" s="286"/>
      <c r="CB500" s="286"/>
      <c r="CC500" s="286"/>
      <c r="CD500" s="286"/>
      <c r="CE500" s="286"/>
      <c r="CF500" s="286"/>
      <c r="CG500" s="286"/>
      <c r="CH500" s="286"/>
      <c r="CI500" s="286"/>
      <c r="CJ500" s="286"/>
      <c r="CK500" s="286"/>
      <c r="CL500" s="286"/>
      <c r="CM500" s="286"/>
      <c r="CN500" s="286"/>
      <c r="CO500" s="286"/>
      <c r="CP500" s="286"/>
      <c r="CQ500" s="286"/>
      <c r="CR500" s="286"/>
      <c r="CS500" s="286"/>
      <c r="CT500" s="286"/>
      <c r="CU500" s="286"/>
      <c r="CV500" s="286"/>
      <c r="CW500" s="286"/>
      <c r="CX500" s="286"/>
      <c r="CY500" s="286"/>
      <c r="CZ500" s="286"/>
      <c r="DA500" s="286"/>
      <c r="DB500" s="286"/>
      <c r="DC500" s="286"/>
      <c r="DD500" s="286"/>
      <c r="DE500" s="286"/>
      <c r="DF500" s="286"/>
      <c r="DG500" s="286"/>
      <c r="DH500" s="286"/>
      <c r="DI500" s="286"/>
      <c r="DJ500" s="286"/>
      <c r="DK500" s="286"/>
      <c r="DL500" s="286"/>
      <c r="DM500" s="286"/>
      <c r="DN500" s="286"/>
      <c r="DO500" s="286"/>
      <c r="DP500" s="286"/>
      <c r="DQ500" s="286"/>
      <c r="DR500" s="286"/>
      <c r="DS500" s="286"/>
      <c r="DT500" s="286"/>
      <c r="DU500" s="286"/>
      <c r="DV500" s="286"/>
      <c r="DW500" s="286"/>
      <c r="DX500" s="286"/>
      <c r="DY500" s="286"/>
      <c r="DZ500" s="286"/>
      <c r="EA500" s="286"/>
      <c r="EB500" s="286"/>
      <c r="EC500" s="286"/>
      <c r="ED500" s="286"/>
      <c r="EE500" s="286"/>
      <c r="EF500" s="286"/>
      <c r="EG500" s="286"/>
      <c r="EH500" s="286"/>
      <c r="EI500" s="286"/>
      <c r="EJ500" s="286"/>
      <c r="EK500" s="286"/>
      <c r="EL500" s="286"/>
      <c r="EM500" s="286"/>
      <c r="EN500" s="286"/>
      <c r="EO500" s="286"/>
      <c r="EP500" s="286"/>
      <c r="EQ500" s="286"/>
      <c r="ER500" s="286"/>
      <c r="ES500" s="286"/>
      <c r="ET500" s="286"/>
      <c r="EU500" s="286"/>
      <c r="EV500" s="286"/>
      <c r="EW500" s="286"/>
      <c r="EX500" s="286"/>
      <c r="EY500" s="286"/>
      <c r="EZ500" s="286"/>
      <c r="FA500" s="286"/>
      <c r="FB500" s="286"/>
      <c r="FC500" s="286"/>
      <c r="FD500" s="286"/>
      <c r="FE500" s="286"/>
      <c r="FF500" s="286"/>
      <c r="FG500" s="286"/>
      <c r="FH500" s="286"/>
      <c r="FI500" s="286"/>
      <c r="FJ500" s="286"/>
      <c r="FK500" s="286"/>
      <c r="FL500" s="286"/>
      <c r="FM500" s="286"/>
      <c r="FN500" s="286"/>
      <c r="FO500" s="286"/>
      <c r="FP500" s="286"/>
      <c r="FQ500" s="286"/>
      <c r="FR500" s="286"/>
      <c r="FS500" s="286"/>
    </row>
    <row r="501" spans="1:175">
      <c r="A501" s="212" t="s">
        <v>3159</v>
      </c>
      <c r="B501" s="212" t="s">
        <v>3160</v>
      </c>
      <c r="C501" s="212" t="s">
        <v>3172</v>
      </c>
      <c r="D501" s="212" t="s">
        <v>3666</v>
      </c>
      <c r="E501" s="212" t="s">
        <v>3675</v>
      </c>
      <c r="F501" s="278">
        <v>155381</v>
      </c>
      <c r="G501" s="278">
        <v>412903</v>
      </c>
      <c r="H501" s="287">
        <f t="shared" si="7"/>
        <v>3.9391818417400701</v>
      </c>
      <c r="I501" s="286">
        <v>5558</v>
      </c>
      <c r="J501" s="286">
        <v>16265</v>
      </c>
      <c r="K501" s="286">
        <v>7061</v>
      </c>
      <c r="L501" s="286">
        <v>9138</v>
      </c>
      <c r="M501" s="286">
        <v>7277</v>
      </c>
      <c r="N501" s="286">
        <v>2422</v>
      </c>
      <c r="O501" s="286">
        <v>4799</v>
      </c>
      <c r="P501" s="286">
        <v>5547</v>
      </c>
      <c r="Q501" s="286">
        <v>16112</v>
      </c>
      <c r="R501" s="286">
        <v>6952</v>
      </c>
      <c r="S501" s="286">
        <v>9094</v>
      </c>
      <c r="T501" s="286">
        <v>7124</v>
      </c>
      <c r="U501" s="286">
        <v>2313</v>
      </c>
      <c r="V501" s="286">
        <v>4755</v>
      </c>
      <c r="W501" s="286"/>
      <c r="X501" s="286"/>
      <c r="Y501" s="286"/>
      <c r="Z501" s="286"/>
      <c r="AA501" s="286"/>
      <c r="AB501" s="286"/>
      <c r="AC501" s="286"/>
      <c r="AD501" s="286"/>
      <c r="AE501" s="286"/>
      <c r="AF501" s="286"/>
      <c r="AG501" s="286"/>
      <c r="AH501" s="286"/>
      <c r="AI501" s="286"/>
      <c r="AJ501" s="286"/>
      <c r="AK501" s="286"/>
      <c r="AL501" s="286"/>
      <c r="AM501" s="286"/>
      <c r="AN501" s="286"/>
      <c r="AO501" s="286"/>
      <c r="AP501" s="286"/>
      <c r="AQ501" s="286"/>
      <c r="AR501" s="286"/>
      <c r="AS501" s="286"/>
      <c r="AT501" s="286"/>
      <c r="AU501" s="286"/>
      <c r="AV501" s="286"/>
      <c r="AW501" s="286"/>
      <c r="AX501" s="286"/>
      <c r="AY501" s="286"/>
      <c r="AZ501" s="286"/>
      <c r="BA501" s="286"/>
      <c r="BB501" s="286"/>
      <c r="BC501" s="286"/>
      <c r="BD501" s="286"/>
      <c r="BE501" s="286"/>
      <c r="BF501" s="286"/>
      <c r="BG501" s="286"/>
      <c r="BH501" s="286"/>
      <c r="BI501" s="286"/>
      <c r="BJ501" s="286"/>
      <c r="BK501" s="286"/>
      <c r="BL501" s="286"/>
      <c r="BM501" s="286"/>
      <c r="BN501" s="286"/>
      <c r="BO501" s="286"/>
      <c r="BP501" s="286"/>
      <c r="BQ501" s="286"/>
      <c r="BR501" s="286"/>
      <c r="BS501" s="286"/>
      <c r="BT501" s="286"/>
      <c r="BU501" s="286"/>
      <c r="BV501" s="286"/>
      <c r="BW501" s="286"/>
      <c r="BX501" s="286"/>
      <c r="BY501" s="286"/>
      <c r="BZ501" s="286"/>
      <c r="CA501" s="286"/>
      <c r="CB501" s="286"/>
      <c r="CC501" s="286"/>
      <c r="CD501" s="286"/>
      <c r="CE501" s="286"/>
      <c r="CF501" s="286"/>
      <c r="CG501" s="286"/>
      <c r="CH501" s="286"/>
      <c r="CI501" s="286"/>
      <c r="CJ501" s="286"/>
      <c r="CK501" s="286"/>
      <c r="CL501" s="286"/>
      <c r="CM501" s="286"/>
      <c r="CN501" s="286"/>
      <c r="CO501" s="286"/>
      <c r="CP501" s="286"/>
      <c r="CQ501" s="286"/>
      <c r="CR501" s="286"/>
      <c r="CS501" s="286"/>
      <c r="CT501" s="286"/>
      <c r="CU501" s="286"/>
      <c r="CV501" s="286"/>
      <c r="CW501" s="286"/>
      <c r="CX501" s="286"/>
      <c r="CY501" s="286"/>
      <c r="CZ501" s="286"/>
      <c r="DA501" s="286"/>
      <c r="DB501" s="286"/>
      <c r="DC501" s="286"/>
      <c r="DD501" s="286"/>
      <c r="DE501" s="286"/>
      <c r="DF501" s="286"/>
      <c r="DG501" s="286"/>
      <c r="DH501" s="286"/>
      <c r="DI501" s="286"/>
      <c r="DJ501" s="286"/>
      <c r="DK501" s="286"/>
      <c r="DL501" s="286"/>
      <c r="DM501" s="286"/>
      <c r="DN501" s="286"/>
      <c r="DO501" s="286"/>
      <c r="DP501" s="286"/>
      <c r="DQ501" s="286"/>
      <c r="DR501" s="286"/>
      <c r="DS501" s="286"/>
      <c r="DT501" s="286"/>
      <c r="DU501" s="286"/>
      <c r="DV501" s="286"/>
      <c r="DW501" s="286"/>
      <c r="DX501" s="286"/>
      <c r="DY501" s="286"/>
      <c r="DZ501" s="286"/>
      <c r="EA501" s="286"/>
      <c r="EB501" s="286"/>
      <c r="EC501" s="286"/>
      <c r="ED501" s="286"/>
      <c r="EE501" s="286"/>
      <c r="EF501" s="286"/>
      <c r="EG501" s="286"/>
      <c r="EH501" s="286"/>
      <c r="EI501" s="286"/>
      <c r="EJ501" s="286"/>
      <c r="EK501" s="286"/>
      <c r="EL501" s="286"/>
      <c r="EM501" s="286"/>
      <c r="EN501" s="286"/>
      <c r="EO501" s="286"/>
      <c r="EP501" s="286"/>
      <c r="EQ501" s="286"/>
      <c r="ER501" s="286"/>
      <c r="ES501" s="286"/>
      <c r="ET501" s="286"/>
      <c r="EU501" s="286"/>
      <c r="EV501" s="286"/>
      <c r="EW501" s="286"/>
      <c r="EX501" s="286"/>
      <c r="EY501" s="286"/>
      <c r="EZ501" s="286"/>
      <c r="FA501" s="286"/>
      <c r="FB501" s="286"/>
      <c r="FC501" s="286"/>
      <c r="FD501" s="286"/>
      <c r="FE501" s="286"/>
      <c r="FF501" s="286"/>
      <c r="FG501" s="286"/>
      <c r="FH501" s="286"/>
      <c r="FI501" s="286"/>
      <c r="FJ501" s="286"/>
      <c r="FK501" s="286"/>
      <c r="FL501" s="286"/>
      <c r="FM501" s="286"/>
      <c r="FN501" s="286"/>
      <c r="FO501" s="286"/>
      <c r="FP501" s="286"/>
      <c r="FQ501" s="286"/>
      <c r="FR501" s="286"/>
      <c r="FS501" s="286"/>
    </row>
    <row r="502" spans="1:175">
      <c r="A502" s="212" t="s">
        <v>3159</v>
      </c>
      <c r="B502" s="212" t="s">
        <v>3160</v>
      </c>
      <c r="C502" s="212" t="s">
        <v>3172</v>
      </c>
      <c r="D502" s="212" t="s">
        <v>3666</v>
      </c>
      <c r="E502" s="212" t="s">
        <v>3676</v>
      </c>
      <c r="F502" s="278">
        <v>24619</v>
      </c>
      <c r="G502" s="278">
        <v>63821</v>
      </c>
      <c r="H502" s="287">
        <f t="shared" si="7"/>
        <v>4.8134626533586129</v>
      </c>
      <c r="I502" s="286">
        <v>1241</v>
      </c>
      <c r="J502" s="286">
        <v>3072</v>
      </c>
      <c r="K502" s="286">
        <v>1949</v>
      </c>
      <c r="L502" s="286">
        <v>1120</v>
      </c>
      <c r="M502" s="286">
        <v>1385</v>
      </c>
      <c r="N502" s="286">
        <v>1019</v>
      </c>
      <c r="O502" s="286">
        <v>363</v>
      </c>
      <c r="P502" s="286">
        <v>1241</v>
      </c>
      <c r="Q502" s="286">
        <v>3072</v>
      </c>
      <c r="R502" s="286">
        <v>1949</v>
      </c>
      <c r="S502" s="286">
        <v>1120</v>
      </c>
      <c r="T502" s="286">
        <v>1385</v>
      </c>
      <c r="U502" s="286">
        <v>1019</v>
      </c>
      <c r="V502" s="286">
        <v>363</v>
      </c>
      <c r="W502" s="286"/>
      <c r="X502" s="286"/>
      <c r="Y502" s="286"/>
      <c r="Z502" s="286"/>
      <c r="AA502" s="286"/>
      <c r="AB502" s="286"/>
      <c r="AC502" s="286"/>
      <c r="AD502" s="286"/>
      <c r="AE502" s="286"/>
      <c r="AF502" s="286"/>
      <c r="AG502" s="286"/>
      <c r="AH502" s="286"/>
      <c r="AI502" s="286"/>
      <c r="AJ502" s="286"/>
      <c r="AK502" s="286"/>
      <c r="AL502" s="286"/>
      <c r="AM502" s="286"/>
      <c r="AN502" s="286"/>
      <c r="AO502" s="286"/>
      <c r="AP502" s="286"/>
      <c r="AQ502" s="286"/>
      <c r="AR502" s="286"/>
      <c r="AS502" s="286"/>
      <c r="AT502" s="286"/>
      <c r="AU502" s="286"/>
      <c r="AV502" s="286"/>
      <c r="AW502" s="286"/>
      <c r="AX502" s="286"/>
      <c r="AY502" s="286"/>
      <c r="AZ502" s="286"/>
      <c r="BA502" s="286"/>
      <c r="BB502" s="286"/>
      <c r="BC502" s="286"/>
      <c r="BD502" s="286"/>
      <c r="BE502" s="286"/>
      <c r="BF502" s="286"/>
      <c r="BG502" s="286"/>
      <c r="BH502" s="286"/>
      <c r="BI502" s="286"/>
      <c r="BJ502" s="286"/>
      <c r="BK502" s="286"/>
      <c r="BL502" s="286"/>
      <c r="BM502" s="286"/>
      <c r="BN502" s="286"/>
      <c r="BO502" s="286"/>
      <c r="BP502" s="286"/>
      <c r="BQ502" s="286"/>
      <c r="BR502" s="286"/>
      <c r="BS502" s="286"/>
      <c r="BT502" s="286"/>
      <c r="BU502" s="286"/>
      <c r="BV502" s="286"/>
      <c r="BW502" s="286"/>
      <c r="BX502" s="286"/>
      <c r="BY502" s="286"/>
      <c r="BZ502" s="286"/>
      <c r="CA502" s="286"/>
      <c r="CB502" s="286"/>
      <c r="CC502" s="286"/>
      <c r="CD502" s="286"/>
      <c r="CE502" s="286"/>
      <c r="CF502" s="286"/>
      <c r="CG502" s="286"/>
      <c r="CH502" s="286"/>
      <c r="CI502" s="286"/>
      <c r="CJ502" s="286"/>
      <c r="CK502" s="286"/>
      <c r="CL502" s="286"/>
      <c r="CM502" s="286"/>
      <c r="CN502" s="286"/>
      <c r="CO502" s="286"/>
      <c r="CP502" s="286"/>
      <c r="CQ502" s="286"/>
      <c r="CR502" s="286"/>
      <c r="CS502" s="286"/>
      <c r="CT502" s="286"/>
      <c r="CU502" s="286"/>
      <c r="CV502" s="286"/>
      <c r="CW502" s="286"/>
      <c r="CX502" s="286"/>
      <c r="CY502" s="286"/>
      <c r="CZ502" s="286"/>
      <c r="DA502" s="286"/>
      <c r="DB502" s="286"/>
      <c r="DC502" s="286"/>
      <c r="DD502" s="286"/>
      <c r="DE502" s="286"/>
      <c r="DF502" s="286"/>
      <c r="DG502" s="286"/>
      <c r="DH502" s="286"/>
      <c r="DI502" s="286"/>
      <c r="DJ502" s="286"/>
      <c r="DK502" s="286"/>
      <c r="DL502" s="286"/>
      <c r="DM502" s="286"/>
      <c r="DN502" s="286"/>
      <c r="DO502" s="286"/>
      <c r="DP502" s="286"/>
      <c r="DQ502" s="286"/>
      <c r="DR502" s="286"/>
      <c r="DS502" s="286"/>
      <c r="DT502" s="286"/>
      <c r="DU502" s="286"/>
      <c r="DV502" s="286"/>
      <c r="DW502" s="286"/>
      <c r="DX502" s="286"/>
      <c r="DY502" s="286"/>
      <c r="DZ502" s="286"/>
      <c r="EA502" s="286"/>
      <c r="EB502" s="286"/>
      <c r="EC502" s="286"/>
      <c r="ED502" s="286"/>
      <c r="EE502" s="286"/>
      <c r="EF502" s="286"/>
      <c r="EG502" s="286"/>
      <c r="EH502" s="286"/>
      <c r="EI502" s="286"/>
      <c r="EJ502" s="286"/>
      <c r="EK502" s="286"/>
      <c r="EL502" s="286"/>
      <c r="EM502" s="286"/>
      <c r="EN502" s="286"/>
      <c r="EO502" s="286"/>
      <c r="EP502" s="286"/>
      <c r="EQ502" s="286"/>
      <c r="ER502" s="286"/>
      <c r="ES502" s="286"/>
      <c r="ET502" s="286"/>
      <c r="EU502" s="286"/>
      <c r="EV502" s="286"/>
      <c r="EW502" s="286"/>
      <c r="EX502" s="286"/>
      <c r="EY502" s="286"/>
      <c r="EZ502" s="286"/>
      <c r="FA502" s="286"/>
      <c r="FB502" s="286"/>
      <c r="FC502" s="286"/>
      <c r="FD502" s="286"/>
      <c r="FE502" s="286"/>
      <c r="FF502" s="286"/>
      <c r="FG502" s="286"/>
      <c r="FH502" s="286"/>
      <c r="FI502" s="286"/>
      <c r="FJ502" s="286"/>
      <c r="FK502" s="286"/>
      <c r="FL502" s="286"/>
      <c r="FM502" s="286"/>
      <c r="FN502" s="286"/>
      <c r="FO502" s="286"/>
      <c r="FP502" s="286"/>
      <c r="FQ502" s="286"/>
      <c r="FR502" s="286"/>
      <c r="FS502" s="286"/>
    </row>
    <row r="503" spans="1:175">
      <c r="A503" s="212" t="s">
        <v>3159</v>
      </c>
      <c r="B503" s="212" t="s">
        <v>3160</v>
      </c>
      <c r="C503" s="212" t="s">
        <v>3172</v>
      </c>
      <c r="D503" s="212" t="s">
        <v>3666</v>
      </c>
      <c r="E503" s="212" t="s">
        <v>3677</v>
      </c>
      <c r="F503" s="278">
        <v>39379</v>
      </c>
      <c r="G503" s="278">
        <v>258119</v>
      </c>
      <c r="H503" s="287">
        <f t="shared" si="7"/>
        <v>4.0245003273683837</v>
      </c>
      <c r="I503" s="286">
        <v>1632</v>
      </c>
      <c r="J503" s="286">
        <v>10388</v>
      </c>
      <c r="K503" s="286">
        <v>6342</v>
      </c>
      <c r="L503" s="286">
        <v>4045</v>
      </c>
      <c r="M503" s="286">
        <v>7659</v>
      </c>
      <c r="N503" s="286">
        <v>4853</v>
      </c>
      <c r="O503" s="286">
        <v>2806</v>
      </c>
      <c r="P503" s="286">
        <v>1631</v>
      </c>
      <c r="Q503" s="286">
        <v>10386</v>
      </c>
      <c r="R503" s="286">
        <v>6340</v>
      </c>
      <c r="S503" s="286">
        <v>4045</v>
      </c>
      <c r="T503" s="286">
        <v>7657</v>
      </c>
      <c r="U503" s="286">
        <v>4851</v>
      </c>
      <c r="V503" s="286">
        <v>2806</v>
      </c>
      <c r="W503" s="286"/>
      <c r="X503" s="286"/>
      <c r="Y503" s="286"/>
      <c r="Z503" s="286"/>
      <c r="AA503" s="286"/>
      <c r="AB503" s="286"/>
      <c r="AC503" s="286"/>
      <c r="AD503" s="286"/>
      <c r="AE503" s="286"/>
      <c r="AF503" s="286"/>
      <c r="AG503" s="286"/>
      <c r="AH503" s="286"/>
      <c r="AI503" s="286"/>
      <c r="AJ503" s="286"/>
      <c r="AK503" s="286"/>
      <c r="AL503" s="286"/>
      <c r="AM503" s="286"/>
      <c r="AN503" s="286"/>
      <c r="AO503" s="286"/>
      <c r="AP503" s="286"/>
      <c r="AQ503" s="286"/>
      <c r="AR503" s="286"/>
      <c r="AS503" s="286"/>
      <c r="AT503" s="286"/>
      <c r="AU503" s="286"/>
      <c r="AV503" s="286"/>
      <c r="AW503" s="286"/>
      <c r="AX503" s="286"/>
      <c r="AY503" s="286"/>
      <c r="AZ503" s="286"/>
      <c r="BA503" s="286"/>
      <c r="BB503" s="286"/>
      <c r="BC503" s="286"/>
      <c r="BD503" s="286"/>
      <c r="BE503" s="286"/>
      <c r="BF503" s="286"/>
      <c r="BG503" s="286"/>
      <c r="BH503" s="286"/>
      <c r="BI503" s="286"/>
      <c r="BJ503" s="286"/>
      <c r="BK503" s="286"/>
      <c r="BL503" s="286"/>
      <c r="BM503" s="286"/>
      <c r="BN503" s="286"/>
      <c r="BO503" s="286"/>
      <c r="BP503" s="286"/>
      <c r="BQ503" s="286"/>
      <c r="BR503" s="286"/>
      <c r="BS503" s="286"/>
      <c r="BT503" s="286"/>
      <c r="BU503" s="286"/>
      <c r="BV503" s="286"/>
      <c r="BW503" s="286"/>
      <c r="BX503" s="286"/>
      <c r="BY503" s="286"/>
      <c r="BZ503" s="286"/>
      <c r="CA503" s="286"/>
      <c r="CB503" s="286"/>
      <c r="CC503" s="286"/>
      <c r="CD503" s="286"/>
      <c r="CE503" s="286"/>
      <c r="CF503" s="286"/>
      <c r="CG503" s="286"/>
      <c r="CH503" s="286"/>
      <c r="CI503" s="286"/>
      <c r="CJ503" s="286"/>
      <c r="CK503" s="286"/>
      <c r="CL503" s="286"/>
      <c r="CM503" s="286"/>
      <c r="CN503" s="286"/>
      <c r="CO503" s="286"/>
      <c r="CP503" s="286"/>
      <c r="CQ503" s="286"/>
      <c r="CR503" s="286"/>
      <c r="CS503" s="286"/>
      <c r="CT503" s="286"/>
      <c r="CU503" s="286"/>
      <c r="CV503" s="286"/>
      <c r="CW503" s="286"/>
      <c r="CX503" s="286"/>
      <c r="CY503" s="286"/>
      <c r="CZ503" s="286"/>
      <c r="DA503" s="286"/>
      <c r="DB503" s="286"/>
      <c r="DC503" s="286"/>
      <c r="DD503" s="286"/>
      <c r="DE503" s="286"/>
      <c r="DF503" s="286"/>
      <c r="DG503" s="286"/>
      <c r="DH503" s="286"/>
      <c r="DI503" s="286"/>
      <c r="DJ503" s="286"/>
      <c r="DK503" s="286"/>
      <c r="DL503" s="286"/>
      <c r="DM503" s="286"/>
      <c r="DN503" s="286"/>
      <c r="DO503" s="286"/>
      <c r="DP503" s="286"/>
      <c r="DQ503" s="286"/>
      <c r="DR503" s="286"/>
      <c r="DS503" s="286"/>
      <c r="DT503" s="286"/>
      <c r="DU503" s="286"/>
      <c r="DV503" s="286"/>
      <c r="DW503" s="286"/>
      <c r="DX503" s="286"/>
      <c r="DY503" s="286"/>
      <c r="DZ503" s="286"/>
      <c r="EA503" s="286"/>
      <c r="EB503" s="286"/>
      <c r="EC503" s="286"/>
      <c r="ED503" s="286"/>
      <c r="EE503" s="286"/>
      <c r="EF503" s="286"/>
      <c r="EG503" s="286"/>
      <c r="EH503" s="286"/>
      <c r="EI503" s="286"/>
      <c r="EJ503" s="286"/>
      <c r="EK503" s="286"/>
      <c r="EL503" s="286"/>
      <c r="EM503" s="286"/>
      <c r="EN503" s="286"/>
      <c r="EO503" s="286"/>
      <c r="EP503" s="286"/>
      <c r="EQ503" s="286"/>
      <c r="ER503" s="286"/>
      <c r="ES503" s="286"/>
      <c r="ET503" s="286"/>
      <c r="EU503" s="286"/>
      <c r="EV503" s="286"/>
      <c r="EW503" s="286"/>
      <c r="EX503" s="286"/>
      <c r="EY503" s="286"/>
      <c r="EZ503" s="286"/>
      <c r="FA503" s="286"/>
      <c r="FB503" s="286"/>
      <c r="FC503" s="286"/>
      <c r="FD503" s="286"/>
      <c r="FE503" s="286"/>
      <c r="FF503" s="286"/>
      <c r="FG503" s="286"/>
      <c r="FH503" s="286"/>
      <c r="FI503" s="286"/>
      <c r="FJ503" s="286"/>
      <c r="FK503" s="286"/>
      <c r="FL503" s="286"/>
      <c r="FM503" s="286"/>
      <c r="FN503" s="286"/>
      <c r="FO503" s="286"/>
      <c r="FP503" s="286"/>
      <c r="FQ503" s="286"/>
      <c r="FR503" s="286"/>
      <c r="FS503" s="286"/>
    </row>
    <row r="504" spans="1:175">
      <c r="A504" s="212" t="s">
        <v>3159</v>
      </c>
      <c r="B504" s="212" t="s">
        <v>3160</v>
      </c>
      <c r="C504" s="212" t="s">
        <v>3459</v>
      </c>
      <c r="D504" s="212" t="s">
        <v>3678</v>
      </c>
      <c r="E504" s="212" t="s">
        <v>3679</v>
      </c>
      <c r="F504" s="278">
        <v>29860</v>
      </c>
      <c r="G504" s="278">
        <v>280924</v>
      </c>
      <c r="H504" s="287">
        <f t="shared" si="7"/>
        <v>3.3332858709117055</v>
      </c>
      <c r="I504" s="286">
        <v>1089</v>
      </c>
      <c r="J504" s="286">
        <v>9364</v>
      </c>
      <c r="K504" s="286">
        <v>6087</v>
      </c>
      <c r="L504" s="286">
        <v>3242</v>
      </c>
      <c r="M504" s="286">
        <v>8296</v>
      </c>
      <c r="N504" s="286">
        <v>5405</v>
      </c>
      <c r="O504" s="286">
        <v>2856</v>
      </c>
      <c r="P504" s="286">
        <v>1089</v>
      </c>
      <c r="Q504" s="286">
        <v>9364</v>
      </c>
      <c r="R504" s="286">
        <v>6087</v>
      </c>
      <c r="S504" s="286">
        <v>3242</v>
      </c>
      <c r="T504" s="286">
        <v>8296</v>
      </c>
      <c r="U504" s="286">
        <v>5405</v>
      </c>
      <c r="V504" s="286">
        <v>2856</v>
      </c>
      <c r="W504" s="286"/>
      <c r="X504" s="286"/>
      <c r="Y504" s="286"/>
      <c r="Z504" s="286"/>
      <c r="AA504" s="286"/>
      <c r="AB504" s="286"/>
      <c r="AC504" s="286"/>
      <c r="AD504" s="286"/>
      <c r="AE504" s="286"/>
      <c r="AF504" s="286"/>
      <c r="AG504" s="286"/>
      <c r="AH504" s="286"/>
      <c r="AI504" s="286"/>
      <c r="AJ504" s="286"/>
      <c r="AK504" s="286"/>
      <c r="AL504" s="286"/>
      <c r="AM504" s="286"/>
      <c r="AN504" s="286"/>
      <c r="AO504" s="286"/>
      <c r="AP504" s="286"/>
      <c r="AQ504" s="286"/>
      <c r="AR504" s="286"/>
      <c r="AS504" s="286"/>
      <c r="AT504" s="286"/>
      <c r="AU504" s="286"/>
      <c r="AV504" s="286"/>
      <c r="AW504" s="286"/>
      <c r="AX504" s="286"/>
      <c r="AY504" s="286"/>
      <c r="AZ504" s="286"/>
      <c r="BA504" s="286"/>
      <c r="BB504" s="286"/>
      <c r="BC504" s="286"/>
      <c r="BD504" s="286"/>
      <c r="BE504" s="286"/>
      <c r="BF504" s="286"/>
      <c r="BG504" s="286"/>
      <c r="BH504" s="286"/>
      <c r="BI504" s="286"/>
      <c r="BJ504" s="286"/>
      <c r="BK504" s="286"/>
      <c r="BL504" s="286"/>
      <c r="BM504" s="286"/>
      <c r="BN504" s="286"/>
      <c r="BO504" s="286"/>
      <c r="BP504" s="286"/>
      <c r="BQ504" s="286"/>
      <c r="BR504" s="286"/>
      <c r="BS504" s="286"/>
      <c r="BT504" s="286"/>
      <c r="BU504" s="286"/>
      <c r="BV504" s="286"/>
      <c r="BW504" s="286"/>
      <c r="BX504" s="286"/>
      <c r="BY504" s="286"/>
      <c r="BZ504" s="286"/>
      <c r="CA504" s="286"/>
      <c r="CB504" s="286"/>
      <c r="CC504" s="286"/>
      <c r="CD504" s="286"/>
      <c r="CE504" s="286"/>
      <c r="CF504" s="286"/>
      <c r="CG504" s="286"/>
      <c r="CH504" s="286"/>
      <c r="CI504" s="286"/>
      <c r="CJ504" s="286"/>
      <c r="CK504" s="286"/>
      <c r="CL504" s="286"/>
      <c r="CM504" s="286"/>
      <c r="CN504" s="286"/>
      <c r="CO504" s="286"/>
      <c r="CP504" s="286"/>
      <c r="CQ504" s="286"/>
      <c r="CR504" s="286"/>
      <c r="CS504" s="286"/>
      <c r="CT504" s="286"/>
      <c r="CU504" s="286"/>
      <c r="CV504" s="286"/>
      <c r="CW504" s="286"/>
      <c r="CX504" s="286"/>
      <c r="CY504" s="286"/>
      <c r="CZ504" s="286"/>
      <c r="DA504" s="286"/>
      <c r="DB504" s="286"/>
      <c r="DC504" s="286"/>
      <c r="DD504" s="286"/>
      <c r="DE504" s="286"/>
      <c r="DF504" s="286"/>
      <c r="DG504" s="286"/>
      <c r="DH504" s="286"/>
      <c r="DI504" s="286"/>
      <c r="DJ504" s="286"/>
      <c r="DK504" s="286"/>
      <c r="DL504" s="286"/>
      <c r="DM504" s="286"/>
      <c r="DN504" s="286"/>
      <c r="DO504" s="286"/>
      <c r="DP504" s="286"/>
      <c r="DQ504" s="286"/>
      <c r="DR504" s="286"/>
      <c r="DS504" s="286"/>
      <c r="DT504" s="286"/>
      <c r="DU504" s="286"/>
      <c r="DV504" s="286"/>
      <c r="DW504" s="286"/>
      <c r="DX504" s="286"/>
      <c r="DY504" s="286"/>
      <c r="DZ504" s="286"/>
      <c r="EA504" s="286"/>
      <c r="EB504" s="286"/>
      <c r="EC504" s="286"/>
      <c r="ED504" s="286"/>
      <c r="EE504" s="286"/>
      <c r="EF504" s="286"/>
      <c r="EG504" s="286"/>
      <c r="EH504" s="286"/>
      <c r="EI504" s="286"/>
      <c r="EJ504" s="286"/>
      <c r="EK504" s="286"/>
      <c r="EL504" s="286"/>
      <c r="EM504" s="286"/>
      <c r="EN504" s="286"/>
      <c r="EO504" s="286"/>
      <c r="EP504" s="286"/>
      <c r="EQ504" s="286"/>
      <c r="ER504" s="286"/>
      <c r="ES504" s="286"/>
      <c r="ET504" s="286"/>
      <c r="EU504" s="286"/>
      <c r="EV504" s="286"/>
      <c r="EW504" s="286"/>
      <c r="EX504" s="286"/>
      <c r="EY504" s="286"/>
      <c r="EZ504" s="286"/>
      <c r="FA504" s="286"/>
      <c r="FB504" s="286"/>
      <c r="FC504" s="286"/>
      <c r="FD504" s="286"/>
      <c r="FE504" s="286"/>
      <c r="FF504" s="286"/>
      <c r="FG504" s="286"/>
      <c r="FH504" s="286"/>
      <c r="FI504" s="286"/>
      <c r="FJ504" s="286"/>
      <c r="FK504" s="286"/>
      <c r="FL504" s="286"/>
      <c r="FM504" s="286"/>
      <c r="FN504" s="286"/>
      <c r="FO504" s="286"/>
      <c r="FP504" s="286"/>
      <c r="FQ504" s="286"/>
      <c r="FR504" s="286"/>
      <c r="FS504" s="286"/>
    </row>
    <row r="505" spans="1:175">
      <c r="A505" s="212" t="s">
        <v>3159</v>
      </c>
      <c r="B505" s="212" t="s">
        <v>3160</v>
      </c>
      <c r="C505" s="212" t="s">
        <v>3170</v>
      </c>
      <c r="D505" s="212" t="s">
        <v>3678</v>
      </c>
      <c r="E505" s="212" t="s">
        <v>3680</v>
      </c>
      <c r="F505" s="278">
        <v>29860</v>
      </c>
      <c r="G505" s="278">
        <v>280924</v>
      </c>
      <c r="H505" s="287">
        <f t="shared" si="7"/>
        <v>3.3332858709117055</v>
      </c>
      <c r="I505" s="286">
        <v>1089</v>
      </c>
      <c r="J505" s="286">
        <v>9364</v>
      </c>
      <c r="K505" s="286">
        <v>6087</v>
      </c>
      <c r="L505" s="286">
        <v>3242</v>
      </c>
      <c r="M505" s="286">
        <v>8296</v>
      </c>
      <c r="N505" s="286">
        <v>5405</v>
      </c>
      <c r="O505" s="286">
        <v>2856</v>
      </c>
      <c r="P505" s="286">
        <v>1089</v>
      </c>
      <c r="Q505" s="286">
        <v>9364</v>
      </c>
      <c r="R505" s="286">
        <v>6087</v>
      </c>
      <c r="S505" s="286">
        <v>3242</v>
      </c>
      <c r="T505" s="286">
        <v>8296</v>
      </c>
      <c r="U505" s="286">
        <v>5405</v>
      </c>
      <c r="V505" s="286">
        <v>2856</v>
      </c>
      <c r="W505" s="286"/>
      <c r="X505" s="286"/>
      <c r="Y505" s="286"/>
      <c r="Z505" s="286"/>
      <c r="AA505" s="286"/>
      <c r="AB505" s="286"/>
      <c r="AC505" s="286"/>
      <c r="AD505" s="286"/>
      <c r="AE505" s="286"/>
      <c r="AF505" s="286"/>
      <c r="AG505" s="286"/>
      <c r="AH505" s="286"/>
      <c r="AI505" s="286"/>
      <c r="AJ505" s="286"/>
      <c r="AK505" s="286"/>
      <c r="AL505" s="286"/>
      <c r="AM505" s="286"/>
      <c r="AN505" s="286"/>
      <c r="AO505" s="286"/>
      <c r="AP505" s="286"/>
      <c r="AQ505" s="286"/>
      <c r="AR505" s="286"/>
      <c r="AS505" s="286"/>
      <c r="AT505" s="286"/>
      <c r="AU505" s="286"/>
      <c r="AV505" s="286"/>
      <c r="AW505" s="286"/>
      <c r="AX505" s="286"/>
      <c r="AY505" s="286"/>
      <c r="AZ505" s="286"/>
      <c r="BA505" s="286"/>
      <c r="BB505" s="286"/>
      <c r="BC505" s="286"/>
      <c r="BD505" s="286"/>
      <c r="BE505" s="286"/>
      <c r="BF505" s="286"/>
      <c r="BG505" s="286"/>
      <c r="BH505" s="286"/>
      <c r="BI505" s="286"/>
      <c r="BJ505" s="286"/>
      <c r="BK505" s="286"/>
      <c r="BL505" s="286"/>
      <c r="BM505" s="286"/>
      <c r="BN505" s="286"/>
      <c r="BO505" s="286"/>
      <c r="BP505" s="286"/>
      <c r="BQ505" s="286"/>
      <c r="BR505" s="286"/>
      <c r="BS505" s="286"/>
      <c r="BT505" s="286"/>
      <c r="BU505" s="286"/>
      <c r="BV505" s="286"/>
      <c r="BW505" s="286"/>
      <c r="BX505" s="286"/>
      <c r="BY505" s="286"/>
      <c r="BZ505" s="286"/>
      <c r="CA505" s="286"/>
      <c r="CB505" s="286"/>
      <c r="CC505" s="286"/>
      <c r="CD505" s="286"/>
      <c r="CE505" s="286"/>
      <c r="CF505" s="286"/>
      <c r="CG505" s="286"/>
      <c r="CH505" s="286"/>
      <c r="CI505" s="286"/>
      <c r="CJ505" s="286"/>
      <c r="CK505" s="286"/>
      <c r="CL505" s="286"/>
      <c r="CM505" s="286"/>
      <c r="CN505" s="286"/>
      <c r="CO505" s="286"/>
      <c r="CP505" s="286"/>
      <c r="CQ505" s="286"/>
      <c r="CR505" s="286"/>
      <c r="CS505" s="286"/>
      <c r="CT505" s="286"/>
      <c r="CU505" s="286"/>
      <c r="CV505" s="286"/>
      <c r="CW505" s="286"/>
      <c r="CX505" s="286"/>
      <c r="CY505" s="286"/>
      <c r="CZ505" s="286"/>
      <c r="DA505" s="286"/>
      <c r="DB505" s="286"/>
      <c r="DC505" s="286"/>
      <c r="DD505" s="286"/>
      <c r="DE505" s="286"/>
      <c r="DF505" s="286"/>
      <c r="DG505" s="286"/>
      <c r="DH505" s="286"/>
      <c r="DI505" s="286"/>
      <c r="DJ505" s="286"/>
      <c r="DK505" s="286"/>
      <c r="DL505" s="286"/>
      <c r="DM505" s="286"/>
      <c r="DN505" s="286"/>
      <c r="DO505" s="286"/>
      <c r="DP505" s="286"/>
      <c r="DQ505" s="286"/>
      <c r="DR505" s="286"/>
      <c r="DS505" s="286"/>
      <c r="DT505" s="286"/>
      <c r="DU505" s="286"/>
      <c r="DV505" s="286"/>
      <c r="DW505" s="286"/>
      <c r="DX505" s="286"/>
      <c r="DY505" s="286"/>
      <c r="DZ505" s="286"/>
      <c r="EA505" s="286"/>
      <c r="EB505" s="286"/>
      <c r="EC505" s="286"/>
      <c r="ED505" s="286"/>
      <c r="EE505" s="286"/>
      <c r="EF505" s="286"/>
      <c r="EG505" s="286"/>
      <c r="EH505" s="286"/>
      <c r="EI505" s="286"/>
      <c r="EJ505" s="286"/>
      <c r="EK505" s="286"/>
      <c r="EL505" s="286"/>
      <c r="EM505" s="286"/>
      <c r="EN505" s="286"/>
      <c r="EO505" s="286"/>
      <c r="EP505" s="286"/>
      <c r="EQ505" s="286"/>
      <c r="ER505" s="286"/>
      <c r="ES505" s="286"/>
      <c r="ET505" s="286"/>
      <c r="EU505" s="286"/>
      <c r="EV505" s="286"/>
      <c r="EW505" s="286"/>
      <c r="EX505" s="286"/>
      <c r="EY505" s="286"/>
      <c r="EZ505" s="286"/>
      <c r="FA505" s="286"/>
      <c r="FB505" s="286"/>
      <c r="FC505" s="286"/>
      <c r="FD505" s="286"/>
      <c r="FE505" s="286"/>
      <c r="FF505" s="286"/>
      <c r="FG505" s="286"/>
      <c r="FH505" s="286"/>
      <c r="FI505" s="286"/>
      <c r="FJ505" s="286"/>
      <c r="FK505" s="286"/>
      <c r="FL505" s="286"/>
      <c r="FM505" s="286"/>
      <c r="FN505" s="286"/>
      <c r="FO505" s="286"/>
      <c r="FP505" s="286"/>
      <c r="FQ505" s="286"/>
      <c r="FR505" s="286"/>
      <c r="FS505" s="286"/>
    </row>
    <row r="506" spans="1:175">
      <c r="A506" s="212" t="s">
        <v>3159</v>
      </c>
      <c r="B506" s="212" t="s">
        <v>3160</v>
      </c>
      <c r="C506" s="212" t="s">
        <v>3172</v>
      </c>
      <c r="D506" s="212" t="s">
        <v>3678</v>
      </c>
      <c r="E506" s="212" t="s">
        <v>3681</v>
      </c>
      <c r="F506" s="278">
        <v>615</v>
      </c>
      <c r="G506" s="278">
        <v>8513</v>
      </c>
      <c r="H506" s="287">
        <f t="shared" si="7"/>
        <v>3.841184071420181</v>
      </c>
      <c r="I506" s="286">
        <v>23</v>
      </c>
      <c r="J506" s="286">
        <v>327</v>
      </c>
      <c r="K506" s="286">
        <v>253</v>
      </c>
      <c r="L506" s="286">
        <v>74</v>
      </c>
      <c r="M506" s="286">
        <v>319</v>
      </c>
      <c r="N506" s="286">
        <v>246</v>
      </c>
      <c r="O506" s="286">
        <v>73</v>
      </c>
      <c r="P506" s="286">
        <v>23</v>
      </c>
      <c r="Q506" s="286">
        <v>327</v>
      </c>
      <c r="R506" s="286">
        <v>253</v>
      </c>
      <c r="S506" s="286">
        <v>74</v>
      </c>
      <c r="T506" s="286">
        <v>319</v>
      </c>
      <c r="U506" s="286">
        <v>246</v>
      </c>
      <c r="V506" s="286">
        <v>73</v>
      </c>
      <c r="W506" s="286"/>
      <c r="X506" s="286"/>
      <c r="Y506" s="286"/>
      <c r="Z506" s="286"/>
      <c r="AA506" s="286"/>
      <c r="AB506" s="286"/>
      <c r="AC506" s="286"/>
      <c r="AD506" s="286"/>
      <c r="AE506" s="286"/>
      <c r="AF506" s="286"/>
      <c r="AG506" s="286"/>
      <c r="AH506" s="286"/>
      <c r="AI506" s="286"/>
      <c r="AJ506" s="286"/>
      <c r="AK506" s="286"/>
      <c r="AL506" s="286"/>
      <c r="AM506" s="286"/>
      <c r="AN506" s="286"/>
      <c r="AO506" s="286"/>
      <c r="AP506" s="286"/>
      <c r="AQ506" s="286"/>
      <c r="AR506" s="286"/>
      <c r="AS506" s="286"/>
      <c r="AT506" s="286"/>
      <c r="AU506" s="286"/>
      <c r="AV506" s="286"/>
      <c r="AW506" s="286"/>
      <c r="AX506" s="286"/>
      <c r="AY506" s="286"/>
      <c r="AZ506" s="286"/>
      <c r="BA506" s="286"/>
      <c r="BB506" s="286"/>
      <c r="BC506" s="286"/>
      <c r="BD506" s="286"/>
      <c r="BE506" s="286"/>
      <c r="BF506" s="286"/>
      <c r="BG506" s="286"/>
      <c r="BH506" s="286"/>
      <c r="BI506" s="286"/>
      <c r="BJ506" s="286"/>
      <c r="BK506" s="286"/>
      <c r="BL506" s="286"/>
      <c r="BM506" s="286"/>
      <c r="BN506" s="286"/>
      <c r="BO506" s="286"/>
      <c r="BP506" s="286"/>
      <c r="BQ506" s="286"/>
      <c r="BR506" s="286"/>
      <c r="BS506" s="286"/>
      <c r="BT506" s="286"/>
      <c r="BU506" s="286"/>
      <c r="BV506" s="286"/>
      <c r="BW506" s="286"/>
      <c r="BX506" s="286"/>
      <c r="BY506" s="286"/>
      <c r="BZ506" s="286"/>
      <c r="CA506" s="286"/>
      <c r="CB506" s="286"/>
      <c r="CC506" s="286"/>
      <c r="CD506" s="286"/>
      <c r="CE506" s="286"/>
      <c r="CF506" s="286"/>
      <c r="CG506" s="286"/>
      <c r="CH506" s="286"/>
      <c r="CI506" s="286"/>
      <c r="CJ506" s="286"/>
      <c r="CK506" s="286"/>
      <c r="CL506" s="286"/>
      <c r="CM506" s="286"/>
      <c r="CN506" s="286"/>
      <c r="CO506" s="286"/>
      <c r="CP506" s="286"/>
      <c r="CQ506" s="286"/>
      <c r="CR506" s="286"/>
      <c r="CS506" s="286"/>
      <c r="CT506" s="286"/>
      <c r="CU506" s="286"/>
      <c r="CV506" s="286"/>
      <c r="CW506" s="286"/>
      <c r="CX506" s="286"/>
      <c r="CY506" s="286"/>
      <c r="CZ506" s="286"/>
      <c r="DA506" s="286"/>
      <c r="DB506" s="286"/>
      <c r="DC506" s="286"/>
      <c r="DD506" s="286"/>
      <c r="DE506" s="286"/>
      <c r="DF506" s="286"/>
      <c r="DG506" s="286"/>
      <c r="DH506" s="286"/>
      <c r="DI506" s="286"/>
      <c r="DJ506" s="286"/>
      <c r="DK506" s="286"/>
      <c r="DL506" s="286"/>
      <c r="DM506" s="286"/>
      <c r="DN506" s="286"/>
      <c r="DO506" s="286"/>
      <c r="DP506" s="286"/>
      <c r="DQ506" s="286"/>
      <c r="DR506" s="286"/>
      <c r="DS506" s="286"/>
      <c r="DT506" s="286"/>
      <c r="DU506" s="286"/>
      <c r="DV506" s="286"/>
      <c r="DW506" s="286"/>
      <c r="DX506" s="286"/>
      <c r="DY506" s="286"/>
      <c r="DZ506" s="286"/>
      <c r="EA506" s="286"/>
      <c r="EB506" s="286"/>
      <c r="EC506" s="286"/>
      <c r="ED506" s="286"/>
      <c r="EE506" s="286"/>
      <c r="EF506" s="286"/>
      <c r="EG506" s="286"/>
      <c r="EH506" s="286"/>
      <c r="EI506" s="286"/>
      <c r="EJ506" s="286"/>
      <c r="EK506" s="286"/>
      <c r="EL506" s="286"/>
      <c r="EM506" s="286"/>
      <c r="EN506" s="286"/>
      <c r="EO506" s="286"/>
      <c r="EP506" s="286"/>
      <c r="EQ506" s="286"/>
      <c r="ER506" s="286"/>
      <c r="ES506" s="286"/>
      <c r="ET506" s="286"/>
      <c r="EU506" s="286"/>
      <c r="EV506" s="286"/>
      <c r="EW506" s="286"/>
      <c r="EX506" s="286"/>
      <c r="EY506" s="286"/>
      <c r="EZ506" s="286"/>
      <c r="FA506" s="286"/>
      <c r="FB506" s="286"/>
      <c r="FC506" s="286"/>
      <c r="FD506" s="286"/>
      <c r="FE506" s="286"/>
      <c r="FF506" s="286"/>
      <c r="FG506" s="286"/>
      <c r="FH506" s="286"/>
      <c r="FI506" s="286"/>
      <c r="FJ506" s="286"/>
      <c r="FK506" s="286"/>
      <c r="FL506" s="286"/>
      <c r="FM506" s="286"/>
      <c r="FN506" s="286"/>
      <c r="FO506" s="286"/>
      <c r="FP506" s="286"/>
      <c r="FQ506" s="286"/>
      <c r="FR506" s="286"/>
      <c r="FS506" s="286"/>
    </row>
    <row r="507" spans="1:175">
      <c r="A507" s="212" t="s">
        <v>3159</v>
      </c>
      <c r="B507" s="212" t="s">
        <v>3160</v>
      </c>
      <c r="C507" s="212" t="s">
        <v>3172</v>
      </c>
      <c r="D507" s="212" t="s">
        <v>3678</v>
      </c>
      <c r="E507" s="212" t="s">
        <v>3682</v>
      </c>
      <c r="F507" s="278">
        <v>1244</v>
      </c>
      <c r="G507" s="278">
        <v>22862</v>
      </c>
      <c r="H507" s="287">
        <f t="shared" si="7"/>
        <v>0.97104365322369002</v>
      </c>
      <c r="I507" s="286">
        <v>31</v>
      </c>
      <c r="J507" s="286">
        <v>222</v>
      </c>
      <c r="K507" s="286">
        <v>157</v>
      </c>
      <c r="L507" s="286">
        <v>65</v>
      </c>
      <c r="M507" s="286">
        <v>205</v>
      </c>
      <c r="N507" s="286">
        <v>143</v>
      </c>
      <c r="O507" s="286">
        <v>62</v>
      </c>
      <c r="P507" s="286">
        <v>31</v>
      </c>
      <c r="Q507" s="286">
        <v>222</v>
      </c>
      <c r="R507" s="286">
        <v>157</v>
      </c>
      <c r="S507" s="286">
        <v>65</v>
      </c>
      <c r="T507" s="286">
        <v>205</v>
      </c>
      <c r="U507" s="286">
        <v>143</v>
      </c>
      <c r="V507" s="286">
        <v>62</v>
      </c>
      <c r="W507" s="286"/>
      <c r="X507" s="286"/>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86"/>
      <c r="AU507" s="286"/>
      <c r="AV507" s="286"/>
      <c r="AW507" s="286"/>
      <c r="AX507" s="286"/>
      <c r="AY507" s="286"/>
      <c r="AZ507" s="286"/>
      <c r="BA507" s="286"/>
      <c r="BB507" s="286"/>
      <c r="BC507" s="286"/>
      <c r="BD507" s="286"/>
      <c r="BE507" s="286"/>
      <c r="BF507" s="286"/>
      <c r="BG507" s="286"/>
      <c r="BH507" s="286"/>
      <c r="BI507" s="286"/>
      <c r="BJ507" s="286"/>
      <c r="BK507" s="286"/>
      <c r="BL507" s="286"/>
      <c r="BM507" s="286"/>
      <c r="BN507" s="286"/>
      <c r="BO507" s="286"/>
      <c r="BP507" s="286"/>
      <c r="BQ507" s="286"/>
      <c r="BR507" s="286"/>
      <c r="BS507" s="286"/>
      <c r="BT507" s="286"/>
      <c r="BU507" s="286"/>
      <c r="BV507" s="286"/>
      <c r="BW507" s="286"/>
      <c r="BX507" s="286"/>
      <c r="BY507" s="286"/>
      <c r="BZ507" s="286"/>
      <c r="CA507" s="286"/>
      <c r="CB507" s="286"/>
      <c r="CC507" s="286"/>
      <c r="CD507" s="286"/>
      <c r="CE507" s="286"/>
      <c r="CF507" s="286"/>
      <c r="CG507" s="286"/>
      <c r="CH507" s="286"/>
      <c r="CI507" s="286"/>
      <c r="CJ507" s="286"/>
      <c r="CK507" s="286"/>
      <c r="CL507" s="286"/>
      <c r="CM507" s="286"/>
      <c r="CN507" s="286"/>
      <c r="CO507" s="286"/>
      <c r="CP507" s="286"/>
      <c r="CQ507" s="286"/>
      <c r="CR507" s="286"/>
      <c r="CS507" s="286"/>
      <c r="CT507" s="286"/>
      <c r="CU507" s="286"/>
      <c r="CV507" s="286"/>
      <c r="CW507" s="286"/>
      <c r="CX507" s="286"/>
      <c r="CY507" s="286"/>
      <c r="CZ507" s="286"/>
      <c r="DA507" s="286"/>
      <c r="DB507" s="286"/>
      <c r="DC507" s="286"/>
      <c r="DD507" s="286"/>
      <c r="DE507" s="286"/>
      <c r="DF507" s="286"/>
      <c r="DG507" s="286"/>
      <c r="DH507" s="286"/>
      <c r="DI507" s="286"/>
      <c r="DJ507" s="286"/>
      <c r="DK507" s="286"/>
      <c r="DL507" s="286"/>
      <c r="DM507" s="286"/>
      <c r="DN507" s="286"/>
      <c r="DO507" s="286"/>
      <c r="DP507" s="286"/>
      <c r="DQ507" s="286"/>
      <c r="DR507" s="286"/>
      <c r="DS507" s="286"/>
      <c r="DT507" s="286"/>
      <c r="DU507" s="286"/>
      <c r="DV507" s="286"/>
      <c r="DW507" s="286"/>
      <c r="DX507" s="286"/>
      <c r="DY507" s="286"/>
      <c r="DZ507" s="286"/>
      <c r="EA507" s="286"/>
      <c r="EB507" s="286"/>
      <c r="EC507" s="286"/>
      <c r="ED507" s="286"/>
      <c r="EE507" s="286"/>
      <c r="EF507" s="286"/>
      <c r="EG507" s="286"/>
      <c r="EH507" s="286"/>
      <c r="EI507" s="286"/>
      <c r="EJ507" s="286"/>
      <c r="EK507" s="286"/>
      <c r="EL507" s="286"/>
      <c r="EM507" s="286"/>
      <c r="EN507" s="286"/>
      <c r="EO507" s="286"/>
      <c r="EP507" s="286"/>
      <c r="EQ507" s="286"/>
      <c r="ER507" s="286"/>
      <c r="ES507" s="286"/>
      <c r="ET507" s="286"/>
      <c r="EU507" s="286"/>
      <c r="EV507" s="286"/>
      <c r="EW507" s="286"/>
      <c r="EX507" s="286"/>
      <c r="EY507" s="286"/>
      <c r="EZ507" s="286"/>
      <c r="FA507" s="286"/>
      <c r="FB507" s="286"/>
      <c r="FC507" s="286"/>
      <c r="FD507" s="286"/>
      <c r="FE507" s="286"/>
      <c r="FF507" s="286"/>
      <c r="FG507" s="286"/>
      <c r="FH507" s="286"/>
      <c r="FI507" s="286"/>
      <c r="FJ507" s="286"/>
      <c r="FK507" s="286"/>
      <c r="FL507" s="286"/>
      <c r="FM507" s="286"/>
      <c r="FN507" s="286"/>
      <c r="FO507" s="286"/>
      <c r="FP507" s="286"/>
      <c r="FQ507" s="286"/>
      <c r="FR507" s="286"/>
      <c r="FS507" s="286"/>
    </row>
    <row r="508" spans="1:175">
      <c r="A508" s="212" t="s">
        <v>3159</v>
      </c>
      <c r="B508" s="212" t="s">
        <v>3160</v>
      </c>
      <c r="C508" s="212" t="s">
        <v>3432</v>
      </c>
      <c r="D508" s="212" t="s">
        <v>3678</v>
      </c>
      <c r="E508" s="212" t="s">
        <v>3683</v>
      </c>
      <c r="F508" s="278">
        <v>783</v>
      </c>
      <c r="G508" s="278">
        <v>18659</v>
      </c>
      <c r="H508" s="287">
        <f t="shared" si="7"/>
        <v>0.62168390588991906</v>
      </c>
      <c r="I508" s="286">
        <v>19</v>
      </c>
      <c r="J508" s="286">
        <v>116</v>
      </c>
      <c r="K508" s="286">
        <v>83</v>
      </c>
      <c r="L508" s="286">
        <v>33</v>
      </c>
      <c r="M508" s="286">
        <v>104</v>
      </c>
      <c r="N508" s="286">
        <v>73</v>
      </c>
      <c r="O508" s="286">
        <v>31</v>
      </c>
      <c r="P508" s="286">
        <v>19</v>
      </c>
      <c r="Q508" s="286">
        <v>116</v>
      </c>
      <c r="R508" s="286">
        <v>83</v>
      </c>
      <c r="S508" s="286">
        <v>33</v>
      </c>
      <c r="T508" s="286">
        <v>104</v>
      </c>
      <c r="U508" s="286">
        <v>73</v>
      </c>
      <c r="V508" s="286">
        <v>31</v>
      </c>
      <c r="W508" s="286"/>
      <c r="X508" s="286"/>
      <c r="Y508" s="286"/>
      <c r="Z508" s="286"/>
      <c r="AA508" s="286"/>
      <c r="AB508" s="286"/>
      <c r="AC508" s="286"/>
      <c r="AD508" s="286"/>
      <c r="AE508" s="286"/>
      <c r="AF508" s="286"/>
      <c r="AG508" s="286"/>
      <c r="AH508" s="286"/>
      <c r="AI508" s="286"/>
      <c r="AJ508" s="286"/>
      <c r="AK508" s="286"/>
      <c r="AL508" s="286"/>
      <c r="AM508" s="286"/>
      <c r="AN508" s="286"/>
      <c r="AO508" s="286"/>
      <c r="AP508" s="286"/>
      <c r="AQ508" s="286"/>
      <c r="AR508" s="286"/>
      <c r="AS508" s="286"/>
      <c r="AT508" s="286"/>
      <c r="AU508" s="286"/>
      <c r="AV508" s="286"/>
      <c r="AW508" s="286"/>
      <c r="AX508" s="286"/>
      <c r="AY508" s="286"/>
      <c r="AZ508" s="286"/>
      <c r="BA508" s="286"/>
      <c r="BB508" s="286"/>
      <c r="BC508" s="286"/>
      <c r="BD508" s="286"/>
      <c r="BE508" s="286"/>
      <c r="BF508" s="286"/>
      <c r="BG508" s="286"/>
      <c r="BH508" s="286"/>
      <c r="BI508" s="286"/>
      <c r="BJ508" s="286"/>
      <c r="BK508" s="286"/>
      <c r="BL508" s="286"/>
      <c r="BM508" s="286"/>
      <c r="BN508" s="286"/>
      <c r="BO508" s="286"/>
      <c r="BP508" s="286"/>
      <c r="BQ508" s="286"/>
      <c r="BR508" s="286"/>
      <c r="BS508" s="286"/>
      <c r="BT508" s="286"/>
      <c r="BU508" s="286"/>
      <c r="BV508" s="286"/>
      <c r="BW508" s="286"/>
      <c r="BX508" s="286"/>
      <c r="BY508" s="286"/>
      <c r="BZ508" s="286"/>
      <c r="CA508" s="286"/>
      <c r="CB508" s="286"/>
      <c r="CC508" s="286"/>
      <c r="CD508" s="286"/>
      <c r="CE508" s="286"/>
      <c r="CF508" s="286"/>
      <c r="CG508" s="286"/>
      <c r="CH508" s="286"/>
      <c r="CI508" s="286"/>
      <c r="CJ508" s="286"/>
      <c r="CK508" s="286"/>
      <c r="CL508" s="286"/>
      <c r="CM508" s="286"/>
      <c r="CN508" s="286"/>
      <c r="CO508" s="286"/>
      <c r="CP508" s="286"/>
      <c r="CQ508" s="286"/>
      <c r="CR508" s="286"/>
      <c r="CS508" s="286"/>
      <c r="CT508" s="286"/>
      <c r="CU508" s="286"/>
      <c r="CV508" s="286"/>
      <c r="CW508" s="286"/>
      <c r="CX508" s="286"/>
      <c r="CY508" s="286"/>
      <c r="CZ508" s="286"/>
      <c r="DA508" s="286"/>
      <c r="DB508" s="286"/>
      <c r="DC508" s="286"/>
      <c r="DD508" s="286"/>
      <c r="DE508" s="286"/>
      <c r="DF508" s="286"/>
      <c r="DG508" s="286"/>
      <c r="DH508" s="286"/>
      <c r="DI508" s="286"/>
      <c r="DJ508" s="286"/>
      <c r="DK508" s="286"/>
      <c r="DL508" s="286"/>
      <c r="DM508" s="286"/>
      <c r="DN508" s="286"/>
      <c r="DO508" s="286"/>
      <c r="DP508" s="286"/>
      <c r="DQ508" s="286"/>
      <c r="DR508" s="286"/>
      <c r="DS508" s="286"/>
      <c r="DT508" s="286"/>
      <c r="DU508" s="286"/>
      <c r="DV508" s="286"/>
      <c r="DW508" s="286"/>
      <c r="DX508" s="286"/>
      <c r="DY508" s="286"/>
      <c r="DZ508" s="286"/>
      <c r="EA508" s="286"/>
      <c r="EB508" s="286"/>
      <c r="EC508" s="286"/>
      <c r="ED508" s="286"/>
      <c r="EE508" s="286"/>
      <c r="EF508" s="286"/>
      <c r="EG508" s="286"/>
      <c r="EH508" s="286"/>
      <c r="EI508" s="286"/>
      <c r="EJ508" s="286"/>
      <c r="EK508" s="286"/>
      <c r="EL508" s="286"/>
      <c r="EM508" s="286"/>
      <c r="EN508" s="286"/>
      <c r="EO508" s="286"/>
      <c r="EP508" s="286"/>
      <c r="EQ508" s="286"/>
      <c r="ER508" s="286"/>
      <c r="ES508" s="286"/>
      <c r="ET508" s="286"/>
      <c r="EU508" s="286"/>
      <c r="EV508" s="286"/>
      <c r="EW508" s="286"/>
      <c r="EX508" s="286"/>
      <c r="EY508" s="286"/>
      <c r="EZ508" s="286"/>
      <c r="FA508" s="286"/>
      <c r="FB508" s="286"/>
      <c r="FC508" s="286"/>
      <c r="FD508" s="286"/>
      <c r="FE508" s="286"/>
      <c r="FF508" s="286"/>
      <c r="FG508" s="286"/>
      <c r="FH508" s="286"/>
      <c r="FI508" s="286"/>
      <c r="FJ508" s="286"/>
      <c r="FK508" s="286"/>
      <c r="FL508" s="286"/>
      <c r="FM508" s="286"/>
      <c r="FN508" s="286"/>
      <c r="FO508" s="286"/>
      <c r="FP508" s="286"/>
      <c r="FQ508" s="286"/>
      <c r="FR508" s="286"/>
      <c r="FS508" s="286"/>
    </row>
    <row r="509" spans="1:175">
      <c r="A509" s="212" t="s">
        <v>3159</v>
      </c>
      <c r="B509" s="212" t="s">
        <v>3160</v>
      </c>
      <c r="C509" s="212" t="s">
        <v>3432</v>
      </c>
      <c r="D509" s="212" t="s">
        <v>3678</v>
      </c>
      <c r="E509" s="212" t="s">
        <v>3684</v>
      </c>
      <c r="F509" s="278">
        <v>461</v>
      </c>
      <c r="G509" s="278">
        <v>4203</v>
      </c>
      <c r="H509" s="287">
        <f t="shared" si="7"/>
        <v>2.5220080894599093</v>
      </c>
      <c r="I509" s="286">
        <v>12</v>
      </c>
      <c r="J509" s="286">
        <v>106</v>
      </c>
      <c r="K509" s="286">
        <v>74</v>
      </c>
      <c r="L509" s="286">
        <v>32</v>
      </c>
      <c r="M509" s="286">
        <v>101</v>
      </c>
      <c r="N509" s="286">
        <v>70</v>
      </c>
      <c r="O509" s="286">
        <v>31</v>
      </c>
      <c r="P509" s="286">
        <v>12</v>
      </c>
      <c r="Q509" s="286">
        <v>106</v>
      </c>
      <c r="R509" s="286">
        <v>74</v>
      </c>
      <c r="S509" s="286">
        <v>32</v>
      </c>
      <c r="T509" s="286">
        <v>101</v>
      </c>
      <c r="U509" s="286">
        <v>70</v>
      </c>
      <c r="V509" s="286">
        <v>31</v>
      </c>
      <c r="W509" s="286"/>
      <c r="X509" s="286"/>
      <c r="Y509" s="286"/>
      <c r="Z509" s="286"/>
      <c r="AA509" s="286"/>
      <c r="AB509" s="286"/>
      <c r="AC509" s="286"/>
      <c r="AD509" s="286"/>
      <c r="AE509" s="286"/>
      <c r="AF509" s="286"/>
      <c r="AG509" s="286"/>
      <c r="AH509" s="286"/>
      <c r="AI509" s="286"/>
      <c r="AJ509" s="286"/>
      <c r="AK509" s="286"/>
      <c r="AL509" s="286"/>
      <c r="AM509" s="286"/>
      <c r="AN509" s="286"/>
      <c r="AO509" s="286"/>
      <c r="AP509" s="286"/>
      <c r="AQ509" s="286"/>
      <c r="AR509" s="286"/>
      <c r="AS509" s="286"/>
      <c r="AT509" s="286"/>
      <c r="AU509" s="286"/>
      <c r="AV509" s="286"/>
      <c r="AW509" s="286"/>
      <c r="AX509" s="286"/>
      <c r="AY509" s="286"/>
      <c r="AZ509" s="286"/>
      <c r="BA509" s="286"/>
      <c r="BB509" s="286"/>
      <c r="BC509" s="286"/>
      <c r="BD509" s="286"/>
      <c r="BE509" s="286"/>
      <c r="BF509" s="286"/>
      <c r="BG509" s="286"/>
      <c r="BH509" s="286"/>
      <c r="BI509" s="286"/>
      <c r="BJ509" s="286"/>
      <c r="BK509" s="286"/>
      <c r="BL509" s="286"/>
      <c r="BM509" s="286"/>
      <c r="BN509" s="286"/>
      <c r="BO509" s="286"/>
      <c r="BP509" s="286"/>
      <c r="BQ509" s="286"/>
      <c r="BR509" s="286"/>
      <c r="BS509" s="286"/>
      <c r="BT509" s="286"/>
      <c r="BU509" s="286"/>
      <c r="BV509" s="286"/>
      <c r="BW509" s="286"/>
      <c r="BX509" s="286"/>
      <c r="BY509" s="286"/>
      <c r="BZ509" s="286"/>
      <c r="CA509" s="286"/>
      <c r="CB509" s="286"/>
      <c r="CC509" s="286"/>
      <c r="CD509" s="286"/>
      <c r="CE509" s="286"/>
      <c r="CF509" s="286"/>
      <c r="CG509" s="286"/>
      <c r="CH509" s="286"/>
      <c r="CI509" s="286"/>
      <c r="CJ509" s="286"/>
      <c r="CK509" s="286"/>
      <c r="CL509" s="286"/>
      <c r="CM509" s="286"/>
      <c r="CN509" s="286"/>
      <c r="CO509" s="286"/>
      <c r="CP509" s="286"/>
      <c r="CQ509" s="286"/>
      <c r="CR509" s="286"/>
      <c r="CS509" s="286"/>
      <c r="CT509" s="286"/>
      <c r="CU509" s="286"/>
      <c r="CV509" s="286"/>
      <c r="CW509" s="286"/>
      <c r="CX509" s="286"/>
      <c r="CY509" s="286"/>
      <c r="CZ509" s="286"/>
      <c r="DA509" s="286"/>
      <c r="DB509" s="286"/>
      <c r="DC509" s="286"/>
      <c r="DD509" s="286"/>
      <c r="DE509" s="286"/>
      <c r="DF509" s="286"/>
      <c r="DG509" s="286"/>
      <c r="DH509" s="286"/>
      <c r="DI509" s="286"/>
      <c r="DJ509" s="286"/>
      <c r="DK509" s="286"/>
      <c r="DL509" s="286"/>
      <c r="DM509" s="286"/>
      <c r="DN509" s="286"/>
      <c r="DO509" s="286"/>
      <c r="DP509" s="286"/>
      <c r="DQ509" s="286"/>
      <c r="DR509" s="286"/>
      <c r="DS509" s="286"/>
      <c r="DT509" s="286"/>
      <c r="DU509" s="286"/>
      <c r="DV509" s="286"/>
      <c r="DW509" s="286"/>
      <c r="DX509" s="286"/>
      <c r="DY509" s="286"/>
      <c r="DZ509" s="286"/>
      <c r="EA509" s="286"/>
      <c r="EB509" s="286"/>
      <c r="EC509" s="286"/>
      <c r="ED509" s="286"/>
      <c r="EE509" s="286"/>
      <c r="EF509" s="286"/>
      <c r="EG509" s="286"/>
      <c r="EH509" s="286"/>
      <c r="EI509" s="286"/>
      <c r="EJ509" s="286"/>
      <c r="EK509" s="286"/>
      <c r="EL509" s="286"/>
      <c r="EM509" s="286"/>
      <c r="EN509" s="286"/>
      <c r="EO509" s="286"/>
      <c r="EP509" s="286"/>
      <c r="EQ509" s="286"/>
      <c r="ER509" s="286"/>
      <c r="ES509" s="286"/>
      <c r="ET509" s="286"/>
      <c r="EU509" s="286"/>
      <c r="EV509" s="286"/>
      <c r="EW509" s="286"/>
      <c r="EX509" s="286"/>
      <c r="EY509" s="286"/>
      <c r="EZ509" s="286"/>
      <c r="FA509" s="286"/>
      <c r="FB509" s="286"/>
      <c r="FC509" s="286"/>
      <c r="FD509" s="286"/>
      <c r="FE509" s="286"/>
      <c r="FF509" s="286"/>
      <c r="FG509" s="286"/>
      <c r="FH509" s="286"/>
      <c r="FI509" s="286"/>
      <c r="FJ509" s="286"/>
      <c r="FK509" s="286"/>
      <c r="FL509" s="286"/>
      <c r="FM509" s="286"/>
      <c r="FN509" s="286"/>
      <c r="FO509" s="286"/>
      <c r="FP509" s="286"/>
      <c r="FQ509" s="286"/>
      <c r="FR509" s="286"/>
      <c r="FS509" s="286"/>
    </row>
    <row r="510" spans="1:175">
      <c r="A510" s="212" t="s">
        <v>3159</v>
      </c>
      <c r="B510" s="212" t="s">
        <v>3160</v>
      </c>
      <c r="C510" s="212" t="s">
        <v>3172</v>
      </c>
      <c r="D510" s="212" t="s">
        <v>3678</v>
      </c>
      <c r="E510" s="212" t="s">
        <v>3685</v>
      </c>
      <c r="F510" s="278">
        <v>10892</v>
      </c>
      <c r="G510" s="278">
        <v>99265</v>
      </c>
      <c r="H510" s="287">
        <f t="shared" si="7"/>
        <v>3.2760791819876087</v>
      </c>
      <c r="I510" s="286">
        <v>384</v>
      </c>
      <c r="J510" s="286">
        <v>3252</v>
      </c>
      <c r="K510" s="286">
        <v>2553</v>
      </c>
      <c r="L510" s="286">
        <v>689</v>
      </c>
      <c r="M510" s="286">
        <v>2884</v>
      </c>
      <c r="N510" s="286">
        <v>2297</v>
      </c>
      <c r="O510" s="286">
        <v>577</v>
      </c>
      <c r="P510" s="286">
        <v>384</v>
      </c>
      <c r="Q510" s="286">
        <v>3252</v>
      </c>
      <c r="R510" s="286">
        <v>2553</v>
      </c>
      <c r="S510" s="286">
        <v>689</v>
      </c>
      <c r="T510" s="286">
        <v>2884</v>
      </c>
      <c r="U510" s="286">
        <v>2297</v>
      </c>
      <c r="V510" s="286">
        <v>577</v>
      </c>
      <c r="W510" s="286"/>
      <c r="X510" s="286"/>
      <c r="Y510" s="286"/>
      <c r="Z510" s="286"/>
      <c r="AA510" s="286"/>
      <c r="AB510" s="286"/>
      <c r="AC510" s="286"/>
      <c r="AD510" s="286"/>
      <c r="AE510" s="286"/>
      <c r="AF510" s="286"/>
      <c r="AG510" s="286"/>
      <c r="AH510" s="286"/>
      <c r="AI510" s="286"/>
      <c r="AJ510" s="286"/>
      <c r="AK510" s="286"/>
      <c r="AL510" s="286"/>
      <c r="AM510" s="286"/>
      <c r="AN510" s="286"/>
      <c r="AO510" s="286"/>
      <c r="AP510" s="286"/>
      <c r="AQ510" s="286"/>
      <c r="AR510" s="286"/>
      <c r="AS510" s="286"/>
      <c r="AT510" s="286"/>
      <c r="AU510" s="286"/>
      <c r="AV510" s="286"/>
      <c r="AW510" s="286"/>
      <c r="AX510" s="286"/>
      <c r="AY510" s="286"/>
      <c r="AZ510" s="286"/>
      <c r="BA510" s="286"/>
      <c r="BB510" s="286"/>
      <c r="BC510" s="286"/>
      <c r="BD510" s="286"/>
      <c r="BE510" s="286"/>
      <c r="BF510" s="286"/>
      <c r="BG510" s="286"/>
      <c r="BH510" s="286"/>
      <c r="BI510" s="286"/>
      <c r="BJ510" s="286"/>
      <c r="BK510" s="286"/>
      <c r="BL510" s="286"/>
      <c r="BM510" s="286"/>
      <c r="BN510" s="286"/>
      <c r="BO510" s="286"/>
      <c r="BP510" s="286"/>
      <c r="BQ510" s="286"/>
      <c r="BR510" s="286"/>
      <c r="BS510" s="286"/>
      <c r="BT510" s="286"/>
      <c r="BU510" s="286"/>
      <c r="BV510" s="286"/>
      <c r="BW510" s="286"/>
      <c r="BX510" s="286"/>
      <c r="BY510" s="286"/>
      <c r="BZ510" s="286"/>
      <c r="CA510" s="286"/>
      <c r="CB510" s="286"/>
      <c r="CC510" s="286"/>
      <c r="CD510" s="286"/>
      <c r="CE510" s="286"/>
      <c r="CF510" s="286"/>
      <c r="CG510" s="286"/>
      <c r="CH510" s="286"/>
      <c r="CI510" s="286"/>
      <c r="CJ510" s="286"/>
      <c r="CK510" s="286"/>
      <c r="CL510" s="286"/>
      <c r="CM510" s="286"/>
      <c r="CN510" s="286"/>
      <c r="CO510" s="286"/>
      <c r="CP510" s="286"/>
      <c r="CQ510" s="286"/>
      <c r="CR510" s="286"/>
      <c r="CS510" s="286"/>
      <c r="CT510" s="286"/>
      <c r="CU510" s="286"/>
      <c r="CV510" s="286"/>
      <c r="CW510" s="286"/>
      <c r="CX510" s="286"/>
      <c r="CY510" s="286"/>
      <c r="CZ510" s="286"/>
      <c r="DA510" s="286"/>
      <c r="DB510" s="286"/>
      <c r="DC510" s="286"/>
      <c r="DD510" s="286"/>
      <c r="DE510" s="286"/>
      <c r="DF510" s="286"/>
      <c r="DG510" s="286"/>
      <c r="DH510" s="286"/>
      <c r="DI510" s="286"/>
      <c r="DJ510" s="286"/>
      <c r="DK510" s="286"/>
      <c r="DL510" s="286"/>
      <c r="DM510" s="286"/>
      <c r="DN510" s="286"/>
      <c r="DO510" s="286"/>
      <c r="DP510" s="286"/>
      <c r="DQ510" s="286"/>
      <c r="DR510" s="286"/>
      <c r="DS510" s="286"/>
      <c r="DT510" s="286"/>
      <c r="DU510" s="286"/>
      <c r="DV510" s="286"/>
      <c r="DW510" s="286"/>
      <c r="DX510" s="286"/>
      <c r="DY510" s="286"/>
      <c r="DZ510" s="286"/>
      <c r="EA510" s="286"/>
      <c r="EB510" s="286"/>
      <c r="EC510" s="286"/>
      <c r="ED510" s="286"/>
      <c r="EE510" s="286"/>
      <c r="EF510" s="286"/>
      <c r="EG510" s="286"/>
      <c r="EH510" s="286"/>
      <c r="EI510" s="286"/>
      <c r="EJ510" s="286"/>
      <c r="EK510" s="286"/>
      <c r="EL510" s="286"/>
      <c r="EM510" s="286"/>
      <c r="EN510" s="286"/>
      <c r="EO510" s="286"/>
      <c r="EP510" s="286"/>
      <c r="EQ510" s="286"/>
      <c r="ER510" s="286"/>
      <c r="ES510" s="286"/>
      <c r="ET510" s="286"/>
      <c r="EU510" s="286"/>
      <c r="EV510" s="286"/>
      <c r="EW510" s="286"/>
      <c r="EX510" s="286"/>
      <c r="EY510" s="286"/>
      <c r="EZ510" s="286"/>
      <c r="FA510" s="286"/>
      <c r="FB510" s="286"/>
      <c r="FC510" s="286"/>
      <c r="FD510" s="286"/>
      <c r="FE510" s="286"/>
      <c r="FF510" s="286"/>
      <c r="FG510" s="286"/>
      <c r="FH510" s="286"/>
      <c r="FI510" s="286"/>
      <c r="FJ510" s="286"/>
      <c r="FK510" s="286"/>
      <c r="FL510" s="286"/>
      <c r="FM510" s="286"/>
      <c r="FN510" s="286"/>
      <c r="FO510" s="286"/>
      <c r="FP510" s="286"/>
      <c r="FQ510" s="286"/>
      <c r="FR510" s="286"/>
      <c r="FS510" s="286"/>
    </row>
    <row r="511" spans="1:175">
      <c r="A511" s="212" t="s">
        <v>3159</v>
      </c>
      <c r="B511" s="212" t="s">
        <v>3160</v>
      </c>
      <c r="C511" s="212" t="s">
        <v>3172</v>
      </c>
      <c r="D511" s="212" t="s">
        <v>3678</v>
      </c>
      <c r="E511" s="212" t="s">
        <v>3686</v>
      </c>
      <c r="F511" s="278">
        <v>609</v>
      </c>
      <c r="G511" s="278">
        <v>8342</v>
      </c>
      <c r="H511" s="287">
        <f t="shared" si="7"/>
        <v>1.1148405658115561</v>
      </c>
      <c r="I511" s="286">
        <v>20</v>
      </c>
      <c r="J511" s="286">
        <v>93</v>
      </c>
      <c r="K511" s="286">
        <v>58</v>
      </c>
      <c r="L511" s="286">
        <v>35</v>
      </c>
      <c r="M511" s="286">
        <v>61</v>
      </c>
      <c r="N511" s="286">
        <v>37</v>
      </c>
      <c r="O511" s="286">
        <v>24</v>
      </c>
      <c r="P511" s="286">
        <v>20</v>
      </c>
      <c r="Q511" s="286">
        <v>93</v>
      </c>
      <c r="R511" s="286">
        <v>58</v>
      </c>
      <c r="S511" s="286">
        <v>35</v>
      </c>
      <c r="T511" s="286">
        <v>61</v>
      </c>
      <c r="U511" s="286">
        <v>37</v>
      </c>
      <c r="V511" s="286">
        <v>24</v>
      </c>
      <c r="W511" s="286"/>
      <c r="X511" s="286"/>
      <c r="Y511" s="286"/>
      <c r="Z511" s="286"/>
      <c r="AA511" s="286"/>
      <c r="AB511" s="286"/>
      <c r="AC511" s="286"/>
      <c r="AD511" s="286"/>
      <c r="AE511" s="286"/>
      <c r="AF511" s="286"/>
      <c r="AG511" s="286"/>
      <c r="AH511" s="286"/>
      <c r="AI511" s="286"/>
      <c r="AJ511" s="286"/>
      <c r="AK511" s="286"/>
      <c r="AL511" s="286"/>
      <c r="AM511" s="286"/>
      <c r="AN511" s="286"/>
      <c r="AO511" s="286"/>
      <c r="AP511" s="286"/>
      <c r="AQ511" s="286"/>
      <c r="AR511" s="286"/>
      <c r="AS511" s="286"/>
      <c r="AT511" s="286"/>
      <c r="AU511" s="286"/>
      <c r="AV511" s="286"/>
      <c r="AW511" s="286"/>
      <c r="AX511" s="286"/>
      <c r="AY511" s="286"/>
      <c r="AZ511" s="286"/>
      <c r="BA511" s="286"/>
      <c r="BB511" s="286"/>
      <c r="BC511" s="286"/>
      <c r="BD511" s="286"/>
      <c r="BE511" s="286"/>
      <c r="BF511" s="286"/>
      <c r="BG511" s="286"/>
      <c r="BH511" s="286"/>
      <c r="BI511" s="286"/>
      <c r="BJ511" s="286"/>
      <c r="BK511" s="286"/>
      <c r="BL511" s="286"/>
      <c r="BM511" s="286"/>
      <c r="BN511" s="286"/>
      <c r="BO511" s="286"/>
      <c r="BP511" s="286"/>
      <c r="BQ511" s="286"/>
      <c r="BR511" s="286"/>
      <c r="BS511" s="286"/>
      <c r="BT511" s="286"/>
      <c r="BU511" s="286"/>
      <c r="BV511" s="286"/>
      <c r="BW511" s="286"/>
      <c r="BX511" s="286"/>
      <c r="BY511" s="286"/>
      <c r="BZ511" s="286"/>
      <c r="CA511" s="286"/>
      <c r="CB511" s="286"/>
      <c r="CC511" s="286"/>
      <c r="CD511" s="286"/>
      <c r="CE511" s="286"/>
      <c r="CF511" s="286"/>
      <c r="CG511" s="286"/>
      <c r="CH511" s="286"/>
      <c r="CI511" s="286"/>
      <c r="CJ511" s="286"/>
      <c r="CK511" s="286"/>
      <c r="CL511" s="286"/>
      <c r="CM511" s="286"/>
      <c r="CN511" s="286"/>
      <c r="CO511" s="286"/>
      <c r="CP511" s="286"/>
      <c r="CQ511" s="286"/>
      <c r="CR511" s="286"/>
      <c r="CS511" s="286"/>
      <c r="CT511" s="286"/>
      <c r="CU511" s="286"/>
      <c r="CV511" s="286"/>
      <c r="CW511" s="286"/>
      <c r="CX511" s="286"/>
      <c r="CY511" s="286"/>
      <c r="CZ511" s="286"/>
      <c r="DA511" s="286"/>
      <c r="DB511" s="286"/>
      <c r="DC511" s="286"/>
      <c r="DD511" s="286"/>
      <c r="DE511" s="286"/>
      <c r="DF511" s="286"/>
      <c r="DG511" s="286"/>
      <c r="DH511" s="286"/>
      <c r="DI511" s="286"/>
      <c r="DJ511" s="286"/>
      <c r="DK511" s="286"/>
      <c r="DL511" s="286"/>
      <c r="DM511" s="286"/>
      <c r="DN511" s="286"/>
      <c r="DO511" s="286"/>
      <c r="DP511" s="286"/>
      <c r="DQ511" s="286"/>
      <c r="DR511" s="286"/>
      <c r="DS511" s="286"/>
      <c r="DT511" s="286"/>
      <c r="DU511" s="286"/>
      <c r="DV511" s="286"/>
      <c r="DW511" s="286"/>
      <c r="DX511" s="286"/>
      <c r="DY511" s="286"/>
      <c r="DZ511" s="286"/>
      <c r="EA511" s="286"/>
      <c r="EB511" s="286"/>
      <c r="EC511" s="286"/>
      <c r="ED511" s="286"/>
      <c r="EE511" s="286"/>
      <c r="EF511" s="286"/>
      <c r="EG511" s="286"/>
      <c r="EH511" s="286"/>
      <c r="EI511" s="286"/>
      <c r="EJ511" s="286"/>
      <c r="EK511" s="286"/>
      <c r="EL511" s="286"/>
      <c r="EM511" s="286"/>
      <c r="EN511" s="286"/>
      <c r="EO511" s="286"/>
      <c r="EP511" s="286"/>
      <c r="EQ511" s="286"/>
      <c r="ER511" s="286"/>
      <c r="ES511" s="286"/>
      <c r="ET511" s="286"/>
      <c r="EU511" s="286"/>
      <c r="EV511" s="286"/>
      <c r="EW511" s="286"/>
      <c r="EX511" s="286"/>
      <c r="EY511" s="286"/>
      <c r="EZ511" s="286"/>
      <c r="FA511" s="286"/>
      <c r="FB511" s="286"/>
      <c r="FC511" s="286"/>
      <c r="FD511" s="286"/>
      <c r="FE511" s="286"/>
      <c r="FF511" s="286"/>
      <c r="FG511" s="286"/>
      <c r="FH511" s="286"/>
      <c r="FI511" s="286"/>
      <c r="FJ511" s="286"/>
      <c r="FK511" s="286"/>
      <c r="FL511" s="286"/>
      <c r="FM511" s="286"/>
      <c r="FN511" s="286"/>
      <c r="FO511" s="286"/>
      <c r="FP511" s="286"/>
      <c r="FQ511" s="286"/>
      <c r="FR511" s="286"/>
      <c r="FS511" s="286"/>
    </row>
    <row r="512" spans="1:175">
      <c r="A512" s="212" t="s">
        <v>3159</v>
      </c>
      <c r="B512" s="212" t="s">
        <v>3160</v>
      </c>
      <c r="C512" s="212" t="s">
        <v>3172</v>
      </c>
      <c r="D512" s="212" t="s">
        <v>3678</v>
      </c>
      <c r="E512" s="212" t="s">
        <v>3687</v>
      </c>
      <c r="F512" s="278">
        <v>6148</v>
      </c>
      <c r="G512" s="278">
        <v>50261</v>
      </c>
      <c r="H512" s="287">
        <f t="shared" si="7"/>
        <v>2.7436780008356378</v>
      </c>
      <c r="I512" s="286">
        <v>186</v>
      </c>
      <c r="J512" s="286">
        <v>1379</v>
      </c>
      <c r="K512" s="286">
        <v>944</v>
      </c>
      <c r="L512" s="286">
        <v>435</v>
      </c>
      <c r="M512" s="286">
        <v>1264</v>
      </c>
      <c r="N512" s="286">
        <v>861</v>
      </c>
      <c r="O512" s="286">
        <v>403</v>
      </c>
      <c r="P512" s="286">
        <v>186</v>
      </c>
      <c r="Q512" s="286">
        <v>1379</v>
      </c>
      <c r="R512" s="286">
        <v>944</v>
      </c>
      <c r="S512" s="286">
        <v>435</v>
      </c>
      <c r="T512" s="286">
        <v>1264</v>
      </c>
      <c r="U512" s="286">
        <v>861</v>
      </c>
      <c r="V512" s="286">
        <v>403</v>
      </c>
      <c r="W512" s="286"/>
      <c r="X512" s="286"/>
      <c r="Y512" s="286"/>
      <c r="Z512" s="286"/>
      <c r="AA512" s="286"/>
      <c r="AB512" s="286"/>
      <c r="AC512" s="286"/>
      <c r="AD512" s="286"/>
      <c r="AE512" s="286"/>
      <c r="AF512" s="286"/>
      <c r="AG512" s="286"/>
      <c r="AH512" s="286"/>
      <c r="AI512" s="286"/>
      <c r="AJ512" s="286"/>
      <c r="AK512" s="286"/>
      <c r="AL512" s="286"/>
      <c r="AM512" s="286"/>
      <c r="AN512" s="286"/>
      <c r="AO512" s="286"/>
      <c r="AP512" s="286"/>
      <c r="AQ512" s="286"/>
      <c r="AR512" s="286"/>
      <c r="AS512" s="286"/>
      <c r="AT512" s="286"/>
      <c r="AU512" s="286"/>
      <c r="AV512" s="286"/>
      <c r="AW512" s="286"/>
      <c r="AX512" s="286"/>
      <c r="AY512" s="286"/>
      <c r="AZ512" s="286"/>
      <c r="BA512" s="286"/>
      <c r="BB512" s="286"/>
      <c r="BC512" s="286"/>
      <c r="BD512" s="286"/>
      <c r="BE512" s="286"/>
      <c r="BF512" s="286"/>
      <c r="BG512" s="286"/>
      <c r="BH512" s="286"/>
      <c r="BI512" s="286"/>
      <c r="BJ512" s="286"/>
      <c r="BK512" s="286"/>
      <c r="BL512" s="286"/>
      <c r="BM512" s="286"/>
      <c r="BN512" s="286"/>
      <c r="BO512" s="286"/>
      <c r="BP512" s="286"/>
      <c r="BQ512" s="286"/>
      <c r="BR512" s="286"/>
      <c r="BS512" s="286"/>
      <c r="BT512" s="286"/>
      <c r="BU512" s="286"/>
      <c r="BV512" s="286"/>
      <c r="BW512" s="286"/>
      <c r="BX512" s="286"/>
      <c r="BY512" s="286"/>
      <c r="BZ512" s="286"/>
      <c r="CA512" s="286"/>
      <c r="CB512" s="286"/>
      <c r="CC512" s="286"/>
      <c r="CD512" s="286"/>
      <c r="CE512" s="286"/>
      <c r="CF512" s="286"/>
      <c r="CG512" s="286"/>
      <c r="CH512" s="286"/>
      <c r="CI512" s="286"/>
      <c r="CJ512" s="286"/>
      <c r="CK512" s="286"/>
      <c r="CL512" s="286"/>
      <c r="CM512" s="286"/>
      <c r="CN512" s="286"/>
      <c r="CO512" s="286"/>
      <c r="CP512" s="286"/>
      <c r="CQ512" s="286"/>
      <c r="CR512" s="286"/>
      <c r="CS512" s="286"/>
      <c r="CT512" s="286"/>
      <c r="CU512" s="286"/>
      <c r="CV512" s="286"/>
      <c r="CW512" s="286"/>
      <c r="CX512" s="286"/>
      <c r="CY512" s="286"/>
      <c r="CZ512" s="286"/>
      <c r="DA512" s="286"/>
      <c r="DB512" s="286"/>
      <c r="DC512" s="286"/>
      <c r="DD512" s="286"/>
      <c r="DE512" s="286"/>
      <c r="DF512" s="286"/>
      <c r="DG512" s="286"/>
      <c r="DH512" s="286"/>
      <c r="DI512" s="286"/>
      <c r="DJ512" s="286"/>
      <c r="DK512" s="286"/>
      <c r="DL512" s="286"/>
      <c r="DM512" s="286"/>
      <c r="DN512" s="286"/>
      <c r="DO512" s="286"/>
      <c r="DP512" s="286"/>
      <c r="DQ512" s="286"/>
      <c r="DR512" s="286"/>
      <c r="DS512" s="286"/>
      <c r="DT512" s="286"/>
      <c r="DU512" s="286"/>
      <c r="DV512" s="286"/>
      <c r="DW512" s="286"/>
      <c r="DX512" s="286"/>
      <c r="DY512" s="286"/>
      <c r="DZ512" s="286"/>
      <c r="EA512" s="286"/>
      <c r="EB512" s="286"/>
      <c r="EC512" s="286"/>
      <c r="ED512" s="286"/>
      <c r="EE512" s="286"/>
      <c r="EF512" s="286"/>
      <c r="EG512" s="286"/>
      <c r="EH512" s="286"/>
      <c r="EI512" s="286"/>
      <c r="EJ512" s="286"/>
      <c r="EK512" s="286"/>
      <c r="EL512" s="286"/>
      <c r="EM512" s="286"/>
      <c r="EN512" s="286"/>
      <c r="EO512" s="286"/>
      <c r="EP512" s="286"/>
      <c r="EQ512" s="286"/>
      <c r="ER512" s="286"/>
      <c r="ES512" s="286"/>
      <c r="ET512" s="286"/>
      <c r="EU512" s="286"/>
      <c r="EV512" s="286"/>
      <c r="EW512" s="286"/>
      <c r="EX512" s="286"/>
      <c r="EY512" s="286"/>
      <c r="EZ512" s="286"/>
      <c r="FA512" s="286"/>
      <c r="FB512" s="286"/>
      <c r="FC512" s="286"/>
      <c r="FD512" s="286"/>
      <c r="FE512" s="286"/>
      <c r="FF512" s="286"/>
      <c r="FG512" s="286"/>
      <c r="FH512" s="286"/>
      <c r="FI512" s="286"/>
      <c r="FJ512" s="286"/>
      <c r="FK512" s="286"/>
      <c r="FL512" s="286"/>
      <c r="FM512" s="286"/>
      <c r="FN512" s="286"/>
      <c r="FO512" s="286"/>
      <c r="FP512" s="286"/>
      <c r="FQ512" s="286"/>
      <c r="FR512" s="286"/>
      <c r="FS512" s="286"/>
    </row>
    <row r="513" spans="1:175">
      <c r="A513" s="212" t="s">
        <v>3159</v>
      </c>
      <c r="B513" s="212" t="s">
        <v>3160</v>
      </c>
      <c r="C513" s="212" t="s">
        <v>3172</v>
      </c>
      <c r="D513" s="212" t="s">
        <v>3678</v>
      </c>
      <c r="E513" s="280" t="s">
        <v>3688</v>
      </c>
      <c r="F513" s="295">
        <v>642</v>
      </c>
      <c r="G513" s="295">
        <v>3519</v>
      </c>
      <c r="H513" s="287">
        <f t="shared" si="7"/>
        <v>2.4438761011651038</v>
      </c>
      <c r="I513" s="286">
        <v>23</v>
      </c>
      <c r="J513" s="286">
        <v>86</v>
      </c>
      <c r="K513" s="286">
        <v>61</v>
      </c>
      <c r="L513" s="286">
        <v>25</v>
      </c>
      <c r="M513" s="286">
        <v>50</v>
      </c>
      <c r="N513" s="286">
        <v>38</v>
      </c>
      <c r="O513" s="286">
        <v>12</v>
      </c>
      <c r="P513" s="286">
        <v>23</v>
      </c>
      <c r="Q513" s="286">
        <v>86</v>
      </c>
      <c r="R513" s="286">
        <v>61</v>
      </c>
      <c r="S513" s="286">
        <v>25</v>
      </c>
      <c r="T513" s="286">
        <v>50</v>
      </c>
      <c r="U513" s="286">
        <v>38</v>
      </c>
      <c r="V513" s="286">
        <v>12</v>
      </c>
      <c r="W513" s="286"/>
      <c r="X513" s="286"/>
      <c r="Y513" s="286"/>
      <c r="Z513" s="286"/>
      <c r="AA513" s="286"/>
      <c r="AB513" s="286"/>
      <c r="AC513" s="286"/>
      <c r="AD513" s="286"/>
      <c r="AE513" s="286"/>
      <c r="AF513" s="286"/>
      <c r="AG513" s="286"/>
      <c r="AH513" s="286"/>
      <c r="AI513" s="286"/>
      <c r="AJ513" s="286"/>
      <c r="AK513" s="286"/>
      <c r="AL513" s="286"/>
      <c r="AM513" s="286"/>
      <c r="AN513" s="286"/>
      <c r="AO513" s="286"/>
      <c r="AP513" s="286"/>
      <c r="AQ513" s="286"/>
      <c r="AR513" s="286"/>
      <c r="AS513" s="286"/>
      <c r="AT513" s="286"/>
      <c r="AU513" s="286"/>
      <c r="AV513" s="286"/>
      <c r="AW513" s="286"/>
      <c r="AX513" s="286"/>
      <c r="AY513" s="286"/>
      <c r="AZ513" s="286"/>
      <c r="BA513" s="286"/>
      <c r="BB513" s="286"/>
      <c r="BC513" s="286"/>
      <c r="BD513" s="286"/>
      <c r="BE513" s="286"/>
      <c r="BF513" s="286"/>
      <c r="BG513" s="286"/>
      <c r="BH513" s="286"/>
      <c r="BI513" s="286"/>
      <c r="BJ513" s="286"/>
      <c r="BK513" s="286"/>
      <c r="BL513" s="286"/>
      <c r="BM513" s="286"/>
      <c r="BN513" s="286"/>
      <c r="BO513" s="286"/>
      <c r="BP513" s="286"/>
      <c r="BQ513" s="286"/>
      <c r="BR513" s="286"/>
      <c r="BS513" s="286"/>
      <c r="BT513" s="286"/>
      <c r="BU513" s="286"/>
      <c r="BV513" s="286"/>
      <c r="BW513" s="286"/>
      <c r="BX513" s="286"/>
      <c r="BY513" s="286"/>
      <c r="BZ513" s="286"/>
      <c r="CA513" s="286"/>
      <c r="CB513" s="286"/>
      <c r="CC513" s="286"/>
      <c r="CD513" s="286"/>
      <c r="CE513" s="286"/>
      <c r="CF513" s="286"/>
      <c r="CG513" s="286"/>
      <c r="CH513" s="286"/>
      <c r="CI513" s="286"/>
      <c r="CJ513" s="286"/>
      <c r="CK513" s="286"/>
      <c r="CL513" s="286"/>
      <c r="CM513" s="286"/>
      <c r="CN513" s="286"/>
      <c r="CO513" s="286"/>
      <c r="CP513" s="286"/>
      <c r="CQ513" s="286"/>
      <c r="CR513" s="286"/>
      <c r="CS513" s="286"/>
      <c r="CT513" s="286"/>
      <c r="CU513" s="286"/>
      <c r="CV513" s="286"/>
      <c r="CW513" s="286"/>
      <c r="CX513" s="286"/>
      <c r="CY513" s="286"/>
      <c r="CZ513" s="286"/>
      <c r="DA513" s="286"/>
      <c r="DB513" s="286"/>
      <c r="DC513" s="286"/>
      <c r="DD513" s="286"/>
      <c r="DE513" s="286"/>
      <c r="DF513" s="286"/>
      <c r="DG513" s="286"/>
      <c r="DH513" s="286"/>
      <c r="DI513" s="286"/>
      <c r="DJ513" s="286"/>
      <c r="DK513" s="286"/>
      <c r="DL513" s="286"/>
      <c r="DM513" s="286"/>
      <c r="DN513" s="286"/>
      <c r="DO513" s="286"/>
      <c r="DP513" s="286"/>
      <c r="DQ513" s="286"/>
      <c r="DR513" s="286"/>
      <c r="DS513" s="286"/>
      <c r="DT513" s="286"/>
      <c r="DU513" s="286"/>
      <c r="DV513" s="286"/>
      <c r="DW513" s="286"/>
      <c r="DX513" s="286"/>
      <c r="DY513" s="286"/>
      <c r="DZ513" s="286"/>
      <c r="EA513" s="286"/>
      <c r="EB513" s="286"/>
      <c r="EC513" s="286"/>
      <c r="ED513" s="286"/>
      <c r="EE513" s="286"/>
      <c r="EF513" s="286"/>
      <c r="EG513" s="286"/>
      <c r="EH513" s="286"/>
      <c r="EI513" s="286"/>
      <c r="EJ513" s="286"/>
      <c r="EK513" s="286"/>
      <c r="EL513" s="286"/>
      <c r="EM513" s="286"/>
      <c r="EN513" s="286"/>
      <c r="EO513" s="286"/>
      <c r="EP513" s="286"/>
      <c r="EQ513" s="286"/>
      <c r="ER513" s="286"/>
      <c r="ES513" s="286"/>
      <c r="ET513" s="286"/>
      <c r="EU513" s="286"/>
      <c r="EV513" s="286"/>
      <c r="EW513" s="286"/>
      <c r="EX513" s="286"/>
      <c r="EY513" s="286"/>
      <c r="EZ513" s="286"/>
      <c r="FA513" s="286"/>
      <c r="FB513" s="286"/>
      <c r="FC513" s="286"/>
      <c r="FD513" s="286"/>
      <c r="FE513" s="286"/>
      <c r="FF513" s="286"/>
      <c r="FG513" s="286"/>
      <c r="FH513" s="286"/>
      <c r="FI513" s="286"/>
      <c r="FJ513" s="286"/>
      <c r="FK513" s="286"/>
      <c r="FL513" s="286"/>
      <c r="FM513" s="286"/>
      <c r="FN513" s="286"/>
      <c r="FO513" s="286"/>
      <c r="FP513" s="286"/>
      <c r="FQ513" s="286"/>
      <c r="FR513" s="286"/>
      <c r="FS513" s="286"/>
    </row>
    <row r="514" spans="1:175">
      <c r="A514" s="212" t="s">
        <v>3159</v>
      </c>
      <c r="B514" s="212" t="s">
        <v>3160</v>
      </c>
      <c r="C514" s="212" t="s">
        <v>3172</v>
      </c>
      <c r="D514" s="212" t="s">
        <v>3678</v>
      </c>
      <c r="E514" s="212" t="s">
        <v>3689</v>
      </c>
      <c r="F514" s="278">
        <v>9694</v>
      </c>
      <c r="G514" s="278">
        <v>87970</v>
      </c>
      <c r="H514" s="287">
        <f t="shared" si="7"/>
        <v>4.5526884165056272</v>
      </c>
      <c r="I514" s="286">
        <v>422</v>
      </c>
      <c r="J514" s="286">
        <v>4005</v>
      </c>
      <c r="K514" s="286">
        <v>2061</v>
      </c>
      <c r="L514" s="286">
        <v>1919</v>
      </c>
      <c r="M514" s="286">
        <v>3513</v>
      </c>
      <c r="N514" s="286">
        <v>1783</v>
      </c>
      <c r="O514" s="286">
        <v>1705</v>
      </c>
      <c r="P514" s="286">
        <v>422</v>
      </c>
      <c r="Q514" s="286">
        <v>4005</v>
      </c>
      <c r="R514" s="286">
        <v>2061</v>
      </c>
      <c r="S514" s="286">
        <v>1919</v>
      </c>
      <c r="T514" s="286">
        <v>3513</v>
      </c>
      <c r="U514" s="286">
        <v>1783</v>
      </c>
      <c r="V514" s="286">
        <v>1705</v>
      </c>
      <c r="W514" s="286"/>
      <c r="X514" s="286"/>
      <c r="Y514" s="286"/>
      <c r="Z514" s="286"/>
      <c r="AA514" s="286"/>
      <c r="AB514" s="286"/>
      <c r="AC514" s="286"/>
      <c r="AD514" s="286"/>
      <c r="AE514" s="286"/>
      <c r="AF514" s="286"/>
      <c r="AG514" s="286"/>
      <c r="AH514" s="286"/>
      <c r="AI514" s="286"/>
      <c r="AJ514" s="286"/>
      <c r="AK514" s="286"/>
      <c r="AL514" s="286"/>
      <c r="AM514" s="286"/>
      <c r="AN514" s="286"/>
      <c r="AO514" s="286"/>
      <c r="AP514" s="286"/>
      <c r="AQ514" s="286"/>
      <c r="AR514" s="286"/>
      <c r="AS514" s="286"/>
      <c r="AT514" s="286"/>
      <c r="AU514" s="286"/>
      <c r="AV514" s="286"/>
      <c r="AW514" s="286"/>
      <c r="AX514" s="286"/>
      <c r="AY514" s="286"/>
      <c r="AZ514" s="286"/>
      <c r="BA514" s="286"/>
      <c r="BB514" s="286"/>
      <c r="BC514" s="286"/>
      <c r="BD514" s="286"/>
      <c r="BE514" s="286"/>
      <c r="BF514" s="286"/>
      <c r="BG514" s="286"/>
      <c r="BH514" s="286"/>
      <c r="BI514" s="286"/>
      <c r="BJ514" s="286"/>
      <c r="BK514" s="286"/>
      <c r="BL514" s="286"/>
      <c r="BM514" s="286"/>
      <c r="BN514" s="286"/>
      <c r="BO514" s="286"/>
      <c r="BP514" s="286"/>
      <c r="BQ514" s="286"/>
      <c r="BR514" s="286"/>
      <c r="BS514" s="286"/>
      <c r="BT514" s="286"/>
      <c r="BU514" s="286"/>
      <c r="BV514" s="286"/>
      <c r="BW514" s="286"/>
      <c r="BX514" s="286"/>
      <c r="BY514" s="286"/>
      <c r="BZ514" s="286"/>
      <c r="CA514" s="286"/>
      <c r="CB514" s="286"/>
      <c r="CC514" s="286"/>
      <c r="CD514" s="286"/>
      <c r="CE514" s="286"/>
      <c r="CF514" s="286"/>
      <c r="CG514" s="286"/>
      <c r="CH514" s="286"/>
      <c r="CI514" s="286"/>
      <c r="CJ514" s="286"/>
      <c r="CK514" s="286"/>
      <c r="CL514" s="286"/>
      <c r="CM514" s="286"/>
      <c r="CN514" s="286"/>
      <c r="CO514" s="286"/>
      <c r="CP514" s="286"/>
      <c r="CQ514" s="286"/>
      <c r="CR514" s="286"/>
      <c r="CS514" s="286"/>
      <c r="CT514" s="286"/>
      <c r="CU514" s="286"/>
      <c r="CV514" s="286"/>
      <c r="CW514" s="286"/>
      <c r="CX514" s="286"/>
      <c r="CY514" s="286"/>
      <c r="CZ514" s="286"/>
      <c r="DA514" s="286"/>
      <c r="DB514" s="286"/>
      <c r="DC514" s="286"/>
      <c r="DD514" s="286"/>
      <c r="DE514" s="286"/>
      <c r="DF514" s="286"/>
      <c r="DG514" s="286"/>
      <c r="DH514" s="286"/>
      <c r="DI514" s="286"/>
      <c r="DJ514" s="286"/>
      <c r="DK514" s="286"/>
      <c r="DL514" s="286"/>
      <c r="DM514" s="286"/>
      <c r="DN514" s="286"/>
      <c r="DO514" s="286"/>
      <c r="DP514" s="286"/>
      <c r="DQ514" s="286"/>
      <c r="DR514" s="286"/>
      <c r="DS514" s="286"/>
      <c r="DT514" s="286"/>
      <c r="DU514" s="286"/>
      <c r="DV514" s="286"/>
      <c r="DW514" s="286"/>
      <c r="DX514" s="286"/>
      <c r="DY514" s="286"/>
      <c r="DZ514" s="286"/>
      <c r="EA514" s="286"/>
      <c r="EB514" s="286"/>
      <c r="EC514" s="286"/>
      <c r="ED514" s="286"/>
      <c r="EE514" s="286"/>
      <c r="EF514" s="286"/>
      <c r="EG514" s="286"/>
      <c r="EH514" s="286"/>
      <c r="EI514" s="286"/>
      <c r="EJ514" s="286"/>
      <c r="EK514" s="286"/>
      <c r="EL514" s="286"/>
      <c r="EM514" s="286"/>
      <c r="EN514" s="286"/>
      <c r="EO514" s="286"/>
      <c r="EP514" s="286"/>
      <c r="EQ514" s="286"/>
      <c r="ER514" s="286"/>
      <c r="ES514" s="286"/>
      <c r="ET514" s="286"/>
      <c r="EU514" s="286"/>
      <c r="EV514" s="286"/>
      <c r="EW514" s="286"/>
      <c r="EX514" s="286"/>
      <c r="EY514" s="286"/>
      <c r="EZ514" s="286"/>
      <c r="FA514" s="286"/>
      <c r="FB514" s="286"/>
      <c r="FC514" s="286"/>
      <c r="FD514" s="286"/>
      <c r="FE514" s="286"/>
      <c r="FF514" s="286"/>
      <c r="FG514" s="286"/>
      <c r="FH514" s="286"/>
      <c r="FI514" s="286"/>
      <c r="FJ514" s="286"/>
      <c r="FK514" s="286"/>
      <c r="FL514" s="286"/>
      <c r="FM514" s="286"/>
      <c r="FN514" s="286"/>
      <c r="FO514" s="286"/>
      <c r="FP514" s="286"/>
      <c r="FQ514" s="286"/>
      <c r="FR514" s="286"/>
      <c r="FS514" s="286"/>
    </row>
    <row r="515" spans="1:175">
      <c r="A515" s="212" t="s">
        <v>3159</v>
      </c>
      <c r="B515" s="212" t="s">
        <v>3160</v>
      </c>
      <c r="C515" s="212" t="s">
        <v>3432</v>
      </c>
      <c r="D515" s="212" t="s">
        <v>3678</v>
      </c>
      <c r="E515" s="212" t="s">
        <v>3690</v>
      </c>
      <c r="F515" s="278">
        <v>637</v>
      </c>
      <c r="G515" s="278">
        <v>10363</v>
      </c>
      <c r="H515" s="287">
        <f t="shared" si="7"/>
        <v>4.680111936697867</v>
      </c>
      <c r="I515" s="286">
        <v>28</v>
      </c>
      <c r="J515" s="286">
        <v>485</v>
      </c>
      <c r="K515" s="286">
        <v>230</v>
      </c>
      <c r="L515" s="286">
        <v>237</v>
      </c>
      <c r="M515" s="286">
        <v>393</v>
      </c>
      <c r="N515" s="286">
        <v>194</v>
      </c>
      <c r="O515" s="286">
        <v>181</v>
      </c>
      <c r="P515" s="286">
        <v>28</v>
      </c>
      <c r="Q515" s="286">
        <v>485</v>
      </c>
      <c r="R515" s="286">
        <v>230</v>
      </c>
      <c r="S515" s="286">
        <v>237</v>
      </c>
      <c r="T515" s="286">
        <v>393</v>
      </c>
      <c r="U515" s="286">
        <v>194</v>
      </c>
      <c r="V515" s="286">
        <v>181</v>
      </c>
      <c r="W515" s="286"/>
      <c r="X515" s="286"/>
      <c r="Y515" s="286"/>
      <c r="Z515" s="286"/>
      <c r="AA515" s="286"/>
      <c r="AB515" s="286"/>
      <c r="AC515" s="286"/>
      <c r="AD515" s="286"/>
      <c r="AE515" s="286"/>
      <c r="AF515" s="286"/>
      <c r="AG515" s="286"/>
      <c r="AH515" s="286"/>
      <c r="AI515" s="286"/>
      <c r="AJ515" s="286"/>
      <c r="AK515" s="286"/>
      <c r="AL515" s="286"/>
      <c r="AM515" s="286"/>
      <c r="AN515" s="286"/>
      <c r="AO515" s="286"/>
      <c r="AP515" s="286"/>
      <c r="AQ515" s="286"/>
      <c r="AR515" s="286"/>
      <c r="AS515" s="286"/>
      <c r="AT515" s="286"/>
      <c r="AU515" s="286"/>
      <c r="AV515" s="286"/>
      <c r="AW515" s="286"/>
      <c r="AX515" s="286"/>
      <c r="AY515" s="286"/>
      <c r="AZ515" s="286"/>
      <c r="BA515" s="286"/>
      <c r="BB515" s="286"/>
      <c r="BC515" s="286"/>
      <c r="BD515" s="286"/>
      <c r="BE515" s="286"/>
      <c r="BF515" s="286"/>
      <c r="BG515" s="286"/>
      <c r="BH515" s="286"/>
      <c r="BI515" s="286"/>
      <c r="BJ515" s="286"/>
      <c r="BK515" s="286"/>
      <c r="BL515" s="286"/>
      <c r="BM515" s="286"/>
      <c r="BN515" s="286"/>
      <c r="BO515" s="286"/>
      <c r="BP515" s="286"/>
      <c r="BQ515" s="286"/>
      <c r="BR515" s="286"/>
      <c r="BS515" s="286"/>
      <c r="BT515" s="286"/>
      <c r="BU515" s="286"/>
      <c r="BV515" s="286"/>
      <c r="BW515" s="286"/>
      <c r="BX515" s="286"/>
      <c r="BY515" s="286"/>
      <c r="BZ515" s="286"/>
      <c r="CA515" s="286"/>
      <c r="CB515" s="286"/>
      <c r="CC515" s="286"/>
      <c r="CD515" s="286"/>
      <c r="CE515" s="286"/>
      <c r="CF515" s="286"/>
      <c r="CG515" s="286"/>
      <c r="CH515" s="286"/>
      <c r="CI515" s="286"/>
      <c r="CJ515" s="286"/>
      <c r="CK515" s="286"/>
      <c r="CL515" s="286"/>
      <c r="CM515" s="286"/>
      <c r="CN515" s="286"/>
      <c r="CO515" s="286"/>
      <c r="CP515" s="286"/>
      <c r="CQ515" s="286"/>
      <c r="CR515" s="286"/>
      <c r="CS515" s="286"/>
      <c r="CT515" s="286"/>
      <c r="CU515" s="286"/>
      <c r="CV515" s="286"/>
      <c r="CW515" s="286"/>
      <c r="CX515" s="286"/>
      <c r="CY515" s="286"/>
      <c r="CZ515" s="286"/>
      <c r="DA515" s="286"/>
      <c r="DB515" s="286"/>
      <c r="DC515" s="286"/>
      <c r="DD515" s="286"/>
      <c r="DE515" s="286"/>
      <c r="DF515" s="286"/>
      <c r="DG515" s="286"/>
      <c r="DH515" s="286"/>
      <c r="DI515" s="286"/>
      <c r="DJ515" s="286"/>
      <c r="DK515" s="286"/>
      <c r="DL515" s="286"/>
      <c r="DM515" s="286"/>
      <c r="DN515" s="286"/>
      <c r="DO515" s="286"/>
      <c r="DP515" s="286"/>
      <c r="DQ515" s="286"/>
      <c r="DR515" s="286"/>
      <c r="DS515" s="286"/>
      <c r="DT515" s="286"/>
      <c r="DU515" s="286"/>
      <c r="DV515" s="286"/>
      <c r="DW515" s="286"/>
      <c r="DX515" s="286"/>
      <c r="DY515" s="286"/>
      <c r="DZ515" s="286"/>
      <c r="EA515" s="286"/>
      <c r="EB515" s="286"/>
      <c r="EC515" s="286"/>
      <c r="ED515" s="286"/>
      <c r="EE515" s="286"/>
      <c r="EF515" s="286"/>
      <c r="EG515" s="286"/>
      <c r="EH515" s="286"/>
      <c r="EI515" s="286"/>
      <c r="EJ515" s="286"/>
      <c r="EK515" s="286"/>
      <c r="EL515" s="286"/>
      <c r="EM515" s="286"/>
      <c r="EN515" s="286"/>
      <c r="EO515" s="286"/>
      <c r="EP515" s="286"/>
      <c r="EQ515" s="286"/>
      <c r="ER515" s="286"/>
      <c r="ES515" s="286"/>
      <c r="ET515" s="286"/>
      <c r="EU515" s="286"/>
      <c r="EV515" s="286"/>
      <c r="EW515" s="286"/>
      <c r="EX515" s="286"/>
      <c r="EY515" s="286"/>
      <c r="EZ515" s="286"/>
      <c r="FA515" s="286"/>
      <c r="FB515" s="286"/>
      <c r="FC515" s="286"/>
      <c r="FD515" s="286"/>
      <c r="FE515" s="286"/>
      <c r="FF515" s="286"/>
      <c r="FG515" s="286"/>
      <c r="FH515" s="286"/>
      <c r="FI515" s="286"/>
      <c r="FJ515" s="286"/>
      <c r="FK515" s="286"/>
      <c r="FL515" s="286"/>
      <c r="FM515" s="286"/>
      <c r="FN515" s="286"/>
      <c r="FO515" s="286"/>
      <c r="FP515" s="286"/>
      <c r="FQ515" s="286"/>
      <c r="FR515" s="286"/>
      <c r="FS515" s="286"/>
    </row>
    <row r="516" spans="1:175">
      <c r="A516" s="212" t="s">
        <v>3159</v>
      </c>
      <c r="B516" s="212" t="s">
        <v>3160</v>
      </c>
      <c r="C516" s="212" t="s">
        <v>3432</v>
      </c>
      <c r="D516" s="212" t="s">
        <v>3678</v>
      </c>
      <c r="E516" s="212" t="s">
        <v>3691</v>
      </c>
      <c r="F516" s="278">
        <v>9057</v>
      </c>
      <c r="G516" s="278">
        <v>77607</v>
      </c>
      <c r="H516" s="287">
        <f t="shared" si="7"/>
        <v>4.535673328436868</v>
      </c>
      <c r="I516" s="286">
        <v>394</v>
      </c>
      <c r="J516" s="286">
        <v>3520</v>
      </c>
      <c r="K516" s="286">
        <v>1831</v>
      </c>
      <c r="L516" s="286">
        <v>1682</v>
      </c>
      <c r="M516" s="286">
        <v>3120</v>
      </c>
      <c r="N516" s="286">
        <v>1589</v>
      </c>
      <c r="O516" s="286">
        <v>1524</v>
      </c>
      <c r="P516" s="286">
        <v>394</v>
      </c>
      <c r="Q516" s="286">
        <v>3520</v>
      </c>
      <c r="R516" s="286">
        <v>1831</v>
      </c>
      <c r="S516" s="286">
        <v>1682</v>
      </c>
      <c r="T516" s="286">
        <v>3120</v>
      </c>
      <c r="U516" s="286">
        <v>1589</v>
      </c>
      <c r="V516" s="286">
        <v>1524</v>
      </c>
      <c r="W516" s="286"/>
      <c r="X516" s="286"/>
      <c r="Y516" s="286"/>
      <c r="Z516" s="286"/>
      <c r="AA516" s="286"/>
      <c r="AB516" s="286"/>
      <c r="AC516" s="286"/>
      <c r="AD516" s="286"/>
      <c r="AE516" s="286"/>
      <c r="AF516" s="286"/>
      <c r="AG516" s="286"/>
      <c r="AH516" s="286"/>
      <c r="AI516" s="286"/>
      <c r="AJ516" s="286"/>
      <c r="AK516" s="286"/>
      <c r="AL516" s="286"/>
      <c r="AM516" s="286"/>
      <c r="AN516" s="286"/>
      <c r="AO516" s="286"/>
      <c r="AP516" s="286"/>
      <c r="AQ516" s="286"/>
      <c r="AR516" s="286"/>
      <c r="AS516" s="286"/>
      <c r="AT516" s="286"/>
      <c r="AU516" s="286"/>
      <c r="AV516" s="286"/>
      <c r="AW516" s="286"/>
      <c r="AX516" s="286"/>
      <c r="AY516" s="286"/>
      <c r="AZ516" s="286"/>
      <c r="BA516" s="286"/>
      <c r="BB516" s="286"/>
      <c r="BC516" s="286"/>
      <c r="BD516" s="286"/>
      <c r="BE516" s="286"/>
      <c r="BF516" s="286"/>
      <c r="BG516" s="286"/>
      <c r="BH516" s="286"/>
      <c r="BI516" s="286"/>
      <c r="BJ516" s="286"/>
      <c r="BK516" s="286"/>
      <c r="BL516" s="286"/>
      <c r="BM516" s="286"/>
      <c r="BN516" s="286"/>
      <c r="BO516" s="286"/>
      <c r="BP516" s="286"/>
      <c r="BQ516" s="286"/>
      <c r="BR516" s="286"/>
      <c r="BS516" s="286"/>
      <c r="BT516" s="286"/>
      <c r="BU516" s="286"/>
      <c r="BV516" s="286"/>
      <c r="BW516" s="286"/>
      <c r="BX516" s="286"/>
      <c r="BY516" s="286"/>
      <c r="BZ516" s="286"/>
      <c r="CA516" s="286"/>
      <c r="CB516" s="286"/>
      <c r="CC516" s="286"/>
      <c r="CD516" s="286"/>
      <c r="CE516" s="286"/>
      <c r="CF516" s="286"/>
      <c r="CG516" s="286"/>
      <c r="CH516" s="286"/>
      <c r="CI516" s="286"/>
      <c r="CJ516" s="286"/>
      <c r="CK516" s="286"/>
      <c r="CL516" s="286"/>
      <c r="CM516" s="286"/>
      <c r="CN516" s="286"/>
      <c r="CO516" s="286"/>
      <c r="CP516" s="286"/>
      <c r="CQ516" s="286"/>
      <c r="CR516" s="286"/>
      <c r="CS516" s="286"/>
      <c r="CT516" s="286"/>
      <c r="CU516" s="286"/>
      <c r="CV516" s="286"/>
      <c r="CW516" s="286"/>
      <c r="CX516" s="286"/>
      <c r="CY516" s="286"/>
      <c r="CZ516" s="286"/>
      <c r="DA516" s="286"/>
      <c r="DB516" s="286"/>
      <c r="DC516" s="286"/>
      <c r="DD516" s="286"/>
      <c r="DE516" s="286"/>
      <c r="DF516" s="286"/>
      <c r="DG516" s="286"/>
      <c r="DH516" s="286"/>
      <c r="DI516" s="286"/>
      <c r="DJ516" s="286"/>
      <c r="DK516" s="286"/>
      <c r="DL516" s="286"/>
      <c r="DM516" s="286"/>
      <c r="DN516" s="286"/>
      <c r="DO516" s="286"/>
      <c r="DP516" s="286"/>
      <c r="DQ516" s="286"/>
      <c r="DR516" s="286"/>
      <c r="DS516" s="286"/>
      <c r="DT516" s="286"/>
      <c r="DU516" s="286"/>
      <c r="DV516" s="286"/>
      <c r="DW516" s="286"/>
      <c r="DX516" s="286"/>
      <c r="DY516" s="286"/>
      <c r="DZ516" s="286"/>
      <c r="EA516" s="286"/>
      <c r="EB516" s="286"/>
      <c r="EC516" s="286"/>
      <c r="ED516" s="286"/>
      <c r="EE516" s="286"/>
      <c r="EF516" s="286"/>
      <c r="EG516" s="286"/>
      <c r="EH516" s="286"/>
      <c r="EI516" s="286"/>
      <c r="EJ516" s="286"/>
      <c r="EK516" s="286"/>
      <c r="EL516" s="286"/>
      <c r="EM516" s="286"/>
      <c r="EN516" s="286"/>
      <c r="EO516" s="286"/>
      <c r="EP516" s="286"/>
      <c r="EQ516" s="286"/>
      <c r="ER516" s="286"/>
      <c r="ES516" s="286"/>
      <c r="ET516" s="286"/>
      <c r="EU516" s="286"/>
      <c r="EV516" s="286"/>
      <c r="EW516" s="286"/>
      <c r="EX516" s="286"/>
      <c r="EY516" s="286"/>
      <c r="EZ516" s="286"/>
      <c r="FA516" s="286"/>
      <c r="FB516" s="286"/>
      <c r="FC516" s="286"/>
      <c r="FD516" s="286"/>
      <c r="FE516" s="286"/>
      <c r="FF516" s="286"/>
      <c r="FG516" s="286"/>
      <c r="FH516" s="286"/>
      <c r="FI516" s="286"/>
      <c r="FJ516" s="286"/>
      <c r="FK516" s="286"/>
      <c r="FL516" s="286"/>
      <c r="FM516" s="286"/>
      <c r="FN516" s="286"/>
      <c r="FO516" s="286"/>
      <c r="FP516" s="286"/>
      <c r="FQ516" s="286"/>
      <c r="FR516" s="286"/>
      <c r="FS516" s="286"/>
    </row>
    <row r="517" spans="1:175">
      <c r="A517" s="212" t="s">
        <v>3159</v>
      </c>
      <c r="B517" s="212" t="s">
        <v>3160</v>
      </c>
      <c r="C517" s="212" t="s">
        <v>3168</v>
      </c>
      <c r="D517" s="212" t="s">
        <v>3692</v>
      </c>
      <c r="E517" s="212" t="s">
        <v>3693</v>
      </c>
      <c r="F517" s="278">
        <v>256079</v>
      </c>
      <c r="G517" s="278">
        <v>2218223</v>
      </c>
      <c r="H517" s="287">
        <f t="shared" si="7"/>
        <v>3.2698245397329302</v>
      </c>
      <c r="I517" s="286">
        <v>9302</v>
      </c>
      <c r="J517" s="286">
        <v>72532</v>
      </c>
      <c r="K517" s="286">
        <v>49140</v>
      </c>
      <c r="L517" s="286">
        <v>23240</v>
      </c>
      <c r="M517" s="286">
        <v>60445</v>
      </c>
      <c r="N517" s="286">
        <v>40290</v>
      </c>
      <c r="O517" s="286">
        <v>20024</v>
      </c>
      <c r="P517" s="286">
        <v>9183</v>
      </c>
      <c r="Q517" s="286">
        <v>68990</v>
      </c>
      <c r="R517" s="286">
        <v>46425</v>
      </c>
      <c r="S517" s="286">
        <v>22413</v>
      </c>
      <c r="T517" s="286">
        <v>56904</v>
      </c>
      <c r="U517" s="286">
        <v>37575</v>
      </c>
      <c r="V517" s="286">
        <v>19198</v>
      </c>
      <c r="W517" s="286"/>
      <c r="X517" s="286"/>
      <c r="Y517" s="286"/>
      <c r="Z517" s="286"/>
      <c r="AA517" s="286"/>
      <c r="AB517" s="286"/>
      <c r="AC517" s="286"/>
      <c r="AD517" s="286"/>
      <c r="AE517" s="286"/>
      <c r="AF517" s="286"/>
      <c r="AG517" s="286"/>
      <c r="AH517" s="286"/>
      <c r="AI517" s="286"/>
      <c r="AJ517" s="286"/>
      <c r="AK517" s="286"/>
      <c r="AL517" s="286"/>
      <c r="AM517" s="286"/>
      <c r="AN517" s="286"/>
      <c r="AO517" s="286"/>
      <c r="AP517" s="286"/>
      <c r="AQ517" s="286"/>
      <c r="AR517" s="286"/>
      <c r="AS517" s="286"/>
      <c r="AT517" s="286"/>
      <c r="AU517" s="286"/>
      <c r="AV517" s="286"/>
      <c r="AW517" s="286"/>
      <c r="AX517" s="286"/>
      <c r="AY517" s="286"/>
      <c r="AZ517" s="286"/>
      <c r="BA517" s="286"/>
      <c r="BB517" s="286"/>
      <c r="BC517" s="286"/>
      <c r="BD517" s="286"/>
      <c r="BE517" s="286"/>
      <c r="BF517" s="286"/>
      <c r="BG517" s="286"/>
      <c r="BH517" s="286"/>
      <c r="BI517" s="286"/>
      <c r="BJ517" s="286"/>
      <c r="BK517" s="286"/>
      <c r="BL517" s="286"/>
      <c r="BM517" s="286"/>
      <c r="BN517" s="286"/>
      <c r="BO517" s="286"/>
      <c r="BP517" s="286"/>
      <c r="BQ517" s="286"/>
      <c r="BR517" s="286"/>
      <c r="BS517" s="286"/>
      <c r="BT517" s="286"/>
      <c r="BU517" s="286"/>
      <c r="BV517" s="286"/>
      <c r="BW517" s="286"/>
      <c r="BX517" s="286"/>
      <c r="BY517" s="286"/>
      <c r="BZ517" s="286"/>
      <c r="CA517" s="286"/>
      <c r="CB517" s="286"/>
      <c r="CC517" s="286"/>
      <c r="CD517" s="286"/>
      <c r="CE517" s="286"/>
      <c r="CF517" s="286"/>
      <c r="CG517" s="286"/>
      <c r="CH517" s="286"/>
      <c r="CI517" s="286"/>
      <c r="CJ517" s="286"/>
      <c r="CK517" s="286"/>
      <c r="CL517" s="286"/>
      <c r="CM517" s="286"/>
      <c r="CN517" s="286"/>
      <c r="CO517" s="286"/>
      <c r="CP517" s="286"/>
      <c r="CQ517" s="286"/>
      <c r="CR517" s="286"/>
      <c r="CS517" s="286"/>
      <c r="CT517" s="286"/>
      <c r="CU517" s="286"/>
      <c r="CV517" s="286"/>
      <c r="CW517" s="286"/>
      <c r="CX517" s="286"/>
      <c r="CY517" s="286"/>
      <c r="CZ517" s="286"/>
      <c r="DA517" s="286"/>
      <c r="DB517" s="286"/>
      <c r="DC517" s="286"/>
      <c r="DD517" s="286"/>
      <c r="DE517" s="286"/>
      <c r="DF517" s="286"/>
      <c r="DG517" s="286"/>
      <c r="DH517" s="286"/>
      <c r="DI517" s="286"/>
      <c r="DJ517" s="286"/>
      <c r="DK517" s="286"/>
      <c r="DL517" s="286"/>
      <c r="DM517" s="286"/>
      <c r="DN517" s="286"/>
      <c r="DO517" s="286"/>
      <c r="DP517" s="286"/>
      <c r="DQ517" s="286"/>
      <c r="DR517" s="286"/>
      <c r="DS517" s="286"/>
      <c r="DT517" s="286"/>
      <c r="DU517" s="286"/>
      <c r="DV517" s="286"/>
      <c r="DW517" s="286"/>
      <c r="DX517" s="286"/>
      <c r="DY517" s="286"/>
      <c r="DZ517" s="286"/>
      <c r="EA517" s="286"/>
      <c r="EB517" s="286"/>
      <c r="EC517" s="286"/>
      <c r="ED517" s="286"/>
      <c r="EE517" s="286"/>
      <c r="EF517" s="286"/>
      <c r="EG517" s="286"/>
      <c r="EH517" s="286"/>
      <c r="EI517" s="286"/>
      <c r="EJ517" s="286"/>
      <c r="EK517" s="286"/>
      <c r="EL517" s="286"/>
      <c r="EM517" s="286"/>
      <c r="EN517" s="286"/>
      <c r="EO517" s="286"/>
      <c r="EP517" s="286"/>
      <c r="EQ517" s="286"/>
      <c r="ER517" s="286"/>
      <c r="ES517" s="286"/>
      <c r="ET517" s="286"/>
      <c r="EU517" s="286"/>
      <c r="EV517" s="286"/>
      <c r="EW517" s="286"/>
      <c r="EX517" s="286"/>
      <c r="EY517" s="286"/>
      <c r="EZ517" s="286"/>
      <c r="FA517" s="286"/>
      <c r="FB517" s="286"/>
      <c r="FC517" s="286"/>
      <c r="FD517" s="286"/>
      <c r="FE517" s="286"/>
      <c r="FF517" s="286"/>
      <c r="FG517" s="286"/>
      <c r="FH517" s="286"/>
      <c r="FI517" s="286"/>
      <c r="FJ517" s="286"/>
      <c r="FK517" s="286"/>
      <c r="FL517" s="286"/>
      <c r="FM517" s="286"/>
      <c r="FN517" s="286"/>
      <c r="FO517" s="286"/>
      <c r="FP517" s="286"/>
      <c r="FQ517" s="286"/>
      <c r="FR517" s="286"/>
      <c r="FS517" s="286"/>
    </row>
    <row r="518" spans="1:175">
      <c r="A518" s="212" t="s">
        <v>3159</v>
      </c>
      <c r="B518" s="212" t="s">
        <v>3160</v>
      </c>
      <c r="C518" s="212" t="s">
        <v>3170</v>
      </c>
      <c r="D518" s="212" t="s">
        <v>3692</v>
      </c>
      <c r="E518" s="212" t="s">
        <v>3694</v>
      </c>
      <c r="F518" s="278">
        <v>7219</v>
      </c>
      <c r="G518" s="278">
        <v>310334</v>
      </c>
      <c r="H518" s="287">
        <f t="shared" si="7"/>
        <v>4.59891600662512</v>
      </c>
      <c r="I518" s="286">
        <v>288</v>
      </c>
      <c r="J518" s="286">
        <v>14272</v>
      </c>
      <c r="K518" s="286">
        <v>10605</v>
      </c>
      <c r="L518" s="286">
        <v>3667</v>
      </c>
      <c r="M518" s="286">
        <v>14073</v>
      </c>
      <c r="N518" s="286">
        <v>10459</v>
      </c>
      <c r="O518" s="286">
        <v>3614</v>
      </c>
      <c r="P518" s="286">
        <v>254</v>
      </c>
      <c r="Q518" s="286">
        <v>13553</v>
      </c>
      <c r="R518" s="286">
        <v>10100</v>
      </c>
      <c r="S518" s="286">
        <v>3453</v>
      </c>
      <c r="T518" s="286">
        <v>13354</v>
      </c>
      <c r="U518" s="286">
        <v>9954</v>
      </c>
      <c r="V518" s="286">
        <v>3400</v>
      </c>
      <c r="W518" s="286"/>
      <c r="X518" s="286"/>
      <c r="Y518" s="286"/>
      <c r="Z518" s="286"/>
      <c r="AA518" s="286"/>
      <c r="AB518" s="286"/>
      <c r="AC518" s="286"/>
      <c r="AD518" s="286"/>
      <c r="AE518" s="286"/>
      <c r="AF518" s="286"/>
      <c r="AG518" s="286"/>
      <c r="AH518" s="286"/>
      <c r="AI518" s="286"/>
      <c r="AJ518" s="286"/>
      <c r="AK518" s="286"/>
      <c r="AL518" s="286"/>
      <c r="AM518" s="286"/>
      <c r="AN518" s="286"/>
      <c r="AO518" s="286"/>
      <c r="AP518" s="286"/>
      <c r="AQ518" s="286"/>
      <c r="AR518" s="286"/>
      <c r="AS518" s="286"/>
      <c r="AT518" s="286"/>
      <c r="AU518" s="286"/>
      <c r="AV518" s="286"/>
      <c r="AW518" s="286"/>
      <c r="AX518" s="286"/>
      <c r="AY518" s="286"/>
      <c r="AZ518" s="286"/>
      <c r="BA518" s="286"/>
      <c r="BB518" s="286"/>
      <c r="BC518" s="286"/>
      <c r="BD518" s="286"/>
      <c r="BE518" s="286"/>
      <c r="BF518" s="286"/>
      <c r="BG518" s="286"/>
      <c r="BH518" s="286"/>
      <c r="BI518" s="286"/>
      <c r="BJ518" s="286"/>
      <c r="BK518" s="286"/>
      <c r="BL518" s="286"/>
      <c r="BM518" s="286"/>
      <c r="BN518" s="286"/>
      <c r="BO518" s="286"/>
      <c r="BP518" s="286"/>
      <c r="BQ518" s="286"/>
      <c r="BR518" s="286"/>
      <c r="BS518" s="286"/>
      <c r="BT518" s="286"/>
      <c r="BU518" s="286"/>
      <c r="BV518" s="286"/>
      <c r="BW518" s="286"/>
      <c r="BX518" s="286"/>
      <c r="BY518" s="286"/>
      <c r="BZ518" s="286"/>
      <c r="CA518" s="286"/>
      <c r="CB518" s="286"/>
      <c r="CC518" s="286"/>
      <c r="CD518" s="286"/>
      <c r="CE518" s="286"/>
      <c r="CF518" s="286"/>
      <c r="CG518" s="286"/>
      <c r="CH518" s="286"/>
      <c r="CI518" s="286"/>
      <c r="CJ518" s="286"/>
      <c r="CK518" s="286"/>
      <c r="CL518" s="286"/>
      <c r="CM518" s="286"/>
      <c r="CN518" s="286"/>
      <c r="CO518" s="286"/>
      <c r="CP518" s="286"/>
      <c r="CQ518" s="286"/>
      <c r="CR518" s="286"/>
      <c r="CS518" s="286"/>
      <c r="CT518" s="286"/>
      <c r="CU518" s="286"/>
      <c r="CV518" s="286"/>
      <c r="CW518" s="286"/>
      <c r="CX518" s="286"/>
      <c r="CY518" s="286"/>
      <c r="CZ518" s="286"/>
      <c r="DA518" s="286"/>
      <c r="DB518" s="286"/>
      <c r="DC518" s="286"/>
      <c r="DD518" s="286"/>
      <c r="DE518" s="286"/>
      <c r="DF518" s="286"/>
      <c r="DG518" s="286"/>
      <c r="DH518" s="286"/>
      <c r="DI518" s="286"/>
      <c r="DJ518" s="286"/>
      <c r="DK518" s="286"/>
      <c r="DL518" s="286"/>
      <c r="DM518" s="286"/>
      <c r="DN518" s="286"/>
      <c r="DO518" s="286"/>
      <c r="DP518" s="286"/>
      <c r="DQ518" s="286"/>
      <c r="DR518" s="286"/>
      <c r="DS518" s="286"/>
      <c r="DT518" s="286"/>
      <c r="DU518" s="286"/>
      <c r="DV518" s="286"/>
      <c r="DW518" s="286"/>
      <c r="DX518" s="286"/>
      <c r="DY518" s="286"/>
      <c r="DZ518" s="286"/>
      <c r="EA518" s="286"/>
      <c r="EB518" s="286"/>
      <c r="EC518" s="286"/>
      <c r="ED518" s="286"/>
      <c r="EE518" s="286"/>
      <c r="EF518" s="286"/>
      <c r="EG518" s="286"/>
      <c r="EH518" s="286"/>
      <c r="EI518" s="286"/>
      <c r="EJ518" s="286"/>
      <c r="EK518" s="286"/>
      <c r="EL518" s="286"/>
      <c r="EM518" s="286"/>
      <c r="EN518" s="286"/>
      <c r="EO518" s="286"/>
      <c r="EP518" s="286"/>
      <c r="EQ518" s="286"/>
      <c r="ER518" s="286"/>
      <c r="ES518" s="286"/>
      <c r="ET518" s="286"/>
      <c r="EU518" s="286"/>
      <c r="EV518" s="286"/>
      <c r="EW518" s="286"/>
      <c r="EX518" s="286"/>
      <c r="EY518" s="286"/>
      <c r="EZ518" s="286"/>
      <c r="FA518" s="286"/>
      <c r="FB518" s="286"/>
      <c r="FC518" s="286"/>
      <c r="FD518" s="286"/>
      <c r="FE518" s="286"/>
      <c r="FF518" s="286"/>
      <c r="FG518" s="286"/>
      <c r="FH518" s="286"/>
      <c r="FI518" s="286"/>
      <c r="FJ518" s="286"/>
      <c r="FK518" s="286"/>
      <c r="FL518" s="286"/>
      <c r="FM518" s="286"/>
      <c r="FN518" s="286"/>
      <c r="FO518" s="286"/>
      <c r="FP518" s="286"/>
      <c r="FQ518" s="286"/>
      <c r="FR518" s="286"/>
      <c r="FS518" s="286"/>
    </row>
    <row r="519" spans="1:175">
      <c r="A519" s="212" t="s">
        <v>3159</v>
      </c>
      <c r="B519" s="212" t="s">
        <v>3160</v>
      </c>
      <c r="C519" s="212" t="s">
        <v>3172</v>
      </c>
      <c r="D519" s="212" t="s">
        <v>3692</v>
      </c>
      <c r="E519" s="212" t="s">
        <v>3695</v>
      </c>
      <c r="F519" s="278">
        <v>50</v>
      </c>
      <c r="G519" s="278">
        <v>300</v>
      </c>
      <c r="H519" s="287">
        <f t="shared" si="7"/>
        <v>0</v>
      </c>
      <c r="I519" s="286">
        <v>0</v>
      </c>
      <c r="J519" s="286">
        <v>0</v>
      </c>
      <c r="K519" s="286">
        <v>0</v>
      </c>
      <c r="L519" s="286">
        <v>0</v>
      </c>
      <c r="M519" s="286">
        <v>0</v>
      </c>
      <c r="N519" s="286">
        <v>0</v>
      </c>
      <c r="O519" s="286">
        <v>0</v>
      </c>
      <c r="P519" s="286">
        <v>0</v>
      </c>
      <c r="Q519" s="286">
        <v>0</v>
      </c>
      <c r="R519" s="286">
        <v>0</v>
      </c>
      <c r="S519" s="286">
        <v>0</v>
      </c>
      <c r="T519" s="286">
        <v>0</v>
      </c>
      <c r="U519" s="286">
        <v>0</v>
      </c>
      <c r="V519" s="286">
        <v>0</v>
      </c>
      <c r="W519" s="286"/>
      <c r="X519" s="286"/>
      <c r="Y519" s="286"/>
      <c r="Z519" s="286"/>
      <c r="AA519" s="286"/>
      <c r="AB519" s="286"/>
      <c r="AC519" s="286"/>
      <c r="AD519" s="286"/>
      <c r="AE519" s="286"/>
      <c r="AF519" s="286"/>
      <c r="AG519" s="286"/>
      <c r="AH519" s="286"/>
      <c r="AI519" s="286"/>
      <c r="AJ519" s="286"/>
      <c r="AK519" s="286"/>
      <c r="AL519" s="286"/>
      <c r="AM519" s="286"/>
      <c r="AN519" s="286"/>
      <c r="AO519" s="286"/>
      <c r="AP519" s="286"/>
      <c r="AQ519" s="286"/>
      <c r="AR519" s="286"/>
      <c r="AS519" s="286"/>
      <c r="AT519" s="286"/>
      <c r="AU519" s="286"/>
      <c r="AV519" s="286"/>
      <c r="AW519" s="286"/>
      <c r="AX519" s="286"/>
      <c r="AY519" s="286"/>
      <c r="AZ519" s="286"/>
      <c r="BA519" s="286"/>
      <c r="BB519" s="286"/>
      <c r="BC519" s="286"/>
      <c r="BD519" s="286"/>
      <c r="BE519" s="286"/>
      <c r="BF519" s="286"/>
      <c r="BG519" s="286"/>
      <c r="BH519" s="286"/>
      <c r="BI519" s="286"/>
      <c r="BJ519" s="286"/>
      <c r="BK519" s="286"/>
      <c r="BL519" s="286"/>
      <c r="BM519" s="286"/>
      <c r="BN519" s="286"/>
      <c r="BO519" s="286"/>
      <c r="BP519" s="286"/>
      <c r="BQ519" s="286"/>
      <c r="BR519" s="286"/>
      <c r="BS519" s="286"/>
      <c r="BT519" s="286"/>
      <c r="BU519" s="286"/>
      <c r="BV519" s="286"/>
      <c r="BW519" s="286"/>
      <c r="BX519" s="286"/>
      <c r="BY519" s="286"/>
      <c r="BZ519" s="286"/>
      <c r="CA519" s="286"/>
      <c r="CB519" s="286"/>
      <c r="CC519" s="286"/>
      <c r="CD519" s="286"/>
      <c r="CE519" s="286"/>
      <c r="CF519" s="286"/>
      <c r="CG519" s="286"/>
      <c r="CH519" s="286"/>
      <c r="CI519" s="286"/>
      <c r="CJ519" s="286"/>
      <c r="CK519" s="286"/>
      <c r="CL519" s="286"/>
      <c r="CM519" s="286"/>
      <c r="CN519" s="286"/>
      <c r="CO519" s="286"/>
      <c r="CP519" s="286"/>
      <c r="CQ519" s="286"/>
      <c r="CR519" s="286"/>
      <c r="CS519" s="286"/>
      <c r="CT519" s="286"/>
      <c r="CU519" s="286"/>
      <c r="CV519" s="286"/>
      <c r="CW519" s="286"/>
      <c r="CX519" s="286"/>
      <c r="CY519" s="286"/>
      <c r="CZ519" s="286"/>
      <c r="DA519" s="286"/>
      <c r="DB519" s="286"/>
      <c r="DC519" s="286"/>
      <c r="DD519" s="286"/>
      <c r="DE519" s="286"/>
      <c r="DF519" s="286"/>
      <c r="DG519" s="286"/>
      <c r="DH519" s="286"/>
      <c r="DI519" s="286"/>
      <c r="DJ519" s="286"/>
      <c r="DK519" s="286"/>
      <c r="DL519" s="286"/>
      <c r="DM519" s="286"/>
      <c r="DN519" s="286"/>
      <c r="DO519" s="286"/>
      <c r="DP519" s="286"/>
      <c r="DQ519" s="286"/>
      <c r="DR519" s="286"/>
      <c r="DS519" s="286"/>
      <c r="DT519" s="286"/>
      <c r="DU519" s="286"/>
      <c r="DV519" s="286"/>
      <c r="DW519" s="286"/>
      <c r="DX519" s="286"/>
      <c r="DY519" s="286"/>
      <c r="DZ519" s="286"/>
      <c r="EA519" s="286"/>
      <c r="EB519" s="286"/>
      <c r="EC519" s="286"/>
      <c r="ED519" s="286"/>
      <c r="EE519" s="286"/>
      <c r="EF519" s="286"/>
      <c r="EG519" s="286"/>
      <c r="EH519" s="286"/>
      <c r="EI519" s="286"/>
      <c r="EJ519" s="286"/>
      <c r="EK519" s="286"/>
      <c r="EL519" s="286"/>
      <c r="EM519" s="286"/>
      <c r="EN519" s="286"/>
      <c r="EO519" s="286"/>
      <c r="EP519" s="286"/>
      <c r="EQ519" s="286"/>
      <c r="ER519" s="286"/>
      <c r="ES519" s="286"/>
      <c r="ET519" s="286"/>
      <c r="EU519" s="286"/>
      <c r="EV519" s="286"/>
      <c r="EW519" s="286"/>
      <c r="EX519" s="286"/>
      <c r="EY519" s="286"/>
      <c r="EZ519" s="286"/>
      <c r="FA519" s="286"/>
      <c r="FB519" s="286"/>
      <c r="FC519" s="286"/>
      <c r="FD519" s="286"/>
      <c r="FE519" s="286"/>
      <c r="FF519" s="286"/>
      <c r="FG519" s="286"/>
      <c r="FH519" s="286"/>
      <c r="FI519" s="286"/>
      <c r="FJ519" s="286"/>
      <c r="FK519" s="286"/>
      <c r="FL519" s="286"/>
      <c r="FM519" s="286"/>
      <c r="FN519" s="286"/>
      <c r="FO519" s="286"/>
      <c r="FP519" s="286"/>
      <c r="FQ519" s="286"/>
      <c r="FR519" s="286"/>
      <c r="FS519" s="286"/>
    </row>
    <row r="520" spans="1:175">
      <c r="A520" s="212" t="s">
        <v>3159</v>
      </c>
      <c r="B520" s="212" t="s">
        <v>3160</v>
      </c>
      <c r="C520" s="212" t="s">
        <v>3172</v>
      </c>
      <c r="D520" s="212" t="s">
        <v>3692</v>
      </c>
      <c r="E520" s="212" t="s">
        <v>3696</v>
      </c>
      <c r="F520" s="278">
        <v>6168</v>
      </c>
      <c r="G520" s="278">
        <v>295329</v>
      </c>
      <c r="H520" s="287">
        <f t="shared" si="7"/>
        <v>4.7201595508737713</v>
      </c>
      <c r="I520" s="286">
        <v>254</v>
      </c>
      <c r="J520" s="286">
        <v>13940</v>
      </c>
      <c r="K520" s="286">
        <v>10417</v>
      </c>
      <c r="L520" s="286">
        <v>3523</v>
      </c>
      <c r="M520" s="286">
        <v>13758</v>
      </c>
      <c r="N520" s="286">
        <v>10280</v>
      </c>
      <c r="O520" s="286">
        <v>3478</v>
      </c>
      <c r="P520" s="286">
        <v>234</v>
      </c>
      <c r="Q520" s="286">
        <v>13384</v>
      </c>
      <c r="R520" s="286">
        <v>10016</v>
      </c>
      <c r="S520" s="286">
        <v>3368</v>
      </c>
      <c r="T520" s="286">
        <v>13202</v>
      </c>
      <c r="U520" s="286">
        <v>9879</v>
      </c>
      <c r="V520" s="286">
        <v>3323</v>
      </c>
      <c r="W520" s="286"/>
      <c r="X520" s="286"/>
      <c r="Y520" s="286"/>
      <c r="Z520" s="286"/>
      <c r="AA520" s="286"/>
      <c r="AB520" s="286"/>
      <c r="AC520" s="286"/>
      <c r="AD520" s="286"/>
      <c r="AE520" s="286"/>
      <c r="AF520" s="286"/>
      <c r="AG520" s="286"/>
      <c r="AH520" s="286"/>
      <c r="AI520" s="286"/>
      <c r="AJ520" s="286"/>
      <c r="AK520" s="286"/>
      <c r="AL520" s="286"/>
      <c r="AM520" s="286"/>
      <c r="AN520" s="286"/>
      <c r="AO520" s="286"/>
      <c r="AP520" s="286"/>
      <c r="AQ520" s="286"/>
      <c r="AR520" s="286"/>
      <c r="AS520" s="286"/>
      <c r="AT520" s="286"/>
      <c r="AU520" s="286"/>
      <c r="AV520" s="286"/>
      <c r="AW520" s="286"/>
      <c r="AX520" s="286"/>
      <c r="AY520" s="286"/>
      <c r="AZ520" s="286"/>
      <c r="BA520" s="286"/>
      <c r="BB520" s="286"/>
      <c r="BC520" s="286"/>
      <c r="BD520" s="286"/>
      <c r="BE520" s="286"/>
      <c r="BF520" s="286"/>
      <c r="BG520" s="286"/>
      <c r="BH520" s="286"/>
      <c r="BI520" s="286"/>
      <c r="BJ520" s="286"/>
      <c r="BK520" s="286"/>
      <c r="BL520" s="286"/>
      <c r="BM520" s="286"/>
      <c r="BN520" s="286"/>
      <c r="BO520" s="286"/>
      <c r="BP520" s="286"/>
      <c r="BQ520" s="286"/>
      <c r="BR520" s="286"/>
      <c r="BS520" s="286"/>
      <c r="BT520" s="286"/>
      <c r="BU520" s="286"/>
      <c r="BV520" s="286"/>
      <c r="BW520" s="286"/>
      <c r="BX520" s="286"/>
      <c r="BY520" s="286"/>
      <c r="BZ520" s="286"/>
      <c r="CA520" s="286"/>
      <c r="CB520" s="286"/>
      <c r="CC520" s="286"/>
      <c r="CD520" s="286"/>
      <c r="CE520" s="286"/>
      <c r="CF520" s="286"/>
      <c r="CG520" s="286"/>
      <c r="CH520" s="286"/>
      <c r="CI520" s="286"/>
      <c r="CJ520" s="286"/>
      <c r="CK520" s="286"/>
      <c r="CL520" s="286"/>
      <c r="CM520" s="286"/>
      <c r="CN520" s="286"/>
      <c r="CO520" s="286"/>
      <c r="CP520" s="286"/>
      <c r="CQ520" s="286"/>
      <c r="CR520" s="286"/>
      <c r="CS520" s="286"/>
      <c r="CT520" s="286"/>
      <c r="CU520" s="286"/>
      <c r="CV520" s="286"/>
      <c r="CW520" s="286"/>
      <c r="CX520" s="286"/>
      <c r="CY520" s="286"/>
      <c r="CZ520" s="286"/>
      <c r="DA520" s="286"/>
      <c r="DB520" s="286"/>
      <c r="DC520" s="286"/>
      <c r="DD520" s="286"/>
      <c r="DE520" s="286"/>
      <c r="DF520" s="286"/>
      <c r="DG520" s="286"/>
      <c r="DH520" s="286"/>
      <c r="DI520" s="286"/>
      <c r="DJ520" s="286"/>
      <c r="DK520" s="286"/>
      <c r="DL520" s="286"/>
      <c r="DM520" s="286"/>
      <c r="DN520" s="286"/>
      <c r="DO520" s="286"/>
      <c r="DP520" s="286"/>
      <c r="DQ520" s="286"/>
      <c r="DR520" s="286"/>
      <c r="DS520" s="286"/>
      <c r="DT520" s="286"/>
      <c r="DU520" s="286"/>
      <c r="DV520" s="286"/>
      <c r="DW520" s="286"/>
      <c r="DX520" s="286"/>
      <c r="DY520" s="286"/>
      <c r="DZ520" s="286"/>
      <c r="EA520" s="286"/>
      <c r="EB520" s="286"/>
      <c r="EC520" s="286"/>
      <c r="ED520" s="286"/>
      <c r="EE520" s="286"/>
      <c r="EF520" s="286"/>
      <c r="EG520" s="286"/>
      <c r="EH520" s="286"/>
      <c r="EI520" s="286"/>
      <c r="EJ520" s="286"/>
      <c r="EK520" s="286"/>
      <c r="EL520" s="286"/>
      <c r="EM520" s="286"/>
      <c r="EN520" s="286"/>
      <c r="EO520" s="286"/>
      <c r="EP520" s="286"/>
      <c r="EQ520" s="286"/>
      <c r="ER520" s="286"/>
      <c r="ES520" s="286"/>
      <c r="ET520" s="286"/>
      <c r="EU520" s="286"/>
      <c r="EV520" s="286"/>
      <c r="EW520" s="286"/>
      <c r="EX520" s="286"/>
      <c r="EY520" s="286"/>
      <c r="EZ520" s="286"/>
      <c r="FA520" s="286"/>
      <c r="FB520" s="286"/>
      <c r="FC520" s="286"/>
      <c r="FD520" s="286"/>
      <c r="FE520" s="286"/>
      <c r="FF520" s="286"/>
      <c r="FG520" s="286"/>
      <c r="FH520" s="286"/>
      <c r="FI520" s="286"/>
      <c r="FJ520" s="286"/>
      <c r="FK520" s="286"/>
      <c r="FL520" s="286"/>
      <c r="FM520" s="286"/>
      <c r="FN520" s="286"/>
      <c r="FO520" s="286"/>
      <c r="FP520" s="286"/>
      <c r="FQ520" s="286"/>
      <c r="FR520" s="286"/>
      <c r="FS520" s="286"/>
    </row>
    <row r="521" spans="1:175">
      <c r="A521" s="212" t="s">
        <v>3159</v>
      </c>
      <c r="B521" s="212" t="s">
        <v>3160</v>
      </c>
      <c r="C521" s="212" t="s">
        <v>3172</v>
      </c>
      <c r="D521" s="212" t="s">
        <v>3692</v>
      </c>
      <c r="E521" s="212" t="s">
        <v>3697</v>
      </c>
      <c r="F521" s="278">
        <v>1001</v>
      </c>
      <c r="G521" s="278">
        <v>14705</v>
      </c>
      <c r="H521" s="287">
        <f t="shared" si="7"/>
        <v>2.2577354641278475</v>
      </c>
      <c r="I521" s="286">
        <v>34</v>
      </c>
      <c r="J521" s="286">
        <v>332</v>
      </c>
      <c r="K521" s="286">
        <v>188</v>
      </c>
      <c r="L521" s="286">
        <v>144</v>
      </c>
      <c r="M521" s="286">
        <v>315</v>
      </c>
      <c r="N521" s="286">
        <v>179</v>
      </c>
      <c r="O521" s="286">
        <v>136</v>
      </c>
      <c r="P521" s="286">
        <v>20</v>
      </c>
      <c r="Q521" s="286">
        <v>169</v>
      </c>
      <c r="R521" s="286">
        <v>84</v>
      </c>
      <c r="S521" s="286">
        <v>85</v>
      </c>
      <c r="T521" s="286">
        <v>152</v>
      </c>
      <c r="U521" s="286">
        <v>75</v>
      </c>
      <c r="V521" s="286">
        <v>77</v>
      </c>
      <c r="W521" s="286"/>
      <c r="X521" s="286"/>
      <c r="Y521" s="286"/>
      <c r="Z521" s="286"/>
      <c r="AA521" s="286"/>
      <c r="AB521" s="286"/>
      <c r="AC521" s="286"/>
      <c r="AD521" s="286"/>
      <c r="AE521" s="286"/>
      <c r="AF521" s="286"/>
      <c r="AG521" s="286"/>
      <c r="AH521" s="286"/>
      <c r="AI521" s="286"/>
      <c r="AJ521" s="286"/>
      <c r="AK521" s="286"/>
      <c r="AL521" s="286"/>
      <c r="AM521" s="286"/>
      <c r="AN521" s="286"/>
      <c r="AO521" s="286"/>
      <c r="AP521" s="286"/>
      <c r="AQ521" s="286"/>
      <c r="AR521" s="286"/>
      <c r="AS521" s="286"/>
      <c r="AT521" s="286"/>
      <c r="AU521" s="286"/>
      <c r="AV521" s="286"/>
      <c r="AW521" s="286"/>
      <c r="AX521" s="286"/>
      <c r="AY521" s="286"/>
      <c r="AZ521" s="286"/>
      <c r="BA521" s="286"/>
      <c r="BB521" s="286"/>
      <c r="BC521" s="286"/>
      <c r="BD521" s="286"/>
      <c r="BE521" s="286"/>
      <c r="BF521" s="286"/>
      <c r="BG521" s="286"/>
      <c r="BH521" s="286"/>
      <c r="BI521" s="286"/>
      <c r="BJ521" s="286"/>
      <c r="BK521" s="286"/>
      <c r="BL521" s="286"/>
      <c r="BM521" s="286"/>
      <c r="BN521" s="286"/>
      <c r="BO521" s="286"/>
      <c r="BP521" s="286"/>
      <c r="BQ521" s="286"/>
      <c r="BR521" s="286"/>
      <c r="BS521" s="286"/>
      <c r="BT521" s="286"/>
      <c r="BU521" s="286"/>
      <c r="BV521" s="286"/>
      <c r="BW521" s="286"/>
      <c r="BX521" s="286"/>
      <c r="BY521" s="286"/>
      <c r="BZ521" s="286"/>
      <c r="CA521" s="286"/>
      <c r="CB521" s="286"/>
      <c r="CC521" s="286"/>
      <c r="CD521" s="286"/>
      <c r="CE521" s="286"/>
      <c r="CF521" s="286"/>
      <c r="CG521" s="286"/>
      <c r="CH521" s="286"/>
      <c r="CI521" s="286"/>
      <c r="CJ521" s="286"/>
      <c r="CK521" s="286"/>
      <c r="CL521" s="286"/>
      <c r="CM521" s="286"/>
      <c r="CN521" s="286"/>
      <c r="CO521" s="286"/>
      <c r="CP521" s="286"/>
      <c r="CQ521" s="286"/>
      <c r="CR521" s="286"/>
      <c r="CS521" s="286"/>
      <c r="CT521" s="286"/>
      <c r="CU521" s="286"/>
      <c r="CV521" s="286"/>
      <c r="CW521" s="286"/>
      <c r="CX521" s="286"/>
      <c r="CY521" s="286"/>
      <c r="CZ521" s="286"/>
      <c r="DA521" s="286"/>
      <c r="DB521" s="286"/>
      <c r="DC521" s="286"/>
      <c r="DD521" s="286"/>
      <c r="DE521" s="286"/>
      <c r="DF521" s="286"/>
      <c r="DG521" s="286"/>
      <c r="DH521" s="286"/>
      <c r="DI521" s="286"/>
      <c r="DJ521" s="286"/>
      <c r="DK521" s="286"/>
      <c r="DL521" s="286"/>
      <c r="DM521" s="286"/>
      <c r="DN521" s="286"/>
      <c r="DO521" s="286"/>
      <c r="DP521" s="286"/>
      <c r="DQ521" s="286"/>
      <c r="DR521" s="286"/>
      <c r="DS521" s="286"/>
      <c r="DT521" s="286"/>
      <c r="DU521" s="286"/>
      <c r="DV521" s="286"/>
      <c r="DW521" s="286"/>
      <c r="DX521" s="286"/>
      <c r="DY521" s="286"/>
      <c r="DZ521" s="286"/>
      <c r="EA521" s="286"/>
      <c r="EB521" s="286"/>
      <c r="EC521" s="286"/>
      <c r="ED521" s="286"/>
      <c r="EE521" s="286"/>
      <c r="EF521" s="286"/>
      <c r="EG521" s="286"/>
      <c r="EH521" s="286"/>
      <c r="EI521" s="286"/>
      <c r="EJ521" s="286"/>
      <c r="EK521" s="286"/>
      <c r="EL521" s="286"/>
      <c r="EM521" s="286"/>
      <c r="EN521" s="286"/>
      <c r="EO521" s="286"/>
      <c r="EP521" s="286"/>
      <c r="EQ521" s="286"/>
      <c r="ER521" s="286"/>
      <c r="ES521" s="286"/>
      <c r="ET521" s="286"/>
      <c r="EU521" s="286"/>
      <c r="EV521" s="286"/>
      <c r="EW521" s="286"/>
      <c r="EX521" s="286"/>
      <c r="EY521" s="286"/>
      <c r="EZ521" s="286"/>
      <c r="FA521" s="286"/>
      <c r="FB521" s="286"/>
      <c r="FC521" s="286"/>
      <c r="FD521" s="286"/>
      <c r="FE521" s="286"/>
      <c r="FF521" s="286"/>
      <c r="FG521" s="286"/>
      <c r="FH521" s="286"/>
      <c r="FI521" s="286"/>
      <c r="FJ521" s="286"/>
      <c r="FK521" s="286"/>
      <c r="FL521" s="286"/>
      <c r="FM521" s="286"/>
      <c r="FN521" s="286"/>
      <c r="FO521" s="286"/>
      <c r="FP521" s="286"/>
      <c r="FQ521" s="286"/>
      <c r="FR521" s="286"/>
      <c r="FS521" s="286"/>
    </row>
    <row r="522" spans="1:175">
      <c r="A522" s="212" t="s">
        <v>3159</v>
      </c>
      <c r="B522" s="212" t="s">
        <v>3160</v>
      </c>
      <c r="C522" s="212" t="s">
        <v>3170</v>
      </c>
      <c r="D522" s="212" t="s">
        <v>3692</v>
      </c>
      <c r="E522" s="212" t="s">
        <v>3698</v>
      </c>
      <c r="F522" s="278">
        <v>138184</v>
      </c>
      <c r="G522" s="278">
        <v>819416</v>
      </c>
      <c r="H522" s="287">
        <f t="shared" si="7"/>
        <v>2.4859167992814393</v>
      </c>
      <c r="I522" s="286">
        <v>5134</v>
      </c>
      <c r="J522" s="286">
        <v>20370</v>
      </c>
      <c r="K522" s="286">
        <v>10940</v>
      </c>
      <c r="L522" s="286">
        <v>9394</v>
      </c>
      <c r="M522" s="286">
        <v>13638</v>
      </c>
      <c r="N522" s="286">
        <v>5950</v>
      </c>
      <c r="O522" s="286">
        <v>7658</v>
      </c>
      <c r="P522" s="286">
        <v>5134</v>
      </c>
      <c r="Q522" s="286">
        <v>20370</v>
      </c>
      <c r="R522" s="286">
        <v>10940</v>
      </c>
      <c r="S522" s="286">
        <v>9394</v>
      </c>
      <c r="T522" s="286">
        <v>13638</v>
      </c>
      <c r="U522" s="286">
        <v>5950</v>
      </c>
      <c r="V522" s="286">
        <v>7658</v>
      </c>
      <c r="W522" s="286"/>
      <c r="X522" s="286"/>
      <c r="Y522" s="286"/>
      <c r="Z522" s="286"/>
      <c r="AA522" s="286"/>
      <c r="AB522" s="286"/>
      <c r="AC522" s="286"/>
      <c r="AD522" s="286"/>
      <c r="AE522" s="286"/>
      <c r="AF522" s="286"/>
      <c r="AG522" s="286"/>
      <c r="AH522" s="286"/>
      <c r="AI522" s="286"/>
      <c r="AJ522" s="286"/>
      <c r="AK522" s="286"/>
      <c r="AL522" s="286"/>
      <c r="AM522" s="286"/>
      <c r="AN522" s="286"/>
      <c r="AO522" s="286"/>
      <c r="AP522" s="286"/>
      <c r="AQ522" s="286"/>
      <c r="AR522" s="286"/>
      <c r="AS522" s="286"/>
      <c r="AT522" s="286"/>
      <c r="AU522" s="286"/>
      <c r="AV522" s="286"/>
      <c r="AW522" s="286"/>
      <c r="AX522" s="286"/>
      <c r="AY522" s="286"/>
      <c r="AZ522" s="286"/>
      <c r="BA522" s="286"/>
      <c r="BB522" s="286"/>
      <c r="BC522" s="286"/>
      <c r="BD522" s="286"/>
      <c r="BE522" s="286"/>
      <c r="BF522" s="286"/>
      <c r="BG522" s="286"/>
      <c r="BH522" s="286"/>
      <c r="BI522" s="286"/>
      <c r="BJ522" s="286"/>
      <c r="BK522" s="286"/>
      <c r="BL522" s="286"/>
      <c r="BM522" s="286"/>
      <c r="BN522" s="286"/>
      <c r="BO522" s="286"/>
      <c r="BP522" s="286"/>
      <c r="BQ522" s="286"/>
      <c r="BR522" s="286"/>
      <c r="BS522" s="286"/>
      <c r="BT522" s="286"/>
      <c r="BU522" s="286"/>
      <c r="BV522" s="286"/>
      <c r="BW522" s="286"/>
      <c r="BX522" s="286"/>
      <c r="BY522" s="286"/>
      <c r="BZ522" s="286"/>
      <c r="CA522" s="286"/>
      <c r="CB522" s="286"/>
      <c r="CC522" s="286"/>
      <c r="CD522" s="286"/>
      <c r="CE522" s="286"/>
      <c r="CF522" s="286"/>
      <c r="CG522" s="286"/>
      <c r="CH522" s="286"/>
      <c r="CI522" s="286"/>
      <c r="CJ522" s="286"/>
      <c r="CK522" s="286"/>
      <c r="CL522" s="286"/>
      <c r="CM522" s="286"/>
      <c r="CN522" s="286"/>
      <c r="CO522" s="286"/>
      <c r="CP522" s="286"/>
      <c r="CQ522" s="286"/>
      <c r="CR522" s="286"/>
      <c r="CS522" s="286"/>
      <c r="CT522" s="286"/>
      <c r="CU522" s="286"/>
      <c r="CV522" s="286"/>
      <c r="CW522" s="286"/>
      <c r="CX522" s="286"/>
      <c r="CY522" s="286"/>
      <c r="CZ522" s="286"/>
      <c r="DA522" s="286"/>
      <c r="DB522" s="286"/>
      <c r="DC522" s="286"/>
      <c r="DD522" s="286"/>
      <c r="DE522" s="286"/>
      <c r="DF522" s="286"/>
      <c r="DG522" s="286"/>
      <c r="DH522" s="286"/>
      <c r="DI522" s="286"/>
      <c r="DJ522" s="286"/>
      <c r="DK522" s="286"/>
      <c r="DL522" s="286"/>
      <c r="DM522" s="286"/>
      <c r="DN522" s="286"/>
      <c r="DO522" s="286"/>
      <c r="DP522" s="286"/>
      <c r="DQ522" s="286"/>
      <c r="DR522" s="286"/>
      <c r="DS522" s="286"/>
      <c r="DT522" s="286"/>
      <c r="DU522" s="286"/>
      <c r="DV522" s="286"/>
      <c r="DW522" s="286"/>
      <c r="DX522" s="286"/>
      <c r="DY522" s="286"/>
      <c r="DZ522" s="286"/>
      <c r="EA522" s="286"/>
      <c r="EB522" s="286"/>
      <c r="EC522" s="286"/>
      <c r="ED522" s="286"/>
      <c r="EE522" s="286"/>
      <c r="EF522" s="286"/>
      <c r="EG522" s="286"/>
      <c r="EH522" s="286"/>
      <c r="EI522" s="286"/>
      <c r="EJ522" s="286"/>
      <c r="EK522" s="286"/>
      <c r="EL522" s="286"/>
      <c r="EM522" s="286"/>
      <c r="EN522" s="286"/>
      <c r="EO522" s="286"/>
      <c r="EP522" s="286"/>
      <c r="EQ522" s="286"/>
      <c r="ER522" s="286"/>
      <c r="ES522" s="286"/>
      <c r="ET522" s="286"/>
      <c r="EU522" s="286"/>
      <c r="EV522" s="286"/>
      <c r="EW522" s="286"/>
      <c r="EX522" s="286"/>
      <c r="EY522" s="286"/>
      <c r="EZ522" s="286"/>
      <c r="FA522" s="286"/>
      <c r="FB522" s="286"/>
      <c r="FC522" s="286"/>
      <c r="FD522" s="286"/>
      <c r="FE522" s="286"/>
      <c r="FF522" s="286"/>
      <c r="FG522" s="286"/>
      <c r="FH522" s="286"/>
      <c r="FI522" s="286"/>
      <c r="FJ522" s="286"/>
      <c r="FK522" s="286"/>
      <c r="FL522" s="286"/>
      <c r="FM522" s="286"/>
      <c r="FN522" s="286"/>
      <c r="FO522" s="286"/>
      <c r="FP522" s="286"/>
      <c r="FQ522" s="286"/>
      <c r="FR522" s="286"/>
      <c r="FS522" s="286"/>
    </row>
    <row r="523" spans="1:175">
      <c r="A523" s="212" t="s">
        <v>3159</v>
      </c>
      <c r="B523" s="212" t="s">
        <v>3160</v>
      </c>
      <c r="C523" s="212" t="s">
        <v>3172</v>
      </c>
      <c r="D523" s="212" t="s">
        <v>3692</v>
      </c>
      <c r="E523" s="212" t="s">
        <v>3699</v>
      </c>
      <c r="F523" s="278">
        <v>245</v>
      </c>
      <c r="G523" s="278">
        <v>2856</v>
      </c>
      <c r="H523" s="287">
        <f t="shared" ref="H523:H586" si="8">J523/G523*100</f>
        <v>3.2563025210084038</v>
      </c>
      <c r="I523" s="286">
        <v>10</v>
      </c>
      <c r="J523" s="286">
        <v>93</v>
      </c>
      <c r="K523" s="286">
        <v>66</v>
      </c>
      <c r="L523" s="286">
        <v>27</v>
      </c>
      <c r="M523" s="286">
        <v>86</v>
      </c>
      <c r="N523" s="286">
        <v>59</v>
      </c>
      <c r="O523" s="286">
        <v>27</v>
      </c>
      <c r="P523" s="286">
        <v>10</v>
      </c>
      <c r="Q523" s="286">
        <v>93</v>
      </c>
      <c r="R523" s="286">
        <v>66</v>
      </c>
      <c r="S523" s="286">
        <v>27</v>
      </c>
      <c r="T523" s="286">
        <v>86</v>
      </c>
      <c r="U523" s="286">
        <v>59</v>
      </c>
      <c r="V523" s="286">
        <v>27</v>
      </c>
      <c r="W523" s="286"/>
      <c r="X523" s="286"/>
      <c r="Y523" s="286"/>
      <c r="Z523" s="286"/>
      <c r="AA523" s="286"/>
      <c r="AB523" s="286"/>
      <c r="AC523" s="286"/>
      <c r="AD523" s="286"/>
      <c r="AE523" s="286"/>
      <c r="AF523" s="286"/>
      <c r="AG523" s="286"/>
      <c r="AH523" s="286"/>
      <c r="AI523" s="286"/>
      <c r="AJ523" s="286"/>
      <c r="AK523" s="286"/>
      <c r="AL523" s="286"/>
      <c r="AM523" s="286"/>
      <c r="AN523" s="286"/>
      <c r="AO523" s="286"/>
      <c r="AP523" s="286"/>
      <c r="AQ523" s="286"/>
      <c r="AR523" s="286"/>
      <c r="AS523" s="286"/>
      <c r="AT523" s="286"/>
      <c r="AU523" s="286"/>
      <c r="AV523" s="286"/>
      <c r="AW523" s="286"/>
      <c r="AX523" s="286"/>
      <c r="AY523" s="286"/>
      <c r="AZ523" s="286"/>
      <c r="BA523" s="286"/>
      <c r="BB523" s="286"/>
      <c r="BC523" s="286"/>
      <c r="BD523" s="286"/>
      <c r="BE523" s="286"/>
      <c r="BF523" s="286"/>
      <c r="BG523" s="286"/>
      <c r="BH523" s="286"/>
      <c r="BI523" s="286"/>
      <c r="BJ523" s="286"/>
      <c r="BK523" s="286"/>
      <c r="BL523" s="286"/>
      <c r="BM523" s="286"/>
      <c r="BN523" s="286"/>
      <c r="BO523" s="286"/>
      <c r="BP523" s="286"/>
      <c r="BQ523" s="286"/>
      <c r="BR523" s="286"/>
      <c r="BS523" s="286"/>
      <c r="BT523" s="286"/>
      <c r="BU523" s="286"/>
      <c r="BV523" s="286"/>
      <c r="BW523" s="286"/>
      <c r="BX523" s="286"/>
      <c r="BY523" s="286"/>
      <c r="BZ523" s="286"/>
      <c r="CA523" s="286"/>
      <c r="CB523" s="286"/>
      <c r="CC523" s="286"/>
      <c r="CD523" s="286"/>
      <c r="CE523" s="286"/>
      <c r="CF523" s="286"/>
      <c r="CG523" s="286"/>
      <c r="CH523" s="286"/>
      <c r="CI523" s="286"/>
      <c r="CJ523" s="286"/>
      <c r="CK523" s="286"/>
      <c r="CL523" s="286"/>
      <c r="CM523" s="286"/>
      <c r="CN523" s="286"/>
      <c r="CO523" s="286"/>
      <c r="CP523" s="286"/>
      <c r="CQ523" s="286"/>
      <c r="CR523" s="286"/>
      <c r="CS523" s="286"/>
      <c r="CT523" s="286"/>
      <c r="CU523" s="286"/>
      <c r="CV523" s="286"/>
      <c r="CW523" s="286"/>
      <c r="CX523" s="286"/>
      <c r="CY523" s="286"/>
      <c r="CZ523" s="286"/>
      <c r="DA523" s="286"/>
      <c r="DB523" s="286"/>
      <c r="DC523" s="286"/>
      <c r="DD523" s="286"/>
      <c r="DE523" s="286"/>
      <c r="DF523" s="286"/>
      <c r="DG523" s="286"/>
      <c r="DH523" s="286"/>
      <c r="DI523" s="286"/>
      <c r="DJ523" s="286"/>
      <c r="DK523" s="286"/>
      <c r="DL523" s="286"/>
      <c r="DM523" s="286"/>
      <c r="DN523" s="286"/>
      <c r="DO523" s="286"/>
      <c r="DP523" s="286"/>
      <c r="DQ523" s="286"/>
      <c r="DR523" s="286"/>
      <c r="DS523" s="286"/>
      <c r="DT523" s="286"/>
      <c r="DU523" s="286"/>
      <c r="DV523" s="286"/>
      <c r="DW523" s="286"/>
      <c r="DX523" s="286"/>
      <c r="DY523" s="286"/>
      <c r="DZ523" s="286"/>
      <c r="EA523" s="286"/>
      <c r="EB523" s="286"/>
      <c r="EC523" s="286"/>
      <c r="ED523" s="286"/>
      <c r="EE523" s="286"/>
      <c r="EF523" s="286"/>
      <c r="EG523" s="286"/>
      <c r="EH523" s="286"/>
      <c r="EI523" s="286"/>
      <c r="EJ523" s="286"/>
      <c r="EK523" s="286"/>
      <c r="EL523" s="286"/>
      <c r="EM523" s="286"/>
      <c r="EN523" s="286"/>
      <c r="EO523" s="286"/>
      <c r="EP523" s="286"/>
      <c r="EQ523" s="286"/>
      <c r="ER523" s="286"/>
      <c r="ES523" s="286"/>
      <c r="ET523" s="286"/>
      <c r="EU523" s="286"/>
      <c r="EV523" s="286"/>
      <c r="EW523" s="286"/>
      <c r="EX523" s="286"/>
      <c r="EY523" s="286"/>
      <c r="EZ523" s="286"/>
      <c r="FA523" s="286"/>
      <c r="FB523" s="286"/>
      <c r="FC523" s="286"/>
      <c r="FD523" s="286"/>
      <c r="FE523" s="286"/>
      <c r="FF523" s="286"/>
      <c r="FG523" s="286"/>
      <c r="FH523" s="286"/>
      <c r="FI523" s="286"/>
      <c r="FJ523" s="286"/>
      <c r="FK523" s="286"/>
      <c r="FL523" s="286"/>
      <c r="FM523" s="286"/>
      <c r="FN523" s="286"/>
      <c r="FO523" s="286"/>
      <c r="FP523" s="286"/>
      <c r="FQ523" s="286"/>
      <c r="FR523" s="286"/>
      <c r="FS523" s="286"/>
    </row>
    <row r="524" spans="1:175">
      <c r="A524" s="212" t="s">
        <v>3159</v>
      </c>
      <c r="B524" s="212" t="s">
        <v>3160</v>
      </c>
      <c r="C524" s="212" t="s">
        <v>3172</v>
      </c>
      <c r="D524" s="212" t="s">
        <v>3692</v>
      </c>
      <c r="E524" s="212" t="s">
        <v>3700</v>
      </c>
      <c r="F524" s="278">
        <v>13585</v>
      </c>
      <c r="G524" s="278">
        <v>68555</v>
      </c>
      <c r="H524" s="287">
        <f t="shared" si="8"/>
        <v>3.2280650572533003</v>
      </c>
      <c r="I524" s="286">
        <v>474</v>
      </c>
      <c r="J524" s="286">
        <v>2213</v>
      </c>
      <c r="K524" s="286">
        <v>965</v>
      </c>
      <c r="L524" s="286">
        <v>1248</v>
      </c>
      <c r="M524" s="286">
        <v>1643</v>
      </c>
      <c r="N524" s="286">
        <v>492</v>
      </c>
      <c r="O524" s="286">
        <v>1151</v>
      </c>
      <c r="P524" s="286">
        <v>474</v>
      </c>
      <c r="Q524" s="286">
        <v>2213</v>
      </c>
      <c r="R524" s="286">
        <v>965</v>
      </c>
      <c r="S524" s="286">
        <v>1248</v>
      </c>
      <c r="T524" s="286">
        <v>1643</v>
      </c>
      <c r="U524" s="286">
        <v>492</v>
      </c>
      <c r="V524" s="286">
        <v>1151</v>
      </c>
      <c r="W524" s="286"/>
      <c r="X524" s="286"/>
      <c r="Y524" s="286"/>
      <c r="Z524" s="286"/>
      <c r="AA524" s="286"/>
      <c r="AB524" s="286"/>
      <c r="AC524" s="286"/>
      <c r="AD524" s="286"/>
      <c r="AE524" s="286"/>
      <c r="AF524" s="286"/>
      <c r="AG524" s="286"/>
      <c r="AH524" s="286"/>
      <c r="AI524" s="286"/>
      <c r="AJ524" s="286"/>
      <c r="AK524" s="286"/>
      <c r="AL524" s="286"/>
      <c r="AM524" s="286"/>
      <c r="AN524" s="286"/>
      <c r="AO524" s="286"/>
      <c r="AP524" s="286"/>
      <c r="AQ524" s="286"/>
      <c r="AR524" s="286"/>
      <c r="AS524" s="286"/>
      <c r="AT524" s="286"/>
      <c r="AU524" s="286"/>
      <c r="AV524" s="286"/>
      <c r="AW524" s="286"/>
      <c r="AX524" s="286"/>
      <c r="AY524" s="286"/>
      <c r="AZ524" s="286"/>
      <c r="BA524" s="286"/>
      <c r="BB524" s="286"/>
      <c r="BC524" s="286"/>
      <c r="BD524" s="286"/>
      <c r="BE524" s="286"/>
      <c r="BF524" s="286"/>
      <c r="BG524" s="286"/>
      <c r="BH524" s="286"/>
      <c r="BI524" s="286"/>
      <c r="BJ524" s="286"/>
      <c r="BK524" s="286"/>
      <c r="BL524" s="286"/>
      <c r="BM524" s="286"/>
      <c r="BN524" s="286"/>
      <c r="BO524" s="286"/>
      <c r="BP524" s="286"/>
      <c r="BQ524" s="286"/>
      <c r="BR524" s="286"/>
      <c r="BS524" s="286"/>
      <c r="BT524" s="286"/>
      <c r="BU524" s="286"/>
      <c r="BV524" s="286"/>
      <c r="BW524" s="286"/>
      <c r="BX524" s="286"/>
      <c r="BY524" s="286"/>
      <c r="BZ524" s="286"/>
      <c r="CA524" s="286"/>
      <c r="CB524" s="286"/>
      <c r="CC524" s="286"/>
      <c r="CD524" s="286"/>
      <c r="CE524" s="286"/>
      <c r="CF524" s="286"/>
      <c r="CG524" s="286"/>
      <c r="CH524" s="286"/>
      <c r="CI524" s="286"/>
      <c r="CJ524" s="286"/>
      <c r="CK524" s="286"/>
      <c r="CL524" s="286"/>
      <c r="CM524" s="286"/>
      <c r="CN524" s="286"/>
      <c r="CO524" s="286"/>
      <c r="CP524" s="286"/>
      <c r="CQ524" s="286"/>
      <c r="CR524" s="286"/>
      <c r="CS524" s="286"/>
      <c r="CT524" s="286"/>
      <c r="CU524" s="286"/>
      <c r="CV524" s="286"/>
      <c r="CW524" s="286"/>
      <c r="CX524" s="286"/>
      <c r="CY524" s="286"/>
      <c r="CZ524" s="286"/>
      <c r="DA524" s="286"/>
      <c r="DB524" s="286"/>
      <c r="DC524" s="286"/>
      <c r="DD524" s="286"/>
      <c r="DE524" s="286"/>
      <c r="DF524" s="286"/>
      <c r="DG524" s="286"/>
      <c r="DH524" s="286"/>
      <c r="DI524" s="286"/>
      <c r="DJ524" s="286"/>
      <c r="DK524" s="286"/>
      <c r="DL524" s="286"/>
      <c r="DM524" s="286"/>
      <c r="DN524" s="286"/>
      <c r="DO524" s="286"/>
      <c r="DP524" s="286"/>
      <c r="DQ524" s="286"/>
      <c r="DR524" s="286"/>
      <c r="DS524" s="286"/>
      <c r="DT524" s="286"/>
      <c r="DU524" s="286"/>
      <c r="DV524" s="286"/>
      <c r="DW524" s="286"/>
      <c r="DX524" s="286"/>
      <c r="DY524" s="286"/>
      <c r="DZ524" s="286"/>
      <c r="EA524" s="286"/>
      <c r="EB524" s="286"/>
      <c r="EC524" s="286"/>
      <c r="ED524" s="286"/>
      <c r="EE524" s="286"/>
      <c r="EF524" s="286"/>
      <c r="EG524" s="286"/>
      <c r="EH524" s="286"/>
      <c r="EI524" s="286"/>
      <c r="EJ524" s="286"/>
      <c r="EK524" s="286"/>
      <c r="EL524" s="286"/>
      <c r="EM524" s="286"/>
      <c r="EN524" s="286"/>
      <c r="EO524" s="286"/>
      <c r="EP524" s="286"/>
      <c r="EQ524" s="286"/>
      <c r="ER524" s="286"/>
      <c r="ES524" s="286"/>
      <c r="ET524" s="286"/>
      <c r="EU524" s="286"/>
      <c r="EV524" s="286"/>
      <c r="EW524" s="286"/>
      <c r="EX524" s="286"/>
      <c r="EY524" s="286"/>
      <c r="EZ524" s="286"/>
      <c r="FA524" s="286"/>
      <c r="FB524" s="286"/>
      <c r="FC524" s="286"/>
      <c r="FD524" s="286"/>
      <c r="FE524" s="286"/>
      <c r="FF524" s="286"/>
      <c r="FG524" s="286"/>
      <c r="FH524" s="286"/>
      <c r="FI524" s="286"/>
      <c r="FJ524" s="286"/>
      <c r="FK524" s="286"/>
      <c r="FL524" s="286"/>
      <c r="FM524" s="286"/>
      <c r="FN524" s="286"/>
      <c r="FO524" s="286"/>
      <c r="FP524" s="286"/>
      <c r="FQ524" s="286"/>
      <c r="FR524" s="286"/>
      <c r="FS524" s="286"/>
    </row>
    <row r="525" spans="1:175">
      <c r="A525" s="212" t="s">
        <v>3159</v>
      </c>
      <c r="B525" s="212" t="s">
        <v>3160</v>
      </c>
      <c r="C525" s="212" t="s">
        <v>3432</v>
      </c>
      <c r="D525" s="212" t="s">
        <v>3692</v>
      </c>
      <c r="E525" s="212" t="s">
        <v>3701</v>
      </c>
      <c r="F525" s="278">
        <v>12247</v>
      </c>
      <c r="G525" s="278">
        <v>57078</v>
      </c>
      <c r="H525" s="287">
        <f t="shared" si="8"/>
        <v>3.4321454851256177</v>
      </c>
      <c r="I525" s="286">
        <v>438</v>
      </c>
      <c r="J525" s="286">
        <v>1959</v>
      </c>
      <c r="K525" s="286">
        <v>803</v>
      </c>
      <c r="L525" s="286">
        <v>1156</v>
      </c>
      <c r="M525" s="286">
        <v>1437</v>
      </c>
      <c r="N525" s="286">
        <v>374</v>
      </c>
      <c r="O525" s="286">
        <v>1063</v>
      </c>
      <c r="P525" s="286">
        <v>438</v>
      </c>
      <c r="Q525" s="286">
        <v>1959</v>
      </c>
      <c r="R525" s="286">
        <v>803</v>
      </c>
      <c r="S525" s="286">
        <v>1156</v>
      </c>
      <c r="T525" s="286">
        <v>1437</v>
      </c>
      <c r="U525" s="286">
        <v>374</v>
      </c>
      <c r="V525" s="286">
        <v>1063</v>
      </c>
      <c r="W525" s="286"/>
      <c r="X525" s="286"/>
      <c r="Y525" s="286"/>
      <c r="Z525" s="286"/>
      <c r="AA525" s="286"/>
      <c r="AB525" s="286"/>
      <c r="AC525" s="286"/>
      <c r="AD525" s="286"/>
      <c r="AE525" s="286"/>
      <c r="AF525" s="286"/>
      <c r="AG525" s="286"/>
      <c r="AH525" s="286"/>
      <c r="AI525" s="286"/>
      <c r="AJ525" s="286"/>
      <c r="AK525" s="286"/>
      <c r="AL525" s="286"/>
      <c r="AM525" s="286"/>
      <c r="AN525" s="286"/>
      <c r="AO525" s="286"/>
      <c r="AP525" s="286"/>
      <c r="AQ525" s="286"/>
      <c r="AR525" s="286"/>
      <c r="AS525" s="286"/>
      <c r="AT525" s="286"/>
      <c r="AU525" s="286"/>
      <c r="AV525" s="286"/>
      <c r="AW525" s="286"/>
      <c r="AX525" s="286"/>
      <c r="AY525" s="286"/>
      <c r="AZ525" s="286"/>
      <c r="BA525" s="286"/>
      <c r="BB525" s="286"/>
      <c r="BC525" s="286"/>
      <c r="BD525" s="286"/>
      <c r="BE525" s="286"/>
      <c r="BF525" s="286"/>
      <c r="BG525" s="286"/>
      <c r="BH525" s="286"/>
      <c r="BI525" s="286"/>
      <c r="BJ525" s="286"/>
      <c r="BK525" s="286"/>
      <c r="BL525" s="286"/>
      <c r="BM525" s="286"/>
      <c r="BN525" s="286"/>
      <c r="BO525" s="286"/>
      <c r="BP525" s="286"/>
      <c r="BQ525" s="286"/>
      <c r="BR525" s="286"/>
      <c r="BS525" s="286"/>
      <c r="BT525" s="286"/>
      <c r="BU525" s="286"/>
      <c r="BV525" s="286"/>
      <c r="BW525" s="286"/>
      <c r="BX525" s="286"/>
      <c r="BY525" s="286"/>
      <c r="BZ525" s="286"/>
      <c r="CA525" s="286"/>
      <c r="CB525" s="286"/>
      <c r="CC525" s="286"/>
      <c r="CD525" s="286"/>
      <c r="CE525" s="286"/>
      <c r="CF525" s="286"/>
      <c r="CG525" s="286"/>
      <c r="CH525" s="286"/>
      <c r="CI525" s="286"/>
      <c r="CJ525" s="286"/>
      <c r="CK525" s="286"/>
      <c r="CL525" s="286"/>
      <c r="CM525" s="286"/>
      <c r="CN525" s="286"/>
      <c r="CO525" s="286"/>
      <c r="CP525" s="286"/>
      <c r="CQ525" s="286"/>
      <c r="CR525" s="286"/>
      <c r="CS525" s="286"/>
      <c r="CT525" s="286"/>
      <c r="CU525" s="286"/>
      <c r="CV525" s="286"/>
      <c r="CW525" s="286"/>
      <c r="CX525" s="286"/>
      <c r="CY525" s="286"/>
      <c r="CZ525" s="286"/>
      <c r="DA525" s="286"/>
      <c r="DB525" s="286"/>
      <c r="DC525" s="286"/>
      <c r="DD525" s="286"/>
      <c r="DE525" s="286"/>
      <c r="DF525" s="286"/>
      <c r="DG525" s="286"/>
      <c r="DH525" s="286"/>
      <c r="DI525" s="286"/>
      <c r="DJ525" s="286"/>
      <c r="DK525" s="286"/>
      <c r="DL525" s="286"/>
      <c r="DM525" s="286"/>
      <c r="DN525" s="286"/>
      <c r="DO525" s="286"/>
      <c r="DP525" s="286"/>
      <c r="DQ525" s="286"/>
      <c r="DR525" s="286"/>
      <c r="DS525" s="286"/>
      <c r="DT525" s="286"/>
      <c r="DU525" s="286"/>
      <c r="DV525" s="286"/>
      <c r="DW525" s="286"/>
      <c r="DX525" s="286"/>
      <c r="DY525" s="286"/>
      <c r="DZ525" s="286"/>
      <c r="EA525" s="286"/>
      <c r="EB525" s="286"/>
      <c r="EC525" s="286"/>
      <c r="ED525" s="286"/>
      <c r="EE525" s="286"/>
      <c r="EF525" s="286"/>
      <c r="EG525" s="286"/>
      <c r="EH525" s="286"/>
      <c r="EI525" s="286"/>
      <c r="EJ525" s="286"/>
      <c r="EK525" s="286"/>
      <c r="EL525" s="286"/>
      <c r="EM525" s="286"/>
      <c r="EN525" s="286"/>
      <c r="EO525" s="286"/>
      <c r="EP525" s="286"/>
      <c r="EQ525" s="286"/>
      <c r="ER525" s="286"/>
      <c r="ES525" s="286"/>
      <c r="ET525" s="286"/>
      <c r="EU525" s="286"/>
      <c r="EV525" s="286"/>
      <c r="EW525" s="286"/>
      <c r="EX525" s="286"/>
      <c r="EY525" s="286"/>
      <c r="EZ525" s="286"/>
      <c r="FA525" s="286"/>
      <c r="FB525" s="286"/>
      <c r="FC525" s="286"/>
      <c r="FD525" s="286"/>
      <c r="FE525" s="286"/>
      <c r="FF525" s="286"/>
      <c r="FG525" s="286"/>
      <c r="FH525" s="286"/>
      <c r="FI525" s="286"/>
      <c r="FJ525" s="286"/>
      <c r="FK525" s="286"/>
      <c r="FL525" s="286"/>
      <c r="FM525" s="286"/>
      <c r="FN525" s="286"/>
      <c r="FO525" s="286"/>
      <c r="FP525" s="286"/>
      <c r="FQ525" s="286"/>
      <c r="FR525" s="286"/>
      <c r="FS525" s="286"/>
    </row>
    <row r="526" spans="1:175">
      <c r="A526" s="212" t="s">
        <v>3159</v>
      </c>
      <c r="B526" s="212" t="s">
        <v>3160</v>
      </c>
      <c r="C526" s="212" t="s">
        <v>3432</v>
      </c>
      <c r="D526" s="212" t="s">
        <v>3692</v>
      </c>
      <c r="E526" s="212" t="s">
        <v>3702</v>
      </c>
      <c r="F526" s="278">
        <v>1338</v>
      </c>
      <c r="G526" s="278">
        <v>11477</v>
      </c>
      <c r="H526" s="287">
        <f t="shared" si="8"/>
        <v>2.2131218959658447</v>
      </c>
      <c r="I526" s="286">
        <v>36</v>
      </c>
      <c r="J526" s="286">
        <v>254</v>
      </c>
      <c r="K526" s="286">
        <v>162</v>
      </c>
      <c r="L526" s="286">
        <v>92</v>
      </c>
      <c r="M526" s="286">
        <v>206</v>
      </c>
      <c r="N526" s="286">
        <v>118</v>
      </c>
      <c r="O526" s="286">
        <v>88</v>
      </c>
      <c r="P526" s="286">
        <v>36</v>
      </c>
      <c r="Q526" s="286">
        <v>254</v>
      </c>
      <c r="R526" s="286">
        <v>162</v>
      </c>
      <c r="S526" s="286">
        <v>92</v>
      </c>
      <c r="T526" s="286">
        <v>206</v>
      </c>
      <c r="U526" s="286">
        <v>118</v>
      </c>
      <c r="V526" s="286">
        <v>88</v>
      </c>
      <c r="W526" s="286"/>
      <c r="X526" s="286"/>
      <c r="Y526" s="286"/>
      <c r="Z526" s="286"/>
      <c r="AA526" s="286"/>
      <c r="AB526" s="286"/>
      <c r="AC526" s="286"/>
      <c r="AD526" s="286"/>
      <c r="AE526" s="286"/>
      <c r="AF526" s="286"/>
      <c r="AG526" s="286"/>
      <c r="AH526" s="286"/>
      <c r="AI526" s="286"/>
      <c r="AJ526" s="286"/>
      <c r="AK526" s="286"/>
      <c r="AL526" s="286"/>
      <c r="AM526" s="286"/>
      <c r="AN526" s="286"/>
      <c r="AO526" s="286"/>
      <c r="AP526" s="286"/>
      <c r="AQ526" s="286"/>
      <c r="AR526" s="286"/>
      <c r="AS526" s="286"/>
      <c r="AT526" s="286"/>
      <c r="AU526" s="286"/>
      <c r="AV526" s="286"/>
      <c r="AW526" s="286"/>
      <c r="AX526" s="286"/>
      <c r="AY526" s="286"/>
      <c r="AZ526" s="286"/>
      <c r="BA526" s="286"/>
      <c r="BB526" s="286"/>
      <c r="BC526" s="286"/>
      <c r="BD526" s="286"/>
      <c r="BE526" s="286"/>
      <c r="BF526" s="286"/>
      <c r="BG526" s="286"/>
      <c r="BH526" s="286"/>
      <c r="BI526" s="286"/>
      <c r="BJ526" s="286"/>
      <c r="BK526" s="286"/>
      <c r="BL526" s="286"/>
      <c r="BM526" s="286"/>
      <c r="BN526" s="286"/>
      <c r="BO526" s="286"/>
      <c r="BP526" s="286"/>
      <c r="BQ526" s="286"/>
      <c r="BR526" s="286"/>
      <c r="BS526" s="286"/>
      <c r="BT526" s="286"/>
      <c r="BU526" s="286"/>
      <c r="BV526" s="286"/>
      <c r="BW526" s="286"/>
      <c r="BX526" s="286"/>
      <c r="BY526" s="286"/>
      <c r="BZ526" s="286"/>
      <c r="CA526" s="286"/>
      <c r="CB526" s="286"/>
      <c r="CC526" s="286"/>
      <c r="CD526" s="286"/>
      <c r="CE526" s="286"/>
      <c r="CF526" s="286"/>
      <c r="CG526" s="286"/>
      <c r="CH526" s="286"/>
      <c r="CI526" s="286"/>
      <c r="CJ526" s="286"/>
      <c r="CK526" s="286"/>
      <c r="CL526" s="286"/>
      <c r="CM526" s="286"/>
      <c r="CN526" s="286"/>
      <c r="CO526" s="286"/>
      <c r="CP526" s="286"/>
      <c r="CQ526" s="286"/>
      <c r="CR526" s="286"/>
      <c r="CS526" s="286"/>
      <c r="CT526" s="286"/>
      <c r="CU526" s="286"/>
      <c r="CV526" s="286"/>
      <c r="CW526" s="286"/>
      <c r="CX526" s="286"/>
      <c r="CY526" s="286"/>
      <c r="CZ526" s="286"/>
      <c r="DA526" s="286"/>
      <c r="DB526" s="286"/>
      <c r="DC526" s="286"/>
      <c r="DD526" s="286"/>
      <c r="DE526" s="286"/>
      <c r="DF526" s="286"/>
      <c r="DG526" s="286"/>
      <c r="DH526" s="286"/>
      <c r="DI526" s="286"/>
      <c r="DJ526" s="286"/>
      <c r="DK526" s="286"/>
      <c r="DL526" s="286"/>
      <c r="DM526" s="286"/>
      <c r="DN526" s="286"/>
      <c r="DO526" s="286"/>
      <c r="DP526" s="286"/>
      <c r="DQ526" s="286"/>
      <c r="DR526" s="286"/>
      <c r="DS526" s="286"/>
      <c r="DT526" s="286"/>
      <c r="DU526" s="286"/>
      <c r="DV526" s="286"/>
      <c r="DW526" s="286"/>
      <c r="DX526" s="286"/>
      <c r="DY526" s="286"/>
      <c r="DZ526" s="286"/>
      <c r="EA526" s="286"/>
      <c r="EB526" s="286"/>
      <c r="EC526" s="286"/>
      <c r="ED526" s="286"/>
      <c r="EE526" s="286"/>
      <c r="EF526" s="286"/>
      <c r="EG526" s="286"/>
      <c r="EH526" s="286"/>
      <c r="EI526" s="286"/>
      <c r="EJ526" s="286"/>
      <c r="EK526" s="286"/>
      <c r="EL526" s="286"/>
      <c r="EM526" s="286"/>
      <c r="EN526" s="286"/>
      <c r="EO526" s="286"/>
      <c r="EP526" s="286"/>
      <c r="EQ526" s="286"/>
      <c r="ER526" s="286"/>
      <c r="ES526" s="286"/>
      <c r="ET526" s="286"/>
      <c r="EU526" s="286"/>
      <c r="EV526" s="286"/>
      <c r="EW526" s="286"/>
      <c r="EX526" s="286"/>
      <c r="EY526" s="286"/>
      <c r="EZ526" s="286"/>
      <c r="FA526" s="286"/>
      <c r="FB526" s="286"/>
      <c r="FC526" s="286"/>
      <c r="FD526" s="286"/>
      <c r="FE526" s="286"/>
      <c r="FF526" s="286"/>
      <c r="FG526" s="286"/>
      <c r="FH526" s="286"/>
      <c r="FI526" s="286"/>
      <c r="FJ526" s="286"/>
      <c r="FK526" s="286"/>
      <c r="FL526" s="286"/>
      <c r="FM526" s="286"/>
      <c r="FN526" s="286"/>
      <c r="FO526" s="286"/>
      <c r="FP526" s="286"/>
      <c r="FQ526" s="286"/>
      <c r="FR526" s="286"/>
      <c r="FS526" s="286"/>
    </row>
    <row r="527" spans="1:175">
      <c r="A527" s="212" t="s">
        <v>3159</v>
      </c>
      <c r="B527" s="212" t="s">
        <v>3160</v>
      </c>
      <c r="C527" s="212" t="s">
        <v>3172</v>
      </c>
      <c r="D527" s="212" t="s">
        <v>3692</v>
      </c>
      <c r="E527" s="212" t="s">
        <v>3703</v>
      </c>
      <c r="F527" s="278">
        <v>17249</v>
      </c>
      <c r="G527" s="278">
        <v>48206</v>
      </c>
      <c r="H527" s="287">
        <f t="shared" si="8"/>
        <v>4.0596606231589432</v>
      </c>
      <c r="I527" s="286">
        <v>779</v>
      </c>
      <c r="J527" s="286">
        <v>1957</v>
      </c>
      <c r="K527" s="286">
        <v>1212</v>
      </c>
      <c r="L527" s="286">
        <v>732</v>
      </c>
      <c r="M527" s="286">
        <v>999</v>
      </c>
      <c r="N527" s="286">
        <v>448</v>
      </c>
      <c r="O527" s="286">
        <v>540</v>
      </c>
      <c r="P527" s="286">
        <v>779</v>
      </c>
      <c r="Q527" s="286">
        <v>1957</v>
      </c>
      <c r="R527" s="286">
        <v>1212</v>
      </c>
      <c r="S527" s="286">
        <v>732</v>
      </c>
      <c r="T527" s="286">
        <v>999</v>
      </c>
      <c r="U527" s="286">
        <v>448</v>
      </c>
      <c r="V527" s="286">
        <v>540</v>
      </c>
      <c r="W527" s="286"/>
      <c r="X527" s="286"/>
      <c r="Y527" s="286"/>
      <c r="Z527" s="286"/>
      <c r="AA527" s="286"/>
      <c r="AB527" s="286"/>
      <c r="AC527" s="286"/>
      <c r="AD527" s="286"/>
      <c r="AE527" s="286"/>
      <c r="AF527" s="286"/>
      <c r="AG527" s="286"/>
      <c r="AH527" s="286"/>
      <c r="AI527" s="286"/>
      <c r="AJ527" s="286"/>
      <c r="AK527" s="286"/>
      <c r="AL527" s="286"/>
      <c r="AM527" s="286"/>
      <c r="AN527" s="286"/>
      <c r="AO527" s="286"/>
      <c r="AP527" s="286"/>
      <c r="AQ527" s="286"/>
      <c r="AR527" s="286"/>
      <c r="AS527" s="286"/>
      <c r="AT527" s="286"/>
      <c r="AU527" s="286"/>
      <c r="AV527" s="286"/>
      <c r="AW527" s="286"/>
      <c r="AX527" s="286"/>
      <c r="AY527" s="286"/>
      <c r="AZ527" s="286"/>
      <c r="BA527" s="286"/>
      <c r="BB527" s="286"/>
      <c r="BC527" s="286"/>
      <c r="BD527" s="286"/>
      <c r="BE527" s="286"/>
      <c r="BF527" s="286"/>
      <c r="BG527" s="286"/>
      <c r="BH527" s="286"/>
      <c r="BI527" s="286"/>
      <c r="BJ527" s="286"/>
      <c r="BK527" s="286"/>
      <c r="BL527" s="286"/>
      <c r="BM527" s="286"/>
      <c r="BN527" s="286"/>
      <c r="BO527" s="286"/>
      <c r="BP527" s="286"/>
      <c r="BQ527" s="286"/>
      <c r="BR527" s="286"/>
      <c r="BS527" s="286"/>
      <c r="BT527" s="286"/>
      <c r="BU527" s="286"/>
      <c r="BV527" s="286"/>
      <c r="BW527" s="286"/>
      <c r="BX527" s="286"/>
      <c r="BY527" s="286"/>
      <c r="BZ527" s="286"/>
      <c r="CA527" s="286"/>
      <c r="CB527" s="286"/>
      <c r="CC527" s="286"/>
      <c r="CD527" s="286"/>
      <c r="CE527" s="286"/>
      <c r="CF527" s="286"/>
      <c r="CG527" s="286"/>
      <c r="CH527" s="286"/>
      <c r="CI527" s="286"/>
      <c r="CJ527" s="286"/>
      <c r="CK527" s="286"/>
      <c r="CL527" s="286"/>
      <c r="CM527" s="286"/>
      <c r="CN527" s="286"/>
      <c r="CO527" s="286"/>
      <c r="CP527" s="286"/>
      <c r="CQ527" s="286"/>
      <c r="CR527" s="286"/>
      <c r="CS527" s="286"/>
      <c r="CT527" s="286"/>
      <c r="CU527" s="286"/>
      <c r="CV527" s="286"/>
      <c r="CW527" s="286"/>
      <c r="CX527" s="286"/>
      <c r="CY527" s="286"/>
      <c r="CZ527" s="286"/>
      <c r="DA527" s="286"/>
      <c r="DB527" s="286"/>
      <c r="DC527" s="286"/>
      <c r="DD527" s="286"/>
      <c r="DE527" s="286"/>
      <c r="DF527" s="286"/>
      <c r="DG527" s="286"/>
      <c r="DH527" s="286"/>
      <c r="DI527" s="286"/>
      <c r="DJ527" s="286"/>
      <c r="DK527" s="286"/>
      <c r="DL527" s="286"/>
      <c r="DM527" s="286"/>
      <c r="DN527" s="286"/>
      <c r="DO527" s="286"/>
      <c r="DP527" s="286"/>
      <c r="DQ527" s="286"/>
      <c r="DR527" s="286"/>
      <c r="DS527" s="286"/>
      <c r="DT527" s="286"/>
      <c r="DU527" s="286"/>
      <c r="DV527" s="286"/>
      <c r="DW527" s="286"/>
      <c r="DX527" s="286"/>
      <c r="DY527" s="286"/>
      <c r="DZ527" s="286"/>
      <c r="EA527" s="286"/>
      <c r="EB527" s="286"/>
      <c r="EC527" s="286"/>
      <c r="ED527" s="286"/>
      <c r="EE527" s="286"/>
      <c r="EF527" s="286"/>
      <c r="EG527" s="286"/>
      <c r="EH527" s="286"/>
      <c r="EI527" s="286"/>
      <c r="EJ527" s="286"/>
      <c r="EK527" s="286"/>
      <c r="EL527" s="286"/>
      <c r="EM527" s="286"/>
      <c r="EN527" s="286"/>
      <c r="EO527" s="286"/>
      <c r="EP527" s="286"/>
      <c r="EQ527" s="286"/>
      <c r="ER527" s="286"/>
      <c r="ES527" s="286"/>
      <c r="ET527" s="286"/>
      <c r="EU527" s="286"/>
      <c r="EV527" s="286"/>
      <c r="EW527" s="286"/>
      <c r="EX527" s="286"/>
      <c r="EY527" s="286"/>
      <c r="EZ527" s="286"/>
      <c r="FA527" s="286"/>
      <c r="FB527" s="286"/>
      <c r="FC527" s="286"/>
      <c r="FD527" s="286"/>
      <c r="FE527" s="286"/>
      <c r="FF527" s="286"/>
      <c r="FG527" s="286"/>
      <c r="FH527" s="286"/>
      <c r="FI527" s="286"/>
      <c r="FJ527" s="286"/>
      <c r="FK527" s="286"/>
      <c r="FL527" s="286"/>
      <c r="FM527" s="286"/>
      <c r="FN527" s="286"/>
      <c r="FO527" s="286"/>
      <c r="FP527" s="286"/>
      <c r="FQ527" s="286"/>
      <c r="FR527" s="286"/>
      <c r="FS527" s="286"/>
    </row>
    <row r="528" spans="1:175">
      <c r="A528" s="212" t="s">
        <v>3159</v>
      </c>
      <c r="B528" s="212" t="s">
        <v>3160</v>
      </c>
      <c r="C528" s="212" t="s">
        <v>3432</v>
      </c>
      <c r="D528" s="212" t="s">
        <v>3692</v>
      </c>
      <c r="E528" s="212" t="s">
        <v>3704</v>
      </c>
      <c r="F528" s="278">
        <v>11127</v>
      </c>
      <c r="G528" s="278">
        <v>32446</v>
      </c>
      <c r="H528" s="287">
        <f t="shared" si="8"/>
        <v>4.2039080318066944</v>
      </c>
      <c r="I528" s="286">
        <v>532</v>
      </c>
      <c r="J528" s="286">
        <v>1364</v>
      </c>
      <c r="K528" s="286">
        <v>806</v>
      </c>
      <c r="L528" s="286">
        <v>553</v>
      </c>
      <c r="M528" s="286">
        <v>728</v>
      </c>
      <c r="N528" s="286">
        <v>305</v>
      </c>
      <c r="O528" s="286">
        <v>419</v>
      </c>
      <c r="P528" s="286">
        <v>532</v>
      </c>
      <c r="Q528" s="286">
        <v>1364</v>
      </c>
      <c r="R528" s="286">
        <v>806</v>
      </c>
      <c r="S528" s="286">
        <v>553</v>
      </c>
      <c r="T528" s="286">
        <v>728</v>
      </c>
      <c r="U528" s="286">
        <v>305</v>
      </c>
      <c r="V528" s="286">
        <v>419</v>
      </c>
      <c r="W528" s="286"/>
      <c r="X528" s="286"/>
      <c r="Y528" s="286"/>
      <c r="Z528" s="286"/>
      <c r="AA528" s="286"/>
      <c r="AB528" s="286"/>
      <c r="AC528" s="286"/>
      <c r="AD528" s="286"/>
      <c r="AE528" s="286"/>
      <c r="AF528" s="286"/>
      <c r="AG528" s="286"/>
      <c r="AH528" s="286"/>
      <c r="AI528" s="286"/>
      <c r="AJ528" s="286"/>
      <c r="AK528" s="286"/>
      <c r="AL528" s="286"/>
      <c r="AM528" s="286"/>
      <c r="AN528" s="286"/>
      <c r="AO528" s="286"/>
      <c r="AP528" s="286"/>
      <c r="AQ528" s="286"/>
      <c r="AR528" s="286"/>
      <c r="AS528" s="286"/>
      <c r="AT528" s="286"/>
      <c r="AU528" s="286"/>
      <c r="AV528" s="286"/>
      <c r="AW528" s="286"/>
      <c r="AX528" s="286"/>
      <c r="AY528" s="286"/>
      <c r="AZ528" s="286"/>
      <c r="BA528" s="286"/>
      <c r="BB528" s="286"/>
      <c r="BC528" s="286"/>
      <c r="BD528" s="286"/>
      <c r="BE528" s="286"/>
      <c r="BF528" s="286"/>
      <c r="BG528" s="286"/>
      <c r="BH528" s="286"/>
      <c r="BI528" s="286"/>
      <c r="BJ528" s="286"/>
      <c r="BK528" s="286"/>
      <c r="BL528" s="286"/>
      <c r="BM528" s="286"/>
      <c r="BN528" s="286"/>
      <c r="BO528" s="286"/>
      <c r="BP528" s="286"/>
      <c r="BQ528" s="286"/>
      <c r="BR528" s="286"/>
      <c r="BS528" s="286"/>
      <c r="BT528" s="286"/>
      <c r="BU528" s="286"/>
      <c r="BV528" s="286"/>
      <c r="BW528" s="286"/>
      <c r="BX528" s="286"/>
      <c r="BY528" s="286"/>
      <c r="BZ528" s="286"/>
      <c r="CA528" s="286"/>
      <c r="CB528" s="286"/>
      <c r="CC528" s="286"/>
      <c r="CD528" s="286"/>
      <c r="CE528" s="286"/>
      <c r="CF528" s="286"/>
      <c r="CG528" s="286"/>
      <c r="CH528" s="286"/>
      <c r="CI528" s="286"/>
      <c r="CJ528" s="286"/>
      <c r="CK528" s="286"/>
      <c r="CL528" s="286"/>
      <c r="CM528" s="286"/>
      <c r="CN528" s="286"/>
      <c r="CO528" s="286"/>
      <c r="CP528" s="286"/>
      <c r="CQ528" s="286"/>
      <c r="CR528" s="286"/>
      <c r="CS528" s="286"/>
      <c r="CT528" s="286"/>
      <c r="CU528" s="286"/>
      <c r="CV528" s="286"/>
      <c r="CW528" s="286"/>
      <c r="CX528" s="286"/>
      <c r="CY528" s="286"/>
      <c r="CZ528" s="286"/>
      <c r="DA528" s="286"/>
      <c r="DB528" s="286"/>
      <c r="DC528" s="286"/>
      <c r="DD528" s="286"/>
      <c r="DE528" s="286"/>
      <c r="DF528" s="286"/>
      <c r="DG528" s="286"/>
      <c r="DH528" s="286"/>
      <c r="DI528" s="286"/>
      <c r="DJ528" s="286"/>
      <c r="DK528" s="286"/>
      <c r="DL528" s="286"/>
      <c r="DM528" s="286"/>
      <c r="DN528" s="286"/>
      <c r="DO528" s="286"/>
      <c r="DP528" s="286"/>
      <c r="DQ528" s="286"/>
      <c r="DR528" s="286"/>
      <c r="DS528" s="286"/>
      <c r="DT528" s="286"/>
      <c r="DU528" s="286"/>
      <c r="DV528" s="286"/>
      <c r="DW528" s="286"/>
      <c r="DX528" s="286"/>
      <c r="DY528" s="286"/>
      <c r="DZ528" s="286"/>
      <c r="EA528" s="286"/>
      <c r="EB528" s="286"/>
      <c r="EC528" s="286"/>
      <c r="ED528" s="286"/>
      <c r="EE528" s="286"/>
      <c r="EF528" s="286"/>
      <c r="EG528" s="286"/>
      <c r="EH528" s="286"/>
      <c r="EI528" s="286"/>
      <c r="EJ528" s="286"/>
      <c r="EK528" s="286"/>
      <c r="EL528" s="286"/>
      <c r="EM528" s="286"/>
      <c r="EN528" s="286"/>
      <c r="EO528" s="286"/>
      <c r="EP528" s="286"/>
      <c r="EQ528" s="286"/>
      <c r="ER528" s="286"/>
      <c r="ES528" s="286"/>
      <c r="ET528" s="286"/>
      <c r="EU528" s="286"/>
      <c r="EV528" s="286"/>
      <c r="EW528" s="286"/>
      <c r="EX528" s="286"/>
      <c r="EY528" s="286"/>
      <c r="EZ528" s="286"/>
      <c r="FA528" s="286"/>
      <c r="FB528" s="286"/>
      <c r="FC528" s="286"/>
      <c r="FD528" s="286"/>
      <c r="FE528" s="286"/>
      <c r="FF528" s="286"/>
      <c r="FG528" s="286"/>
      <c r="FH528" s="286"/>
      <c r="FI528" s="286"/>
      <c r="FJ528" s="286"/>
      <c r="FK528" s="286"/>
      <c r="FL528" s="286"/>
      <c r="FM528" s="286"/>
      <c r="FN528" s="286"/>
      <c r="FO528" s="286"/>
      <c r="FP528" s="286"/>
      <c r="FQ528" s="286"/>
      <c r="FR528" s="286"/>
      <c r="FS528" s="286"/>
    </row>
    <row r="529" spans="1:175">
      <c r="A529" s="212" t="s">
        <v>3159</v>
      </c>
      <c r="B529" s="212" t="s">
        <v>3160</v>
      </c>
      <c r="C529" s="212" t="s">
        <v>3432</v>
      </c>
      <c r="D529" s="212" t="s">
        <v>3692</v>
      </c>
      <c r="E529" s="212" t="s">
        <v>3705</v>
      </c>
      <c r="F529" s="278">
        <v>6122</v>
      </c>
      <c r="G529" s="278">
        <v>15760</v>
      </c>
      <c r="H529" s="287">
        <f t="shared" si="8"/>
        <v>3.7626903553299491</v>
      </c>
      <c r="I529" s="286">
        <v>247</v>
      </c>
      <c r="J529" s="286">
        <v>593</v>
      </c>
      <c r="K529" s="286">
        <v>406</v>
      </c>
      <c r="L529" s="286">
        <v>179</v>
      </c>
      <c r="M529" s="286">
        <v>271</v>
      </c>
      <c r="N529" s="286">
        <v>143</v>
      </c>
      <c r="O529" s="286">
        <v>121</v>
      </c>
      <c r="P529" s="286">
        <v>247</v>
      </c>
      <c r="Q529" s="286">
        <v>593</v>
      </c>
      <c r="R529" s="286">
        <v>406</v>
      </c>
      <c r="S529" s="286">
        <v>179</v>
      </c>
      <c r="T529" s="286">
        <v>271</v>
      </c>
      <c r="U529" s="286">
        <v>143</v>
      </c>
      <c r="V529" s="286">
        <v>121</v>
      </c>
      <c r="W529" s="286"/>
      <c r="X529" s="286"/>
      <c r="Y529" s="286"/>
      <c r="Z529" s="286"/>
      <c r="AA529" s="286"/>
      <c r="AB529" s="286"/>
      <c r="AC529" s="286"/>
      <c r="AD529" s="286"/>
      <c r="AE529" s="286"/>
      <c r="AF529" s="286"/>
      <c r="AG529" s="286"/>
      <c r="AH529" s="286"/>
      <c r="AI529" s="286"/>
      <c r="AJ529" s="286"/>
      <c r="AK529" s="286"/>
      <c r="AL529" s="286"/>
      <c r="AM529" s="286"/>
      <c r="AN529" s="286"/>
      <c r="AO529" s="286"/>
      <c r="AP529" s="286"/>
      <c r="AQ529" s="286"/>
      <c r="AR529" s="286"/>
      <c r="AS529" s="286"/>
      <c r="AT529" s="286"/>
      <c r="AU529" s="286"/>
      <c r="AV529" s="286"/>
      <c r="AW529" s="286"/>
      <c r="AX529" s="286"/>
      <c r="AY529" s="286"/>
      <c r="AZ529" s="286"/>
      <c r="BA529" s="286"/>
      <c r="BB529" s="286"/>
      <c r="BC529" s="286"/>
      <c r="BD529" s="286"/>
      <c r="BE529" s="286"/>
      <c r="BF529" s="286"/>
      <c r="BG529" s="286"/>
      <c r="BH529" s="286"/>
      <c r="BI529" s="286"/>
      <c r="BJ529" s="286"/>
      <c r="BK529" s="286"/>
      <c r="BL529" s="286"/>
      <c r="BM529" s="286"/>
      <c r="BN529" s="286"/>
      <c r="BO529" s="286"/>
      <c r="BP529" s="286"/>
      <c r="BQ529" s="286"/>
      <c r="BR529" s="286"/>
      <c r="BS529" s="286"/>
      <c r="BT529" s="286"/>
      <c r="BU529" s="286"/>
      <c r="BV529" s="286"/>
      <c r="BW529" s="286"/>
      <c r="BX529" s="286"/>
      <c r="BY529" s="286"/>
      <c r="BZ529" s="286"/>
      <c r="CA529" s="286"/>
      <c r="CB529" s="286"/>
      <c r="CC529" s="286"/>
      <c r="CD529" s="286"/>
      <c r="CE529" s="286"/>
      <c r="CF529" s="286"/>
      <c r="CG529" s="286"/>
      <c r="CH529" s="286"/>
      <c r="CI529" s="286"/>
      <c r="CJ529" s="286"/>
      <c r="CK529" s="286"/>
      <c r="CL529" s="286"/>
      <c r="CM529" s="286"/>
      <c r="CN529" s="286"/>
      <c r="CO529" s="286"/>
      <c r="CP529" s="286"/>
      <c r="CQ529" s="286"/>
      <c r="CR529" s="286"/>
      <c r="CS529" s="286"/>
      <c r="CT529" s="286"/>
      <c r="CU529" s="286"/>
      <c r="CV529" s="286"/>
      <c r="CW529" s="286"/>
      <c r="CX529" s="286"/>
      <c r="CY529" s="286"/>
      <c r="CZ529" s="286"/>
      <c r="DA529" s="286"/>
      <c r="DB529" s="286"/>
      <c r="DC529" s="286"/>
      <c r="DD529" s="286"/>
      <c r="DE529" s="286"/>
      <c r="DF529" s="286"/>
      <c r="DG529" s="286"/>
      <c r="DH529" s="286"/>
      <c r="DI529" s="286"/>
      <c r="DJ529" s="286"/>
      <c r="DK529" s="286"/>
      <c r="DL529" s="286"/>
      <c r="DM529" s="286"/>
      <c r="DN529" s="286"/>
      <c r="DO529" s="286"/>
      <c r="DP529" s="286"/>
      <c r="DQ529" s="286"/>
      <c r="DR529" s="286"/>
      <c r="DS529" s="286"/>
      <c r="DT529" s="286"/>
      <c r="DU529" s="286"/>
      <c r="DV529" s="286"/>
      <c r="DW529" s="286"/>
      <c r="DX529" s="286"/>
      <c r="DY529" s="286"/>
      <c r="DZ529" s="286"/>
      <c r="EA529" s="286"/>
      <c r="EB529" s="286"/>
      <c r="EC529" s="286"/>
      <c r="ED529" s="286"/>
      <c r="EE529" s="286"/>
      <c r="EF529" s="286"/>
      <c r="EG529" s="286"/>
      <c r="EH529" s="286"/>
      <c r="EI529" s="286"/>
      <c r="EJ529" s="286"/>
      <c r="EK529" s="286"/>
      <c r="EL529" s="286"/>
      <c r="EM529" s="286"/>
      <c r="EN529" s="286"/>
      <c r="EO529" s="286"/>
      <c r="EP529" s="286"/>
      <c r="EQ529" s="286"/>
      <c r="ER529" s="286"/>
      <c r="ES529" s="286"/>
      <c r="ET529" s="286"/>
      <c r="EU529" s="286"/>
      <c r="EV529" s="286"/>
      <c r="EW529" s="286"/>
      <c r="EX529" s="286"/>
      <c r="EY529" s="286"/>
      <c r="EZ529" s="286"/>
      <c r="FA529" s="286"/>
      <c r="FB529" s="286"/>
      <c r="FC529" s="286"/>
      <c r="FD529" s="286"/>
      <c r="FE529" s="286"/>
      <c r="FF529" s="286"/>
      <c r="FG529" s="286"/>
      <c r="FH529" s="286"/>
      <c r="FI529" s="286"/>
      <c r="FJ529" s="286"/>
      <c r="FK529" s="286"/>
      <c r="FL529" s="286"/>
      <c r="FM529" s="286"/>
      <c r="FN529" s="286"/>
      <c r="FO529" s="286"/>
      <c r="FP529" s="286"/>
      <c r="FQ529" s="286"/>
      <c r="FR529" s="286"/>
      <c r="FS529" s="286"/>
    </row>
    <row r="530" spans="1:175">
      <c r="A530" s="212" t="s">
        <v>3159</v>
      </c>
      <c r="B530" s="212" t="s">
        <v>3160</v>
      </c>
      <c r="C530" s="212" t="s">
        <v>3172</v>
      </c>
      <c r="D530" s="212" t="s">
        <v>3692</v>
      </c>
      <c r="E530" s="212" t="s">
        <v>3706</v>
      </c>
      <c r="F530" s="278">
        <v>7350</v>
      </c>
      <c r="G530" s="278">
        <v>14564</v>
      </c>
      <c r="H530" s="287">
        <f t="shared" si="8"/>
        <v>4.9162318044493274</v>
      </c>
      <c r="I530" s="286">
        <v>298</v>
      </c>
      <c r="J530" s="286">
        <v>716</v>
      </c>
      <c r="K530" s="286">
        <v>379</v>
      </c>
      <c r="L530" s="286">
        <v>337</v>
      </c>
      <c r="M530" s="286">
        <v>374</v>
      </c>
      <c r="N530" s="286">
        <v>131</v>
      </c>
      <c r="O530" s="286">
        <v>243</v>
      </c>
      <c r="P530" s="286">
        <v>298</v>
      </c>
      <c r="Q530" s="286">
        <v>716</v>
      </c>
      <c r="R530" s="286">
        <v>379</v>
      </c>
      <c r="S530" s="286">
        <v>337</v>
      </c>
      <c r="T530" s="286">
        <v>374</v>
      </c>
      <c r="U530" s="286">
        <v>131</v>
      </c>
      <c r="V530" s="286">
        <v>243</v>
      </c>
      <c r="W530" s="286"/>
      <c r="X530" s="286"/>
      <c r="Y530" s="286"/>
      <c r="Z530" s="286"/>
      <c r="AA530" s="286"/>
      <c r="AB530" s="286"/>
      <c r="AC530" s="286"/>
      <c r="AD530" s="286"/>
      <c r="AE530" s="286"/>
      <c r="AF530" s="286"/>
      <c r="AG530" s="286"/>
      <c r="AH530" s="286"/>
      <c r="AI530" s="286"/>
      <c r="AJ530" s="286"/>
      <c r="AK530" s="286"/>
      <c r="AL530" s="286"/>
      <c r="AM530" s="286"/>
      <c r="AN530" s="286"/>
      <c r="AO530" s="286"/>
      <c r="AP530" s="286"/>
      <c r="AQ530" s="286"/>
      <c r="AR530" s="286"/>
      <c r="AS530" s="286"/>
      <c r="AT530" s="286"/>
      <c r="AU530" s="286"/>
      <c r="AV530" s="286"/>
      <c r="AW530" s="286"/>
      <c r="AX530" s="286"/>
      <c r="AY530" s="286"/>
      <c r="AZ530" s="286"/>
      <c r="BA530" s="286"/>
      <c r="BB530" s="286"/>
      <c r="BC530" s="286"/>
      <c r="BD530" s="286"/>
      <c r="BE530" s="286"/>
      <c r="BF530" s="286"/>
      <c r="BG530" s="286"/>
      <c r="BH530" s="286"/>
      <c r="BI530" s="286"/>
      <c r="BJ530" s="286"/>
      <c r="BK530" s="286"/>
      <c r="BL530" s="286"/>
      <c r="BM530" s="286"/>
      <c r="BN530" s="286"/>
      <c r="BO530" s="286"/>
      <c r="BP530" s="286"/>
      <c r="BQ530" s="286"/>
      <c r="BR530" s="286"/>
      <c r="BS530" s="286"/>
      <c r="BT530" s="286"/>
      <c r="BU530" s="286"/>
      <c r="BV530" s="286"/>
      <c r="BW530" s="286"/>
      <c r="BX530" s="286"/>
      <c r="BY530" s="286"/>
      <c r="BZ530" s="286"/>
      <c r="CA530" s="286"/>
      <c r="CB530" s="286"/>
      <c r="CC530" s="286"/>
      <c r="CD530" s="286"/>
      <c r="CE530" s="286"/>
      <c r="CF530" s="286"/>
      <c r="CG530" s="286"/>
      <c r="CH530" s="286"/>
      <c r="CI530" s="286"/>
      <c r="CJ530" s="286"/>
      <c r="CK530" s="286"/>
      <c r="CL530" s="286"/>
      <c r="CM530" s="286"/>
      <c r="CN530" s="286"/>
      <c r="CO530" s="286"/>
      <c r="CP530" s="286"/>
      <c r="CQ530" s="286"/>
      <c r="CR530" s="286"/>
      <c r="CS530" s="286"/>
      <c r="CT530" s="286"/>
      <c r="CU530" s="286"/>
      <c r="CV530" s="286"/>
      <c r="CW530" s="286"/>
      <c r="CX530" s="286"/>
      <c r="CY530" s="286"/>
      <c r="CZ530" s="286"/>
      <c r="DA530" s="286"/>
      <c r="DB530" s="286"/>
      <c r="DC530" s="286"/>
      <c r="DD530" s="286"/>
      <c r="DE530" s="286"/>
      <c r="DF530" s="286"/>
      <c r="DG530" s="286"/>
      <c r="DH530" s="286"/>
      <c r="DI530" s="286"/>
      <c r="DJ530" s="286"/>
      <c r="DK530" s="286"/>
      <c r="DL530" s="286"/>
      <c r="DM530" s="286"/>
      <c r="DN530" s="286"/>
      <c r="DO530" s="286"/>
      <c r="DP530" s="286"/>
      <c r="DQ530" s="286"/>
      <c r="DR530" s="286"/>
      <c r="DS530" s="286"/>
      <c r="DT530" s="286"/>
      <c r="DU530" s="286"/>
      <c r="DV530" s="286"/>
      <c r="DW530" s="286"/>
      <c r="DX530" s="286"/>
      <c r="DY530" s="286"/>
      <c r="DZ530" s="286"/>
      <c r="EA530" s="286"/>
      <c r="EB530" s="286"/>
      <c r="EC530" s="286"/>
      <c r="ED530" s="286"/>
      <c r="EE530" s="286"/>
      <c r="EF530" s="286"/>
      <c r="EG530" s="286"/>
      <c r="EH530" s="286"/>
      <c r="EI530" s="286"/>
      <c r="EJ530" s="286"/>
      <c r="EK530" s="286"/>
      <c r="EL530" s="286"/>
      <c r="EM530" s="286"/>
      <c r="EN530" s="286"/>
      <c r="EO530" s="286"/>
      <c r="EP530" s="286"/>
      <c r="EQ530" s="286"/>
      <c r="ER530" s="286"/>
      <c r="ES530" s="286"/>
      <c r="ET530" s="286"/>
      <c r="EU530" s="286"/>
      <c r="EV530" s="286"/>
      <c r="EW530" s="286"/>
      <c r="EX530" s="286"/>
      <c r="EY530" s="286"/>
      <c r="EZ530" s="286"/>
      <c r="FA530" s="286"/>
      <c r="FB530" s="286"/>
      <c r="FC530" s="286"/>
      <c r="FD530" s="286"/>
      <c r="FE530" s="286"/>
      <c r="FF530" s="286"/>
      <c r="FG530" s="286"/>
      <c r="FH530" s="286"/>
      <c r="FI530" s="286"/>
      <c r="FJ530" s="286"/>
      <c r="FK530" s="286"/>
      <c r="FL530" s="286"/>
      <c r="FM530" s="286"/>
      <c r="FN530" s="286"/>
      <c r="FO530" s="286"/>
      <c r="FP530" s="286"/>
      <c r="FQ530" s="286"/>
      <c r="FR530" s="286"/>
      <c r="FS530" s="286"/>
    </row>
    <row r="531" spans="1:175">
      <c r="A531" s="212" t="s">
        <v>3159</v>
      </c>
      <c r="B531" s="212" t="s">
        <v>3160</v>
      </c>
      <c r="C531" s="212" t="s">
        <v>3172</v>
      </c>
      <c r="D531" s="212" t="s">
        <v>3692</v>
      </c>
      <c r="E531" s="212" t="s">
        <v>3707</v>
      </c>
      <c r="F531" s="278">
        <v>32246</v>
      </c>
      <c r="G531" s="278">
        <v>200251</v>
      </c>
      <c r="H531" s="287">
        <f t="shared" si="8"/>
        <v>2.9018581679991611</v>
      </c>
      <c r="I531" s="286">
        <v>1264</v>
      </c>
      <c r="J531" s="286">
        <v>5811</v>
      </c>
      <c r="K531" s="286">
        <v>2872</v>
      </c>
      <c r="L531" s="286">
        <v>2938</v>
      </c>
      <c r="M531" s="286">
        <v>4238</v>
      </c>
      <c r="N531" s="286">
        <v>1600</v>
      </c>
      <c r="O531" s="286">
        <v>2638</v>
      </c>
      <c r="P531" s="286">
        <v>1264</v>
      </c>
      <c r="Q531" s="286">
        <v>5811</v>
      </c>
      <c r="R531" s="286">
        <v>2872</v>
      </c>
      <c r="S531" s="286">
        <v>2938</v>
      </c>
      <c r="T531" s="286">
        <v>4238</v>
      </c>
      <c r="U531" s="286">
        <v>1600</v>
      </c>
      <c r="V531" s="286">
        <v>2638</v>
      </c>
      <c r="W531" s="286"/>
      <c r="X531" s="286"/>
      <c r="Y531" s="286"/>
      <c r="Z531" s="286"/>
      <c r="AA531" s="286"/>
      <c r="AB531" s="286"/>
      <c r="AC531" s="286"/>
      <c r="AD531" s="286"/>
      <c r="AE531" s="286"/>
      <c r="AF531" s="286"/>
      <c r="AG531" s="286"/>
      <c r="AH531" s="286"/>
      <c r="AI531" s="286"/>
      <c r="AJ531" s="286"/>
      <c r="AK531" s="286"/>
      <c r="AL531" s="286"/>
      <c r="AM531" s="286"/>
      <c r="AN531" s="286"/>
      <c r="AO531" s="286"/>
      <c r="AP531" s="286"/>
      <c r="AQ531" s="286"/>
      <c r="AR531" s="286"/>
      <c r="AS531" s="286"/>
      <c r="AT531" s="286"/>
      <c r="AU531" s="286"/>
      <c r="AV531" s="286"/>
      <c r="AW531" s="286"/>
      <c r="AX531" s="286"/>
      <c r="AY531" s="286"/>
      <c r="AZ531" s="286"/>
      <c r="BA531" s="286"/>
      <c r="BB531" s="286"/>
      <c r="BC531" s="286"/>
      <c r="BD531" s="286"/>
      <c r="BE531" s="286"/>
      <c r="BF531" s="286"/>
      <c r="BG531" s="286"/>
      <c r="BH531" s="286"/>
      <c r="BI531" s="286"/>
      <c r="BJ531" s="286"/>
      <c r="BK531" s="286"/>
      <c r="BL531" s="286"/>
      <c r="BM531" s="286"/>
      <c r="BN531" s="286"/>
      <c r="BO531" s="286"/>
      <c r="BP531" s="286"/>
      <c r="BQ531" s="286"/>
      <c r="BR531" s="286"/>
      <c r="BS531" s="286"/>
      <c r="BT531" s="286"/>
      <c r="BU531" s="286"/>
      <c r="BV531" s="286"/>
      <c r="BW531" s="286"/>
      <c r="BX531" s="286"/>
      <c r="BY531" s="286"/>
      <c r="BZ531" s="286"/>
      <c r="CA531" s="286"/>
      <c r="CB531" s="286"/>
      <c r="CC531" s="286"/>
      <c r="CD531" s="286"/>
      <c r="CE531" s="286"/>
      <c r="CF531" s="286"/>
      <c r="CG531" s="286"/>
      <c r="CH531" s="286"/>
      <c r="CI531" s="286"/>
      <c r="CJ531" s="286"/>
      <c r="CK531" s="286"/>
      <c r="CL531" s="286"/>
      <c r="CM531" s="286"/>
      <c r="CN531" s="286"/>
      <c r="CO531" s="286"/>
      <c r="CP531" s="286"/>
      <c r="CQ531" s="286"/>
      <c r="CR531" s="286"/>
      <c r="CS531" s="286"/>
      <c r="CT531" s="286"/>
      <c r="CU531" s="286"/>
      <c r="CV531" s="286"/>
      <c r="CW531" s="286"/>
      <c r="CX531" s="286"/>
      <c r="CY531" s="286"/>
      <c r="CZ531" s="286"/>
      <c r="DA531" s="286"/>
      <c r="DB531" s="286"/>
      <c r="DC531" s="286"/>
      <c r="DD531" s="286"/>
      <c r="DE531" s="286"/>
      <c r="DF531" s="286"/>
      <c r="DG531" s="286"/>
      <c r="DH531" s="286"/>
      <c r="DI531" s="286"/>
      <c r="DJ531" s="286"/>
      <c r="DK531" s="286"/>
      <c r="DL531" s="286"/>
      <c r="DM531" s="286"/>
      <c r="DN531" s="286"/>
      <c r="DO531" s="286"/>
      <c r="DP531" s="286"/>
      <c r="DQ531" s="286"/>
      <c r="DR531" s="286"/>
      <c r="DS531" s="286"/>
      <c r="DT531" s="286"/>
      <c r="DU531" s="286"/>
      <c r="DV531" s="286"/>
      <c r="DW531" s="286"/>
      <c r="DX531" s="286"/>
      <c r="DY531" s="286"/>
      <c r="DZ531" s="286"/>
      <c r="EA531" s="286"/>
      <c r="EB531" s="286"/>
      <c r="EC531" s="286"/>
      <c r="ED531" s="286"/>
      <c r="EE531" s="286"/>
      <c r="EF531" s="286"/>
      <c r="EG531" s="286"/>
      <c r="EH531" s="286"/>
      <c r="EI531" s="286"/>
      <c r="EJ531" s="286"/>
      <c r="EK531" s="286"/>
      <c r="EL531" s="286"/>
      <c r="EM531" s="286"/>
      <c r="EN531" s="286"/>
      <c r="EO531" s="286"/>
      <c r="EP531" s="286"/>
      <c r="EQ531" s="286"/>
      <c r="ER531" s="286"/>
      <c r="ES531" s="286"/>
      <c r="ET531" s="286"/>
      <c r="EU531" s="286"/>
      <c r="EV531" s="286"/>
      <c r="EW531" s="286"/>
      <c r="EX531" s="286"/>
      <c r="EY531" s="286"/>
      <c r="EZ531" s="286"/>
      <c r="FA531" s="286"/>
      <c r="FB531" s="286"/>
      <c r="FC531" s="286"/>
      <c r="FD531" s="286"/>
      <c r="FE531" s="286"/>
      <c r="FF531" s="286"/>
      <c r="FG531" s="286"/>
      <c r="FH531" s="286"/>
      <c r="FI531" s="286"/>
      <c r="FJ531" s="286"/>
      <c r="FK531" s="286"/>
      <c r="FL531" s="286"/>
      <c r="FM531" s="286"/>
      <c r="FN531" s="286"/>
      <c r="FO531" s="286"/>
      <c r="FP531" s="286"/>
      <c r="FQ531" s="286"/>
      <c r="FR531" s="286"/>
      <c r="FS531" s="286"/>
    </row>
    <row r="532" spans="1:175">
      <c r="A532" s="212" t="s">
        <v>3159</v>
      </c>
      <c r="B532" s="212" t="s">
        <v>3160</v>
      </c>
      <c r="C532" s="212" t="s">
        <v>3432</v>
      </c>
      <c r="D532" s="212" t="s">
        <v>3692</v>
      </c>
      <c r="E532" s="212" t="s">
        <v>3708</v>
      </c>
      <c r="F532" s="278">
        <v>2808</v>
      </c>
      <c r="G532" s="278">
        <v>43732</v>
      </c>
      <c r="H532" s="287">
        <f t="shared" si="8"/>
        <v>1.0975944388548431</v>
      </c>
      <c r="I532" s="286">
        <v>87</v>
      </c>
      <c r="J532" s="286">
        <v>480</v>
      </c>
      <c r="K532" s="286">
        <v>290</v>
      </c>
      <c r="L532" s="286">
        <v>190</v>
      </c>
      <c r="M532" s="286">
        <v>357</v>
      </c>
      <c r="N532" s="286">
        <v>174</v>
      </c>
      <c r="O532" s="286">
        <v>183</v>
      </c>
      <c r="P532" s="286">
        <v>87</v>
      </c>
      <c r="Q532" s="286">
        <v>480</v>
      </c>
      <c r="R532" s="286">
        <v>290</v>
      </c>
      <c r="S532" s="286">
        <v>190</v>
      </c>
      <c r="T532" s="286">
        <v>357</v>
      </c>
      <c r="U532" s="286">
        <v>174</v>
      </c>
      <c r="V532" s="286">
        <v>183</v>
      </c>
      <c r="W532" s="286"/>
      <c r="X532" s="286"/>
      <c r="Y532" s="286"/>
      <c r="Z532" s="286"/>
      <c r="AA532" s="286"/>
      <c r="AB532" s="286"/>
      <c r="AC532" s="286"/>
      <c r="AD532" s="286"/>
      <c r="AE532" s="286"/>
      <c r="AF532" s="286"/>
      <c r="AG532" s="286"/>
      <c r="AH532" s="286"/>
      <c r="AI532" s="286"/>
      <c r="AJ532" s="286"/>
      <c r="AK532" s="286"/>
      <c r="AL532" s="286"/>
      <c r="AM532" s="286"/>
      <c r="AN532" s="286"/>
      <c r="AO532" s="286"/>
      <c r="AP532" s="286"/>
      <c r="AQ532" s="286"/>
      <c r="AR532" s="286"/>
      <c r="AS532" s="286"/>
      <c r="AT532" s="286"/>
      <c r="AU532" s="286"/>
      <c r="AV532" s="286"/>
      <c r="AW532" s="286"/>
      <c r="AX532" s="286"/>
      <c r="AY532" s="286"/>
      <c r="AZ532" s="286"/>
      <c r="BA532" s="286"/>
      <c r="BB532" s="286"/>
      <c r="BC532" s="286"/>
      <c r="BD532" s="286"/>
      <c r="BE532" s="286"/>
      <c r="BF532" s="286"/>
      <c r="BG532" s="286"/>
      <c r="BH532" s="286"/>
      <c r="BI532" s="286"/>
      <c r="BJ532" s="286"/>
      <c r="BK532" s="286"/>
      <c r="BL532" s="286"/>
      <c r="BM532" s="286"/>
      <c r="BN532" s="286"/>
      <c r="BO532" s="286"/>
      <c r="BP532" s="286"/>
      <c r="BQ532" s="286"/>
      <c r="BR532" s="286"/>
      <c r="BS532" s="286"/>
      <c r="BT532" s="286"/>
      <c r="BU532" s="286"/>
      <c r="BV532" s="286"/>
      <c r="BW532" s="286"/>
      <c r="BX532" s="286"/>
      <c r="BY532" s="286"/>
      <c r="BZ532" s="286"/>
      <c r="CA532" s="286"/>
      <c r="CB532" s="286"/>
      <c r="CC532" s="286"/>
      <c r="CD532" s="286"/>
      <c r="CE532" s="286"/>
      <c r="CF532" s="286"/>
      <c r="CG532" s="286"/>
      <c r="CH532" s="286"/>
      <c r="CI532" s="286"/>
      <c r="CJ532" s="286"/>
      <c r="CK532" s="286"/>
      <c r="CL532" s="286"/>
      <c r="CM532" s="286"/>
      <c r="CN532" s="286"/>
      <c r="CO532" s="286"/>
      <c r="CP532" s="286"/>
      <c r="CQ532" s="286"/>
      <c r="CR532" s="286"/>
      <c r="CS532" s="286"/>
      <c r="CT532" s="286"/>
      <c r="CU532" s="286"/>
      <c r="CV532" s="286"/>
      <c r="CW532" s="286"/>
      <c r="CX532" s="286"/>
      <c r="CY532" s="286"/>
      <c r="CZ532" s="286"/>
      <c r="DA532" s="286"/>
      <c r="DB532" s="286"/>
      <c r="DC532" s="286"/>
      <c r="DD532" s="286"/>
      <c r="DE532" s="286"/>
      <c r="DF532" s="286"/>
      <c r="DG532" s="286"/>
      <c r="DH532" s="286"/>
      <c r="DI532" s="286"/>
      <c r="DJ532" s="286"/>
      <c r="DK532" s="286"/>
      <c r="DL532" s="286"/>
      <c r="DM532" s="286"/>
      <c r="DN532" s="286"/>
      <c r="DO532" s="286"/>
      <c r="DP532" s="286"/>
      <c r="DQ532" s="286"/>
      <c r="DR532" s="286"/>
      <c r="DS532" s="286"/>
      <c r="DT532" s="286"/>
      <c r="DU532" s="286"/>
      <c r="DV532" s="286"/>
      <c r="DW532" s="286"/>
      <c r="DX532" s="286"/>
      <c r="DY532" s="286"/>
      <c r="DZ532" s="286"/>
      <c r="EA532" s="286"/>
      <c r="EB532" s="286"/>
      <c r="EC532" s="286"/>
      <c r="ED532" s="286"/>
      <c r="EE532" s="286"/>
      <c r="EF532" s="286"/>
      <c r="EG532" s="286"/>
      <c r="EH532" s="286"/>
      <c r="EI532" s="286"/>
      <c r="EJ532" s="286"/>
      <c r="EK532" s="286"/>
      <c r="EL532" s="286"/>
      <c r="EM532" s="286"/>
      <c r="EN532" s="286"/>
      <c r="EO532" s="286"/>
      <c r="EP532" s="286"/>
      <c r="EQ532" s="286"/>
      <c r="ER532" s="286"/>
      <c r="ES532" s="286"/>
      <c r="ET532" s="286"/>
      <c r="EU532" s="286"/>
      <c r="EV532" s="286"/>
      <c r="EW532" s="286"/>
      <c r="EX532" s="286"/>
      <c r="EY532" s="286"/>
      <c r="EZ532" s="286"/>
      <c r="FA532" s="286"/>
      <c r="FB532" s="286"/>
      <c r="FC532" s="286"/>
      <c r="FD532" s="286"/>
      <c r="FE532" s="286"/>
      <c r="FF532" s="286"/>
      <c r="FG532" s="286"/>
      <c r="FH532" s="286"/>
      <c r="FI532" s="286"/>
      <c r="FJ532" s="286"/>
      <c r="FK532" s="286"/>
      <c r="FL532" s="286"/>
      <c r="FM532" s="286"/>
      <c r="FN532" s="286"/>
      <c r="FO532" s="286"/>
      <c r="FP532" s="286"/>
      <c r="FQ532" s="286"/>
      <c r="FR532" s="286"/>
      <c r="FS532" s="286"/>
    </row>
    <row r="533" spans="1:175">
      <c r="A533" s="212" t="s">
        <v>3159</v>
      </c>
      <c r="B533" s="212" t="s">
        <v>3160</v>
      </c>
      <c r="C533" s="212" t="s">
        <v>3432</v>
      </c>
      <c r="D533" s="212" t="s">
        <v>3692</v>
      </c>
      <c r="E533" s="212" t="s">
        <v>3709</v>
      </c>
      <c r="F533" s="278">
        <v>29438</v>
      </c>
      <c r="G533" s="278">
        <v>156519</v>
      </c>
      <c r="H533" s="287">
        <f t="shared" si="8"/>
        <v>3.4059762712514137</v>
      </c>
      <c r="I533" s="286">
        <v>1177</v>
      </c>
      <c r="J533" s="286">
        <v>5331</v>
      </c>
      <c r="K533" s="286">
        <v>2582</v>
      </c>
      <c r="L533" s="286">
        <v>2748</v>
      </c>
      <c r="M533" s="286">
        <v>3881</v>
      </c>
      <c r="N533" s="286">
        <v>1426</v>
      </c>
      <c r="O533" s="286">
        <v>2455</v>
      </c>
      <c r="P533" s="286">
        <v>1177</v>
      </c>
      <c r="Q533" s="286">
        <v>5331</v>
      </c>
      <c r="R533" s="286">
        <v>2582</v>
      </c>
      <c r="S533" s="286">
        <v>2748</v>
      </c>
      <c r="T533" s="286">
        <v>3881</v>
      </c>
      <c r="U533" s="286">
        <v>1426</v>
      </c>
      <c r="V533" s="286">
        <v>2455</v>
      </c>
      <c r="W533" s="286"/>
      <c r="X533" s="286"/>
      <c r="Y533" s="286"/>
      <c r="Z533" s="286"/>
      <c r="AA533" s="286"/>
      <c r="AB533" s="286"/>
      <c r="AC533" s="286"/>
      <c r="AD533" s="286"/>
      <c r="AE533" s="286"/>
      <c r="AF533" s="286"/>
      <c r="AG533" s="286"/>
      <c r="AH533" s="286"/>
      <c r="AI533" s="286"/>
      <c r="AJ533" s="286"/>
      <c r="AK533" s="286"/>
      <c r="AL533" s="286"/>
      <c r="AM533" s="286"/>
      <c r="AN533" s="286"/>
      <c r="AO533" s="286"/>
      <c r="AP533" s="286"/>
      <c r="AQ533" s="286"/>
      <c r="AR533" s="286"/>
      <c r="AS533" s="286"/>
      <c r="AT533" s="286"/>
      <c r="AU533" s="286"/>
      <c r="AV533" s="286"/>
      <c r="AW533" s="286"/>
      <c r="AX533" s="286"/>
      <c r="AY533" s="286"/>
      <c r="AZ533" s="286"/>
      <c r="BA533" s="286"/>
      <c r="BB533" s="286"/>
      <c r="BC533" s="286"/>
      <c r="BD533" s="286"/>
      <c r="BE533" s="286"/>
      <c r="BF533" s="286"/>
      <c r="BG533" s="286"/>
      <c r="BH533" s="286"/>
      <c r="BI533" s="286"/>
      <c r="BJ533" s="286"/>
      <c r="BK533" s="286"/>
      <c r="BL533" s="286"/>
      <c r="BM533" s="286"/>
      <c r="BN533" s="286"/>
      <c r="BO533" s="286"/>
      <c r="BP533" s="286"/>
      <c r="BQ533" s="286"/>
      <c r="BR533" s="286"/>
      <c r="BS533" s="286"/>
      <c r="BT533" s="286"/>
      <c r="BU533" s="286"/>
      <c r="BV533" s="286"/>
      <c r="BW533" s="286"/>
      <c r="BX533" s="286"/>
      <c r="BY533" s="286"/>
      <c r="BZ533" s="286"/>
      <c r="CA533" s="286"/>
      <c r="CB533" s="286"/>
      <c r="CC533" s="286"/>
      <c r="CD533" s="286"/>
      <c r="CE533" s="286"/>
      <c r="CF533" s="286"/>
      <c r="CG533" s="286"/>
      <c r="CH533" s="286"/>
      <c r="CI533" s="286"/>
      <c r="CJ533" s="286"/>
      <c r="CK533" s="286"/>
      <c r="CL533" s="286"/>
      <c r="CM533" s="286"/>
      <c r="CN533" s="286"/>
      <c r="CO533" s="286"/>
      <c r="CP533" s="286"/>
      <c r="CQ533" s="286"/>
      <c r="CR533" s="286"/>
      <c r="CS533" s="286"/>
      <c r="CT533" s="286"/>
      <c r="CU533" s="286"/>
      <c r="CV533" s="286"/>
      <c r="CW533" s="286"/>
      <c r="CX533" s="286"/>
      <c r="CY533" s="286"/>
      <c r="CZ533" s="286"/>
      <c r="DA533" s="286"/>
      <c r="DB533" s="286"/>
      <c r="DC533" s="286"/>
      <c r="DD533" s="286"/>
      <c r="DE533" s="286"/>
      <c r="DF533" s="286"/>
      <c r="DG533" s="286"/>
      <c r="DH533" s="286"/>
      <c r="DI533" s="286"/>
      <c r="DJ533" s="286"/>
      <c r="DK533" s="286"/>
      <c r="DL533" s="286"/>
      <c r="DM533" s="286"/>
      <c r="DN533" s="286"/>
      <c r="DO533" s="286"/>
      <c r="DP533" s="286"/>
      <c r="DQ533" s="286"/>
      <c r="DR533" s="286"/>
      <c r="DS533" s="286"/>
      <c r="DT533" s="286"/>
      <c r="DU533" s="286"/>
      <c r="DV533" s="286"/>
      <c r="DW533" s="286"/>
      <c r="DX533" s="286"/>
      <c r="DY533" s="286"/>
      <c r="DZ533" s="286"/>
      <c r="EA533" s="286"/>
      <c r="EB533" s="286"/>
      <c r="EC533" s="286"/>
      <c r="ED533" s="286"/>
      <c r="EE533" s="286"/>
      <c r="EF533" s="286"/>
      <c r="EG533" s="286"/>
      <c r="EH533" s="286"/>
      <c r="EI533" s="286"/>
      <c r="EJ533" s="286"/>
      <c r="EK533" s="286"/>
      <c r="EL533" s="286"/>
      <c r="EM533" s="286"/>
      <c r="EN533" s="286"/>
      <c r="EO533" s="286"/>
      <c r="EP533" s="286"/>
      <c r="EQ533" s="286"/>
      <c r="ER533" s="286"/>
      <c r="ES533" s="286"/>
      <c r="ET533" s="286"/>
      <c r="EU533" s="286"/>
      <c r="EV533" s="286"/>
      <c r="EW533" s="286"/>
      <c r="EX533" s="286"/>
      <c r="EY533" s="286"/>
      <c r="EZ533" s="286"/>
      <c r="FA533" s="286"/>
      <c r="FB533" s="286"/>
      <c r="FC533" s="286"/>
      <c r="FD533" s="286"/>
      <c r="FE533" s="286"/>
      <c r="FF533" s="286"/>
      <c r="FG533" s="286"/>
      <c r="FH533" s="286"/>
      <c r="FI533" s="286"/>
      <c r="FJ533" s="286"/>
      <c r="FK533" s="286"/>
      <c r="FL533" s="286"/>
      <c r="FM533" s="286"/>
      <c r="FN533" s="286"/>
      <c r="FO533" s="286"/>
      <c r="FP533" s="286"/>
      <c r="FQ533" s="286"/>
      <c r="FR533" s="286"/>
      <c r="FS533" s="286"/>
    </row>
    <row r="534" spans="1:175">
      <c r="A534" s="212" t="s">
        <v>3159</v>
      </c>
      <c r="B534" s="212" t="s">
        <v>3160</v>
      </c>
      <c r="C534" s="212" t="s">
        <v>3172</v>
      </c>
      <c r="D534" s="212" t="s">
        <v>3692</v>
      </c>
      <c r="E534" s="212" t="s">
        <v>3710</v>
      </c>
      <c r="F534" s="278">
        <v>6821</v>
      </c>
      <c r="G534" s="278">
        <v>25441</v>
      </c>
      <c r="H534" s="287">
        <f t="shared" si="8"/>
        <v>3.651586022562006</v>
      </c>
      <c r="I534" s="286">
        <v>286</v>
      </c>
      <c r="J534" s="286">
        <v>929</v>
      </c>
      <c r="K534" s="286">
        <v>337</v>
      </c>
      <c r="L534" s="286">
        <v>590</v>
      </c>
      <c r="M534" s="286">
        <v>584</v>
      </c>
      <c r="N534" s="286">
        <v>125</v>
      </c>
      <c r="O534" s="286">
        <v>458</v>
      </c>
      <c r="P534" s="286">
        <v>286</v>
      </c>
      <c r="Q534" s="286">
        <v>929</v>
      </c>
      <c r="R534" s="286">
        <v>337</v>
      </c>
      <c r="S534" s="286">
        <v>590</v>
      </c>
      <c r="T534" s="286">
        <v>584</v>
      </c>
      <c r="U534" s="286">
        <v>125</v>
      </c>
      <c r="V534" s="286">
        <v>458</v>
      </c>
      <c r="W534" s="286"/>
      <c r="X534" s="286"/>
      <c r="Y534" s="286"/>
      <c r="Z534" s="286"/>
      <c r="AA534" s="286"/>
      <c r="AB534" s="286"/>
      <c r="AC534" s="286"/>
      <c r="AD534" s="286"/>
      <c r="AE534" s="286"/>
      <c r="AF534" s="286"/>
      <c r="AG534" s="286"/>
      <c r="AH534" s="286"/>
      <c r="AI534" s="286"/>
      <c r="AJ534" s="286"/>
      <c r="AK534" s="286"/>
      <c r="AL534" s="286"/>
      <c r="AM534" s="286"/>
      <c r="AN534" s="286"/>
      <c r="AO534" s="286"/>
      <c r="AP534" s="286"/>
      <c r="AQ534" s="286"/>
      <c r="AR534" s="286"/>
      <c r="AS534" s="286"/>
      <c r="AT534" s="286"/>
      <c r="AU534" s="286"/>
      <c r="AV534" s="286"/>
      <c r="AW534" s="286"/>
      <c r="AX534" s="286"/>
      <c r="AY534" s="286"/>
      <c r="AZ534" s="286"/>
      <c r="BA534" s="286"/>
      <c r="BB534" s="286"/>
      <c r="BC534" s="286"/>
      <c r="BD534" s="286"/>
      <c r="BE534" s="286"/>
      <c r="BF534" s="286"/>
      <c r="BG534" s="286"/>
      <c r="BH534" s="286"/>
      <c r="BI534" s="286"/>
      <c r="BJ534" s="286"/>
      <c r="BK534" s="286"/>
      <c r="BL534" s="286"/>
      <c r="BM534" s="286"/>
      <c r="BN534" s="286"/>
      <c r="BO534" s="286"/>
      <c r="BP534" s="286"/>
      <c r="BQ534" s="286"/>
      <c r="BR534" s="286"/>
      <c r="BS534" s="286"/>
      <c r="BT534" s="286"/>
      <c r="BU534" s="286"/>
      <c r="BV534" s="286"/>
      <c r="BW534" s="286"/>
      <c r="BX534" s="286"/>
      <c r="BY534" s="286"/>
      <c r="BZ534" s="286"/>
      <c r="CA534" s="286"/>
      <c r="CB534" s="286"/>
      <c r="CC534" s="286"/>
      <c r="CD534" s="286"/>
      <c r="CE534" s="286"/>
      <c r="CF534" s="286"/>
      <c r="CG534" s="286"/>
      <c r="CH534" s="286"/>
      <c r="CI534" s="286"/>
      <c r="CJ534" s="286"/>
      <c r="CK534" s="286"/>
      <c r="CL534" s="286"/>
      <c r="CM534" s="286"/>
      <c r="CN534" s="286"/>
      <c r="CO534" s="286"/>
      <c r="CP534" s="286"/>
      <c r="CQ534" s="286"/>
      <c r="CR534" s="286"/>
      <c r="CS534" s="286"/>
      <c r="CT534" s="286"/>
      <c r="CU534" s="286"/>
      <c r="CV534" s="286"/>
      <c r="CW534" s="286"/>
      <c r="CX534" s="286"/>
      <c r="CY534" s="286"/>
      <c r="CZ534" s="286"/>
      <c r="DA534" s="286"/>
      <c r="DB534" s="286"/>
      <c r="DC534" s="286"/>
      <c r="DD534" s="286"/>
      <c r="DE534" s="286"/>
      <c r="DF534" s="286"/>
      <c r="DG534" s="286"/>
      <c r="DH534" s="286"/>
      <c r="DI534" s="286"/>
      <c r="DJ534" s="286"/>
      <c r="DK534" s="286"/>
      <c r="DL534" s="286"/>
      <c r="DM534" s="286"/>
      <c r="DN534" s="286"/>
      <c r="DO534" s="286"/>
      <c r="DP534" s="286"/>
      <c r="DQ534" s="286"/>
      <c r="DR534" s="286"/>
      <c r="DS534" s="286"/>
      <c r="DT534" s="286"/>
      <c r="DU534" s="286"/>
      <c r="DV534" s="286"/>
      <c r="DW534" s="286"/>
      <c r="DX534" s="286"/>
      <c r="DY534" s="286"/>
      <c r="DZ534" s="286"/>
      <c r="EA534" s="286"/>
      <c r="EB534" s="286"/>
      <c r="EC534" s="286"/>
      <c r="ED534" s="286"/>
      <c r="EE534" s="286"/>
      <c r="EF534" s="286"/>
      <c r="EG534" s="286"/>
      <c r="EH534" s="286"/>
      <c r="EI534" s="286"/>
      <c r="EJ534" s="286"/>
      <c r="EK534" s="286"/>
      <c r="EL534" s="286"/>
      <c r="EM534" s="286"/>
      <c r="EN534" s="286"/>
      <c r="EO534" s="286"/>
      <c r="EP534" s="286"/>
      <c r="EQ534" s="286"/>
      <c r="ER534" s="286"/>
      <c r="ES534" s="286"/>
      <c r="ET534" s="286"/>
      <c r="EU534" s="286"/>
      <c r="EV534" s="286"/>
      <c r="EW534" s="286"/>
      <c r="EX534" s="286"/>
      <c r="EY534" s="286"/>
      <c r="EZ534" s="286"/>
      <c r="FA534" s="286"/>
      <c r="FB534" s="286"/>
      <c r="FC534" s="286"/>
      <c r="FD534" s="286"/>
      <c r="FE534" s="286"/>
      <c r="FF534" s="286"/>
      <c r="FG534" s="286"/>
      <c r="FH534" s="286"/>
      <c r="FI534" s="286"/>
      <c r="FJ534" s="286"/>
      <c r="FK534" s="286"/>
      <c r="FL534" s="286"/>
      <c r="FM534" s="286"/>
      <c r="FN534" s="286"/>
      <c r="FO534" s="286"/>
      <c r="FP534" s="286"/>
      <c r="FQ534" s="286"/>
      <c r="FR534" s="286"/>
      <c r="FS534" s="286"/>
    </row>
    <row r="535" spans="1:175">
      <c r="A535" s="212" t="s">
        <v>3159</v>
      </c>
      <c r="B535" s="212" t="s">
        <v>3160</v>
      </c>
      <c r="C535" s="212" t="s">
        <v>3172</v>
      </c>
      <c r="D535" s="212" t="s">
        <v>3692</v>
      </c>
      <c r="E535" s="212" t="s">
        <v>3711</v>
      </c>
      <c r="F535" s="278">
        <v>9821</v>
      </c>
      <c r="G535" s="278">
        <v>42376</v>
      </c>
      <c r="H535" s="287">
        <f t="shared" si="8"/>
        <v>2.0648480271851994</v>
      </c>
      <c r="I535" s="286">
        <v>284</v>
      </c>
      <c r="J535" s="286">
        <v>875</v>
      </c>
      <c r="K535" s="286">
        <v>430</v>
      </c>
      <c r="L535" s="286">
        <v>434</v>
      </c>
      <c r="M535" s="286">
        <v>488</v>
      </c>
      <c r="N535" s="286">
        <v>189</v>
      </c>
      <c r="O535" s="286">
        <v>290</v>
      </c>
      <c r="P535" s="286">
        <v>284</v>
      </c>
      <c r="Q535" s="286">
        <v>875</v>
      </c>
      <c r="R535" s="286">
        <v>430</v>
      </c>
      <c r="S535" s="286">
        <v>434</v>
      </c>
      <c r="T535" s="286">
        <v>488</v>
      </c>
      <c r="U535" s="286">
        <v>189</v>
      </c>
      <c r="V535" s="286">
        <v>290</v>
      </c>
      <c r="W535" s="286"/>
      <c r="X535" s="286"/>
      <c r="Y535" s="286"/>
      <c r="Z535" s="286"/>
      <c r="AA535" s="286"/>
      <c r="AB535" s="286"/>
      <c r="AC535" s="286"/>
      <c r="AD535" s="286"/>
      <c r="AE535" s="286"/>
      <c r="AF535" s="286"/>
      <c r="AG535" s="286"/>
      <c r="AH535" s="286"/>
      <c r="AI535" s="286"/>
      <c r="AJ535" s="286"/>
      <c r="AK535" s="286"/>
      <c r="AL535" s="286"/>
      <c r="AM535" s="286"/>
      <c r="AN535" s="286"/>
      <c r="AO535" s="286"/>
      <c r="AP535" s="286"/>
      <c r="AQ535" s="286"/>
      <c r="AR535" s="286"/>
      <c r="AS535" s="286"/>
      <c r="AT535" s="286"/>
      <c r="AU535" s="286"/>
      <c r="AV535" s="286"/>
      <c r="AW535" s="286"/>
      <c r="AX535" s="286"/>
      <c r="AY535" s="286"/>
      <c r="AZ535" s="286"/>
      <c r="BA535" s="286"/>
      <c r="BB535" s="286"/>
      <c r="BC535" s="286"/>
      <c r="BD535" s="286"/>
      <c r="BE535" s="286"/>
      <c r="BF535" s="286"/>
      <c r="BG535" s="286"/>
      <c r="BH535" s="286"/>
      <c r="BI535" s="286"/>
      <c r="BJ535" s="286"/>
      <c r="BK535" s="286"/>
      <c r="BL535" s="286"/>
      <c r="BM535" s="286"/>
      <c r="BN535" s="286"/>
      <c r="BO535" s="286"/>
      <c r="BP535" s="286"/>
      <c r="BQ535" s="286"/>
      <c r="BR535" s="286"/>
      <c r="BS535" s="286"/>
      <c r="BT535" s="286"/>
      <c r="BU535" s="286"/>
      <c r="BV535" s="286"/>
      <c r="BW535" s="286"/>
      <c r="BX535" s="286"/>
      <c r="BY535" s="286"/>
      <c r="BZ535" s="286"/>
      <c r="CA535" s="286"/>
      <c r="CB535" s="286"/>
      <c r="CC535" s="286"/>
      <c r="CD535" s="286"/>
      <c r="CE535" s="286"/>
      <c r="CF535" s="286"/>
      <c r="CG535" s="286"/>
      <c r="CH535" s="286"/>
      <c r="CI535" s="286"/>
      <c r="CJ535" s="286"/>
      <c r="CK535" s="286"/>
      <c r="CL535" s="286"/>
      <c r="CM535" s="286"/>
      <c r="CN535" s="286"/>
      <c r="CO535" s="286"/>
      <c r="CP535" s="286"/>
      <c r="CQ535" s="286"/>
      <c r="CR535" s="286"/>
      <c r="CS535" s="286"/>
      <c r="CT535" s="286"/>
      <c r="CU535" s="286"/>
      <c r="CV535" s="286"/>
      <c r="CW535" s="286"/>
      <c r="CX535" s="286"/>
      <c r="CY535" s="286"/>
      <c r="CZ535" s="286"/>
      <c r="DA535" s="286"/>
      <c r="DB535" s="286"/>
      <c r="DC535" s="286"/>
      <c r="DD535" s="286"/>
      <c r="DE535" s="286"/>
      <c r="DF535" s="286"/>
      <c r="DG535" s="286"/>
      <c r="DH535" s="286"/>
      <c r="DI535" s="286"/>
      <c r="DJ535" s="286"/>
      <c r="DK535" s="286"/>
      <c r="DL535" s="286"/>
      <c r="DM535" s="286"/>
      <c r="DN535" s="286"/>
      <c r="DO535" s="286"/>
      <c r="DP535" s="286"/>
      <c r="DQ535" s="286"/>
      <c r="DR535" s="286"/>
      <c r="DS535" s="286"/>
      <c r="DT535" s="286"/>
      <c r="DU535" s="286"/>
      <c r="DV535" s="286"/>
      <c r="DW535" s="286"/>
      <c r="DX535" s="286"/>
      <c r="DY535" s="286"/>
      <c r="DZ535" s="286"/>
      <c r="EA535" s="286"/>
      <c r="EB535" s="286"/>
      <c r="EC535" s="286"/>
      <c r="ED535" s="286"/>
      <c r="EE535" s="286"/>
      <c r="EF535" s="286"/>
      <c r="EG535" s="286"/>
      <c r="EH535" s="286"/>
      <c r="EI535" s="286"/>
      <c r="EJ535" s="286"/>
      <c r="EK535" s="286"/>
      <c r="EL535" s="286"/>
      <c r="EM535" s="286"/>
      <c r="EN535" s="286"/>
      <c r="EO535" s="286"/>
      <c r="EP535" s="286"/>
      <c r="EQ535" s="286"/>
      <c r="ER535" s="286"/>
      <c r="ES535" s="286"/>
      <c r="ET535" s="286"/>
      <c r="EU535" s="286"/>
      <c r="EV535" s="286"/>
      <c r="EW535" s="286"/>
      <c r="EX535" s="286"/>
      <c r="EY535" s="286"/>
      <c r="EZ535" s="286"/>
      <c r="FA535" s="286"/>
      <c r="FB535" s="286"/>
      <c r="FC535" s="286"/>
      <c r="FD535" s="286"/>
      <c r="FE535" s="286"/>
      <c r="FF535" s="286"/>
      <c r="FG535" s="286"/>
      <c r="FH535" s="286"/>
      <c r="FI535" s="286"/>
      <c r="FJ535" s="286"/>
      <c r="FK535" s="286"/>
      <c r="FL535" s="286"/>
      <c r="FM535" s="286"/>
      <c r="FN535" s="286"/>
      <c r="FO535" s="286"/>
      <c r="FP535" s="286"/>
      <c r="FQ535" s="286"/>
      <c r="FR535" s="286"/>
      <c r="FS535" s="286"/>
    </row>
    <row r="536" spans="1:175">
      <c r="A536" s="212" t="s">
        <v>3159</v>
      </c>
      <c r="B536" s="212" t="s">
        <v>3160</v>
      </c>
      <c r="C536" s="212" t="s">
        <v>3172</v>
      </c>
      <c r="D536" s="212" t="s">
        <v>3692</v>
      </c>
      <c r="E536" s="212" t="s">
        <v>3712</v>
      </c>
      <c r="F536" s="278">
        <v>983</v>
      </c>
      <c r="G536" s="278">
        <v>1543</v>
      </c>
      <c r="H536" s="287">
        <f t="shared" si="8"/>
        <v>2.3331173039533377</v>
      </c>
      <c r="I536" s="286">
        <v>24</v>
      </c>
      <c r="J536" s="286">
        <v>36</v>
      </c>
      <c r="K536" s="286">
        <v>24</v>
      </c>
      <c r="L536" s="286">
        <v>12</v>
      </c>
      <c r="M536" s="286">
        <v>4</v>
      </c>
      <c r="N536" s="286">
        <v>0</v>
      </c>
      <c r="O536" s="286">
        <v>4</v>
      </c>
      <c r="P536" s="286">
        <v>24</v>
      </c>
      <c r="Q536" s="286">
        <v>36</v>
      </c>
      <c r="R536" s="286">
        <v>24</v>
      </c>
      <c r="S536" s="286">
        <v>12</v>
      </c>
      <c r="T536" s="286">
        <v>4</v>
      </c>
      <c r="U536" s="286">
        <v>0</v>
      </c>
      <c r="V536" s="286">
        <v>4</v>
      </c>
      <c r="W536" s="286"/>
      <c r="X536" s="286"/>
      <c r="Y536" s="286"/>
      <c r="Z536" s="286"/>
      <c r="AA536" s="286"/>
      <c r="AB536" s="286"/>
      <c r="AC536" s="286"/>
      <c r="AD536" s="286"/>
      <c r="AE536" s="286"/>
      <c r="AF536" s="286"/>
      <c r="AG536" s="286"/>
      <c r="AH536" s="286"/>
      <c r="AI536" s="286"/>
      <c r="AJ536" s="286"/>
      <c r="AK536" s="286"/>
      <c r="AL536" s="286"/>
      <c r="AM536" s="286"/>
      <c r="AN536" s="286"/>
      <c r="AO536" s="286"/>
      <c r="AP536" s="286"/>
      <c r="AQ536" s="286"/>
      <c r="AR536" s="286"/>
      <c r="AS536" s="286"/>
      <c r="AT536" s="286"/>
      <c r="AU536" s="286"/>
      <c r="AV536" s="286"/>
      <c r="AW536" s="286"/>
      <c r="AX536" s="286"/>
      <c r="AY536" s="286"/>
      <c r="AZ536" s="286"/>
      <c r="BA536" s="286"/>
      <c r="BB536" s="286"/>
      <c r="BC536" s="286"/>
      <c r="BD536" s="286"/>
      <c r="BE536" s="286"/>
      <c r="BF536" s="286"/>
      <c r="BG536" s="286"/>
      <c r="BH536" s="286"/>
      <c r="BI536" s="286"/>
      <c r="BJ536" s="286"/>
      <c r="BK536" s="286"/>
      <c r="BL536" s="286"/>
      <c r="BM536" s="286"/>
      <c r="BN536" s="286"/>
      <c r="BO536" s="286"/>
      <c r="BP536" s="286"/>
      <c r="BQ536" s="286"/>
      <c r="BR536" s="286"/>
      <c r="BS536" s="286"/>
      <c r="BT536" s="286"/>
      <c r="BU536" s="286"/>
      <c r="BV536" s="286"/>
      <c r="BW536" s="286"/>
      <c r="BX536" s="286"/>
      <c r="BY536" s="286"/>
      <c r="BZ536" s="286"/>
      <c r="CA536" s="286"/>
      <c r="CB536" s="286"/>
      <c r="CC536" s="286"/>
      <c r="CD536" s="286"/>
      <c r="CE536" s="286"/>
      <c r="CF536" s="286"/>
      <c r="CG536" s="286"/>
      <c r="CH536" s="286"/>
      <c r="CI536" s="286"/>
      <c r="CJ536" s="286"/>
      <c r="CK536" s="286"/>
      <c r="CL536" s="286"/>
      <c r="CM536" s="286"/>
      <c r="CN536" s="286"/>
      <c r="CO536" s="286"/>
      <c r="CP536" s="286"/>
      <c r="CQ536" s="286"/>
      <c r="CR536" s="286"/>
      <c r="CS536" s="286"/>
      <c r="CT536" s="286"/>
      <c r="CU536" s="286"/>
      <c r="CV536" s="286"/>
      <c r="CW536" s="286"/>
      <c r="CX536" s="286"/>
      <c r="CY536" s="286"/>
      <c r="CZ536" s="286"/>
      <c r="DA536" s="286"/>
      <c r="DB536" s="286"/>
      <c r="DC536" s="286"/>
      <c r="DD536" s="286"/>
      <c r="DE536" s="286"/>
      <c r="DF536" s="286"/>
      <c r="DG536" s="286"/>
      <c r="DH536" s="286"/>
      <c r="DI536" s="286"/>
      <c r="DJ536" s="286"/>
      <c r="DK536" s="286"/>
      <c r="DL536" s="286"/>
      <c r="DM536" s="286"/>
      <c r="DN536" s="286"/>
      <c r="DO536" s="286"/>
      <c r="DP536" s="286"/>
      <c r="DQ536" s="286"/>
      <c r="DR536" s="286"/>
      <c r="DS536" s="286"/>
      <c r="DT536" s="286"/>
      <c r="DU536" s="286"/>
      <c r="DV536" s="286"/>
      <c r="DW536" s="286"/>
      <c r="DX536" s="286"/>
      <c r="DY536" s="286"/>
      <c r="DZ536" s="286"/>
      <c r="EA536" s="286"/>
      <c r="EB536" s="286"/>
      <c r="EC536" s="286"/>
      <c r="ED536" s="286"/>
      <c r="EE536" s="286"/>
      <c r="EF536" s="286"/>
      <c r="EG536" s="286"/>
      <c r="EH536" s="286"/>
      <c r="EI536" s="286"/>
      <c r="EJ536" s="286"/>
      <c r="EK536" s="286"/>
      <c r="EL536" s="286"/>
      <c r="EM536" s="286"/>
      <c r="EN536" s="286"/>
      <c r="EO536" s="286"/>
      <c r="EP536" s="286"/>
      <c r="EQ536" s="286"/>
      <c r="ER536" s="286"/>
      <c r="ES536" s="286"/>
      <c r="ET536" s="286"/>
      <c r="EU536" s="286"/>
      <c r="EV536" s="286"/>
      <c r="EW536" s="286"/>
      <c r="EX536" s="286"/>
      <c r="EY536" s="286"/>
      <c r="EZ536" s="286"/>
      <c r="FA536" s="286"/>
      <c r="FB536" s="286"/>
      <c r="FC536" s="286"/>
      <c r="FD536" s="286"/>
      <c r="FE536" s="286"/>
      <c r="FF536" s="286"/>
      <c r="FG536" s="286"/>
      <c r="FH536" s="286"/>
      <c r="FI536" s="286"/>
      <c r="FJ536" s="286"/>
      <c r="FK536" s="286"/>
      <c r="FL536" s="286"/>
      <c r="FM536" s="286"/>
      <c r="FN536" s="286"/>
      <c r="FO536" s="286"/>
      <c r="FP536" s="286"/>
      <c r="FQ536" s="286"/>
      <c r="FR536" s="286"/>
      <c r="FS536" s="286"/>
    </row>
    <row r="537" spans="1:175">
      <c r="A537" s="212" t="s">
        <v>3159</v>
      </c>
      <c r="B537" s="212" t="s">
        <v>3160</v>
      </c>
      <c r="C537" s="212" t="s">
        <v>3172</v>
      </c>
      <c r="D537" s="212" t="s">
        <v>3692</v>
      </c>
      <c r="E537" s="212" t="s">
        <v>3713</v>
      </c>
      <c r="F537" s="278">
        <v>21347</v>
      </c>
      <c r="G537" s="278">
        <v>240233</v>
      </c>
      <c r="H537" s="287">
        <f t="shared" si="8"/>
        <v>1.7607905658256775</v>
      </c>
      <c r="I537" s="286">
        <v>778</v>
      </c>
      <c r="J537" s="286">
        <v>4230</v>
      </c>
      <c r="K537" s="286">
        <v>2638</v>
      </c>
      <c r="L537" s="286">
        <v>1588</v>
      </c>
      <c r="M537" s="286">
        <v>3066</v>
      </c>
      <c r="N537" s="286">
        <v>1811</v>
      </c>
      <c r="O537" s="286">
        <v>1251</v>
      </c>
      <c r="P537" s="286">
        <v>778</v>
      </c>
      <c r="Q537" s="286">
        <v>4230</v>
      </c>
      <c r="R537" s="286">
        <v>2638</v>
      </c>
      <c r="S537" s="286">
        <v>1588</v>
      </c>
      <c r="T537" s="286">
        <v>3066</v>
      </c>
      <c r="U537" s="286">
        <v>1811</v>
      </c>
      <c r="V537" s="286">
        <v>1251</v>
      </c>
      <c r="W537" s="286"/>
      <c r="X537" s="286"/>
      <c r="Y537" s="286"/>
      <c r="Z537" s="286"/>
      <c r="AA537" s="286"/>
      <c r="AB537" s="286"/>
      <c r="AC537" s="286"/>
      <c r="AD537" s="286"/>
      <c r="AE537" s="286"/>
      <c r="AF537" s="286"/>
      <c r="AG537" s="286"/>
      <c r="AH537" s="286"/>
      <c r="AI537" s="286"/>
      <c r="AJ537" s="286"/>
      <c r="AK537" s="286"/>
      <c r="AL537" s="286"/>
      <c r="AM537" s="286"/>
      <c r="AN537" s="286"/>
      <c r="AO537" s="286"/>
      <c r="AP537" s="286"/>
      <c r="AQ537" s="286"/>
      <c r="AR537" s="286"/>
      <c r="AS537" s="286"/>
      <c r="AT537" s="286"/>
      <c r="AU537" s="286"/>
      <c r="AV537" s="286"/>
      <c r="AW537" s="286"/>
      <c r="AX537" s="286"/>
      <c r="AY537" s="286"/>
      <c r="AZ537" s="286"/>
      <c r="BA537" s="286"/>
      <c r="BB537" s="286"/>
      <c r="BC537" s="286"/>
      <c r="BD537" s="286"/>
      <c r="BE537" s="286"/>
      <c r="BF537" s="286"/>
      <c r="BG537" s="286"/>
      <c r="BH537" s="286"/>
      <c r="BI537" s="286"/>
      <c r="BJ537" s="286"/>
      <c r="BK537" s="286"/>
      <c r="BL537" s="286"/>
      <c r="BM537" s="286"/>
      <c r="BN537" s="286"/>
      <c r="BO537" s="286"/>
      <c r="BP537" s="286"/>
      <c r="BQ537" s="286"/>
      <c r="BR537" s="286"/>
      <c r="BS537" s="286"/>
      <c r="BT537" s="286"/>
      <c r="BU537" s="286"/>
      <c r="BV537" s="286"/>
      <c r="BW537" s="286"/>
      <c r="BX537" s="286"/>
      <c r="BY537" s="286"/>
      <c r="BZ537" s="286"/>
      <c r="CA537" s="286"/>
      <c r="CB537" s="286"/>
      <c r="CC537" s="286"/>
      <c r="CD537" s="286"/>
      <c r="CE537" s="286"/>
      <c r="CF537" s="286"/>
      <c r="CG537" s="286"/>
      <c r="CH537" s="286"/>
      <c r="CI537" s="286"/>
      <c r="CJ537" s="286"/>
      <c r="CK537" s="286"/>
      <c r="CL537" s="286"/>
      <c r="CM537" s="286"/>
      <c r="CN537" s="286"/>
      <c r="CO537" s="286"/>
      <c r="CP537" s="286"/>
      <c r="CQ537" s="286"/>
      <c r="CR537" s="286"/>
      <c r="CS537" s="286"/>
      <c r="CT537" s="286"/>
      <c r="CU537" s="286"/>
      <c r="CV537" s="286"/>
      <c r="CW537" s="286"/>
      <c r="CX537" s="286"/>
      <c r="CY537" s="286"/>
      <c r="CZ537" s="286"/>
      <c r="DA537" s="286"/>
      <c r="DB537" s="286"/>
      <c r="DC537" s="286"/>
      <c r="DD537" s="286"/>
      <c r="DE537" s="286"/>
      <c r="DF537" s="286"/>
      <c r="DG537" s="286"/>
      <c r="DH537" s="286"/>
      <c r="DI537" s="286"/>
      <c r="DJ537" s="286"/>
      <c r="DK537" s="286"/>
      <c r="DL537" s="286"/>
      <c r="DM537" s="286"/>
      <c r="DN537" s="286"/>
      <c r="DO537" s="286"/>
      <c r="DP537" s="286"/>
      <c r="DQ537" s="286"/>
      <c r="DR537" s="286"/>
      <c r="DS537" s="286"/>
      <c r="DT537" s="286"/>
      <c r="DU537" s="286"/>
      <c r="DV537" s="286"/>
      <c r="DW537" s="286"/>
      <c r="DX537" s="286"/>
      <c r="DY537" s="286"/>
      <c r="DZ537" s="286"/>
      <c r="EA537" s="286"/>
      <c r="EB537" s="286"/>
      <c r="EC537" s="286"/>
      <c r="ED537" s="286"/>
      <c r="EE537" s="286"/>
      <c r="EF537" s="286"/>
      <c r="EG537" s="286"/>
      <c r="EH537" s="286"/>
      <c r="EI537" s="286"/>
      <c r="EJ537" s="286"/>
      <c r="EK537" s="286"/>
      <c r="EL537" s="286"/>
      <c r="EM537" s="286"/>
      <c r="EN537" s="286"/>
      <c r="EO537" s="286"/>
      <c r="EP537" s="286"/>
      <c r="EQ537" s="286"/>
      <c r="ER537" s="286"/>
      <c r="ES537" s="286"/>
      <c r="ET537" s="286"/>
      <c r="EU537" s="286"/>
      <c r="EV537" s="286"/>
      <c r="EW537" s="286"/>
      <c r="EX537" s="286"/>
      <c r="EY537" s="286"/>
      <c r="EZ537" s="286"/>
      <c r="FA537" s="286"/>
      <c r="FB537" s="286"/>
      <c r="FC537" s="286"/>
      <c r="FD537" s="286"/>
      <c r="FE537" s="286"/>
      <c r="FF537" s="286"/>
      <c r="FG537" s="286"/>
      <c r="FH537" s="286"/>
      <c r="FI537" s="286"/>
      <c r="FJ537" s="286"/>
      <c r="FK537" s="286"/>
      <c r="FL537" s="286"/>
      <c r="FM537" s="286"/>
      <c r="FN537" s="286"/>
      <c r="FO537" s="286"/>
      <c r="FP537" s="286"/>
      <c r="FQ537" s="286"/>
      <c r="FR537" s="286"/>
      <c r="FS537" s="286"/>
    </row>
    <row r="538" spans="1:175">
      <c r="A538" s="212" t="s">
        <v>3159</v>
      </c>
      <c r="B538" s="212" t="s">
        <v>3160</v>
      </c>
      <c r="C538" s="212" t="s">
        <v>3432</v>
      </c>
      <c r="D538" s="212" t="s">
        <v>3692</v>
      </c>
      <c r="E538" s="212" t="s">
        <v>3714</v>
      </c>
      <c r="F538" s="278">
        <v>19152</v>
      </c>
      <c r="G538" s="278">
        <v>174405</v>
      </c>
      <c r="H538" s="287">
        <f t="shared" si="8"/>
        <v>2.1174851638427796</v>
      </c>
      <c r="I538" s="286">
        <v>718</v>
      </c>
      <c r="J538" s="286">
        <v>3693</v>
      </c>
      <c r="K538" s="286">
        <v>2262</v>
      </c>
      <c r="L538" s="286">
        <v>1427</v>
      </c>
      <c r="M538" s="286">
        <v>2672</v>
      </c>
      <c r="N538" s="286">
        <v>1547</v>
      </c>
      <c r="O538" s="286">
        <v>1121</v>
      </c>
      <c r="P538" s="286">
        <v>718</v>
      </c>
      <c r="Q538" s="286">
        <v>3693</v>
      </c>
      <c r="R538" s="286">
        <v>2262</v>
      </c>
      <c r="S538" s="286">
        <v>1427</v>
      </c>
      <c r="T538" s="286">
        <v>2672</v>
      </c>
      <c r="U538" s="286">
        <v>1547</v>
      </c>
      <c r="V538" s="286">
        <v>1121</v>
      </c>
      <c r="W538" s="286"/>
      <c r="X538" s="286"/>
      <c r="Y538" s="286"/>
      <c r="Z538" s="286"/>
      <c r="AA538" s="286"/>
      <c r="AB538" s="286"/>
      <c r="AC538" s="286"/>
      <c r="AD538" s="286"/>
      <c r="AE538" s="286"/>
      <c r="AF538" s="286"/>
      <c r="AG538" s="286"/>
      <c r="AH538" s="286"/>
      <c r="AI538" s="286"/>
      <c r="AJ538" s="286"/>
      <c r="AK538" s="286"/>
      <c r="AL538" s="286"/>
      <c r="AM538" s="286"/>
      <c r="AN538" s="286"/>
      <c r="AO538" s="286"/>
      <c r="AP538" s="286"/>
      <c r="AQ538" s="286"/>
      <c r="AR538" s="286"/>
      <c r="AS538" s="286"/>
      <c r="AT538" s="286"/>
      <c r="AU538" s="286"/>
      <c r="AV538" s="286"/>
      <c r="AW538" s="286"/>
      <c r="AX538" s="286"/>
      <c r="AY538" s="286"/>
      <c r="AZ538" s="286"/>
      <c r="BA538" s="286"/>
      <c r="BB538" s="286"/>
      <c r="BC538" s="286"/>
      <c r="BD538" s="286"/>
      <c r="BE538" s="286"/>
      <c r="BF538" s="286"/>
      <c r="BG538" s="286"/>
      <c r="BH538" s="286"/>
      <c r="BI538" s="286"/>
      <c r="BJ538" s="286"/>
      <c r="BK538" s="286"/>
      <c r="BL538" s="286"/>
      <c r="BM538" s="286"/>
      <c r="BN538" s="286"/>
      <c r="BO538" s="286"/>
      <c r="BP538" s="286"/>
      <c r="BQ538" s="286"/>
      <c r="BR538" s="286"/>
      <c r="BS538" s="286"/>
      <c r="BT538" s="286"/>
      <c r="BU538" s="286"/>
      <c r="BV538" s="286"/>
      <c r="BW538" s="286"/>
      <c r="BX538" s="286"/>
      <c r="BY538" s="286"/>
      <c r="BZ538" s="286"/>
      <c r="CA538" s="286"/>
      <c r="CB538" s="286"/>
      <c r="CC538" s="286"/>
      <c r="CD538" s="286"/>
      <c r="CE538" s="286"/>
      <c r="CF538" s="286"/>
      <c r="CG538" s="286"/>
      <c r="CH538" s="286"/>
      <c r="CI538" s="286"/>
      <c r="CJ538" s="286"/>
      <c r="CK538" s="286"/>
      <c r="CL538" s="286"/>
      <c r="CM538" s="286"/>
      <c r="CN538" s="286"/>
      <c r="CO538" s="286"/>
      <c r="CP538" s="286"/>
      <c r="CQ538" s="286"/>
      <c r="CR538" s="286"/>
      <c r="CS538" s="286"/>
      <c r="CT538" s="286"/>
      <c r="CU538" s="286"/>
      <c r="CV538" s="286"/>
      <c r="CW538" s="286"/>
      <c r="CX538" s="286"/>
      <c r="CY538" s="286"/>
      <c r="CZ538" s="286"/>
      <c r="DA538" s="286"/>
      <c r="DB538" s="286"/>
      <c r="DC538" s="286"/>
      <c r="DD538" s="286"/>
      <c r="DE538" s="286"/>
      <c r="DF538" s="286"/>
      <c r="DG538" s="286"/>
      <c r="DH538" s="286"/>
      <c r="DI538" s="286"/>
      <c r="DJ538" s="286"/>
      <c r="DK538" s="286"/>
      <c r="DL538" s="286"/>
      <c r="DM538" s="286"/>
      <c r="DN538" s="286"/>
      <c r="DO538" s="286"/>
      <c r="DP538" s="286"/>
      <c r="DQ538" s="286"/>
      <c r="DR538" s="286"/>
      <c r="DS538" s="286"/>
      <c r="DT538" s="286"/>
      <c r="DU538" s="286"/>
      <c r="DV538" s="286"/>
      <c r="DW538" s="286"/>
      <c r="DX538" s="286"/>
      <c r="DY538" s="286"/>
      <c r="DZ538" s="286"/>
      <c r="EA538" s="286"/>
      <c r="EB538" s="286"/>
      <c r="EC538" s="286"/>
      <c r="ED538" s="286"/>
      <c r="EE538" s="286"/>
      <c r="EF538" s="286"/>
      <c r="EG538" s="286"/>
      <c r="EH538" s="286"/>
      <c r="EI538" s="286"/>
      <c r="EJ538" s="286"/>
      <c r="EK538" s="286"/>
      <c r="EL538" s="286"/>
      <c r="EM538" s="286"/>
      <c r="EN538" s="286"/>
      <c r="EO538" s="286"/>
      <c r="EP538" s="286"/>
      <c r="EQ538" s="286"/>
      <c r="ER538" s="286"/>
      <c r="ES538" s="286"/>
      <c r="ET538" s="286"/>
      <c r="EU538" s="286"/>
      <c r="EV538" s="286"/>
      <c r="EW538" s="286"/>
      <c r="EX538" s="286"/>
      <c r="EY538" s="286"/>
      <c r="EZ538" s="286"/>
      <c r="FA538" s="286"/>
      <c r="FB538" s="286"/>
      <c r="FC538" s="286"/>
      <c r="FD538" s="286"/>
      <c r="FE538" s="286"/>
      <c r="FF538" s="286"/>
      <c r="FG538" s="286"/>
      <c r="FH538" s="286"/>
      <c r="FI538" s="286"/>
      <c r="FJ538" s="286"/>
      <c r="FK538" s="286"/>
      <c r="FL538" s="286"/>
      <c r="FM538" s="286"/>
      <c r="FN538" s="286"/>
      <c r="FO538" s="286"/>
      <c r="FP538" s="286"/>
      <c r="FQ538" s="286"/>
      <c r="FR538" s="286"/>
      <c r="FS538" s="286"/>
    </row>
    <row r="539" spans="1:175">
      <c r="A539" s="212" t="s">
        <v>3159</v>
      </c>
      <c r="B539" s="212" t="s">
        <v>3160</v>
      </c>
      <c r="C539" s="212" t="s">
        <v>3432</v>
      </c>
      <c r="D539" s="212" t="s">
        <v>3692</v>
      </c>
      <c r="E539" s="212" t="s">
        <v>3715</v>
      </c>
      <c r="F539" s="278">
        <v>2194</v>
      </c>
      <c r="G539" s="278">
        <v>65823</v>
      </c>
      <c r="H539" s="287">
        <f t="shared" si="8"/>
        <v>0.81582425595916308</v>
      </c>
      <c r="I539" s="286">
        <v>60</v>
      </c>
      <c r="J539" s="286">
        <v>537</v>
      </c>
      <c r="K539" s="286">
        <v>376</v>
      </c>
      <c r="L539" s="286">
        <v>161</v>
      </c>
      <c r="M539" s="286">
        <v>394</v>
      </c>
      <c r="N539" s="286">
        <v>264</v>
      </c>
      <c r="O539" s="286">
        <v>130</v>
      </c>
      <c r="P539" s="286">
        <v>60</v>
      </c>
      <c r="Q539" s="286">
        <v>537</v>
      </c>
      <c r="R539" s="286">
        <v>376</v>
      </c>
      <c r="S539" s="286">
        <v>161</v>
      </c>
      <c r="T539" s="286">
        <v>394</v>
      </c>
      <c r="U539" s="286">
        <v>264</v>
      </c>
      <c r="V539" s="286">
        <v>130</v>
      </c>
      <c r="W539" s="286"/>
      <c r="X539" s="286"/>
      <c r="Y539" s="286"/>
      <c r="Z539" s="286"/>
      <c r="AA539" s="286"/>
      <c r="AB539" s="286"/>
      <c r="AC539" s="286"/>
      <c r="AD539" s="286"/>
      <c r="AE539" s="286"/>
      <c r="AF539" s="286"/>
      <c r="AG539" s="286"/>
      <c r="AH539" s="286"/>
      <c r="AI539" s="286"/>
      <c r="AJ539" s="286"/>
      <c r="AK539" s="286"/>
      <c r="AL539" s="286"/>
      <c r="AM539" s="286"/>
      <c r="AN539" s="286"/>
      <c r="AO539" s="286"/>
      <c r="AP539" s="286"/>
      <c r="AQ539" s="286"/>
      <c r="AR539" s="286"/>
      <c r="AS539" s="286"/>
      <c r="AT539" s="286"/>
      <c r="AU539" s="286"/>
      <c r="AV539" s="286"/>
      <c r="AW539" s="286"/>
      <c r="AX539" s="286"/>
      <c r="AY539" s="286"/>
      <c r="AZ539" s="286"/>
      <c r="BA539" s="286"/>
      <c r="BB539" s="286"/>
      <c r="BC539" s="286"/>
      <c r="BD539" s="286"/>
      <c r="BE539" s="286"/>
      <c r="BF539" s="286"/>
      <c r="BG539" s="286"/>
      <c r="BH539" s="286"/>
      <c r="BI539" s="286"/>
      <c r="BJ539" s="286"/>
      <c r="BK539" s="286"/>
      <c r="BL539" s="286"/>
      <c r="BM539" s="286"/>
      <c r="BN539" s="286"/>
      <c r="BO539" s="286"/>
      <c r="BP539" s="286"/>
      <c r="BQ539" s="286"/>
      <c r="BR539" s="286"/>
      <c r="BS539" s="286"/>
      <c r="BT539" s="286"/>
      <c r="BU539" s="286"/>
      <c r="BV539" s="286"/>
      <c r="BW539" s="286"/>
      <c r="BX539" s="286"/>
      <c r="BY539" s="286"/>
      <c r="BZ539" s="286"/>
      <c r="CA539" s="286"/>
      <c r="CB539" s="286"/>
      <c r="CC539" s="286"/>
      <c r="CD539" s="286"/>
      <c r="CE539" s="286"/>
      <c r="CF539" s="286"/>
      <c r="CG539" s="286"/>
      <c r="CH539" s="286"/>
      <c r="CI539" s="286"/>
      <c r="CJ539" s="286"/>
      <c r="CK539" s="286"/>
      <c r="CL539" s="286"/>
      <c r="CM539" s="286"/>
      <c r="CN539" s="286"/>
      <c r="CO539" s="286"/>
      <c r="CP539" s="286"/>
      <c r="CQ539" s="286"/>
      <c r="CR539" s="286"/>
      <c r="CS539" s="286"/>
      <c r="CT539" s="286"/>
      <c r="CU539" s="286"/>
      <c r="CV539" s="286"/>
      <c r="CW539" s="286"/>
      <c r="CX539" s="286"/>
      <c r="CY539" s="286"/>
      <c r="CZ539" s="286"/>
      <c r="DA539" s="286"/>
      <c r="DB539" s="286"/>
      <c r="DC539" s="286"/>
      <c r="DD539" s="286"/>
      <c r="DE539" s="286"/>
      <c r="DF539" s="286"/>
      <c r="DG539" s="286"/>
      <c r="DH539" s="286"/>
      <c r="DI539" s="286"/>
      <c r="DJ539" s="286"/>
      <c r="DK539" s="286"/>
      <c r="DL539" s="286"/>
      <c r="DM539" s="286"/>
      <c r="DN539" s="286"/>
      <c r="DO539" s="286"/>
      <c r="DP539" s="286"/>
      <c r="DQ539" s="286"/>
      <c r="DR539" s="286"/>
      <c r="DS539" s="286"/>
      <c r="DT539" s="286"/>
      <c r="DU539" s="286"/>
      <c r="DV539" s="286"/>
      <c r="DW539" s="286"/>
      <c r="DX539" s="286"/>
      <c r="DY539" s="286"/>
      <c r="DZ539" s="286"/>
      <c r="EA539" s="286"/>
      <c r="EB539" s="286"/>
      <c r="EC539" s="286"/>
      <c r="ED539" s="286"/>
      <c r="EE539" s="286"/>
      <c r="EF539" s="286"/>
      <c r="EG539" s="286"/>
      <c r="EH539" s="286"/>
      <c r="EI539" s="286"/>
      <c r="EJ539" s="286"/>
      <c r="EK539" s="286"/>
      <c r="EL539" s="286"/>
      <c r="EM539" s="286"/>
      <c r="EN539" s="286"/>
      <c r="EO539" s="286"/>
      <c r="EP539" s="286"/>
      <c r="EQ539" s="286"/>
      <c r="ER539" s="286"/>
      <c r="ES539" s="286"/>
      <c r="ET539" s="286"/>
      <c r="EU539" s="286"/>
      <c r="EV539" s="286"/>
      <c r="EW539" s="286"/>
      <c r="EX539" s="286"/>
      <c r="EY539" s="286"/>
      <c r="EZ539" s="286"/>
      <c r="FA539" s="286"/>
      <c r="FB539" s="286"/>
      <c r="FC539" s="286"/>
      <c r="FD539" s="286"/>
      <c r="FE539" s="286"/>
      <c r="FF539" s="286"/>
      <c r="FG539" s="286"/>
      <c r="FH539" s="286"/>
      <c r="FI539" s="286"/>
      <c r="FJ539" s="286"/>
      <c r="FK539" s="286"/>
      <c r="FL539" s="286"/>
      <c r="FM539" s="286"/>
      <c r="FN539" s="286"/>
      <c r="FO539" s="286"/>
      <c r="FP539" s="286"/>
      <c r="FQ539" s="286"/>
      <c r="FR539" s="286"/>
      <c r="FS539" s="286"/>
    </row>
    <row r="540" spans="1:175">
      <c r="A540" s="212" t="s">
        <v>3159</v>
      </c>
      <c r="B540" s="212" t="s">
        <v>3160</v>
      </c>
      <c r="C540" s="212" t="s">
        <v>3172</v>
      </c>
      <c r="D540" s="212" t="s">
        <v>3692</v>
      </c>
      <c r="E540" s="212" t="s">
        <v>3716</v>
      </c>
      <c r="F540" s="278">
        <v>28537</v>
      </c>
      <c r="G540" s="278">
        <v>175391</v>
      </c>
      <c r="H540" s="287">
        <f t="shared" si="8"/>
        <v>2.0012429372088647</v>
      </c>
      <c r="I540" s="286">
        <v>937</v>
      </c>
      <c r="J540" s="286">
        <v>3510</v>
      </c>
      <c r="K540" s="286">
        <v>2017</v>
      </c>
      <c r="L540" s="286">
        <v>1488</v>
      </c>
      <c r="M540" s="286">
        <v>2156</v>
      </c>
      <c r="N540" s="286">
        <v>1095</v>
      </c>
      <c r="O540" s="286">
        <v>1056</v>
      </c>
      <c r="P540" s="286">
        <v>937</v>
      </c>
      <c r="Q540" s="286">
        <v>3510</v>
      </c>
      <c r="R540" s="286">
        <v>2017</v>
      </c>
      <c r="S540" s="286">
        <v>1488</v>
      </c>
      <c r="T540" s="286">
        <v>2156</v>
      </c>
      <c r="U540" s="286">
        <v>1095</v>
      </c>
      <c r="V540" s="286">
        <v>1056</v>
      </c>
      <c r="W540" s="286"/>
      <c r="X540" s="286"/>
      <c r="Y540" s="286"/>
      <c r="Z540" s="286"/>
      <c r="AA540" s="286"/>
      <c r="AB540" s="286"/>
      <c r="AC540" s="286"/>
      <c r="AD540" s="286"/>
      <c r="AE540" s="286"/>
      <c r="AF540" s="286"/>
      <c r="AG540" s="286"/>
      <c r="AH540" s="286"/>
      <c r="AI540" s="286"/>
      <c r="AJ540" s="286"/>
      <c r="AK540" s="286"/>
      <c r="AL540" s="286"/>
      <c r="AM540" s="286"/>
      <c r="AN540" s="286"/>
      <c r="AO540" s="286"/>
      <c r="AP540" s="286"/>
      <c r="AQ540" s="286"/>
      <c r="AR540" s="286"/>
      <c r="AS540" s="286"/>
      <c r="AT540" s="286"/>
      <c r="AU540" s="286"/>
      <c r="AV540" s="286"/>
      <c r="AW540" s="286"/>
      <c r="AX540" s="286"/>
      <c r="AY540" s="286"/>
      <c r="AZ540" s="286"/>
      <c r="BA540" s="286"/>
      <c r="BB540" s="286"/>
      <c r="BC540" s="286"/>
      <c r="BD540" s="286"/>
      <c r="BE540" s="286"/>
      <c r="BF540" s="286"/>
      <c r="BG540" s="286"/>
      <c r="BH540" s="286"/>
      <c r="BI540" s="286"/>
      <c r="BJ540" s="286"/>
      <c r="BK540" s="286"/>
      <c r="BL540" s="286"/>
      <c r="BM540" s="286"/>
      <c r="BN540" s="286"/>
      <c r="BO540" s="286"/>
      <c r="BP540" s="286"/>
      <c r="BQ540" s="286"/>
      <c r="BR540" s="286"/>
      <c r="BS540" s="286"/>
      <c r="BT540" s="286"/>
      <c r="BU540" s="286"/>
      <c r="BV540" s="286"/>
      <c r="BW540" s="286"/>
      <c r="BX540" s="286"/>
      <c r="BY540" s="286"/>
      <c r="BZ540" s="286"/>
      <c r="CA540" s="286"/>
      <c r="CB540" s="286"/>
      <c r="CC540" s="286"/>
      <c r="CD540" s="286"/>
      <c r="CE540" s="286"/>
      <c r="CF540" s="286"/>
      <c r="CG540" s="286"/>
      <c r="CH540" s="286"/>
      <c r="CI540" s="286"/>
      <c r="CJ540" s="286"/>
      <c r="CK540" s="286"/>
      <c r="CL540" s="286"/>
      <c r="CM540" s="286"/>
      <c r="CN540" s="286"/>
      <c r="CO540" s="286"/>
      <c r="CP540" s="286"/>
      <c r="CQ540" s="286"/>
      <c r="CR540" s="286"/>
      <c r="CS540" s="286"/>
      <c r="CT540" s="286"/>
      <c r="CU540" s="286"/>
      <c r="CV540" s="286"/>
      <c r="CW540" s="286"/>
      <c r="CX540" s="286"/>
      <c r="CY540" s="286"/>
      <c r="CZ540" s="286"/>
      <c r="DA540" s="286"/>
      <c r="DB540" s="286"/>
      <c r="DC540" s="286"/>
      <c r="DD540" s="286"/>
      <c r="DE540" s="286"/>
      <c r="DF540" s="286"/>
      <c r="DG540" s="286"/>
      <c r="DH540" s="286"/>
      <c r="DI540" s="286"/>
      <c r="DJ540" s="286"/>
      <c r="DK540" s="286"/>
      <c r="DL540" s="286"/>
      <c r="DM540" s="286"/>
      <c r="DN540" s="286"/>
      <c r="DO540" s="286"/>
      <c r="DP540" s="286"/>
      <c r="DQ540" s="286"/>
      <c r="DR540" s="286"/>
      <c r="DS540" s="286"/>
      <c r="DT540" s="286"/>
      <c r="DU540" s="286"/>
      <c r="DV540" s="286"/>
      <c r="DW540" s="286"/>
      <c r="DX540" s="286"/>
      <c r="DY540" s="286"/>
      <c r="DZ540" s="286"/>
      <c r="EA540" s="286"/>
      <c r="EB540" s="286"/>
      <c r="EC540" s="286"/>
      <c r="ED540" s="286"/>
      <c r="EE540" s="286"/>
      <c r="EF540" s="286"/>
      <c r="EG540" s="286"/>
      <c r="EH540" s="286"/>
      <c r="EI540" s="286"/>
      <c r="EJ540" s="286"/>
      <c r="EK540" s="286"/>
      <c r="EL540" s="286"/>
      <c r="EM540" s="286"/>
      <c r="EN540" s="286"/>
      <c r="EO540" s="286"/>
      <c r="EP540" s="286"/>
      <c r="EQ540" s="286"/>
      <c r="ER540" s="286"/>
      <c r="ES540" s="286"/>
      <c r="ET540" s="286"/>
      <c r="EU540" s="286"/>
      <c r="EV540" s="286"/>
      <c r="EW540" s="286"/>
      <c r="EX540" s="286"/>
      <c r="EY540" s="286"/>
      <c r="EZ540" s="286"/>
      <c r="FA540" s="286"/>
      <c r="FB540" s="286"/>
      <c r="FC540" s="286"/>
      <c r="FD540" s="286"/>
      <c r="FE540" s="286"/>
      <c r="FF540" s="286"/>
      <c r="FG540" s="286"/>
      <c r="FH540" s="286"/>
      <c r="FI540" s="286"/>
      <c r="FJ540" s="286"/>
      <c r="FK540" s="286"/>
      <c r="FL540" s="286"/>
      <c r="FM540" s="286"/>
      <c r="FN540" s="286"/>
      <c r="FO540" s="286"/>
      <c r="FP540" s="286"/>
      <c r="FQ540" s="286"/>
      <c r="FR540" s="286"/>
      <c r="FS540" s="286"/>
    </row>
    <row r="541" spans="1:175">
      <c r="A541" s="212" t="s">
        <v>3159</v>
      </c>
      <c r="B541" s="212" t="s">
        <v>3160</v>
      </c>
      <c r="C541" s="212" t="s">
        <v>3432</v>
      </c>
      <c r="D541" s="212" t="s">
        <v>3692</v>
      </c>
      <c r="E541" s="212" t="s">
        <v>3717</v>
      </c>
      <c r="F541" s="278">
        <v>550</v>
      </c>
      <c r="G541" s="278">
        <v>5386</v>
      </c>
      <c r="H541" s="287">
        <f t="shared" si="8"/>
        <v>2.2279985146676569</v>
      </c>
      <c r="I541" s="286">
        <v>17</v>
      </c>
      <c r="J541" s="286">
        <v>120</v>
      </c>
      <c r="K541" s="286">
        <v>70</v>
      </c>
      <c r="L541" s="286">
        <v>50</v>
      </c>
      <c r="M541" s="286">
        <v>110</v>
      </c>
      <c r="N541" s="286">
        <v>60</v>
      </c>
      <c r="O541" s="286">
        <v>50</v>
      </c>
      <c r="P541" s="286">
        <v>17</v>
      </c>
      <c r="Q541" s="286">
        <v>120</v>
      </c>
      <c r="R541" s="286">
        <v>70</v>
      </c>
      <c r="S541" s="286">
        <v>50</v>
      </c>
      <c r="T541" s="286">
        <v>110</v>
      </c>
      <c r="U541" s="286">
        <v>60</v>
      </c>
      <c r="V541" s="286">
        <v>50</v>
      </c>
      <c r="W541" s="286"/>
      <c r="X541" s="286"/>
      <c r="Y541" s="286"/>
      <c r="Z541" s="286"/>
      <c r="AA541" s="286"/>
      <c r="AB541" s="286"/>
      <c r="AC541" s="286"/>
      <c r="AD541" s="286"/>
      <c r="AE541" s="286"/>
      <c r="AF541" s="286"/>
      <c r="AG541" s="286"/>
      <c r="AH541" s="286"/>
      <c r="AI541" s="286"/>
      <c r="AJ541" s="286"/>
      <c r="AK541" s="286"/>
      <c r="AL541" s="286"/>
      <c r="AM541" s="286"/>
      <c r="AN541" s="286"/>
      <c r="AO541" s="286"/>
      <c r="AP541" s="286"/>
      <c r="AQ541" s="286"/>
      <c r="AR541" s="286"/>
      <c r="AS541" s="286"/>
      <c r="AT541" s="286"/>
      <c r="AU541" s="286"/>
      <c r="AV541" s="286"/>
      <c r="AW541" s="286"/>
      <c r="AX541" s="286"/>
      <c r="AY541" s="286"/>
      <c r="AZ541" s="286"/>
      <c r="BA541" s="286"/>
      <c r="BB541" s="286"/>
      <c r="BC541" s="286"/>
      <c r="BD541" s="286"/>
      <c r="BE541" s="286"/>
      <c r="BF541" s="286"/>
      <c r="BG541" s="286"/>
      <c r="BH541" s="286"/>
      <c r="BI541" s="286"/>
      <c r="BJ541" s="286"/>
      <c r="BK541" s="286"/>
      <c r="BL541" s="286"/>
      <c r="BM541" s="286"/>
      <c r="BN541" s="286"/>
      <c r="BO541" s="286"/>
      <c r="BP541" s="286"/>
      <c r="BQ541" s="286"/>
      <c r="BR541" s="286"/>
      <c r="BS541" s="286"/>
      <c r="BT541" s="286"/>
      <c r="BU541" s="286"/>
      <c r="BV541" s="286"/>
      <c r="BW541" s="286"/>
      <c r="BX541" s="286"/>
      <c r="BY541" s="286"/>
      <c r="BZ541" s="286"/>
      <c r="CA541" s="286"/>
      <c r="CB541" s="286"/>
      <c r="CC541" s="286"/>
      <c r="CD541" s="286"/>
      <c r="CE541" s="286"/>
      <c r="CF541" s="286"/>
      <c r="CG541" s="286"/>
      <c r="CH541" s="286"/>
      <c r="CI541" s="286"/>
      <c r="CJ541" s="286"/>
      <c r="CK541" s="286"/>
      <c r="CL541" s="286"/>
      <c r="CM541" s="286"/>
      <c r="CN541" s="286"/>
      <c r="CO541" s="286"/>
      <c r="CP541" s="286"/>
      <c r="CQ541" s="286"/>
      <c r="CR541" s="286"/>
      <c r="CS541" s="286"/>
      <c r="CT541" s="286"/>
      <c r="CU541" s="286"/>
      <c r="CV541" s="286"/>
      <c r="CW541" s="286"/>
      <c r="CX541" s="286"/>
      <c r="CY541" s="286"/>
      <c r="CZ541" s="286"/>
      <c r="DA541" s="286"/>
      <c r="DB541" s="286"/>
      <c r="DC541" s="286"/>
      <c r="DD541" s="286"/>
      <c r="DE541" s="286"/>
      <c r="DF541" s="286"/>
      <c r="DG541" s="286"/>
      <c r="DH541" s="286"/>
      <c r="DI541" s="286"/>
      <c r="DJ541" s="286"/>
      <c r="DK541" s="286"/>
      <c r="DL541" s="286"/>
      <c r="DM541" s="286"/>
      <c r="DN541" s="286"/>
      <c r="DO541" s="286"/>
      <c r="DP541" s="286"/>
      <c r="DQ541" s="286"/>
      <c r="DR541" s="286"/>
      <c r="DS541" s="286"/>
      <c r="DT541" s="286"/>
      <c r="DU541" s="286"/>
      <c r="DV541" s="286"/>
      <c r="DW541" s="286"/>
      <c r="DX541" s="286"/>
      <c r="DY541" s="286"/>
      <c r="DZ541" s="286"/>
      <c r="EA541" s="286"/>
      <c r="EB541" s="286"/>
      <c r="EC541" s="286"/>
      <c r="ED541" s="286"/>
      <c r="EE541" s="286"/>
      <c r="EF541" s="286"/>
      <c r="EG541" s="286"/>
      <c r="EH541" s="286"/>
      <c r="EI541" s="286"/>
      <c r="EJ541" s="286"/>
      <c r="EK541" s="286"/>
      <c r="EL541" s="286"/>
      <c r="EM541" s="286"/>
      <c r="EN541" s="286"/>
      <c r="EO541" s="286"/>
      <c r="EP541" s="286"/>
      <c r="EQ541" s="286"/>
      <c r="ER541" s="286"/>
      <c r="ES541" s="286"/>
      <c r="ET541" s="286"/>
      <c r="EU541" s="286"/>
      <c r="EV541" s="286"/>
      <c r="EW541" s="286"/>
      <c r="EX541" s="286"/>
      <c r="EY541" s="286"/>
      <c r="EZ541" s="286"/>
      <c r="FA541" s="286"/>
      <c r="FB541" s="286"/>
      <c r="FC541" s="286"/>
      <c r="FD541" s="286"/>
      <c r="FE541" s="286"/>
      <c r="FF541" s="286"/>
      <c r="FG541" s="286"/>
      <c r="FH541" s="286"/>
      <c r="FI541" s="286"/>
      <c r="FJ541" s="286"/>
      <c r="FK541" s="286"/>
      <c r="FL541" s="286"/>
      <c r="FM541" s="286"/>
      <c r="FN541" s="286"/>
      <c r="FO541" s="286"/>
      <c r="FP541" s="286"/>
      <c r="FQ541" s="286"/>
      <c r="FR541" s="286"/>
      <c r="FS541" s="286"/>
    </row>
    <row r="542" spans="1:175">
      <c r="A542" s="212" t="s">
        <v>3159</v>
      </c>
      <c r="B542" s="212" t="s">
        <v>3160</v>
      </c>
      <c r="C542" s="212" t="s">
        <v>3432</v>
      </c>
      <c r="D542" s="212" t="s">
        <v>3692</v>
      </c>
      <c r="E542" s="212" t="s">
        <v>3718</v>
      </c>
      <c r="F542" s="278">
        <v>27987</v>
      </c>
      <c r="G542" s="278">
        <v>170005</v>
      </c>
      <c r="H542" s="287">
        <f t="shared" si="8"/>
        <v>1.994058998264757</v>
      </c>
      <c r="I542" s="286">
        <v>920</v>
      </c>
      <c r="J542" s="286">
        <v>3390</v>
      </c>
      <c r="K542" s="286">
        <v>1947</v>
      </c>
      <c r="L542" s="286">
        <v>1438</v>
      </c>
      <c r="M542" s="286">
        <v>2046</v>
      </c>
      <c r="N542" s="286">
        <v>1035</v>
      </c>
      <c r="O542" s="286">
        <v>1006</v>
      </c>
      <c r="P542" s="286">
        <v>920</v>
      </c>
      <c r="Q542" s="286">
        <v>3390</v>
      </c>
      <c r="R542" s="286">
        <v>1947</v>
      </c>
      <c r="S542" s="286">
        <v>1438</v>
      </c>
      <c r="T542" s="286">
        <v>2046</v>
      </c>
      <c r="U542" s="286">
        <v>1035</v>
      </c>
      <c r="V542" s="286">
        <v>1006</v>
      </c>
      <c r="W542" s="286"/>
      <c r="X542" s="286"/>
      <c r="Y542" s="286"/>
      <c r="Z542" s="286"/>
      <c r="AA542" s="286"/>
      <c r="AB542" s="286"/>
      <c r="AC542" s="286"/>
      <c r="AD542" s="286"/>
      <c r="AE542" s="286"/>
      <c r="AF542" s="286"/>
      <c r="AG542" s="286"/>
      <c r="AH542" s="286"/>
      <c r="AI542" s="286"/>
      <c r="AJ542" s="286"/>
      <c r="AK542" s="286"/>
      <c r="AL542" s="286"/>
      <c r="AM542" s="286"/>
      <c r="AN542" s="286"/>
      <c r="AO542" s="286"/>
      <c r="AP542" s="286"/>
      <c r="AQ542" s="286"/>
      <c r="AR542" s="286"/>
      <c r="AS542" s="286"/>
      <c r="AT542" s="286"/>
      <c r="AU542" s="286"/>
      <c r="AV542" s="286"/>
      <c r="AW542" s="286"/>
      <c r="AX542" s="286"/>
      <c r="AY542" s="286"/>
      <c r="AZ542" s="286"/>
      <c r="BA542" s="286"/>
      <c r="BB542" s="286"/>
      <c r="BC542" s="286"/>
      <c r="BD542" s="286"/>
      <c r="BE542" s="286"/>
      <c r="BF542" s="286"/>
      <c r="BG542" s="286"/>
      <c r="BH542" s="286"/>
      <c r="BI542" s="286"/>
      <c r="BJ542" s="286"/>
      <c r="BK542" s="286"/>
      <c r="BL542" s="286"/>
      <c r="BM542" s="286"/>
      <c r="BN542" s="286"/>
      <c r="BO542" s="286"/>
      <c r="BP542" s="286"/>
      <c r="BQ542" s="286"/>
      <c r="BR542" s="286"/>
      <c r="BS542" s="286"/>
      <c r="BT542" s="286"/>
      <c r="BU542" s="286"/>
      <c r="BV542" s="286"/>
      <c r="BW542" s="286"/>
      <c r="BX542" s="286"/>
      <c r="BY542" s="286"/>
      <c r="BZ542" s="286"/>
      <c r="CA542" s="286"/>
      <c r="CB542" s="286"/>
      <c r="CC542" s="286"/>
      <c r="CD542" s="286"/>
      <c r="CE542" s="286"/>
      <c r="CF542" s="286"/>
      <c r="CG542" s="286"/>
      <c r="CH542" s="286"/>
      <c r="CI542" s="286"/>
      <c r="CJ542" s="286"/>
      <c r="CK542" s="286"/>
      <c r="CL542" s="286"/>
      <c r="CM542" s="286"/>
      <c r="CN542" s="286"/>
      <c r="CO542" s="286"/>
      <c r="CP542" s="286"/>
      <c r="CQ542" s="286"/>
      <c r="CR542" s="286"/>
      <c r="CS542" s="286"/>
      <c r="CT542" s="286"/>
      <c r="CU542" s="286"/>
      <c r="CV542" s="286"/>
      <c r="CW542" s="286"/>
      <c r="CX542" s="286"/>
      <c r="CY542" s="286"/>
      <c r="CZ542" s="286"/>
      <c r="DA542" s="286"/>
      <c r="DB542" s="286"/>
      <c r="DC542" s="286"/>
      <c r="DD542" s="286"/>
      <c r="DE542" s="286"/>
      <c r="DF542" s="286"/>
      <c r="DG542" s="286"/>
      <c r="DH542" s="286"/>
      <c r="DI542" s="286"/>
      <c r="DJ542" s="286"/>
      <c r="DK542" s="286"/>
      <c r="DL542" s="286"/>
      <c r="DM542" s="286"/>
      <c r="DN542" s="286"/>
      <c r="DO542" s="286"/>
      <c r="DP542" s="286"/>
      <c r="DQ542" s="286"/>
      <c r="DR542" s="286"/>
      <c r="DS542" s="286"/>
      <c r="DT542" s="286"/>
      <c r="DU542" s="286"/>
      <c r="DV542" s="286"/>
      <c r="DW542" s="286"/>
      <c r="DX542" s="286"/>
      <c r="DY542" s="286"/>
      <c r="DZ542" s="286"/>
      <c r="EA542" s="286"/>
      <c r="EB542" s="286"/>
      <c r="EC542" s="286"/>
      <c r="ED542" s="286"/>
      <c r="EE542" s="286"/>
      <c r="EF542" s="286"/>
      <c r="EG542" s="286"/>
      <c r="EH542" s="286"/>
      <c r="EI542" s="286"/>
      <c r="EJ542" s="286"/>
      <c r="EK542" s="286"/>
      <c r="EL542" s="286"/>
      <c r="EM542" s="286"/>
      <c r="EN542" s="286"/>
      <c r="EO542" s="286"/>
      <c r="EP542" s="286"/>
      <c r="EQ542" s="286"/>
      <c r="ER542" s="286"/>
      <c r="ES542" s="286"/>
      <c r="ET542" s="286"/>
      <c r="EU542" s="286"/>
      <c r="EV542" s="286"/>
      <c r="EW542" s="286"/>
      <c r="EX542" s="286"/>
      <c r="EY542" s="286"/>
      <c r="EZ542" s="286"/>
      <c r="FA542" s="286"/>
      <c r="FB542" s="286"/>
      <c r="FC542" s="286"/>
      <c r="FD542" s="286"/>
      <c r="FE542" s="286"/>
      <c r="FF542" s="286"/>
      <c r="FG542" s="286"/>
      <c r="FH542" s="286"/>
      <c r="FI542" s="286"/>
      <c r="FJ542" s="286"/>
      <c r="FK542" s="286"/>
      <c r="FL542" s="286"/>
      <c r="FM542" s="286"/>
      <c r="FN542" s="286"/>
      <c r="FO542" s="286"/>
      <c r="FP542" s="286"/>
      <c r="FQ542" s="286"/>
      <c r="FR542" s="286"/>
      <c r="FS542" s="286"/>
    </row>
    <row r="543" spans="1:175">
      <c r="A543" s="212" t="s">
        <v>3159</v>
      </c>
      <c r="B543" s="212" t="s">
        <v>3160</v>
      </c>
      <c r="C543" s="212" t="s">
        <v>3170</v>
      </c>
      <c r="D543" s="212" t="s">
        <v>3692</v>
      </c>
      <c r="E543" s="212" t="s">
        <v>3719</v>
      </c>
      <c r="F543" s="278">
        <v>10697</v>
      </c>
      <c r="G543" s="278">
        <v>143458</v>
      </c>
      <c r="H543" s="287">
        <f t="shared" si="8"/>
        <v>1.0435109927644328</v>
      </c>
      <c r="I543" s="286">
        <v>228</v>
      </c>
      <c r="J543" s="286">
        <v>1497</v>
      </c>
      <c r="K543" s="286">
        <v>829</v>
      </c>
      <c r="L543" s="286">
        <v>668</v>
      </c>
      <c r="M543" s="286">
        <v>1151</v>
      </c>
      <c r="N543" s="286">
        <v>609</v>
      </c>
      <c r="O543" s="286">
        <v>542</v>
      </c>
      <c r="P543" s="286">
        <v>228</v>
      </c>
      <c r="Q543" s="286">
        <v>1497</v>
      </c>
      <c r="R543" s="286">
        <v>829</v>
      </c>
      <c r="S543" s="286">
        <v>668</v>
      </c>
      <c r="T543" s="286">
        <v>1151</v>
      </c>
      <c r="U543" s="286">
        <v>609</v>
      </c>
      <c r="V543" s="286">
        <v>542</v>
      </c>
      <c r="W543" s="286"/>
      <c r="X543" s="286"/>
      <c r="Y543" s="286"/>
      <c r="Z543" s="286"/>
      <c r="AA543" s="286"/>
      <c r="AB543" s="286"/>
      <c r="AC543" s="286"/>
      <c r="AD543" s="286"/>
      <c r="AE543" s="286"/>
      <c r="AF543" s="286"/>
      <c r="AG543" s="286"/>
      <c r="AH543" s="286"/>
      <c r="AI543" s="286"/>
      <c r="AJ543" s="286"/>
      <c r="AK543" s="286"/>
      <c r="AL543" s="286"/>
      <c r="AM543" s="286"/>
      <c r="AN543" s="286"/>
      <c r="AO543" s="286"/>
      <c r="AP543" s="286"/>
      <c r="AQ543" s="286"/>
      <c r="AR543" s="286"/>
      <c r="AS543" s="286"/>
      <c r="AT543" s="286"/>
      <c r="AU543" s="286"/>
      <c r="AV543" s="286"/>
      <c r="AW543" s="286"/>
      <c r="AX543" s="286"/>
      <c r="AY543" s="286"/>
      <c r="AZ543" s="286"/>
      <c r="BA543" s="286"/>
      <c r="BB543" s="286"/>
      <c r="BC543" s="286"/>
      <c r="BD543" s="286"/>
      <c r="BE543" s="286"/>
      <c r="BF543" s="286"/>
      <c r="BG543" s="286"/>
      <c r="BH543" s="286"/>
      <c r="BI543" s="286"/>
      <c r="BJ543" s="286"/>
      <c r="BK543" s="286"/>
      <c r="BL543" s="286"/>
      <c r="BM543" s="286"/>
      <c r="BN543" s="286"/>
      <c r="BO543" s="286"/>
      <c r="BP543" s="286"/>
      <c r="BQ543" s="286"/>
      <c r="BR543" s="286"/>
      <c r="BS543" s="286"/>
      <c r="BT543" s="286"/>
      <c r="BU543" s="286"/>
      <c r="BV543" s="286"/>
      <c r="BW543" s="286"/>
      <c r="BX543" s="286"/>
      <c r="BY543" s="286"/>
      <c r="BZ543" s="286"/>
      <c r="CA543" s="286"/>
      <c r="CB543" s="286"/>
      <c r="CC543" s="286"/>
      <c r="CD543" s="286"/>
      <c r="CE543" s="286"/>
      <c r="CF543" s="286"/>
      <c r="CG543" s="286"/>
      <c r="CH543" s="286"/>
      <c r="CI543" s="286"/>
      <c r="CJ543" s="286"/>
      <c r="CK543" s="286"/>
      <c r="CL543" s="286"/>
      <c r="CM543" s="286"/>
      <c r="CN543" s="286"/>
      <c r="CO543" s="286"/>
      <c r="CP543" s="286"/>
      <c r="CQ543" s="286"/>
      <c r="CR543" s="286"/>
      <c r="CS543" s="286"/>
      <c r="CT543" s="286"/>
      <c r="CU543" s="286"/>
      <c r="CV543" s="286"/>
      <c r="CW543" s="286"/>
      <c r="CX543" s="286"/>
      <c r="CY543" s="286"/>
      <c r="CZ543" s="286"/>
      <c r="DA543" s="286"/>
      <c r="DB543" s="286"/>
      <c r="DC543" s="286"/>
      <c r="DD543" s="286"/>
      <c r="DE543" s="286"/>
      <c r="DF543" s="286"/>
      <c r="DG543" s="286"/>
      <c r="DH543" s="286"/>
      <c r="DI543" s="286"/>
      <c r="DJ543" s="286"/>
      <c r="DK543" s="286"/>
      <c r="DL543" s="286"/>
      <c r="DM543" s="286"/>
      <c r="DN543" s="286"/>
      <c r="DO543" s="286"/>
      <c r="DP543" s="286"/>
      <c r="DQ543" s="286"/>
      <c r="DR543" s="286"/>
      <c r="DS543" s="286"/>
      <c r="DT543" s="286"/>
      <c r="DU543" s="286"/>
      <c r="DV543" s="286"/>
      <c r="DW543" s="286"/>
      <c r="DX543" s="286"/>
      <c r="DY543" s="286"/>
      <c r="DZ543" s="286"/>
      <c r="EA543" s="286"/>
      <c r="EB543" s="286"/>
      <c r="EC543" s="286"/>
      <c r="ED543" s="286"/>
      <c r="EE543" s="286"/>
      <c r="EF543" s="286"/>
      <c r="EG543" s="286"/>
      <c r="EH543" s="286"/>
      <c r="EI543" s="286"/>
      <c r="EJ543" s="286"/>
      <c r="EK543" s="286"/>
      <c r="EL543" s="286"/>
      <c r="EM543" s="286"/>
      <c r="EN543" s="286"/>
      <c r="EO543" s="286"/>
      <c r="EP543" s="286"/>
      <c r="EQ543" s="286"/>
      <c r="ER543" s="286"/>
      <c r="ES543" s="286"/>
      <c r="ET543" s="286"/>
      <c r="EU543" s="286"/>
      <c r="EV543" s="286"/>
      <c r="EW543" s="286"/>
      <c r="EX543" s="286"/>
      <c r="EY543" s="286"/>
      <c r="EZ543" s="286"/>
      <c r="FA543" s="286"/>
      <c r="FB543" s="286"/>
      <c r="FC543" s="286"/>
      <c r="FD543" s="286"/>
      <c r="FE543" s="286"/>
      <c r="FF543" s="286"/>
      <c r="FG543" s="286"/>
      <c r="FH543" s="286"/>
      <c r="FI543" s="286"/>
      <c r="FJ543" s="286"/>
      <c r="FK543" s="286"/>
      <c r="FL543" s="286"/>
      <c r="FM543" s="286"/>
      <c r="FN543" s="286"/>
      <c r="FO543" s="286"/>
      <c r="FP543" s="286"/>
      <c r="FQ543" s="286"/>
      <c r="FR543" s="286"/>
      <c r="FS543" s="286"/>
    </row>
    <row r="544" spans="1:175">
      <c r="A544" s="212" t="s">
        <v>3159</v>
      </c>
      <c r="B544" s="212" t="s">
        <v>3160</v>
      </c>
      <c r="C544" s="212" t="s">
        <v>3172</v>
      </c>
      <c r="D544" s="212" t="s">
        <v>3692</v>
      </c>
      <c r="E544" s="212" t="s">
        <v>3720</v>
      </c>
      <c r="F544" s="278">
        <v>30</v>
      </c>
      <c r="G544" s="278">
        <v>362</v>
      </c>
      <c r="H544" s="287">
        <f t="shared" si="8"/>
        <v>0.82872928176795579</v>
      </c>
      <c r="I544" s="286">
        <v>3</v>
      </c>
      <c r="J544" s="286">
        <v>3</v>
      </c>
      <c r="K544" s="286">
        <v>3</v>
      </c>
      <c r="L544" s="286">
        <v>0</v>
      </c>
      <c r="M544" s="286">
        <v>2</v>
      </c>
      <c r="N544" s="286">
        <v>2</v>
      </c>
      <c r="O544" s="286">
        <v>0</v>
      </c>
      <c r="P544" s="286">
        <v>3</v>
      </c>
      <c r="Q544" s="286">
        <v>3</v>
      </c>
      <c r="R544" s="286">
        <v>3</v>
      </c>
      <c r="S544" s="286">
        <v>0</v>
      </c>
      <c r="T544" s="286">
        <v>2</v>
      </c>
      <c r="U544" s="286">
        <v>2</v>
      </c>
      <c r="V544" s="286">
        <v>0</v>
      </c>
      <c r="W544" s="286"/>
      <c r="X544" s="286"/>
      <c r="Y544" s="286"/>
      <c r="Z544" s="286"/>
      <c r="AA544" s="286"/>
      <c r="AB544" s="286"/>
      <c r="AC544" s="286"/>
      <c r="AD544" s="286"/>
      <c r="AE544" s="286"/>
      <c r="AF544" s="286"/>
      <c r="AG544" s="286"/>
      <c r="AH544" s="286"/>
      <c r="AI544" s="286"/>
      <c r="AJ544" s="286"/>
      <c r="AK544" s="286"/>
      <c r="AL544" s="286"/>
      <c r="AM544" s="286"/>
      <c r="AN544" s="286"/>
      <c r="AO544" s="286"/>
      <c r="AP544" s="286"/>
      <c r="AQ544" s="286"/>
      <c r="AR544" s="286"/>
      <c r="AS544" s="286"/>
      <c r="AT544" s="286"/>
      <c r="AU544" s="286"/>
      <c r="AV544" s="286"/>
      <c r="AW544" s="286"/>
      <c r="AX544" s="286"/>
      <c r="AY544" s="286"/>
      <c r="AZ544" s="286"/>
      <c r="BA544" s="286"/>
      <c r="BB544" s="286"/>
      <c r="BC544" s="286"/>
      <c r="BD544" s="286"/>
      <c r="BE544" s="286"/>
      <c r="BF544" s="286"/>
      <c r="BG544" s="286"/>
      <c r="BH544" s="286"/>
      <c r="BI544" s="286"/>
      <c r="BJ544" s="286"/>
      <c r="BK544" s="286"/>
      <c r="BL544" s="286"/>
      <c r="BM544" s="286"/>
      <c r="BN544" s="286"/>
      <c r="BO544" s="286"/>
      <c r="BP544" s="286"/>
      <c r="BQ544" s="286"/>
      <c r="BR544" s="286"/>
      <c r="BS544" s="286"/>
      <c r="BT544" s="286"/>
      <c r="BU544" s="286"/>
      <c r="BV544" s="286"/>
      <c r="BW544" s="286"/>
      <c r="BX544" s="286"/>
      <c r="BY544" s="286"/>
      <c r="BZ544" s="286"/>
      <c r="CA544" s="286"/>
      <c r="CB544" s="286"/>
      <c r="CC544" s="286"/>
      <c r="CD544" s="286"/>
      <c r="CE544" s="286"/>
      <c r="CF544" s="286"/>
      <c r="CG544" s="286"/>
      <c r="CH544" s="286"/>
      <c r="CI544" s="286"/>
      <c r="CJ544" s="286"/>
      <c r="CK544" s="286"/>
      <c r="CL544" s="286"/>
      <c r="CM544" s="286"/>
      <c r="CN544" s="286"/>
      <c r="CO544" s="286"/>
      <c r="CP544" s="286"/>
      <c r="CQ544" s="286"/>
      <c r="CR544" s="286"/>
      <c r="CS544" s="286"/>
      <c r="CT544" s="286"/>
      <c r="CU544" s="286"/>
      <c r="CV544" s="286"/>
      <c r="CW544" s="286"/>
      <c r="CX544" s="286"/>
      <c r="CY544" s="286"/>
      <c r="CZ544" s="286"/>
      <c r="DA544" s="286"/>
      <c r="DB544" s="286"/>
      <c r="DC544" s="286"/>
      <c r="DD544" s="286"/>
      <c r="DE544" s="286"/>
      <c r="DF544" s="286"/>
      <c r="DG544" s="286"/>
      <c r="DH544" s="286"/>
      <c r="DI544" s="286"/>
      <c r="DJ544" s="286"/>
      <c r="DK544" s="286"/>
      <c r="DL544" s="286"/>
      <c r="DM544" s="286"/>
      <c r="DN544" s="286"/>
      <c r="DO544" s="286"/>
      <c r="DP544" s="286"/>
      <c r="DQ544" s="286"/>
      <c r="DR544" s="286"/>
      <c r="DS544" s="286"/>
      <c r="DT544" s="286"/>
      <c r="DU544" s="286"/>
      <c r="DV544" s="286"/>
      <c r="DW544" s="286"/>
      <c r="DX544" s="286"/>
      <c r="DY544" s="286"/>
      <c r="DZ544" s="286"/>
      <c r="EA544" s="286"/>
      <c r="EB544" s="286"/>
      <c r="EC544" s="286"/>
      <c r="ED544" s="286"/>
      <c r="EE544" s="286"/>
      <c r="EF544" s="286"/>
      <c r="EG544" s="286"/>
      <c r="EH544" s="286"/>
      <c r="EI544" s="286"/>
      <c r="EJ544" s="286"/>
      <c r="EK544" s="286"/>
      <c r="EL544" s="286"/>
      <c r="EM544" s="286"/>
      <c r="EN544" s="286"/>
      <c r="EO544" s="286"/>
      <c r="EP544" s="286"/>
      <c r="EQ544" s="286"/>
      <c r="ER544" s="286"/>
      <c r="ES544" s="286"/>
      <c r="ET544" s="286"/>
      <c r="EU544" s="286"/>
      <c r="EV544" s="286"/>
      <c r="EW544" s="286"/>
      <c r="EX544" s="286"/>
      <c r="EY544" s="286"/>
      <c r="EZ544" s="286"/>
      <c r="FA544" s="286"/>
      <c r="FB544" s="286"/>
      <c r="FC544" s="286"/>
      <c r="FD544" s="286"/>
      <c r="FE544" s="286"/>
      <c r="FF544" s="286"/>
      <c r="FG544" s="286"/>
      <c r="FH544" s="286"/>
      <c r="FI544" s="286"/>
      <c r="FJ544" s="286"/>
      <c r="FK544" s="286"/>
      <c r="FL544" s="286"/>
      <c r="FM544" s="286"/>
      <c r="FN544" s="286"/>
      <c r="FO544" s="286"/>
      <c r="FP544" s="286"/>
      <c r="FQ544" s="286"/>
      <c r="FR544" s="286"/>
      <c r="FS544" s="286"/>
    </row>
    <row r="545" spans="1:175">
      <c r="A545" s="212" t="s">
        <v>3159</v>
      </c>
      <c r="B545" s="212" t="s">
        <v>3160</v>
      </c>
      <c r="C545" s="212" t="s">
        <v>3172</v>
      </c>
      <c r="D545" s="212" t="s">
        <v>3692</v>
      </c>
      <c r="E545" s="212" t="s">
        <v>3721</v>
      </c>
      <c r="F545" s="278">
        <v>10667</v>
      </c>
      <c r="G545" s="278">
        <v>143096</v>
      </c>
      <c r="H545" s="287">
        <f t="shared" si="8"/>
        <v>1.0440543411416112</v>
      </c>
      <c r="I545" s="286">
        <v>225</v>
      </c>
      <c r="J545" s="286">
        <v>1494</v>
      </c>
      <c r="K545" s="286">
        <v>826</v>
      </c>
      <c r="L545" s="286">
        <v>668</v>
      </c>
      <c r="M545" s="286">
        <v>1149</v>
      </c>
      <c r="N545" s="286">
        <v>607</v>
      </c>
      <c r="O545" s="286">
        <v>542</v>
      </c>
      <c r="P545" s="286">
        <v>225</v>
      </c>
      <c r="Q545" s="286">
        <v>1494</v>
      </c>
      <c r="R545" s="286">
        <v>826</v>
      </c>
      <c r="S545" s="286">
        <v>668</v>
      </c>
      <c r="T545" s="286">
        <v>1149</v>
      </c>
      <c r="U545" s="286">
        <v>607</v>
      </c>
      <c r="V545" s="286">
        <v>542</v>
      </c>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T545" s="286"/>
      <c r="AU545" s="286"/>
      <c r="AV545" s="286"/>
      <c r="AW545" s="286"/>
      <c r="AX545" s="286"/>
      <c r="AY545" s="286"/>
      <c r="AZ545" s="286"/>
      <c r="BA545" s="286"/>
      <c r="BB545" s="286"/>
      <c r="BC545" s="286"/>
      <c r="BD545" s="286"/>
      <c r="BE545" s="286"/>
      <c r="BF545" s="286"/>
      <c r="BG545" s="286"/>
      <c r="BH545" s="286"/>
      <c r="BI545" s="286"/>
      <c r="BJ545" s="286"/>
      <c r="BK545" s="286"/>
      <c r="BL545" s="286"/>
      <c r="BM545" s="286"/>
      <c r="BN545" s="286"/>
      <c r="BO545" s="286"/>
      <c r="BP545" s="286"/>
      <c r="BQ545" s="286"/>
      <c r="BR545" s="286"/>
      <c r="BS545" s="286"/>
      <c r="BT545" s="286"/>
      <c r="BU545" s="286"/>
      <c r="BV545" s="286"/>
      <c r="BW545" s="286"/>
      <c r="BX545" s="286"/>
      <c r="BY545" s="286"/>
      <c r="BZ545" s="286"/>
      <c r="CA545" s="286"/>
      <c r="CB545" s="286"/>
      <c r="CC545" s="286"/>
      <c r="CD545" s="286"/>
      <c r="CE545" s="286"/>
      <c r="CF545" s="286"/>
      <c r="CG545" s="286"/>
      <c r="CH545" s="286"/>
      <c r="CI545" s="286"/>
      <c r="CJ545" s="286"/>
      <c r="CK545" s="286"/>
      <c r="CL545" s="286"/>
      <c r="CM545" s="286"/>
      <c r="CN545" s="286"/>
      <c r="CO545" s="286"/>
      <c r="CP545" s="286"/>
      <c r="CQ545" s="286"/>
      <c r="CR545" s="286"/>
      <c r="CS545" s="286"/>
      <c r="CT545" s="286"/>
      <c r="CU545" s="286"/>
      <c r="CV545" s="286"/>
      <c r="CW545" s="286"/>
      <c r="CX545" s="286"/>
      <c r="CY545" s="286"/>
      <c r="CZ545" s="286"/>
      <c r="DA545" s="286"/>
      <c r="DB545" s="286"/>
      <c r="DC545" s="286"/>
      <c r="DD545" s="286"/>
      <c r="DE545" s="286"/>
      <c r="DF545" s="286"/>
      <c r="DG545" s="286"/>
      <c r="DH545" s="286"/>
      <c r="DI545" s="286"/>
      <c r="DJ545" s="286"/>
      <c r="DK545" s="286"/>
      <c r="DL545" s="286"/>
      <c r="DM545" s="286"/>
      <c r="DN545" s="286"/>
      <c r="DO545" s="286"/>
      <c r="DP545" s="286"/>
      <c r="DQ545" s="286"/>
      <c r="DR545" s="286"/>
      <c r="DS545" s="286"/>
      <c r="DT545" s="286"/>
      <c r="DU545" s="286"/>
      <c r="DV545" s="286"/>
      <c r="DW545" s="286"/>
      <c r="DX545" s="286"/>
      <c r="DY545" s="286"/>
      <c r="DZ545" s="286"/>
      <c r="EA545" s="286"/>
      <c r="EB545" s="286"/>
      <c r="EC545" s="286"/>
      <c r="ED545" s="286"/>
      <c r="EE545" s="286"/>
      <c r="EF545" s="286"/>
      <c r="EG545" s="286"/>
      <c r="EH545" s="286"/>
      <c r="EI545" s="286"/>
      <c r="EJ545" s="286"/>
      <c r="EK545" s="286"/>
      <c r="EL545" s="286"/>
      <c r="EM545" s="286"/>
      <c r="EN545" s="286"/>
      <c r="EO545" s="286"/>
      <c r="EP545" s="286"/>
      <c r="EQ545" s="286"/>
      <c r="ER545" s="286"/>
      <c r="ES545" s="286"/>
      <c r="ET545" s="286"/>
      <c r="EU545" s="286"/>
      <c r="EV545" s="286"/>
      <c r="EW545" s="286"/>
      <c r="EX545" s="286"/>
      <c r="EY545" s="286"/>
      <c r="EZ545" s="286"/>
      <c r="FA545" s="286"/>
      <c r="FB545" s="286"/>
      <c r="FC545" s="286"/>
      <c r="FD545" s="286"/>
      <c r="FE545" s="286"/>
      <c r="FF545" s="286"/>
      <c r="FG545" s="286"/>
      <c r="FH545" s="286"/>
      <c r="FI545" s="286"/>
      <c r="FJ545" s="286"/>
      <c r="FK545" s="286"/>
      <c r="FL545" s="286"/>
      <c r="FM545" s="286"/>
      <c r="FN545" s="286"/>
      <c r="FO545" s="286"/>
      <c r="FP545" s="286"/>
      <c r="FQ545" s="286"/>
      <c r="FR545" s="286"/>
      <c r="FS545" s="286"/>
    </row>
    <row r="546" spans="1:175">
      <c r="A546" s="212" t="s">
        <v>3159</v>
      </c>
      <c r="B546" s="212" t="s">
        <v>3160</v>
      </c>
      <c r="C546" s="212" t="s">
        <v>3170</v>
      </c>
      <c r="D546" s="212" t="s">
        <v>3692</v>
      </c>
      <c r="E546" s="212" t="s">
        <v>3722</v>
      </c>
      <c r="F546" s="278">
        <v>99930</v>
      </c>
      <c r="G546" s="278">
        <v>944584</v>
      </c>
      <c r="H546" s="287">
        <f t="shared" si="8"/>
        <v>3.8524895615424355</v>
      </c>
      <c r="I546" s="286">
        <v>3650</v>
      </c>
      <c r="J546" s="286">
        <v>36390</v>
      </c>
      <c r="K546" s="286">
        <v>26763</v>
      </c>
      <c r="L546" s="286">
        <v>9511</v>
      </c>
      <c r="M546" s="286">
        <v>31581</v>
      </c>
      <c r="N546" s="286">
        <v>23270</v>
      </c>
      <c r="O546" s="286">
        <v>8210</v>
      </c>
      <c r="P546" s="286">
        <v>3565</v>
      </c>
      <c r="Q546" s="286">
        <v>33567</v>
      </c>
      <c r="R546" s="286">
        <v>24553</v>
      </c>
      <c r="S546" s="286">
        <v>8898</v>
      </c>
      <c r="T546" s="286">
        <v>28759</v>
      </c>
      <c r="U546" s="286">
        <v>21060</v>
      </c>
      <c r="V546" s="286">
        <v>7598</v>
      </c>
      <c r="W546" s="286"/>
      <c r="X546" s="286"/>
      <c r="Y546" s="286"/>
      <c r="Z546" s="286"/>
      <c r="AA546" s="286"/>
      <c r="AB546" s="286"/>
      <c r="AC546" s="286"/>
      <c r="AD546" s="286"/>
      <c r="AE546" s="286"/>
      <c r="AF546" s="286"/>
      <c r="AG546" s="286"/>
      <c r="AH546" s="286"/>
      <c r="AI546" s="286"/>
      <c r="AJ546" s="286"/>
      <c r="AK546" s="286"/>
      <c r="AL546" s="286"/>
      <c r="AM546" s="286"/>
      <c r="AN546" s="286"/>
      <c r="AO546" s="286"/>
      <c r="AP546" s="286"/>
      <c r="AQ546" s="286"/>
      <c r="AR546" s="286"/>
      <c r="AS546" s="286"/>
      <c r="AT546" s="286"/>
      <c r="AU546" s="286"/>
      <c r="AV546" s="286"/>
      <c r="AW546" s="286"/>
      <c r="AX546" s="286"/>
      <c r="AY546" s="286"/>
      <c r="AZ546" s="286"/>
      <c r="BA546" s="286"/>
      <c r="BB546" s="286"/>
      <c r="BC546" s="286"/>
      <c r="BD546" s="286"/>
      <c r="BE546" s="286"/>
      <c r="BF546" s="286"/>
      <c r="BG546" s="286"/>
      <c r="BH546" s="286"/>
      <c r="BI546" s="286"/>
      <c r="BJ546" s="286"/>
      <c r="BK546" s="286"/>
      <c r="BL546" s="286"/>
      <c r="BM546" s="286"/>
      <c r="BN546" s="286"/>
      <c r="BO546" s="286"/>
      <c r="BP546" s="286"/>
      <c r="BQ546" s="286"/>
      <c r="BR546" s="286"/>
      <c r="BS546" s="286"/>
      <c r="BT546" s="286"/>
      <c r="BU546" s="286"/>
      <c r="BV546" s="286"/>
      <c r="BW546" s="286"/>
      <c r="BX546" s="286"/>
      <c r="BY546" s="286"/>
      <c r="BZ546" s="286"/>
      <c r="CA546" s="286"/>
      <c r="CB546" s="286"/>
      <c r="CC546" s="286"/>
      <c r="CD546" s="286"/>
      <c r="CE546" s="286"/>
      <c r="CF546" s="286"/>
      <c r="CG546" s="286"/>
      <c r="CH546" s="286"/>
      <c r="CI546" s="286"/>
      <c r="CJ546" s="286"/>
      <c r="CK546" s="286"/>
      <c r="CL546" s="286"/>
      <c r="CM546" s="286"/>
      <c r="CN546" s="286"/>
      <c r="CO546" s="286"/>
      <c r="CP546" s="286"/>
      <c r="CQ546" s="286"/>
      <c r="CR546" s="286"/>
      <c r="CS546" s="286"/>
      <c r="CT546" s="286"/>
      <c r="CU546" s="286"/>
      <c r="CV546" s="286"/>
      <c r="CW546" s="286"/>
      <c r="CX546" s="286"/>
      <c r="CY546" s="286"/>
      <c r="CZ546" s="286"/>
      <c r="DA546" s="286"/>
      <c r="DB546" s="286"/>
      <c r="DC546" s="286"/>
      <c r="DD546" s="286"/>
      <c r="DE546" s="286"/>
      <c r="DF546" s="286"/>
      <c r="DG546" s="286"/>
      <c r="DH546" s="286"/>
      <c r="DI546" s="286"/>
      <c r="DJ546" s="286"/>
      <c r="DK546" s="286"/>
      <c r="DL546" s="286"/>
      <c r="DM546" s="286"/>
      <c r="DN546" s="286"/>
      <c r="DO546" s="286"/>
      <c r="DP546" s="286"/>
      <c r="DQ546" s="286"/>
      <c r="DR546" s="286"/>
      <c r="DS546" s="286"/>
      <c r="DT546" s="286"/>
      <c r="DU546" s="286"/>
      <c r="DV546" s="286"/>
      <c r="DW546" s="286"/>
      <c r="DX546" s="286"/>
      <c r="DY546" s="286"/>
      <c r="DZ546" s="286"/>
      <c r="EA546" s="286"/>
      <c r="EB546" s="286"/>
      <c r="EC546" s="286"/>
      <c r="ED546" s="286"/>
      <c r="EE546" s="286"/>
      <c r="EF546" s="286"/>
      <c r="EG546" s="286"/>
      <c r="EH546" s="286"/>
      <c r="EI546" s="286"/>
      <c r="EJ546" s="286"/>
      <c r="EK546" s="286"/>
      <c r="EL546" s="286"/>
      <c r="EM546" s="286"/>
      <c r="EN546" s="286"/>
      <c r="EO546" s="286"/>
      <c r="EP546" s="286"/>
      <c r="EQ546" s="286"/>
      <c r="ER546" s="286"/>
      <c r="ES546" s="286"/>
      <c r="ET546" s="286"/>
      <c r="EU546" s="286"/>
      <c r="EV546" s="286"/>
      <c r="EW546" s="286"/>
      <c r="EX546" s="286"/>
      <c r="EY546" s="286"/>
      <c r="EZ546" s="286"/>
      <c r="FA546" s="286"/>
      <c r="FB546" s="286"/>
      <c r="FC546" s="286"/>
      <c r="FD546" s="286"/>
      <c r="FE546" s="286"/>
      <c r="FF546" s="286"/>
      <c r="FG546" s="286"/>
      <c r="FH546" s="286"/>
      <c r="FI546" s="286"/>
      <c r="FJ546" s="286"/>
      <c r="FK546" s="286"/>
      <c r="FL546" s="286"/>
      <c r="FM546" s="286"/>
      <c r="FN546" s="286"/>
      <c r="FO546" s="286"/>
      <c r="FP546" s="286"/>
      <c r="FQ546" s="286"/>
      <c r="FR546" s="286"/>
      <c r="FS546" s="286"/>
    </row>
    <row r="547" spans="1:175">
      <c r="A547" s="212" t="s">
        <v>3159</v>
      </c>
      <c r="B547" s="212" t="s">
        <v>3160</v>
      </c>
      <c r="C547" s="212" t="s">
        <v>3172</v>
      </c>
      <c r="D547" s="212" t="s">
        <v>3692</v>
      </c>
      <c r="E547" s="212" t="s">
        <v>3723</v>
      </c>
      <c r="F547" s="278">
        <v>415</v>
      </c>
      <c r="G547" s="278">
        <v>5282</v>
      </c>
      <c r="H547" s="287">
        <f t="shared" si="8"/>
        <v>7.8947368421052628</v>
      </c>
      <c r="I547" s="286">
        <v>19</v>
      </c>
      <c r="J547" s="286">
        <v>417</v>
      </c>
      <c r="K547" s="286">
        <v>255</v>
      </c>
      <c r="L547" s="286">
        <v>86</v>
      </c>
      <c r="M547" s="286">
        <v>393</v>
      </c>
      <c r="N547" s="286">
        <v>243</v>
      </c>
      <c r="O547" s="286">
        <v>84</v>
      </c>
      <c r="P547" s="286">
        <v>19</v>
      </c>
      <c r="Q547" s="286">
        <v>417</v>
      </c>
      <c r="R547" s="286">
        <v>255</v>
      </c>
      <c r="S547" s="286">
        <v>86</v>
      </c>
      <c r="T547" s="286">
        <v>393</v>
      </c>
      <c r="U547" s="286">
        <v>243</v>
      </c>
      <c r="V547" s="286">
        <v>84</v>
      </c>
      <c r="W547" s="286"/>
      <c r="X547" s="286"/>
      <c r="Y547" s="286"/>
      <c r="Z547" s="286"/>
      <c r="AA547" s="286"/>
      <c r="AB547" s="286"/>
      <c r="AC547" s="286"/>
      <c r="AD547" s="286"/>
      <c r="AE547" s="286"/>
      <c r="AF547" s="286"/>
      <c r="AG547" s="286"/>
      <c r="AH547" s="286"/>
      <c r="AI547" s="286"/>
      <c r="AJ547" s="286"/>
      <c r="AK547" s="286"/>
      <c r="AL547" s="286"/>
      <c r="AM547" s="286"/>
      <c r="AN547" s="286"/>
      <c r="AO547" s="286"/>
      <c r="AP547" s="286"/>
      <c r="AQ547" s="286"/>
      <c r="AR547" s="286"/>
      <c r="AS547" s="286"/>
      <c r="AT547" s="286"/>
      <c r="AU547" s="286"/>
      <c r="AV547" s="286"/>
      <c r="AW547" s="286"/>
      <c r="AX547" s="286"/>
      <c r="AY547" s="286"/>
      <c r="AZ547" s="286"/>
      <c r="BA547" s="286"/>
      <c r="BB547" s="286"/>
      <c r="BC547" s="286"/>
      <c r="BD547" s="286"/>
      <c r="BE547" s="286"/>
      <c r="BF547" s="286"/>
      <c r="BG547" s="286"/>
      <c r="BH547" s="286"/>
      <c r="BI547" s="286"/>
      <c r="BJ547" s="286"/>
      <c r="BK547" s="286"/>
      <c r="BL547" s="286"/>
      <c r="BM547" s="286"/>
      <c r="BN547" s="286"/>
      <c r="BO547" s="286"/>
      <c r="BP547" s="286"/>
      <c r="BQ547" s="286"/>
      <c r="BR547" s="286"/>
      <c r="BS547" s="286"/>
      <c r="BT547" s="286"/>
      <c r="BU547" s="286"/>
      <c r="BV547" s="286"/>
      <c r="BW547" s="286"/>
      <c r="BX547" s="286"/>
      <c r="BY547" s="286"/>
      <c r="BZ547" s="286"/>
      <c r="CA547" s="286"/>
      <c r="CB547" s="286"/>
      <c r="CC547" s="286"/>
      <c r="CD547" s="286"/>
      <c r="CE547" s="286"/>
      <c r="CF547" s="286"/>
      <c r="CG547" s="286"/>
      <c r="CH547" s="286"/>
      <c r="CI547" s="286"/>
      <c r="CJ547" s="286"/>
      <c r="CK547" s="286"/>
      <c r="CL547" s="286"/>
      <c r="CM547" s="286"/>
      <c r="CN547" s="286"/>
      <c r="CO547" s="286"/>
      <c r="CP547" s="286"/>
      <c r="CQ547" s="286"/>
      <c r="CR547" s="286"/>
      <c r="CS547" s="286"/>
      <c r="CT547" s="286"/>
      <c r="CU547" s="286"/>
      <c r="CV547" s="286"/>
      <c r="CW547" s="286"/>
      <c r="CX547" s="286"/>
      <c r="CY547" s="286"/>
      <c r="CZ547" s="286"/>
      <c r="DA547" s="286"/>
      <c r="DB547" s="286"/>
      <c r="DC547" s="286"/>
      <c r="DD547" s="286"/>
      <c r="DE547" s="286"/>
      <c r="DF547" s="286"/>
      <c r="DG547" s="286"/>
      <c r="DH547" s="286"/>
      <c r="DI547" s="286"/>
      <c r="DJ547" s="286"/>
      <c r="DK547" s="286"/>
      <c r="DL547" s="286"/>
      <c r="DM547" s="286"/>
      <c r="DN547" s="286"/>
      <c r="DO547" s="286"/>
      <c r="DP547" s="286"/>
      <c r="DQ547" s="286"/>
      <c r="DR547" s="286"/>
      <c r="DS547" s="286"/>
      <c r="DT547" s="286"/>
      <c r="DU547" s="286"/>
      <c r="DV547" s="286"/>
      <c r="DW547" s="286"/>
      <c r="DX547" s="286"/>
      <c r="DY547" s="286"/>
      <c r="DZ547" s="286"/>
      <c r="EA547" s="286"/>
      <c r="EB547" s="286"/>
      <c r="EC547" s="286"/>
      <c r="ED547" s="286"/>
      <c r="EE547" s="286"/>
      <c r="EF547" s="286"/>
      <c r="EG547" s="286"/>
      <c r="EH547" s="286"/>
      <c r="EI547" s="286"/>
      <c r="EJ547" s="286"/>
      <c r="EK547" s="286"/>
      <c r="EL547" s="286"/>
      <c r="EM547" s="286"/>
      <c r="EN547" s="286"/>
      <c r="EO547" s="286"/>
      <c r="EP547" s="286"/>
      <c r="EQ547" s="286"/>
      <c r="ER547" s="286"/>
      <c r="ES547" s="286"/>
      <c r="ET547" s="286"/>
      <c r="EU547" s="286"/>
      <c r="EV547" s="286"/>
      <c r="EW547" s="286"/>
      <c r="EX547" s="286"/>
      <c r="EY547" s="286"/>
      <c r="EZ547" s="286"/>
      <c r="FA547" s="286"/>
      <c r="FB547" s="286"/>
      <c r="FC547" s="286"/>
      <c r="FD547" s="286"/>
      <c r="FE547" s="286"/>
      <c r="FF547" s="286"/>
      <c r="FG547" s="286"/>
      <c r="FH547" s="286"/>
      <c r="FI547" s="286"/>
      <c r="FJ547" s="286"/>
      <c r="FK547" s="286"/>
      <c r="FL547" s="286"/>
      <c r="FM547" s="286"/>
      <c r="FN547" s="286"/>
      <c r="FO547" s="286"/>
      <c r="FP547" s="286"/>
      <c r="FQ547" s="286"/>
      <c r="FR547" s="286"/>
      <c r="FS547" s="286"/>
    </row>
    <row r="548" spans="1:175">
      <c r="A548" s="212" t="s">
        <v>3159</v>
      </c>
      <c r="B548" s="212" t="s">
        <v>3160</v>
      </c>
      <c r="C548" s="212" t="s">
        <v>3172</v>
      </c>
      <c r="D548" s="212" t="s">
        <v>3692</v>
      </c>
      <c r="E548" s="212" t="s">
        <v>3724</v>
      </c>
      <c r="F548" s="278">
        <v>9749</v>
      </c>
      <c r="G548" s="278">
        <v>57250</v>
      </c>
      <c r="H548" s="287">
        <f t="shared" si="8"/>
        <v>3.9947598253275109</v>
      </c>
      <c r="I548" s="286">
        <v>417</v>
      </c>
      <c r="J548" s="286">
        <v>2287</v>
      </c>
      <c r="K548" s="286">
        <v>658</v>
      </c>
      <c r="L548" s="286">
        <v>1629</v>
      </c>
      <c r="M548" s="286">
        <v>1689</v>
      </c>
      <c r="N548" s="286">
        <v>262</v>
      </c>
      <c r="O548" s="286">
        <v>1427</v>
      </c>
      <c r="P548" s="286">
        <v>417</v>
      </c>
      <c r="Q548" s="286">
        <v>2287</v>
      </c>
      <c r="R548" s="286">
        <v>658</v>
      </c>
      <c r="S548" s="286">
        <v>1629</v>
      </c>
      <c r="T548" s="286">
        <v>1689</v>
      </c>
      <c r="U548" s="286">
        <v>262</v>
      </c>
      <c r="V548" s="286">
        <v>1427</v>
      </c>
      <c r="W548" s="286"/>
      <c r="X548" s="286"/>
      <c r="Y548" s="286"/>
      <c r="Z548" s="286"/>
      <c r="AA548" s="286"/>
      <c r="AB548" s="286"/>
      <c r="AC548" s="286"/>
      <c r="AD548" s="286"/>
      <c r="AE548" s="286"/>
      <c r="AF548" s="286"/>
      <c r="AG548" s="286"/>
      <c r="AH548" s="286"/>
      <c r="AI548" s="286"/>
      <c r="AJ548" s="286"/>
      <c r="AK548" s="286"/>
      <c r="AL548" s="286"/>
      <c r="AM548" s="286"/>
      <c r="AN548" s="286"/>
      <c r="AO548" s="286"/>
      <c r="AP548" s="286"/>
      <c r="AQ548" s="286"/>
      <c r="AR548" s="286"/>
      <c r="AS548" s="286"/>
      <c r="AT548" s="286"/>
      <c r="AU548" s="286"/>
      <c r="AV548" s="286"/>
      <c r="AW548" s="286"/>
      <c r="AX548" s="286"/>
      <c r="AY548" s="286"/>
      <c r="AZ548" s="286"/>
      <c r="BA548" s="286"/>
      <c r="BB548" s="286"/>
      <c r="BC548" s="286"/>
      <c r="BD548" s="286"/>
      <c r="BE548" s="286"/>
      <c r="BF548" s="286"/>
      <c r="BG548" s="286"/>
      <c r="BH548" s="286"/>
      <c r="BI548" s="286"/>
      <c r="BJ548" s="286"/>
      <c r="BK548" s="286"/>
      <c r="BL548" s="286"/>
      <c r="BM548" s="286"/>
      <c r="BN548" s="286"/>
      <c r="BO548" s="286"/>
      <c r="BP548" s="286"/>
      <c r="BQ548" s="286"/>
      <c r="BR548" s="286"/>
      <c r="BS548" s="286"/>
      <c r="BT548" s="286"/>
      <c r="BU548" s="286"/>
      <c r="BV548" s="286"/>
      <c r="BW548" s="286"/>
      <c r="BX548" s="286"/>
      <c r="BY548" s="286"/>
      <c r="BZ548" s="286"/>
      <c r="CA548" s="286"/>
      <c r="CB548" s="286"/>
      <c r="CC548" s="286"/>
      <c r="CD548" s="286"/>
      <c r="CE548" s="286"/>
      <c r="CF548" s="286"/>
      <c r="CG548" s="286"/>
      <c r="CH548" s="286"/>
      <c r="CI548" s="286"/>
      <c r="CJ548" s="286"/>
      <c r="CK548" s="286"/>
      <c r="CL548" s="286"/>
      <c r="CM548" s="286"/>
      <c r="CN548" s="286"/>
      <c r="CO548" s="286"/>
      <c r="CP548" s="286"/>
      <c r="CQ548" s="286"/>
      <c r="CR548" s="286"/>
      <c r="CS548" s="286"/>
      <c r="CT548" s="286"/>
      <c r="CU548" s="286"/>
      <c r="CV548" s="286"/>
      <c r="CW548" s="286"/>
      <c r="CX548" s="286"/>
      <c r="CY548" s="286"/>
      <c r="CZ548" s="286"/>
      <c r="DA548" s="286"/>
      <c r="DB548" s="286"/>
      <c r="DC548" s="286"/>
      <c r="DD548" s="286"/>
      <c r="DE548" s="286"/>
      <c r="DF548" s="286"/>
      <c r="DG548" s="286"/>
      <c r="DH548" s="286"/>
      <c r="DI548" s="286"/>
      <c r="DJ548" s="286"/>
      <c r="DK548" s="286"/>
      <c r="DL548" s="286"/>
      <c r="DM548" s="286"/>
      <c r="DN548" s="286"/>
      <c r="DO548" s="286"/>
      <c r="DP548" s="286"/>
      <c r="DQ548" s="286"/>
      <c r="DR548" s="286"/>
      <c r="DS548" s="286"/>
      <c r="DT548" s="286"/>
      <c r="DU548" s="286"/>
      <c r="DV548" s="286"/>
      <c r="DW548" s="286"/>
      <c r="DX548" s="286"/>
      <c r="DY548" s="286"/>
      <c r="DZ548" s="286"/>
      <c r="EA548" s="286"/>
      <c r="EB548" s="286"/>
      <c r="EC548" s="286"/>
      <c r="ED548" s="286"/>
      <c r="EE548" s="286"/>
      <c r="EF548" s="286"/>
      <c r="EG548" s="286"/>
      <c r="EH548" s="286"/>
      <c r="EI548" s="286"/>
      <c r="EJ548" s="286"/>
      <c r="EK548" s="286"/>
      <c r="EL548" s="286"/>
      <c r="EM548" s="286"/>
      <c r="EN548" s="286"/>
      <c r="EO548" s="286"/>
      <c r="EP548" s="286"/>
      <c r="EQ548" s="286"/>
      <c r="ER548" s="286"/>
      <c r="ES548" s="286"/>
      <c r="ET548" s="286"/>
      <c r="EU548" s="286"/>
      <c r="EV548" s="286"/>
      <c r="EW548" s="286"/>
      <c r="EX548" s="286"/>
      <c r="EY548" s="286"/>
      <c r="EZ548" s="286"/>
      <c r="FA548" s="286"/>
      <c r="FB548" s="286"/>
      <c r="FC548" s="286"/>
      <c r="FD548" s="286"/>
      <c r="FE548" s="286"/>
      <c r="FF548" s="286"/>
      <c r="FG548" s="286"/>
      <c r="FH548" s="286"/>
      <c r="FI548" s="286"/>
      <c r="FJ548" s="286"/>
      <c r="FK548" s="286"/>
      <c r="FL548" s="286"/>
      <c r="FM548" s="286"/>
      <c r="FN548" s="286"/>
      <c r="FO548" s="286"/>
      <c r="FP548" s="286"/>
      <c r="FQ548" s="286"/>
      <c r="FR548" s="286"/>
      <c r="FS548" s="286"/>
    </row>
    <row r="549" spans="1:175">
      <c r="A549" s="212" t="s">
        <v>3159</v>
      </c>
      <c r="B549" s="212" t="s">
        <v>3160</v>
      </c>
      <c r="C549" s="212" t="s">
        <v>3172</v>
      </c>
      <c r="D549" s="212" t="s">
        <v>3692</v>
      </c>
      <c r="E549" s="212" t="s">
        <v>3725</v>
      </c>
      <c r="F549" s="278">
        <v>57620</v>
      </c>
      <c r="G549" s="278">
        <v>442635</v>
      </c>
      <c r="H549" s="287">
        <f t="shared" si="8"/>
        <v>2.5397901205282003</v>
      </c>
      <c r="I549" s="286">
        <v>1845</v>
      </c>
      <c r="J549" s="286">
        <v>11242</v>
      </c>
      <c r="K549" s="286">
        <v>8441</v>
      </c>
      <c r="L549" s="286">
        <v>2783</v>
      </c>
      <c r="M549" s="286">
        <v>8922</v>
      </c>
      <c r="N549" s="286">
        <v>6689</v>
      </c>
      <c r="O549" s="286">
        <v>2218</v>
      </c>
      <c r="P549" s="286">
        <v>1773</v>
      </c>
      <c r="Q549" s="286">
        <v>8609</v>
      </c>
      <c r="R549" s="286">
        <v>6351</v>
      </c>
      <c r="S549" s="286">
        <v>2240</v>
      </c>
      <c r="T549" s="286">
        <v>6290</v>
      </c>
      <c r="U549" s="286">
        <v>4599</v>
      </c>
      <c r="V549" s="286">
        <v>1676</v>
      </c>
      <c r="W549" s="286"/>
      <c r="X549" s="286"/>
      <c r="Y549" s="286"/>
      <c r="Z549" s="286"/>
      <c r="AA549" s="286"/>
      <c r="AB549" s="286"/>
      <c r="AC549" s="286"/>
      <c r="AD549" s="286"/>
      <c r="AE549" s="286"/>
      <c r="AF549" s="286"/>
      <c r="AG549" s="286"/>
      <c r="AH549" s="286"/>
      <c r="AI549" s="286"/>
      <c r="AJ549" s="286"/>
      <c r="AK549" s="286"/>
      <c r="AL549" s="286"/>
      <c r="AM549" s="286"/>
      <c r="AN549" s="286"/>
      <c r="AO549" s="286"/>
      <c r="AP549" s="286"/>
      <c r="AQ549" s="286"/>
      <c r="AR549" s="286"/>
      <c r="AS549" s="286"/>
      <c r="AT549" s="286"/>
      <c r="AU549" s="286"/>
      <c r="AV549" s="286"/>
      <c r="AW549" s="286"/>
      <c r="AX549" s="286"/>
      <c r="AY549" s="286"/>
      <c r="AZ549" s="286"/>
      <c r="BA549" s="286"/>
      <c r="BB549" s="286"/>
      <c r="BC549" s="286"/>
      <c r="BD549" s="286"/>
      <c r="BE549" s="286"/>
      <c r="BF549" s="286"/>
      <c r="BG549" s="286"/>
      <c r="BH549" s="286"/>
      <c r="BI549" s="286"/>
      <c r="BJ549" s="286"/>
      <c r="BK549" s="286"/>
      <c r="BL549" s="286"/>
      <c r="BM549" s="286"/>
      <c r="BN549" s="286"/>
      <c r="BO549" s="286"/>
      <c r="BP549" s="286"/>
      <c r="BQ549" s="286"/>
      <c r="BR549" s="286"/>
      <c r="BS549" s="286"/>
      <c r="BT549" s="286"/>
      <c r="BU549" s="286"/>
      <c r="BV549" s="286"/>
      <c r="BW549" s="286"/>
      <c r="BX549" s="286"/>
      <c r="BY549" s="286"/>
      <c r="BZ549" s="286"/>
      <c r="CA549" s="286"/>
      <c r="CB549" s="286"/>
      <c r="CC549" s="286"/>
      <c r="CD549" s="286"/>
      <c r="CE549" s="286"/>
      <c r="CF549" s="286"/>
      <c r="CG549" s="286"/>
      <c r="CH549" s="286"/>
      <c r="CI549" s="286"/>
      <c r="CJ549" s="286"/>
      <c r="CK549" s="286"/>
      <c r="CL549" s="286"/>
      <c r="CM549" s="286"/>
      <c r="CN549" s="286"/>
      <c r="CO549" s="286"/>
      <c r="CP549" s="286"/>
      <c r="CQ549" s="286"/>
      <c r="CR549" s="286"/>
      <c r="CS549" s="286"/>
      <c r="CT549" s="286"/>
      <c r="CU549" s="286"/>
      <c r="CV549" s="286"/>
      <c r="CW549" s="286"/>
      <c r="CX549" s="286"/>
      <c r="CY549" s="286"/>
      <c r="CZ549" s="286"/>
      <c r="DA549" s="286"/>
      <c r="DB549" s="286"/>
      <c r="DC549" s="286"/>
      <c r="DD549" s="286"/>
      <c r="DE549" s="286"/>
      <c r="DF549" s="286"/>
      <c r="DG549" s="286"/>
      <c r="DH549" s="286"/>
      <c r="DI549" s="286"/>
      <c r="DJ549" s="286"/>
      <c r="DK549" s="286"/>
      <c r="DL549" s="286"/>
      <c r="DM549" s="286"/>
      <c r="DN549" s="286"/>
      <c r="DO549" s="286"/>
      <c r="DP549" s="286"/>
      <c r="DQ549" s="286"/>
      <c r="DR549" s="286"/>
      <c r="DS549" s="286"/>
      <c r="DT549" s="286"/>
      <c r="DU549" s="286"/>
      <c r="DV549" s="286"/>
      <c r="DW549" s="286"/>
      <c r="DX549" s="286"/>
      <c r="DY549" s="286"/>
      <c r="DZ549" s="286"/>
      <c r="EA549" s="286"/>
      <c r="EB549" s="286"/>
      <c r="EC549" s="286"/>
      <c r="ED549" s="286"/>
      <c r="EE549" s="286"/>
      <c r="EF549" s="286"/>
      <c r="EG549" s="286"/>
      <c r="EH549" s="286"/>
      <c r="EI549" s="286"/>
      <c r="EJ549" s="286"/>
      <c r="EK549" s="286"/>
      <c r="EL549" s="286"/>
      <c r="EM549" s="286"/>
      <c r="EN549" s="286"/>
      <c r="EO549" s="286"/>
      <c r="EP549" s="286"/>
      <c r="EQ549" s="286"/>
      <c r="ER549" s="286"/>
      <c r="ES549" s="286"/>
      <c r="ET549" s="286"/>
      <c r="EU549" s="286"/>
      <c r="EV549" s="286"/>
      <c r="EW549" s="286"/>
      <c r="EX549" s="286"/>
      <c r="EY549" s="286"/>
      <c r="EZ549" s="286"/>
      <c r="FA549" s="286"/>
      <c r="FB549" s="286"/>
      <c r="FC549" s="286"/>
      <c r="FD549" s="286"/>
      <c r="FE549" s="286"/>
      <c r="FF549" s="286"/>
      <c r="FG549" s="286"/>
      <c r="FH549" s="286"/>
      <c r="FI549" s="286"/>
      <c r="FJ549" s="286"/>
      <c r="FK549" s="286"/>
      <c r="FL549" s="286"/>
      <c r="FM549" s="286"/>
      <c r="FN549" s="286"/>
      <c r="FO549" s="286"/>
      <c r="FP549" s="286"/>
      <c r="FQ549" s="286"/>
      <c r="FR549" s="286"/>
      <c r="FS549" s="286"/>
    </row>
    <row r="550" spans="1:175">
      <c r="A550" s="212" t="s">
        <v>3159</v>
      </c>
      <c r="B550" s="212" t="s">
        <v>3160</v>
      </c>
      <c r="C550" s="212" t="s">
        <v>3432</v>
      </c>
      <c r="D550" s="212" t="s">
        <v>3692</v>
      </c>
      <c r="E550" s="212" t="s">
        <v>3726</v>
      </c>
      <c r="F550" s="278">
        <v>44848</v>
      </c>
      <c r="G550" s="278">
        <v>345305</v>
      </c>
      <c r="H550" s="287">
        <f t="shared" si="8"/>
        <v>2.5791691403252197</v>
      </c>
      <c r="I550" s="286">
        <v>1433</v>
      </c>
      <c r="J550" s="286">
        <v>8906</v>
      </c>
      <c r="K550" s="286">
        <v>6681</v>
      </c>
      <c r="L550" s="286">
        <v>2222</v>
      </c>
      <c r="M550" s="286">
        <v>7205</v>
      </c>
      <c r="N550" s="286">
        <v>5396</v>
      </c>
      <c r="O550" s="286">
        <v>1806</v>
      </c>
      <c r="P550" s="286">
        <v>1361</v>
      </c>
      <c r="Q550" s="286">
        <v>6273</v>
      </c>
      <c r="R550" s="286">
        <v>4591</v>
      </c>
      <c r="S550" s="286">
        <v>1679</v>
      </c>
      <c r="T550" s="286">
        <v>4573</v>
      </c>
      <c r="U550" s="286">
        <v>3306</v>
      </c>
      <c r="V550" s="286">
        <v>1264</v>
      </c>
      <c r="W550" s="286"/>
      <c r="X550" s="286"/>
      <c r="Y550" s="286"/>
      <c r="Z550" s="286"/>
      <c r="AA550" s="286"/>
      <c r="AB550" s="286"/>
      <c r="AC550" s="286"/>
      <c r="AD550" s="286"/>
      <c r="AE550" s="286"/>
      <c r="AF550" s="286"/>
      <c r="AG550" s="286"/>
      <c r="AH550" s="286"/>
      <c r="AI550" s="286"/>
      <c r="AJ550" s="286"/>
      <c r="AK550" s="286"/>
      <c r="AL550" s="286"/>
      <c r="AM550" s="286"/>
      <c r="AN550" s="286"/>
      <c r="AO550" s="286"/>
      <c r="AP550" s="286"/>
      <c r="AQ550" s="286"/>
      <c r="AR550" s="286"/>
      <c r="AS550" s="286"/>
      <c r="AT550" s="286"/>
      <c r="AU550" s="286"/>
      <c r="AV550" s="286"/>
      <c r="AW550" s="286"/>
      <c r="AX550" s="286"/>
      <c r="AY550" s="286"/>
      <c r="AZ550" s="286"/>
      <c r="BA550" s="286"/>
      <c r="BB550" s="286"/>
      <c r="BC550" s="286"/>
      <c r="BD550" s="286"/>
      <c r="BE550" s="286"/>
      <c r="BF550" s="286"/>
      <c r="BG550" s="286"/>
      <c r="BH550" s="286"/>
      <c r="BI550" s="286"/>
      <c r="BJ550" s="286"/>
      <c r="BK550" s="286"/>
      <c r="BL550" s="286"/>
      <c r="BM550" s="286"/>
      <c r="BN550" s="286"/>
      <c r="BO550" s="286"/>
      <c r="BP550" s="286"/>
      <c r="BQ550" s="286"/>
      <c r="BR550" s="286"/>
      <c r="BS550" s="286"/>
      <c r="BT550" s="286"/>
      <c r="BU550" s="286"/>
      <c r="BV550" s="286"/>
      <c r="BW550" s="286"/>
      <c r="BX550" s="286"/>
      <c r="BY550" s="286"/>
      <c r="BZ550" s="286"/>
      <c r="CA550" s="286"/>
      <c r="CB550" s="286"/>
      <c r="CC550" s="286"/>
      <c r="CD550" s="286"/>
      <c r="CE550" s="286"/>
      <c r="CF550" s="286"/>
      <c r="CG550" s="286"/>
      <c r="CH550" s="286"/>
      <c r="CI550" s="286"/>
      <c r="CJ550" s="286"/>
      <c r="CK550" s="286"/>
      <c r="CL550" s="286"/>
      <c r="CM550" s="286"/>
      <c r="CN550" s="286"/>
      <c r="CO550" s="286"/>
      <c r="CP550" s="286"/>
      <c r="CQ550" s="286"/>
      <c r="CR550" s="286"/>
      <c r="CS550" s="286"/>
      <c r="CT550" s="286"/>
      <c r="CU550" s="286"/>
      <c r="CV550" s="286"/>
      <c r="CW550" s="286"/>
      <c r="CX550" s="286"/>
      <c r="CY550" s="286"/>
      <c r="CZ550" s="286"/>
      <c r="DA550" s="286"/>
      <c r="DB550" s="286"/>
      <c r="DC550" s="286"/>
      <c r="DD550" s="286"/>
      <c r="DE550" s="286"/>
      <c r="DF550" s="286"/>
      <c r="DG550" s="286"/>
      <c r="DH550" s="286"/>
      <c r="DI550" s="286"/>
      <c r="DJ550" s="286"/>
      <c r="DK550" s="286"/>
      <c r="DL550" s="286"/>
      <c r="DM550" s="286"/>
      <c r="DN550" s="286"/>
      <c r="DO550" s="286"/>
      <c r="DP550" s="286"/>
      <c r="DQ550" s="286"/>
      <c r="DR550" s="286"/>
      <c r="DS550" s="286"/>
      <c r="DT550" s="286"/>
      <c r="DU550" s="286"/>
      <c r="DV550" s="286"/>
      <c r="DW550" s="286"/>
      <c r="DX550" s="286"/>
      <c r="DY550" s="286"/>
      <c r="DZ550" s="286"/>
      <c r="EA550" s="286"/>
      <c r="EB550" s="286"/>
      <c r="EC550" s="286"/>
      <c r="ED550" s="286"/>
      <c r="EE550" s="286"/>
      <c r="EF550" s="286"/>
      <c r="EG550" s="286"/>
      <c r="EH550" s="286"/>
      <c r="EI550" s="286"/>
      <c r="EJ550" s="286"/>
      <c r="EK550" s="286"/>
      <c r="EL550" s="286"/>
      <c r="EM550" s="286"/>
      <c r="EN550" s="286"/>
      <c r="EO550" s="286"/>
      <c r="EP550" s="286"/>
      <c r="EQ550" s="286"/>
      <c r="ER550" s="286"/>
      <c r="ES550" s="286"/>
      <c r="ET550" s="286"/>
      <c r="EU550" s="286"/>
      <c r="EV550" s="286"/>
      <c r="EW550" s="286"/>
      <c r="EX550" s="286"/>
      <c r="EY550" s="286"/>
      <c r="EZ550" s="286"/>
      <c r="FA550" s="286"/>
      <c r="FB550" s="286"/>
      <c r="FC550" s="286"/>
      <c r="FD550" s="286"/>
      <c r="FE550" s="286"/>
      <c r="FF550" s="286"/>
      <c r="FG550" s="286"/>
      <c r="FH550" s="286"/>
      <c r="FI550" s="286"/>
      <c r="FJ550" s="286"/>
      <c r="FK550" s="286"/>
      <c r="FL550" s="286"/>
      <c r="FM550" s="286"/>
      <c r="FN550" s="286"/>
      <c r="FO550" s="286"/>
      <c r="FP550" s="286"/>
      <c r="FQ550" s="286"/>
      <c r="FR550" s="286"/>
      <c r="FS550" s="286"/>
    </row>
    <row r="551" spans="1:175">
      <c r="A551" s="212" t="s">
        <v>3159</v>
      </c>
      <c r="B551" s="212" t="s">
        <v>3160</v>
      </c>
      <c r="C551" s="212" t="s">
        <v>3432</v>
      </c>
      <c r="D551" s="212" t="s">
        <v>3692</v>
      </c>
      <c r="E551" s="212" t="s">
        <v>3727</v>
      </c>
      <c r="F551" s="278">
        <v>9304</v>
      </c>
      <c r="G551" s="278">
        <v>66323</v>
      </c>
      <c r="H551" s="287">
        <f t="shared" si="8"/>
        <v>2.9371409616573434</v>
      </c>
      <c r="I551" s="286">
        <v>339</v>
      </c>
      <c r="J551" s="286">
        <v>1948</v>
      </c>
      <c r="K551" s="286">
        <v>1478</v>
      </c>
      <c r="L551" s="286">
        <v>455</v>
      </c>
      <c r="M551" s="286">
        <v>1432</v>
      </c>
      <c r="N551" s="286">
        <v>1081</v>
      </c>
      <c r="O551" s="286">
        <v>339</v>
      </c>
      <c r="P551" s="286">
        <v>339</v>
      </c>
      <c r="Q551" s="286">
        <v>1948</v>
      </c>
      <c r="R551" s="286">
        <v>1478</v>
      </c>
      <c r="S551" s="286">
        <v>455</v>
      </c>
      <c r="T551" s="286">
        <v>1432</v>
      </c>
      <c r="U551" s="286">
        <v>1081</v>
      </c>
      <c r="V551" s="286">
        <v>339</v>
      </c>
      <c r="W551" s="286"/>
      <c r="X551" s="286"/>
      <c r="Y551" s="286"/>
      <c r="Z551" s="286"/>
      <c r="AA551" s="286"/>
      <c r="AB551" s="286"/>
      <c r="AC551" s="286"/>
      <c r="AD551" s="286"/>
      <c r="AE551" s="286"/>
      <c r="AF551" s="286"/>
      <c r="AG551" s="286"/>
      <c r="AH551" s="286"/>
      <c r="AI551" s="286"/>
      <c r="AJ551" s="286"/>
      <c r="AK551" s="286"/>
      <c r="AL551" s="286"/>
      <c r="AM551" s="286"/>
      <c r="AN551" s="286"/>
      <c r="AO551" s="286"/>
      <c r="AP551" s="286"/>
      <c r="AQ551" s="286"/>
      <c r="AR551" s="286"/>
      <c r="AS551" s="286"/>
      <c r="AT551" s="286"/>
      <c r="AU551" s="286"/>
      <c r="AV551" s="286"/>
      <c r="AW551" s="286"/>
      <c r="AX551" s="286"/>
      <c r="AY551" s="286"/>
      <c r="AZ551" s="286"/>
      <c r="BA551" s="286"/>
      <c r="BB551" s="286"/>
      <c r="BC551" s="286"/>
      <c r="BD551" s="286"/>
      <c r="BE551" s="286"/>
      <c r="BF551" s="286"/>
      <c r="BG551" s="286"/>
      <c r="BH551" s="286"/>
      <c r="BI551" s="286"/>
      <c r="BJ551" s="286"/>
      <c r="BK551" s="286"/>
      <c r="BL551" s="286"/>
      <c r="BM551" s="286"/>
      <c r="BN551" s="286"/>
      <c r="BO551" s="286"/>
      <c r="BP551" s="286"/>
      <c r="BQ551" s="286"/>
      <c r="BR551" s="286"/>
      <c r="BS551" s="286"/>
      <c r="BT551" s="286"/>
      <c r="BU551" s="286"/>
      <c r="BV551" s="286"/>
      <c r="BW551" s="286"/>
      <c r="BX551" s="286"/>
      <c r="BY551" s="286"/>
      <c r="BZ551" s="286"/>
      <c r="CA551" s="286"/>
      <c r="CB551" s="286"/>
      <c r="CC551" s="286"/>
      <c r="CD551" s="286"/>
      <c r="CE551" s="286"/>
      <c r="CF551" s="286"/>
      <c r="CG551" s="286"/>
      <c r="CH551" s="286"/>
      <c r="CI551" s="286"/>
      <c r="CJ551" s="286"/>
      <c r="CK551" s="286"/>
      <c r="CL551" s="286"/>
      <c r="CM551" s="286"/>
      <c r="CN551" s="286"/>
      <c r="CO551" s="286"/>
      <c r="CP551" s="286"/>
      <c r="CQ551" s="286"/>
      <c r="CR551" s="286"/>
      <c r="CS551" s="286"/>
      <c r="CT551" s="286"/>
      <c r="CU551" s="286"/>
      <c r="CV551" s="286"/>
      <c r="CW551" s="286"/>
      <c r="CX551" s="286"/>
      <c r="CY551" s="286"/>
      <c r="CZ551" s="286"/>
      <c r="DA551" s="286"/>
      <c r="DB551" s="286"/>
      <c r="DC551" s="286"/>
      <c r="DD551" s="286"/>
      <c r="DE551" s="286"/>
      <c r="DF551" s="286"/>
      <c r="DG551" s="286"/>
      <c r="DH551" s="286"/>
      <c r="DI551" s="286"/>
      <c r="DJ551" s="286"/>
      <c r="DK551" s="286"/>
      <c r="DL551" s="286"/>
      <c r="DM551" s="286"/>
      <c r="DN551" s="286"/>
      <c r="DO551" s="286"/>
      <c r="DP551" s="286"/>
      <c r="DQ551" s="286"/>
      <c r="DR551" s="286"/>
      <c r="DS551" s="286"/>
      <c r="DT551" s="286"/>
      <c r="DU551" s="286"/>
      <c r="DV551" s="286"/>
      <c r="DW551" s="286"/>
      <c r="DX551" s="286"/>
      <c r="DY551" s="286"/>
      <c r="DZ551" s="286"/>
      <c r="EA551" s="286"/>
      <c r="EB551" s="286"/>
      <c r="EC551" s="286"/>
      <c r="ED551" s="286"/>
      <c r="EE551" s="286"/>
      <c r="EF551" s="286"/>
      <c r="EG551" s="286"/>
      <c r="EH551" s="286"/>
      <c r="EI551" s="286"/>
      <c r="EJ551" s="286"/>
      <c r="EK551" s="286"/>
      <c r="EL551" s="286"/>
      <c r="EM551" s="286"/>
      <c r="EN551" s="286"/>
      <c r="EO551" s="286"/>
      <c r="EP551" s="286"/>
      <c r="EQ551" s="286"/>
      <c r="ER551" s="286"/>
      <c r="ES551" s="286"/>
      <c r="ET551" s="286"/>
      <c r="EU551" s="286"/>
      <c r="EV551" s="286"/>
      <c r="EW551" s="286"/>
      <c r="EX551" s="286"/>
      <c r="EY551" s="286"/>
      <c r="EZ551" s="286"/>
      <c r="FA551" s="286"/>
      <c r="FB551" s="286"/>
      <c r="FC551" s="286"/>
      <c r="FD551" s="286"/>
      <c r="FE551" s="286"/>
      <c r="FF551" s="286"/>
      <c r="FG551" s="286"/>
      <c r="FH551" s="286"/>
      <c r="FI551" s="286"/>
      <c r="FJ551" s="286"/>
      <c r="FK551" s="286"/>
      <c r="FL551" s="286"/>
      <c r="FM551" s="286"/>
      <c r="FN551" s="286"/>
      <c r="FO551" s="286"/>
      <c r="FP551" s="286"/>
      <c r="FQ551" s="286"/>
      <c r="FR551" s="286"/>
      <c r="FS551" s="286"/>
    </row>
    <row r="552" spans="1:175">
      <c r="A552" s="212" t="s">
        <v>3159</v>
      </c>
      <c r="B552" s="212" t="s">
        <v>3160</v>
      </c>
      <c r="C552" s="212" t="s">
        <v>3432</v>
      </c>
      <c r="D552" s="212" t="s">
        <v>3692</v>
      </c>
      <c r="E552" s="212" t="s">
        <v>3728</v>
      </c>
      <c r="F552" s="278">
        <v>3468</v>
      </c>
      <c r="G552" s="278">
        <v>31007</v>
      </c>
      <c r="H552" s="287">
        <f t="shared" si="8"/>
        <v>1.2513303447608604</v>
      </c>
      <c r="I552" s="286">
        <v>73</v>
      </c>
      <c r="J552" s="286">
        <v>388</v>
      </c>
      <c r="K552" s="286">
        <v>282</v>
      </c>
      <c r="L552" s="286">
        <v>106</v>
      </c>
      <c r="M552" s="286">
        <v>285</v>
      </c>
      <c r="N552" s="286">
        <v>212</v>
      </c>
      <c r="O552" s="286">
        <v>73</v>
      </c>
      <c r="P552" s="286">
        <v>73</v>
      </c>
      <c r="Q552" s="286">
        <v>388</v>
      </c>
      <c r="R552" s="286">
        <v>282</v>
      </c>
      <c r="S552" s="286">
        <v>106</v>
      </c>
      <c r="T552" s="286">
        <v>285</v>
      </c>
      <c r="U552" s="286">
        <v>212</v>
      </c>
      <c r="V552" s="286">
        <v>73</v>
      </c>
      <c r="W552" s="286"/>
      <c r="X552" s="286"/>
      <c r="Y552" s="286"/>
      <c r="Z552" s="286"/>
      <c r="AA552" s="286"/>
      <c r="AB552" s="286"/>
      <c r="AC552" s="286"/>
      <c r="AD552" s="286"/>
      <c r="AE552" s="286"/>
      <c r="AF552" s="286"/>
      <c r="AG552" s="286"/>
      <c r="AH552" s="286"/>
      <c r="AI552" s="286"/>
      <c r="AJ552" s="286"/>
      <c r="AK552" s="286"/>
      <c r="AL552" s="286"/>
      <c r="AM552" s="286"/>
      <c r="AN552" s="286"/>
      <c r="AO552" s="286"/>
      <c r="AP552" s="286"/>
      <c r="AQ552" s="286"/>
      <c r="AR552" s="286"/>
      <c r="AS552" s="286"/>
      <c r="AT552" s="286"/>
      <c r="AU552" s="286"/>
      <c r="AV552" s="286"/>
      <c r="AW552" s="286"/>
      <c r="AX552" s="286"/>
      <c r="AY552" s="286"/>
      <c r="AZ552" s="286"/>
      <c r="BA552" s="286"/>
      <c r="BB552" s="286"/>
      <c r="BC552" s="286"/>
      <c r="BD552" s="286"/>
      <c r="BE552" s="286"/>
      <c r="BF552" s="286"/>
      <c r="BG552" s="286"/>
      <c r="BH552" s="286"/>
      <c r="BI552" s="286"/>
      <c r="BJ552" s="286"/>
      <c r="BK552" s="286"/>
      <c r="BL552" s="286"/>
      <c r="BM552" s="286"/>
      <c r="BN552" s="286"/>
      <c r="BO552" s="286"/>
      <c r="BP552" s="286"/>
      <c r="BQ552" s="286"/>
      <c r="BR552" s="286"/>
      <c r="BS552" s="286"/>
      <c r="BT552" s="286"/>
      <c r="BU552" s="286"/>
      <c r="BV552" s="286"/>
      <c r="BW552" s="286"/>
      <c r="BX552" s="286"/>
      <c r="BY552" s="286"/>
      <c r="BZ552" s="286"/>
      <c r="CA552" s="286"/>
      <c r="CB552" s="286"/>
      <c r="CC552" s="286"/>
      <c r="CD552" s="286"/>
      <c r="CE552" s="286"/>
      <c r="CF552" s="286"/>
      <c r="CG552" s="286"/>
      <c r="CH552" s="286"/>
      <c r="CI552" s="286"/>
      <c r="CJ552" s="286"/>
      <c r="CK552" s="286"/>
      <c r="CL552" s="286"/>
      <c r="CM552" s="286"/>
      <c r="CN552" s="286"/>
      <c r="CO552" s="286"/>
      <c r="CP552" s="286"/>
      <c r="CQ552" s="286"/>
      <c r="CR552" s="286"/>
      <c r="CS552" s="286"/>
      <c r="CT552" s="286"/>
      <c r="CU552" s="286"/>
      <c r="CV552" s="286"/>
      <c r="CW552" s="286"/>
      <c r="CX552" s="286"/>
      <c r="CY552" s="286"/>
      <c r="CZ552" s="286"/>
      <c r="DA552" s="286"/>
      <c r="DB552" s="286"/>
      <c r="DC552" s="286"/>
      <c r="DD552" s="286"/>
      <c r="DE552" s="286"/>
      <c r="DF552" s="286"/>
      <c r="DG552" s="286"/>
      <c r="DH552" s="286"/>
      <c r="DI552" s="286"/>
      <c r="DJ552" s="286"/>
      <c r="DK552" s="286"/>
      <c r="DL552" s="286"/>
      <c r="DM552" s="286"/>
      <c r="DN552" s="286"/>
      <c r="DO552" s="286"/>
      <c r="DP552" s="286"/>
      <c r="DQ552" s="286"/>
      <c r="DR552" s="286"/>
      <c r="DS552" s="286"/>
      <c r="DT552" s="286"/>
      <c r="DU552" s="286"/>
      <c r="DV552" s="286"/>
      <c r="DW552" s="286"/>
      <c r="DX552" s="286"/>
      <c r="DY552" s="286"/>
      <c r="DZ552" s="286"/>
      <c r="EA552" s="286"/>
      <c r="EB552" s="286"/>
      <c r="EC552" s="286"/>
      <c r="ED552" s="286"/>
      <c r="EE552" s="286"/>
      <c r="EF552" s="286"/>
      <c r="EG552" s="286"/>
      <c r="EH552" s="286"/>
      <c r="EI552" s="286"/>
      <c r="EJ552" s="286"/>
      <c r="EK552" s="286"/>
      <c r="EL552" s="286"/>
      <c r="EM552" s="286"/>
      <c r="EN552" s="286"/>
      <c r="EO552" s="286"/>
      <c r="EP552" s="286"/>
      <c r="EQ552" s="286"/>
      <c r="ER552" s="286"/>
      <c r="ES552" s="286"/>
      <c r="ET552" s="286"/>
      <c r="EU552" s="286"/>
      <c r="EV552" s="286"/>
      <c r="EW552" s="286"/>
      <c r="EX552" s="286"/>
      <c r="EY552" s="286"/>
      <c r="EZ552" s="286"/>
      <c r="FA552" s="286"/>
      <c r="FB552" s="286"/>
      <c r="FC552" s="286"/>
      <c r="FD552" s="286"/>
      <c r="FE552" s="286"/>
      <c r="FF552" s="286"/>
      <c r="FG552" s="286"/>
      <c r="FH552" s="286"/>
      <c r="FI552" s="286"/>
      <c r="FJ552" s="286"/>
      <c r="FK552" s="286"/>
      <c r="FL552" s="286"/>
      <c r="FM552" s="286"/>
      <c r="FN552" s="286"/>
      <c r="FO552" s="286"/>
      <c r="FP552" s="286"/>
      <c r="FQ552" s="286"/>
      <c r="FR552" s="286"/>
      <c r="FS552" s="286"/>
    </row>
    <row r="553" spans="1:175">
      <c r="A553" s="212" t="s">
        <v>3159</v>
      </c>
      <c r="B553" s="212" t="s">
        <v>3160</v>
      </c>
      <c r="C553" s="212" t="s">
        <v>3172</v>
      </c>
      <c r="D553" s="212" t="s">
        <v>3692</v>
      </c>
      <c r="E553" s="212" t="s">
        <v>3729</v>
      </c>
      <c r="F553" s="278">
        <v>7162</v>
      </c>
      <c r="G553" s="278">
        <v>133667</v>
      </c>
      <c r="H553" s="287">
        <f t="shared" si="8"/>
        <v>6.2266677639207879</v>
      </c>
      <c r="I553" s="286">
        <v>420</v>
      </c>
      <c r="J553" s="286">
        <v>8323</v>
      </c>
      <c r="K553" s="286">
        <v>6744</v>
      </c>
      <c r="L553" s="286">
        <v>1579</v>
      </c>
      <c r="M553" s="286">
        <v>7705</v>
      </c>
      <c r="N553" s="286">
        <v>6298</v>
      </c>
      <c r="O553" s="286">
        <v>1407</v>
      </c>
      <c r="P553" s="286">
        <v>420</v>
      </c>
      <c r="Q553" s="286">
        <v>8323</v>
      </c>
      <c r="R553" s="286">
        <v>6744</v>
      </c>
      <c r="S553" s="286">
        <v>1579</v>
      </c>
      <c r="T553" s="286">
        <v>7705</v>
      </c>
      <c r="U553" s="286">
        <v>6298</v>
      </c>
      <c r="V553" s="286">
        <v>1407</v>
      </c>
      <c r="W553" s="286"/>
      <c r="X553" s="286"/>
      <c r="Y553" s="286"/>
      <c r="Z553" s="286"/>
      <c r="AA553" s="286"/>
      <c r="AB553" s="286"/>
      <c r="AC553" s="286"/>
      <c r="AD553" s="286"/>
      <c r="AE553" s="286"/>
      <c r="AF553" s="286"/>
      <c r="AG553" s="286"/>
      <c r="AH553" s="286"/>
      <c r="AI553" s="286"/>
      <c r="AJ553" s="286"/>
      <c r="AK553" s="286"/>
      <c r="AL553" s="286"/>
      <c r="AM553" s="286"/>
      <c r="AN553" s="286"/>
      <c r="AO553" s="286"/>
      <c r="AP553" s="286"/>
      <c r="AQ553" s="286"/>
      <c r="AR553" s="286"/>
      <c r="AS553" s="286"/>
      <c r="AT553" s="286"/>
      <c r="AU553" s="286"/>
      <c r="AV553" s="286"/>
      <c r="AW553" s="286"/>
      <c r="AX553" s="286"/>
      <c r="AY553" s="286"/>
      <c r="AZ553" s="286"/>
      <c r="BA553" s="286"/>
      <c r="BB553" s="286"/>
      <c r="BC553" s="286"/>
      <c r="BD553" s="286"/>
      <c r="BE553" s="286"/>
      <c r="BF553" s="286"/>
      <c r="BG553" s="286"/>
      <c r="BH553" s="286"/>
      <c r="BI553" s="286"/>
      <c r="BJ553" s="286"/>
      <c r="BK553" s="286"/>
      <c r="BL553" s="286"/>
      <c r="BM553" s="286"/>
      <c r="BN553" s="286"/>
      <c r="BO553" s="286"/>
      <c r="BP553" s="286"/>
      <c r="BQ553" s="286"/>
      <c r="BR553" s="286"/>
      <c r="BS553" s="286"/>
      <c r="BT553" s="286"/>
      <c r="BU553" s="286"/>
      <c r="BV553" s="286"/>
      <c r="BW553" s="286"/>
      <c r="BX553" s="286"/>
      <c r="BY553" s="286"/>
      <c r="BZ553" s="286"/>
      <c r="CA553" s="286"/>
      <c r="CB553" s="286"/>
      <c r="CC553" s="286"/>
      <c r="CD553" s="286"/>
      <c r="CE553" s="286"/>
      <c r="CF553" s="286"/>
      <c r="CG553" s="286"/>
      <c r="CH553" s="286"/>
      <c r="CI553" s="286"/>
      <c r="CJ553" s="286"/>
      <c r="CK553" s="286"/>
      <c r="CL553" s="286"/>
      <c r="CM553" s="286"/>
      <c r="CN553" s="286"/>
      <c r="CO553" s="286"/>
      <c r="CP553" s="286"/>
      <c r="CQ553" s="286"/>
      <c r="CR553" s="286"/>
      <c r="CS553" s="286"/>
      <c r="CT553" s="286"/>
      <c r="CU553" s="286"/>
      <c r="CV553" s="286"/>
      <c r="CW553" s="286"/>
      <c r="CX553" s="286"/>
      <c r="CY553" s="286"/>
      <c r="CZ553" s="286"/>
      <c r="DA553" s="286"/>
      <c r="DB553" s="286"/>
      <c r="DC553" s="286"/>
      <c r="DD553" s="286"/>
      <c r="DE553" s="286"/>
      <c r="DF553" s="286"/>
      <c r="DG553" s="286"/>
      <c r="DH553" s="286"/>
      <c r="DI553" s="286"/>
      <c r="DJ553" s="286"/>
      <c r="DK553" s="286"/>
      <c r="DL553" s="286"/>
      <c r="DM553" s="286"/>
      <c r="DN553" s="286"/>
      <c r="DO553" s="286"/>
      <c r="DP553" s="286"/>
      <c r="DQ553" s="286"/>
      <c r="DR553" s="286"/>
      <c r="DS553" s="286"/>
      <c r="DT553" s="286"/>
      <c r="DU553" s="286"/>
      <c r="DV553" s="286"/>
      <c r="DW553" s="286"/>
      <c r="DX553" s="286"/>
      <c r="DY553" s="286"/>
      <c r="DZ553" s="286"/>
      <c r="EA553" s="286"/>
      <c r="EB553" s="286"/>
      <c r="EC553" s="286"/>
      <c r="ED553" s="286"/>
      <c r="EE553" s="286"/>
      <c r="EF553" s="286"/>
      <c r="EG553" s="286"/>
      <c r="EH553" s="286"/>
      <c r="EI553" s="286"/>
      <c r="EJ553" s="286"/>
      <c r="EK553" s="286"/>
      <c r="EL553" s="286"/>
      <c r="EM553" s="286"/>
      <c r="EN553" s="286"/>
      <c r="EO553" s="286"/>
      <c r="EP553" s="286"/>
      <c r="EQ553" s="286"/>
      <c r="ER553" s="286"/>
      <c r="ES553" s="286"/>
      <c r="ET553" s="286"/>
      <c r="EU553" s="286"/>
      <c r="EV553" s="286"/>
      <c r="EW553" s="286"/>
      <c r="EX553" s="286"/>
      <c r="EY553" s="286"/>
      <c r="EZ553" s="286"/>
      <c r="FA553" s="286"/>
      <c r="FB553" s="286"/>
      <c r="FC553" s="286"/>
      <c r="FD553" s="286"/>
      <c r="FE553" s="286"/>
      <c r="FF553" s="286"/>
      <c r="FG553" s="286"/>
      <c r="FH553" s="286"/>
      <c r="FI553" s="286"/>
      <c r="FJ553" s="286"/>
      <c r="FK553" s="286"/>
      <c r="FL553" s="286"/>
      <c r="FM553" s="286"/>
      <c r="FN553" s="286"/>
      <c r="FO553" s="286"/>
      <c r="FP553" s="286"/>
      <c r="FQ553" s="286"/>
      <c r="FR553" s="286"/>
      <c r="FS553" s="286"/>
    </row>
    <row r="554" spans="1:175">
      <c r="A554" s="212" t="s">
        <v>3159</v>
      </c>
      <c r="B554" s="212" t="s">
        <v>3160</v>
      </c>
      <c r="C554" s="212" t="s">
        <v>3172</v>
      </c>
      <c r="D554" s="212" t="s">
        <v>3692</v>
      </c>
      <c r="E554" s="212" t="s">
        <v>3730</v>
      </c>
      <c r="F554" s="278">
        <v>3488</v>
      </c>
      <c r="G554" s="278">
        <v>63209</v>
      </c>
      <c r="H554" s="287">
        <f t="shared" si="8"/>
        <v>4.9929598633106043</v>
      </c>
      <c r="I554" s="286">
        <v>148</v>
      </c>
      <c r="J554" s="286">
        <v>3156</v>
      </c>
      <c r="K554" s="286">
        <v>2481</v>
      </c>
      <c r="L554" s="286">
        <v>675</v>
      </c>
      <c r="M554" s="286">
        <v>2935</v>
      </c>
      <c r="N554" s="286">
        <v>2320</v>
      </c>
      <c r="O554" s="286">
        <v>615</v>
      </c>
      <c r="P554" s="286">
        <v>148</v>
      </c>
      <c r="Q554" s="286">
        <v>3156</v>
      </c>
      <c r="R554" s="286">
        <v>2481</v>
      </c>
      <c r="S554" s="286">
        <v>675</v>
      </c>
      <c r="T554" s="286">
        <v>2935</v>
      </c>
      <c r="U554" s="286">
        <v>2320</v>
      </c>
      <c r="V554" s="286">
        <v>615</v>
      </c>
      <c r="W554" s="286"/>
      <c r="X554" s="286"/>
      <c r="Y554" s="286"/>
      <c r="Z554" s="286"/>
      <c r="AA554" s="286"/>
      <c r="AB554" s="286"/>
      <c r="AC554" s="286"/>
      <c r="AD554" s="286"/>
      <c r="AE554" s="286"/>
      <c r="AF554" s="286"/>
      <c r="AG554" s="286"/>
      <c r="AH554" s="286"/>
      <c r="AI554" s="286"/>
      <c r="AJ554" s="286"/>
      <c r="AK554" s="286"/>
      <c r="AL554" s="286"/>
      <c r="AM554" s="286"/>
      <c r="AN554" s="286"/>
      <c r="AO554" s="286"/>
      <c r="AP554" s="286"/>
      <c r="AQ554" s="286"/>
      <c r="AR554" s="286"/>
      <c r="AS554" s="286"/>
      <c r="AT554" s="286"/>
      <c r="AU554" s="286"/>
      <c r="AV554" s="286"/>
      <c r="AW554" s="286"/>
      <c r="AX554" s="286"/>
      <c r="AY554" s="286"/>
      <c r="AZ554" s="286"/>
      <c r="BA554" s="286"/>
      <c r="BB554" s="286"/>
      <c r="BC554" s="286"/>
      <c r="BD554" s="286"/>
      <c r="BE554" s="286"/>
      <c r="BF554" s="286"/>
      <c r="BG554" s="286"/>
      <c r="BH554" s="286"/>
      <c r="BI554" s="286"/>
      <c r="BJ554" s="286"/>
      <c r="BK554" s="286"/>
      <c r="BL554" s="286"/>
      <c r="BM554" s="286"/>
      <c r="BN554" s="286"/>
      <c r="BO554" s="286"/>
      <c r="BP554" s="286"/>
      <c r="BQ554" s="286"/>
      <c r="BR554" s="286"/>
      <c r="BS554" s="286"/>
      <c r="BT554" s="286"/>
      <c r="BU554" s="286"/>
      <c r="BV554" s="286"/>
      <c r="BW554" s="286"/>
      <c r="BX554" s="286"/>
      <c r="BY554" s="286"/>
      <c r="BZ554" s="286"/>
      <c r="CA554" s="286"/>
      <c r="CB554" s="286"/>
      <c r="CC554" s="286"/>
      <c r="CD554" s="286"/>
      <c r="CE554" s="286"/>
      <c r="CF554" s="286"/>
      <c r="CG554" s="286"/>
      <c r="CH554" s="286"/>
      <c r="CI554" s="286"/>
      <c r="CJ554" s="286"/>
      <c r="CK554" s="286"/>
      <c r="CL554" s="286"/>
      <c r="CM554" s="286"/>
      <c r="CN554" s="286"/>
      <c r="CO554" s="286"/>
      <c r="CP554" s="286"/>
      <c r="CQ554" s="286"/>
      <c r="CR554" s="286"/>
      <c r="CS554" s="286"/>
      <c r="CT554" s="286"/>
      <c r="CU554" s="286"/>
      <c r="CV554" s="286"/>
      <c r="CW554" s="286"/>
      <c r="CX554" s="286"/>
      <c r="CY554" s="286"/>
      <c r="CZ554" s="286"/>
      <c r="DA554" s="286"/>
      <c r="DB554" s="286"/>
      <c r="DC554" s="286"/>
      <c r="DD554" s="286"/>
      <c r="DE554" s="286"/>
      <c r="DF554" s="286"/>
      <c r="DG554" s="286"/>
      <c r="DH554" s="286"/>
      <c r="DI554" s="286"/>
      <c r="DJ554" s="286"/>
      <c r="DK554" s="286"/>
      <c r="DL554" s="286"/>
      <c r="DM554" s="286"/>
      <c r="DN554" s="286"/>
      <c r="DO554" s="286"/>
      <c r="DP554" s="286"/>
      <c r="DQ554" s="286"/>
      <c r="DR554" s="286"/>
      <c r="DS554" s="286"/>
      <c r="DT554" s="286"/>
      <c r="DU554" s="286"/>
      <c r="DV554" s="286"/>
      <c r="DW554" s="286"/>
      <c r="DX554" s="286"/>
      <c r="DY554" s="286"/>
      <c r="DZ554" s="286"/>
      <c r="EA554" s="286"/>
      <c r="EB554" s="286"/>
      <c r="EC554" s="286"/>
      <c r="ED554" s="286"/>
      <c r="EE554" s="286"/>
      <c r="EF554" s="286"/>
      <c r="EG554" s="286"/>
      <c r="EH554" s="286"/>
      <c r="EI554" s="286"/>
      <c r="EJ554" s="286"/>
      <c r="EK554" s="286"/>
      <c r="EL554" s="286"/>
      <c r="EM554" s="286"/>
      <c r="EN554" s="286"/>
      <c r="EO554" s="286"/>
      <c r="EP554" s="286"/>
      <c r="EQ554" s="286"/>
      <c r="ER554" s="286"/>
      <c r="ES554" s="286"/>
      <c r="ET554" s="286"/>
      <c r="EU554" s="286"/>
      <c r="EV554" s="286"/>
      <c r="EW554" s="286"/>
      <c r="EX554" s="286"/>
      <c r="EY554" s="286"/>
      <c r="EZ554" s="286"/>
      <c r="FA554" s="286"/>
      <c r="FB554" s="286"/>
      <c r="FC554" s="286"/>
      <c r="FD554" s="286"/>
      <c r="FE554" s="286"/>
      <c r="FF554" s="286"/>
      <c r="FG554" s="286"/>
      <c r="FH554" s="286"/>
      <c r="FI554" s="286"/>
      <c r="FJ554" s="286"/>
      <c r="FK554" s="286"/>
      <c r="FL554" s="286"/>
      <c r="FM554" s="286"/>
      <c r="FN554" s="286"/>
      <c r="FO554" s="286"/>
      <c r="FP554" s="286"/>
      <c r="FQ554" s="286"/>
      <c r="FR554" s="286"/>
      <c r="FS554" s="286"/>
    </row>
    <row r="555" spans="1:175">
      <c r="A555" s="212" t="s">
        <v>3159</v>
      </c>
      <c r="B555" s="212" t="s">
        <v>3160</v>
      </c>
      <c r="C555" s="212" t="s">
        <v>3172</v>
      </c>
      <c r="D555" s="212" t="s">
        <v>3692</v>
      </c>
      <c r="E555" s="212" t="s">
        <v>3731</v>
      </c>
      <c r="F555" s="278">
        <v>1658</v>
      </c>
      <c r="G555" s="278">
        <v>32128</v>
      </c>
      <c r="H555" s="287">
        <f t="shared" si="8"/>
        <v>4.8275647410358564</v>
      </c>
      <c r="I555" s="286">
        <v>64</v>
      </c>
      <c r="J555" s="286">
        <v>1551</v>
      </c>
      <c r="K555" s="286">
        <v>1180</v>
      </c>
      <c r="L555" s="286">
        <v>371</v>
      </c>
      <c r="M555" s="286">
        <v>1444</v>
      </c>
      <c r="N555" s="286">
        <v>1096</v>
      </c>
      <c r="O555" s="286">
        <v>348</v>
      </c>
      <c r="P555" s="286">
        <v>64</v>
      </c>
      <c r="Q555" s="286">
        <v>1551</v>
      </c>
      <c r="R555" s="286">
        <v>1180</v>
      </c>
      <c r="S555" s="286">
        <v>371</v>
      </c>
      <c r="T555" s="286">
        <v>1444</v>
      </c>
      <c r="U555" s="286">
        <v>1096</v>
      </c>
      <c r="V555" s="286">
        <v>348</v>
      </c>
      <c r="W555" s="286"/>
      <c r="X555" s="286"/>
      <c r="Y555" s="286"/>
      <c r="Z555" s="286"/>
      <c r="AA555" s="286"/>
      <c r="AB555" s="286"/>
      <c r="AC555" s="286"/>
      <c r="AD555" s="286"/>
      <c r="AE555" s="286"/>
      <c r="AF555" s="286"/>
      <c r="AG555" s="286"/>
      <c r="AH555" s="286"/>
      <c r="AI555" s="286"/>
      <c r="AJ555" s="286"/>
      <c r="AK555" s="286"/>
      <c r="AL555" s="286"/>
      <c r="AM555" s="286"/>
      <c r="AN555" s="286"/>
      <c r="AO555" s="286"/>
      <c r="AP555" s="286"/>
      <c r="AQ555" s="286"/>
      <c r="AR555" s="286"/>
      <c r="AS555" s="286"/>
      <c r="AT555" s="286"/>
      <c r="AU555" s="286"/>
      <c r="AV555" s="286"/>
      <c r="AW555" s="286"/>
      <c r="AX555" s="286"/>
      <c r="AY555" s="286"/>
      <c r="AZ555" s="286"/>
      <c r="BA555" s="286"/>
      <c r="BB555" s="286"/>
      <c r="BC555" s="286"/>
      <c r="BD555" s="286"/>
      <c r="BE555" s="286"/>
      <c r="BF555" s="286"/>
      <c r="BG555" s="286"/>
      <c r="BH555" s="286"/>
      <c r="BI555" s="286"/>
      <c r="BJ555" s="286"/>
      <c r="BK555" s="286"/>
      <c r="BL555" s="286"/>
      <c r="BM555" s="286"/>
      <c r="BN555" s="286"/>
      <c r="BO555" s="286"/>
      <c r="BP555" s="286"/>
      <c r="BQ555" s="286"/>
      <c r="BR555" s="286"/>
      <c r="BS555" s="286"/>
      <c r="BT555" s="286"/>
      <c r="BU555" s="286"/>
      <c r="BV555" s="286"/>
      <c r="BW555" s="286"/>
      <c r="BX555" s="286"/>
      <c r="BY555" s="286"/>
      <c r="BZ555" s="286"/>
      <c r="CA555" s="286"/>
      <c r="CB555" s="286"/>
      <c r="CC555" s="286"/>
      <c r="CD555" s="286"/>
      <c r="CE555" s="286"/>
      <c r="CF555" s="286"/>
      <c r="CG555" s="286"/>
      <c r="CH555" s="286"/>
      <c r="CI555" s="286"/>
      <c r="CJ555" s="286"/>
      <c r="CK555" s="286"/>
      <c r="CL555" s="286"/>
      <c r="CM555" s="286"/>
      <c r="CN555" s="286"/>
      <c r="CO555" s="286"/>
      <c r="CP555" s="286"/>
      <c r="CQ555" s="286"/>
      <c r="CR555" s="286"/>
      <c r="CS555" s="286"/>
      <c r="CT555" s="286"/>
      <c r="CU555" s="286"/>
      <c r="CV555" s="286"/>
      <c r="CW555" s="286"/>
      <c r="CX555" s="286"/>
      <c r="CY555" s="286"/>
      <c r="CZ555" s="286"/>
      <c r="DA555" s="286"/>
      <c r="DB555" s="286"/>
      <c r="DC555" s="286"/>
      <c r="DD555" s="286"/>
      <c r="DE555" s="286"/>
      <c r="DF555" s="286"/>
      <c r="DG555" s="286"/>
      <c r="DH555" s="286"/>
      <c r="DI555" s="286"/>
      <c r="DJ555" s="286"/>
      <c r="DK555" s="286"/>
      <c r="DL555" s="286"/>
      <c r="DM555" s="286"/>
      <c r="DN555" s="286"/>
      <c r="DO555" s="286"/>
      <c r="DP555" s="286"/>
      <c r="DQ555" s="286"/>
      <c r="DR555" s="286"/>
      <c r="DS555" s="286"/>
      <c r="DT555" s="286"/>
      <c r="DU555" s="286"/>
      <c r="DV555" s="286"/>
      <c r="DW555" s="286"/>
      <c r="DX555" s="286"/>
      <c r="DY555" s="286"/>
      <c r="DZ555" s="286"/>
      <c r="EA555" s="286"/>
      <c r="EB555" s="286"/>
      <c r="EC555" s="286"/>
      <c r="ED555" s="286"/>
      <c r="EE555" s="286"/>
      <c r="EF555" s="286"/>
      <c r="EG555" s="286"/>
      <c r="EH555" s="286"/>
      <c r="EI555" s="286"/>
      <c r="EJ555" s="286"/>
      <c r="EK555" s="286"/>
      <c r="EL555" s="286"/>
      <c r="EM555" s="286"/>
      <c r="EN555" s="286"/>
      <c r="EO555" s="286"/>
      <c r="EP555" s="286"/>
      <c r="EQ555" s="286"/>
      <c r="ER555" s="286"/>
      <c r="ES555" s="286"/>
      <c r="ET555" s="286"/>
      <c r="EU555" s="286"/>
      <c r="EV555" s="286"/>
      <c r="EW555" s="286"/>
      <c r="EX555" s="286"/>
      <c r="EY555" s="286"/>
      <c r="EZ555" s="286"/>
      <c r="FA555" s="286"/>
      <c r="FB555" s="286"/>
      <c r="FC555" s="286"/>
      <c r="FD555" s="286"/>
      <c r="FE555" s="286"/>
      <c r="FF555" s="286"/>
      <c r="FG555" s="286"/>
      <c r="FH555" s="286"/>
      <c r="FI555" s="286"/>
      <c r="FJ555" s="286"/>
      <c r="FK555" s="286"/>
      <c r="FL555" s="286"/>
      <c r="FM555" s="286"/>
      <c r="FN555" s="286"/>
      <c r="FO555" s="286"/>
      <c r="FP555" s="286"/>
      <c r="FQ555" s="286"/>
      <c r="FR555" s="286"/>
      <c r="FS555" s="286"/>
    </row>
    <row r="556" spans="1:175">
      <c r="A556" s="212" t="s">
        <v>3159</v>
      </c>
      <c r="B556" s="212" t="s">
        <v>3160</v>
      </c>
      <c r="C556" s="212" t="s">
        <v>3172</v>
      </c>
      <c r="D556" s="212" t="s">
        <v>3692</v>
      </c>
      <c r="E556" s="212" t="s">
        <v>3732</v>
      </c>
      <c r="F556" s="278">
        <v>10302</v>
      </c>
      <c r="G556" s="278">
        <v>45299</v>
      </c>
      <c r="H556" s="287">
        <f t="shared" si="8"/>
        <v>4.4460142608004594</v>
      </c>
      <c r="I556" s="286">
        <v>379</v>
      </c>
      <c r="J556" s="286">
        <v>2014</v>
      </c>
      <c r="K556" s="286">
        <v>600</v>
      </c>
      <c r="L556" s="286">
        <v>1412</v>
      </c>
      <c r="M556" s="286">
        <v>1519</v>
      </c>
      <c r="N556" s="286">
        <v>273</v>
      </c>
      <c r="O556" s="286">
        <v>1246</v>
      </c>
      <c r="P556" s="286">
        <v>379</v>
      </c>
      <c r="Q556" s="286">
        <v>2014</v>
      </c>
      <c r="R556" s="286">
        <v>600</v>
      </c>
      <c r="S556" s="286">
        <v>1412</v>
      </c>
      <c r="T556" s="286">
        <v>1519</v>
      </c>
      <c r="U556" s="286">
        <v>273</v>
      </c>
      <c r="V556" s="286">
        <v>1246</v>
      </c>
      <c r="W556" s="286"/>
      <c r="X556" s="286"/>
      <c r="Y556" s="286"/>
      <c r="Z556" s="286"/>
      <c r="AA556" s="286"/>
      <c r="AB556" s="286"/>
      <c r="AC556" s="286"/>
      <c r="AD556" s="286"/>
      <c r="AE556" s="286"/>
      <c r="AF556" s="286"/>
      <c r="AG556" s="286"/>
      <c r="AH556" s="286"/>
      <c r="AI556" s="286"/>
      <c r="AJ556" s="286"/>
      <c r="AK556" s="286"/>
      <c r="AL556" s="286"/>
      <c r="AM556" s="286"/>
      <c r="AN556" s="286"/>
      <c r="AO556" s="286"/>
      <c r="AP556" s="286"/>
      <c r="AQ556" s="286"/>
      <c r="AR556" s="286"/>
      <c r="AS556" s="286"/>
      <c r="AT556" s="286"/>
      <c r="AU556" s="286"/>
      <c r="AV556" s="286"/>
      <c r="AW556" s="286"/>
      <c r="AX556" s="286"/>
      <c r="AY556" s="286"/>
      <c r="AZ556" s="286"/>
      <c r="BA556" s="286"/>
      <c r="BB556" s="286"/>
      <c r="BC556" s="286"/>
      <c r="BD556" s="286"/>
      <c r="BE556" s="286"/>
      <c r="BF556" s="286"/>
      <c r="BG556" s="286"/>
      <c r="BH556" s="286"/>
      <c r="BI556" s="286"/>
      <c r="BJ556" s="286"/>
      <c r="BK556" s="286"/>
      <c r="BL556" s="286"/>
      <c r="BM556" s="286"/>
      <c r="BN556" s="286"/>
      <c r="BO556" s="286"/>
      <c r="BP556" s="286"/>
      <c r="BQ556" s="286"/>
      <c r="BR556" s="286"/>
      <c r="BS556" s="286"/>
      <c r="BT556" s="286"/>
      <c r="BU556" s="286"/>
      <c r="BV556" s="286"/>
      <c r="BW556" s="286"/>
      <c r="BX556" s="286"/>
      <c r="BY556" s="286"/>
      <c r="BZ556" s="286"/>
      <c r="CA556" s="286"/>
      <c r="CB556" s="286"/>
      <c r="CC556" s="286"/>
      <c r="CD556" s="286"/>
      <c r="CE556" s="286"/>
      <c r="CF556" s="286"/>
      <c r="CG556" s="286"/>
      <c r="CH556" s="286"/>
      <c r="CI556" s="286"/>
      <c r="CJ556" s="286"/>
      <c r="CK556" s="286"/>
      <c r="CL556" s="286"/>
      <c r="CM556" s="286"/>
      <c r="CN556" s="286"/>
      <c r="CO556" s="286"/>
      <c r="CP556" s="286"/>
      <c r="CQ556" s="286"/>
      <c r="CR556" s="286"/>
      <c r="CS556" s="286"/>
      <c r="CT556" s="286"/>
      <c r="CU556" s="286"/>
      <c r="CV556" s="286"/>
      <c r="CW556" s="286"/>
      <c r="CX556" s="286"/>
      <c r="CY556" s="286"/>
      <c r="CZ556" s="286"/>
      <c r="DA556" s="286"/>
      <c r="DB556" s="286"/>
      <c r="DC556" s="286"/>
      <c r="DD556" s="286"/>
      <c r="DE556" s="286"/>
      <c r="DF556" s="286"/>
      <c r="DG556" s="286"/>
      <c r="DH556" s="286"/>
      <c r="DI556" s="286"/>
      <c r="DJ556" s="286"/>
      <c r="DK556" s="286"/>
      <c r="DL556" s="286"/>
      <c r="DM556" s="286"/>
      <c r="DN556" s="286"/>
      <c r="DO556" s="286"/>
      <c r="DP556" s="286"/>
      <c r="DQ556" s="286"/>
      <c r="DR556" s="286"/>
      <c r="DS556" s="286"/>
      <c r="DT556" s="286"/>
      <c r="DU556" s="286"/>
      <c r="DV556" s="286"/>
      <c r="DW556" s="286"/>
      <c r="DX556" s="286"/>
      <c r="DY556" s="286"/>
      <c r="DZ556" s="286"/>
      <c r="EA556" s="286"/>
      <c r="EB556" s="286"/>
      <c r="EC556" s="286"/>
      <c r="ED556" s="286"/>
      <c r="EE556" s="286"/>
      <c r="EF556" s="286"/>
      <c r="EG556" s="286"/>
      <c r="EH556" s="286"/>
      <c r="EI556" s="286"/>
      <c r="EJ556" s="286"/>
      <c r="EK556" s="286"/>
      <c r="EL556" s="286"/>
      <c r="EM556" s="286"/>
      <c r="EN556" s="286"/>
      <c r="EO556" s="286"/>
      <c r="EP556" s="286"/>
      <c r="EQ556" s="286"/>
      <c r="ER556" s="286"/>
      <c r="ES556" s="286"/>
      <c r="ET556" s="286"/>
      <c r="EU556" s="286"/>
      <c r="EV556" s="286"/>
      <c r="EW556" s="286"/>
      <c r="EX556" s="286"/>
      <c r="EY556" s="286"/>
      <c r="EZ556" s="286"/>
      <c r="FA556" s="286"/>
      <c r="FB556" s="286"/>
      <c r="FC556" s="286"/>
      <c r="FD556" s="286"/>
      <c r="FE556" s="286"/>
      <c r="FF556" s="286"/>
      <c r="FG556" s="286"/>
      <c r="FH556" s="286"/>
      <c r="FI556" s="286"/>
      <c r="FJ556" s="286"/>
      <c r="FK556" s="286"/>
      <c r="FL556" s="286"/>
      <c r="FM556" s="286"/>
      <c r="FN556" s="286"/>
      <c r="FO556" s="286"/>
      <c r="FP556" s="286"/>
      <c r="FQ556" s="286"/>
      <c r="FR556" s="286"/>
      <c r="FS556" s="286"/>
    </row>
    <row r="557" spans="1:175">
      <c r="A557" s="212" t="s">
        <v>3159</v>
      </c>
      <c r="B557" s="212" t="s">
        <v>3160</v>
      </c>
      <c r="C557" s="212" t="s">
        <v>3432</v>
      </c>
      <c r="D557" s="212" t="s">
        <v>3692</v>
      </c>
      <c r="E557" s="212" t="s">
        <v>3733</v>
      </c>
      <c r="F557" s="278">
        <v>8082</v>
      </c>
      <c r="G557" s="278">
        <v>36670</v>
      </c>
      <c r="H557" s="287">
        <f t="shared" si="8"/>
        <v>5.04226888464685</v>
      </c>
      <c r="I557" s="286">
        <v>321</v>
      </c>
      <c r="J557" s="286">
        <v>1849</v>
      </c>
      <c r="K557" s="286">
        <v>514</v>
      </c>
      <c r="L557" s="286">
        <v>1333</v>
      </c>
      <c r="M557" s="286">
        <v>1438</v>
      </c>
      <c r="N557" s="286">
        <v>241</v>
      </c>
      <c r="O557" s="286">
        <v>1197</v>
      </c>
      <c r="P557" s="286">
        <v>321</v>
      </c>
      <c r="Q557" s="286">
        <v>1849</v>
      </c>
      <c r="R557" s="286">
        <v>514</v>
      </c>
      <c r="S557" s="286">
        <v>1333</v>
      </c>
      <c r="T557" s="286">
        <v>1438</v>
      </c>
      <c r="U557" s="286">
        <v>241</v>
      </c>
      <c r="V557" s="286">
        <v>1197</v>
      </c>
      <c r="W557" s="286"/>
      <c r="X557" s="286"/>
      <c r="Y557" s="286"/>
      <c r="Z557" s="286"/>
      <c r="AA557" s="286"/>
      <c r="AB557" s="286"/>
      <c r="AC557" s="286"/>
      <c r="AD557" s="286"/>
      <c r="AE557" s="286"/>
      <c r="AF557" s="286"/>
      <c r="AG557" s="286"/>
      <c r="AH557" s="286"/>
      <c r="AI557" s="286"/>
      <c r="AJ557" s="286"/>
      <c r="AK557" s="286"/>
      <c r="AL557" s="286"/>
      <c r="AM557" s="286"/>
      <c r="AN557" s="286"/>
      <c r="AO557" s="286"/>
      <c r="AP557" s="286"/>
      <c r="AQ557" s="286"/>
      <c r="AR557" s="286"/>
      <c r="AS557" s="286"/>
      <c r="AT557" s="286"/>
      <c r="AU557" s="286"/>
      <c r="AV557" s="286"/>
      <c r="AW557" s="286"/>
      <c r="AX557" s="286"/>
      <c r="AY557" s="286"/>
      <c r="AZ557" s="286"/>
      <c r="BA557" s="286"/>
      <c r="BB557" s="286"/>
      <c r="BC557" s="286"/>
      <c r="BD557" s="286"/>
      <c r="BE557" s="286"/>
      <c r="BF557" s="286"/>
      <c r="BG557" s="286"/>
      <c r="BH557" s="286"/>
      <c r="BI557" s="286"/>
      <c r="BJ557" s="286"/>
      <c r="BK557" s="286"/>
      <c r="BL557" s="286"/>
      <c r="BM557" s="286"/>
      <c r="BN557" s="286"/>
      <c r="BO557" s="286"/>
      <c r="BP557" s="286"/>
      <c r="BQ557" s="286"/>
      <c r="BR557" s="286"/>
      <c r="BS557" s="286"/>
      <c r="BT557" s="286"/>
      <c r="BU557" s="286"/>
      <c r="BV557" s="286"/>
      <c r="BW557" s="286"/>
      <c r="BX557" s="286"/>
      <c r="BY557" s="286"/>
      <c r="BZ557" s="286"/>
      <c r="CA557" s="286"/>
      <c r="CB557" s="286"/>
      <c r="CC557" s="286"/>
      <c r="CD557" s="286"/>
      <c r="CE557" s="286"/>
      <c r="CF557" s="286"/>
      <c r="CG557" s="286"/>
      <c r="CH557" s="286"/>
      <c r="CI557" s="286"/>
      <c r="CJ557" s="286"/>
      <c r="CK557" s="286"/>
      <c r="CL557" s="286"/>
      <c r="CM557" s="286"/>
      <c r="CN557" s="286"/>
      <c r="CO557" s="286"/>
      <c r="CP557" s="286"/>
      <c r="CQ557" s="286"/>
      <c r="CR557" s="286"/>
      <c r="CS557" s="286"/>
      <c r="CT557" s="286"/>
      <c r="CU557" s="286"/>
      <c r="CV557" s="286"/>
      <c r="CW557" s="286"/>
      <c r="CX557" s="286"/>
      <c r="CY557" s="286"/>
      <c r="CZ557" s="286"/>
      <c r="DA557" s="286"/>
      <c r="DB557" s="286"/>
      <c r="DC557" s="286"/>
      <c r="DD557" s="286"/>
      <c r="DE557" s="286"/>
      <c r="DF557" s="286"/>
      <c r="DG557" s="286"/>
      <c r="DH557" s="286"/>
      <c r="DI557" s="286"/>
      <c r="DJ557" s="286"/>
      <c r="DK557" s="286"/>
      <c r="DL557" s="286"/>
      <c r="DM557" s="286"/>
      <c r="DN557" s="286"/>
      <c r="DO557" s="286"/>
      <c r="DP557" s="286"/>
      <c r="DQ557" s="286"/>
      <c r="DR557" s="286"/>
      <c r="DS557" s="286"/>
      <c r="DT557" s="286"/>
      <c r="DU557" s="286"/>
      <c r="DV557" s="286"/>
      <c r="DW557" s="286"/>
      <c r="DX557" s="286"/>
      <c r="DY557" s="286"/>
      <c r="DZ557" s="286"/>
      <c r="EA557" s="286"/>
      <c r="EB557" s="286"/>
      <c r="EC557" s="286"/>
      <c r="ED557" s="286"/>
      <c r="EE557" s="286"/>
      <c r="EF557" s="286"/>
      <c r="EG557" s="286"/>
      <c r="EH557" s="286"/>
      <c r="EI557" s="286"/>
      <c r="EJ557" s="286"/>
      <c r="EK557" s="286"/>
      <c r="EL557" s="286"/>
      <c r="EM557" s="286"/>
      <c r="EN557" s="286"/>
      <c r="EO557" s="286"/>
      <c r="EP557" s="286"/>
      <c r="EQ557" s="286"/>
      <c r="ER557" s="286"/>
      <c r="ES557" s="286"/>
      <c r="ET557" s="286"/>
      <c r="EU557" s="286"/>
      <c r="EV557" s="286"/>
      <c r="EW557" s="286"/>
      <c r="EX557" s="286"/>
      <c r="EY557" s="286"/>
      <c r="EZ557" s="286"/>
      <c r="FA557" s="286"/>
      <c r="FB557" s="286"/>
      <c r="FC557" s="286"/>
      <c r="FD557" s="286"/>
      <c r="FE557" s="286"/>
      <c r="FF557" s="286"/>
      <c r="FG557" s="286"/>
      <c r="FH557" s="286"/>
      <c r="FI557" s="286"/>
      <c r="FJ557" s="286"/>
      <c r="FK557" s="286"/>
      <c r="FL557" s="286"/>
      <c r="FM557" s="286"/>
      <c r="FN557" s="286"/>
      <c r="FO557" s="286"/>
      <c r="FP557" s="286"/>
      <c r="FQ557" s="286"/>
      <c r="FR557" s="286"/>
      <c r="FS557" s="286"/>
    </row>
    <row r="558" spans="1:175">
      <c r="A558" s="212" t="s">
        <v>3159</v>
      </c>
      <c r="B558" s="212" t="s">
        <v>3160</v>
      </c>
      <c r="C558" s="212" t="s">
        <v>3432</v>
      </c>
      <c r="D558" s="212" t="s">
        <v>3692</v>
      </c>
      <c r="E558" s="212" t="s">
        <v>3734</v>
      </c>
      <c r="F558" s="278">
        <v>2210</v>
      </c>
      <c r="G558" s="278">
        <v>8591</v>
      </c>
      <c r="H558" s="287">
        <f t="shared" si="8"/>
        <v>1.9206145966709345</v>
      </c>
      <c r="I558" s="286">
        <v>58</v>
      </c>
      <c r="J558" s="286">
        <v>165</v>
      </c>
      <c r="K558" s="286">
        <v>86</v>
      </c>
      <c r="L558" s="286">
        <v>79</v>
      </c>
      <c r="M558" s="286">
        <v>81</v>
      </c>
      <c r="N558" s="286">
        <v>32</v>
      </c>
      <c r="O558" s="286">
        <v>49</v>
      </c>
      <c r="P558" s="286">
        <v>58</v>
      </c>
      <c r="Q558" s="286">
        <v>165</v>
      </c>
      <c r="R558" s="286">
        <v>86</v>
      </c>
      <c r="S558" s="286">
        <v>79</v>
      </c>
      <c r="T558" s="286">
        <v>81</v>
      </c>
      <c r="U558" s="286">
        <v>32</v>
      </c>
      <c r="V558" s="286">
        <v>49</v>
      </c>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286"/>
      <c r="BQ558" s="286"/>
      <c r="BR558" s="286"/>
      <c r="BS558" s="286"/>
      <c r="BT558" s="286"/>
      <c r="BU558" s="286"/>
      <c r="BV558" s="286"/>
      <c r="BW558" s="286"/>
      <c r="BX558" s="286"/>
      <c r="BY558" s="286"/>
      <c r="BZ558" s="286"/>
      <c r="CA558" s="286"/>
      <c r="CB558" s="286"/>
      <c r="CC558" s="286"/>
      <c r="CD558" s="286"/>
      <c r="CE558" s="286"/>
      <c r="CF558" s="286"/>
      <c r="CG558" s="286"/>
      <c r="CH558" s="286"/>
      <c r="CI558" s="286"/>
      <c r="CJ558" s="286"/>
      <c r="CK558" s="286"/>
      <c r="CL558" s="286"/>
      <c r="CM558" s="286"/>
      <c r="CN558" s="286"/>
      <c r="CO558" s="286"/>
      <c r="CP558" s="286"/>
      <c r="CQ558" s="286"/>
      <c r="CR558" s="286"/>
      <c r="CS558" s="286"/>
      <c r="CT558" s="286"/>
      <c r="CU558" s="286"/>
      <c r="CV558" s="286"/>
      <c r="CW558" s="286"/>
      <c r="CX558" s="286"/>
      <c r="CY558" s="286"/>
      <c r="CZ558" s="286"/>
      <c r="DA558" s="286"/>
      <c r="DB558" s="286"/>
      <c r="DC558" s="286"/>
      <c r="DD558" s="286"/>
      <c r="DE558" s="286"/>
      <c r="DF558" s="286"/>
      <c r="DG558" s="286"/>
      <c r="DH558" s="286"/>
      <c r="DI558" s="286"/>
      <c r="DJ558" s="286"/>
      <c r="DK558" s="286"/>
      <c r="DL558" s="286"/>
      <c r="DM558" s="286"/>
      <c r="DN558" s="286"/>
      <c r="DO558" s="286"/>
      <c r="DP558" s="286"/>
      <c r="DQ558" s="286"/>
      <c r="DR558" s="286"/>
      <c r="DS558" s="286"/>
      <c r="DT558" s="286"/>
      <c r="DU558" s="286"/>
      <c r="DV558" s="286"/>
      <c r="DW558" s="286"/>
      <c r="DX558" s="286"/>
      <c r="DY558" s="286"/>
      <c r="DZ558" s="286"/>
      <c r="EA558" s="286"/>
      <c r="EB558" s="286"/>
      <c r="EC558" s="286"/>
      <c r="ED558" s="286"/>
      <c r="EE558" s="286"/>
      <c r="EF558" s="286"/>
      <c r="EG558" s="286"/>
      <c r="EH558" s="286"/>
      <c r="EI558" s="286"/>
      <c r="EJ558" s="286"/>
      <c r="EK558" s="286"/>
      <c r="EL558" s="286"/>
      <c r="EM558" s="286"/>
      <c r="EN558" s="286"/>
      <c r="EO558" s="286"/>
      <c r="EP558" s="286"/>
      <c r="EQ558" s="286"/>
      <c r="ER558" s="286"/>
      <c r="ES558" s="286"/>
      <c r="ET558" s="286"/>
      <c r="EU558" s="286"/>
      <c r="EV558" s="286"/>
      <c r="EW558" s="286"/>
      <c r="EX558" s="286"/>
      <c r="EY558" s="286"/>
      <c r="EZ558" s="286"/>
      <c r="FA558" s="286"/>
      <c r="FB558" s="286"/>
      <c r="FC558" s="286"/>
      <c r="FD558" s="286"/>
      <c r="FE558" s="286"/>
      <c r="FF558" s="286"/>
      <c r="FG558" s="286"/>
      <c r="FH558" s="286"/>
      <c r="FI558" s="286"/>
      <c r="FJ558" s="286"/>
      <c r="FK558" s="286"/>
      <c r="FL558" s="286"/>
      <c r="FM558" s="286"/>
      <c r="FN558" s="286"/>
      <c r="FO558" s="286"/>
      <c r="FP558" s="286"/>
      <c r="FQ558" s="286"/>
      <c r="FR558" s="286"/>
      <c r="FS558" s="286"/>
    </row>
    <row r="559" spans="1:175">
      <c r="A559" s="212" t="s">
        <v>3159</v>
      </c>
      <c r="B559" s="212" t="s">
        <v>3160</v>
      </c>
      <c r="C559" s="212" t="s">
        <v>3172</v>
      </c>
      <c r="D559" s="212" t="s">
        <v>3692</v>
      </c>
      <c r="E559" s="212" t="s">
        <v>3735</v>
      </c>
      <c r="F559" s="278">
        <v>9536</v>
      </c>
      <c r="G559" s="278">
        <v>165114</v>
      </c>
      <c r="H559" s="287">
        <f t="shared" si="8"/>
        <v>4.4817520016473464</v>
      </c>
      <c r="I559" s="286">
        <v>358</v>
      </c>
      <c r="J559" s="286">
        <v>7400</v>
      </c>
      <c r="K559" s="286">
        <v>6404</v>
      </c>
      <c r="L559" s="286">
        <v>976</v>
      </c>
      <c r="M559" s="286">
        <v>6974</v>
      </c>
      <c r="N559" s="286">
        <v>6089</v>
      </c>
      <c r="O559" s="286">
        <v>865</v>
      </c>
      <c r="P559" s="286">
        <v>345</v>
      </c>
      <c r="Q559" s="286">
        <v>7210</v>
      </c>
      <c r="R559" s="286">
        <v>6284</v>
      </c>
      <c r="S559" s="286">
        <v>906</v>
      </c>
      <c r="T559" s="286">
        <v>6784</v>
      </c>
      <c r="U559" s="286">
        <v>5969</v>
      </c>
      <c r="V559" s="286">
        <v>795</v>
      </c>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286"/>
      <c r="BQ559" s="286"/>
      <c r="BR559" s="286"/>
      <c r="BS559" s="286"/>
      <c r="BT559" s="286"/>
      <c r="BU559" s="286"/>
      <c r="BV559" s="286"/>
      <c r="BW559" s="286"/>
      <c r="BX559" s="286"/>
      <c r="BY559" s="286"/>
      <c r="BZ559" s="286"/>
      <c r="CA559" s="286"/>
      <c r="CB559" s="286"/>
      <c r="CC559" s="286"/>
      <c r="CD559" s="286"/>
      <c r="CE559" s="286"/>
      <c r="CF559" s="286"/>
      <c r="CG559" s="286"/>
      <c r="CH559" s="286"/>
      <c r="CI559" s="286"/>
      <c r="CJ559" s="286"/>
      <c r="CK559" s="286"/>
      <c r="CL559" s="286"/>
      <c r="CM559" s="286"/>
      <c r="CN559" s="286"/>
      <c r="CO559" s="286"/>
      <c r="CP559" s="286"/>
      <c r="CQ559" s="286"/>
      <c r="CR559" s="286"/>
      <c r="CS559" s="286"/>
      <c r="CT559" s="286"/>
      <c r="CU559" s="286"/>
      <c r="CV559" s="286"/>
      <c r="CW559" s="286"/>
      <c r="CX559" s="286"/>
      <c r="CY559" s="286"/>
      <c r="CZ559" s="286"/>
      <c r="DA559" s="286"/>
      <c r="DB559" s="286"/>
      <c r="DC559" s="286"/>
      <c r="DD559" s="286"/>
      <c r="DE559" s="286"/>
      <c r="DF559" s="286"/>
      <c r="DG559" s="286"/>
      <c r="DH559" s="286"/>
      <c r="DI559" s="286"/>
      <c r="DJ559" s="286"/>
      <c r="DK559" s="286"/>
      <c r="DL559" s="286"/>
      <c r="DM559" s="286"/>
      <c r="DN559" s="286"/>
      <c r="DO559" s="286"/>
      <c r="DP559" s="286"/>
      <c r="DQ559" s="286"/>
      <c r="DR559" s="286"/>
      <c r="DS559" s="286"/>
      <c r="DT559" s="286"/>
      <c r="DU559" s="286"/>
      <c r="DV559" s="286"/>
      <c r="DW559" s="286"/>
      <c r="DX559" s="286"/>
      <c r="DY559" s="286"/>
      <c r="DZ559" s="286"/>
      <c r="EA559" s="286"/>
      <c r="EB559" s="286"/>
      <c r="EC559" s="286"/>
      <c r="ED559" s="286"/>
      <c r="EE559" s="286"/>
      <c r="EF559" s="286"/>
      <c r="EG559" s="286"/>
      <c r="EH559" s="286"/>
      <c r="EI559" s="286"/>
      <c r="EJ559" s="286"/>
      <c r="EK559" s="286"/>
      <c r="EL559" s="286"/>
      <c r="EM559" s="286"/>
      <c r="EN559" s="286"/>
      <c r="EO559" s="286"/>
      <c r="EP559" s="286"/>
      <c r="EQ559" s="286"/>
      <c r="ER559" s="286"/>
      <c r="ES559" s="286"/>
      <c r="ET559" s="286"/>
      <c r="EU559" s="286"/>
      <c r="EV559" s="286"/>
      <c r="EW559" s="286"/>
      <c r="EX559" s="286"/>
      <c r="EY559" s="286"/>
      <c r="EZ559" s="286"/>
      <c r="FA559" s="286"/>
      <c r="FB559" s="286"/>
      <c r="FC559" s="286"/>
      <c r="FD559" s="286"/>
      <c r="FE559" s="286"/>
      <c r="FF559" s="286"/>
      <c r="FG559" s="286"/>
      <c r="FH559" s="286"/>
      <c r="FI559" s="286"/>
      <c r="FJ559" s="286"/>
      <c r="FK559" s="286"/>
      <c r="FL559" s="286"/>
      <c r="FM559" s="286"/>
      <c r="FN559" s="286"/>
      <c r="FO559" s="286"/>
      <c r="FP559" s="286"/>
      <c r="FQ559" s="286"/>
      <c r="FR559" s="286"/>
      <c r="FS559" s="286"/>
    </row>
    <row r="560" spans="1:175">
      <c r="A560" s="212" t="s">
        <v>3159</v>
      </c>
      <c r="B560" s="212" t="s">
        <v>3160</v>
      </c>
      <c r="C560" s="212" t="s">
        <v>3168</v>
      </c>
      <c r="D560" s="212" t="s">
        <v>3736</v>
      </c>
      <c r="E560" s="212" t="s">
        <v>3737</v>
      </c>
      <c r="F560" s="278">
        <v>601300</v>
      </c>
      <c r="G560" s="278">
        <v>4701797</v>
      </c>
      <c r="H560" s="287">
        <f t="shared" si="8"/>
        <v>4.1483926252026615</v>
      </c>
      <c r="I560" s="286">
        <v>25672</v>
      </c>
      <c r="J560" s="286">
        <v>195049</v>
      </c>
      <c r="K560" s="286">
        <v>77142</v>
      </c>
      <c r="L560" s="286">
        <v>115182</v>
      </c>
      <c r="M560" s="286">
        <v>159262</v>
      </c>
      <c r="N560" s="286">
        <v>59933</v>
      </c>
      <c r="O560" s="286">
        <v>96618</v>
      </c>
      <c r="P560" s="286">
        <v>25617</v>
      </c>
      <c r="Q560" s="286">
        <v>194110</v>
      </c>
      <c r="R560" s="286">
        <v>76900</v>
      </c>
      <c r="S560" s="286">
        <v>114485</v>
      </c>
      <c r="T560" s="286">
        <v>158326</v>
      </c>
      <c r="U560" s="286">
        <v>59693</v>
      </c>
      <c r="V560" s="286">
        <v>95922</v>
      </c>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286"/>
      <c r="BQ560" s="286"/>
      <c r="BR560" s="286"/>
      <c r="BS560" s="286"/>
      <c r="BT560" s="286"/>
      <c r="BU560" s="286"/>
      <c r="BV560" s="286"/>
      <c r="BW560" s="286"/>
      <c r="BX560" s="286"/>
      <c r="BY560" s="286"/>
      <c r="BZ560" s="286"/>
      <c r="CA560" s="286"/>
      <c r="CB560" s="286"/>
      <c r="CC560" s="286"/>
      <c r="CD560" s="286"/>
      <c r="CE560" s="286"/>
      <c r="CF560" s="286"/>
      <c r="CG560" s="286"/>
      <c r="CH560" s="286"/>
      <c r="CI560" s="286"/>
      <c r="CJ560" s="286"/>
      <c r="CK560" s="286"/>
      <c r="CL560" s="286"/>
      <c r="CM560" s="286"/>
      <c r="CN560" s="286"/>
      <c r="CO560" s="286"/>
      <c r="CP560" s="286"/>
      <c r="CQ560" s="286"/>
      <c r="CR560" s="286"/>
      <c r="CS560" s="286"/>
      <c r="CT560" s="286"/>
      <c r="CU560" s="286"/>
      <c r="CV560" s="286"/>
      <c r="CW560" s="286"/>
      <c r="CX560" s="286"/>
      <c r="CY560" s="286"/>
      <c r="CZ560" s="286"/>
      <c r="DA560" s="286"/>
      <c r="DB560" s="286"/>
      <c r="DC560" s="286"/>
      <c r="DD560" s="286"/>
      <c r="DE560" s="286"/>
      <c r="DF560" s="286"/>
      <c r="DG560" s="286"/>
      <c r="DH560" s="286"/>
      <c r="DI560" s="286"/>
      <c r="DJ560" s="286"/>
      <c r="DK560" s="286"/>
      <c r="DL560" s="286"/>
      <c r="DM560" s="286"/>
      <c r="DN560" s="286"/>
      <c r="DO560" s="286"/>
      <c r="DP560" s="286"/>
      <c r="DQ560" s="286"/>
      <c r="DR560" s="286"/>
      <c r="DS560" s="286"/>
      <c r="DT560" s="286"/>
      <c r="DU560" s="286"/>
      <c r="DV560" s="286"/>
      <c r="DW560" s="286"/>
      <c r="DX560" s="286"/>
      <c r="DY560" s="286"/>
      <c r="DZ560" s="286"/>
      <c r="EA560" s="286"/>
      <c r="EB560" s="286"/>
      <c r="EC560" s="286"/>
      <c r="ED560" s="286"/>
      <c r="EE560" s="286"/>
      <c r="EF560" s="286"/>
      <c r="EG560" s="286"/>
      <c r="EH560" s="286"/>
      <c r="EI560" s="286"/>
      <c r="EJ560" s="286"/>
      <c r="EK560" s="286"/>
      <c r="EL560" s="286"/>
      <c r="EM560" s="286"/>
      <c r="EN560" s="286"/>
      <c r="EO560" s="286"/>
      <c r="EP560" s="286"/>
      <c r="EQ560" s="286"/>
      <c r="ER560" s="286"/>
      <c r="ES560" s="286"/>
      <c r="ET560" s="286"/>
      <c r="EU560" s="286"/>
      <c r="EV560" s="286"/>
      <c r="EW560" s="286"/>
      <c r="EX560" s="286"/>
      <c r="EY560" s="286"/>
      <c r="EZ560" s="286"/>
      <c r="FA560" s="286"/>
      <c r="FB560" s="286"/>
      <c r="FC560" s="286"/>
      <c r="FD560" s="286"/>
      <c r="FE560" s="286"/>
      <c r="FF560" s="286"/>
      <c r="FG560" s="286"/>
      <c r="FH560" s="286"/>
      <c r="FI560" s="286"/>
      <c r="FJ560" s="286"/>
      <c r="FK560" s="286"/>
      <c r="FL560" s="286"/>
      <c r="FM560" s="286"/>
      <c r="FN560" s="286"/>
      <c r="FO560" s="286"/>
      <c r="FP560" s="286"/>
      <c r="FQ560" s="286"/>
      <c r="FR560" s="286"/>
      <c r="FS560" s="286"/>
    </row>
    <row r="561" spans="1:175">
      <c r="A561" s="212" t="s">
        <v>3159</v>
      </c>
      <c r="B561" s="212" t="s">
        <v>3160</v>
      </c>
      <c r="C561" s="212" t="s">
        <v>3459</v>
      </c>
      <c r="D561" s="212" t="s">
        <v>3738</v>
      </c>
      <c r="E561" s="212" t="s">
        <v>3739</v>
      </c>
      <c r="F561" s="278">
        <v>45327</v>
      </c>
      <c r="G561" s="278">
        <v>627505</v>
      </c>
      <c r="H561" s="287">
        <f t="shared" si="8"/>
        <v>3.676783451924686</v>
      </c>
      <c r="I561" s="286">
        <v>1393</v>
      </c>
      <c r="J561" s="286">
        <v>23072</v>
      </c>
      <c r="K561" s="286">
        <v>9790</v>
      </c>
      <c r="L561" s="286">
        <v>13255</v>
      </c>
      <c r="M561" s="286">
        <v>19933</v>
      </c>
      <c r="N561" s="286">
        <v>8332</v>
      </c>
      <c r="O561" s="286">
        <v>11574</v>
      </c>
      <c r="P561" s="286">
        <v>1389</v>
      </c>
      <c r="Q561" s="286">
        <v>23046</v>
      </c>
      <c r="R561" s="286">
        <v>9777</v>
      </c>
      <c r="S561" s="286">
        <v>13242</v>
      </c>
      <c r="T561" s="286">
        <v>19907</v>
      </c>
      <c r="U561" s="286">
        <v>8319</v>
      </c>
      <c r="V561" s="286">
        <v>11561</v>
      </c>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286"/>
      <c r="BQ561" s="286"/>
      <c r="BR561" s="286"/>
      <c r="BS561" s="286"/>
      <c r="BT561" s="286"/>
      <c r="BU561" s="286"/>
      <c r="BV561" s="286"/>
      <c r="BW561" s="286"/>
      <c r="BX561" s="286"/>
      <c r="BY561" s="286"/>
      <c r="BZ561" s="286"/>
      <c r="CA561" s="286"/>
      <c r="CB561" s="286"/>
      <c r="CC561" s="286"/>
      <c r="CD561" s="286"/>
      <c r="CE561" s="286"/>
      <c r="CF561" s="286"/>
      <c r="CG561" s="286"/>
      <c r="CH561" s="286"/>
      <c r="CI561" s="286"/>
      <c r="CJ561" s="286"/>
      <c r="CK561" s="286"/>
      <c r="CL561" s="286"/>
      <c r="CM561" s="286"/>
      <c r="CN561" s="286"/>
      <c r="CO561" s="286"/>
      <c r="CP561" s="286"/>
      <c r="CQ561" s="286"/>
      <c r="CR561" s="286"/>
      <c r="CS561" s="286"/>
      <c r="CT561" s="286"/>
      <c r="CU561" s="286"/>
      <c r="CV561" s="286"/>
      <c r="CW561" s="286"/>
      <c r="CX561" s="286"/>
      <c r="CY561" s="286"/>
      <c r="CZ561" s="286"/>
      <c r="DA561" s="286"/>
      <c r="DB561" s="286"/>
      <c r="DC561" s="286"/>
      <c r="DD561" s="286"/>
      <c r="DE561" s="286"/>
      <c r="DF561" s="286"/>
      <c r="DG561" s="286"/>
      <c r="DH561" s="286"/>
      <c r="DI561" s="286"/>
      <c r="DJ561" s="286"/>
      <c r="DK561" s="286"/>
      <c r="DL561" s="286"/>
      <c r="DM561" s="286"/>
      <c r="DN561" s="286"/>
      <c r="DO561" s="286"/>
      <c r="DP561" s="286"/>
      <c r="DQ561" s="286"/>
      <c r="DR561" s="286"/>
      <c r="DS561" s="286"/>
      <c r="DT561" s="286"/>
      <c r="DU561" s="286"/>
      <c r="DV561" s="286"/>
      <c r="DW561" s="286"/>
      <c r="DX561" s="286"/>
      <c r="DY561" s="286"/>
      <c r="DZ561" s="286"/>
      <c r="EA561" s="286"/>
      <c r="EB561" s="286"/>
      <c r="EC561" s="286"/>
      <c r="ED561" s="286"/>
      <c r="EE561" s="286"/>
      <c r="EF561" s="286"/>
      <c r="EG561" s="286"/>
      <c r="EH561" s="286"/>
      <c r="EI561" s="286"/>
      <c r="EJ561" s="286"/>
      <c r="EK561" s="286"/>
      <c r="EL561" s="286"/>
      <c r="EM561" s="286"/>
      <c r="EN561" s="286"/>
      <c r="EO561" s="286"/>
      <c r="EP561" s="286"/>
      <c r="EQ561" s="286"/>
      <c r="ER561" s="286"/>
      <c r="ES561" s="286"/>
      <c r="ET561" s="286"/>
      <c r="EU561" s="286"/>
      <c r="EV561" s="286"/>
      <c r="EW561" s="286"/>
      <c r="EX561" s="286"/>
      <c r="EY561" s="286"/>
      <c r="EZ561" s="286"/>
      <c r="FA561" s="286"/>
      <c r="FB561" s="286"/>
      <c r="FC561" s="286"/>
      <c r="FD561" s="286"/>
      <c r="FE561" s="286"/>
      <c r="FF561" s="286"/>
      <c r="FG561" s="286"/>
      <c r="FH561" s="286"/>
      <c r="FI561" s="286"/>
      <c r="FJ561" s="286"/>
      <c r="FK561" s="286"/>
      <c r="FL561" s="286"/>
      <c r="FM561" s="286"/>
      <c r="FN561" s="286"/>
      <c r="FO561" s="286"/>
      <c r="FP561" s="286"/>
      <c r="FQ561" s="286"/>
      <c r="FR561" s="286"/>
      <c r="FS561" s="286"/>
    </row>
    <row r="562" spans="1:175">
      <c r="A562" s="212" t="s">
        <v>3159</v>
      </c>
      <c r="B562" s="212" t="s">
        <v>3160</v>
      </c>
      <c r="C562" s="212" t="s">
        <v>3170</v>
      </c>
      <c r="D562" s="212" t="s">
        <v>3738</v>
      </c>
      <c r="E562" s="212" t="s">
        <v>3740</v>
      </c>
      <c r="F562" s="278">
        <v>45327</v>
      </c>
      <c r="G562" s="278">
        <v>627505</v>
      </c>
      <c r="H562" s="287">
        <f t="shared" si="8"/>
        <v>3.676783451924686</v>
      </c>
      <c r="I562" s="286">
        <v>1393</v>
      </c>
      <c r="J562" s="286">
        <v>23072</v>
      </c>
      <c r="K562" s="286">
        <v>9790</v>
      </c>
      <c r="L562" s="286">
        <v>13255</v>
      </c>
      <c r="M562" s="286">
        <v>19933</v>
      </c>
      <c r="N562" s="286">
        <v>8332</v>
      </c>
      <c r="O562" s="286">
        <v>11574</v>
      </c>
      <c r="P562" s="286">
        <v>1389</v>
      </c>
      <c r="Q562" s="286">
        <v>23046</v>
      </c>
      <c r="R562" s="286">
        <v>9777</v>
      </c>
      <c r="S562" s="286">
        <v>13242</v>
      </c>
      <c r="T562" s="286">
        <v>19907</v>
      </c>
      <c r="U562" s="286">
        <v>8319</v>
      </c>
      <c r="V562" s="286">
        <v>11561</v>
      </c>
      <c r="W562" s="286"/>
      <c r="X562" s="286"/>
      <c r="Y562" s="286"/>
      <c r="Z562" s="286"/>
      <c r="AA562" s="286"/>
      <c r="AB562" s="286"/>
      <c r="AC562" s="286"/>
      <c r="AD562" s="286"/>
      <c r="AE562" s="286"/>
      <c r="AF562" s="286"/>
      <c r="AG562" s="286"/>
      <c r="AH562" s="286"/>
      <c r="AI562" s="286"/>
      <c r="AJ562" s="286"/>
      <c r="AK562" s="286"/>
      <c r="AL562" s="286"/>
      <c r="AM562" s="286"/>
      <c r="AN562" s="286"/>
      <c r="AO562" s="286"/>
      <c r="AP562" s="286"/>
      <c r="AQ562" s="286"/>
      <c r="AR562" s="286"/>
      <c r="AS562" s="286"/>
      <c r="AT562" s="286"/>
      <c r="AU562" s="286"/>
      <c r="AV562" s="286"/>
      <c r="AW562" s="286"/>
      <c r="AX562" s="286"/>
      <c r="AY562" s="286"/>
      <c r="AZ562" s="286"/>
      <c r="BA562" s="286"/>
      <c r="BB562" s="286"/>
      <c r="BC562" s="286"/>
      <c r="BD562" s="286"/>
      <c r="BE562" s="286"/>
      <c r="BF562" s="286"/>
      <c r="BG562" s="286"/>
      <c r="BH562" s="286"/>
      <c r="BI562" s="286"/>
      <c r="BJ562" s="286"/>
      <c r="BK562" s="286"/>
      <c r="BL562" s="286"/>
      <c r="BM562" s="286"/>
      <c r="BN562" s="286"/>
      <c r="BO562" s="286"/>
      <c r="BP562" s="286"/>
      <c r="BQ562" s="286"/>
      <c r="BR562" s="286"/>
      <c r="BS562" s="286"/>
      <c r="BT562" s="286"/>
      <c r="BU562" s="286"/>
      <c r="BV562" s="286"/>
      <c r="BW562" s="286"/>
      <c r="BX562" s="286"/>
      <c r="BY562" s="286"/>
      <c r="BZ562" s="286"/>
      <c r="CA562" s="286"/>
      <c r="CB562" s="286"/>
      <c r="CC562" s="286"/>
      <c r="CD562" s="286"/>
      <c r="CE562" s="286"/>
      <c r="CF562" s="286"/>
      <c r="CG562" s="286"/>
      <c r="CH562" s="286"/>
      <c r="CI562" s="286"/>
      <c r="CJ562" s="286"/>
      <c r="CK562" s="286"/>
      <c r="CL562" s="286"/>
      <c r="CM562" s="286"/>
      <c r="CN562" s="286"/>
      <c r="CO562" s="286"/>
      <c r="CP562" s="286"/>
      <c r="CQ562" s="286"/>
      <c r="CR562" s="286"/>
      <c r="CS562" s="286"/>
      <c r="CT562" s="286"/>
      <c r="CU562" s="286"/>
      <c r="CV562" s="286"/>
      <c r="CW562" s="286"/>
      <c r="CX562" s="286"/>
      <c r="CY562" s="286"/>
      <c r="CZ562" s="286"/>
      <c r="DA562" s="286"/>
      <c r="DB562" s="286"/>
      <c r="DC562" s="286"/>
      <c r="DD562" s="286"/>
      <c r="DE562" s="286"/>
      <c r="DF562" s="286"/>
      <c r="DG562" s="286"/>
      <c r="DH562" s="286"/>
      <c r="DI562" s="286"/>
      <c r="DJ562" s="286"/>
      <c r="DK562" s="286"/>
      <c r="DL562" s="286"/>
      <c r="DM562" s="286"/>
      <c r="DN562" s="286"/>
      <c r="DO562" s="286"/>
      <c r="DP562" s="286"/>
      <c r="DQ562" s="286"/>
      <c r="DR562" s="286"/>
      <c r="DS562" s="286"/>
      <c r="DT562" s="286"/>
      <c r="DU562" s="286"/>
      <c r="DV562" s="286"/>
      <c r="DW562" s="286"/>
      <c r="DX562" s="286"/>
      <c r="DY562" s="286"/>
      <c r="DZ562" s="286"/>
      <c r="EA562" s="286"/>
      <c r="EB562" s="286"/>
      <c r="EC562" s="286"/>
      <c r="ED562" s="286"/>
      <c r="EE562" s="286"/>
      <c r="EF562" s="286"/>
      <c r="EG562" s="286"/>
      <c r="EH562" s="286"/>
      <c r="EI562" s="286"/>
      <c r="EJ562" s="286"/>
      <c r="EK562" s="286"/>
      <c r="EL562" s="286"/>
      <c r="EM562" s="286"/>
      <c r="EN562" s="286"/>
      <c r="EO562" s="286"/>
      <c r="EP562" s="286"/>
      <c r="EQ562" s="286"/>
      <c r="ER562" s="286"/>
      <c r="ES562" s="286"/>
      <c r="ET562" s="286"/>
      <c r="EU562" s="286"/>
      <c r="EV562" s="286"/>
      <c r="EW562" s="286"/>
      <c r="EX562" s="286"/>
      <c r="EY562" s="286"/>
      <c r="EZ562" s="286"/>
      <c r="FA562" s="286"/>
      <c r="FB562" s="286"/>
      <c r="FC562" s="286"/>
      <c r="FD562" s="286"/>
      <c r="FE562" s="286"/>
      <c r="FF562" s="286"/>
      <c r="FG562" s="286"/>
      <c r="FH562" s="286"/>
      <c r="FI562" s="286"/>
      <c r="FJ562" s="286"/>
      <c r="FK562" s="286"/>
      <c r="FL562" s="286"/>
      <c r="FM562" s="286"/>
      <c r="FN562" s="286"/>
      <c r="FO562" s="286"/>
      <c r="FP562" s="286"/>
      <c r="FQ562" s="286"/>
      <c r="FR562" s="286"/>
      <c r="FS562" s="286"/>
    </row>
    <row r="563" spans="1:175">
      <c r="A563" s="212" t="s">
        <v>3159</v>
      </c>
      <c r="B563" s="212" t="s">
        <v>3160</v>
      </c>
      <c r="C563" s="212" t="s">
        <v>3172</v>
      </c>
      <c r="D563" s="212" t="s">
        <v>3738</v>
      </c>
      <c r="E563" s="212" t="s">
        <v>3741</v>
      </c>
      <c r="F563" s="278">
        <v>322</v>
      </c>
      <c r="G563" s="278">
        <v>7161</v>
      </c>
      <c r="H563" s="287">
        <f t="shared" si="8"/>
        <v>0.36307778243262112</v>
      </c>
      <c r="I563" s="286">
        <v>5</v>
      </c>
      <c r="J563" s="286">
        <v>26</v>
      </c>
      <c r="K563" s="286">
        <v>18</v>
      </c>
      <c r="L563" s="286">
        <v>8</v>
      </c>
      <c r="M563" s="286">
        <v>20</v>
      </c>
      <c r="N563" s="286">
        <v>14</v>
      </c>
      <c r="O563" s="286">
        <v>6</v>
      </c>
      <c r="P563" s="286">
        <v>5</v>
      </c>
      <c r="Q563" s="286">
        <v>26</v>
      </c>
      <c r="R563" s="286">
        <v>18</v>
      </c>
      <c r="S563" s="286">
        <v>8</v>
      </c>
      <c r="T563" s="286">
        <v>20</v>
      </c>
      <c r="U563" s="286">
        <v>14</v>
      </c>
      <c r="V563" s="286">
        <v>6</v>
      </c>
      <c r="W563" s="286"/>
      <c r="X563" s="286"/>
      <c r="Y563" s="286"/>
      <c r="Z563" s="286"/>
      <c r="AA563" s="286"/>
      <c r="AB563" s="286"/>
      <c r="AC563" s="286"/>
      <c r="AD563" s="286"/>
      <c r="AE563" s="286"/>
      <c r="AF563" s="286"/>
      <c r="AG563" s="286"/>
      <c r="AH563" s="286"/>
      <c r="AI563" s="286"/>
      <c r="AJ563" s="286"/>
      <c r="AK563" s="286"/>
      <c r="AL563" s="286"/>
      <c r="AM563" s="286"/>
      <c r="AN563" s="286"/>
      <c r="AO563" s="286"/>
      <c r="AP563" s="286"/>
      <c r="AQ563" s="286"/>
      <c r="AR563" s="286"/>
      <c r="AS563" s="286"/>
      <c r="AT563" s="286"/>
      <c r="AU563" s="286"/>
      <c r="AV563" s="286"/>
      <c r="AW563" s="286"/>
      <c r="AX563" s="286"/>
      <c r="AY563" s="286"/>
      <c r="AZ563" s="286"/>
      <c r="BA563" s="286"/>
      <c r="BB563" s="286"/>
      <c r="BC563" s="286"/>
      <c r="BD563" s="286"/>
      <c r="BE563" s="286"/>
      <c r="BF563" s="286"/>
      <c r="BG563" s="286"/>
      <c r="BH563" s="286"/>
      <c r="BI563" s="286"/>
      <c r="BJ563" s="286"/>
      <c r="BK563" s="286"/>
      <c r="BL563" s="286"/>
      <c r="BM563" s="286"/>
      <c r="BN563" s="286"/>
      <c r="BO563" s="286"/>
      <c r="BP563" s="286"/>
      <c r="BQ563" s="286"/>
      <c r="BR563" s="286"/>
      <c r="BS563" s="286"/>
      <c r="BT563" s="286"/>
      <c r="BU563" s="286"/>
      <c r="BV563" s="286"/>
      <c r="BW563" s="286"/>
      <c r="BX563" s="286"/>
      <c r="BY563" s="286"/>
      <c r="BZ563" s="286"/>
      <c r="CA563" s="286"/>
      <c r="CB563" s="286"/>
      <c r="CC563" s="286"/>
      <c r="CD563" s="286"/>
      <c r="CE563" s="286"/>
      <c r="CF563" s="286"/>
      <c r="CG563" s="286"/>
      <c r="CH563" s="286"/>
      <c r="CI563" s="286"/>
      <c r="CJ563" s="286"/>
      <c r="CK563" s="286"/>
      <c r="CL563" s="286"/>
      <c r="CM563" s="286"/>
      <c r="CN563" s="286"/>
      <c r="CO563" s="286"/>
      <c r="CP563" s="286"/>
      <c r="CQ563" s="286"/>
      <c r="CR563" s="286"/>
      <c r="CS563" s="286"/>
      <c r="CT563" s="286"/>
      <c r="CU563" s="286"/>
      <c r="CV563" s="286"/>
      <c r="CW563" s="286"/>
      <c r="CX563" s="286"/>
      <c r="CY563" s="286"/>
      <c r="CZ563" s="286"/>
      <c r="DA563" s="286"/>
      <c r="DB563" s="286"/>
      <c r="DC563" s="286"/>
      <c r="DD563" s="286"/>
      <c r="DE563" s="286"/>
      <c r="DF563" s="286"/>
      <c r="DG563" s="286"/>
      <c r="DH563" s="286"/>
      <c r="DI563" s="286"/>
      <c r="DJ563" s="286"/>
      <c r="DK563" s="286"/>
      <c r="DL563" s="286"/>
      <c r="DM563" s="286"/>
      <c r="DN563" s="286"/>
      <c r="DO563" s="286"/>
      <c r="DP563" s="286"/>
      <c r="DQ563" s="286"/>
      <c r="DR563" s="286"/>
      <c r="DS563" s="286"/>
      <c r="DT563" s="286"/>
      <c r="DU563" s="286"/>
      <c r="DV563" s="286"/>
      <c r="DW563" s="286"/>
      <c r="DX563" s="286"/>
      <c r="DY563" s="286"/>
      <c r="DZ563" s="286"/>
      <c r="EA563" s="286"/>
      <c r="EB563" s="286"/>
      <c r="EC563" s="286"/>
      <c r="ED563" s="286"/>
      <c r="EE563" s="286"/>
      <c r="EF563" s="286"/>
      <c r="EG563" s="286"/>
      <c r="EH563" s="286"/>
      <c r="EI563" s="286"/>
      <c r="EJ563" s="286"/>
      <c r="EK563" s="286"/>
      <c r="EL563" s="286"/>
      <c r="EM563" s="286"/>
      <c r="EN563" s="286"/>
      <c r="EO563" s="286"/>
      <c r="EP563" s="286"/>
      <c r="EQ563" s="286"/>
      <c r="ER563" s="286"/>
      <c r="ES563" s="286"/>
      <c r="ET563" s="286"/>
      <c r="EU563" s="286"/>
      <c r="EV563" s="286"/>
      <c r="EW563" s="286"/>
      <c r="EX563" s="286"/>
      <c r="EY563" s="286"/>
      <c r="EZ563" s="286"/>
      <c r="FA563" s="286"/>
      <c r="FB563" s="286"/>
      <c r="FC563" s="286"/>
      <c r="FD563" s="286"/>
      <c r="FE563" s="286"/>
      <c r="FF563" s="286"/>
      <c r="FG563" s="286"/>
      <c r="FH563" s="286"/>
      <c r="FI563" s="286"/>
      <c r="FJ563" s="286"/>
      <c r="FK563" s="286"/>
      <c r="FL563" s="286"/>
      <c r="FM563" s="286"/>
      <c r="FN563" s="286"/>
      <c r="FO563" s="286"/>
      <c r="FP563" s="286"/>
      <c r="FQ563" s="286"/>
      <c r="FR563" s="286"/>
      <c r="FS563" s="286"/>
    </row>
    <row r="564" spans="1:175">
      <c r="A564" s="212" t="s">
        <v>3159</v>
      </c>
      <c r="B564" s="212" t="s">
        <v>3160</v>
      </c>
      <c r="C564" s="212" t="s">
        <v>3172</v>
      </c>
      <c r="D564" s="212" t="s">
        <v>3738</v>
      </c>
      <c r="E564" s="212" t="s">
        <v>3742</v>
      </c>
      <c r="F564" s="278">
        <v>34797</v>
      </c>
      <c r="G564" s="278">
        <v>559629</v>
      </c>
      <c r="H564" s="287">
        <f t="shared" si="8"/>
        <v>3.6958413520385829</v>
      </c>
      <c r="I564" s="286">
        <v>1099</v>
      </c>
      <c r="J564" s="286">
        <v>20683</v>
      </c>
      <c r="K564" s="286">
        <v>8718</v>
      </c>
      <c r="L564" s="286">
        <v>11947</v>
      </c>
      <c r="M564" s="286">
        <v>17929</v>
      </c>
      <c r="N564" s="286">
        <v>7407</v>
      </c>
      <c r="O564" s="286">
        <v>10504</v>
      </c>
      <c r="P564" s="286">
        <v>1097</v>
      </c>
      <c r="Q564" s="286">
        <v>20666</v>
      </c>
      <c r="R564" s="286">
        <v>8710</v>
      </c>
      <c r="S564" s="286">
        <v>11938</v>
      </c>
      <c r="T564" s="286">
        <v>17912</v>
      </c>
      <c r="U564" s="286">
        <v>7399</v>
      </c>
      <c r="V564" s="286">
        <v>10495</v>
      </c>
      <c r="W564" s="286"/>
      <c r="X564" s="286"/>
      <c r="Y564" s="286"/>
      <c r="Z564" s="286"/>
      <c r="AA564" s="286"/>
      <c r="AB564" s="286"/>
      <c r="AC564" s="286"/>
      <c r="AD564" s="286"/>
      <c r="AE564" s="286"/>
      <c r="AF564" s="286"/>
      <c r="AG564" s="286"/>
      <c r="AH564" s="286"/>
      <c r="AI564" s="286"/>
      <c r="AJ564" s="286"/>
      <c r="AK564" s="286"/>
      <c r="AL564" s="286"/>
      <c r="AM564" s="286"/>
      <c r="AN564" s="286"/>
      <c r="AO564" s="286"/>
      <c r="AP564" s="286"/>
      <c r="AQ564" s="286"/>
      <c r="AR564" s="286"/>
      <c r="AS564" s="286"/>
      <c r="AT564" s="286"/>
      <c r="AU564" s="286"/>
      <c r="AV564" s="286"/>
      <c r="AW564" s="286"/>
      <c r="AX564" s="286"/>
      <c r="AY564" s="286"/>
      <c r="AZ564" s="286"/>
      <c r="BA564" s="286"/>
      <c r="BB564" s="286"/>
      <c r="BC564" s="286"/>
      <c r="BD564" s="286"/>
      <c r="BE564" s="286"/>
      <c r="BF564" s="286"/>
      <c r="BG564" s="286"/>
      <c r="BH564" s="286"/>
      <c r="BI564" s="286"/>
      <c r="BJ564" s="286"/>
      <c r="BK564" s="286"/>
      <c r="BL564" s="286"/>
      <c r="BM564" s="286"/>
      <c r="BN564" s="286"/>
      <c r="BO564" s="286"/>
      <c r="BP564" s="286"/>
      <c r="BQ564" s="286"/>
      <c r="BR564" s="286"/>
      <c r="BS564" s="286"/>
      <c r="BT564" s="286"/>
      <c r="BU564" s="286"/>
      <c r="BV564" s="286"/>
      <c r="BW564" s="286"/>
      <c r="BX564" s="286"/>
      <c r="BY564" s="286"/>
      <c r="BZ564" s="286"/>
      <c r="CA564" s="286"/>
      <c r="CB564" s="286"/>
      <c r="CC564" s="286"/>
      <c r="CD564" s="286"/>
      <c r="CE564" s="286"/>
      <c r="CF564" s="286"/>
      <c r="CG564" s="286"/>
      <c r="CH564" s="286"/>
      <c r="CI564" s="286"/>
      <c r="CJ564" s="286"/>
      <c r="CK564" s="286"/>
      <c r="CL564" s="286"/>
      <c r="CM564" s="286"/>
      <c r="CN564" s="286"/>
      <c r="CO564" s="286"/>
      <c r="CP564" s="286"/>
      <c r="CQ564" s="286"/>
      <c r="CR564" s="286"/>
      <c r="CS564" s="286"/>
      <c r="CT564" s="286"/>
      <c r="CU564" s="286"/>
      <c r="CV564" s="286"/>
      <c r="CW564" s="286"/>
      <c r="CX564" s="286"/>
      <c r="CY564" s="286"/>
      <c r="CZ564" s="286"/>
      <c r="DA564" s="286"/>
      <c r="DB564" s="286"/>
      <c r="DC564" s="286"/>
      <c r="DD564" s="286"/>
      <c r="DE564" s="286"/>
      <c r="DF564" s="286"/>
      <c r="DG564" s="286"/>
      <c r="DH564" s="286"/>
      <c r="DI564" s="286"/>
      <c r="DJ564" s="286"/>
      <c r="DK564" s="286"/>
      <c r="DL564" s="286"/>
      <c r="DM564" s="286"/>
      <c r="DN564" s="286"/>
      <c r="DO564" s="286"/>
      <c r="DP564" s="286"/>
      <c r="DQ564" s="286"/>
      <c r="DR564" s="286"/>
      <c r="DS564" s="286"/>
      <c r="DT564" s="286"/>
      <c r="DU564" s="286"/>
      <c r="DV564" s="286"/>
      <c r="DW564" s="286"/>
      <c r="DX564" s="286"/>
      <c r="DY564" s="286"/>
      <c r="DZ564" s="286"/>
      <c r="EA564" s="286"/>
      <c r="EB564" s="286"/>
      <c r="EC564" s="286"/>
      <c r="ED564" s="286"/>
      <c r="EE564" s="286"/>
      <c r="EF564" s="286"/>
      <c r="EG564" s="286"/>
      <c r="EH564" s="286"/>
      <c r="EI564" s="286"/>
      <c r="EJ564" s="286"/>
      <c r="EK564" s="286"/>
      <c r="EL564" s="286"/>
      <c r="EM564" s="286"/>
      <c r="EN564" s="286"/>
      <c r="EO564" s="286"/>
      <c r="EP564" s="286"/>
      <c r="EQ564" s="286"/>
      <c r="ER564" s="286"/>
      <c r="ES564" s="286"/>
      <c r="ET564" s="286"/>
      <c r="EU564" s="286"/>
      <c r="EV564" s="286"/>
      <c r="EW564" s="286"/>
      <c r="EX564" s="286"/>
      <c r="EY564" s="286"/>
      <c r="EZ564" s="286"/>
      <c r="FA564" s="286"/>
      <c r="FB564" s="286"/>
      <c r="FC564" s="286"/>
      <c r="FD564" s="286"/>
      <c r="FE564" s="286"/>
      <c r="FF564" s="286"/>
      <c r="FG564" s="286"/>
      <c r="FH564" s="286"/>
      <c r="FI564" s="286"/>
      <c r="FJ564" s="286"/>
      <c r="FK564" s="286"/>
      <c r="FL564" s="286"/>
      <c r="FM564" s="286"/>
      <c r="FN564" s="286"/>
      <c r="FO564" s="286"/>
      <c r="FP564" s="286"/>
      <c r="FQ564" s="286"/>
      <c r="FR564" s="286"/>
      <c r="FS564" s="286"/>
    </row>
    <row r="565" spans="1:175">
      <c r="A565" s="212" t="s">
        <v>3159</v>
      </c>
      <c r="B565" s="212" t="s">
        <v>3160</v>
      </c>
      <c r="C565" s="212" t="s">
        <v>3172</v>
      </c>
      <c r="D565" s="212" t="s">
        <v>3738</v>
      </c>
      <c r="E565" s="212" t="s">
        <v>3743</v>
      </c>
      <c r="F565" s="278">
        <v>3269</v>
      </c>
      <c r="G565" s="278">
        <v>13221</v>
      </c>
      <c r="H565" s="287">
        <f t="shared" si="8"/>
        <v>3.2826563800015127</v>
      </c>
      <c r="I565" s="286">
        <v>65</v>
      </c>
      <c r="J565" s="286">
        <v>434</v>
      </c>
      <c r="K565" s="286">
        <v>192</v>
      </c>
      <c r="L565" s="286">
        <v>242</v>
      </c>
      <c r="M565" s="286">
        <v>283</v>
      </c>
      <c r="N565" s="286">
        <v>135</v>
      </c>
      <c r="O565" s="286">
        <v>148</v>
      </c>
      <c r="P565" s="286">
        <v>64</v>
      </c>
      <c r="Q565" s="286">
        <v>432</v>
      </c>
      <c r="R565" s="286">
        <v>192</v>
      </c>
      <c r="S565" s="286">
        <v>240</v>
      </c>
      <c r="T565" s="286">
        <v>281</v>
      </c>
      <c r="U565" s="286">
        <v>135</v>
      </c>
      <c r="V565" s="286">
        <v>146</v>
      </c>
      <c r="W565" s="286"/>
      <c r="X565" s="286"/>
      <c r="Y565" s="286"/>
      <c r="Z565" s="286"/>
      <c r="AA565" s="286"/>
      <c r="AB565" s="286"/>
      <c r="AC565" s="286"/>
      <c r="AD565" s="286"/>
      <c r="AE565" s="286"/>
      <c r="AF565" s="286"/>
      <c r="AG565" s="286"/>
      <c r="AH565" s="286"/>
      <c r="AI565" s="286"/>
      <c r="AJ565" s="286"/>
      <c r="AK565" s="286"/>
      <c r="AL565" s="286"/>
      <c r="AM565" s="286"/>
      <c r="AN565" s="286"/>
      <c r="AO565" s="286"/>
      <c r="AP565" s="286"/>
      <c r="AQ565" s="286"/>
      <c r="AR565" s="286"/>
      <c r="AS565" s="286"/>
      <c r="AT565" s="286"/>
      <c r="AU565" s="286"/>
      <c r="AV565" s="286"/>
      <c r="AW565" s="286"/>
      <c r="AX565" s="286"/>
      <c r="AY565" s="286"/>
      <c r="AZ565" s="286"/>
      <c r="BA565" s="286"/>
      <c r="BB565" s="286"/>
      <c r="BC565" s="286"/>
      <c r="BD565" s="286"/>
      <c r="BE565" s="286"/>
      <c r="BF565" s="286"/>
      <c r="BG565" s="286"/>
      <c r="BH565" s="286"/>
      <c r="BI565" s="286"/>
      <c r="BJ565" s="286"/>
      <c r="BK565" s="286"/>
      <c r="BL565" s="286"/>
      <c r="BM565" s="286"/>
      <c r="BN565" s="286"/>
      <c r="BO565" s="286"/>
      <c r="BP565" s="286"/>
      <c r="BQ565" s="286"/>
      <c r="BR565" s="286"/>
      <c r="BS565" s="286"/>
      <c r="BT565" s="286"/>
      <c r="BU565" s="286"/>
      <c r="BV565" s="286"/>
      <c r="BW565" s="286"/>
      <c r="BX565" s="286"/>
      <c r="BY565" s="286"/>
      <c r="BZ565" s="286"/>
      <c r="CA565" s="286"/>
      <c r="CB565" s="286"/>
      <c r="CC565" s="286"/>
      <c r="CD565" s="286"/>
      <c r="CE565" s="286"/>
      <c r="CF565" s="286"/>
      <c r="CG565" s="286"/>
      <c r="CH565" s="286"/>
      <c r="CI565" s="286"/>
      <c r="CJ565" s="286"/>
      <c r="CK565" s="286"/>
      <c r="CL565" s="286"/>
      <c r="CM565" s="286"/>
      <c r="CN565" s="286"/>
      <c r="CO565" s="286"/>
      <c r="CP565" s="286"/>
      <c r="CQ565" s="286"/>
      <c r="CR565" s="286"/>
      <c r="CS565" s="286"/>
      <c r="CT565" s="286"/>
      <c r="CU565" s="286"/>
      <c r="CV565" s="286"/>
      <c r="CW565" s="286"/>
      <c r="CX565" s="286"/>
      <c r="CY565" s="286"/>
      <c r="CZ565" s="286"/>
      <c r="DA565" s="286"/>
      <c r="DB565" s="286"/>
      <c r="DC565" s="286"/>
      <c r="DD565" s="286"/>
      <c r="DE565" s="286"/>
      <c r="DF565" s="286"/>
      <c r="DG565" s="286"/>
      <c r="DH565" s="286"/>
      <c r="DI565" s="286"/>
      <c r="DJ565" s="286"/>
      <c r="DK565" s="286"/>
      <c r="DL565" s="286"/>
      <c r="DM565" s="286"/>
      <c r="DN565" s="286"/>
      <c r="DO565" s="286"/>
      <c r="DP565" s="286"/>
      <c r="DQ565" s="286"/>
      <c r="DR565" s="286"/>
      <c r="DS565" s="286"/>
      <c r="DT565" s="286"/>
      <c r="DU565" s="286"/>
      <c r="DV565" s="286"/>
      <c r="DW565" s="286"/>
      <c r="DX565" s="286"/>
      <c r="DY565" s="286"/>
      <c r="DZ565" s="286"/>
      <c r="EA565" s="286"/>
      <c r="EB565" s="286"/>
      <c r="EC565" s="286"/>
      <c r="ED565" s="286"/>
      <c r="EE565" s="286"/>
      <c r="EF565" s="286"/>
      <c r="EG565" s="286"/>
      <c r="EH565" s="286"/>
      <c r="EI565" s="286"/>
      <c r="EJ565" s="286"/>
      <c r="EK565" s="286"/>
      <c r="EL565" s="286"/>
      <c r="EM565" s="286"/>
      <c r="EN565" s="286"/>
      <c r="EO565" s="286"/>
      <c r="EP565" s="286"/>
      <c r="EQ565" s="286"/>
      <c r="ER565" s="286"/>
      <c r="ES565" s="286"/>
      <c r="ET565" s="286"/>
      <c r="EU565" s="286"/>
      <c r="EV565" s="286"/>
      <c r="EW565" s="286"/>
      <c r="EX565" s="286"/>
      <c r="EY565" s="286"/>
      <c r="EZ565" s="286"/>
      <c r="FA565" s="286"/>
      <c r="FB565" s="286"/>
      <c r="FC565" s="286"/>
      <c r="FD565" s="286"/>
      <c r="FE565" s="286"/>
      <c r="FF565" s="286"/>
      <c r="FG565" s="286"/>
      <c r="FH565" s="286"/>
      <c r="FI565" s="286"/>
      <c r="FJ565" s="286"/>
      <c r="FK565" s="286"/>
      <c r="FL565" s="286"/>
      <c r="FM565" s="286"/>
      <c r="FN565" s="286"/>
      <c r="FO565" s="286"/>
      <c r="FP565" s="286"/>
      <c r="FQ565" s="286"/>
      <c r="FR565" s="286"/>
      <c r="FS565" s="286"/>
    </row>
    <row r="566" spans="1:175">
      <c r="A566" s="212" t="s">
        <v>3159</v>
      </c>
      <c r="B566" s="212" t="s">
        <v>3160</v>
      </c>
      <c r="C566" s="212" t="s">
        <v>3172</v>
      </c>
      <c r="D566" s="212" t="s">
        <v>3738</v>
      </c>
      <c r="E566" s="212" t="s">
        <v>3744</v>
      </c>
      <c r="F566" s="278">
        <v>774</v>
      </c>
      <c r="G566" s="278">
        <v>2349</v>
      </c>
      <c r="H566" s="287">
        <f t="shared" si="8"/>
        <v>0.9365687526607066</v>
      </c>
      <c r="I566" s="286">
        <v>8</v>
      </c>
      <c r="J566" s="286">
        <v>22</v>
      </c>
      <c r="K566" s="286">
        <v>7</v>
      </c>
      <c r="L566" s="286">
        <v>15</v>
      </c>
      <c r="M566" s="286">
        <v>9</v>
      </c>
      <c r="N566" s="286">
        <v>0</v>
      </c>
      <c r="O566" s="286">
        <v>9</v>
      </c>
      <c r="P566" s="286">
        <v>8</v>
      </c>
      <c r="Q566" s="286">
        <v>22</v>
      </c>
      <c r="R566" s="286">
        <v>7</v>
      </c>
      <c r="S566" s="286">
        <v>15</v>
      </c>
      <c r="T566" s="286">
        <v>9</v>
      </c>
      <c r="U566" s="286">
        <v>0</v>
      </c>
      <c r="V566" s="286">
        <v>9</v>
      </c>
      <c r="W566" s="286"/>
      <c r="X566" s="286"/>
      <c r="Y566" s="286"/>
      <c r="Z566" s="286"/>
      <c r="AA566" s="286"/>
      <c r="AB566" s="286"/>
      <c r="AC566" s="286"/>
      <c r="AD566" s="286"/>
      <c r="AE566" s="286"/>
      <c r="AF566" s="286"/>
      <c r="AG566" s="286"/>
      <c r="AH566" s="286"/>
      <c r="AI566" s="286"/>
      <c r="AJ566" s="286"/>
      <c r="AK566" s="286"/>
      <c r="AL566" s="286"/>
      <c r="AM566" s="286"/>
      <c r="AN566" s="286"/>
      <c r="AO566" s="286"/>
      <c r="AP566" s="286"/>
      <c r="AQ566" s="286"/>
      <c r="AR566" s="286"/>
      <c r="AS566" s="286"/>
      <c r="AT566" s="286"/>
      <c r="AU566" s="286"/>
      <c r="AV566" s="286"/>
      <c r="AW566" s="286"/>
      <c r="AX566" s="286"/>
      <c r="AY566" s="286"/>
      <c r="AZ566" s="286"/>
      <c r="BA566" s="286"/>
      <c r="BB566" s="286"/>
      <c r="BC566" s="286"/>
      <c r="BD566" s="286"/>
      <c r="BE566" s="286"/>
      <c r="BF566" s="286"/>
      <c r="BG566" s="286"/>
      <c r="BH566" s="286"/>
      <c r="BI566" s="286"/>
      <c r="BJ566" s="286"/>
      <c r="BK566" s="286"/>
      <c r="BL566" s="286"/>
      <c r="BM566" s="286"/>
      <c r="BN566" s="286"/>
      <c r="BO566" s="286"/>
      <c r="BP566" s="286"/>
      <c r="BQ566" s="286"/>
      <c r="BR566" s="286"/>
      <c r="BS566" s="286"/>
      <c r="BT566" s="286"/>
      <c r="BU566" s="286"/>
      <c r="BV566" s="286"/>
      <c r="BW566" s="286"/>
      <c r="BX566" s="286"/>
      <c r="BY566" s="286"/>
      <c r="BZ566" s="286"/>
      <c r="CA566" s="286"/>
      <c r="CB566" s="286"/>
      <c r="CC566" s="286"/>
      <c r="CD566" s="286"/>
      <c r="CE566" s="286"/>
      <c r="CF566" s="286"/>
      <c r="CG566" s="286"/>
      <c r="CH566" s="286"/>
      <c r="CI566" s="286"/>
      <c r="CJ566" s="286"/>
      <c r="CK566" s="286"/>
      <c r="CL566" s="286"/>
      <c r="CM566" s="286"/>
      <c r="CN566" s="286"/>
      <c r="CO566" s="286"/>
      <c r="CP566" s="286"/>
      <c r="CQ566" s="286"/>
      <c r="CR566" s="286"/>
      <c r="CS566" s="286"/>
      <c r="CT566" s="286"/>
      <c r="CU566" s="286"/>
      <c r="CV566" s="286"/>
      <c r="CW566" s="286"/>
      <c r="CX566" s="286"/>
      <c r="CY566" s="286"/>
      <c r="CZ566" s="286"/>
      <c r="DA566" s="286"/>
      <c r="DB566" s="286"/>
      <c r="DC566" s="286"/>
      <c r="DD566" s="286"/>
      <c r="DE566" s="286"/>
      <c r="DF566" s="286"/>
      <c r="DG566" s="286"/>
      <c r="DH566" s="286"/>
      <c r="DI566" s="286"/>
      <c r="DJ566" s="286"/>
      <c r="DK566" s="286"/>
      <c r="DL566" s="286"/>
      <c r="DM566" s="286"/>
      <c r="DN566" s="286"/>
      <c r="DO566" s="286"/>
      <c r="DP566" s="286"/>
      <c r="DQ566" s="286"/>
      <c r="DR566" s="286"/>
      <c r="DS566" s="286"/>
      <c r="DT566" s="286"/>
      <c r="DU566" s="286"/>
      <c r="DV566" s="286"/>
      <c r="DW566" s="286"/>
      <c r="DX566" s="286"/>
      <c r="DY566" s="286"/>
      <c r="DZ566" s="286"/>
      <c r="EA566" s="286"/>
      <c r="EB566" s="286"/>
      <c r="EC566" s="286"/>
      <c r="ED566" s="286"/>
      <c r="EE566" s="286"/>
      <c r="EF566" s="286"/>
      <c r="EG566" s="286"/>
      <c r="EH566" s="286"/>
      <c r="EI566" s="286"/>
      <c r="EJ566" s="286"/>
      <c r="EK566" s="286"/>
      <c r="EL566" s="286"/>
      <c r="EM566" s="286"/>
      <c r="EN566" s="286"/>
      <c r="EO566" s="286"/>
      <c r="EP566" s="286"/>
      <c r="EQ566" s="286"/>
      <c r="ER566" s="286"/>
      <c r="ES566" s="286"/>
      <c r="ET566" s="286"/>
      <c r="EU566" s="286"/>
      <c r="EV566" s="286"/>
      <c r="EW566" s="286"/>
      <c r="EX566" s="286"/>
      <c r="EY566" s="286"/>
      <c r="EZ566" s="286"/>
      <c r="FA566" s="286"/>
      <c r="FB566" s="286"/>
      <c r="FC566" s="286"/>
      <c r="FD566" s="286"/>
      <c r="FE566" s="286"/>
      <c r="FF566" s="286"/>
      <c r="FG566" s="286"/>
      <c r="FH566" s="286"/>
      <c r="FI566" s="286"/>
      <c r="FJ566" s="286"/>
      <c r="FK566" s="286"/>
      <c r="FL566" s="286"/>
      <c r="FM566" s="286"/>
      <c r="FN566" s="286"/>
      <c r="FO566" s="286"/>
      <c r="FP566" s="286"/>
      <c r="FQ566" s="286"/>
      <c r="FR566" s="286"/>
      <c r="FS566" s="286"/>
    </row>
    <row r="567" spans="1:175">
      <c r="A567" s="212" t="s">
        <v>3159</v>
      </c>
      <c r="B567" s="212" t="s">
        <v>3160</v>
      </c>
      <c r="C567" s="212" t="s">
        <v>3172</v>
      </c>
      <c r="D567" s="212" t="s">
        <v>3738</v>
      </c>
      <c r="E567" s="212" t="s">
        <v>3745</v>
      </c>
      <c r="F567" s="278">
        <v>6157</v>
      </c>
      <c r="G567" s="278">
        <v>45085</v>
      </c>
      <c r="H567" s="287">
        <f t="shared" si="8"/>
        <v>4.2297881778862152</v>
      </c>
      <c r="I567" s="286">
        <v>216</v>
      </c>
      <c r="J567" s="286">
        <v>1907</v>
      </c>
      <c r="K567" s="286">
        <v>855</v>
      </c>
      <c r="L567" s="286">
        <v>1043</v>
      </c>
      <c r="M567" s="286">
        <v>1692</v>
      </c>
      <c r="N567" s="286">
        <v>776</v>
      </c>
      <c r="O567" s="286">
        <v>907</v>
      </c>
      <c r="P567" s="286">
        <v>215</v>
      </c>
      <c r="Q567" s="286">
        <v>1900</v>
      </c>
      <c r="R567" s="286">
        <v>850</v>
      </c>
      <c r="S567" s="286">
        <v>1041</v>
      </c>
      <c r="T567" s="286">
        <v>1685</v>
      </c>
      <c r="U567" s="286">
        <v>771</v>
      </c>
      <c r="V567" s="286">
        <v>905</v>
      </c>
      <c r="W567" s="286"/>
      <c r="X567" s="286"/>
      <c r="Y567" s="286"/>
      <c r="Z567" s="286"/>
      <c r="AA567" s="286"/>
      <c r="AB567" s="286"/>
      <c r="AC567" s="286"/>
      <c r="AD567" s="286"/>
      <c r="AE567" s="286"/>
      <c r="AF567" s="286"/>
      <c r="AG567" s="286"/>
      <c r="AH567" s="286"/>
      <c r="AI567" s="286"/>
      <c r="AJ567" s="286"/>
      <c r="AK567" s="286"/>
      <c r="AL567" s="286"/>
      <c r="AM567" s="286"/>
      <c r="AN567" s="286"/>
      <c r="AO567" s="286"/>
      <c r="AP567" s="286"/>
      <c r="AQ567" s="286"/>
      <c r="AR567" s="286"/>
      <c r="AS567" s="286"/>
      <c r="AT567" s="286"/>
      <c r="AU567" s="286"/>
      <c r="AV567" s="286"/>
      <c r="AW567" s="286"/>
      <c r="AX567" s="286"/>
      <c r="AY567" s="286"/>
      <c r="AZ567" s="286"/>
      <c r="BA567" s="286"/>
      <c r="BB567" s="286"/>
      <c r="BC567" s="286"/>
      <c r="BD567" s="286"/>
      <c r="BE567" s="286"/>
      <c r="BF567" s="286"/>
      <c r="BG567" s="286"/>
      <c r="BH567" s="286"/>
      <c r="BI567" s="286"/>
      <c r="BJ567" s="286"/>
      <c r="BK567" s="286"/>
      <c r="BL567" s="286"/>
      <c r="BM567" s="286"/>
      <c r="BN567" s="286"/>
      <c r="BO567" s="286"/>
      <c r="BP567" s="286"/>
      <c r="BQ567" s="286"/>
      <c r="BR567" s="286"/>
      <c r="BS567" s="286"/>
      <c r="BT567" s="286"/>
      <c r="BU567" s="286"/>
      <c r="BV567" s="286"/>
      <c r="BW567" s="286"/>
      <c r="BX567" s="286"/>
      <c r="BY567" s="286"/>
      <c r="BZ567" s="286"/>
      <c r="CA567" s="286"/>
      <c r="CB567" s="286"/>
      <c r="CC567" s="286"/>
      <c r="CD567" s="286"/>
      <c r="CE567" s="286"/>
      <c r="CF567" s="286"/>
      <c r="CG567" s="286"/>
      <c r="CH567" s="286"/>
      <c r="CI567" s="286"/>
      <c r="CJ567" s="286"/>
      <c r="CK567" s="286"/>
      <c r="CL567" s="286"/>
      <c r="CM567" s="286"/>
      <c r="CN567" s="286"/>
      <c r="CO567" s="286"/>
      <c r="CP567" s="286"/>
      <c r="CQ567" s="286"/>
      <c r="CR567" s="286"/>
      <c r="CS567" s="286"/>
      <c r="CT567" s="286"/>
      <c r="CU567" s="286"/>
      <c r="CV567" s="286"/>
      <c r="CW567" s="286"/>
      <c r="CX567" s="286"/>
      <c r="CY567" s="286"/>
      <c r="CZ567" s="286"/>
      <c r="DA567" s="286"/>
      <c r="DB567" s="286"/>
      <c r="DC567" s="286"/>
      <c r="DD567" s="286"/>
      <c r="DE567" s="286"/>
      <c r="DF567" s="286"/>
      <c r="DG567" s="286"/>
      <c r="DH567" s="286"/>
      <c r="DI567" s="286"/>
      <c r="DJ567" s="286"/>
      <c r="DK567" s="286"/>
      <c r="DL567" s="286"/>
      <c r="DM567" s="286"/>
      <c r="DN567" s="286"/>
      <c r="DO567" s="286"/>
      <c r="DP567" s="286"/>
      <c r="DQ567" s="286"/>
      <c r="DR567" s="286"/>
      <c r="DS567" s="286"/>
      <c r="DT567" s="286"/>
      <c r="DU567" s="286"/>
      <c r="DV567" s="286"/>
      <c r="DW567" s="286"/>
      <c r="DX567" s="286"/>
      <c r="DY567" s="286"/>
      <c r="DZ567" s="286"/>
      <c r="EA567" s="286"/>
      <c r="EB567" s="286"/>
      <c r="EC567" s="286"/>
      <c r="ED567" s="286"/>
      <c r="EE567" s="286"/>
      <c r="EF567" s="286"/>
      <c r="EG567" s="286"/>
      <c r="EH567" s="286"/>
      <c r="EI567" s="286"/>
      <c r="EJ567" s="286"/>
      <c r="EK567" s="286"/>
      <c r="EL567" s="286"/>
      <c r="EM567" s="286"/>
      <c r="EN567" s="286"/>
      <c r="EO567" s="286"/>
      <c r="EP567" s="286"/>
      <c r="EQ567" s="286"/>
      <c r="ER567" s="286"/>
      <c r="ES567" s="286"/>
      <c r="ET567" s="286"/>
      <c r="EU567" s="286"/>
      <c r="EV567" s="286"/>
      <c r="EW567" s="286"/>
      <c r="EX567" s="286"/>
      <c r="EY567" s="286"/>
      <c r="EZ567" s="286"/>
      <c r="FA567" s="286"/>
      <c r="FB567" s="286"/>
      <c r="FC567" s="286"/>
      <c r="FD567" s="286"/>
      <c r="FE567" s="286"/>
      <c r="FF567" s="286"/>
      <c r="FG567" s="286"/>
      <c r="FH567" s="286"/>
      <c r="FI567" s="286"/>
      <c r="FJ567" s="286"/>
      <c r="FK567" s="286"/>
      <c r="FL567" s="286"/>
      <c r="FM567" s="286"/>
      <c r="FN567" s="286"/>
      <c r="FO567" s="286"/>
      <c r="FP567" s="286"/>
      <c r="FQ567" s="286"/>
      <c r="FR567" s="286"/>
      <c r="FS567" s="286"/>
    </row>
    <row r="568" spans="1:175">
      <c r="A568" s="212" t="s">
        <v>3159</v>
      </c>
      <c r="B568" s="212" t="s">
        <v>3160</v>
      </c>
      <c r="C568" s="212" t="s">
        <v>3432</v>
      </c>
      <c r="D568" s="212" t="s">
        <v>3738</v>
      </c>
      <c r="E568" s="212" t="s">
        <v>3746</v>
      </c>
      <c r="F568" s="278">
        <v>1150</v>
      </c>
      <c r="G568" s="278">
        <v>10288</v>
      </c>
      <c r="H568" s="287">
        <f t="shared" si="8"/>
        <v>2.1675738724727838</v>
      </c>
      <c r="I568" s="286">
        <v>31</v>
      </c>
      <c r="J568" s="286">
        <v>223</v>
      </c>
      <c r="K568" s="286">
        <v>89</v>
      </c>
      <c r="L568" s="286">
        <v>125</v>
      </c>
      <c r="M568" s="286">
        <v>220</v>
      </c>
      <c r="N568" s="286">
        <v>88</v>
      </c>
      <c r="O568" s="286">
        <v>123</v>
      </c>
      <c r="P568" s="286">
        <v>31</v>
      </c>
      <c r="Q568" s="286">
        <v>223</v>
      </c>
      <c r="R568" s="286">
        <v>89</v>
      </c>
      <c r="S568" s="286">
        <v>125</v>
      </c>
      <c r="T568" s="286">
        <v>220</v>
      </c>
      <c r="U568" s="286">
        <v>88</v>
      </c>
      <c r="V568" s="286">
        <v>123</v>
      </c>
      <c r="W568" s="286"/>
      <c r="X568" s="286"/>
      <c r="Y568" s="286"/>
      <c r="Z568" s="286"/>
      <c r="AA568" s="286"/>
      <c r="AB568" s="286"/>
      <c r="AC568" s="286"/>
      <c r="AD568" s="286"/>
      <c r="AE568" s="286"/>
      <c r="AF568" s="286"/>
      <c r="AG568" s="286"/>
      <c r="AH568" s="286"/>
      <c r="AI568" s="286"/>
      <c r="AJ568" s="286"/>
      <c r="AK568" s="286"/>
      <c r="AL568" s="286"/>
      <c r="AM568" s="286"/>
      <c r="AN568" s="286"/>
      <c r="AO568" s="286"/>
      <c r="AP568" s="286"/>
      <c r="AQ568" s="286"/>
      <c r="AR568" s="286"/>
      <c r="AS568" s="286"/>
      <c r="AT568" s="286"/>
      <c r="AU568" s="286"/>
      <c r="AV568" s="286"/>
      <c r="AW568" s="286"/>
      <c r="AX568" s="286"/>
      <c r="AY568" s="286"/>
      <c r="AZ568" s="286"/>
      <c r="BA568" s="286"/>
      <c r="BB568" s="286"/>
      <c r="BC568" s="286"/>
      <c r="BD568" s="286"/>
      <c r="BE568" s="286"/>
      <c r="BF568" s="286"/>
      <c r="BG568" s="286"/>
      <c r="BH568" s="286"/>
      <c r="BI568" s="286"/>
      <c r="BJ568" s="286"/>
      <c r="BK568" s="286"/>
      <c r="BL568" s="286"/>
      <c r="BM568" s="286"/>
      <c r="BN568" s="286"/>
      <c r="BO568" s="286"/>
      <c r="BP568" s="286"/>
      <c r="BQ568" s="286"/>
      <c r="BR568" s="286"/>
      <c r="BS568" s="286"/>
      <c r="BT568" s="286"/>
      <c r="BU568" s="286"/>
      <c r="BV568" s="286"/>
      <c r="BW568" s="286"/>
      <c r="BX568" s="286"/>
      <c r="BY568" s="286"/>
      <c r="BZ568" s="286"/>
      <c r="CA568" s="286"/>
      <c r="CB568" s="286"/>
      <c r="CC568" s="286"/>
      <c r="CD568" s="286"/>
      <c r="CE568" s="286"/>
      <c r="CF568" s="286"/>
      <c r="CG568" s="286"/>
      <c r="CH568" s="286"/>
      <c r="CI568" s="286"/>
      <c r="CJ568" s="286"/>
      <c r="CK568" s="286"/>
      <c r="CL568" s="286"/>
      <c r="CM568" s="286"/>
      <c r="CN568" s="286"/>
      <c r="CO568" s="286"/>
      <c r="CP568" s="286"/>
      <c r="CQ568" s="286"/>
      <c r="CR568" s="286"/>
      <c r="CS568" s="286"/>
      <c r="CT568" s="286"/>
      <c r="CU568" s="286"/>
      <c r="CV568" s="286"/>
      <c r="CW568" s="286"/>
      <c r="CX568" s="286"/>
      <c r="CY568" s="286"/>
      <c r="CZ568" s="286"/>
      <c r="DA568" s="286"/>
      <c r="DB568" s="286"/>
      <c r="DC568" s="286"/>
      <c r="DD568" s="286"/>
      <c r="DE568" s="286"/>
      <c r="DF568" s="286"/>
      <c r="DG568" s="286"/>
      <c r="DH568" s="286"/>
      <c r="DI568" s="286"/>
      <c r="DJ568" s="286"/>
      <c r="DK568" s="286"/>
      <c r="DL568" s="286"/>
      <c r="DM568" s="286"/>
      <c r="DN568" s="286"/>
      <c r="DO568" s="286"/>
      <c r="DP568" s="286"/>
      <c r="DQ568" s="286"/>
      <c r="DR568" s="286"/>
      <c r="DS568" s="286"/>
      <c r="DT568" s="286"/>
      <c r="DU568" s="286"/>
      <c r="DV568" s="286"/>
      <c r="DW568" s="286"/>
      <c r="DX568" s="286"/>
      <c r="DY568" s="286"/>
      <c r="DZ568" s="286"/>
      <c r="EA568" s="286"/>
      <c r="EB568" s="286"/>
      <c r="EC568" s="286"/>
      <c r="ED568" s="286"/>
      <c r="EE568" s="286"/>
      <c r="EF568" s="286"/>
      <c r="EG568" s="286"/>
      <c r="EH568" s="286"/>
      <c r="EI568" s="286"/>
      <c r="EJ568" s="286"/>
      <c r="EK568" s="286"/>
      <c r="EL568" s="286"/>
      <c r="EM568" s="286"/>
      <c r="EN568" s="286"/>
      <c r="EO568" s="286"/>
      <c r="EP568" s="286"/>
      <c r="EQ568" s="286"/>
      <c r="ER568" s="286"/>
      <c r="ES568" s="286"/>
      <c r="ET568" s="286"/>
      <c r="EU568" s="286"/>
      <c r="EV568" s="286"/>
      <c r="EW568" s="286"/>
      <c r="EX568" s="286"/>
      <c r="EY568" s="286"/>
      <c r="EZ568" s="286"/>
      <c r="FA568" s="286"/>
      <c r="FB568" s="286"/>
      <c r="FC568" s="286"/>
      <c r="FD568" s="286"/>
      <c r="FE568" s="286"/>
      <c r="FF568" s="286"/>
      <c r="FG568" s="286"/>
      <c r="FH568" s="286"/>
      <c r="FI568" s="286"/>
      <c r="FJ568" s="286"/>
      <c r="FK568" s="286"/>
      <c r="FL568" s="286"/>
      <c r="FM568" s="286"/>
      <c r="FN568" s="286"/>
      <c r="FO568" s="286"/>
      <c r="FP568" s="286"/>
      <c r="FQ568" s="286"/>
      <c r="FR568" s="286"/>
      <c r="FS568" s="286"/>
    </row>
    <row r="569" spans="1:175">
      <c r="A569" s="212" t="s">
        <v>3159</v>
      </c>
      <c r="B569" s="212" t="s">
        <v>3160</v>
      </c>
      <c r="C569" s="212" t="s">
        <v>3432</v>
      </c>
      <c r="D569" s="212" t="s">
        <v>3738</v>
      </c>
      <c r="E569" s="212" t="s">
        <v>3747</v>
      </c>
      <c r="F569" s="278">
        <v>5007</v>
      </c>
      <c r="G569" s="278">
        <v>34797</v>
      </c>
      <c r="H569" s="287">
        <f t="shared" si="8"/>
        <v>4.8394976578440669</v>
      </c>
      <c r="I569" s="286">
        <v>185</v>
      </c>
      <c r="J569" s="286">
        <v>1684</v>
      </c>
      <c r="K569" s="286">
        <v>766</v>
      </c>
      <c r="L569" s="286">
        <v>918</v>
      </c>
      <c r="M569" s="286">
        <v>1472</v>
      </c>
      <c r="N569" s="286">
        <v>688</v>
      </c>
      <c r="O569" s="286">
        <v>784</v>
      </c>
      <c r="P569" s="286">
        <v>184</v>
      </c>
      <c r="Q569" s="286">
        <v>1677</v>
      </c>
      <c r="R569" s="286">
        <v>761</v>
      </c>
      <c r="S569" s="286">
        <v>916</v>
      </c>
      <c r="T569" s="286">
        <v>1465</v>
      </c>
      <c r="U569" s="286">
        <v>683</v>
      </c>
      <c r="V569" s="286">
        <v>782</v>
      </c>
      <c r="W569" s="286"/>
      <c r="X569" s="286"/>
      <c r="Y569" s="286"/>
      <c r="Z569" s="286"/>
      <c r="AA569" s="286"/>
      <c r="AB569" s="286"/>
      <c r="AC569" s="286"/>
      <c r="AD569" s="286"/>
      <c r="AE569" s="286"/>
      <c r="AF569" s="286"/>
      <c r="AG569" s="286"/>
      <c r="AH569" s="286"/>
      <c r="AI569" s="286"/>
      <c r="AJ569" s="286"/>
      <c r="AK569" s="286"/>
      <c r="AL569" s="286"/>
      <c r="AM569" s="286"/>
      <c r="AN569" s="286"/>
      <c r="AO569" s="286"/>
      <c r="AP569" s="286"/>
      <c r="AQ569" s="286"/>
      <c r="AR569" s="286"/>
      <c r="AS569" s="286"/>
      <c r="AT569" s="286"/>
      <c r="AU569" s="286"/>
      <c r="AV569" s="286"/>
      <c r="AW569" s="286"/>
      <c r="AX569" s="286"/>
      <c r="AY569" s="286"/>
      <c r="AZ569" s="286"/>
      <c r="BA569" s="286"/>
      <c r="BB569" s="286"/>
      <c r="BC569" s="286"/>
      <c r="BD569" s="286"/>
      <c r="BE569" s="286"/>
      <c r="BF569" s="286"/>
      <c r="BG569" s="286"/>
      <c r="BH569" s="286"/>
      <c r="BI569" s="286"/>
      <c r="BJ569" s="286"/>
      <c r="BK569" s="286"/>
      <c r="BL569" s="286"/>
      <c r="BM569" s="286"/>
      <c r="BN569" s="286"/>
      <c r="BO569" s="286"/>
      <c r="BP569" s="286"/>
      <c r="BQ569" s="286"/>
      <c r="BR569" s="286"/>
      <c r="BS569" s="286"/>
      <c r="BT569" s="286"/>
      <c r="BU569" s="286"/>
      <c r="BV569" s="286"/>
      <c r="BW569" s="286"/>
      <c r="BX569" s="286"/>
      <c r="BY569" s="286"/>
      <c r="BZ569" s="286"/>
      <c r="CA569" s="286"/>
      <c r="CB569" s="286"/>
      <c r="CC569" s="286"/>
      <c r="CD569" s="286"/>
      <c r="CE569" s="286"/>
      <c r="CF569" s="286"/>
      <c r="CG569" s="286"/>
      <c r="CH569" s="286"/>
      <c r="CI569" s="286"/>
      <c r="CJ569" s="286"/>
      <c r="CK569" s="286"/>
      <c r="CL569" s="286"/>
      <c r="CM569" s="286"/>
      <c r="CN569" s="286"/>
      <c r="CO569" s="286"/>
      <c r="CP569" s="286"/>
      <c r="CQ569" s="286"/>
      <c r="CR569" s="286"/>
      <c r="CS569" s="286"/>
      <c r="CT569" s="286"/>
      <c r="CU569" s="286"/>
      <c r="CV569" s="286"/>
      <c r="CW569" s="286"/>
      <c r="CX569" s="286"/>
      <c r="CY569" s="286"/>
      <c r="CZ569" s="286"/>
      <c r="DA569" s="286"/>
      <c r="DB569" s="286"/>
      <c r="DC569" s="286"/>
      <c r="DD569" s="286"/>
      <c r="DE569" s="286"/>
      <c r="DF569" s="286"/>
      <c r="DG569" s="286"/>
      <c r="DH569" s="286"/>
      <c r="DI569" s="286"/>
      <c r="DJ569" s="286"/>
      <c r="DK569" s="286"/>
      <c r="DL569" s="286"/>
      <c r="DM569" s="286"/>
      <c r="DN569" s="286"/>
      <c r="DO569" s="286"/>
      <c r="DP569" s="286"/>
      <c r="DQ569" s="286"/>
      <c r="DR569" s="286"/>
      <c r="DS569" s="286"/>
      <c r="DT569" s="286"/>
      <c r="DU569" s="286"/>
      <c r="DV569" s="286"/>
      <c r="DW569" s="286"/>
      <c r="DX569" s="286"/>
      <c r="DY569" s="286"/>
      <c r="DZ569" s="286"/>
      <c r="EA569" s="286"/>
      <c r="EB569" s="286"/>
      <c r="EC569" s="286"/>
      <c r="ED569" s="286"/>
      <c r="EE569" s="286"/>
      <c r="EF569" s="286"/>
      <c r="EG569" s="286"/>
      <c r="EH569" s="286"/>
      <c r="EI569" s="286"/>
      <c r="EJ569" s="286"/>
      <c r="EK569" s="286"/>
      <c r="EL569" s="286"/>
      <c r="EM569" s="286"/>
      <c r="EN569" s="286"/>
      <c r="EO569" s="286"/>
      <c r="EP569" s="286"/>
      <c r="EQ569" s="286"/>
      <c r="ER569" s="286"/>
      <c r="ES569" s="286"/>
      <c r="ET569" s="286"/>
      <c r="EU569" s="286"/>
      <c r="EV569" s="286"/>
      <c r="EW569" s="286"/>
      <c r="EX569" s="286"/>
      <c r="EY569" s="286"/>
      <c r="EZ569" s="286"/>
      <c r="FA569" s="286"/>
      <c r="FB569" s="286"/>
      <c r="FC569" s="286"/>
      <c r="FD569" s="286"/>
      <c r="FE569" s="286"/>
      <c r="FF569" s="286"/>
      <c r="FG569" s="286"/>
      <c r="FH569" s="286"/>
      <c r="FI569" s="286"/>
      <c r="FJ569" s="286"/>
      <c r="FK569" s="286"/>
      <c r="FL569" s="286"/>
      <c r="FM569" s="286"/>
      <c r="FN569" s="286"/>
      <c r="FO569" s="286"/>
      <c r="FP569" s="286"/>
      <c r="FQ569" s="286"/>
      <c r="FR569" s="286"/>
      <c r="FS569" s="286"/>
    </row>
    <row r="570" spans="1:175">
      <c r="A570" s="212" t="s">
        <v>3159</v>
      </c>
      <c r="B570" s="212" t="s">
        <v>3160</v>
      </c>
      <c r="C570" s="212" t="s">
        <v>3459</v>
      </c>
      <c r="D570" s="212" t="s">
        <v>3748</v>
      </c>
      <c r="E570" s="212" t="s">
        <v>3749</v>
      </c>
      <c r="F570" s="278">
        <v>555973</v>
      </c>
      <c r="G570" s="278">
        <v>4074292</v>
      </c>
      <c r="H570" s="287">
        <f t="shared" si="8"/>
        <v>4.2210278497466547</v>
      </c>
      <c r="I570" s="286">
        <v>24279</v>
      </c>
      <c r="J570" s="286">
        <v>171977</v>
      </c>
      <c r="K570" s="286">
        <v>67352</v>
      </c>
      <c r="L570" s="286">
        <v>101927</v>
      </c>
      <c r="M570" s="286">
        <v>139329</v>
      </c>
      <c r="N570" s="286">
        <v>51601</v>
      </c>
      <c r="O570" s="286">
        <v>85044</v>
      </c>
      <c r="P570" s="286">
        <v>24228</v>
      </c>
      <c r="Q570" s="286">
        <v>171064</v>
      </c>
      <c r="R570" s="286">
        <v>67123</v>
      </c>
      <c r="S570" s="286">
        <v>101243</v>
      </c>
      <c r="T570" s="286">
        <v>138419</v>
      </c>
      <c r="U570" s="286">
        <v>51374</v>
      </c>
      <c r="V570" s="286">
        <v>84361</v>
      </c>
      <c r="W570" s="286"/>
      <c r="X570" s="286"/>
      <c r="Y570" s="286"/>
      <c r="Z570" s="286"/>
      <c r="AA570" s="286"/>
      <c r="AB570" s="286"/>
      <c r="AC570" s="286"/>
      <c r="AD570" s="286"/>
      <c r="AE570" s="286"/>
      <c r="AF570" s="286"/>
      <c r="AG570" s="286"/>
      <c r="AH570" s="286"/>
      <c r="AI570" s="286"/>
      <c r="AJ570" s="286"/>
      <c r="AK570" s="286"/>
      <c r="AL570" s="286"/>
      <c r="AM570" s="286"/>
      <c r="AN570" s="286"/>
      <c r="AO570" s="286"/>
      <c r="AP570" s="286"/>
      <c r="AQ570" s="286"/>
      <c r="AR570" s="286"/>
      <c r="AS570" s="286"/>
      <c r="AT570" s="286"/>
      <c r="AU570" s="286"/>
      <c r="AV570" s="286"/>
      <c r="AW570" s="286"/>
      <c r="AX570" s="286"/>
      <c r="AY570" s="286"/>
      <c r="AZ570" s="286"/>
      <c r="BA570" s="286"/>
      <c r="BB570" s="286"/>
      <c r="BC570" s="286"/>
      <c r="BD570" s="286"/>
      <c r="BE570" s="286"/>
      <c r="BF570" s="286"/>
      <c r="BG570" s="286"/>
      <c r="BH570" s="286"/>
      <c r="BI570" s="286"/>
      <c r="BJ570" s="286"/>
      <c r="BK570" s="286"/>
      <c r="BL570" s="286"/>
      <c r="BM570" s="286"/>
      <c r="BN570" s="286"/>
      <c r="BO570" s="286"/>
      <c r="BP570" s="286"/>
      <c r="BQ570" s="286"/>
      <c r="BR570" s="286"/>
      <c r="BS570" s="286"/>
      <c r="BT570" s="286"/>
      <c r="BU570" s="286"/>
      <c r="BV570" s="286"/>
      <c r="BW570" s="286"/>
      <c r="BX570" s="286"/>
      <c r="BY570" s="286"/>
      <c r="BZ570" s="286"/>
      <c r="CA570" s="286"/>
      <c r="CB570" s="286"/>
      <c r="CC570" s="286"/>
      <c r="CD570" s="286"/>
      <c r="CE570" s="286"/>
      <c r="CF570" s="286"/>
      <c r="CG570" s="286"/>
      <c r="CH570" s="286"/>
      <c r="CI570" s="286"/>
      <c r="CJ570" s="286"/>
      <c r="CK570" s="286"/>
      <c r="CL570" s="286"/>
      <c r="CM570" s="286"/>
      <c r="CN570" s="286"/>
      <c r="CO570" s="286"/>
      <c r="CP570" s="286"/>
      <c r="CQ570" s="286"/>
      <c r="CR570" s="286"/>
      <c r="CS570" s="286"/>
      <c r="CT570" s="286"/>
      <c r="CU570" s="286"/>
      <c r="CV570" s="286"/>
      <c r="CW570" s="286"/>
      <c r="CX570" s="286"/>
      <c r="CY570" s="286"/>
      <c r="CZ570" s="286"/>
      <c r="DA570" s="286"/>
      <c r="DB570" s="286"/>
      <c r="DC570" s="286"/>
      <c r="DD570" s="286"/>
      <c r="DE570" s="286"/>
      <c r="DF570" s="286"/>
      <c r="DG570" s="286"/>
      <c r="DH570" s="286"/>
      <c r="DI570" s="286"/>
      <c r="DJ570" s="286"/>
      <c r="DK570" s="286"/>
      <c r="DL570" s="286"/>
      <c r="DM570" s="286"/>
      <c r="DN570" s="286"/>
      <c r="DO570" s="286"/>
      <c r="DP570" s="286"/>
      <c r="DQ570" s="286"/>
      <c r="DR570" s="286"/>
      <c r="DS570" s="286"/>
      <c r="DT570" s="286"/>
      <c r="DU570" s="286"/>
      <c r="DV570" s="286"/>
      <c r="DW570" s="286"/>
      <c r="DX570" s="286"/>
      <c r="DY570" s="286"/>
      <c r="DZ570" s="286"/>
      <c r="EA570" s="286"/>
      <c r="EB570" s="286"/>
      <c r="EC570" s="286"/>
      <c r="ED570" s="286"/>
      <c r="EE570" s="286"/>
      <c r="EF570" s="286"/>
      <c r="EG570" s="286"/>
      <c r="EH570" s="286"/>
      <c r="EI570" s="286"/>
      <c r="EJ570" s="286"/>
      <c r="EK570" s="286"/>
      <c r="EL570" s="286"/>
      <c r="EM570" s="286"/>
      <c r="EN570" s="286"/>
      <c r="EO570" s="286"/>
      <c r="EP570" s="286"/>
      <c r="EQ570" s="286"/>
      <c r="ER570" s="286"/>
      <c r="ES570" s="286"/>
      <c r="ET570" s="286"/>
      <c r="EU570" s="286"/>
      <c r="EV570" s="286"/>
      <c r="EW570" s="286"/>
      <c r="EX570" s="286"/>
      <c r="EY570" s="286"/>
      <c r="EZ570" s="286"/>
      <c r="FA570" s="286"/>
      <c r="FB570" s="286"/>
      <c r="FC570" s="286"/>
      <c r="FD570" s="286"/>
      <c r="FE570" s="286"/>
      <c r="FF570" s="286"/>
      <c r="FG570" s="286"/>
      <c r="FH570" s="286"/>
      <c r="FI570" s="286"/>
      <c r="FJ570" s="286"/>
      <c r="FK570" s="286"/>
      <c r="FL570" s="286"/>
      <c r="FM570" s="286"/>
      <c r="FN570" s="286"/>
      <c r="FO570" s="286"/>
      <c r="FP570" s="286"/>
      <c r="FQ570" s="286"/>
      <c r="FR570" s="286"/>
      <c r="FS570" s="286"/>
    </row>
    <row r="571" spans="1:175">
      <c r="A571" s="212" t="s">
        <v>3159</v>
      </c>
      <c r="B571" s="212" t="s">
        <v>3160</v>
      </c>
      <c r="C571" s="212" t="s">
        <v>3170</v>
      </c>
      <c r="D571" s="212" t="s">
        <v>3748</v>
      </c>
      <c r="E571" s="212" t="s">
        <v>3750</v>
      </c>
      <c r="F571" s="278">
        <v>499193</v>
      </c>
      <c r="G571" s="278">
        <v>3489163</v>
      </c>
      <c r="H571" s="287">
        <f t="shared" si="8"/>
        <v>4.2702218268392729</v>
      </c>
      <c r="I571" s="286">
        <v>22055</v>
      </c>
      <c r="J571" s="286">
        <v>148995</v>
      </c>
      <c r="K571" s="286">
        <v>59806</v>
      </c>
      <c r="L571" s="286">
        <v>86554</v>
      </c>
      <c r="M571" s="286">
        <v>117683</v>
      </c>
      <c r="N571" s="286">
        <v>44840</v>
      </c>
      <c r="O571" s="286">
        <v>70220</v>
      </c>
      <c r="P571" s="286">
        <v>22055</v>
      </c>
      <c r="Q571" s="286">
        <v>148995</v>
      </c>
      <c r="R571" s="286">
        <v>59806</v>
      </c>
      <c r="S571" s="286">
        <v>86554</v>
      </c>
      <c r="T571" s="286">
        <v>117683</v>
      </c>
      <c r="U571" s="286">
        <v>44840</v>
      </c>
      <c r="V571" s="286">
        <v>70220</v>
      </c>
      <c r="W571" s="286"/>
      <c r="X571" s="286"/>
      <c r="Y571" s="286"/>
      <c r="Z571" s="286"/>
      <c r="AA571" s="286"/>
      <c r="AB571" s="286"/>
      <c r="AC571" s="286"/>
      <c r="AD571" s="286"/>
      <c r="AE571" s="286"/>
      <c r="AF571" s="286"/>
      <c r="AG571" s="286"/>
      <c r="AH571" s="286"/>
      <c r="AI571" s="286"/>
      <c r="AJ571" s="286"/>
      <c r="AK571" s="286"/>
      <c r="AL571" s="286"/>
      <c r="AM571" s="286"/>
      <c r="AN571" s="286"/>
      <c r="AO571" s="286"/>
      <c r="AP571" s="286"/>
      <c r="AQ571" s="286"/>
      <c r="AR571" s="286"/>
      <c r="AS571" s="286"/>
      <c r="AT571" s="286"/>
      <c r="AU571" s="286"/>
      <c r="AV571" s="286"/>
      <c r="AW571" s="286"/>
      <c r="AX571" s="286"/>
      <c r="AY571" s="286"/>
      <c r="AZ571" s="286"/>
      <c r="BA571" s="286"/>
      <c r="BB571" s="286"/>
      <c r="BC571" s="286"/>
      <c r="BD571" s="286"/>
      <c r="BE571" s="286"/>
      <c r="BF571" s="286"/>
      <c r="BG571" s="286"/>
      <c r="BH571" s="286"/>
      <c r="BI571" s="286"/>
      <c r="BJ571" s="286"/>
      <c r="BK571" s="286"/>
      <c r="BL571" s="286"/>
      <c r="BM571" s="286"/>
      <c r="BN571" s="286"/>
      <c r="BO571" s="286"/>
      <c r="BP571" s="286"/>
      <c r="BQ571" s="286"/>
      <c r="BR571" s="286"/>
      <c r="BS571" s="286"/>
      <c r="BT571" s="286"/>
      <c r="BU571" s="286"/>
      <c r="BV571" s="286"/>
      <c r="BW571" s="286"/>
      <c r="BX571" s="286"/>
      <c r="BY571" s="286"/>
      <c r="BZ571" s="286"/>
      <c r="CA571" s="286"/>
      <c r="CB571" s="286"/>
      <c r="CC571" s="286"/>
      <c r="CD571" s="286"/>
      <c r="CE571" s="286"/>
      <c r="CF571" s="286"/>
      <c r="CG571" s="286"/>
      <c r="CH571" s="286"/>
      <c r="CI571" s="286"/>
      <c r="CJ571" s="286"/>
      <c r="CK571" s="286"/>
      <c r="CL571" s="286"/>
      <c r="CM571" s="286"/>
      <c r="CN571" s="286"/>
      <c r="CO571" s="286"/>
      <c r="CP571" s="286"/>
      <c r="CQ571" s="286"/>
      <c r="CR571" s="286"/>
      <c r="CS571" s="286"/>
      <c r="CT571" s="286"/>
      <c r="CU571" s="286"/>
      <c r="CV571" s="286"/>
      <c r="CW571" s="286"/>
      <c r="CX571" s="286"/>
      <c r="CY571" s="286"/>
      <c r="CZ571" s="286"/>
      <c r="DA571" s="286"/>
      <c r="DB571" s="286"/>
      <c r="DC571" s="286"/>
      <c r="DD571" s="286"/>
      <c r="DE571" s="286"/>
      <c r="DF571" s="286"/>
      <c r="DG571" s="286"/>
      <c r="DH571" s="286"/>
      <c r="DI571" s="286"/>
      <c r="DJ571" s="286"/>
      <c r="DK571" s="286"/>
      <c r="DL571" s="286"/>
      <c r="DM571" s="286"/>
      <c r="DN571" s="286"/>
      <c r="DO571" s="286"/>
      <c r="DP571" s="286"/>
      <c r="DQ571" s="286"/>
      <c r="DR571" s="286"/>
      <c r="DS571" s="286"/>
      <c r="DT571" s="286"/>
      <c r="DU571" s="286"/>
      <c r="DV571" s="286"/>
      <c r="DW571" s="286"/>
      <c r="DX571" s="286"/>
      <c r="DY571" s="286"/>
      <c r="DZ571" s="286"/>
      <c r="EA571" s="286"/>
      <c r="EB571" s="286"/>
      <c r="EC571" s="286"/>
      <c r="ED571" s="286"/>
      <c r="EE571" s="286"/>
      <c r="EF571" s="286"/>
      <c r="EG571" s="286"/>
      <c r="EH571" s="286"/>
      <c r="EI571" s="286"/>
      <c r="EJ571" s="286"/>
      <c r="EK571" s="286"/>
      <c r="EL571" s="286"/>
      <c r="EM571" s="286"/>
      <c r="EN571" s="286"/>
      <c r="EO571" s="286"/>
      <c r="EP571" s="286"/>
      <c r="EQ571" s="286"/>
      <c r="ER571" s="286"/>
      <c r="ES571" s="286"/>
      <c r="ET571" s="286"/>
      <c r="EU571" s="286"/>
      <c r="EV571" s="286"/>
      <c r="EW571" s="286"/>
      <c r="EX571" s="286"/>
      <c r="EY571" s="286"/>
      <c r="EZ571" s="286"/>
      <c r="FA571" s="286"/>
      <c r="FB571" s="286"/>
      <c r="FC571" s="286"/>
      <c r="FD571" s="286"/>
      <c r="FE571" s="286"/>
      <c r="FF571" s="286"/>
      <c r="FG571" s="286"/>
      <c r="FH571" s="286"/>
      <c r="FI571" s="286"/>
      <c r="FJ571" s="286"/>
      <c r="FK571" s="286"/>
      <c r="FL571" s="286"/>
      <c r="FM571" s="286"/>
      <c r="FN571" s="286"/>
      <c r="FO571" s="286"/>
      <c r="FP571" s="286"/>
      <c r="FQ571" s="286"/>
      <c r="FR571" s="286"/>
      <c r="FS571" s="286"/>
    </row>
    <row r="572" spans="1:175">
      <c r="A572" s="212" t="s">
        <v>3159</v>
      </c>
      <c r="B572" s="212" t="s">
        <v>3160</v>
      </c>
      <c r="C572" s="212" t="s">
        <v>3172</v>
      </c>
      <c r="D572" s="212" t="s">
        <v>3748</v>
      </c>
      <c r="E572" s="212" t="s">
        <v>3751</v>
      </c>
      <c r="F572" s="278">
        <v>2976</v>
      </c>
      <c r="G572" s="278">
        <v>33380</v>
      </c>
      <c r="H572" s="287">
        <f t="shared" si="8"/>
        <v>1.6686638705811865</v>
      </c>
      <c r="I572" s="286">
        <v>84</v>
      </c>
      <c r="J572" s="286">
        <v>557</v>
      </c>
      <c r="K572" s="286">
        <v>268</v>
      </c>
      <c r="L572" s="286">
        <v>286</v>
      </c>
      <c r="M572" s="286">
        <v>410</v>
      </c>
      <c r="N572" s="286">
        <v>177</v>
      </c>
      <c r="O572" s="286">
        <v>232</v>
      </c>
      <c r="P572" s="286">
        <v>84</v>
      </c>
      <c r="Q572" s="286">
        <v>557</v>
      </c>
      <c r="R572" s="286">
        <v>268</v>
      </c>
      <c r="S572" s="286">
        <v>286</v>
      </c>
      <c r="T572" s="286">
        <v>410</v>
      </c>
      <c r="U572" s="286">
        <v>177</v>
      </c>
      <c r="V572" s="286">
        <v>232</v>
      </c>
      <c r="W572" s="286"/>
      <c r="X572" s="286"/>
      <c r="Y572" s="286"/>
      <c r="Z572" s="286"/>
      <c r="AA572" s="286"/>
      <c r="AB572" s="286"/>
      <c r="AC572" s="286"/>
      <c r="AD572" s="286"/>
      <c r="AE572" s="286"/>
      <c r="AF572" s="286"/>
      <c r="AG572" s="286"/>
      <c r="AH572" s="286"/>
      <c r="AI572" s="286"/>
      <c r="AJ572" s="286"/>
      <c r="AK572" s="286"/>
      <c r="AL572" s="286"/>
      <c r="AM572" s="286"/>
      <c r="AN572" s="286"/>
      <c r="AO572" s="286"/>
      <c r="AP572" s="286"/>
      <c r="AQ572" s="286"/>
      <c r="AR572" s="286"/>
      <c r="AS572" s="286"/>
      <c r="AT572" s="286"/>
      <c r="AU572" s="286"/>
      <c r="AV572" s="286"/>
      <c r="AW572" s="286"/>
      <c r="AX572" s="286"/>
      <c r="AY572" s="286"/>
      <c r="AZ572" s="286"/>
      <c r="BA572" s="286"/>
      <c r="BB572" s="286"/>
      <c r="BC572" s="286"/>
      <c r="BD572" s="286"/>
      <c r="BE572" s="286"/>
      <c r="BF572" s="286"/>
      <c r="BG572" s="286"/>
      <c r="BH572" s="286"/>
      <c r="BI572" s="286"/>
      <c r="BJ572" s="286"/>
      <c r="BK572" s="286"/>
      <c r="BL572" s="286"/>
      <c r="BM572" s="286"/>
      <c r="BN572" s="286"/>
      <c r="BO572" s="286"/>
      <c r="BP572" s="286"/>
      <c r="BQ572" s="286"/>
      <c r="BR572" s="286"/>
      <c r="BS572" s="286"/>
      <c r="BT572" s="286"/>
      <c r="BU572" s="286"/>
      <c r="BV572" s="286"/>
      <c r="BW572" s="286"/>
      <c r="BX572" s="286"/>
      <c r="BY572" s="286"/>
      <c r="BZ572" s="286"/>
      <c r="CA572" s="286"/>
      <c r="CB572" s="286"/>
      <c r="CC572" s="286"/>
      <c r="CD572" s="286"/>
      <c r="CE572" s="286"/>
      <c r="CF572" s="286"/>
      <c r="CG572" s="286"/>
      <c r="CH572" s="286"/>
      <c r="CI572" s="286"/>
      <c r="CJ572" s="286"/>
      <c r="CK572" s="286"/>
      <c r="CL572" s="286"/>
      <c r="CM572" s="286"/>
      <c r="CN572" s="286"/>
      <c r="CO572" s="286"/>
      <c r="CP572" s="286"/>
      <c r="CQ572" s="286"/>
      <c r="CR572" s="286"/>
      <c r="CS572" s="286"/>
      <c r="CT572" s="286"/>
      <c r="CU572" s="286"/>
      <c r="CV572" s="286"/>
      <c r="CW572" s="286"/>
      <c r="CX572" s="286"/>
      <c r="CY572" s="286"/>
      <c r="CZ572" s="286"/>
      <c r="DA572" s="286"/>
      <c r="DB572" s="286"/>
      <c r="DC572" s="286"/>
      <c r="DD572" s="286"/>
      <c r="DE572" s="286"/>
      <c r="DF572" s="286"/>
      <c r="DG572" s="286"/>
      <c r="DH572" s="286"/>
      <c r="DI572" s="286"/>
      <c r="DJ572" s="286"/>
      <c r="DK572" s="286"/>
      <c r="DL572" s="286"/>
      <c r="DM572" s="286"/>
      <c r="DN572" s="286"/>
      <c r="DO572" s="286"/>
      <c r="DP572" s="286"/>
      <c r="DQ572" s="286"/>
      <c r="DR572" s="286"/>
      <c r="DS572" s="286"/>
      <c r="DT572" s="286"/>
      <c r="DU572" s="286"/>
      <c r="DV572" s="286"/>
      <c r="DW572" s="286"/>
      <c r="DX572" s="286"/>
      <c r="DY572" s="286"/>
      <c r="DZ572" s="286"/>
      <c r="EA572" s="286"/>
      <c r="EB572" s="286"/>
      <c r="EC572" s="286"/>
      <c r="ED572" s="286"/>
      <c r="EE572" s="286"/>
      <c r="EF572" s="286"/>
      <c r="EG572" s="286"/>
      <c r="EH572" s="286"/>
      <c r="EI572" s="286"/>
      <c r="EJ572" s="286"/>
      <c r="EK572" s="286"/>
      <c r="EL572" s="286"/>
      <c r="EM572" s="286"/>
      <c r="EN572" s="286"/>
      <c r="EO572" s="286"/>
      <c r="EP572" s="286"/>
      <c r="EQ572" s="286"/>
      <c r="ER572" s="286"/>
      <c r="ES572" s="286"/>
      <c r="ET572" s="286"/>
      <c r="EU572" s="286"/>
      <c r="EV572" s="286"/>
      <c r="EW572" s="286"/>
      <c r="EX572" s="286"/>
      <c r="EY572" s="286"/>
      <c r="EZ572" s="286"/>
      <c r="FA572" s="286"/>
      <c r="FB572" s="286"/>
      <c r="FC572" s="286"/>
      <c r="FD572" s="286"/>
      <c r="FE572" s="286"/>
      <c r="FF572" s="286"/>
      <c r="FG572" s="286"/>
      <c r="FH572" s="286"/>
      <c r="FI572" s="286"/>
      <c r="FJ572" s="286"/>
      <c r="FK572" s="286"/>
      <c r="FL572" s="286"/>
      <c r="FM572" s="286"/>
      <c r="FN572" s="286"/>
      <c r="FO572" s="286"/>
      <c r="FP572" s="286"/>
      <c r="FQ572" s="286"/>
      <c r="FR572" s="286"/>
      <c r="FS572" s="286"/>
    </row>
    <row r="573" spans="1:175">
      <c r="A573" s="212" t="s">
        <v>3159</v>
      </c>
      <c r="B573" s="212" t="s">
        <v>3160</v>
      </c>
      <c r="C573" s="212" t="s">
        <v>3172</v>
      </c>
      <c r="D573" s="212" t="s">
        <v>3748</v>
      </c>
      <c r="E573" s="212" t="s">
        <v>3752</v>
      </c>
      <c r="F573" s="278">
        <v>42489</v>
      </c>
      <c r="G573" s="278">
        <v>345159</v>
      </c>
      <c r="H573" s="287">
        <f t="shared" si="8"/>
        <v>4.0036620803745526</v>
      </c>
      <c r="I573" s="286">
        <v>1525</v>
      </c>
      <c r="J573" s="286">
        <v>13819</v>
      </c>
      <c r="K573" s="286">
        <v>3830</v>
      </c>
      <c r="L573" s="286">
        <v>8394</v>
      </c>
      <c r="M573" s="286">
        <v>12246</v>
      </c>
      <c r="N573" s="286">
        <v>3110</v>
      </c>
      <c r="O573" s="286">
        <v>7541</v>
      </c>
      <c r="P573" s="286">
        <v>1525</v>
      </c>
      <c r="Q573" s="286">
        <v>13819</v>
      </c>
      <c r="R573" s="286">
        <v>3830</v>
      </c>
      <c r="S573" s="286">
        <v>8394</v>
      </c>
      <c r="T573" s="286">
        <v>12246</v>
      </c>
      <c r="U573" s="286">
        <v>3110</v>
      </c>
      <c r="V573" s="286">
        <v>7541</v>
      </c>
      <c r="W573" s="286"/>
      <c r="X573" s="286"/>
      <c r="Y573" s="286"/>
      <c r="Z573" s="286"/>
      <c r="AA573" s="286"/>
      <c r="AB573" s="286"/>
      <c r="AC573" s="286"/>
      <c r="AD573" s="286"/>
      <c r="AE573" s="286"/>
      <c r="AF573" s="286"/>
      <c r="AG573" s="286"/>
      <c r="AH573" s="286"/>
      <c r="AI573" s="286"/>
      <c r="AJ573" s="286"/>
      <c r="AK573" s="286"/>
      <c r="AL573" s="286"/>
      <c r="AM573" s="286"/>
      <c r="AN573" s="286"/>
      <c r="AO573" s="286"/>
      <c r="AP573" s="286"/>
      <c r="AQ573" s="286"/>
      <c r="AR573" s="286"/>
      <c r="AS573" s="286"/>
      <c r="AT573" s="286"/>
      <c r="AU573" s="286"/>
      <c r="AV573" s="286"/>
      <c r="AW573" s="286"/>
      <c r="AX573" s="286"/>
      <c r="AY573" s="286"/>
      <c r="AZ573" s="286"/>
      <c r="BA573" s="286"/>
      <c r="BB573" s="286"/>
      <c r="BC573" s="286"/>
      <c r="BD573" s="286"/>
      <c r="BE573" s="286"/>
      <c r="BF573" s="286"/>
      <c r="BG573" s="286"/>
      <c r="BH573" s="286"/>
      <c r="BI573" s="286"/>
      <c r="BJ573" s="286"/>
      <c r="BK573" s="286"/>
      <c r="BL573" s="286"/>
      <c r="BM573" s="286"/>
      <c r="BN573" s="286"/>
      <c r="BO573" s="286"/>
      <c r="BP573" s="286"/>
      <c r="BQ573" s="286"/>
      <c r="BR573" s="286"/>
      <c r="BS573" s="286"/>
      <c r="BT573" s="286"/>
      <c r="BU573" s="286"/>
      <c r="BV573" s="286"/>
      <c r="BW573" s="286"/>
      <c r="BX573" s="286"/>
      <c r="BY573" s="286"/>
      <c r="BZ573" s="286"/>
      <c r="CA573" s="286"/>
      <c r="CB573" s="286"/>
      <c r="CC573" s="286"/>
      <c r="CD573" s="286"/>
      <c r="CE573" s="286"/>
      <c r="CF573" s="286"/>
      <c r="CG573" s="286"/>
      <c r="CH573" s="286"/>
      <c r="CI573" s="286"/>
      <c r="CJ573" s="286"/>
      <c r="CK573" s="286"/>
      <c r="CL573" s="286"/>
      <c r="CM573" s="286"/>
      <c r="CN573" s="286"/>
      <c r="CO573" s="286"/>
      <c r="CP573" s="286"/>
      <c r="CQ573" s="286"/>
      <c r="CR573" s="286"/>
      <c r="CS573" s="286"/>
      <c r="CT573" s="286"/>
      <c r="CU573" s="286"/>
      <c r="CV573" s="286"/>
      <c r="CW573" s="286"/>
      <c r="CX573" s="286"/>
      <c r="CY573" s="286"/>
      <c r="CZ573" s="286"/>
      <c r="DA573" s="286"/>
      <c r="DB573" s="286"/>
      <c r="DC573" s="286"/>
      <c r="DD573" s="286"/>
      <c r="DE573" s="286"/>
      <c r="DF573" s="286"/>
      <c r="DG573" s="286"/>
      <c r="DH573" s="286"/>
      <c r="DI573" s="286"/>
      <c r="DJ573" s="286"/>
      <c r="DK573" s="286"/>
      <c r="DL573" s="286"/>
      <c r="DM573" s="286"/>
      <c r="DN573" s="286"/>
      <c r="DO573" s="286"/>
      <c r="DP573" s="286"/>
      <c r="DQ573" s="286"/>
      <c r="DR573" s="286"/>
      <c r="DS573" s="286"/>
      <c r="DT573" s="286"/>
      <c r="DU573" s="286"/>
      <c r="DV573" s="286"/>
      <c r="DW573" s="286"/>
      <c r="DX573" s="286"/>
      <c r="DY573" s="286"/>
      <c r="DZ573" s="286"/>
      <c r="EA573" s="286"/>
      <c r="EB573" s="286"/>
      <c r="EC573" s="286"/>
      <c r="ED573" s="286"/>
      <c r="EE573" s="286"/>
      <c r="EF573" s="286"/>
      <c r="EG573" s="286"/>
      <c r="EH573" s="286"/>
      <c r="EI573" s="286"/>
      <c r="EJ573" s="286"/>
      <c r="EK573" s="286"/>
      <c r="EL573" s="286"/>
      <c r="EM573" s="286"/>
      <c r="EN573" s="286"/>
      <c r="EO573" s="286"/>
      <c r="EP573" s="286"/>
      <c r="EQ573" s="286"/>
      <c r="ER573" s="286"/>
      <c r="ES573" s="286"/>
      <c r="ET573" s="286"/>
      <c r="EU573" s="286"/>
      <c r="EV573" s="286"/>
      <c r="EW573" s="286"/>
      <c r="EX573" s="286"/>
      <c r="EY573" s="286"/>
      <c r="EZ573" s="286"/>
      <c r="FA573" s="286"/>
      <c r="FB573" s="286"/>
      <c r="FC573" s="286"/>
      <c r="FD573" s="286"/>
      <c r="FE573" s="286"/>
      <c r="FF573" s="286"/>
      <c r="FG573" s="286"/>
      <c r="FH573" s="286"/>
      <c r="FI573" s="286"/>
      <c r="FJ573" s="286"/>
      <c r="FK573" s="286"/>
      <c r="FL573" s="286"/>
      <c r="FM573" s="286"/>
      <c r="FN573" s="286"/>
      <c r="FO573" s="286"/>
      <c r="FP573" s="286"/>
      <c r="FQ573" s="286"/>
      <c r="FR573" s="286"/>
      <c r="FS573" s="286"/>
    </row>
    <row r="574" spans="1:175">
      <c r="A574" s="212" t="s">
        <v>3159</v>
      </c>
      <c r="B574" s="212" t="s">
        <v>3160</v>
      </c>
      <c r="C574" s="212" t="s">
        <v>3172</v>
      </c>
      <c r="D574" s="212" t="s">
        <v>3748</v>
      </c>
      <c r="E574" s="212" t="s">
        <v>3753</v>
      </c>
      <c r="F574" s="278">
        <v>155998</v>
      </c>
      <c r="G574" s="278">
        <v>1309971</v>
      </c>
      <c r="H574" s="287">
        <f t="shared" si="8"/>
        <v>3.9609273793083966</v>
      </c>
      <c r="I574" s="286">
        <v>6157</v>
      </c>
      <c r="J574" s="286">
        <v>51887</v>
      </c>
      <c r="K574" s="286">
        <v>23828</v>
      </c>
      <c r="L574" s="286">
        <v>27228</v>
      </c>
      <c r="M574" s="286">
        <v>42768</v>
      </c>
      <c r="N574" s="286">
        <v>18478</v>
      </c>
      <c r="O574" s="286">
        <v>23465</v>
      </c>
      <c r="P574" s="286">
        <v>6157</v>
      </c>
      <c r="Q574" s="286">
        <v>51887</v>
      </c>
      <c r="R574" s="286">
        <v>23828</v>
      </c>
      <c r="S574" s="286">
        <v>27228</v>
      </c>
      <c r="T574" s="286">
        <v>42768</v>
      </c>
      <c r="U574" s="286">
        <v>18478</v>
      </c>
      <c r="V574" s="286">
        <v>23465</v>
      </c>
      <c r="W574" s="286"/>
      <c r="X574" s="286"/>
      <c r="Y574" s="286"/>
      <c r="Z574" s="286"/>
      <c r="AA574" s="286"/>
      <c r="AB574" s="286"/>
      <c r="AC574" s="286"/>
      <c r="AD574" s="286"/>
      <c r="AE574" s="286"/>
      <c r="AF574" s="286"/>
      <c r="AG574" s="286"/>
      <c r="AH574" s="286"/>
      <c r="AI574" s="286"/>
      <c r="AJ574" s="286"/>
      <c r="AK574" s="286"/>
      <c r="AL574" s="286"/>
      <c r="AM574" s="286"/>
      <c r="AN574" s="286"/>
      <c r="AO574" s="286"/>
      <c r="AP574" s="286"/>
      <c r="AQ574" s="286"/>
      <c r="AR574" s="286"/>
      <c r="AS574" s="286"/>
      <c r="AT574" s="286"/>
      <c r="AU574" s="286"/>
      <c r="AV574" s="286"/>
      <c r="AW574" s="286"/>
      <c r="AX574" s="286"/>
      <c r="AY574" s="286"/>
      <c r="AZ574" s="286"/>
      <c r="BA574" s="286"/>
      <c r="BB574" s="286"/>
      <c r="BC574" s="286"/>
      <c r="BD574" s="286"/>
      <c r="BE574" s="286"/>
      <c r="BF574" s="286"/>
      <c r="BG574" s="286"/>
      <c r="BH574" s="286"/>
      <c r="BI574" s="286"/>
      <c r="BJ574" s="286"/>
      <c r="BK574" s="286"/>
      <c r="BL574" s="286"/>
      <c r="BM574" s="286"/>
      <c r="BN574" s="286"/>
      <c r="BO574" s="286"/>
      <c r="BP574" s="286"/>
      <c r="BQ574" s="286"/>
      <c r="BR574" s="286"/>
      <c r="BS574" s="286"/>
      <c r="BT574" s="286"/>
      <c r="BU574" s="286"/>
      <c r="BV574" s="286"/>
      <c r="BW574" s="286"/>
      <c r="BX574" s="286"/>
      <c r="BY574" s="286"/>
      <c r="BZ574" s="286"/>
      <c r="CA574" s="286"/>
      <c r="CB574" s="286"/>
      <c r="CC574" s="286"/>
      <c r="CD574" s="286"/>
      <c r="CE574" s="286"/>
      <c r="CF574" s="286"/>
      <c r="CG574" s="286"/>
      <c r="CH574" s="286"/>
      <c r="CI574" s="286"/>
      <c r="CJ574" s="286"/>
      <c r="CK574" s="286"/>
      <c r="CL574" s="286"/>
      <c r="CM574" s="286"/>
      <c r="CN574" s="286"/>
      <c r="CO574" s="286"/>
      <c r="CP574" s="286"/>
      <c r="CQ574" s="286"/>
      <c r="CR574" s="286"/>
      <c r="CS574" s="286"/>
      <c r="CT574" s="286"/>
      <c r="CU574" s="286"/>
      <c r="CV574" s="286"/>
      <c r="CW574" s="286"/>
      <c r="CX574" s="286"/>
      <c r="CY574" s="286"/>
      <c r="CZ574" s="286"/>
      <c r="DA574" s="286"/>
      <c r="DB574" s="286"/>
      <c r="DC574" s="286"/>
      <c r="DD574" s="286"/>
      <c r="DE574" s="286"/>
      <c r="DF574" s="286"/>
      <c r="DG574" s="286"/>
      <c r="DH574" s="286"/>
      <c r="DI574" s="286"/>
      <c r="DJ574" s="286"/>
      <c r="DK574" s="286"/>
      <c r="DL574" s="286"/>
      <c r="DM574" s="286"/>
      <c r="DN574" s="286"/>
      <c r="DO574" s="286"/>
      <c r="DP574" s="286"/>
      <c r="DQ574" s="286"/>
      <c r="DR574" s="286"/>
      <c r="DS574" s="286"/>
      <c r="DT574" s="286"/>
      <c r="DU574" s="286"/>
      <c r="DV574" s="286"/>
      <c r="DW574" s="286"/>
      <c r="DX574" s="286"/>
      <c r="DY574" s="286"/>
      <c r="DZ574" s="286"/>
      <c r="EA574" s="286"/>
      <c r="EB574" s="286"/>
      <c r="EC574" s="286"/>
      <c r="ED574" s="286"/>
      <c r="EE574" s="286"/>
      <c r="EF574" s="286"/>
      <c r="EG574" s="286"/>
      <c r="EH574" s="286"/>
      <c r="EI574" s="286"/>
      <c r="EJ574" s="286"/>
      <c r="EK574" s="286"/>
      <c r="EL574" s="286"/>
      <c r="EM574" s="286"/>
      <c r="EN574" s="286"/>
      <c r="EO574" s="286"/>
      <c r="EP574" s="286"/>
      <c r="EQ574" s="286"/>
      <c r="ER574" s="286"/>
      <c r="ES574" s="286"/>
      <c r="ET574" s="286"/>
      <c r="EU574" s="286"/>
      <c r="EV574" s="286"/>
      <c r="EW574" s="286"/>
      <c r="EX574" s="286"/>
      <c r="EY574" s="286"/>
      <c r="EZ574" s="286"/>
      <c r="FA574" s="286"/>
      <c r="FB574" s="286"/>
      <c r="FC574" s="286"/>
      <c r="FD574" s="286"/>
      <c r="FE574" s="286"/>
      <c r="FF574" s="286"/>
      <c r="FG574" s="286"/>
      <c r="FH574" s="286"/>
      <c r="FI574" s="286"/>
      <c r="FJ574" s="286"/>
      <c r="FK574" s="286"/>
      <c r="FL574" s="286"/>
      <c r="FM574" s="286"/>
      <c r="FN574" s="286"/>
      <c r="FO574" s="286"/>
      <c r="FP574" s="286"/>
      <c r="FQ574" s="286"/>
      <c r="FR574" s="286"/>
      <c r="FS574" s="286"/>
    </row>
    <row r="575" spans="1:175">
      <c r="A575" s="212" t="s">
        <v>3159</v>
      </c>
      <c r="B575" s="212" t="s">
        <v>3160</v>
      </c>
      <c r="C575" s="212" t="s">
        <v>3432</v>
      </c>
      <c r="D575" s="212" t="s">
        <v>3748</v>
      </c>
      <c r="E575" s="212" t="s">
        <v>3754</v>
      </c>
      <c r="F575" s="278">
        <v>44372</v>
      </c>
      <c r="G575" s="278">
        <v>408665</v>
      </c>
      <c r="H575" s="287">
        <f t="shared" si="8"/>
        <v>3.8613534312945812</v>
      </c>
      <c r="I575" s="286">
        <v>1809</v>
      </c>
      <c r="J575" s="286">
        <v>15780</v>
      </c>
      <c r="K575" s="286">
        <v>6534</v>
      </c>
      <c r="L575" s="286">
        <v>8821</v>
      </c>
      <c r="M575" s="286">
        <v>13243</v>
      </c>
      <c r="N575" s="286">
        <v>5100</v>
      </c>
      <c r="O575" s="286">
        <v>7720</v>
      </c>
      <c r="P575" s="286">
        <v>1809</v>
      </c>
      <c r="Q575" s="286">
        <v>15780</v>
      </c>
      <c r="R575" s="286">
        <v>6534</v>
      </c>
      <c r="S575" s="286">
        <v>8821</v>
      </c>
      <c r="T575" s="286">
        <v>13243</v>
      </c>
      <c r="U575" s="286">
        <v>5100</v>
      </c>
      <c r="V575" s="286">
        <v>7720</v>
      </c>
      <c r="W575" s="286"/>
      <c r="X575" s="286"/>
      <c r="Y575" s="286"/>
      <c r="Z575" s="286"/>
      <c r="AA575" s="286"/>
      <c r="AB575" s="286"/>
      <c r="AC575" s="286"/>
      <c r="AD575" s="286"/>
      <c r="AE575" s="286"/>
      <c r="AF575" s="286"/>
      <c r="AG575" s="286"/>
      <c r="AH575" s="286"/>
      <c r="AI575" s="286"/>
      <c r="AJ575" s="286"/>
      <c r="AK575" s="286"/>
      <c r="AL575" s="286"/>
      <c r="AM575" s="286"/>
      <c r="AN575" s="286"/>
      <c r="AO575" s="286"/>
      <c r="AP575" s="286"/>
      <c r="AQ575" s="286"/>
      <c r="AR575" s="286"/>
      <c r="AS575" s="286"/>
      <c r="AT575" s="286"/>
      <c r="AU575" s="286"/>
      <c r="AV575" s="286"/>
      <c r="AW575" s="286"/>
      <c r="AX575" s="286"/>
      <c r="AY575" s="286"/>
      <c r="AZ575" s="286"/>
      <c r="BA575" s="286"/>
      <c r="BB575" s="286"/>
      <c r="BC575" s="286"/>
      <c r="BD575" s="286"/>
      <c r="BE575" s="286"/>
      <c r="BF575" s="286"/>
      <c r="BG575" s="286"/>
      <c r="BH575" s="286"/>
      <c r="BI575" s="286"/>
      <c r="BJ575" s="286"/>
      <c r="BK575" s="286"/>
      <c r="BL575" s="286"/>
      <c r="BM575" s="286"/>
      <c r="BN575" s="286"/>
      <c r="BO575" s="286"/>
      <c r="BP575" s="286"/>
      <c r="BQ575" s="286"/>
      <c r="BR575" s="286"/>
      <c r="BS575" s="286"/>
      <c r="BT575" s="286"/>
      <c r="BU575" s="286"/>
      <c r="BV575" s="286"/>
      <c r="BW575" s="286"/>
      <c r="BX575" s="286"/>
      <c r="BY575" s="286"/>
      <c r="BZ575" s="286"/>
      <c r="CA575" s="286"/>
      <c r="CB575" s="286"/>
      <c r="CC575" s="286"/>
      <c r="CD575" s="286"/>
      <c r="CE575" s="286"/>
      <c r="CF575" s="286"/>
      <c r="CG575" s="286"/>
      <c r="CH575" s="286"/>
      <c r="CI575" s="286"/>
      <c r="CJ575" s="286"/>
      <c r="CK575" s="286"/>
      <c r="CL575" s="286"/>
      <c r="CM575" s="286"/>
      <c r="CN575" s="286"/>
      <c r="CO575" s="286"/>
      <c r="CP575" s="286"/>
      <c r="CQ575" s="286"/>
      <c r="CR575" s="286"/>
      <c r="CS575" s="286"/>
      <c r="CT575" s="286"/>
      <c r="CU575" s="286"/>
      <c r="CV575" s="286"/>
      <c r="CW575" s="286"/>
      <c r="CX575" s="286"/>
      <c r="CY575" s="286"/>
      <c r="CZ575" s="286"/>
      <c r="DA575" s="286"/>
      <c r="DB575" s="286"/>
      <c r="DC575" s="286"/>
      <c r="DD575" s="286"/>
      <c r="DE575" s="286"/>
      <c r="DF575" s="286"/>
      <c r="DG575" s="286"/>
      <c r="DH575" s="286"/>
      <c r="DI575" s="286"/>
      <c r="DJ575" s="286"/>
      <c r="DK575" s="286"/>
      <c r="DL575" s="286"/>
      <c r="DM575" s="286"/>
      <c r="DN575" s="286"/>
      <c r="DO575" s="286"/>
      <c r="DP575" s="286"/>
      <c r="DQ575" s="286"/>
      <c r="DR575" s="286"/>
      <c r="DS575" s="286"/>
      <c r="DT575" s="286"/>
      <c r="DU575" s="286"/>
      <c r="DV575" s="286"/>
      <c r="DW575" s="286"/>
      <c r="DX575" s="286"/>
      <c r="DY575" s="286"/>
      <c r="DZ575" s="286"/>
      <c r="EA575" s="286"/>
      <c r="EB575" s="286"/>
      <c r="EC575" s="286"/>
      <c r="ED575" s="286"/>
      <c r="EE575" s="286"/>
      <c r="EF575" s="286"/>
      <c r="EG575" s="286"/>
      <c r="EH575" s="286"/>
      <c r="EI575" s="286"/>
      <c r="EJ575" s="286"/>
      <c r="EK575" s="286"/>
      <c r="EL575" s="286"/>
      <c r="EM575" s="286"/>
      <c r="EN575" s="286"/>
      <c r="EO575" s="286"/>
      <c r="EP575" s="286"/>
      <c r="EQ575" s="286"/>
      <c r="ER575" s="286"/>
      <c r="ES575" s="286"/>
      <c r="ET575" s="286"/>
      <c r="EU575" s="286"/>
      <c r="EV575" s="286"/>
      <c r="EW575" s="286"/>
      <c r="EX575" s="286"/>
      <c r="EY575" s="286"/>
      <c r="EZ575" s="286"/>
      <c r="FA575" s="286"/>
      <c r="FB575" s="286"/>
      <c r="FC575" s="286"/>
      <c r="FD575" s="286"/>
      <c r="FE575" s="286"/>
      <c r="FF575" s="286"/>
      <c r="FG575" s="286"/>
      <c r="FH575" s="286"/>
      <c r="FI575" s="286"/>
      <c r="FJ575" s="286"/>
      <c r="FK575" s="286"/>
      <c r="FL575" s="286"/>
      <c r="FM575" s="286"/>
      <c r="FN575" s="286"/>
      <c r="FO575" s="286"/>
      <c r="FP575" s="286"/>
      <c r="FQ575" s="286"/>
      <c r="FR575" s="286"/>
      <c r="FS575" s="286"/>
    </row>
    <row r="576" spans="1:175">
      <c r="A576" s="212" t="s">
        <v>3159</v>
      </c>
      <c r="B576" s="212" t="s">
        <v>3160</v>
      </c>
      <c r="C576" s="212" t="s">
        <v>3432</v>
      </c>
      <c r="D576" s="212" t="s">
        <v>3748</v>
      </c>
      <c r="E576" s="212" t="s">
        <v>3755</v>
      </c>
      <c r="F576" s="278">
        <v>47432</v>
      </c>
      <c r="G576" s="278">
        <v>344559</v>
      </c>
      <c r="H576" s="287">
        <f t="shared" si="8"/>
        <v>3.4708134165701661</v>
      </c>
      <c r="I576" s="286">
        <v>1448</v>
      </c>
      <c r="J576" s="286">
        <v>11959</v>
      </c>
      <c r="K576" s="286">
        <v>6207</v>
      </c>
      <c r="L576" s="286">
        <v>5596</v>
      </c>
      <c r="M576" s="286">
        <v>9926</v>
      </c>
      <c r="N576" s="286">
        <v>4929</v>
      </c>
      <c r="O576" s="286">
        <v>4843</v>
      </c>
      <c r="P576" s="286">
        <v>1448</v>
      </c>
      <c r="Q576" s="286">
        <v>11959</v>
      </c>
      <c r="R576" s="286">
        <v>6207</v>
      </c>
      <c r="S576" s="286">
        <v>5596</v>
      </c>
      <c r="T576" s="286">
        <v>9926</v>
      </c>
      <c r="U576" s="286">
        <v>4929</v>
      </c>
      <c r="V576" s="286">
        <v>4843</v>
      </c>
      <c r="W576" s="286"/>
      <c r="X576" s="286"/>
      <c r="Y576" s="286"/>
      <c r="Z576" s="286"/>
      <c r="AA576" s="286"/>
      <c r="AB576" s="286"/>
      <c r="AC576" s="286"/>
      <c r="AD576" s="286"/>
      <c r="AE576" s="286"/>
      <c r="AF576" s="286"/>
      <c r="AG576" s="286"/>
      <c r="AH576" s="286"/>
      <c r="AI576" s="286"/>
      <c r="AJ576" s="286"/>
      <c r="AK576" s="286"/>
      <c r="AL576" s="286"/>
      <c r="AM576" s="286"/>
      <c r="AN576" s="286"/>
      <c r="AO576" s="286"/>
      <c r="AP576" s="286"/>
      <c r="AQ576" s="286"/>
      <c r="AR576" s="286"/>
      <c r="AS576" s="286"/>
      <c r="AT576" s="286"/>
      <c r="AU576" s="286"/>
      <c r="AV576" s="286"/>
      <c r="AW576" s="286"/>
      <c r="AX576" s="286"/>
      <c r="AY576" s="286"/>
      <c r="AZ576" s="286"/>
      <c r="BA576" s="286"/>
      <c r="BB576" s="286"/>
      <c r="BC576" s="286"/>
      <c r="BD576" s="286"/>
      <c r="BE576" s="286"/>
      <c r="BF576" s="286"/>
      <c r="BG576" s="286"/>
      <c r="BH576" s="286"/>
      <c r="BI576" s="286"/>
      <c r="BJ576" s="286"/>
      <c r="BK576" s="286"/>
      <c r="BL576" s="286"/>
      <c r="BM576" s="286"/>
      <c r="BN576" s="286"/>
      <c r="BO576" s="286"/>
      <c r="BP576" s="286"/>
      <c r="BQ576" s="286"/>
      <c r="BR576" s="286"/>
      <c r="BS576" s="286"/>
      <c r="BT576" s="286"/>
      <c r="BU576" s="286"/>
      <c r="BV576" s="286"/>
      <c r="BW576" s="286"/>
      <c r="BX576" s="286"/>
      <c r="BY576" s="286"/>
      <c r="BZ576" s="286"/>
      <c r="CA576" s="286"/>
      <c r="CB576" s="286"/>
      <c r="CC576" s="286"/>
      <c r="CD576" s="286"/>
      <c r="CE576" s="286"/>
      <c r="CF576" s="286"/>
      <c r="CG576" s="286"/>
      <c r="CH576" s="286"/>
      <c r="CI576" s="286"/>
      <c r="CJ576" s="286"/>
      <c r="CK576" s="286"/>
      <c r="CL576" s="286"/>
      <c r="CM576" s="286"/>
      <c r="CN576" s="286"/>
      <c r="CO576" s="286"/>
      <c r="CP576" s="286"/>
      <c r="CQ576" s="286"/>
      <c r="CR576" s="286"/>
      <c r="CS576" s="286"/>
      <c r="CT576" s="286"/>
      <c r="CU576" s="286"/>
      <c r="CV576" s="286"/>
      <c r="CW576" s="286"/>
      <c r="CX576" s="286"/>
      <c r="CY576" s="286"/>
      <c r="CZ576" s="286"/>
      <c r="DA576" s="286"/>
      <c r="DB576" s="286"/>
      <c r="DC576" s="286"/>
      <c r="DD576" s="286"/>
      <c r="DE576" s="286"/>
      <c r="DF576" s="286"/>
      <c r="DG576" s="286"/>
      <c r="DH576" s="286"/>
      <c r="DI576" s="286"/>
      <c r="DJ576" s="286"/>
      <c r="DK576" s="286"/>
      <c r="DL576" s="286"/>
      <c r="DM576" s="286"/>
      <c r="DN576" s="286"/>
      <c r="DO576" s="286"/>
      <c r="DP576" s="286"/>
      <c r="DQ576" s="286"/>
      <c r="DR576" s="286"/>
      <c r="DS576" s="286"/>
      <c r="DT576" s="286"/>
      <c r="DU576" s="286"/>
      <c r="DV576" s="286"/>
      <c r="DW576" s="286"/>
      <c r="DX576" s="286"/>
      <c r="DY576" s="286"/>
      <c r="DZ576" s="286"/>
      <c r="EA576" s="286"/>
      <c r="EB576" s="286"/>
      <c r="EC576" s="286"/>
      <c r="ED576" s="286"/>
      <c r="EE576" s="286"/>
      <c r="EF576" s="286"/>
      <c r="EG576" s="286"/>
      <c r="EH576" s="286"/>
      <c r="EI576" s="286"/>
      <c r="EJ576" s="286"/>
      <c r="EK576" s="286"/>
      <c r="EL576" s="286"/>
      <c r="EM576" s="286"/>
      <c r="EN576" s="286"/>
      <c r="EO576" s="286"/>
      <c r="EP576" s="286"/>
      <c r="EQ576" s="286"/>
      <c r="ER576" s="286"/>
      <c r="ES576" s="286"/>
      <c r="ET576" s="286"/>
      <c r="EU576" s="286"/>
      <c r="EV576" s="286"/>
      <c r="EW576" s="286"/>
      <c r="EX576" s="286"/>
      <c r="EY576" s="286"/>
      <c r="EZ576" s="286"/>
      <c r="FA576" s="286"/>
      <c r="FB576" s="286"/>
      <c r="FC576" s="286"/>
      <c r="FD576" s="286"/>
      <c r="FE576" s="286"/>
      <c r="FF576" s="286"/>
      <c r="FG576" s="286"/>
      <c r="FH576" s="286"/>
      <c r="FI576" s="286"/>
      <c r="FJ576" s="286"/>
      <c r="FK576" s="286"/>
      <c r="FL576" s="286"/>
      <c r="FM576" s="286"/>
      <c r="FN576" s="286"/>
      <c r="FO576" s="286"/>
      <c r="FP576" s="286"/>
      <c r="FQ576" s="286"/>
      <c r="FR576" s="286"/>
      <c r="FS576" s="286"/>
    </row>
    <row r="577" spans="1:175">
      <c r="A577" s="212" t="s">
        <v>3159</v>
      </c>
      <c r="B577" s="212" t="s">
        <v>3160</v>
      </c>
      <c r="C577" s="212" t="s">
        <v>3432</v>
      </c>
      <c r="D577" s="212" t="s">
        <v>3748</v>
      </c>
      <c r="E577" s="212" t="s">
        <v>3756</v>
      </c>
      <c r="F577" s="278">
        <v>17536</v>
      </c>
      <c r="G577" s="278">
        <v>191715</v>
      </c>
      <c r="H577" s="287">
        <f t="shared" si="8"/>
        <v>4.0721904910935507</v>
      </c>
      <c r="I577" s="286">
        <v>829</v>
      </c>
      <c r="J577" s="286">
        <v>7807</v>
      </c>
      <c r="K577" s="286">
        <v>3906</v>
      </c>
      <c r="L577" s="286">
        <v>3897</v>
      </c>
      <c r="M577" s="286">
        <v>6135</v>
      </c>
      <c r="N577" s="286">
        <v>2970</v>
      </c>
      <c r="O577" s="286">
        <v>3162</v>
      </c>
      <c r="P577" s="286">
        <v>829</v>
      </c>
      <c r="Q577" s="286">
        <v>7807</v>
      </c>
      <c r="R577" s="286">
        <v>3906</v>
      </c>
      <c r="S577" s="286">
        <v>3897</v>
      </c>
      <c r="T577" s="286">
        <v>6135</v>
      </c>
      <c r="U577" s="286">
        <v>2970</v>
      </c>
      <c r="V577" s="286">
        <v>3162</v>
      </c>
      <c r="W577" s="286"/>
      <c r="X577" s="286"/>
      <c r="Y577" s="286"/>
      <c r="Z577" s="286"/>
      <c r="AA577" s="286"/>
      <c r="AB577" s="286"/>
      <c r="AC577" s="286"/>
      <c r="AD577" s="286"/>
      <c r="AE577" s="286"/>
      <c r="AF577" s="286"/>
      <c r="AG577" s="286"/>
      <c r="AH577" s="286"/>
      <c r="AI577" s="286"/>
      <c r="AJ577" s="286"/>
      <c r="AK577" s="286"/>
      <c r="AL577" s="286"/>
      <c r="AM577" s="286"/>
      <c r="AN577" s="286"/>
      <c r="AO577" s="286"/>
      <c r="AP577" s="286"/>
      <c r="AQ577" s="286"/>
      <c r="AR577" s="286"/>
      <c r="AS577" s="286"/>
      <c r="AT577" s="286"/>
      <c r="AU577" s="286"/>
      <c r="AV577" s="286"/>
      <c r="AW577" s="286"/>
      <c r="AX577" s="286"/>
      <c r="AY577" s="286"/>
      <c r="AZ577" s="286"/>
      <c r="BA577" s="286"/>
      <c r="BB577" s="286"/>
      <c r="BC577" s="286"/>
      <c r="BD577" s="286"/>
      <c r="BE577" s="286"/>
      <c r="BF577" s="286"/>
      <c r="BG577" s="286"/>
      <c r="BH577" s="286"/>
      <c r="BI577" s="286"/>
      <c r="BJ577" s="286"/>
      <c r="BK577" s="286"/>
      <c r="BL577" s="286"/>
      <c r="BM577" s="286"/>
      <c r="BN577" s="286"/>
      <c r="BO577" s="286"/>
      <c r="BP577" s="286"/>
      <c r="BQ577" s="286"/>
      <c r="BR577" s="286"/>
      <c r="BS577" s="286"/>
      <c r="BT577" s="286"/>
      <c r="BU577" s="286"/>
      <c r="BV577" s="286"/>
      <c r="BW577" s="286"/>
      <c r="BX577" s="286"/>
      <c r="BY577" s="286"/>
      <c r="BZ577" s="286"/>
      <c r="CA577" s="286"/>
      <c r="CB577" s="286"/>
      <c r="CC577" s="286"/>
      <c r="CD577" s="286"/>
      <c r="CE577" s="286"/>
      <c r="CF577" s="286"/>
      <c r="CG577" s="286"/>
      <c r="CH577" s="286"/>
      <c r="CI577" s="286"/>
      <c r="CJ577" s="286"/>
      <c r="CK577" s="286"/>
      <c r="CL577" s="286"/>
      <c r="CM577" s="286"/>
      <c r="CN577" s="286"/>
      <c r="CO577" s="286"/>
      <c r="CP577" s="286"/>
      <c r="CQ577" s="286"/>
      <c r="CR577" s="286"/>
      <c r="CS577" s="286"/>
      <c r="CT577" s="286"/>
      <c r="CU577" s="286"/>
      <c r="CV577" s="286"/>
      <c r="CW577" s="286"/>
      <c r="CX577" s="286"/>
      <c r="CY577" s="286"/>
      <c r="CZ577" s="286"/>
      <c r="DA577" s="286"/>
      <c r="DB577" s="286"/>
      <c r="DC577" s="286"/>
      <c r="DD577" s="286"/>
      <c r="DE577" s="286"/>
      <c r="DF577" s="286"/>
      <c r="DG577" s="286"/>
      <c r="DH577" s="286"/>
      <c r="DI577" s="286"/>
      <c r="DJ577" s="286"/>
      <c r="DK577" s="286"/>
      <c r="DL577" s="286"/>
      <c r="DM577" s="286"/>
      <c r="DN577" s="286"/>
      <c r="DO577" s="286"/>
      <c r="DP577" s="286"/>
      <c r="DQ577" s="286"/>
      <c r="DR577" s="286"/>
      <c r="DS577" s="286"/>
      <c r="DT577" s="286"/>
      <c r="DU577" s="286"/>
      <c r="DV577" s="286"/>
      <c r="DW577" s="286"/>
      <c r="DX577" s="286"/>
      <c r="DY577" s="286"/>
      <c r="DZ577" s="286"/>
      <c r="EA577" s="286"/>
      <c r="EB577" s="286"/>
      <c r="EC577" s="286"/>
      <c r="ED577" s="286"/>
      <c r="EE577" s="286"/>
      <c r="EF577" s="286"/>
      <c r="EG577" s="286"/>
      <c r="EH577" s="286"/>
      <c r="EI577" s="286"/>
      <c r="EJ577" s="286"/>
      <c r="EK577" s="286"/>
      <c r="EL577" s="286"/>
      <c r="EM577" s="286"/>
      <c r="EN577" s="286"/>
      <c r="EO577" s="286"/>
      <c r="EP577" s="286"/>
      <c r="EQ577" s="286"/>
      <c r="ER577" s="286"/>
      <c r="ES577" s="286"/>
      <c r="ET577" s="286"/>
      <c r="EU577" s="286"/>
      <c r="EV577" s="286"/>
      <c r="EW577" s="286"/>
      <c r="EX577" s="286"/>
      <c r="EY577" s="286"/>
      <c r="EZ577" s="286"/>
      <c r="FA577" s="286"/>
      <c r="FB577" s="286"/>
      <c r="FC577" s="286"/>
      <c r="FD577" s="286"/>
      <c r="FE577" s="286"/>
      <c r="FF577" s="286"/>
      <c r="FG577" s="286"/>
      <c r="FH577" s="286"/>
      <c r="FI577" s="286"/>
      <c r="FJ577" s="286"/>
      <c r="FK577" s="286"/>
      <c r="FL577" s="286"/>
      <c r="FM577" s="286"/>
      <c r="FN577" s="286"/>
      <c r="FO577" s="286"/>
      <c r="FP577" s="286"/>
      <c r="FQ577" s="286"/>
      <c r="FR577" s="286"/>
      <c r="FS577" s="286"/>
    </row>
    <row r="578" spans="1:175">
      <c r="A578" s="212" t="s">
        <v>3159</v>
      </c>
      <c r="B578" s="212" t="s">
        <v>3160</v>
      </c>
      <c r="C578" s="212" t="s">
        <v>3432</v>
      </c>
      <c r="D578" s="212" t="s">
        <v>3748</v>
      </c>
      <c r="E578" s="212" t="s">
        <v>3757</v>
      </c>
      <c r="F578" s="278">
        <v>46658</v>
      </c>
      <c r="G578" s="278">
        <v>365032</v>
      </c>
      <c r="H578" s="287">
        <f t="shared" si="8"/>
        <v>4.4765938328694475</v>
      </c>
      <c r="I578" s="286">
        <v>2071</v>
      </c>
      <c r="J578" s="286">
        <v>16341</v>
      </c>
      <c r="K578" s="286">
        <v>7181</v>
      </c>
      <c r="L578" s="286">
        <v>8914</v>
      </c>
      <c r="M578" s="286">
        <v>13464</v>
      </c>
      <c r="N578" s="286">
        <v>5479</v>
      </c>
      <c r="O578" s="286">
        <v>7740</v>
      </c>
      <c r="P578" s="286">
        <v>2071</v>
      </c>
      <c r="Q578" s="286">
        <v>16341</v>
      </c>
      <c r="R578" s="286">
        <v>7181</v>
      </c>
      <c r="S578" s="286">
        <v>8914</v>
      </c>
      <c r="T578" s="286">
        <v>13464</v>
      </c>
      <c r="U578" s="286">
        <v>5479</v>
      </c>
      <c r="V578" s="286">
        <v>7740</v>
      </c>
      <c r="W578" s="286"/>
      <c r="X578" s="286"/>
      <c r="Y578" s="286"/>
      <c r="Z578" s="286"/>
      <c r="AA578" s="286"/>
      <c r="AB578" s="286"/>
      <c r="AC578" s="286"/>
      <c r="AD578" s="286"/>
      <c r="AE578" s="286"/>
      <c r="AF578" s="286"/>
      <c r="AG578" s="286"/>
      <c r="AH578" s="286"/>
      <c r="AI578" s="286"/>
      <c r="AJ578" s="286"/>
      <c r="AK578" s="286"/>
      <c r="AL578" s="286"/>
      <c r="AM578" s="286"/>
      <c r="AN578" s="286"/>
      <c r="AO578" s="286"/>
      <c r="AP578" s="286"/>
      <c r="AQ578" s="286"/>
      <c r="AR578" s="286"/>
      <c r="AS578" s="286"/>
      <c r="AT578" s="286"/>
      <c r="AU578" s="286"/>
      <c r="AV578" s="286"/>
      <c r="AW578" s="286"/>
      <c r="AX578" s="286"/>
      <c r="AY578" s="286"/>
      <c r="AZ578" s="286"/>
      <c r="BA578" s="286"/>
      <c r="BB578" s="286"/>
      <c r="BC578" s="286"/>
      <c r="BD578" s="286"/>
      <c r="BE578" s="286"/>
      <c r="BF578" s="286"/>
      <c r="BG578" s="286"/>
      <c r="BH578" s="286"/>
      <c r="BI578" s="286"/>
      <c r="BJ578" s="286"/>
      <c r="BK578" s="286"/>
      <c r="BL578" s="286"/>
      <c r="BM578" s="286"/>
      <c r="BN578" s="286"/>
      <c r="BO578" s="286"/>
      <c r="BP578" s="286"/>
      <c r="BQ578" s="286"/>
      <c r="BR578" s="286"/>
      <c r="BS578" s="286"/>
      <c r="BT578" s="286"/>
      <c r="BU578" s="286"/>
      <c r="BV578" s="286"/>
      <c r="BW578" s="286"/>
      <c r="BX578" s="286"/>
      <c r="BY578" s="286"/>
      <c r="BZ578" s="286"/>
      <c r="CA578" s="286"/>
      <c r="CB578" s="286"/>
      <c r="CC578" s="286"/>
      <c r="CD578" s="286"/>
      <c r="CE578" s="286"/>
      <c r="CF578" s="286"/>
      <c r="CG578" s="286"/>
      <c r="CH578" s="286"/>
      <c r="CI578" s="286"/>
      <c r="CJ578" s="286"/>
      <c r="CK578" s="286"/>
      <c r="CL578" s="286"/>
      <c r="CM578" s="286"/>
      <c r="CN578" s="286"/>
      <c r="CO578" s="286"/>
      <c r="CP578" s="286"/>
      <c r="CQ578" s="286"/>
      <c r="CR578" s="286"/>
      <c r="CS578" s="286"/>
      <c r="CT578" s="286"/>
      <c r="CU578" s="286"/>
      <c r="CV578" s="286"/>
      <c r="CW578" s="286"/>
      <c r="CX578" s="286"/>
      <c r="CY578" s="286"/>
      <c r="CZ578" s="286"/>
      <c r="DA578" s="286"/>
      <c r="DB578" s="286"/>
      <c r="DC578" s="286"/>
      <c r="DD578" s="286"/>
      <c r="DE578" s="286"/>
      <c r="DF578" s="286"/>
      <c r="DG578" s="286"/>
      <c r="DH578" s="286"/>
      <c r="DI578" s="286"/>
      <c r="DJ578" s="286"/>
      <c r="DK578" s="286"/>
      <c r="DL578" s="286"/>
      <c r="DM578" s="286"/>
      <c r="DN578" s="286"/>
      <c r="DO578" s="286"/>
      <c r="DP578" s="286"/>
      <c r="DQ578" s="286"/>
      <c r="DR578" s="286"/>
      <c r="DS578" s="286"/>
      <c r="DT578" s="286"/>
      <c r="DU578" s="286"/>
      <c r="DV578" s="286"/>
      <c r="DW578" s="286"/>
      <c r="DX578" s="286"/>
      <c r="DY578" s="286"/>
      <c r="DZ578" s="286"/>
      <c r="EA578" s="286"/>
      <c r="EB578" s="286"/>
      <c r="EC578" s="286"/>
      <c r="ED578" s="286"/>
      <c r="EE578" s="286"/>
      <c r="EF578" s="286"/>
      <c r="EG578" s="286"/>
      <c r="EH578" s="286"/>
      <c r="EI578" s="286"/>
      <c r="EJ578" s="286"/>
      <c r="EK578" s="286"/>
      <c r="EL578" s="286"/>
      <c r="EM578" s="286"/>
      <c r="EN578" s="286"/>
      <c r="EO578" s="286"/>
      <c r="EP578" s="286"/>
      <c r="EQ578" s="286"/>
      <c r="ER578" s="286"/>
      <c r="ES578" s="286"/>
      <c r="ET578" s="286"/>
      <c r="EU578" s="286"/>
      <c r="EV578" s="286"/>
      <c r="EW578" s="286"/>
      <c r="EX578" s="286"/>
      <c r="EY578" s="286"/>
      <c r="EZ578" s="286"/>
      <c r="FA578" s="286"/>
      <c r="FB578" s="286"/>
      <c r="FC578" s="286"/>
      <c r="FD578" s="286"/>
      <c r="FE578" s="286"/>
      <c r="FF578" s="286"/>
      <c r="FG578" s="286"/>
      <c r="FH578" s="286"/>
      <c r="FI578" s="286"/>
      <c r="FJ578" s="286"/>
      <c r="FK578" s="286"/>
      <c r="FL578" s="286"/>
      <c r="FM578" s="286"/>
      <c r="FN578" s="286"/>
      <c r="FO578" s="286"/>
      <c r="FP578" s="286"/>
      <c r="FQ578" s="286"/>
      <c r="FR578" s="286"/>
      <c r="FS578" s="286"/>
    </row>
    <row r="579" spans="1:175">
      <c r="A579" s="212" t="s">
        <v>3159</v>
      </c>
      <c r="B579" s="212" t="s">
        <v>3160</v>
      </c>
      <c r="C579" s="212" t="s">
        <v>3172</v>
      </c>
      <c r="D579" s="212" t="s">
        <v>3748</v>
      </c>
      <c r="E579" s="212" t="s">
        <v>3758</v>
      </c>
      <c r="F579" s="278">
        <v>24982</v>
      </c>
      <c r="G579" s="278">
        <v>176144</v>
      </c>
      <c r="H579" s="287">
        <f t="shared" si="8"/>
        <v>3.8565037696430196</v>
      </c>
      <c r="I579" s="286">
        <v>837</v>
      </c>
      <c r="J579" s="286">
        <v>6793</v>
      </c>
      <c r="K579" s="286">
        <v>2406</v>
      </c>
      <c r="L579" s="286">
        <v>4387</v>
      </c>
      <c r="M579" s="286">
        <v>5636</v>
      </c>
      <c r="N579" s="286">
        <v>1788</v>
      </c>
      <c r="O579" s="286">
        <v>3848</v>
      </c>
      <c r="P579" s="286">
        <v>837</v>
      </c>
      <c r="Q579" s="286">
        <v>6793</v>
      </c>
      <c r="R579" s="286">
        <v>2406</v>
      </c>
      <c r="S579" s="286">
        <v>4387</v>
      </c>
      <c r="T579" s="286">
        <v>5636</v>
      </c>
      <c r="U579" s="286">
        <v>1788</v>
      </c>
      <c r="V579" s="286">
        <v>3848</v>
      </c>
      <c r="W579" s="286"/>
      <c r="X579" s="286"/>
      <c r="Y579" s="286"/>
      <c r="Z579" s="286"/>
      <c r="AA579" s="286"/>
      <c r="AB579" s="286"/>
      <c r="AC579" s="286"/>
      <c r="AD579" s="286"/>
      <c r="AE579" s="286"/>
      <c r="AF579" s="286"/>
      <c r="AG579" s="286"/>
      <c r="AH579" s="286"/>
      <c r="AI579" s="286"/>
      <c r="AJ579" s="286"/>
      <c r="AK579" s="286"/>
      <c r="AL579" s="286"/>
      <c r="AM579" s="286"/>
      <c r="AN579" s="286"/>
      <c r="AO579" s="286"/>
      <c r="AP579" s="286"/>
      <c r="AQ579" s="286"/>
      <c r="AR579" s="286"/>
      <c r="AS579" s="286"/>
      <c r="AT579" s="286"/>
      <c r="AU579" s="286"/>
      <c r="AV579" s="286"/>
      <c r="AW579" s="286"/>
      <c r="AX579" s="286"/>
      <c r="AY579" s="286"/>
      <c r="AZ579" s="286"/>
      <c r="BA579" s="286"/>
      <c r="BB579" s="286"/>
      <c r="BC579" s="286"/>
      <c r="BD579" s="286"/>
      <c r="BE579" s="286"/>
      <c r="BF579" s="286"/>
      <c r="BG579" s="286"/>
      <c r="BH579" s="286"/>
      <c r="BI579" s="286"/>
      <c r="BJ579" s="286"/>
      <c r="BK579" s="286"/>
      <c r="BL579" s="286"/>
      <c r="BM579" s="286"/>
      <c r="BN579" s="286"/>
      <c r="BO579" s="286"/>
      <c r="BP579" s="286"/>
      <c r="BQ579" s="286"/>
      <c r="BR579" s="286"/>
      <c r="BS579" s="286"/>
      <c r="BT579" s="286"/>
      <c r="BU579" s="286"/>
      <c r="BV579" s="286"/>
      <c r="BW579" s="286"/>
      <c r="BX579" s="286"/>
      <c r="BY579" s="286"/>
      <c r="BZ579" s="286"/>
      <c r="CA579" s="286"/>
      <c r="CB579" s="286"/>
      <c r="CC579" s="286"/>
      <c r="CD579" s="286"/>
      <c r="CE579" s="286"/>
      <c r="CF579" s="286"/>
      <c r="CG579" s="286"/>
      <c r="CH579" s="286"/>
      <c r="CI579" s="286"/>
      <c r="CJ579" s="286"/>
      <c r="CK579" s="286"/>
      <c r="CL579" s="286"/>
      <c r="CM579" s="286"/>
      <c r="CN579" s="286"/>
      <c r="CO579" s="286"/>
      <c r="CP579" s="286"/>
      <c r="CQ579" s="286"/>
      <c r="CR579" s="286"/>
      <c r="CS579" s="286"/>
      <c r="CT579" s="286"/>
      <c r="CU579" s="286"/>
      <c r="CV579" s="286"/>
      <c r="CW579" s="286"/>
      <c r="CX579" s="286"/>
      <c r="CY579" s="286"/>
      <c r="CZ579" s="286"/>
      <c r="DA579" s="286"/>
      <c r="DB579" s="286"/>
      <c r="DC579" s="286"/>
      <c r="DD579" s="286"/>
      <c r="DE579" s="286"/>
      <c r="DF579" s="286"/>
      <c r="DG579" s="286"/>
      <c r="DH579" s="286"/>
      <c r="DI579" s="286"/>
      <c r="DJ579" s="286"/>
      <c r="DK579" s="286"/>
      <c r="DL579" s="286"/>
      <c r="DM579" s="286"/>
      <c r="DN579" s="286"/>
      <c r="DO579" s="286"/>
      <c r="DP579" s="286"/>
      <c r="DQ579" s="286"/>
      <c r="DR579" s="286"/>
      <c r="DS579" s="286"/>
      <c r="DT579" s="286"/>
      <c r="DU579" s="286"/>
      <c r="DV579" s="286"/>
      <c r="DW579" s="286"/>
      <c r="DX579" s="286"/>
      <c r="DY579" s="286"/>
      <c r="DZ579" s="286"/>
      <c r="EA579" s="286"/>
      <c r="EB579" s="286"/>
      <c r="EC579" s="286"/>
      <c r="ED579" s="286"/>
      <c r="EE579" s="286"/>
      <c r="EF579" s="286"/>
      <c r="EG579" s="286"/>
      <c r="EH579" s="286"/>
      <c r="EI579" s="286"/>
      <c r="EJ579" s="286"/>
      <c r="EK579" s="286"/>
      <c r="EL579" s="286"/>
      <c r="EM579" s="286"/>
      <c r="EN579" s="286"/>
      <c r="EO579" s="286"/>
      <c r="EP579" s="286"/>
      <c r="EQ579" s="286"/>
      <c r="ER579" s="286"/>
      <c r="ES579" s="286"/>
      <c r="ET579" s="286"/>
      <c r="EU579" s="286"/>
      <c r="EV579" s="286"/>
      <c r="EW579" s="286"/>
      <c r="EX579" s="286"/>
      <c r="EY579" s="286"/>
      <c r="EZ579" s="286"/>
      <c r="FA579" s="286"/>
      <c r="FB579" s="286"/>
      <c r="FC579" s="286"/>
      <c r="FD579" s="286"/>
      <c r="FE579" s="286"/>
      <c r="FF579" s="286"/>
      <c r="FG579" s="286"/>
      <c r="FH579" s="286"/>
      <c r="FI579" s="286"/>
      <c r="FJ579" s="286"/>
      <c r="FK579" s="286"/>
      <c r="FL579" s="286"/>
      <c r="FM579" s="286"/>
      <c r="FN579" s="286"/>
      <c r="FO579" s="286"/>
      <c r="FP579" s="286"/>
      <c r="FQ579" s="286"/>
      <c r="FR579" s="286"/>
      <c r="FS579" s="286"/>
    </row>
    <row r="580" spans="1:175">
      <c r="A580" s="212" t="s">
        <v>3159</v>
      </c>
      <c r="B580" s="212" t="s">
        <v>3160</v>
      </c>
      <c r="C580" s="212" t="s">
        <v>3172</v>
      </c>
      <c r="D580" s="212" t="s">
        <v>3748</v>
      </c>
      <c r="E580" s="212" t="s">
        <v>3759</v>
      </c>
      <c r="F580" s="278">
        <v>19122</v>
      </c>
      <c r="G580" s="278">
        <v>254523</v>
      </c>
      <c r="H580" s="287">
        <f t="shared" si="8"/>
        <v>4.6023345630846721</v>
      </c>
      <c r="I580" s="286">
        <v>782</v>
      </c>
      <c r="J580" s="286">
        <v>11714</v>
      </c>
      <c r="K580" s="286">
        <v>5124</v>
      </c>
      <c r="L580" s="286">
        <v>6590</v>
      </c>
      <c r="M580" s="286">
        <v>10539</v>
      </c>
      <c r="N580" s="286">
        <v>4430</v>
      </c>
      <c r="O580" s="286">
        <v>6109</v>
      </c>
      <c r="P580" s="286">
        <v>782</v>
      </c>
      <c r="Q580" s="286">
        <v>11714</v>
      </c>
      <c r="R580" s="286">
        <v>5124</v>
      </c>
      <c r="S580" s="286">
        <v>6590</v>
      </c>
      <c r="T580" s="286">
        <v>10539</v>
      </c>
      <c r="U580" s="286">
        <v>4430</v>
      </c>
      <c r="V580" s="286">
        <v>6109</v>
      </c>
      <c r="W580" s="286"/>
      <c r="X580" s="286"/>
      <c r="Y580" s="286"/>
      <c r="Z580" s="286"/>
      <c r="AA580" s="286"/>
      <c r="AB580" s="286"/>
      <c r="AC580" s="286"/>
      <c r="AD580" s="286"/>
      <c r="AE580" s="286"/>
      <c r="AF580" s="286"/>
      <c r="AG580" s="286"/>
      <c r="AH580" s="286"/>
      <c r="AI580" s="286"/>
      <c r="AJ580" s="286"/>
      <c r="AK580" s="286"/>
      <c r="AL580" s="286"/>
      <c r="AM580" s="286"/>
      <c r="AN580" s="286"/>
      <c r="AO580" s="286"/>
      <c r="AP580" s="286"/>
      <c r="AQ580" s="286"/>
      <c r="AR580" s="286"/>
      <c r="AS580" s="286"/>
      <c r="AT580" s="286"/>
      <c r="AU580" s="286"/>
      <c r="AV580" s="286"/>
      <c r="AW580" s="286"/>
      <c r="AX580" s="286"/>
      <c r="AY580" s="286"/>
      <c r="AZ580" s="286"/>
      <c r="BA580" s="286"/>
      <c r="BB580" s="286"/>
      <c r="BC580" s="286"/>
      <c r="BD580" s="286"/>
      <c r="BE580" s="286"/>
      <c r="BF580" s="286"/>
      <c r="BG580" s="286"/>
      <c r="BH580" s="286"/>
      <c r="BI580" s="286"/>
      <c r="BJ580" s="286"/>
      <c r="BK580" s="286"/>
      <c r="BL580" s="286"/>
      <c r="BM580" s="286"/>
      <c r="BN580" s="286"/>
      <c r="BO580" s="286"/>
      <c r="BP580" s="286"/>
      <c r="BQ580" s="286"/>
      <c r="BR580" s="286"/>
      <c r="BS580" s="286"/>
      <c r="BT580" s="286"/>
      <c r="BU580" s="286"/>
      <c r="BV580" s="286"/>
      <c r="BW580" s="286"/>
      <c r="BX580" s="286"/>
      <c r="BY580" s="286"/>
      <c r="BZ580" s="286"/>
      <c r="CA580" s="286"/>
      <c r="CB580" s="286"/>
      <c r="CC580" s="286"/>
      <c r="CD580" s="286"/>
      <c r="CE580" s="286"/>
      <c r="CF580" s="286"/>
      <c r="CG580" s="286"/>
      <c r="CH580" s="286"/>
      <c r="CI580" s="286"/>
      <c r="CJ580" s="286"/>
      <c r="CK580" s="286"/>
      <c r="CL580" s="286"/>
      <c r="CM580" s="286"/>
      <c r="CN580" s="286"/>
      <c r="CO580" s="286"/>
      <c r="CP580" s="286"/>
      <c r="CQ580" s="286"/>
      <c r="CR580" s="286"/>
      <c r="CS580" s="286"/>
      <c r="CT580" s="286"/>
      <c r="CU580" s="286"/>
      <c r="CV580" s="286"/>
      <c r="CW580" s="286"/>
      <c r="CX580" s="286"/>
      <c r="CY580" s="286"/>
      <c r="CZ580" s="286"/>
      <c r="DA580" s="286"/>
      <c r="DB580" s="286"/>
      <c r="DC580" s="286"/>
      <c r="DD580" s="286"/>
      <c r="DE580" s="286"/>
      <c r="DF580" s="286"/>
      <c r="DG580" s="286"/>
      <c r="DH580" s="286"/>
      <c r="DI580" s="286"/>
      <c r="DJ580" s="286"/>
      <c r="DK580" s="286"/>
      <c r="DL580" s="286"/>
      <c r="DM580" s="286"/>
      <c r="DN580" s="286"/>
      <c r="DO580" s="286"/>
      <c r="DP580" s="286"/>
      <c r="DQ580" s="286"/>
      <c r="DR580" s="286"/>
      <c r="DS580" s="286"/>
      <c r="DT580" s="286"/>
      <c r="DU580" s="286"/>
      <c r="DV580" s="286"/>
      <c r="DW580" s="286"/>
      <c r="DX580" s="286"/>
      <c r="DY580" s="286"/>
      <c r="DZ580" s="286"/>
      <c r="EA580" s="286"/>
      <c r="EB580" s="286"/>
      <c r="EC580" s="286"/>
      <c r="ED580" s="286"/>
      <c r="EE580" s="286"/>
      <c r="EF580" s="286"/>
      <c r="EG580" s="286"/>
      <c r="EH580" s="286"/>
      <c r="EI580" s="286"/>
      <c r="EJ580" s="286"/>
      <c r="EK580" s="286"/>
      <c r="EL580" s="286"/>
      <c r="EM580" s="286"/>
      <c r="EN580" s="286"/>
      <c r="EO580" s="286"/>
      <c r="EP580" s="286"/>
      <c r="EQ580" s="286"/>
      <c r="ER580" s="286"/>
      <c r="ES580" s="286"/>
      <c r="ET580" s="286"/>
      <c r="EU580" s="286"/>
      <c r="EV580" s="286"/>
      <c r="EW580" s="286"/>
      <c r="EX580" s="286"/>
      <c r="EY580" s="286"/>
      <c r="EZ580" s="286"/>
      <c r="FA580" s="286"/>
      <c r="FB580" s="286"/>
      <c r="FC580" s="286"/>
      <c r="FD580" s="286"/>
      <c r="FE580" s="286"/>
      <c r="FF580" s="286"/>
      <c r="FG580" s="286"/>
      <c r="FH580" s="286"/>
      <c r="FI580" s="286"/>
      <c r="FJ580" s="286"/>
      <c r="FK580" s="286"/>
      <c r="FL580" s="286"/>
      <c r="FM580" s="286"/>
      <c r="FN580" s="286"/>
      <c r="FO580" s="286"/>
      <c r="FP580" s="286"/>
      <c r="FQ580" s="286"/>
      <c r="FR580" s="286"/>
      <c r="FS580" s="286"/>
    </row>
    <row r="581" spans="1:175">
      <c r="A581" s="212" t="s">
        <v>3159</v>
      </c>
      <c r="B581" s="212" t="s">
        <v>3160</v>
      </c>
      <c r="C581" s="212" t="s">
        <v>3172</v>
      </c>
      <c r="D581" s="212" t="s">
        <v>3748</v>
      </c>
      <c r="E581" s="212" t="s">
        <v>3760</v>
      </c>
      <c r="F581" s="278">
        <v>99096</v>
      </c>
      <c r="G581" s="278">
        <v>491816</v>
      </c>
      <c r="H581" s="287">
        <f t="shared" si="8"/>
        <v>3.819721196545049</v>
      </c>
      <c r="I581" s="286">
        <v>3803</v>
      </c>
      <c r="J581" s="286">
        <v>18786</v>
      </c>
      <c r="K581" s="286">
        <v>9331</v>
      </c>
      <c r="L581" s="286">
        <v>9388</v>
      </c>
      <c r="M581" s="286">
        <v>13173</v>
      </c>
      <c r="N581" s="286">
        <v>6226</v>
      </c>
      <c r="O581" s="286">
        <v>6883</v>
      </c>
      <c r="P581" s="286">
        <v>3803</v>
      </c>
      <c r="Q581" s="286">
        <v>18786</v>
      </c>
      <c r="R581" s="286">
        <v>9331</v>
      </c>
      <c r="S581" s="286">
        <v>9388</v>
      </c>
      <c r="T581" s="286">
        <v>13173</v>
      </c>
      <c r="U581" s="286">
        <v>6226</v>
      </c>
      <c r="V581" s="286">
        <v>6883</v>
      </c>
      <c r="W581" s="286"/>
      <c r="X581" s="286"/>
      <c r="Y581" s="286"/>
      <c r="Z581" s="286"/>
      <c r="AA581" s="286"/>
      <c r="AB581" s="286"/>
      <c r="AC581" s="286"/>
      <c r="AD581" s="286"/>
      <c r="AE581" s="286"/>
      <c r="AF581" s="286"/>
      <c r="AG581" s="286"/>
      <c r="AH581" s="286"/>
      <c r="AI581" s="286"/>
      <c r="AJ581" s="286"/>
      <c r="AK581" s="286"/>
      <c r="AL581" s="286"/>
      <c r="AM581" s="286"/>
      <c r="AN581" s="286"/>
      <c r="AO581" s="286"/>
      <c r="AP581" s="286"/>
      <c r="AQ581" s="286"/>
      <c r="AR581" s="286"/>
      <c r="AS581" s="286"/>
      <c r="AT581" s="286"/>
      <c r="AU581" s="286"/>
      <c r="AV581" s="286"/>
      <c r="AW581" s="286"/>
      <c r="AX581" s="286"/>
      <c r="AY581" s="286"/>
      <c r="AZ581" s="286"/>
      <c r="BA581" s="286"/>
      <c r="BB581" s="286"/>
      <c r="BC581" s="286"/>
      <c r="BD581" s="286"/>
      <c r="BE581" s="286"/>
      <c r="BF581" s="286"/>
      <c r="BG581" s="286"/>
      <c r="BH581" s="286"/>
      <c r="BI581" s="286"/>
      <c r="BJ581" s="286"/>
      <c r="BK581" s="286"/>
      <c r="BL581" s="286"/>
      <c r="BM581" s="286"/>
      <c r="BN581" s="286"/>
      <c r="BO581" s="286"/>
      <c r="BP581" s="286"/>
      <c r="BQ581" s="286"/>
      <c r="BR581" s="286"/>
      <c r="BS581" s="286"/>
      <c r="BT581" s="286"/>
      <c r="BU581" s="286"/>
      <c r="BV581" s="286"/>
      <c r="BW581" s="286"/>
      <c r="BX581" s="286"/>
      <c r="BY581" s="286"/>
      <c r="BZ581" s="286"/>
      <c r="CA581" s="286"/>
      <c r="CB581" s="286"/>
      <c r="CC581" s="286"/>
      <c r="CD581" s="286"/>
      <c r="CE581" s="286"/>
      <c r="CF581" s="286"/>
      <c r="CG581" s="286"/>
      <c r="CH581" s="286"/>
      <c r="CI581" s="286"/>
      <c r="CJ581" s="286"/>
      <c r="CK581" s="286"/>
      <c r="CL581" s="286"/>
      <c r="CM581" s="286"/>
      <c r="CN581" s="286"/>
      <c r="CO581" s="286"/>
      <c r="CP581" s="286"/>
      <c r="CQ581" s="286"/>
      <c r="CR581" s="286"/>
      <c r="CS581" s="286"/>
      <c r="CT581" s="286"/>
      <c r="CU581" s="286"/>
      <c r="CV581" s="286"/>
      <c r="CW581" s="286"/>
      <c r="CX581" s="286"/>
      <c r="CY581" s="286"/>
      <c r="CZ581" s="286"/>
      <c r="DA581" s="286"/>
      <c r="DB581" s="286"/>
      <c r="DC581" s="286"/>
      <c r="DD581" s="286"/>
      <c r="DE581" s="286"/>
      <c r="DF581" s="286"/>
      <c r="DG581" s="286"/>
      <c r="DH581" s="286"/>
      <c r="DI581" s="286"/>
      <c r="DJ581" s="286"/>
      <c r="DK581" s="286"/>
      <c r="DL581" s="286"/>
      <c r="DM581" s="286"/>
      <c r="DN581" s="286"/>
      <c r="DO581" s="286"/>
      <c r="DP581" s="286"/>
      <c r="DQ581" s="286"/>
      <c r="DR581" s="286"/>
      <c r="DS581" s="286"/>
      <c r="DT581" s="286"/>
      <c r="DU581" s="286"/>
      <c r="DV581" s="286"/>
      <c r="DW581" s="286"/>
      <c r="DX581" s="286"/>
      <c r="DY581" s="286"/>
      <c r="DZ581" s="286"/>
      <c r="EA581" s="286"/>
      <c r="EB581" s="286"/>
      <c r="EC581" s="286"/>
      <c r="ED581" s="286"/>
      <c r="EE581" s="286"/>
      <c r="EF581" s="286"/>
      <c r="EG581" s="286"/>
      <c r="EH581" s="286"/>
      <c r="EI581" s="286"/>
      <c r="EJ581" s="286"/>
      <c r="EK581" s="286"/>
      <c r="EL581" s="286"/>
      <c r="EM581" s="286"/>
      <c r="EN581" s="286"/>
      <c r="EO581" s="286"/>
      <c r="EP581" s="286"/>
      <c r="EQ581" s="286"/>
      <c r="ER581" s="286"/>
      <c r="ES581" s="286"/>
      <c r="ET581" s="286"/>
      <c r="EU581" s="286"/>
      <c r="EV581" s="286"/>
      <c r="EW581" s="286"/>
      <c r="EX581" s="286"/>
      <c r="EY581" s="286"/>
      <c r="EZ581" s="286"/>
      <c r="FA581" s="286"/>
      <c r="FB581" s="286"/>
      <c r="FC581" s="286"/>
      <c r="FD581" s="286"/>
      <c r="FE581" s="286"/>
      <c r="FF581" s="286"/>
      <c r="FG581" s="286"/>
      <c r="FH581" s="286"/>
      <c r="FI581" s="286"/>
      <c r="FJ581" s="286"/>
      <c r="FK581" s="286"/>
      <c r="FL581" s="286"/>
      <c r="FM581" s="286"/>
      <c r="FN581" s="286"/>
      <c r="FO581" s="286"/>
      <c r="FP581" s="286"/>
      <c r="FQ581" s="286"/>
      <c r="FR581" s="286"/>
      <c r="FS581" s="286"/>
    </row>
    <row r="582" spans="1:175">
      <c r="A582" s="212" t="s">
        <v>3159</v>
      </c>
      <c r="B582" s="212" t="s">
        <v>3160</v>
      </c>
      <c r="C582" s="212" t="s">
        <v>3172</v>
      </c>
      <c r="D582" s="212" t="s">
        <v>3748</v>
      </c>
      <c r="E582" s="212" t="s">
        <v>3761</v>
      </c>
      <c r="F582" s="278">
        <v>72341</v>
      </c>
      <c r="G582" s="278">
        <v>232061</v>
      </c>
      <c r="H582" s="287">
        <f t="shared" si="8"/>
        <v>4.1583893889968593</v>
      </c>
      <c r="I582" s="286">
        <v>3038</v>
      </c>
      <c r="J582" s="286">
        <v>9650</v>
      </c>
      <c r="K582" s="286">
        <v>2164</v>
      </c>
      <c r="L582" s="286">
        <v>7476</v>
      </c>
      <c r="M582" s="286">
        <v>5719</v>
      </c>
      <c r="N582" s="286">
        <v>1031</v>
      </c>
      <c r="O582" s="286">
        <v>4678</v>
      </c>
      <c r="P582" s="286">
        <v>3038</v>
      </c>
      <c r="Q582" s="286">
        <v>9650</v>
      </c>
      <c r="R582" s="286">
        <v>2164</v>
      </c>
      <c r="S582" s="286">
        <v>7476</v>
      </c>
      <c r="T582" s="286">
        <v>5719</v>
      </c>
      <c r="U582" s="286">
        <v>1031</v>
      </c>
      <c r="V582" s="286">
        <v>4678</v>
      </c>
      <c r="W582" s="286"/>
      <c r="X582" s="286"/>
      <c r="Y582" s="286"/>
      <c r="Z582" s="286"/>
      <c r="AA582" s="286"/>
      <c r="AB582" s="286"/>
      <c r="AC582" s="286"/>
      <c r="AD582" s="286"/>
      <c r="AE582" s="286"/>
      <c r="AF582" s="286"/>
      <c r="AG582" s="286"/>
      <c r="AH582" s="286"/>
      <c r="AI582" s="286"/>
      <c r="AJ582" s="286"/>
      <c r="AK582" s="286"/>
      <c r="AL582" s="286"/>
      <c r="AM582" s="286"/>
      <c r="AN582" s="286"/>
      <c r="AO582" s="286"/>
      <c r="AP582" s="286"/>
      <c r="AQ582" s="286"/>
      <c r="AR582" s="286"/>
      <c r="AS582" s="286"/>
      <c r="AT582" s="286"/>
      <c r="AU582" s="286"/>
      <c r="AV582" s="286"/>
      <c r="AW582" s="286"/>
      <c r="AX582" s="286"/>
      <c r="AY582" s="286"/>
      <c r="AZ582" s="286"/>
      <c r="BA582" s="286"/>
      <c r="BB582" s="286"/>
      <c r="BC582" s="286"/>
      <c r="BD582" s="286"/>
      <c r="BE582" s="286"/>
      <c r="BF582" s="286"/>
      <c r="BG582" s="286"/>
      <c r="BH582" s="286"/>
      <c r="BI582" s="286"/>
      <c r="BJ582" s="286"/>
      <c r="BK582" s="286"/>
      <c r="BL582" s="286"/>
      <c r="BM582" s="286"/>
      <c r="BN582" s="286"/>
      <c r="BO582" s="286"/>
      <c r="BP582" s="286"/>
      <c r="BQ582" s="286"/>
      <c r="BR582" s="286"/>
      <c r="BS582" s="286"/>
      <c r="BT582" s="286"/>
      <c r="BU582" s="286"/>
      <c r="BV582" s="286"/>
      <c r="BW582" s="286"/>
      <c r="BX582" s="286"/>
      <c r="BY582" s="286"/>
      <c r="BZ582" s="286"/>
      <c r="CA582" s="286"/>
      <c r="CB582" s="286"/>
      <c r="CC582" s="286"/>
      <c r="CD582" s="286"/>
      <c r="CE582" s="286"/>
      <c r="CF582" s="286"/>
      <c r="CG582" s="286"/>
      <c r="CH582" s="286"/>
      <c r="CI582" s="286"/>
      <c r="CJ582" s="286"/>
      <c r="CK582" s="286"/>
      <c r="CL582" s="286"/>
      <c r="CM582" s="286"/>
      <c r="CN582" s="286"/>
      <c r="CO582" s="286"/>
      <c r="CP582" s="286"/>
      <c r="CQ582" s="286"/>
      <c r="CR582" s="286"/>
      <c r="CS582" s="286"/>
      <c r="CT582" s="286"/>
      <c r="CU582" s="286"/>
      <c r="CV582" s="286"/>
      <c r="CW582" s="286"/>
      <c r="CX582" s="286"/>
      <c r="CY582" s="286"/>
      <c r="CZ582" s="286"/>
      <c r="DA582" s="286"/>
      <c r="DB582" s="286"/>
      <c r="DC582" s="286"/>
      <c r="DD582" s="286"/>
      <c r="DE582" s="286"/>
      <c r="DF582" s="286"/>
      <c r="DG582" s="286"/>
      <c r="DH582" s="286"/>
      <c r="DI582" s="286"/>
      <c r="DJ582" s="286"/>
      <c r="DK582" s="286"/>
      <c r="DL582" s="286"/>
      <c r="DM582" s="286"/>
      <c r="DN582" s="286"/>
      <c r="DO582" s="286"/>
      <c r="DP582" s="286"/>
      <c r="DQ582" s="286"/>
      <c r="DR582" s="286"/>
      <c r="DS582" s="286"/>
      <c r="DT582" s="286"/>
      <c r="DU582" s="286"/>
      <c r="DV582" s="286"/>
      <c r="DW582" s="286"/>
      <c r="DX582" s="286"/>
      <c r="DY582" s="286"/>
      <c r="DZ582" s="286"/>
      <c r="EA582" s="286"/>
      <c r="EB582" s="286"/>
      <c r="EC582" s="286"/>
      <c r="ED582" s="286"/>
      <c r="EE582" s="286"/>
      <c r="EF582" s="286"/>
      <c r="EG582" s="286"/>
      <c r="EH582" s="286"/>
      <c r="EI582" s="286"/>
      <c r="EJ582" s="286"/>
      <c r="EK582" s="286"/>
      <c r="EL582" s="286"/>
      <c r="EM582" s="286"/>
      <c r="EN582" s="286"/>
      <c r="EO582" s="286"/>
      <c r="EP582" s="286"/>
      <c r="EQ582" s="286"/>
      <c r="ER582" s="286"/>
      <c r="ES582" s="286"/>
      <c r="ET582" s="286"/>
      <c r="EU582" s="286"/>
      <c r="EV582" s="286"/>
      <c r="EW582" s="286"/>
      <c r="EX582" s="286"/>
      <c r="EY582" s="286"/>
      <c r="EZ582" s="286"/>
      <c r="FA582" s="286"/>
      <c r="FB582" s="286"/>
      <c r="FC582" s="286"/>
      <c r="FD582" s="286"/>
      <c r="FE582" s="286"/>
      <c r="FF582" s="286"/>
      <c r="FG582" s="286"/>
      <c r="FH582" s="286"/>
      <c r="FI582" s="286"/>
      <c r="FJ582" s="286"/>
      <c r="FK582" s="286"/>
      <c r="FL582" s="286"/>
      <c r="FM582" s="286"/>
      <c r="FN582" s="286"/>
      <c r="FO582" s="286"/>
      <c r="FP582" s="286"/>
      <c r="FQ582" s="286"/>
      <c r="FR582" s="286"/>
      <c r="FS582" s="286"/>
    </row>
    <row r="583" spans="1:175">
      <c r="A583" s="212" t="s">
        <v>3159</v>
      </c>
      <c r="B583" s="212" t="s">
        <v>3160</v>
      </c>
      <c r="C583" s="212" t="s">
        <v>3172</v>
      </c>
      <c r="D583" s="212" t="s">
        <v>3748</v>
      </c>
      <c r="E583" s="212" t="s">
        <v>3762</v>
      </c>
      <c r="F583" s="278">
        <v>58669</v>
      </c>
      <c r="G583" s="278">
        <v>307693</v>
      </c>
      <c r="H583" s="287">
        <f t="shared" si="8"/>
        <v>5.6202123545222022</v>
      </c>
      <c r="I583" s="286">
        <v>4038</v>
      </c>
      <c r="J583" s="286">
        <v>17293</v>
      </c>
      <c r="K583" s="286">
        <v>4428</v>
      </c>
      <c r="L583" s="286">
        <v>12835</v>
      </c>
      <c r="M583" s="286">
        <v>11705</v>
      </c>
      <c r="N583" s="286">
        <v>2387</v>
      </c>
      <c r="O583" s="286">
        <v>9289</v>
      </c>
      <c r="P583" s="286">
        <v>4038</v>
      </c>
      <c r="Q583" s="286">
        <v>17293</v>
      </c>
      <c r="R583" s="286">
        <v>4428</v>
      </c>
      <c r="S583" s="286">
        <v>12835</v>
      </c>
      <c r="T583" s="286">
        <v>11705</v>
      </c>
      <c r="U583" s="286">
        <v>2387</v>
      </c>
      <c r="V583" s="286">
        <v>9289</v>
      </c>
      <c r="W583" s="286"/>
      <c r="X583" s="286"/>
      <c r="Y583" s="286"/>
      <c r="Z583" s="286"/>
      <c r="AA583" s="286"/>
      <c r="AB583" s="286"/>
      <c r="AC583" s="286"/>
      <c r="AD583" s="286"/>
      <c r="AE583" s="286"/>
      <c r="AF583" s="286"/>
      <c r="AG583" s="286"/>
      <c r="AH583" s="286"/>
      <c r="AI583" s="286"/>
      <c r="AJ583" s="286"/>
      <c r="AK583" s="286"/>
      <c r="AL583" s="286"/>
      <c r="AM583" s="286"/>
      <c r="AN583" s="286"/>
      <c r="AO583" s="286"/>
      <c r="AP583" s="286"/>
      <c r="AQ583" s="286"/>
      <c r="AR583" s="286"/>
      <c r="AS583" s="286"/>
      <c r="AT583" s="286"/>
      <c r="AU583" s="286"/>
      <c r="AV583" s="286"/>
      <c r="AW583" s="286"/>
      <c r="AX583" s="286"/>
      <c r="AY583" s="286"/>
      <c r="AZ583" s="286"/>
      <c r="BA583" s="286"/>
      <c r="BB583" s="286"/>
      <c r="BC583" s="286"/>
      <c r="BD583" s="286"/>
      <c r="BE583" s="286"/>
      <c r="BF583" s="286"/>
      <c r="BG583" s="286"/>
      <c r="BH583" s="286"/>
      <c r="BI583" s="286"/>
      <c r="BJ583" s="286"/>
      <c r="BK583" s="286"/>
      <c r="BL583" s="286"/>
      <c r="BM583" s="286"/>
      <c r="BN583" s="286"/>
      <c r="BO583" s="286"/>
      <c r="BP583" s="286"/>
      <c r="BQ583" s="286"/>
      <c r="BR583" s="286"/>
      <c r="BS583" s="286"/>
      <c r="BT583" s="286"/>
      <c r="BU583" s="286"/>
      <c r="BV583" s="286"/>
      <c r="BW583" s="286"/>
      <c r="BX583" s="286"/>
      <c r="BY583" s="286"/>
      <c r="BZ583" s="286"/>
      <c r="CA583" s="286"/>
      <c r="CB583" s="286"/>
      <c r="CC583" s="286"/>
      <c r="CD583" s="286"/>
      <c r="CE583" s="286"/>
      <c r="CF583" s="286"/>
      <c r="CG583" s="286"/>
      <c r="CH583" s="286"/>
      <c r="CI583" s="286"/>
      <c r="CJ583" s="286"/>
      <c r="CK583" s="286"/>
      <c r="CL583" s="286"/>
      <c r="CM583" s="286"/>
      <c r="CN583" s="286"/>
      <c r="CO583" s="286"/>
      <c r="CP583" s="286"/>
      <c r="CQ583" s="286"/>
      <c r="CR583" s="286"/>
      <c r="CS583" s="286"/>
      <c r="CT583" s="286"/>
      <c r="CU583" s="286"/>
      <c r="CV583" s="286"/>
      <c r="CW583" s="286"/>
      <c r="CX583" s="286"/>
      <c r="CY583" s="286"/>
      <c r="CZ583" s="286"/>
      <c r="DA583" s="286"/>
      <c r="DB583" s="286"/>
      <c r="DC583" s="286"/>
      <c r="DD583" s="286"/>
      <c r="DE583" s="286"/>
      <c r="DF583" s="286"/>
      <c r="DG583" s="286"/>
      <c r="DH583" s="286"/>
      <c r="DI583" s="286"/>
      <c r="DJ583" s="286"/>
      <c r="DK583" s="286"/>
      <c r="DL583" s="286"/>
      <c r="DM583" s="286"/>
      <c r="DN583" s="286"/>
      <c r="DO583" s="286"/>
      <c r="DP583" s="286"/>
      <c r="DQ583" s="286"/>
      <c r="DR583" s="286"/>
      <c r="DS583" s="286"/>
      <c r="DT583" s="286"/>
      <c r="DU583" s="286"/>
      <c r="DV583" s="286"/>
      <c r="DW583" s="286"/>
      <c r="DX583" s="286"/>
      <c r="DY583" s="286"/>
      <c r="DZ583" s="286"/>
      <c r="EA583" s="286"/>
      <c r="EB583" s="286"/>
      <c r="EC583" s="286"/>
      <c r="ED583" s="286"/>
      <c r="EE583" s="286"/>
      <c r="EF583" s="286"/>
      <c r="EG583" s="286"/>
      <c r="EH583" s="286"/>
      <c r="EI583" s="286"/>
      <c r="EJ583" s="286"/>
      <c r="EK583" s="286"/>
      <c r="EL583" s="286"/>
      <c r="EM583" s="286"/>
      <c r="EN583" s="286"/>
      <c r="EO583" s="286"/>
      <c r="EP583" s="286"/>
      <c r="EQ583" s="286"/>
      <c r="ER583" s="286"/>
      <c r="ES583" s="286"/>
      <c r="ET583" s="286"/>
      <c r="EU583" s="286"/>
      <c r="EV583" s="286"/>
      <c r="EW583" s="286"/>
      <c r="EX583" s="286"/>
      <c r="EY583" s="286"/>
      <c r="EZ583" s="286"/>
      <c r="FA583" s="286"/>
      <c r="FB583" s="286"/>
      <c r="FC583" s="286"/>
      <c r="FD583" s="286"/>
      <c r="FE583" s="286"/>
      <c r="FF583" s="286"/>
      <c r="FG583" s="286"/>
      <c r="FH583" s="286"/>
      <c r="FI583" s="286"/>
      <c r="FJ583" s="286"/>
      <c r="FK583" s="286"/>
      <c r="FL583" s="286"/>
      <c r="FM583" s="286"/>
      <c r="FN583" s="286"/>
      <c r="FO583" s="286"/>
      <c r="FP583" s="286"/>
      <c r="FQ583" s="286"/>
      <c r="FR583" s="286"/>
      <c r="FS583" s="286"/>
    </row>
    <row r="584" spans="1:175">
      <c r="A584" s="212" t="s">
        <v>3159</v>
      </c>
      <c r="B584" s="212" t="s">
        <v>3160</v>
      </c>
      <c r="C584" s="212" t="s">
        <v>3172</v>
      </c>
      <c r="D584" s="212" t="s">
        <v>3748</v>
      </c>
      <c r="E584" s="212" t="s">
        <v>3763</v>
      </c>
      <c r="F584" s="278">
        <v>23518</v>
      </c>
      <c r="G584" s="278">
        <v>338412</v>
      </c>
      <c r="H584" s="287">
        <f t="shared" si="8"/>
        <v>5.4655272271668851</v>
      </c>
      <c r="I584" s="286">
        <v>1791</v>
      </c>
      <c r="J584" s="286">
        <v>18496</v>
      </c>
      <c r="K584" s="286">
        <v>8427</v>
      </c>
      <c r="L584" s="286">
        <v>9970</v>
      </c>
      <c r="M584" s="286">
        <v>15487</v>
      </c>
      <c r="N584" s="286">
        <v>7213</v>
      </c>
      <c r="O584" s="286">
        <v>8175</v>
      </c>
      <c r="P584" s="286">
        <v>1791</v>
      </c>
      <c r="Q584" s="286">
        <v>18496</v>
      </c>
      <c r="R584" s="286">
        <v>8427</v>
      </c>
      <c r="S584" s="286">
        <v>9970</v>
      </c>
      <c r="T584" s="286">
        <v>15487</v>
      </c>
      <c r="U584" s="286">
        <v>7213</v>
      </c>
      <c r="V584" s="286">
        <v>8175</v>
      </c>
      <c r="W584" s="286"/>
      <c r="X584" s="286"/>
      <c r="Y584" s="286"/>
      <c r="Z584" s="286"/>
      <c r="AA584" s="286"/>
      <c r="AB584" s="286"/>
      <c r="AC584" s="286"/>
      <c r="AD584" s="286"/>
      <c r="AE584" s="286"/>
      <c r="AF584" s="286"/>
      <c r="AG584" s="286"/>
      <c r="AH584" s="286"/>
      <c r="AI584" s="286"/>
      <c r="AJ584" s="286"/>
      <c r="AK584" s="286"/>
      <c r="AL584" s="286"/>
      <c r="AM584" s="286"/>
      <c r="AN584" s="286"/>
      <c r="AO584" s="286"/>
      <c r="AP584" s="286"/>
      <c r="AQ584" s="286"/>
      <c r="AR584" s="286"/>
      <c r="AS584" s="286"/>
      <c r="AT584" s="286"/>
      <c r="AU584" s="286"/>
      <c r="AV584" s="286"/>
      <c r="AW584" s="286"/>
      <c r="AX584" s="286"/>
      <c r="AY584" s="286"/>
      <c r="AZ584" s="286"/>
      <c r="BA584" s="286"/>
      <c r="BB584" s="286"/>
      <c r="BC584" s="286"/>
      <c r="BD584" s="286"/>
      <c r="BE584" s="286"/>
      <c r="BF584" s="286"/>
      <c r="BG584" s="286"/>
      <c r="BH584" s="286"/>
      <c r="BI584" s="286"/>
      <c r="BJ584" s="286"/>
      <c r="BK584" s="286"/>
      <c r="BL584" s="286"/>
      <c r="BM584" s="286"/>
      <c r="BN584" s="286"/>
      <c r="BO584" s="286"/>
      <c r="BP584" s="286"/>
      <c r="BQ584" s="286"/>
      <c r="BR584" s="286"/>
      <c r="BS584" s="286"/>
      <c r="BT584" s="286"/>
      <c r="BU584" s="286"/>
      <c r="BV584" s="286"/>
      <c r="BW584" s="286"/>
      <c r="BX584" s="286"/>
      <c r="BY584" s="286"/>
      <c r="BZ584" s="286"/>
      <c r="CA584" s="286"/>
      <c r="CB584" s="286"/>
      <c r="CC584" s="286"/>
      <c r="CD584" s="286"/>
      <c r="CE584" s="286"/>
      <c r="CF584" s="286"/>
      <c r="CG584" s="286"/>
      <c r="CH584" s="286"/>
      <c r="CI584" s="286"/>
      <c r="CJ584" s="286"/>
      <c r="CK584" s="286"/>
      <c r="CL584" s="286"/>
      <c r="CM584" s="286"/>
      <c r="CN584" s="286"/>
      <c r="CO584" s="286"/>
      <c r="CP584" s="286"/>
      <c r="CQ584" s="286"/>
      <c r="CR584" s="286"/>
      <c r="CS584" s="286"/>
      <c r="CT584" s="286"/>
      <c r="CU584" s="286"/>
      <c r="CV584" s="286"/>
      <c r="CW584" s="286"/>
      <c r="CX584" s="286"/>
      <c r="CY584" s="286"/>
      <c r="CZ584" s="286"/>
      <c r="DA584" s="286"/>
      <c r="DB584" s="286"/>
      <c r="DC584" s="286"/>
      <c r="DD584" s="286"/>
      <c r="DE584" s="286"/>
      <c r="DF584" s="286"/>
      <c r="DG584" s="286"/>
      <c r="DH584" s="286"/>
      <c r="DI584" s="286"/>
      <c r="DJ584" s="286"/>
      <c r="DK584" s="286"/>
      <c r="DL584" s="286"/>
      <c r="DM584" s="286"/>
      <c r="DN584" s="286"/>
      <c r="DO584" s="286"/>
      <c r="DP584" s="286"/>
      <c r="DQ584" s="286"/>
      <c r="DR584" s="286"/>
      <c r="DS584" s="286"/>
      <c r="DT584" s="286"/>
      <c r="DU584" s="286"/>
      <c r="DV584" s="286"/>
      <c r="DW584" s="286"/>
      <c r="DX584" s="286"/>
      <c r="DY584" s="286"/>
      <c r="DZ584" s="286"/>
      <c r="EA584" s="286"/>
      <c r="EB584" s="286"/>
      <c r="EC584" s="286"/>
      <c r="ED584" s="286"/>
      <c r="EE584" s="286"/>
      <c r="EF584" s="286"/>
      <c r="EG584" s="286"/>
      <c r="EH584" s="286"/>
      <c r="EI584" s="286"/>
      <c r="EJ584" s="286"/>
      <c r="EK584" s="286"/>
      <c r="EL584" s="286"/>
      <c r="EM584" s="286"/>
      <c r="EN584" s="286"/>
      <c r="EO584" s="286"/>
      <c r="EP584" s="286"/>
      <c r="EQ584" s="286"/>
      <c r="ER584" s="286"/>
      <c r="ES584" s="286"/>
      <c r="ET584" s="286"/>
      <c r="EU584" s="286"/>
      <c r="EV584" s="286"/>
      <c r="EW584" s="286"/>
      <c r="EX584" s="286"/>
      <c r="EY584" s="286"/>
      <c r="EZ584" s="286"/>
      <c r="FA584" s="286"/>
      <c r="FB584" s="286"/>
      <c r="FC584" s="286"/>
      <c r="FD584" s="286"/>
      <c r="FE584" s="286"/>
      <c r="FF584" s="286"/>
      <c r="FG584" s="286"/>
      <c r="FH584" s="286"/>
      <c r="FI584" s="286"/>
      <c r="FJ584" s="286"/>
      <c r="FK584" s="286"/>
      <c r="FL584" s="286"/>
      <c r="FM584" s="286"/>
      <c r="FN584" s="286"/>
      <c r="FO584" s="286"/>
      <c r="FP584" s="286"/>
      <c r="FQ584" s="286"/>
      <c r="FR584" s="286"/>
      <c r="FS584" s="286"/>
    </row>
    <row r="585" spans="1:175">
      <c r="A585" s="212" t="s">
        <v>3159</v>
      </c>
      <c r="B585" s="212" t="s">
        <v>3160</v>
      </c>
      <c r="C585" s="212" t="s">
        <v>3432</v>
      </c>
      <c r="D585" s="212" t="s">
        <v>3748</v>
      </c>
      <c r="E585" s="212" t="s">
        <v>3764</v>
      </c>
      <c r="F585" s="278">
        <v>5470</v>
      </c>
      <c r="G585" s="278">
        <v>202425</v>
      </c>
      <c r="H585" s="287">
        <f t="shared" si="8"/>
        <v>5.1357292824502903</v>
      </c>
      <c r="I585" s="286">
        <v>240</v>
      </c>
      <c r="J585" s="286">
        <v>10396</v>
      </c>
      <c r="K585" s="286">
        <v>5767</v>
      </c>
      <c r="L585" s="286">
        <v>4629</v>
      </c>
      <c r="M585" s="286">
        <v>9506</v>
      </c>
      <c r="N585" s="286">
        <v>5343</v>
      </c>
      <c r="O585" s="286">
        <v>4163</v>
      </c>
      <c r="P585" s="286">
        <v>240</v>
      </c>
      <c r="Q585" s="286">
        <v>10396</v>
      </c>
      <c r="R585" s="286">
        <v>5767</v>
      </c>
      <c r="S585" s="286">
        <v>4629</v>
      </c>
      <c r="T585" s="286">
        <v>9506</v>
      </c>
      <c r="U585" s="286">
        <v>5343</v>
      </c>
      <c r="V585" s="286">
        <v>4163</v>
      </c>
      <c r="W585" s="286"/>
      <c r="X585" s="286"/>
      <c r="Y585" s="286"/>
      <c r="Z585" s="286"/>
      <c r="AA585" s="286"/>
      <c r="AB585" s="286"/>
      <c r="AC585" s="286"/>
      <c r="AD585" s="286"/>
      <c r="AE585" s="286"/>
      <c r="AF585" s="286"/>
      <c r="AG585" s="286"/>
      <c r="AH585" s="286"/>
      <c r="AI585" s="286"/>
      <c r="AJ585" s="286"/>
      <c r="AK585" s="286"/>
      <c r="AL585" s="286"/>
      <c r="AM585" s="286"/>
      <c r="AN585" s="286"/>
      <c r="AO585" s="286"/>
      <c r="AP585" s="286"/>
      <c r="AQ585" s="286"/>
      <c r="AR585" s="286"/>
      <c r="AS585" s="286"/>
      <c r="AT585" s="286"/>
      <c r="AU585" s="286"/>
      <c r="AV585" s="286"/>
      <c r="AW585" s="286"/>
      <c r="AX585" s="286"/>
      <c r="AY585" s="286"/>
      <c r="AZ585" s="286"/>
      <c r="BA585" s="286"/>
      <c r="BB585" s="286"/>
      <c r="BC585" s="286"/>
      <c r="BD585" s="286"/>
      <c r="BE585" s="286"/>
      <c r="BF585" s="286"/>
      <c r="BG585" s="286"/>
      <c r="BH585" s="286"/>
      <c r="BI585" s="286"/>
      <c r="BJ585" s="286"/>
      <c r="BK585" s="286"/>
      <c r="BL585" s="286"/>
      <c r="BM585" s="286"/>
      <c r="BN585" s="286"/>
      <c r="BO585" s="286"/>
      <c r="BP585" s="286"/>
      <c r="BQ585" s="286"/>
      <c r="BR585" s="286"/>
      <c r="BS585" s="286"/>
      <c r="BT585" s="286"/>
      <c r="BU585" s="286"/>
      <c r="BV585" s="286"/>
      <c r="BW585" s="286"/>
      <c r="BX585" s="286"/>
      <c r="BY585" s="286"/>
      <c r="BZ585" s="286"/>
      <c r="CA585" s="286"/>
      <c r="CB585" s="286"/>
      <c r="CC585" s="286"/>
      <c r="CD585" s="286"/>
      <c r="CE585" s="286"/>
      <c r="CF585" s="286"/>
      <c r="CG585" s="286"/>
      <c r="CH585" s="286"/>
      <c r="CI585" s="286"/>
      <c r="CJ585" s="286"/>
      <c r="CK585" s="286"/>
      <c r="CL585" s="286"/>
      <c r="CM585" s="286"/>
      <c r="CN585" s="286"/>
      <c r="CO585" s="286"/>
      <c r="CP585" s="286"/>
      <c r="CQ585" s="286"/>
      <c r="CR585" s="286"/>
      <c r="CS585" s="286"/>
      <c r="CT585" s="286"/>
      <c r="CU585" s="286"/>
      <c r="CV585" s="286"/>
      <c r="CW585" s="286"/>
      <c r="CX585" s="286"/>
      <c r="CY585" s="286"/>
      <c r="CZ585" s="286"/>
      <c r="DA585" s="286"/>
      <c r="DB585" s="286"/>
      <c r="DC585" s="286"/>
      <c r="DD585" s="286"/>
      <c r="DE585" s="286"/>
      <c r="DF585" s="286"/>
      <c r="DG585" s="286"/>
      <c r="DH585" s="286"/>
      <c r="DI585" s="286"/>
      <c r="DJ585" s="286"/>
      <c r="DK585" s="286"/>
      <c r="DL585" s="286"/>
      <c r="DM585" s="286"/>
      <c r="DN585" s="286"/>
      <c r="DO585" s="286"/>
      <c r="DP585" s="286"/>
      <c r="DQ585" s="286"/>
      <c r="DR585" s="286"/>
      <c r="DS585" s="286"/>
      <c r="DT585" s="286"/>
      <c r="DU585" s="286"/>
      <c r="DV585" s="286"/>
      <c r="DW585" s="286"/>
      <c r="DX585" s="286"/>
      <c r="DY585" s="286"/>
      <c r="DZ585" s="286"/>
      <c r="EA585" s="286"/>
      <c r="EB585" s="286"/>
      <c r="EC585" s="286"/>
      <c r="ED585" s="286"/>
      <c r="EE585" s="286"/>
      <c r="EF585" s="286"/>
      <c r="EG585" s="286"/>
      <c r="EH585" s="286"/>
      <c r="EI585" s="286"/>
      <c r="EJ585" s="286"/>
      <c r="EK585" s="286"/>
      <c r="EL585" s="286"/>
      <c r="EM585" s="286"/>
      <c r="EN585" s="286"/>
      <c r="EO585" s="286"/>
      <c r="EP585" s="286"/>
      <c r="EQ585" s="286"/>
      <c r="ER585" s="286"/>
      <c r="ES585" s="286"/>
      <c r="ET585" s="286"/>
      <c r="EU585" s="286"/>
      <c r="EV585" s="286"/>
      <c r="EW585" s="286"/>
      <c r="EX585" s="286"/>
      <c r="EY585" s="286"/>
      <c r="EZ585" s="286"/>
      <c r="FA585" s="286"/>
      <c r="FB585" s="286"/>
      <c r="FC585" s="286"/>
      <c r="FD585" s="286"/>
      <c r="FE585" s="286"/>
      <c r="FF585" s="286"/>
      <c r="FG585" s="286"/>
      <c r="FH585" s="286"/>
      <c r="FI585" s="286"/>
      <c r="FJ585" s="286"/>
      <c r="FK585" s="286"/>
      <c r="FL585" s="286"/>
      <c r="FM585" s="286"/>
      <c r="FN585" s="286"/>
      <c r="FO585" s="286"/>
      <c r="FP585" s="286"/>
      <c r="FQ585" s="286"/>
      <c r="FR585" s="286"/>
      <c r="FS585" s="286"/>
    </row>
    <row r="586" spans="1:175">
      <c r="A586" s="212" t="s">
        <v>3159</v>
      </c>
      <c r="B586" s="212" t="s">
        <v>3160</v>
      </c>
      <c r="C586" s="212" t="s">
        <v>3432</v>
      </c>
      <c r="D586" s="212" t="s">
        <v>3748</v>
      </c>
      <c r="E586" s="212" t="s">
        <v>3765</v>
      </c>
      <c r="F586" s="278">
        <v>12283</v>
      </c>
      <c r="G586" s="278">
        <v>53069</v>
      </c>
      <c r="H586" s="287">
        <f t="shared" si="8"/>
        <v>8.2025287832821423</v>
      </c>
      <c r="I586" s="286">
        <v>1298</v>
      </c>
      <c r="J586" s="286">
        <v>4353</v>
      </c>
      <c r="K586" s="286">
        <v>1640</v>
      </c>
      <c r="L586" s="286">
        <v>2713</v>
      </c>
      <c r="M586" s="286">
        <v>2495</v>
      </c>
      <c r="N586" s="286">
        <v>931</v>
      </c>
      <c r="O586" s="286">
        <v>1564</v>
      </c>
      <c r="P586" s="286">
        <v>1298</v>
      </c>
      <c r="Q586" s="286">
        <v>4353</v>
      </c>
      <c r="R586" s="286">
        <v>1640</v>
      </c>
      <c r="S586" s="286">
        <v>2713</v>
      </c>
      <c r="T586" s="286">
        <v>2495</v>
      </c>
      <c r="U586" s="286">
        <v>931</v>
      </c>
      <c r="V586" s="286">
        <v>1564</v>
      </c>
      <c r="W586" s="286"/>
      <c r="X586" s="286"/>
      <c r="Y586" s="286"/>
      <c r="Z586" s="286"/>
      <c r="AA586" s="286"/>
      <c r="AB586" s="286"/>
      <c r="AC586" s="286"/>
      <c r="AD586" s="286"/>
      <c r="AE586" s="286"/>
      <c r="AF586" s="286"/>
      <c r="AG586" s="286"/>
      <c r="AH586" s="286"/>
      <c r="AI586" s="286"/>
      <c r="AJ586" s="286"/>
      <c r="AK586" s="286"/>
      <c r="AL586" s="286"/>
      <c r="AM586" s="286"/>
      <c r="AN586" s="286"/>
      <c r="AO586" s="286"/>
      <c r="AP586" s="286"/>
      <c r="AQ586" s="286"/>
      <c r="AR586" s="286"/>
      <c r="AS586" s="286"/>
      <c r="AT586" s="286"/>
      <c r="AU586" s="286"/>
      <c r="AV586" s="286"/>
      <c r="AW586" s="286"/>
      <c r="AX586" s="286"/>
      <c r="AY586" s="286"/>
      <c r="AZ586" s="286"/>
      <c r="BA586" s="286"/>
      <c r="BB586" s="286"/>
      <c r="BC586" s="286"/>
      <c r="BD586" s="286"/>
      <c r="BE586" s="286"/>
      <c r="BF586" s="286"/>
      <c r="BG586" s="286"/>
      <c r="BH586" s="286"/>
      <c r="BI586" s="286"/>
      <c r="BJ586" s="286"/>
      <c r="BK586" s="286"/>
      <c r="BL586" s="286"/>
      <c r="BM586" s="286"/>
      <c r="BN586" s="286"/>
      <c r="BO586" s="286"/>
      <c r="BP586" s="286"/>
      <c r="BQ586" s="286"/>
      <c r="BR586" s="286"/>
      <c r="BS586" s="286"/>
      <c r="BT586" s="286"/>
      <c r="BU586" s="286"/>
      <c r="BV586" s="286"/>
      <c r="BW586" s="286"/>
      <c r="BX586" s="286"/>
      <c r="BY586" s="286"/>
      <c r="BZ586" s="286"/>
      <c r="CA586" s="286"/>
      <c r="CB586" s="286"/>
      <c r="CC586" s="286"/>
      <c r="CD586" s="286"/>
      <c r="CE586" s="286"/>
      <c r="CF586" s="286"/>
      <c r="CG586" s="286"/>
      <c r="CH586" s="286"/>
      <c r="CI586" s="286"/>
      <c r="CJ586" s="286"/>
      <c r="CK586" s="286"/>
      <c r="CL586" s="286"/>
      <c r="CM586" s="286"/>
      <c r="CN586" s="286"/>
      <c r="CO586" s="286"/>
      <c r="CP586" s="286"/>
      <c r="CQ586" s="286"/>
      <c r="CR586" s="286"/>
      <c r="CS586" s="286"/>
      <c r="CT586" s="286"/>
      <c r="CU586" s="286"/>
      <c r="CV586" s="286"/>
      <c r="CW586" s="286"/>
      <c r="CX586" s="286"/>
      <c r="CY586" s="286"/>
      <c r="CZ586" s="286"/>
      <c r="DA586" s="286"/>
      <c r="DB586" s="286"/>
      <c r="DC586" s="286"/>
      <c r="DD586" s="286"/>
      <c r="DE586" s="286"/>
      <c r="DF586" s="286"/>
      <c r="DG586" s="286"/>
      <c r="DH586" s="286"/>
      <c r="DI586" s="286"/>
      <c r="DJ586" s="286"/>
      <c r="DK586" s="286"/>
      <c r="DL586" s="286"/>
      <c r="DM586" s="286"/>
      <c r="DN586" s="286"/>
      <c r="DO586" s="286"/>
      <c r="DP586" s="286"/>
      <c r="DQ586" s="286"/>
      <c r="DR586" s="286"/>
      <c r="DS586" s="286"/>
      <c r="DT586" s="286"/>
      <c r="DU586" s="286"/>
      <c r="DV586" s="286"/>
      <c r="DW586" s="286"/>
      <c r="DX586" s="286"/>
      <c r="DY586" s="286"/>
      <c r="DZ586" s="286"/>
      <c r="EA586" s="286"/>
      <c r="EB586" s="286"/>
      <c r="EC586" s="286"/>
      <c r="ED586" s="286"/>
      <c r="EE586" s="286"/>
      <c r="EF586" s="286"/>
      <c r="EG586" s="286"/>
      <c r="EH586" s="286"/>
      <c r="EI586" s="286"/>
      <c r="EJ586" s="286"/>
      <c r="EK586" s="286"/>
      <c r="EL586" s="286"/>
      <c r="EM586" s="286"/>
      <c r="EN586" s="286"/>
      <c r="EO586" s="286"/>
      <c r="EP586" s="286"/>
      <c r="EQ586" s="286"/>
      <c r="ER586" s="286"/>
      <c r="ES586" s="286"/>
      <c r="ET586" s="286"/>
      <c r="EU586" s="286"/>
      <c r="EV586" s="286"/>
      <c r="EW586" s="286"/>
      <c r="EX586" s="286"/>
      <c r="EY586" s="286"/>
      <c r="EZ586" s="286"/>
      <c r="FA586" s="286"/>
      <c r="FB586" s="286"/>
      <c r="FC586" s="286"/>
      <c r="FD586" s="286"/>
      <c r="FE586" s="286"/>
      <c r="FF586" s="286"/>
      <c r="FG586" s="286"/>
      <c r="FH586" s="286"/>
      <c r="FI586" s="286"/>
      <c r="FJ586" s="286"/>
      <c r="FK586" s="286"/>
      <c r="FL586" s="286"/>
      <c r="FM586" s="286"/>
      <c r="FN586" s="286"/>
      <c r="FO586" s="286"/>
      <c r="FP586" s="286"/>
      <c r="FQ586" s="286"/>
      <c r="FR586" s="286"/>
      <c r="FS586" s="286"/>
    </row>
    <row r="587" spans="1:175">
      <c r="A587" s="212" t="s">
        <v>3159</v>
      </c>
      <c r="B587" s="212" t="s">
        <v>3160</v>
      </c>
      <c r="C587" s="212" t="s">
        <v>3432</v>
      </c>
      <c r="D587" s="212" t="s">
        <v>3748</v>
      </c>
      <c r="E587" s="212" t="s">
        <v>3766</v>
      </c>
      <c r="F587" s="278">
        <v>5765</v>
      </c>
      <c r="G587" s="278">
        <v>82918</v>
      </c>
      <c r="H587" s="287">
        <f t="shared" ref="H587:H650" si="9">J587/G587*100</f>
        <v>4.5189223087869941</v>
      </c>
      <c r="I587" s="286">
        <v>253</v>
      </c>
      <c r="J587" s="286">
        <v>3747</v>
      </c>
      <c r="K587" s="286">
        <v>1020</v>
      </c>
      <c r="L587" s="286">
        <v>2628</v>
      </c>
      <c r="M587" s="286">
        <v>3486</v>
      </c>
      <c r="N587" s="286">
        <v>939</v>
      </c>
      <c r="O587" s="286">
        <v>2448</v>
      </c>
      <c r="P587" s="286">
        <v>253</v>
      </c>
      <c r="Q587" s="286">
        <v>3747</v>
      </c>
      <c r="R587" s="286">
        <v>1020</v>
      </c>
      <c r="S587" s="286">
        <v>2628</v>
      </c>
      <c r="T587" s="286">
        <v>3486</v>
      </c>
      <c r="U587" s="286">
        <v>939</v>
      </c>
      <c r="V587" s="286">
        <v>2448</v>
      </c>
      <c r="W587" s="286"/>
      <c r="X587" s="286"/>
      <c r="Y587" s="286"/>
      <c r="Z587" s="286"/>
      <c r="AA587" s="286"/>
      <c r="AB587" s="286"/>
      <c r="AC587" s="286"/>
      <c r="AD587" s="286"/>
      <c r="AE587" s="286"/>
      <c r="AF587" s="286"/>
      <c r="AG587" s="286"/>
      <c r="AH587" s="286"/>
      <c r="AI587" s="286"/>
      <c r="AJ587" s="286"/>
      <c r="AK587" s="286"/>
      <c r="AL587" s="286"/>
      <c r="AM587" s="286"/>
      <c r="AN587" s="286"/>
      <c r="AO587" s="286"/>
      <c r="AP587" s="286"/>
      <c r="AQ587" s="286"/>
      <c r="AR587" s="286"/>
      <c r="AS587" s="286"/>
      <c r="AT587" s="286"/>
      <c r="AU587" s="286"/>
      <c r="AV587" s="286"/>
      <c r="AW587" s="286"/>
      <c r="AX587" s="286"/>
      <c r="AY587" s="286"/>
      <c r="AZ587" s="286"/>
      <c r="BA587" s="286"/>
      <c r="BB587" s="286"/>
      <c r="BC587" s="286"/>
      <c r="BD587" s="286"/>
      <c r="BE587" s="286"/>
      <c r="BF587" s="286"/>
      <c r="BG587" s="286"/>
      <c r="BH587" s="286"/>
      <c r="BI587" s="286"/>
      <c r="BJ587" s="286"/>
      <c r="BK587" s="286"/>
      <c r="BL587" s="286"/>
      <c r="BM587" s="286"/>
      <c r="BN587" s="286"/>
      <c r="BO587" s="286"/>
      <c r="BP587" s="286"/>
      <c r="BQ587" s="286"/>
      <c r="BR587" s="286"/>
      <c r="BS587" s="286"/>
      <c r="BT587" s="286"/>
      <c r="BU587" s="286"/>
      <c r="BV587" s="286"/>
      <c r="BW587" s="286"/>
      <c r="BX587" s="286"/>
      <c r="BY587" s="286"/>
      <c r="BZ587" s="286"/>
      <c r="CA587" s="286"/>
      <c r="CB587" s="286"/>
      <c r="CC587" s="286"/>
      <c r="CD587" s="286"/>
      <c r="CE587" s="286"/>
      <c r="CF587" s="286"/>
      <c r="CG587" s="286"/>
      <c r="CH587" s="286"/>
      <c r="CI587" s="286"/>
      <c r="CJ587" s="286"/>
      <c r="CK587" s="286"/>
      <c r="CL587" s="286"/>
      <c r="CM587" s="286"/>
      <c r="CN587" s="286"/>
      <c r="CO587" s="286"/>
      <c r="CP587" s="286"/>
      <c r="CQ587" s="286"/>
      <c r="CR587" s="286"/>
      <c r="CS587" s="286"/>
      <c r="CT587" s="286"/>
      <c r="CU587" s="286"/>
      <c r="CV587" s="286"/>
      <c r="CW587" s="286"/>
      <c r="CX587" s="286"/>
      <c r="CY587" s="286"/>
      <c r="CZ587" s="286"/>
      <c r="DA587" s="286"/>
      <c r="DB587" s="286"/>
      <c r="DC587" s="286"/>
      <c r="DD587" s="286"/>
      <c r="DE587" s="286"/>
      <c r="DF587" s="286"/>
      <c r="DG587" s="286"/>
      <c r="DH587" s="286"/>
      <c r="DI587" s="286"/>
      <c r="DJ587" s="286"/>
      <c r="DK587" s="286"/>
      <c r="DL587" s="286"/>
      <c r="DM587" s="286"/>
      <c r="DN587" s="286"/>
      <c r="DO587" s="286"/>
      <c r="DP587" s="286"/>
      <c r="DQ587" s="286"/>
      <c r="DR587" s="286"/>
      <c r="DS587" s="286"/>
      <c r="DT587" s="286"/>
      <c r="DU587" s="286"/>
      <c r="DV587" s="286"/>
      <c r="DW587" s="286"/>
      <c r="DX587" s="286"/>
      <c r="DY587" s="286"/>
      <c r="DZ587" s="286"/>
      <c r="EA587" s="286"/>
      <c r="EB587" s="286"/>
      <c r="EC587" s="286"/>
      <c r="ED587" s="286"/>
      <c r="EE587" s="286"/>
      <c r="EF587" s="286"/>
      <c r="EG587" s="286"/>
      <c r="EH587" s="286"/>
      <c r="EI587" s="286"/>
      <c r="EJ587" s="286"/>
      <c r="EK587" s="286"/>
      <c r="EL587" s="286"/>
      <c r="EM587" s="286"/>
      <c r="EN587" s="286"/>
      <c r="EO587" s="286"/>
      <c r="EP587" s="286"/>
      <c r="EQ587" s="286"/>
      <c r="ER587" s="286"/>
      <c r="ES587" s="286"/>
      <c r="ET587" s="286"/>
      <c r="EU587" s="286"/>
      <c r="EV587" s="286"/>
      <c r="EW587" s="286"/>
      <c r="EX587" s="286"/>
      <c r="EY587" s="286"/>
      <c r="EZ587" s="286"/>
      <c r="FA587" s="286"/>
      <c r="FB587" s="286"/>
      <c r="FC587" s="286"/>
      <c r="FD587" s="286"/>
      <c r="FE587" s="286"/>
      <c r="FF587" s="286"/>
      <c r="FG587" s="286"/>
      <c r="FH587" s="286"/>
      <c r="FI587" s="286"/>
      <c r="FJ587" s="286"/>
      <c r="FK587" s="286"/>
      <c r="FL587" s="286"/>
      <c r="FM587" s="286"/>
      <c r="FN587" s="286"/>
      <c r="FO587" s="286"/>
      <c r="FP587" s="286"/>
      <c r="FQ587" s="286"/>
      <c r="FR587" s="286"/>
      <c r="FS587" s="286"/>
    </row>
    <row r="588" spans="1:175">
      <c r="A588" s="212" t="s">
        <v>3159</v>
      </c>
      <c r="B588" s="212" t="s">
        <v>3160</v>
      </c>
      <c r="C588" s="212" t="s">
        <v>3170</v>
      </c>
      <c r="D588" s="212" t="s">
        <v>3748</v>
      </c>
      <c r="E588" s="212" t="s">
        <v>3767</v>
      </c>
      <c r="F588" s="278">
        <v>56686</v>
      </c>
      <c r="G588" s="278">
        <v>584522</v>
      </c>
      <c r="H588" s="287">
        <f t="shared" si="9"/>
        <v>3.9163624294722865</v>
      </c>
      <c r="I588" s="286">
        <v>2217</v>
      </c>
      <c r="J588" s="286">
        <v>22892</v>
      </c>
      <c r="K588" s="286">
        <v>7491</v>
      </c>
      <c r="L588" s="286">
        <v>15338</v>
      </c>
      <c r="M588" s="286">
        <v>21565</v>
      </c>
      <c r="N588" s="286">
        <v>6714</v>
      </c>
      <c r="O588" s="286">
        <v>14790</v>
      </c>
      <c r="P588" s="286">
        <v>2166</v>
      </c>
      <c r="Q588" s="286">
        <v>21979</v>
      </c>
      <c r="R588" s="286">
        <v>7262</v>
      </c>
      <c r="S588" s="286">
        <v>14654</v>
      </c>
      <c r="T588" s="286">
        <v>20655</v>
      </c>
      <c r="U588" s="286">
        <v>6487</v>
      </c>
      <c r="V588" s="286">
        <v>14107</v>
      </c>
      <c r="W588" s="286"/>
      <c r="X588" s="286"/>
      <c r="Y588" s="286"/>
      <c r="Z588" s="286"/>
      <c r="AA588" s="286"/>
      <c r="AB588" s="286"/>
      <c r="AC588" s="286"/>
      <c r="AD588" s="286"/>
      <c r="AE588" s="286"/>
      <c r="AF588" s="286"/>
      <c r="AG588" s="286"/>
      <c r="AH588" s="286"/>
      <c r="AI588" s="286"/>
      <c r="AJ588" s="286"/>
      <c r="AK588" s="286"/>
      <c r="AL588" s="286"/>
      <c r="AM588" s="286"/>
      <c r="AN588" s="286"/>
      <c r="AO588" s="286"/>
      <c r="AP588" s="286"/>
      <c r="AQ588" s="286"/>
      <c r="AR588" s="286"/>
      <c r="AS588" s="286"/>
      <c r="AT588" s="286"/>
      <c r="AU588" s="286"/>
      <c r="AV588" s="286"/>
      <c r="AW588" s="286"/>
      <c r="AX588" s="286"/>
      <c r="AY588" s="286"/>
      <c r="AZ588" s="286"/>
      <c r="BA588" s="286"/>
      <c r="BB588" s="286"/>
      <c r="BC588" s="286"/>
      <c r="BD588" s="286"/>
      <c r="BE588" s="286"/>
      <c r="BF588" s="286"/>
      <c r="BG588" s="286"/>
      <c r="BH588" s="286"/>
      <c r="BI588" s="286"/>
      <c r="BJ588" s="286"/>
      <c r="BK588" s="286"/>
      <c r="BL588" s="286"/>
      <c r="BM588" s="286"/>
      <c r="BN588" s="286"/>
      <c r="BO588" s="286"/>
      <c r="BP588" s="286"/>
      <c r="BQ588" s="286"/>
      <c r="BR588" s="286"/>
      <c r="BS588" s="286"/>
      <c r="BT588" s="286"/>
      <c r="BU588" s="286"/>
      <c r="BV588" s="286"/>
      <c r="BW588" s="286"/>
      <c r="BX588" s="286"/>
      <c r="BY588" s="286"/>
      <c r="BZ588" s="286"/>
      <c r="CA588" s="286"/>
      <c r="CB588" s="286"/>
      <c r="CC588" s="286"/>
      <c r="CD588" s="286"/>
      <c r="CE588" s="286"/>
      <c r="CF588" s="286"/>
      <c r="CG588" s="286"/>
      <c r="CH588" s="286"/>
      <c r="CI588" s="286"/>
      <c r="CJ588" s="286"/>
      <c r="CK588" s="286"/>
      <c r="CL588" s="286"/>
      <c r="CM588" s="286"/>
      <c r="CN588" s="286"/>
      <c r="CO588" s="286"/>
      <c r="CP588" s="286"/>
      <c r="CQ588" s="286"/>
      <c r="CR588" s="286"/>
      <c r="CS588" s="286"/>
      <c r="CT588" s="286"/>
      <c r="CU588" s="286"/>
      <c r="CV588" s="286"/>
      <c r="CW588" s="286"/>
      <c r="CX588" s="286"/>
      <c r="CY588" s="286"/>
      <c r="CZ588" s="286"/>
      <c r="DA588" s="286"/>
      <c r="DB588" s="286"/>
      <c r="DC588" s="286"/>
      <c r="DD588" s="286"/>
      <c r="DE588" s="286"/>
      <c r="DF588" s="286"/>
      <c r="DG588" s="286"/>
      <c r="DH588" s="286"/>
      <c r="DI588" s="286"/>
      <c r="DJ588" s="286"/>
      <c r="DK588" s="286"/>
      <c r="DL588" s="286"/>
      <c r="DM588" s="286"/>
      <c r="DN588" s="286"/>
      <c r="DO588" s="286"/>
      <c r="DP588" s="286"/>
      <c r="DQ588" s="286"/>
      <c r="DR588" s="286"/>
      <c r="DS588" s="286"/>
      <c r="DT588" s="286"/>
      <c r="DU588" s="286"/>
      <c r="DV588" s="286"/>
      <c r="DW588" s="286"/>
      <c r="DX588" s="286"/>
      <c r="DY588" s="286"/>
      <c r="DZ588" s="286"/>
      <c r="EA588" s="286"/>
      <c r="EB588" s="286"/>
      <c r="EC588" s="286"/>
      <c r="ED588" s="286"/>
      <c r="EE588" s="286"/>
      <c r="EF588" s="286"/>
      <c r="EG588" s="286"/>
      <c r="EH588" s="286"/>
      <c r="EI588" s="286"/>
      <c r="EJ588" s="286"/>
      <c r="EK588" s="286"/>
      <c r="EL588" s="286"/>
      <c r="EM588" s="286"/>
      <c r="EN588" s="286"/>
      <c r="EO588" s="286"/>
      <c r="EP588" s="286"/>
      <c r="EQ588" s="286"/>
      <c r="ER588" s="286"/>
      <c r="ES588" s="286"/>
      <c r="ET588" s="286"/>
      <c r="EU588" s="286"/>
      <c r="EV588" s="286"/>
      <c r="EW588" s="286"/>
      <c r="EX588" s="286"/>
      <c r="EY588" s="286"/>
      <c r="EZ588" s="286"/>
      <c r="FA588" s="286"/>
      <c r="FB588" s="286"/>
      <c r="FC588" s="286"/>
      <c r="FD588" s="286"/>
      <c r="FE588" s="286"/>
      <c r="FF588" s="286"/>
      <c r="FG588" s="286"/>
      <c r="FH588" s="286"/>
      <c r="FI588" s="286"/>
      <c r="FJ588" s="286"/>
      <c r="FK588" s="286"/>
      <c r="FL588" s="286"/>
      <c r="FM588" s="286"/>
      <c r="FN588" s="286"/>
      <c r="FO588" s="286"/>
      <c r="FP588" s="286"/>
      <c r="FQ588" s="286"/>
      <c r="FR588" s="286"/>
      <c r="FS588" s="286"/>
    </row>
    <row r="589" spans="1:175">
      <c r="A589" s="212" t="s">
        <v>3159</v>
      </c>
      <c r="B589" s="212" t="s">
        <v>3160</v>
      </c>
      <c r="C589" s="212" t="s">
        <v>3172</v>
      </c>
      <c r="D589" s="212" t="s">
        <v>3748</v>
      </c>
      <c r="E589" s="212" t="s">
        <v>3768</v>
      </c>
      <c r="F589" s="278">
        <v>474</v>
      </c>
      <c r="G589" s="278">
        <v>8765</v>
      </c>
      <c r="H589" s="287">
        <f t="shared" si="9"/>
        <v>0.83285795778665139</v>
      </c>
      <c r="I589" s="286">
        <v>16</v>
      </c>
      <c r="J589" s="286">
        <v>73</v>
      </c>
      <c r="K589" s="286">
        <v>39</v>
      </c>
      <c r="L589" s="286">
        <v>34</v>
      </c>
      <c r="M589" s="286">
        <v>55</v>
      </c>
      <c r="N589" s="286">
        <v>25</v>
      </c>
      <c r="O589" s="286">
        <v>30</v>
      </c>
      <c r="P589" s="286">
        <v>16</v>
      </c>
      <c r="Q589" s="286">
        <v>73</v>
      </c>
      <c r="R589" s="286">
        <v>39</v>
      </c>
      <c r="S589" s="286">
        <v>34</v>
      </c>
      <c r="T589" s="286">
        <v>55</v>
      </c>
      <c r="U589" s="286">
        <v>25</v>
      </c>
      <c r="V589" s="286">
        <v>30</v>
      </c>
      <c r="W589" s="286"/>
      <c r="X589" s="286"/>
      <c r="Y589" s="286"/>
      <c r="Z589" s="286"/>
      <c r="AA589" s="286"/>
      <c r="AB589" s="286"/>
      <c r="AC589" s="286"/>
      <c r="AD589" s="286"/>
      <c r="AE589" s="286"/>
      <c r="AF589" s="286"/>
      <c r="AG589" s="286"/>
      <c r="AH589" s="286"/>
      <c r="AI589" s="286"/>
      <c r="AJ589" s="286"/>
      <c r="AK589" s="286"/>
      <c r="AL589" s="286"/>
      <c r="AM589" s="286"/>
      <c r="AN589" s="286"/>
      <c r="AO589" s="286"/>
      <c r="AP589" s="286"/>
      <c r="AQ589" s="286"/>
      <c r="AR589" s="286"/>
      <c r="AS589" s="286"/>
      <c r="AT589" s="286"/>
      <c r="AU589" s="286"/>
      <c r="AV589" s="286"/>
      <c r="AW589" s="286"/>
      <c r="AX589" s="286"/>
      <c r="AY589" s="286"/>
      <c r="AZ589" s="286"/>
      <c r="BA589" s="286"/>
      <c r="BB589" s="286"/>
      <c r="BC589" s="286"/>
      <c r="BD589" s="286"/>
      <c r="BE589" s="286"/>
      <c r="BF589" s="286"/>
      <c r="BG589" s="286"/>
      <c r="BH589" s="286"/>
      <c r="BI589" s="286"/>
      <c r="BJ589" s="286"/>
      <c r="BK589" s="286"/>
      <c r="BL589" s="286"/>
      <c r="BM589" s="286"/>
      <c r="BN589" s="286"/>
      <c r="BO589" s="286"/>
      <c r="BP589" s="286"/>
      <c r="BQ589" s="286"/>
      <c r="BR589" s="286"/>
      <c r="BS589" s="286"/>
      <c r="BT589" s="286"/>
      <c r="BU589" s="286"/>
      <c r="BV589" s="286"/>
      <c r="BW589" s="286"/>
      <c r="BX589" s="286"/>
      <c r="BY589" s="286"/>
      <c r="BZ589" s="286"/>
      <c r="CA589" s="286"/>
      <c r="CB589" s="286"/>
      <c r="CC589" s="286"/>
      <c r="CD589" s="286"/>
      <c r="CE589" s="286"/>
      <c r="CF589" s="286"/>
      <c r="CG589" s="286"/>
      <c r="CH589" s="286"/>
      <c r="CI589" s="286"/>
      <c r="CJ589" s="286"/>
      <c r="CK589" s="286"/>
      <c r="CL589" s="286"/>
      <c r="CM589" s="286"/>
      <c r="CN589" s="286"/>
      <c r="CO589" s="286"/>
      <c r="CP589" s="286"/>
      <c r="CQ589" s="286"/>
      <c r="CR589" s="286"/>
      <c r="CS589" s="286"/>
      <c r="CT589" s="286"/>
      <c r="CU589" s="286"/>
      <c r="CV589" s="286"/>
      <c r="CW589" s="286"/>
      <c r="CX589" s="286"/>
      <c r="CY589" s="286"/>
      <c r="CZ589" s="286"/>
      <c r="DA589" s="286"/>
      <c r="DB589" s="286"/>
      <c r="DC589" s="286"/>
      <c r="DD589" s="286"/>
      <c r="DE589" s="286"/>
      <c r="DF589" s="286"/>
      <c r="DG589" s="286"/>
      <c r="DH589" s="286"/>
      <c r="DI589" s="286"/>
      <c r="DJ589" s="286"/>
      <c r="DK589" s="286"/>
      <c r="DL589" s="286"/>
      <c r="DM589" s="286"/>
      <c r="DN589" s="286"/>
      <c r="DO589" s="286"/>
      <c r="DP589" s="286"/>
      <c r="DQ589" s="286"/>
      <c r="DR589" s="286"/>
      <c r="DS589" s="286"/>
      <c r="DT589" s="286"/>
      <c r="DU589" s="286"/>
      <c r="DV589" s="286"/>
      <c r="DW589" s="286"/>
      <c r="DX589" s="286"/>
      <c r="DY589" s="286"/>
      <c r="DZ589" s="286"/>
      <c r="EA589" s="286"/>
      <c r="EB589" s="286"/>
      <c r="EC589" s="286"/>
      <c r="ED589" s="286"/>
      <c r="EE589" s="286"/>
      <c r="EF589" s="286"/>
      <c r="EG589" s="286"/>
      <c r="EH589" s="286"/>
      <c r="EI589" s="286"/>
      <c r="EJ589" s="286"/>
      <c r="EK589" s="286"/>
      <c r="EL589" s="286"/>
      <c r="EM589" s="286"/>
      <c r="EN589" s="286"/>
      <c r="EO589" s="286"/>
      <c r="EP589" s="286"/>
      <c r="EQ589" s="286"/>
      <c r="ER589" s="286"/>
      <c r="ES589" s="286"/>
      <c r="ET589" s="286"/>
      <c r="EU589" s="286"/>
      <c r="EV589" s="286"/>
      <c r="EW589" s="286"/>
      <c r="EX589" s="286"/>
      <c r="EY589" s="286"/>
      <c r="EZ589" s="286"/>
      <c r="FA589" s="286"/>
      <c r="FB589" s="286"/>
      <c r="FC589" s="286"/>
      <c r="FD589" s="286"/>
      <c r="FE589" s="286"/>
      <c r="FF589" s="286"/>
      <c r="FG589" s="286"/>
      <c r="FH589" s="286"/>
      <c r="FI589" s="286"/>
      <c r="FJ589" s="286"/>
      <c r="FK589" s="286"/>
      <c r="FL589" s="286"/>
      <c r="FM589" s="286"/>
      <c r="FN589" s="286"/>
      <c r="FO589" s="286"/>
      <c r="FP589" s="286"/>
      <c r="FQ589" s="286"/>
      <c r="FR589" s="286"/>
      <c r="FS589" s="286"/>
    </row>
    <row r="590" spans="1:175">
      <c r="A590" s="212" t="s">
        <v>3159</v>
      </c>
      <c r="B590" s="212" t="s">
        <v>3160</v>
      </c>
      <c r="C590" s="212" t="s">
        <v>3172</v>
      </c>
      <c r="D590" s="212" t="s">
        <v>3748</v>
      </c>
      <c r="E590" s="212" t="s">
        <v>3769</v>
      </c>
      <c r="F590" s="278">
        <v>10947</v>
      </c>
      <c r="G590" s="278">
        <v>70903</v>
      </c>
      <c r="H590" s="287">
        <f t="shared" si="9"/>
        <v>4.7938733198877346</v>
      </c>
      <c r="I590" s="286">
        <v>535</v>
      </c>
      <c r="J590" s="286">
        <v>3399</v>
      </c>
      <c r="K590" s="286">
        <v>1073</v>
      </c>
      <c r="L590" s="286">
        <v>2321</v>
      </c>
      <c r="M590" s="286">
        <v>2727</v>
      </c>
      <c r="N590" s="286">
        <v>709</v>
      </c>
      <c r="O590" s="286">
        <v>2014</v>
      </c>
      <c r="P590" s="286">
        <v>535</v>
      </c>
      <c r="Q590" s="286">
        <v>3399</v>
      </c>
      <c r="R590" s="286">
        <v>1073</v>
      </c>
      <c r="S590" s="286">
        <v>2321</v>
      </c>
      <c r="T590" s="286">
        <v>2727</v>
      </c>
      <c r="U590" s="286">
        <v>709</v>
      </c>
      <c r="V590" s="286">
        <v>2014</v>
      </c>
      <c r="W590" s="286"/>
      <c r="X590" s="286"/>
      <c r="Y590" s="286"/>
      <c r="Z590" s="286"/>
      <c r="AA590" s="286"/>
      <c r="AB590" s="286"/>
      <c r="AC590" s="286"/>
      <c r="AD590" s="286"/>
      <c r="AE590" s="286"/>
      <c r="AF590" s="286"/>
      <c r="AG590" s="286"/>
      <c r="AH590" s="286"/>
      <c r="AI590" s="286"/>
      <c r="AJ590" s="286"/>
      <c r="AK590" s="286"/>
      <c r="AL590" s="286"/>
      <c r="AM590" s="286"/>
      <c r="AN590" s="286"/>
      <c r="AO590" s="286"/>
      <c r="AP590" s="286"/>
      <c r="AQ590" s="286"/>
      <c r="AR590" s="286"/>
      <c r="AS590" s="286"/>
      <c r="AT590" s="286"/>
      <c r="AU590" s="286"/>
      <c r="AV590" s="286"/>
      <c r="AW590" s="286"/>
      <c r="AX590" s="286"/>
      <c r="AY590" s="286"/>
      <c r="AZ590" s="286"/>
      <c r="BA590" s="286"/>
      <c r="BB590" s="286"/>
      <c r="BC590" s="286"/>
      <c r="BD590" s="286"/>
      <c r="BE590" s="286"/>
      <c r="BF590" s="286"/>
      <c r="BG590" s="286"/>
      <c r="BH590" s="286"/>
      <c r="BI590" s="286"/>
      <c r="BJ590" s="286"/>
      <c r="BK590" s="286"/>
      <c r="BL590" s="286"/>
      <c r="BM590" s="286"/>
      <c r="BN590" s="286"/>
      <c r="BO590" s="286"/>
      <c r="BP590" s="286"/>
      <c r="BQ590" s="286"/>
      <c r="BR590" s="286"/>
      <c r="BS590" s="286"/>
      <c r="BT590" s="286"/>
      <c r="BU590" s="286"/>
      <c r="BV590" s="286"/>
      <c r="BW590" s="286"/>
      <c r="BX590" s="286"/>
      <c r="BY590" s="286"/>
      <c r="BZ590" s="286"/>
      <c r="CA590" s="286"/>
      <c r="CB590" s="286"/>
      <c r="CC590" s="286"/>
      <c r="CD590" s="286"/>
      <c r="CE590" s="286"/>
      <c r="CF590" s="286"/>
      <c r="CG590" s="286"/>
      <c r="CH590" s="286"/>
      <c r="CI590" s="286"/>
      <c r="CJ590" s="286"/>
      <c r="CK590" s="286"/>
      <c r="CL590" s="286"/>
      <c r="CM590" s="286"/>
      <c r="CN590" s="286"/>
      <c r="CO590" s="286"/>
      <c r="CP590" s="286"/>
      <c r="CQ590" s="286"/>
      <c r="CR590" s="286"/>
      <c r="CS590" s="286"/>
      <c r="CT590" s="286"/>
      <c r="CU590" s="286"/>
      <c r="CV590" s="286"/>
      <c r="CW590" s="286"/>
      <c r="CX590" s="286"/>
      <c r="CY590" s="286"/>
      <c r="CZ590" s="286"/>
      <c r="DA590" s="286"/>
      <c r="DB590" s="286"/>
      <c r="DC590" s="286"/>
      <c r="DD590" s="286"/>
      <c r="DE590" s="286"/>
      <c r="DF590" s="286"/>
      <c r="DG590" s="286"/>
      <c r="DH590" s="286"/>
      <c r="DI590" s="286"/>
      <c r="DJ590" s="286"/>
      <c r="DK590" s="286"/>
      <c r="DL590" s="286"/>
      <c r="DM590" s="286"/>
      <c r="DN590" s="286"/>
      <c r="DO590" s="286"/>
      <c r="DP590" s="286"/>
      <c r="DQ590" s="286"/>
      <c r="DR590" s="286"/>
      <c r="DS590" s="286"/>
      <c r="DT590" s="286"/>
      <c r="DU590" s="286"/>
      <c r="DV590" s="286"/>
      <c r="DW590" s="286"/>
      <c r="DX590" s="286"/>
      <c r="DY590" s="286"/>
      <c r="DZ590" s="286"/>
      <c r="EA590" s="286"/>
      <c r="EB590" s="286"/>
      <c r="EC590" s="286"/>
      <c r="ED590" s="286"/>
      <c r="EE590" s="286"/>
      <c r="EF590" s="286"/>
      <c r="EG590" s="286"/>
      <c r="EH590" s="286"/>
      <c r="EI590" s="286"/>
      <c r="EJ590" s="286"/>
      <c r="EK590" s="286"/>
      <c r="EL590" s="286"/>
      <c r="EM590" s="286"/>
      <c r="EN590" s="286"/>
      <c r="EO590" s="286"/>
      <c r="EP590" s="286"/>
      <c r="EQ590" s="286"/>
      <c r="ER590" s="286"/>
      <c r="ES590" s="286"/>
      <c r="ET590" s="286"/>
      <c r="EU590" s="286"/>
      <c r="EV590" s="286"/>
      <c r="EW590" s="286"/>
      <c r="EX590" s="286"/>
      <c r="EY590" s="286"/>
      <c r="EZ590" s="286"/>
      <c r="FA590" s="286"/>
      <c r="FB590" s="286"/>
      <c r="FC590" s="286"/>
      <c r="FD590" s="286"/>
      <c r="FE590" s="286"/>
      <c r="FF590" s="286"/>
      <c r="FG590" s="286"/>
      <c r="FH590" s="286"/>
      <c r="FI590" s="286"/>
      <c r="FJ590" s="286"/>
      <c r="FK590" s="286"/>
      <c r="FL590" s="286"/>
      <c r="FM590" s="286"/>
      <c r="FN590" s="286"/>
      <c r="FO590" s="286"/>
      <c r="FP590" s="286"/>
      <c r="FQ590" s="286"/>
      <c r="FR590" s="286"/>
      <c r="FS590" s="286"/>
    </row>
    <row r="591" spans="1:175">
      <c r="A591" s="212" t="s">
        <v>3159</v>
      </c>
      <c r="B591" s="212" t="s">
        <v>3160</v>
      </c>
      <c r="C591" s="212" t="s">
        <v>3172</v>
      </c>
      <c r="D591" s="212" t="s">
        <v>3748</v>
      </c>
      <c r="E591" s="212" t="s">
        <v>3770</v>
      </c>
      <c r="F591" s="278">
        <v>45265</v>
      </c>
      <c r="G591" s="278">
        <v>504854</v>
      </c>
      <c r="H591" s="287">
        <f t="shared" si="9"/>
        <v>3.8466566571721725</v>
      </c>
      <c r="I591" s="286">
        <v>1666</v>
      </c>
      <c r="J591" s="286">
        <v>19420</v>
      </c>
      <c r="K591" s="286">
        <v>6379</v>
      </c>
      <c r="L591" s="286">
        <v>12983</v>
      </c>
      <c r="M591" s="286">
        <v>18783</v>
      </c>
      <c r="N591" s="286">
        <v>5980</v>
      </c>
      <c r="O591" s="286">
        <v>12746</v>
      </c>
      <c r="P591" s="286">
        <v>1615</v>
      </c>
      <c r="Q591" s="286">
        <v>18507</v>
      </c>
      <c r="R591" s="286">
        <v>6150</v>
      </c>
      <c r="S591" s="286">
        <v>12299</v>
      </c>
      <c r="T591" s="286">
        <v>17873</v>
      </c>
      <c r="U591" s="286">
        <v>5753</v>
      </c>
      <c r="V591" s="286">
        <v>12063</v>
      </c>
      <c r="W591" s="286"/>
      <c r="X591" s="286"/>
      <c r="Y591" s="286"/>
      <c r="Z591" s="286"/>
      <c r="AA591" s="286"/>
      <c r="AB591" s="286"/>
      <c r="AC591" s="286"/>
      <c r="AD591" s="286"/>
      <c r="AE591" s="286"/>
      <c r="AF591" s="286"/>
      <c r="AG591" s="286"/>
      <c r="AH591" s="286"/>
      <c r="AI591" s="286"/>
      <c r="AJ591" s="286"/>
      <c r="AK591" s="286"/>
      <c r="AL591" s="286"/>
      <c r="AM591" s="286"/>
      <c r="AN591" s="286"/>
      <c r="AO591" s="286"/>
      <c r="AP591" s="286"/>
      <c r="AQ591" s="286"/>
      <c r="AR591" s="286"/>
      <c r="AS591" s="286"/>
      <c r="AT591" s="286"/>
      <c r="AU591" s="286"/>
      <c r="AV591" s="286"/>
      <c r="AW591" s="286"/>
      <c r="AX591" s="286"/>
      <c r="AY591" s="286"/>
      <c r="AZ591" s="286"/>
      <c r="BA591" s="286"/>
      <c r="BB591" s="286"/>
      <c r="BC591" s="286"/>
      <c r="BD591" s="286"/>
      <c r="BE591" s="286"/>
      <c r="BF591" s="286"/>
      <c r="BG591" s="286"/>
      <c r="BH591" s="286"/>
      <c r="BI591" s="286"/>
      <c r="BJ591" s="286"/>
      <c r="BK591" s="286"/>
      <c r="BL591" s="286"/>
      <c r="BM591" s="286"/>
      <c r="BN591" s="286"/>
      <c r="BO591" s="286"/>
      <c r="BP591" s="286"/>
      <c r="BQ591" s="286"/>
      <c r="BR591" s="286"/>
      <c r="BS591" s="286"/>
      <c r="BT591" s="286"/>
      <c r="BU591" s="286"/>
      <c r="BV591" s="286"/>
      <c r="BW591" s="286"/>
      <c r="BX591" s="286"/>
      <c r="BY591" s="286"/>
      <c r="BZ591" s="286"/>
      <c r="CA591" s="286"/>
      <c r="CB591" s="286"/>
      <c r="CC591" s="286"/>
      <c r="CD591" s="286"/>
      <c r="CE591" s="286"/>
      <c r="CF591" s="286"/>
      <c r="CG591" s="286"/>
      <c r="CH591" s="286"/>
      <c r="CI591" s="286"/>
      <c r="CJ591" s="286"/>
      <c r="CK591" s="286"/>
      <c r="CL591" s="286"/>
      <c r="CM591" s="286"/>
      <c r="CN591" s="286"/>
      <c r="CO591" s="286"/>
      <c r="CP591" s="286"/>
      <c r="CQ591" s="286"/>
      <c r="CR591" s="286"/>
      <c r="CS591" s="286"/>
      <c r="CT591" s="286"/>
      <c r="CU591" s="286"/>
      <c r="CV591" s="286"/>
      <c r="CW591" s="286"/>
      <c r="CX591" s="286"/>
      <c r="CY591" s="286"/>
      <c r="CZ591" s="286"/>
      <c r="DA591" s="286"/>
      <c r="DB591" s="286"/>
      <c r="DC591" s="286"/>
      <c r="DD591" s="286"/>
      <c r="DE591" s="286"/>
      <c r="DF591" s="286"/>
      <c r="DG591" s="286"/>
      <c r="DH591" s="286"/>
      <c r="DI591" s="286"/>
      <c r="DJ591" s="286"/>
      <c r="DK591" s="286"/>
      <c r="DL591" s="286"/>
      <c r="DM591" s="286"/>
      <c r="DN591" s="286"/>
      <c r="DO591" s="286"/>
      <c r="DP591" s="286"/>
      <c r="DQ591" s="286"/>
      <c r="DR591" s="286"/>
      <c r="DS591" s="286"/>
      <c r="DT591" s="286"/>
      <c r="DU591" s="286"/>
      <c r="DV591" s="286"/>
      <c r="DW591" s="286"/>
      <c r="DX591" s="286"/>
      <c r="DY591" s="286"/>
      <c r="DZ591" s="286"/>
      <c r="EA591" s="286"/>
      <c r="EB591" s="286"/>
      <c r="EC591" s="286"/>
      <c r="ED591" s="286"/>
      <c r="EE591" s="286"/>
      <c r="EF591" s="286"/>
      <c r="EG591" s="286"/>
      <c r="EH591" s="286"/>
      <c r="EI591" s="286"/>
      <c r="EJ591" s="286"/>
      <c r="EK591" s="286"/>
      <c r="EL591" s="286"/>
      <c r="EM591" s="286"/>
      <c r="EN591" s="286"/>
      <c r="EO591" s="286"/>
      <c r="EP591" s="286"/>
      <c r="EQ591" s="286"/>
      <c r="ER591" s="286"/>
      <c r="ES591" s="286"/>
      <c r="ET591" s="286"/>
      <c r="EU591" s="286"/>
      <c r="EV591" s="286"/>
      <c r="EW591" s="286"/>
      <c r="EX591" s="286"/>
      <c r="EY591" s="286"/>
      <c r="EZ591" s="286"/>
      <c r="FA591" s="286"/>
      <c r="FB591" s="286"/>
      <c r="FC591" s="286"/>
      <c r="FD591" s="286"/>
      <c r="FE591" s="286"/>
      <c r="FF591" s="286"/>
      <c r="FG591" s="286"/>
      <c r="FH591" s="286"/>
      <c r="FI591" s="286"/>
      <c r="FJ591" s="286"/>
      <c r="FK591" s="286"/>
      <c r="FL591" s="286"/>
      <c r="FM591" s="286"/>
      <c r="FN591" s="286"/>
      <c r="FO591" s="286"/>
      <c r="FP591" s="286"/>
      <c r="FQ591" s="286"/>
      <c r="FR591" s="286"/>
      <c r="FS591" s="286"/>
    </row>
    <row r="592" spans="1:175">
      <c r="A592" s="212" t="s">
        <v>3159</v>
      </c>
      <c r="B592" s="212" t="s">
        <v>3160</v>
      </c>
      <c r="C592" s="212" t="s">
        <v>3168</v>
      </c>
      <c r="D592" s="212" t="s">
        <v>3771</v>
      </c>
      <c r="E592" s="212" t="s">
        <v>3772</v>
      </c>
      <c r="F592" s="278">
        <v>436687</v>
      </c>
      <c r="G592" s="278">
        <v>2195981</v>
      </c>
      <c r="H592" s="287">
        <f t="shared" si="9"/>
        <v>3.9380122141311786</v>
      </c>
      <c r="I592" s="286">
        <v>16837</v>
      </c>
      <c r="J592" s="286">
        <v>86478</v>
      </c>
      <c r="K592" s="286">
        <v>36855</v>
      </c>
      <c r="L592" s="286">
        <v>49178</v>
      </c>
      <c r="M592" s="286">
        <v>66139</v>
      </c>
      <c r="N592" s="286">
        <v>26827</v>
      </c>
      <c r="O592" s="286">
        <v>38881</v>
      </c>
      <c r="P592" s="286">
        <v>16729</v>
      </c>
      <c r="Q592" s="286">
        <v>85553</v>
      </c>
      <c r="R592" s="286">
        <v>36266</v>
      </c>
      <c r="S592" s="286">
        <v>48842</v>
      </c>
      <c r="T592" s="286">
        <v>65400</v>
      </c>
      <c r="U592" s="286">
        <v>26295</v>
      </c>
      <c r="V592" s="286">
        <v>38674</v>
      </c>
      <c r="W592" s="286"/>
      <c r="X592" s="286"/>
      <c r="Y592" s="286"/>
      <c r="Z592" s="286"/>
      <c r="AA592" s="286"/>
      <c r="AB592" s="286"/>
      <c r="AC592" s="286"/>
      <c r="AD592" s="286"/>
      <c r="AE592" s="286"/>
      <c r="AF592" s="286"/>
      <c r="AG592" s="286"/>
      <c r="AH592" s="286"/>
      <c r="AI592" s="286"/>
      <c r="AJ592" s="286"/>
      <c r="AK592" s="286"/>
      <c r="AL592" s="286"/>
      <c r="AM592" s="286"/>
      <c r="AN592" s="286"/>
      <c r="AO592" s="286"/>
      <c r="AP592" s="286"/>
      <c r="AQ592" s="286"/>
      <c r="AR592" s="286"/>
      <c r="AS592" s="286"/>
      <c r="AT592" s="286"/>
      <c r="AU592" s="286"/>
      <c r="AV592" s="286"/>
      <c r="AW592" s="286"/>
      <c r="AX592" s="286"/>
      <c r="AY592" s="286"/>
      <c r="AZ592" s="286"/>
      <c r="BA592" s="286"/>
      <c r="BB592" s="286"/>
      <c r="BC592" s="286"/>
      <c r="BD592" s="286"/>
      <c r="BE592" s="286"/>
      <c r="BF592" s="286"/>
      <c r="BG592" s="286"/>
      <c r="BH592" s="286"/>
      <c r="BI592" s="286"/>
      <c r="BJ592" s="286"/>
      <c r="BK592" s="286"/>
      <c r="BL592" s="286"/>
      <c r="BM592" s="286"/>
      <c r="BN592" s="286"/>
      <c r="BO592" s="286"/>
      <c r="BP592" s="286"/>
      <c r="BQ592" s="286"/>
      <c r="BR592" s="286"/>
      <c r="BS592" s="286"/>
      <c r="BT592" s="286"/>
      <c r="BU592" s="286"/>
      <c r="BV592" s="286"/>
      <c r="BW592" s="286"/>
      <c r="BX592" s="286"/>
      <c r="BY592" s="286"/>
      <c r="BZ592" s="286"/>
      <c r="CA592" s="286"/>
      <c r="CB592" s="286"/>
      <c r="CC592" s="286"/>
      <c r="CD592" s="286"/>
      <c r="CE592" s="286"/>
      <c r="CF592" s="286"/>
      <c r="CG592" s="286"/>
      <c r="CH592" s="286"/>
      <c r="CI592" s="286"/>
      <c r="CJ592" s="286"/>
      <c r="CK592" s="286"/>
      <c r="CL592" s="286"/>
      <c r="CM592" s="286"/>
      <c r="CN592" s="286"/>
      <c r="CO592" s="286"/>
      <c r="CP592" s="286"/>
      <c r="CQ592" s="286"/>
      <c r="CR592" s="286"/>
      <c r="CS592" s="286"/>
      <c r="CT592" s="286"/>
      <c r="CU592" s="286"/>
      <c r="CV592" s="286"/>
      <c r="CW592" s="286"/>
      <c r="CX592" s="286"/>
      <c r="CY592" s="286"/>
      <c r="CZ592" s="286"/>
      <c r="DA592" s="286"/>
      <c r="DB592" s="286"/>
      <c r="DC592" s="286"/>
      <c r="DD592" s="286"/>
      <c r="DE592" s="286"/>
      <c r="DF592" s="286"/>
      <c r="DG592" s="286"/>
      <c r="DH592" s="286"/>
      <c r="DI592" s="286"/>
      <c r="DJ592" s="286"/>
      <c r="DK592" s="286"/>
      <c r="DL592" s="286"/>
      <c r="DM592" s="286"/>
      <c r="DN592" s="286"/>
      <c r="DO592" s="286"/>
      <c r="DP592" s="286"/>
      <c r="DQ592" s="286"/>
      <c r="DR592" s="286"/>
      <c r="DS592" s="286"/>
      <c r="DT592" s="286"/>
      <c r="DU592" s="286"/>
      <c r="DV592" s="286"/>
      <c r="DW592" s="286"/>
      <c r="DX592" s="286"/>
      <c r="DY592" s="286"/>
      <c r="DZ592" s="286"/>
      <c r="EA592" s="286"/>
      <c r="EB592" s="286"/>
      <c r="EC592" s="286"/>
      <c r="ED592" s="286"/>
      <c r="EE592" s="286"/>
      <c r="EF592" s="286"/>
      <c r="EG592" s="286"/>
      <c r="EH592" s="286"/>
      <c r="EI592" s="286"/>
      <c r="EJ592" s="286"/>
      <c r="EK592" s="286"/>
      <c r="EL592" s="286"/>
      <c r="EM592" s="286"/>
      <c r="EN592" s="286"/>
      <c r="EO592" s="286"/>
      <c r="EP592" s="286"/>
      <c r="EQ592" s="286"/>
      <c r="ER592" s="286"/>
      <c r="ES592" s="286"/>
      <c r="ET592" s="286"/>
      <c r="EU592" s="286"/>
      <c r="EV592" s="286"/>
      <c r="EW592" s="286"/>
      <c r="EX592" s="286"/>
      <c r="EY592" s="286"/>
      <c r="EZ592" s="286"/>
      <c r="FA592" s="286"/>
      <c r="FB592" s="286"/>
      <c r="FC592" s="286"/>
      <c r="FD592" s="286"/>
      <c r="FE592" s="286"/>
      <c r="FF592" s="286"/>
      <c r="FG592" s="286"/>
      <c r="FH592" s="286"/>
      <c r="FI592" s="286"/>
      <c r="FJ592" s="286"/>
      <c r="FK592" s="286"/>
      <c r="FL592" s="286"/>
      <c r="FM592" s="286"/>
      <c r="FN592" s="286"/>
      <c r="FO592" s="286"/>
      <c r="FP592" s="286"/>
      <c r="FQ592" s="286"/>
      <c r="FR592" s="286"/>
      <c r="FS592" s="286"/>
    </row>
    <row r="593" spans="1:175">
      <c r="A593" s="212" t="s">
        <v>3159</v>
      </c>
      <c r="B593" s="212" t="s">
        <v>3160</v>
      </c>
      <c r="C593" s="212" t="s">
        <v>3170</v>
      </c>
      <c r="D593" s="212" t="s">
        <v>3771</v>
      </c>
      <c r="E593" s="212" t="s">
        <v>3773</v>
      </c>
      <c r="F593" s="278">
        <v>325730</v>
      </c>
      <c r="G593" s="278">
        <v>1009874</v>
      </c>
      <c r="H593" s="287">
        <f t="shared" si="9"/>
        <v>3.9759415531046449</v>
      </c>
      <c r="I593" s="286">
        <v>12448</v>
      </c>
      <c r="J593" s="286">
        <v>40152</v>
      </c>
      <c r="K593" s="286">
        <v>14368</v>
      </c>
      <c r="L593" s="286">
        <v>25443</v>
      </c>
      <c r="M593" s="286">
        <v>26133</v>
      </c>
      <c r="N593" s="286">
        <v>7673</v>
      </c>
      <c r="O593" s="286">
        <v>18133</v>
      </c>
      <c r="P593" s="286">
        <v>12446</v>
      </c>
      <c r="Q593" s="286">
        <v>40138</v>
      </c>
      <c r="R593" s="286">
        <v>14362</v>
      </c>
      <c r="S593" s="286">
        <v>25435</v>
      </c>
      <c r="T593" s="286">
        <v>26119</v>
      </c>
      <c r="U593" s="286">
        <v>7667</v>
      </c>
      <c r="V593" s="286">
        <v>18125</v>
      </c>
      <c r="W593" s="286"/>
      <c r="X593" s="286"/>
      <c r="Y593" s="286"/>
      <c r="Z593" s="286"/>
      <c r="AA593" s="286"/>
      <c r="AB593" s="286"/>
      <c r="AC593" s="286"/>
      <c r="AD593" s="286"/>
      <c r="AE593" s="286"/>
      <c r="AF593" s="286"/>
      <c r="AG593" s="286"/>
      <c r="AH593" s="286"/>
      <c r="AI593" s="286"/>
      <c r="AJ593" s="286"/>
      <c r="AK593" s="286"/>
      <c r="AL593" s="286"/>
      <c r="AM593" s="286"/>
      <c r="AN593" s="286"/>
      <c r="AO593" s="286"/>
      <c r="AP593" s="286"/>
      <c r="AQ593" s="286"/>
      <c r="AR593" s="286"/>
      <c r="AS593" s="286"/>
      <c r="AT593" s="286"/>
      <c r="AU593" s="286"/>
      <c r="AV593" s="286"/>
      <c r="AW593" s="286"/>
      <c r="AX593" s="286"/>
      <c r="AY593" s="286"/>
      <c r="AZ593" s="286"/>
      <c r="BA593" s="286"/>
      <c r="BB593" s="286"/>
      <c r="BC593" s="286"/>
      <c r="BD593" s="286"/>
      <c r="BE593" s="286"/>
      <c r="BF593" s="286"/>
      <c r="BG593" s="286"/>
      <c r="BH593" s="286"/>
      <c r="BI593" s="286"/>
      <c r="BJ593" s="286"/>
      <c r="BK593" s="286"/>
      <c r="BL593" s="286"/>
      <c r="BM593" s="286"/>
      <c r="BN593" s="286"/>
      <c r="BO593" s="286"/>
      <c r="BP593" s="286"/>
      <c r="BQ593" s="286"/>
      <c r="BR593" s="286"/>
      <c r="BS593" s="286"/>
      <c r="BT593" s="286"/>
      <c r="BU593" s="286"/>
      <c r="BV593" s="286"/>
      <c r="BW593" s="286"/>
      <c r="BX593" s="286"/>
      <c r="BY593" s="286"/>
      <c r="BZ593" s="286"/>
      <c r="CA593" s="286"/>
      <c r="CB593" s="286"/>
      <c r="CC593" s="286"/>
      <c r="CD593" s="286"/>
      <c r="CE593" s="286"/>
      <c r="CF593" s="286"/>
      <c r="CG593" s="286"/>
      <c r="CH593" s="286"/>
      <c r="CI593" s="286"/>
      <c r="CJ593" s="286"/>
      <c r="CK593" s="286"/>
      <c r="CL593" s="286"/>
      <c r="CM593" s="286"/>
      <c r="CN593" s="286"/>
      <c r="CO593" s="286"/>
      <c r="CP593" s="286"/>
      <c r="CQ593" s="286"/>
      <c r="CR593" s="286"/>
      <c r="CS593" s="286"/>
      <c r="CT593" s="286"/>
      <c r="CU593" s="286"/>
      <c r="CV593" s="286"/>
      <c r="CW593" s="286"/>
      <c r="CX593" s="286"/>
      <c r="CY593" s="286"/>
      <c r="CZ593" s="286"/>
      <c r="DA593" s="286"/>
      <c r="DB593" s="286"/>
      <c r="DC593" s="286"/>
      <c r="DD593" s="286"/>
      <c r="DE593" s="286"/>
      <c r="DF593" s="286"/>
      <c r="DG593" s="286"/>
      <c r="DH593" s="286"/>
      <c r="DI593" s="286"/>
      <c r="DJ593" s="286"/>
      <c r="DK593" s="286"/>
      <c r="DL593" s="286"/>
      <c r="DM593" s="286"/>
      <c r="DN593" s="286"/>
      <c r="DO593" s="286"/>
      <c r="DP593" s="286"/>
      <c r="DQ593" s="286"/>
      <c r="DR593" s="286"/>
      <c r="DS593" s="286"/>
      <c r="DT593" s="286"/>
      <c r="DU593" s="286"/>
      <c r="DV593" s="286"/>
      <c r="DW593" s="286"/>
      <c r="DX593" s="286"/>
      <c r="DY593" s="286"/>
      <c r="DZ593" s="286"/>
      <c r="EA593" s="286"/>
      <c r="EB593" s="286"/>
      <c r="EC593" s="286"/>
      <c r="ED593" s="286"/>
      <c r="EE593" s="286"/>
      <c r="EF593" s="286"/>
      <c r="EG593" s="286"/>
      <c r="EH593" s="286"/>
      <c r="EI593" s="286"/>
      <c r="EJ593" s="286"/>
      <c r="EK593" s="286"/>
      <c r="EL593" s="286"/>
      <c r="EM593" s="286"/>
      <c r="EN593" s="286"/>
      <c r="EO593" s="286"/>
      <c r="EP593" s="286"/>
      <c r="EQ593" s="286"/>
      <c r="ER593" s="286"/>
      <c r="ES593" s="286"/>
      <c r="ET593" s="286"/>
      <c r="EU593" s="286"/>
      <c r="EV593" s="286"/>
      <c r="EW593" s="286"/>
      <c r="EX593" s="286"/>
      <c r="EY593" s="286"/>
      <c r="EZ593" s="286"/>
      <c r="FA593" s="286"/>
      <c r="FB593" s="286"/>
      <c r="FC593" s="286"/>
      <c r="FD593" s="286"/>
      <c r="FE593" s="286"/>
      <c r="FF593" s="286"/>
      <c r="FG593" s="286"/>
      <c r="FH593" s="286"/>
      <c r="FI593" s="286"/>
      <c r="FJ593" s="286"/>
      <c r="FK593" s="286"/>
      <c r="FL593" s="286"/>
      <c r="FM593" s="286"/>
      <c r="FN593" s="286"/>
      <c r="FO593" s="286"/>
      <c r="FP593" s="286"/>
      <c r="FQ593" s="286"/>
      <c r="FR593" s="286"/>
      <c r="FS593" s="286"/>
    </row>
    <row r="594" spans="1:175">
      <c r="A594" s="212" t="s">
        <v>3159</v>
      </c>
      <c r="B594" s="212" t="s">
        <v>3160</v>
      </c>
      <c r="C594" s="212" t="s">
        <v>3172</v>
      </c>
      <c r="D594" s="212" t="s">
        <v>3771</v>
      </c>
      <c r="E594" s="212" t="s">
        <v>3774</v>
      </c>
      <c r="F594" s="278">
        <v>790</v>
      </c>
      <c r="G594" s="278">
        <v>6924</v>
      </c>
      <c r="H594" s="287">
        <f t="shared" si="9"/>
        <v>1.314269208549971</v>
      </c>
      <c r="I594" s="286">
        <v>16</v>
      </c>
      <c r="J594" s="286">
        <v>91</v>
      </c>
      <c r="K594" s="286">
        <v>34</v>
      </c>
      <c r="L594" s="286">
        <v>57</v>
      </c>
      <c r="M594" s="286">
        <v>68</v>
      </c>
      <c r="N594" s="286">
        <v>19</v>
      </c>
      <c r="O594" s="286">
        <v>49</v>
      </c>
      <c r="P594" s="286">
        <v>16</v>
      </c>
      <c r="Q594" s="286">
        <v>91</v>
      </c>
      <c r="R594" s="286">
        <v>34</v>
      </c>
      <c r="S594" s="286">
        <v>57</v>
      </c>
      <c r="T594" s="286">
        <v>68</v>
      </c>
      <c r="U594" s="286">
        <v>19</v>
      </c>
      <c r="V594" s="286">
        <v>49</v>
      </c>
      <c r="W594" s="286"/>
      <c r="X594" s="286"/>
      <c r="Y594" s="286"/>
      <c r="Z594" s="286"/>
      <c r="AA594" s="286"/>
      <c r="AB594" s="286"/>
      <c r="AC594" s="286"/>
      <c r="AD594" s="286"/>
      <c r="AE594" s="286"/>
      <c r="AF594" s="286"/>
      <c r="AG594" s="286"/>
      <c r="AH594" s="286"/>
      <c r="AI594" s="286"/>
      <c r="AJ594" s="286"/>
      <c r="AK594" s="286"/>
      <c r="AL594" s="286"/>
      <c r="AM594" s="286"/>
      <c r="AN594" s="286"/>
      <c r="AO594" s="286"/>
      <c r="AP594" s="286"/>
      <c r="AQ594" s="286"/>
      <c r="AR594" s="286"/>
      <c r="AS594" s="286"/>
      <c r="AT594" s="286"/>
      <c r="AU594" s="286"/>
      <c r="AV594" s="286"/>
      <c r="AW594" s="286"/>
      <c r="AX594" s="286"/>
      <c r="AY594" s="286"/>
      <c r="AZ594" s="286"/>
      <c r="BA594" s="286"/>
      <c r="BB594" s="286"/>
      <c r="BC594" s="286"/>
      <c r="BD594" s="286"/>
      <c r="BE594" s="286"/>
      <c r="BF594" s="286"/>
      <c r="BG594" s="286"/>
      <c r="BH594" s="286"/>
      <c r="BI594" s="286"/>
      <c r="BJ594" s="286"/>
      <c r="BK594" s="286"/>
      <c r="BL594" s="286"/>
      <c r="BM594" s="286"/>
      <c r="BN594" s="286"/>
      <c r="BO594" s="286"/>
      <c r="BP594" s="286"/>
      <c r="BQ594" s="286"/>
      <c r="BR594" s="286"/>
      <c r="BS594" s="286"/>
      <c r="BT594" s="286"/>
      <c r="BU594" s="286"/>
      <c r="BV594" s="286"/>
      <c r="BW594" s="286"/>
      <c r="BX594" s="286"/>
      <c r="BY594" s="286"/>
      <c r="BZ594" s="286"/>
      <c r="CA594" s="286"/>
      <c r="CB594" s="286"/>
      <c r="CC594" s="286"/>
      <c r="CD594" s="286"/>
      <c r="CE594" s="286"/>
      <c r="CF594" s="286"/>
      <c r="CG594" s="286"/>
      <c r="CH594" s="286"/>
      <c r="CI594" s="286"/>
      <c r="CJ594" s="286"/>
      <c r="CK594" s="286"/>
      <c r="CL594" s="286"/>
      <c r="CM594" s="286"/>
      <c r="CN594" s="286"/>
      <c r="CO594" s="286"/>
      <c r="CP594" s="286"/>
      <c r="CQ594" s="286"/>
      <c r="CR594" s="286"/>
      <c r="CS594" s="286"/>
      <c r="CT594" s="286"/>
      <c r="CU594" s="286"/>
      <c r="CV594" s="286"/>
      <c r="CW594" s="286"/>
      <c r="CX594" s="286"/>
      <c r="CY594" s="286"/>
      <c r="CZ594" s="286"/>
      <c r="DA594" s="286"/>
      <c r="DB594" s="286"/>
      <c r="DC594" s="286"/>
      <c r="DD594" s="286"/>
      <c r="DE594" s="286"/>
      <c r="DF594" s="286"/>
      <c r="DG594" s="286"/>
      <c r="DH594" s="286"/>
      <c r="DI594" s="286"/>
      <c r="DJ594" s="286"/>
      <c r="DK594" s="286"/>
      <c r="DL594" s="286"/>
      <c r="DM594" s="286"/>
      <c r="DN594" s="286"/>
      <c r="DO594" s="286"/>
      <c r="DP594" s="286"/>
      <c r="DQ594" s="286"/>
      <c r="DR594" s="286"/>
      <c r="DS594" s="286"/>
      <c r="DT594" s="286"/>
      <c r="DU594" s="286"/>
      <c r="DV594" s="286"/>
      <c r="DW594" s="286"/>
      <c r="DX594" s="286"/>
      <c r="DY594" s="286"/>
      <c r="DZ594" s="286"/>
      <c r="EA594" s="286"/>
      <c r="EB594" s="286"/>
      <c r="EC594" s="286"/>
      <c r="ED594" s="286"/>
      <c r="EE594" s="286"/>
      <c r="EF594" s="286"/>
      <c r="EG594" s="286"/>
      <c r="EH594" s="286"/>
      <c r="EI594" s="286"/>
      <c r="EJ594" s="286"/>
      <c r="EK594" s="286"/>
      <c r="EL594" s="286"/>
      <c r="EM594" s="286"/>
      <c r="EN594" s="286"/>
      <c r="EO594" s="286"/>
      <c r="EP594" s="286"/>
      <c r="EQ594" s="286"/>
      <c r="ER594" s="286"/>
      <c r="ES594" s="286"/>
      <c r="ET594" s="286"/>
      <c r="EU594" s="286"/>
      <c r="EV594" s="286"/>
      <c r="EW594" s="286"/>
      <c r="EX594" s="286"/>
      <c r="EY594" s="286"/>
      <c r="EZ594" s="286"/>
      <c r="FA594" s="286"/>
      <c r="FB594" s="286"/>
      <c r="FC594" s="286"/>
      <c r="FD594" s="286"/>
      <c r="FE594" s="286"/>
      <c r="FF594" s="286"/>
      <c r="FG594" s="286"/>
      <c r="FH594" s="286"/>
      <c r="FI594" s="286"/>
      <c r="FJ594" s="286"/>
      <c r="FK594" s="286"/>
      <c r="FL594" s="286"/>
      <c r="FM594" s="286"/>
      <c r="FN594" s="286"/>
      <c r="FO594" s="286"/>
      <c r="FP594" s="286"/>
      <c r="FQ594" s="286"/>
      <c r="FR594" s="286"/>
      <c r="FS594" s="286"/>
    </row>
    <row r="595" spans="1:175">
      <c r="A595" s="212" t="s">
        <v>3159</v>
      </c>
      <c r="B595" s="212" t="s">
        <v>3160</v>
      </c>
      <c r="C595" s="212" t="s">
        <v>3172</v>
      </c>
      <c r="D595" s="212" t="s">
        <v>3771</v>
      </c>
      <c r="E595" s="212" t="s">
        <v>3775</v>
      </c>
      <c r="F595" s="278">
        <v>43136</v>
      </c>
      <c r="G595" s="278">
        <v>264503</v>
      </c>
      <c r="H595" s="287">
        <f t="shared" si="9"/>
        <v>4.0581770339088781</v>
      </c>
      <c r="I595" s="286">
        <v>1734</v>
      </c>
      <c r="J595" s="286">
        <v>10734</v>
      </c>
      <c r="K595" s="286">
        <v>3513</v>
      </c>
      <c r="L595" s="286">
        <v>7221</v>
      </c>
      <c r="M595" s="286">
        <v>8847</v>
      </c>
      <c r="N595" s="286">
        <v>2609</v>
      </c>
      <c r="O595" s="286">
        <v>6238</v>
      </c>
      <c r="P595" s="286">
        <v>1734</v>
      </c>
      <c r="Q595" s="286">
        <v>10734</v>
      </c>
      <c r="R595" s="286">
        <v>3513</v>
      </c>
      <c r="S595" s="286">
        <v>7221</v>
      </c>
      <c r="T595" s="286">
        <v>8847</v>
      </c>
      <c r="U595" s="286">
        <v>2609</v>
      </c>
      <c r="V595" s="286">
        <v>6238</v>
      </c>
      <c r="W595" s="286"/>
      <c r="X595" s="286"/>
      <c r="Y595" s="286"/>
      <c r="Z595" s="286"/>
      <c r="AA595" s="286"/>
      <c r="AB595" s="286"/>
      <c r="AC595" s="286"/>
      <c r="AD595" s="286"/>
      <c r="AE595" s="286"/>
      <c r="AF595" s="286"/>
      <c r="AG595" s="286"/>
      <c r="AH595" s="286"/>
      <c r="AI595" s="286"/>
      <c r="AJ595" s="286"/>
      <c r="AK595" s="286"/>
      <c r="AL595" s="286"/>
      <c r="AM595" s="286"/>
      <c r="AN595" s="286"/>
      <c r="AO595" s="286"/>
      <c r="AP595" s="286"/>
      <c r="AQ595" s="286"/>
      <c r="AR595" s="286"/>
      <c r="AS595" s="286"/>
      <c r="AT595" s="286"/>
      <c r="AU595" s="286"/>
      <c r="AV595" s="286"/>
      <c r="AW595" s="286"/>
      <c r="AX595" s="286"/>
      <c r="AY595" s="286"/>
      <c r="AZ595" s="286"/>
      <c r="BA595" s="286"/>
      <c r="BB595" s="286"/>
      <c r="BC595" s="286"/>
      <c r="BD595" s="286"/>
      <c r="BE595" s="286"/>
      <c r="BF595" s="286"/>
      <c r="BG595" s="286"/>
      <c r="BH595" s="286"/>
      <c r="BI595" s="286"/>
      <c r="BJ595" s="286"/>
      <c r="BK595" s="286"/>
      <c r="BL595" s="286"/>
      <c r="BM595" s="286"/>
      <c r="BN595" s="286"/>
      <c r="BO595" s="286"/>
      <c r="BP595" s="286"/>
      <c r="BQ595" s="286"/>
      <c r="BR595" s="286"/>
      <c r="BS595" s="286"/>
      <c r="BT595" s="286"/>
      <c r="BU595" s="286"/>
      <c r="BV595" s="286"/>
      <c r="BW595" s="286"/>
      <c r="BX595" s="286"/>
      <c r="BY595" s="286"/>
      <c r="BZ595" s="286"/>
      <c r="CA595" s="286"/>
      <c r="CB595" s="286"/>
      <c r="CC595" s="286"/>
      <c r="CD595" s="286"/>
      <c r="CE595" s="286"/>
      <c r="CF595" s="286"/>
      <c r="CG595" s="286"/>
      <c r="CH595" s="286"/>
      <c r="CI595" s="286"/>
      <c r="CJ595" s="286"/>
      <c r="CK595" s="286"/>
      <c r="CL595" s="286"/>
      <c r="CM595" s="286"/>
      <c r="CN595" s="286"/>
      <c r="CO595" s="286"/>
      <c r="CP595" s="286"/>
      <c r="CQ595" s="286"/>
      <c r="CR595" s="286"/>
      <c r="CS595" s="286"/>
      <c r="CT595" s="286"/>
      <c r="CU595" s="286"/>
      <c r="CV595" s="286"/>
      <c r="CW595" s="286"/>
      <c r="CX595" s="286"/>
      <c r="CY595" s="286"/>
      <c r="CZ595" s="286"/>
      <c r="DA595" s="286"/>
      <c r="DB595" s="286"/>
      <c r="DC595" s="286"/>
      <c r="DD595" s="286"/>
      <c r="DE595" s="286"/>
      <c r="DF595" s="286"/>
      <c r="DG595" s="286"/>
      <c r="DH595" s="286"/>
      <c r="DI595" s="286"/>
      <c r="DJ595" s="286"/>
      <c r="DK595" s="286"/>
      <c r="DL595" s="286"/>
      <c r="DM595" s="286"/>
      <c r="DN595" s="286"/>
      <c r="DO595" s="286"/>
      <c r="DP595" s="286"/>
      <c r="DQ595" s="286"/>
      <c r="DR595" s="286"/>
      <c r="DS595" s="286"/>
      <c r="DT595" s="286"/>
      <c r="DU595" s="286"/>
      <c r="DV595" s="286"/>
      <c r="DW595" s="286"/>
      <c r="DX595" s="286"/>
      <c r="DY595" s="286"/>
      <c r="DZ595" s="286"/>
      <c r="EA595" s="286"/>
      <c r="EB595" s="286"/>
      <c r="EC595" s="286"/>
      <c r="ED595" s="286"/>
      <c r="EE595" s="286"/>
      <c r="EF595" s="286"/>
      <c r="EG595" s="286"/>
      <c r="EH595" s="286"/>
      <c r="EI595" s="286"/>
      <c r="EJ595" s="286"/>
      <c r="EK595" s="286"/>
      <c r="EL595" s="286"/>
      <c r="EM595" s="286"/>
      <c r="EN595" s="286"/>
      <c r="EO595" s="286"/>
      <c r="EP595" s="286"/>
      <c r="EQ595" s="286"/>
      <c r="ER595" s="286"/>
      <c r="ES595" s="286"/>
      <c r="ET595" s="286"/>
      <c r="EU595" s="286"/>
      <c r="EV595" s="286"/>
      <c r="EW595" s="286"/>
      <c r="EX595" s="286"/>
      <c r="EY595" s="286"/>
      <c r="EZ595" s="286"/>
      <c r="FA595" s="286"/>
      <c r="FB595" s="286"/>
      <c r="FC595" s="286"/>
      <c r="FD595" s="286"/>
      <c r="FE595" s="286"/>
      <c r="FF595" s="286"/>
      <c r="FG595" s="286"/>
      <c r="FH595" s="286"/>
      <c r="FI595" s="286"/>
      <c r="FJ595" s="286"/>
      <c r="FK595" s="286"/>
      <c r="FL595" s="286"/>
      <c r="FM595" s="286"/>
      <c r="FN595" s="286"/>
      <c r="FO595" s="286"/>
      <c r="FP595" s="286"/>
      <c r="FQ595" s="286"/>
      <c r="FR595" s="286"/>
      <c r="FS595" s="286"/>
    </row>
    <row r="596" spans="1:175">
      <c r="A596" s="212" t="s">
        <v>3159</v>
      </c>
      <c r="B596" s="212" t="s">
        <v>3160</v>
      </c>
      <c r="C596" s="212" t="s">
        <v>3432</v>
      </c>
      <c r="D596" s="212" t="s">
        <v>3771</v>
      </c>
      <c r="E596" s="212" t="s">
        <v>3776</v>
      </c>
      <c r="F596" s="278">
        <v>38852</v>
      </c>
      <c r="G596" s="278">
        <v>163196</v>
      </c>
      <c r="H596" s="287">
        <f t="shared" si="9"/>
        <v>4.3910389960538243</v>
      </c>
      <c r="I596" s="286">
        <v>1598</v>
      </c>
      <c r="J596" s="286">
        <v>7166</v>
      </c>
      <c r="K596" s="286">
        <v>2002</v>
      </c>
      <c r="L596" s="286">
        <v>5164</v>
      </c>
      <c r="M596" s="286">
        <v>5538</v>
      </c>
      <c r="N596" s="286">
        <v>1268</v>
      </c>
      <c r="O596" s="286">
        <v>4270</v>
      </c>
      <c r="P596" s="286">
        <v>1598</v>
      </c>
      <c r="Q596" s="286">
        <v>7166</v>
      </c>
      <c r="R596" s="286">
        <v>2002</v>
      </c>
      <c r="S596" s="286">
        <v>5164</v>
      </c>
      <c r="T596" s="286">
        <v>5538</v>
      </c>
      <c r="U596" s="286">
        <v>1268</v>
      </c>
      <c r="V596" s="286">
        <v>4270</v>
      </c>
      <c r="W596" s="286"/>
      <c r="X596" s="286"/>
      <c r="Y596" s="286"/>
      <c r="Z596" s="286"/>
      <c r="AA596" s="286"/>
      <c r="AB596" s="286"/>
      <c r="AC596" s="286"/>
      <c r="AD596" s="286"/>
      <c r="AE596" s="286"/>
      <c r="AF596" s="286"/>
      <c r="AG596" s="286"/>
      <c r="AH596" s="286"/>
      <c r="AI596" s="286"/>
      <c r="AJ596" s="286"/>
      <c r="AK596" s="286"/>
      <c r="AL596" s="286"/>
      <c r="AM596" s="286"/>
      <c r="AN596" s="286"/>
      <c r="AO596" s="286"/>
      <c r="AP596" s="286"/>
      <c r="AQ596" s="286"/>
      <c r="AR596" s="286"/>
      <c r="AS596" s="286"/>
      <c r="AT596" s="286"/>
      <c r="AU596" s="286"/>
      <c r="AV596" s="286"/>
      <c r="AW596" s="286"/>
      <c r="AX596" s="286"/>
      <c r="AY596" s="286"/>
      <c r="AZ596" s="286"/>
      <c r="BA596" s="286"/>
      <c r="BB596" s="286"/>
      <c r="BC596" s="286"/>
      <c r="BD596" s="286"/>
      <c r="BE596" s="286"/>
      <c r="BF596" s="286"/>
      <c r="BG596" s="286"/>
      <c r="BH596" s="286"/>
      <c r="BI596" s="286"/>
      <c r="BJ596" s="286"/>
      <c r="BK596" s="286"/>
      <c r="BL596" s="286"/>
      <c r="BM596" s="286"/>
      <c r="BN596" s="286"/>
      <c r="BO596" s="286"/>
      <c r="BP596" s="286"/>
      <c r="BQ596" s="286"/>
      <c r="BR596" s="286"/>
      <c r="BS596" s="286"/>
      <c r="BT596" s="286"/>
      <c r="BU596" s="286"/>
      <c r="BV596" s="286"/>
      <c r="BW596" s="286"/>
      <c r="BX596" s="286"/>
      <c r="BY596" s="286"/>
      <c r="BZ596" s="286"/>
      <c r="CA596" s="286"/>
      <c r="CB596" s="286"/>
      <c r="CC596" s="286"/>
      <c r="CD596" s="286"/>
      <c r="CE596" s="286"/>
      <c r="CF596" s="286"/>
      <c r="CG596" s="286"/>
      <c r="CH596" s="286"/>
      <c r="CI596" s="286"/>
      <c r="CJ596" s="286"/>
      <c r="CK596" s="286"/>
      <c r="CL596" s="286"/>
      <c r="CM596" s="286"/>
      <c r="CN596" s="286"/>
      <c r="CO596" s="286"/>
      <c r="CP596" s="286"/>
      <c r="CQ596" s="286"/>
      <c r="CR596" s="286"/>
      <c r="CS596" s="286"/>
      <c r="CT596" s="286"/>
      <c r="CU596" s="286"/>
      <c r="CV596" s="286"/>
      <c r="CW596" s="286"/>
      <c r="CX596" s="286"/>
      <c r="CY596" s="286"/>
      <c r="CZ596" s="286"/>
      <c r="DA596" s="286"/>
      <c r="DB596" s="286"/>
      <c r="DC596" s="286"/>
      <c r="DD596" s="286"/>
      <c r="DE596" s="286"/>
      <c r="DF596" s="286"/>
      <c r="DG596" s="286"/>
      <c r="DH596" s="286"/>
      <c r="DI596" s="286"/>
      <c r="DJ596" s="286"/>
      <c r="DK596" s="286"/>
      <c r="DL596" s="286"/>
      <c r="DM596" s="286"/>
      <c r="DN596" s="286"/>
      <c r="DO596" s="286"/>
      <c r="DP596" s="286"/>
      <c r="DQ596" s="286"/>
      <c r="DR596" s="286"/>
      <c r="DS596" s="286"/>
      <c r="DT596" s="286"/>
      <c r="DU596" s="286"/>
      <c r="DV596" s="286"/>
      <c r="DW596" s="286"/>
      <c r="DX596" s="286"/>
      <c r="DY596" s="286"/>
      <c r="DZ596" s="286"/>
      <c r="EA596" s="286"/>
      <c r="EB596" s="286"/>
      <c r="EC596" s="286"/>
      <c r="ED596" s="286"/>
      <c r="EE596" s="286"/>
      <c r="EF596" s="286"/>
      <c r="EG596" s="286"/>
      <c r="EH596" s="286"/>
      <c r="EI596" s="286"/>
      <c r="EJ596" s="286"/>
      <c r="EK596" s="286"/>
      <c r="EL596" s="286"/>
      <c r="EM596" s="286"/>
      <c r="EN596" s="286"/>
      <c r="EO596" s="286"/>
      <c r="EP596" s="286"/>
      <c r="EQ596" s="286"/>
      <c r="ER596" s="286"/>
      <c r="ES596" s="286"/>
      <c r="ET596" s="286"/>
      <c r="EU596" s="286"/>
      <c r="EV596" s="286"/>
      <c r="EW596" s="286"/>
      <c r="EX596" s="286"/>
      <c r="EY596" s="286"/>
      <c r="EZ596" s="286"/>
      <c r="FA596" s="286"/>
      <c r="FB596" s="286"/>
      <c r="FC596" s="286"/>
      <c r="FD596" s="286"/>
      <c r="FE596" s="286"/>
      <c r="FF596" s="286"/>
      <c r="FG596" s="286"/>
      <c r="FH596" s="286"/>
      <c r="FI596" s="286"/>
      <c r="FJ596" s="286"/>
      <c r="FK596" s="286"/>
      <c r="FL596" s="286"/>
      <c r="FM596" s="286"/>
      <c r="FN596" s="286"/>
      <c r="FO596" s="286"/>
      <c r="FP596" s="286"/>
      <c r="FQ596" s="286"/>
      <c r="FR596" s="286"/>
      <c r="FS596" s="286"/>
    </row>
    <row r="597" spans="1:175">
      <c r="A597" s="212" t="s">
        <v>3159</v>
      </c>
      <c r="B597" s="212" t="s">
        <v>3160</v>
      </c>
      <c r="C597" s="212" t="s">
        <v>3432</v>
      </c>
      <c r="D597" s="212" t="s">
        <v>3771</v>
      </c>
      <c r="E597" s="212" t="s">
        <v>3777</v>
      </c>
      <c r="F597" s="278">
        <v>4284</v>
      </c>
      <c r="G597" s="278">
        <v>101307</v>
      </c>
      <c r="H597" s="287">
        <f t="shared" si="9"/>
        <v>3.5219678798108722</v>
      </c>
      <c r="I597" s="286">
        <v>136</v>
      </c>
      <c r="J597" s="286">
        <v>3568</v>
      </c>
      <c r="K597" s="286">
        <v>1511</v>
      </c>
      <c r="L597" s="286">
        <v>2057</v>
      </c>
      <c r="M597" s="286">
        <v>3309</v>
      </c>
      <c r="N597" s="286">
        <v>1341</v>
      </c>
      <c r="O597" s="286">
        <v>1968</v>
      </c>
      <c r="P597" s="286">
        <v>136</v>
      </c>
      <c r="Q597" s="286">
        <v>3568</v>
      </c>
      <c r="R597" s="286">
        <v>1511</v>
      </c>
      <c r="S597" s="286">
        <v>2057</v>
      </c>
      <c r="T597" s="286">
        <v>3309</v>
      </c>
      <c r="U597" s="286">
        <v>1341</v>
      </c>
      <c r="V597" s="286">
        <v>1968</v>
      </c>
      <c r="W597" s="286"/>
      <c r="X597" s="286"/>
      <c r="Y597" s="286"/>
      <c r="Z597" s="286"/>
      <c r="AA597" s="286"/>
      <c r="AB597" s="286"/>
      <c r="AC597" s="286"/>
      <c r="AD597" s="286"/>
      <c r="AE597" s="286"/>
      <c r="AF597" s="286"/>
      <c r="AG597" s="286"/>
      <c r="AH597" s="286"/>
      <c r="AI597" s="286"/>
      <c r="AJ597" s="286"/>
      <c r="AK597" s="286"/>
      <c r="AL597" s="286"/>
      <c r="AM597" s="286"/>
      <c r="AN597" s="286"/>
      <c r="AO597" s="286"/>
      <c r="AP597" s="286"/>
      <c r="AQ597" s="286"/>
      <c r="AR597" s="286"/>
      <c r="AS597" s="286"/>
      <c r="AT597" s="286"/>
      <c r="AU597" s="286"/>
      <c r="AV597" s="286"/>
      <c r="AW597" s="286"/>
      <c r="AX597" s="286"/>
      <c r="AY597" s="286"/>
      <c r="AZ597" s="286"/>
      <c r="BA597" s="286"/>
      <c r="BB597" s="286"/>
      <c r="BC597" s="286"/>
      <c r="BD597" s="286"/>
      <c r="BE597" s="286"/>
      <c r="BF597" s="286"/>
      <c r="BG597" s="286"/>
      <c r="BH597" s="286"/>
      <c r="BI597" s="286"/>
      <c r="BJ597" s="286"/>
      <c r="BK597" s="286"/>
      <c r="BL597" s="286"/>
      <c r="BM597" s="286"/>
      <c r="BN597" s="286"/>
      <c r="BO597" s="286"/>
      <c r="BP597" s="286"/>
      <c r="BQ597" s="286"/>
      <c r="BR597" s="286"/>
      <c r="BS597" s="286"/>
      <c r="BT597" s="286"/>
      <c r="BU597" s="286"/>
      <c r="BV597" s="286"/>
      <c r="BW597" s="286"/>
      <c r="BX597" s="286"/>
      <c r="BY597" s="286"/>
      <c r="BZ597" s="286"/>
      <c r="CA597" s="286"/>
      <c r="CB597" s="286"/>
      <c r="CC597" s="286"/>
      <c r="CD597" s="286"/>
      <c r="CE597" s="286"/>
      <c r="CF597" s="286"/>
      <c r="CG597" s="286"/>
      <c r="CH597" s="286"/>
      <c r="CI597" s="286"/>
      <c r="CJ597" s="286"/>
      <c r="CK597" s="286"/>
      <c r="CL597" s="286"/>
      <c r="CM597" s="286"/>
      <c r="CN597" s="286"/>
      <c r="CO597" s="286"/>
      <c r="CP597" s="286"/>
      <c r="CQ597" s="286"/>
      <c r="CR597" s="286"/>
      <c r="CS597" s="286"/>
      <c r="CT597" s="286"/>
      <c r="CU597" s="286"/>
      <c r="CV597" s="286"/>
      <c r="CW597" s="286"/>
      <c r="CX597" s="286"/>
      <c r="CY597" s="286"/>
      <c r="CZ597" s="286"/>
      <c r="DA597" s="286"/>
      <c r="DB597" s="286"/>
      <c r="DC597" s="286"/>
      <c r="DD597" s="286"/>
      <c r="DE597" s="286"/>
      <c r="DF597" s="286"/>
      <c r="DG597" s="286"/>
      <c r="DH597" s="286"/>
      <c r="DI597" s="286"/>
      <c r="DJ597" s="286"/>
      <c r="DK597" s="286"/>
      <c r="DL597" s="286"/>
      <c r="DM597" s="286"/>
      <c r="DN597" s="286"/>
      <c r="DO597" s="286"/>
      <c r="DP597" s="286"/>
      <c r="DQ597" s="286"/>
      <c r="DR597" s="286"/>
      <c r="DS597" s="286"/>
      <c r="DT597" s="286"/>
      <c r="DU597" s="286"/>
      <c r="DV597" s="286"/>
      <c r="DW597" s="286"/>
      <c r="DX597" s="286"/>
      <c r="DY597" s="286"/>
      <c r="DZ597" s="286"/>
      <c r="EA597" s="286"/>
      <c r="EB597" s="286"/>
      <c r="EC597" s="286"/>
      <c r="ED597" s="286"/>
      <c r="EE597" s="286"/>
      <c r="EF597" s="286"/>
      <c r="EG597" s="286"/>
      <c r="EH597" s="286"/>
      <c r="EI597" s="286"/>
      <c r="EJ597" s="286"/>
      <c r="EK597" s="286"/>
      <c r="EL597" s="286"/>
      <c r="EM597" s="286"/>
      <c r="EN597" s="286"/>
      <c r="EO597" s="286"/>
      <c r="EP597" s="286"/>
      <c r="EQ597" s="286"/>
      <c r="ER597" s="286"/>
      <c r="ES597" s="286"/>
      <c r="ET597" s="286"/>
      <c r="EU597" s="286"/>
      <c r="EV597" s="286"/>
      <c r="EW597" s="286"/>
      <c r="EX597" s="286"/>
      <c r="EY597" s="286"/>
      <c r="EZ597" s="286"/>
      <c r="FA597" s="286"/>
      <c r="FB597" s="286"/>
      <c r="FC597" s="286"/>
      <c r="FD597" s="286"/>
      <c r="FE597" s="286"/>
      <c r="FF597" s="286"/>
      <c r="FG597" s="286"/>
      <c r="FH597" s="286"/>
      <c r="FI597" s="286"/>
      <c r="FJ597" s="286"/>
      <c r="FK597" s="286"/>
      <c r="FL597" s="286"/>
      <c r="FM597" s="286"/>
      <c r="FN597" s="286"/>
      <c r="FO597" s="286"/>
      <c r="FP597" s="286"/>
      <c r="FQ597" s="286"/>
      <c r="FR597" s="286"/>
      <c r="FS597" s="286"/>
    </row>
    <row r="598" spans="1:175">
      <c r="A598" s="212" t="s">
        <v>3159</v>
      </c>
      <c r="B598" s="212" t="s">
        <v>3160</v>
      </c>
      <c r="C598" s="212" t="s">
        <v>3172</v>
      </c>
      <c r="D598" s="212" t="s">
        <v>3771</v>
      </c>
      <c r="E598" s="212" t="s">
        <v>3778</v>
      </c>
      <c r="F598" s="278">
        <v>87048</v>
      </c>
      <c r="G598" s="278">
        <v>168442</v>
      </c>
      <c r="H598" s="287">
        <f t="shared" si="9"/>
        <v>3.569181083102789</v>
      </c>
      <c r="I598" s="286">
        <v>2915</v>
      </c>
      <c r="J598" s="286">
        <v>6012</v>
      </c>
      <c r="K598" s="286">
        <v>3902</v>
      </c>
      <c r="L598" s="286">
        <v>2109</v>
      </c>
      <c r="M598" s="286">
        <v>2393</v>
      </c>
      <c r="N598" s="286">
        <v>1268</v>
      </c>
      <c r="O598" s="286">
        <v>1124</v>
      </c>
      <c r="P598" s="286">
        <v>2915</v>
      </c>
      <c r="Q598" s="286">
        <v>6012</v>
      </c>
      <c r="R598" s="286">
        <v>3902</v>
      </c>
      <c r="S598" s="286">
        <v>2109</v>
      </c>
      <c r="T598" s="286">
        <v>2393</v>
      </c>
      <c r="U598" s="286">
        <v>1268</v>
      </c>
      <c r="V598" s="286">
        <v>1124</v>
      </c>
      <c r="W598" s="286"/>
      <c r="X598" s="286"/>
      <c r="Y598" s="286"/>
      <c r="Z598" s="286"/>
      <c r="AA598" s="286"/>
      <c r="AB598" s="286"/>
      <c r="AC598" s="286"/>
      <c r="AD598" s="286"/>
      <c r="AE598" s="286"/>
      <c r="AF598" s="286"/>
      <c r="AG598" s="286"/>
      <c r="AH598" s="286"/>
      <c r="AI598" s="286"/>
      <c r="AJ598" s="286"/>
      <c r="AK598" s="286"/>
      <c r="AL598" s="286"/>
      <c r="AM598" s="286"/>
      <c r="AN598" s="286"/>
      <c r="AO598" s="286"/>
      <c r="AP598" s="286"/>
      <c r="AQ598" s="286"/>
      <c r="AR598" s="286"/>
      <c r="AS598" s="286"/>
      <c r="AT598" s="286"/>
      <c r="AU598" s="286"/>
      <c r="AV598" s="286"/>
      <c r="AW598" s="286"/>
      <c r="AX598" s="286"/>
      <c r="AY598" s="286"/>
      <c r="AZ598" s="286"/>
      <c r="BA598" s="286"/>
      <c r="BB598" s="286"/>
      <c r="BC598" s="286"/>
      <c r="BD598" s="286"/>
      <c r="BE598" s="286"/>
      <c r="BF598" s="286"/>
      <c r="BG598" s="286"/>
      <c r="BH598" s="286"/>
      <c r="BI598" s="286"/>
      <c r="BJ598" s="286"/>
      <c r="BK598" s="286"/>
      <c r="BL598" s="286"/>
      <c r="BM598" s="286"/>
      <c r="BN598" s="286"/>
      <c r="BO598" s="286"/>
      <c r="BP598" s="286"/>
      <c r="BQ598" s="286"/>
      <c r="BR598" s="286"/>
      <c r="BS598" s="286"/>
      <c r="BT598" s="286"/>
      <c r="BU598" s="286"/>
      <c r="BV598" s="286"/>
      <c r="BW598" s="286"/>
      <c r="BX598" s="286"/>
      <c r="BY598" s="286"/>
      <c r="BZ598" s="286"/>
      <c r="CA598" s="286"/>
      <c r="CB598" s="286"/>
      <c r="CC598" s="286"/>
      <c r="CD598" s="286"/>
      <c r="CE598" s="286"/>
      <c r="CF598" s="286"/>
      <c r="CG598" s="286"/>
      <c r="CH598" s="286"/>
      <c r="CI598" s="286"/>
      <c r="CJ598" s="286"/>
      <c r="CK598" s="286"/>
      <c r="CL598" s="286"/>
      <c r="CM598" s="286"/>
      <c r="CN598" s="286"/>
      <c r="CO598" s="286"/>
      <c r="CP598" s="286"/>
      <c r="CQ598" s="286"/>
      <c r="CR598" s="286"/>
      <c r="CS598" s="286"/>
      <c r="CT598" s="286"/>
      <c r="CU598" s="286"/>
      <c r="CV598" s="286"/>
      <c r="CW598" s="286"/>
      <c r="CX598" s="286"/>
      <c r="CY598" s="286"/>
      <c r="CZ598" s="286"/>
      <c r="DA598" s="286"/>
      <c r="DB598" s="286"/>
      <c r="DC598" s="286"/>
      <c r="DD598" s="286"/>
      <c r="DE598" s="286"/>
      <c r="DF598" s="286"/>
      <c r="DG598" s="286"/>
      <c r="DH598" s="286"/>
      <c r="DI598" s="286"/>
      <c r="DJ598" s="286"/>
      <c r="DK598" s="286"/>
      <c r="DL598" s="286"/>
      <c r="DM598" s="286"/>
      <c r="DN598" s="286"/>
      <c r="DO598" s="286"/>
      <c r="DP598" s="286"/>
      <c r="DQ598" s="286"/>
      <c r="DR598" s="286"/>
      <c r="DS598" s="286"/>
      <c r="DT598" s="286"/>
      <c r="DU598" s="286"/>
      <c r="DV598" s="286"/>
      <c r="DW598" s="286"/>
      <c r="DX598" s="286"/>
      <c r="DY598" s="286"/>
      <c r="DZ598" s="286"/>
      <c r="EA598" s="286"/>
      <c r="EB598" s="286"/>
      <c r="EC598" s="286"/>
      <c r="ED598" s="286"/>
      <c r="EE598" s="286"/>
      <c r="EF598" s="286"/>
      <c r="EG598" s="286"/>
      <c r="EH598" s="286"/>
      <c r="EI598" s="286"/>
      <c r="EJ598" s="286"/>
      <c r="EK598" s="286"/>
      <c r="EL598" s="286"/>
      <c r="EM598" s="286"/>
      <c r="EN598" s="286"/>
      <c r="EO598" s="286"/>
      <c r="EP598" s="286"/>
      <c r="EQ598" s="286"/>
      <c r="ER598" s="286"/>
      <c r="ES598" s="286"/>
      <c r="ET598" s="286"/>
      <c r="EU598" s="286"/>
      <c r="EV598" s="286"/>
      <c r="EW598" s="286"/>
      <c r="EX598" s="286"/>
      <c r="EY598" s="286"/>
      <c r="EZ598" s="286"/>
      <c r="FA598" s="286"/>
      <c r="FB598" s="286"/>
      <c r="FC598" s="286"/>
      <c r="FD598" s="286"/>
      <c r="FE598" s="286"/>
      <c r="FF598" s="286"/>
      <c r="FG598" s="286"/>
      <c r="FH598" s="286"/>
      <c r="FI598" s="286"/>
      <c r="FJ598" s="286"/>
      <c r="FK598" s="286"/>
      <c r="FL598" s="286"/>
      <c r="FM598" s="286"/>
      <c r="FN598" s="286"/>
      <c r="FO598" s="286"/>
      <c r="FP598" s="286"/>
      <c r="FQ598" s="286"/>
      <c r="FR598" s="286"/>
      <c r="FS598" s="286"/>
    </row>
    <row r="599" spans="1:175">
      <c r="A599" s="212" t="s">
        <v>3159</v>
      </c>
      <c r="B599" s="212" t="s">
        <v>3160</v>
      </c>
      <c r="C599" s="212" t="s">
        <v>3172</v>
      </c>
      <c r="D599" s="212" t="s">
        <v>3771</v>
      </c>
      <c r="E599" s="212" t="s">
        <v>3779</v>
      </c>
      <c r="F599" s="278">
        <v>162431</v>
      </c>
      <c r="G599" s="278">
        <v>408707</v>
      </c>
      <c r="H599" s="287">
        <f t="shared" si="9"/>
        <v>3.9744853892886587</v>
      </c>
      <c r="I599" s="286">
        <v>6377</v>
      </c>
      <c r="J599" s="286">
        <v>16244</v>
      </c>
      <c r="K599" s="286">
        <v>5100</v>
      </c>
      <c r="L599" s="286">
        <v>11039</v>
      </c>
      <c r="M599" s="286">
        <v>9251</v>
      </c>
      <c r="N599" s="286">
        <v>2423</v>
      </c>
      <c r="O599" s="286">
        <v>6736</v>
      </c>
      <c r="P599" s="286">
        <v>6377</v>
      </c>
      <c r="Q599" s="286">
        <v>16244</v>
      </c>
      <c r="R599" s="286">
        <v>5100</v>
      </c>
      <c r="S599" s="286">
        <v>11039</v>
      </c>
      <c r="T599" s="286">
        <v>9251</v>
      </c>
      <c r="U599" s="286">
        <v>2423</v>
      </c>
      <c r="V599" s="286">
        <v>6736</v>
      </c>
      <c r="W599" s="286"/>
      <c r="X599" s="286"/>
      <c r="Y599" s="286"/>
      <c r="Z599" s="286"/>
      <c r="AA599" s="286"/>
      <c r="AB599" s="286"/>
      <c r="AC599" s="286"/>
      <c r="AD599" s="286"/>
      <c r="AE599" s="286"/>
      <c r="AF599" s="286"/>
      <c r="AG599" s="286"/>
      <c r="AH599" s="286"/>
      <c r="AI599" s="286"/>
      <c r="AJ599" s="286"/>
      <c r="AK599" s="286"/>
      <c r="AL599" s="286"/>
      <c r="AM599" s="286"/>
      <c r="AN599" s="286"/>
      <c r="AO599" s="286"/>
      <c r="AP599" s="286"/>
      <c r="AQ599" s="286"/>
      <c r="AR599" s="286"/>
      <c r="AS599" s="286"/>
      <c r="AT599" s="286"/>
      <c r="AU599" s="286"/>
      <c r="AV599" s="286"/>
      <c r="AW599" s="286"/>
      <c r="AX599" s="286"/>
      <c r="AY599" s="286"/>
      <c r="AZ599" s="286"/>
      <c r="BA599" s="286"/>
      <c r="BB599" s="286"/>
      <c r="BC599" s="286"/>
      <c r="BD599" s="286"/>
      <c r="BE599" s="286"/>
      <c r="BF599" s="286"/>
      <c r="BG599" s="286"/>
      <c r="BH599" s="286"/>
      <c r="BI599" s="286"/>
      <c r="BJ599" s="286"/>
      <c r="BK599" s="286"/>
      <c r="BL599" s="286"/>
      <c r="BM599" s="286"/>
      <c r="BN599" s="286"/>
      <c r="BO599" s="286"/>
      <c r="BP599" s="286"/>
      <c r="BQ599" s="286"/>
      <c r="BR599" s="286"/>
      <c r="BS599" s="286"/>
      <c r="BT599" s="286"/>
      <c r="BU599" s="286"/>
      <c r="BV599" s="286"/>
      <c r="BW599" s="286"/>
      <c r="BX599" s="286"/>
      <c r="BY599" s="286"/>
      <c r="BZ599" s="286"/>
      <c r="CA599" s="286"/>
      <c r="CB599" s="286"/>
      <c r="CC599" s="286"/>
      <c r="CD599" s="286"/>
      <c r="CE599" s="286"/>
      <c r="CF599" s="286"/>
      <c r="CG599" s="286"/>
      <c r="CH599" s="286"/>
      <c r="CI599" s="286"/>
      <c r="CJ599" s="286"/>
      <c r="CK599" s="286"/>
      <c r="CL599" s="286"/>
      <c r="CM599" s="286"/>
      <c r="CN599" s="286"/>
      <c r="CO599" s="286"/>
      <c r="CP599" s="286"/>
      <c r="CQ599" s="286"/>
      <c r="CR599" s="286"/>
      <c r="CS599" s="286"/>
      <c r="CT599" s="286"/>
      <c r="CU599" s="286"/>
      <c r="CV599" s="286"/>
      <c r="CW599" s="286"/>
      <c r="CX599" s="286"/>
      <c r="CY599" s="286"/>
      <c r="CZ599" s="286"/>
      <c r="DA599" s="286"/>
      <c r="DB599" s="286"/>
      <c r="DC599" s="286"/>
      <c r="DD599" s="286"/>
      <c r="DE599" s="286"/>
      <c r="DF599" s="286"/>
      <c r="DG599" s="286"/>
      <c r="DH599" s="286"/>
      <c r="DI599" s="286"/>
      <c r="DJ599" s="286"/>
      <c r="DK599" s="286"/>
      <c r="DL599" s="286"/>
      <c r="DM599" s="286"/>
      <c r="DN599" s="286"/>
      <c r="DO599" s="286"/>
      <c r="DP599" s="286"/>
      <c r="DQ599" s="286"/>
      <c r="DR599" s="286"/>
      <c r="DS599" s="286"/>
      <c r="DT599" s="286"/>
      <c r="DU599" s="286"/>
      <c r="DV599" s="286"/>
      <c r="DW599" s="286"/>
      <c r="DX599" s="286"/>
      <c r="DY599" s="286"/>
      <c r="DZ599" s="286"/>
      <c r="EA599" s="286"/>
      <c r="EB599" s="286"/>
      <c r="EC599" s="286"/>
      <c r="ED599" s="286"/>
      <c r="EE599" s="286"/>
      <c r="EF599" s="286"/>
      <c r="EG599" s="286"/>
      <c r="EH599" s="286"/>
      <c r="EI599" s="286"/>
      <c r="EJ599" s="286"/>
      <c r="EK599" s="286"/>
      <c r="EL599" s="286"/>
      <c r="EM599" s="286"/>
      <c r="EN599" s="286"/>
      <c r="EO599" s="286"/>
      <c r="EP599" s="286"/>
      <c r="EQ599" s="286"/>
      <c r="ER599" s="286"/>
      <c r="ES599" s="286"/>
      <c r="ET599" s="286"/>
      <c r="EU599" s="286"/>
      <c r="EV599" s="286"/>
      <c r="EW599" s="286"/>
      <c r="EX599" s="286"/>
      <c r="EY599" s="286"/>
      <c r="EZ599" s="286"/>
      <c r="FA599" s="286"/>
      <c r="FB599" s="286"/>
      <c r="FC599" s="286"/>
      <c r="FD599" s="286"/>
      <c r="FE599" s="286"/>
      <c r="FF599" s="286"/>
      <c r="FG599" s="286"/>
      <c r="FH599" s="286"/>
      <c r="FI599" s="286"/>
      <c r="FJ599" s="286"/>
      <c r="FK599" s="286"/>
      <c r="FL599" s="286"/>
      <c r="FM599" s="286"/>
      <c r="FN599" s="286"/>
      <c r="FO599" s="286"/>
      <c r="FP599" s="286"/>
      <c r="FQ599" s="286"/>
      <c r="FR599" s="286"/>
      <c r="FS599" s="286"/>
    </row>
    <row r="600" spans="1:175">
      <c r="A600" s="212" t="s">
        <v>3159</v>
      </c>
      <c r="B600" s="212" t="s">
        <v>3160</v>
      </c>
      <c r="C600" s="212" t="s">
        <v>3172</v>
      </c>
      <c r="D600" s="212" t="s">
        <v>3771</v>
      </c>
      <c r="E600" s="212" t="s">
        <v>3780</v>
      </c>
      <c r="F600" s="278">
        <v>2291</v>
      </c>
      <c r="G600" s="278">
        <v>12815</v>
      </c>
      <c r="H600" s="287">
        <f t="shared" si="9"/>
        <v>3.88607101053453</v>
      </c>
      <c r="I600" s="286">
        <v>94</v>
      </c>
      <c r="J600" s="286">
        <v>498</v>
      </c>
      <c r="K600" s="286">
        <v>192</v>
      </c>
      <c r="L600" s="286">
        <v>306</v>
      </c>
      <c r="M600" s="286">
        <v>308</v>
      </c>
      <c r="N600" s="286">
        <v>86</v>
      </c>
      <c r="O600" s="286">
        <v>222</v>
      </c>
      <c r="P600" s="286">
        <v>93</v>
      </c>
      <c r="Q600" s="286">
        <v>491</v>
      </c>
      <c r="R600" s="286">
        <v>188</v>
      </c>
      <c r="S600" s="286">
        <v>303</v>
      </c>
      <c r="T600" s="286">
        <v>301</v>
      </c>
      <c r="U600" s="286">
        <v>82</v>
      </c>
      <c r="V600" s="286">
        <v>219</v>
      </c>
      <c r="W600" s="286"/>
      <c r="X600" s="286"/>
      <c r="Y600" s="286"/>
      <c r="Z600" s="286"/>
      <c r="AA600" s="286"/>
      <c r="AB600" s="286"/>
      <c r="AC600" s="286"/>
      <c r="AD600" s="286"/>
      <c r="AE600" s="286"/>
      <c r="AF600" s="286"/>
      <c r="AG600" s="286"/>
      <c r="AH600" s="286"/>
      <c r="AI600" s="286"/>
      <c r="AJ600" s="286"/>
      <c r="AK600" s="286"/>
      <c r="AL600" s="286"/>
      <c r="AM600" s="286"/>
      <c r="AN600" s="286"/>
      <c r="AO600" s="286"/>
      <c r="AP600" s="286"/>
      <c r="AQ600" s="286"/>
      <c r="AR600" s="286"/>
      <c r="AS600" s="286"/>
      <c r="AT600" s="286"/>
      <c r="AU600" s="286"/>
      <c r="AV600" s="286"/>
      <c r="AW600" s="286"/>
      <c r="AX600" s="286"/>
      <c r="AY600" s="286"/>
      <c r="AZ600" s="286"/>
      <c r="BA600" s="286"/>
      <c r="BB600" s="286"/>
      <c r="BC600" s="286"/>
      <c r="BD600" s="286"/>
      <c r="BE600" s="286"/>
      <c r="BF600" s="286"/>
      <c r="BG600" s="286"/>
      <c r="BH600" s="286"/>
      <c r="BI600" s="286"/>
      <c r="BJ600" s="286"/>
      <c r="BK600" s="286"/>
      <c r="BL600" s="286"/>
      <c r="BM600" s="286"/>
      <c r="BN600" s="286"/>
      <c r="BO600" s="286"/>
      <c r="BP600" s="286"/>
      <c r="BQ600" s="286"/>
      <c r="BR600" s="286"/>
      <c r="BS600" s="286"/>
      <c r="BT600" s="286"/>
      <c r="BU600" s="286"/>
      <c r="BV600" s="286"/>
      <c r="BW600" s="286"/>
      <c r="BX600" s="286"/>
      <c r="BY600" s="286"/>
      <c r="BZ600" s="286"/>
      <c r="CA600" s="286"/>
      <c r="CB600" s="286"/>
      <c r="CC600" s="286"/>
      <c r="CD600" s="286"/>
      <c r="CE600" s="286"/>
      <c r="CF600" s="286"/>
      <c r="CG600" s="286"/>
      <c r="CH600" s="286"/>
      <c r="CI600" s="286"/>
      <c r="CJ600" s="286"/>
      <c r="CK600" s="286"/>
      <c r="CL600" s="286"/>
      <c r="CM600" s="286"/>
      <c r="CN600" s="286"/>
      <c r="CO600" s="286"/>
      <c r="CP600" s="286"/>
      <c r="CQ600" s="286"/>
      <c r="CR600" s="286"/>
      <c r="CS600" s="286"/>
      <c r="CT600" s="286"/>
      <c r="CU600" s="286"/>
      <c r="CV600" s="286"/>
      <c r="CW600" s="286"/>
      <c r="CX600" s="286"/>
      <c r="CY600" s="286"/>
      <c r="CZ600" s="286"/>
      <c r="DA600" s="286"/>
      <c r="DB600" s="286"/>
      <c r="DC600" s="286"/>
      <c r="DD600" s="286"/>
      <c r="DE600" s="286"/>
      <c r="DF600" s="286"/>
      <c r="DG600" s="286"/>
      <c r="DH600" s="286"/>
      <c r="DI600" s="286"/>
      <c r="DJ600" s="286"/>
      <c r="DK600" s="286"/>
      <c r="DL600" s="286"/>
      <c r="DM600" s="286"/>
      <c r="DN600" s="286"/>
      <c r="DO600" s="286"/>
      <c r="DP600" s="286"/>
      <c r="DQ600" s="286"/>
      <c r="DR600" s="286"/>
      <c r="DS600" s="286"/>
      <c r="DT600" s="286"/>
      <c r="DU600" s="286"/>
      <c r="DV600" s="286"/>
      <c r="DW600" s="286"/>
      <c r="DX600" s="286"/>
      <c r="DY600" s="286"/>
      <c r="DZ600" s="286"/>
      <c r="EA600" s="286"/>
      <c r="EB600" s="286"/>
      <c r="EC600" s="286"/>
      <c r="ED600" s="286"/>
      <c r="EE600" s="286"/>
      <c r="EF600" s="286"/>
      <c r="EG600" s="286"/>
      <c r="EH600" s="286"/>
      <c r="EI600" s="286"/>
      <c r="EJ600" s="286"/>
      <c r="EK600" s="286"/>
      <c r="EL600" s="286"/>
      <c r="EM600" s="286"/>
      <c r="EN600" s="286"/>
      <c r="EO600" s="286"/>
      <c r="EP600" s="286"/>
      <c r="EQ600" s="286"/>
      <c r="ER600" s="286"/>
      <c r="ES600" s="286"/>
      <c r="ET600" s="286"/>
      <c r="EU600" s="286"/>
      <c r="EV600" s="286"/>
      <c r="EW600" s="286"/>
      <c r="EX600" s="286"/>
      <c r="EY600" s="286"/>
      <c r="EZ600" s="286"/>
      <c r="FA600" s="286"/>
      <c r="FB600" s="286"/>
      <c r="FC600" s="286"/>
      <c r="FD600" s="286"/>
      <c r="FE600" s="286"/>
      <c r="FF600" s="286"/>
      <c r="FG600" s="286"/>
      <c r="FH600" s="286"/>
      <c r="FI600" s="286"/>
      <c r="FJ600" s="286"/>
      <c r="FK600" s="286"/>
      <c r="FL600" s="286"/>
      <c r="FM600" s="286"/>
      <c r="FN600" s="286"/>
      <c r="FO600" s="286"/>
      <c r="FP600" s="286"/>
      <c r="FQ600" s="286"/>
      <c r="FR600" s="286"/>
      <c r="FS600" s="286"/>
    </row>
    <row r="601" spans="1:175">
      <c r="A601" s="212" t="s">
        <v>3159</v>
      </c>
      <c r="B601" s="212" t="s">
        <v>3160</v>
      </c>
      <c r="C601" s="212" t="s">
        <v>3172</v>
      </c>
      <c r="D601" s="212" t="s">
        <v>3771</v>
      </c>
      <c r="E601" s="212" t="s">
        <v>3781</v>
      </c>
      <c r="F601" s="278">
        <v>2694</v>
      </c>
      <c r="G601" s="278">
        <v>49748</v>
      </c>
      <c r="H601" s="287">
        <f t="shared" si="9"/>
        <v>4.6896357642518298</v>
      </c>
      <c r="I601" s="286">
        <v>98</v>
      </c>
      <c r="J601" s="286">
        <v>2333</v>
      </c>
      <c r="K601" s="286">
        <v>853</v>
      </c>
      <c r="L601" s="286">
        <v>1270</v>
      </c>
      <c r="M601" s="286">
        <v>2162</v>
      </c>
      <c r="N601" s="286">
        <v>774</v>
      </c>
      <c r="O601" s="286">
        <v>1178</v>
      </c>
      <c r="P601" s="286">
        <v>97</v>
      </c>
      <c r="Q601" s="286">
        <v>2326</v>
      </c>
      <c r="R601" s="286">
        <v>851</v>
      </c>
      <c r="S601" s="286">
        <v>1265</v>
      </c>
      <c r="T601" s="286">
        <v>2155</v>
      </c>
      <c r="U601" s="286">
        <v>772</v>
      </c>
      <c r="V601" s="286">
        <v>1173</v>
      </c>
      <c r="W601" s="286"/>
      <c r="X601" s="286"/>
      <c r="Y601" s="286"/>
      <c r="Z601" s="286"/>
      <c r="AA601" s="286"/>
      <c r="AB601" s="286"/>
      <c r="AC601" s="286"/>
      <c r="AD601" s="286"/>
      <c r="AE601" s="286"/>
      <c r="AF601" s="286"/>
      <c r="AG601" s="286"/>
      <c r="AH601" s="286"/>
      <c r="AI601" s="286"/>
      <c r="AJ601" s="286"/>
      <c r="AK601" s="286"/>
      <c r="AL601" s="286"/>
      <c r="AM601" s="286"/>
      <c r="AN601" s="286"/>
      <c r="AO601" s="286"/>
      <c r="AP601" s="286"/>
      <c r="AQ601" s="286"/>
      <c r="AR601" s="286"/>
      <c r="AS601" s="286"/>
      <c r="AT601" s="286"/>
      <c r="AU601" s="286"/>
      <c r="AV601" s="286"/>
      <c r="AW601" s="286"/>
      <c r="AX601" s="286"/>
      <c r="AY601" s="286"/>
      <c r="AZ601" s="286"/>
      <c r="BA601" s="286"/>
      <c r="BB601" s="286"/>
      <c r="BC601" s="286"/>
      <c r="BD601" s="286"/>
      <c r="BE601" s="286"/>
      <c r="BF601" s="286"/>
      <c r="BG601" s="286"/>
      <c r="BH601" s="286"/>
      <c r="BI601" s="286"/>
      <c r="BJ601" s="286"/>
      <c r="BK601" s="286"/>
      <c r="BL601" s="286"/>
      <c r="BM601" s="286"/>
      <c r="BN601" s="286"/>
      <c r="BO601" s="286"/>
      <c r="BP601" s="286"/>
      <c r="BQ601" s="286"/>
      <c r="BR601" s="286"/>
      <c r="BS601" s="286"/>
      <c r="BT601" s="286"/>
      <c r="BU601" s="286"/>
      <c r="BV601" s="286"/>
      <c r="BW601" s="286"/>
      <c r="BX601" s="286"/>
      <c r="BY601" s="286"/>
      <c r="BZ601" s="286"/>
      <c r="CA601" s="286"/>
      <c r="CB601" s="286"/>
      <c r="CC601" s="286"/>
      <c r="CD601" s="286"/>
      <c r="CE601" s="286"/>
      <c r="CF601" s="286"/>
      <c r="CG601" s="286"/>
      <c r="CH601" s="286"/>
      <c r="CI601" s="286"/>
      <c r="CJ601" s="286"/>
      <c r="CK601" s="286"/>
      <c r="CL601" s="286"/>
      <c r="CM601" s="286"/>
      <c r="CN601" s="286"/>
      <c r="CO601" s="286"/>
      <c r="CP601" s="286"/>
      <c r="CQ601" s="286"/>
      <c r="CR601" s="286"/>
      <c r="CS601" s="286"/>
      <c r="CT601" s="286"/>
      <c r="CU601" s="286"/>
      <c r="CV601" s="286"/>
      <c r="CW601" s="286"/>
      <c r="CX601" s="286"/>
      <c r="CY601" s="286"/>
      <c r="CZ601" s="286"/>
      <c r="DA601" s="286"/>
      <c r="DB601" s="286"/>
      <c r="DC601" s="286"/>
      <c r="DD601" s="286"/>
      <c r="DE601" s="286"/>
      <c r="DF601" s="286"/>
      <c r="DG601" s="286"/>
      <c r="DH601" s="286"/>
      <c r="DI601" s="286"/>
      <c r="DJ601" s="286"/>
      <c r="DK601" s="286"/>
      <c r="DL601" s="286"/>
      <c r="DM601" s="286"/>
      <c r="DN601" s="286"/>
      <c r="DO601" s="286"/>
      <c r="DP601" s="286"/>
      <c r="DQ601" s="286"/>
      <c r="DR601" s="286"/>
      <c r="DS601" s="286"/>
      <c r="DT601" s="286"/>
      <c r="DU601" s="286"/>
      <c r="DV601" s="286"/>
      <c r="DW601" s="286"/>
      <c r="DX601" s="286"/>
      <c r="DY601" s="286"/>
      <c r="DZ601" s="286"/>
      <c r="EA601" s="286"/>
      <c r="EB601" s="286"/>
      <c r="EC601" s="286"/>
      <c r="ED601" s="286"/>
      <c r="EE601" s="286"/>
      <c r="EF601" s="286"/>
      <c r="EG601" s="286"/>
      <c r="EH601" s="286"/>
      <c r="EI601" s="286"/>
      <c r="EJ601" s="286"/>
      <c r="EK601" s="286"/>
      <c r="EL601" s="286"/>
      <c r="EM601" s="286"/>
      <c r="EN601" s="286"/>
      <c r="EO601" s="286"/>
      <c r="EP601" s="286"/>
      <c r="EQ601" s="286"/>
      <c r="ER601" s="286"/>
      <c r="ES601" s="286"/>
      <c r="ET601" s="286"/>
      <c r="EU601" s="286"/>
      <c r="EV601" s="286"/>
      <c r="EW601" s="286"/>
      <c r="EX601" s="286"/>
      <c r="EY601" s="286"/>
      <c r="EZ601" s="286"/>
      <c r="FA601" s="286"/>
      <c r="FB601" s="286"/>
      <c r="FC601" s="286"/>
      <c r="FD601" s="286"/>
      <c r="FE601" s="286"/>
      <c r="FF601" s="286"/>
      <c r="FG601" s="286"/>
      <c r="FH601" s="286"/>
      <c r="FI601" s="286"/>
      <c r="FJ601" s="286"/>
      <c r="FK601" s="286"/>
      <c r="FL601" s="286"/>
      <c r="FM601" s="286"/>
      <c r="FN601" s="286"/>
      <c r="FO601" s="286"/>
      <c r="FP601" s="286"/>
      <c r="FQ601" s="286"/>
      <c r="FR601" s="286"/>
      <c r="FS601" s="286"/>
    </row>
    <row r="602" spans="1:175">
      <c r="A602" s="212" t="s">
        <v>3159</v>
      </c>
      <c r="B602" s="212" t="s">
        <v>3160</v>
      </c>
      <c r="C602" s="212" t="s">
        <v>3172</v>
      </c>
      <c r="D602" s="212" t="s">
        <v>3771</v>
      </c>
      <c r="E602" s="212" t="s">
        <v>3782</v>
      </c>
      <c r="F602" s="278">
        <v>27339</v>
      </c>
      <c r="G602" s="278">
        <v>98733</v>
      </c>
      <c r="H602" s="287">
        <f t="shared" si="9"/>
        <v>4.2944101769418532</v>
      </c>
      <c r="I602" s="286">
        <v>1214</v>
      </c>
      <c r="J602" s="286">
        <v>4240</v>
      </c>
      <c r="K602" s="286">
        <v>774</v>
      </c>
      <c r="L602" s="286">
        <v>3441</v>
      </c>
      <c r="M602" s="286">
        <v>3104</v>
      </c>
      <c r="N602" s="286">
        <v>494</v>
      </c>
      <c r="O602" s="286">
        <v>2586</v>
      </c>
      <c r="P602" s="286">
        <v>1214</v>
      </c>
      <c r="Q602" s="286">
        <v>4240</v>
      </c>
      <c r="R602" s="286">
        <v>774</v>
      </c>
      <c r="S602" s="286">
        <v>3441</v>
      </c>
      <c r="T602" s="286">
        <v>3104</v>
      </c>
      <c r="U602" s="286">
        <v>494</v>
      </c>
      <c r="V602" s="286">
        <v>2586</v>
      </c>
      <c r="W602" s="286"/>
      <c r="X602" s="286"/>
      <c r="Y602" s="286"/>
      <c r="Z602" s="286"/>
      <c r="AA602" s="286"/>
      <c r="AB602" s="286"/>
      <c r="AC602" s="286"/>
      <c r="AD602" s="286"/>
      <c r="AE602" s="286"/>
      <c r="AF602" s="286"/>
      <c r="AG602" s="286"/>
      <c r="AH602" s="286"/>
      <c r="AI602" s="286"/>
      <c r="AJ602" s="286"/>
      <c r="AK602" s="286"/>
      <c r="AL602" s="286"/>
      <c r="AM602" s="286"/>
      <c r="AN602" s="286"/>
      <c r="AO602" s="286"/>
      <c r="AP602" s="286"/>
      <c r="AQ602" s="286"/>
      <c r="AR602" s="286"/>
      <c r="AS602" s="286"/>
      <c r="AT602" s="286"/>
      <c r="AU602" s="286"/>
      <c r="AV602" s="286"/>
      <c r="AW602" s="286"/>
      <c r="AX602" s="286"/>
      <c r="AY602" s="286"/>
      <c r="AZ602" s="286"/>
      <c r="BA602" s="286"/>
      <c r="BB602" s="286"/>
      <c r="BC602" s="286"/>
      <c r="BD602" s="286"/>
      <c r="BE602" s="286"/>
      <c r="BF602" s="286"/>
      <c r="BG602" s="286"/>
      <c r="BH602" s="286"/>
      <c r="BI602" s="286"/>
      <c r="BJ602" s="286"/>
      <c r="BK602" s="286"/>
      <c r="BL602" s="286"/>
      <c r="BM602" s="286"/>
      <c r="BN602" s="286"/>
      <c r="BO602" s="286"/>
      <c r="BP602" s="286"/>
      <c r="BQ602" s="286"/>
      <c r="BR602" s="286"/>
      <c r="BS602" s="286"/>
      <c r="BT602" s="286"/>
      <c r="BU602" s="286"/>
      <c r="BV602" s="286"/>
      <c r="BW602" s="286"/>
      <c r="BX602" s="286"/>
      <c r="BY602" s="286"/>
      <c r="BZ602" s="286"/>
      <c r="CA602" s="286"/>
      <c r="CB602" s="286"/>
      <c r="CC602" s="286"/>
      <c r="CD602" s="286"/>
      <c r="CE602" s="286"/>
      <c r="CF602" s="286"/>
      <c r="CG602" s="286"/>
      <c r="CH602" s="286"/>
      <c r="CI602" s="286"/>
      <c r="CJ602" s="286"/>
      <c r="CK602" s="286"/>
      <c r="CL602" s="286"/>
      <c r="CM602" s="286"/>
      <c r="CN602" s="286"/>
      <c r="CO602" s="286"/>
      <c r="CP602" s="286"/>
      <c r="CQ602" s="286"/>
      <c r="CR602" s="286"/>
      <c r="CS602" s="286"/>
      <c r="CT602" s="286"/>
      <c r="CU602" s="286"/>
      <c r="CV602" s="286"/>
      <c r="CW602" s="286"/>
      <c r="CX602" s="286"/>
      <c r="CY602" s="286"/>
      <c r="CZ602" s="286"/>
      <c r="DA602" s="286"/>
      <c r="DB602" s="286"/>
      <c r="DC602" s="286"/>
      <c r="DD602" s="286"/>
      <c r="DE602" s="286"/>
      <c r="DF602" s="286"/>
      <c r="DG602" s="286"/>
      <c r="DH602" s="286"/>
      <c r="DI602" s="286"/>
      <c r="DJ602" s="286"/>
      <c r="DK602" s="286"/>
      <c r="DL602" s="286"/>
      <c r="DM602" s="286"/>
      <c r="DN602" s="286"/>
      <c r="DO602" s="286"/>
      <c r="DP602" s="286"/>
      <c r="DQ602" s="286"/>
      <c r="DR602" s="286"/>
      <c r="DS602" s="286"/>
      <c r="DT602" s="286"/>
      <c r="DU602" s="286"/>
      <c r="DV602" s="286"/>
      <c r="DW602" s="286"/>
      <c r="DX602" s="286"/>
      <c r="DY602" s="286"/>
      <c r="DZ602" s="286"/>
      <c r="EA602" s="286"/>
      <c r="EB602" s="286"/>
      <c r="EC602" s="286"/>
      <c r="ED602" s="286"/>
      <c r="EE602" s="286"/>
      <c r="EF602" s="286"/>
      <c r="EG602" s="286"/>
      <c r="EH602" s="286"/>
      <c r="EI602" s="286"/>
      <c r="EJ602" s="286"/>
      <c r="EK602" s="286"/>
      <c r="EL602" s="286"/>
      <c r="EM602" s="286"/>
      <c r="EN602" s="286"/>
      <c r="EO602" s="286"/>
      <c r="EP602" s="286"/>
      <c r="EQ602" s="286"/>
      <c r="ER602" s="286"/>
      <c r="ES602" s="286"/>
      <c r="ET602" s="286"/>
      <c r="EU602" s="286"/>
      <c r="EV602" s="286"/>
      <c r="EW602" s="286"/>
      <c r="EX602" s="286"/>
      <c r="EY602" s="286"/>
      <c r="EZ602" s="286"/>
      <c r="FA602" s="286"/>
      <c r="FB602" s="286"/>
      <c r="FC602" s="286"/>
      <c r="FD602" s="286"/>
      <c r="FE602" s="286"/>
      <c r="FF602" s="286"/>
      <c r="FG602" s="286"/>
      <c r="FH602" s="286"/>
      <c r="FI602" s="286"/>
      <c r="FJ602" s="286"/>
      <c r="FK602" s="286"/>
      <c r="FL602" s="286"/>
      <c r="FM602" s="286"/>
      <c r="FN602" s="286"/>
      <c r="FO602" s="286"/>
      <c r="FP602" s="286"/>
      <c r="FQ602" s="286"/>
      <c r="FR602" s="286"/>
      <c r="FS602" s="286"/>
    </row>
    <row r="603" spans="1:175">
      <c r="A603" s="212" t="s">
        <v>3159</v>
      </c>
      <c r="B603" s="212" t="s">
        <v>3160</v>
      </c>
      <c r="C603" s="212" t="s">
        <v>3432</v>
      </c>
      <c r="D603" s="212" t="s">
        <v>3771</v>
      </c>
      <c r="E603" s="212" t="s">
        <v>3783</v>
      </c>
      <c r="F603" s="278">
        <v>610</v>
      </c>
      <c r="G603" s="278">
        <v>1477</v>
      </c>
      <c r="H603" s="287">
        <f t="shared" si="9"/>
        <v>3.8591740013540958</v>
      </c>
      <c r="I603" s="286">
        <v>16</v>
      </c>
      <c r="J603" s="286">
        <v>57</v>
      </c>
      <c r="K603" s="286">
        <v>26</v>
      </c>
      <c r="L603" s="286">
        <v>31</v>
      </c>
      <c r="M603" s="286">
        <v>30</v>
      </c>
      <c r="N603" s="286">
        <v>12</v>
      </c>
      <c r="O603" s="286">
        <v>18</v>
      </c>
      <c r="P603" s="286">
        <v>16</v>
      </c>
      <c r="Q603" s="286">
        <v>57</v>
      </c>
      <c r="R603" s="286">
        <v>26</v>
      </c>
      <c r="S603" s="286">
        <v>31</v>
      </c>
      <c r="T603" s="286">
        <v>30</v>
      </c>
      <c r="U603" s="286">
        <v>12</v>
      </c>
      <c r="V603" s="286">
        <v>18</v>
      </c>
      <c r="W603" s="286"/>
      <c r="X603" s="286"/>
      <c r="Y603" s="286"/>
      <c r="Z603" s="286"/>
      <c r="AA603" s="286"/>
      <c r="AB603" s="286"/>
      <c r="AC603" s="286"/>
      <c r="AD603" s="286"/>
      <c r="AE603" s="286"/>
      <c r="AF603" s="286"/>
      <c r="AG603" s="286"/>
      <c r="AH603" s="286"/>
      <c r="AI603" s="286"/>
      <c r="AJ603" s="286"/>
      <c r="AK603" s="286"/>
      <c r="AL603" s="286"/>
      <c r="AM603" s="286"/>
      <c r="AN603" s="286"/>
      <c r="AO603" s="286"/>
      <c r="AP603" s="286"/>
      <c r="AQ603" s="286"/>
      <c r="AR603" s="286"/>
      <c r="AS603" s="286"/>
      <c r="AT603" s="286"/>
      <c r="AU603" s="286"/>
      <c r="AV603" s="286"/>
      <c r="AW603" s="286"/>
      <c r="AX603" s="286"/>
      <c r="AY603" s="286"/>
      <c r="AZ603" s="286"/>
      <c r="BA603" s="286"/>
      <c r="BB603" s="286"/>
      <c r="BC603" s="286"/>
      <c r="BD603" s="286"/>
      <c r="BE603" s="286"/>
      <c r="BF603" s="286"/>
      <c r="BG603" s="286"/>
      <c r="BH603" s="286"/>
      <c r="BI603" s="286"/>
      <c r="BJ603" s="286"/>
      <c r="BK603" s="286"/>
      <c r="BL603" s="286"/>
      <c r="BM603" s="286"/>
      <c r="BN603" s="286"/>
      <c r="BO603" s="286"/>
      <c r="BP603" s="286"/>
      <c r="BQ603" s="286"/>
      <c r="BR603" s="286"/>
      <c r="BS603" s="286"/>
      <c r="BT603" s="286"/>
      <c r="BU603" s="286"/>
      <c r="BV603" s="286"/>
      <c r="BW603" s="286"/>
      <c r="BX603" s="286"/>
      <c r="BY603" s="286"/>
      <c r="BZ603" s="286"/>
      <c r="CA603" s="286"/>
      <c r="CB603" s="286"/>
      <c r="CC603" s="286"/>
      <c r="CD603" s="286"/>
      <c r="CE603" s="286"/>
      <c r="CF603" s="286"/>
      <c r="CG603" s="286"/>
      <c r="CH603" s="286"/>
      <c r="CI603" s="286"/>
      <c r="CJ603" s="286"/>
      <c r="CK603" s="286"/>
      <c r="CL603" s="286"/>
      <c r="CM603" s="286"/>
      <c r="CN603" s="286"/>
      <c r="CO603" s="286"/>
      <c r="CP603" s="286"/>
      <c r="CQ603" s="286"/>
      <c r="CR603" s="286"/>
      <c r="CS603" s="286"/>
      <c r="CT603" s="286"/>
      <c r="CU603" s="286"/>
      <c r="CV603" s="286"/>
      <c r="CW603" s="286"/>
      <c r="CX603" s="286"/>
      <c r="CY603" s="286"/>
      <c r="CZ603" s="286"/>
      <c r="DA603" s="286"/>
      <c r="DB603" s="286"/>
      <c r="DC603" s="286"/>
      <c r="DD603" s="286"/>
      <c r="DE603" s="286"/>
      <c r="DF603" s="286"/>
      <c r="DG603" s="286"/>
      <c r="DH603" s="286"/>
      <c r="DI603" s="286"/>
      <c r="DJ603" s="286"/>
      <c r="DK603" s="286"/>
      <c r="DL603" s="286"/>
      <c r="DM603" s="286"/>
      <c r="DN603" s="286"/>
      <c r="DO603" s="286"/>
      <c r="DP603" s="286"/>
      <c r="DQ603" s="286"/>
      <c r="DR603" s="286"/>
      <c r="DS603" s="286"/>
      <c r="DT603" s="286"/>
      <c r="DU603" s="286"/>
      <c r="DV603" s="286"/>
      <c r="DW603" s="286"/>
      <c r="DX603" s="286"/>
      <c r="DY603" s="286"/>
      <c r="DZ603" s="286"/>
      <c r="EA603" s="286"/>
      <c r="EB603" s="286"/>
      <c r="EC603" s="286"/>
      <c r="ED603" s="286"/>
      <c r="EE603" s="286"/>
      <c r="EF603" s="286"/>
      <c r="EG603" s="286"/>
      <c r="EH603" s="286"/>
      <c r="EI603" s="286"/>
      <c r="EJ603" s="286"/>
      <c r="EK603" s="286"/>
      <c r="EL603" s="286"/>
      <c r="EM603" s="286"/>
      <c r="EN603" s="286"/>
      <c r="EO603" s="286"/>
      <c r="EP603" s="286"/>
      <c r="EQ603" s="286"/>
      <c r="ER603" s="286"/>
      <c r="ES603" s="286"/>
      <c r="ET603" s="286"/>
      <c r="EU603" s="286"/>
      <c r="EV603" s="286"/>
      <c r="EW603" s="286"/>
      <c r="EX603" s="286"/>
      <c r="EY603" s="286"/>
      <c r="EZ603" s="286"/>
      <c r="FA603" s="286"/>
      <c r="FB603" s="286"/>
      <c r="FC603" s="286"/>
      <c r="FD603" s="286"/>
      <c r="FE603" s="286"/>
      <c r="FF603" s="286"/>
      <c r="FG603" s="286"/>
      <c r="FH603" s="286"/>
      <c r="FI603" s="286"/>
      <c r="FJ603" s="286"/>
      <c r="FK603" s="286"/>
      <c r="FL603" s="286"/>
      <c r="FM603" s="286"/>
      <c r="FN603" s="286"/>
      <c r="FO603" s="286"/>
      <c r="FP603" s="286"/>
      <c r="FQ603" s="286"/>
      <c r="FR603" s="286"/>
      <c r="FS603" s="286"/>
    </row>
    <row r="604" spans="1:175">
      <c r="A604" s="212" t="s">
        <v>3159</v>
      </c>
      <c r="B604" s="212" t="s">
        <v>3160</v>
      </c>
      <c r="C604" s="212" t="s">
        <v>3432</v>
      </c>
      <c r="D604" s="212" t="s">
        <v>3771</v>
      </c>
      <c r="E604" s="212" t="s">
        <v>3784</v>
      </c>
      <c r="F604" s="278">
        <v>26729</v>
      </c>
      <c r="G604" s="278">
        <v>97256</v>
      </c>
      <c r="H604" s="287">
        <f t="shared" si="9"/>
        <v>4.3010199884840015</v>
      </c>
      <c r="I604" s="286">
        <v>1198</v>
      </c>
      <c r="J604" s="286">
        <v>4183</v>
      </c>
      <c r="K604" s="286">
        <v>748</v>
      </c>
      <c r="L604" s="286">
        <v>3410</v>
      </c>
      <c r="M604" s="286">
        <v>3074</v>
      </c>
      <c r="N604" s="286">
        <v>482</v>
      </c>
      <c r="O604" s="286">
        <v>2568</v>
      </c>
      <c r="P604" s="286">
        <v>1198</v>
      </c>
      <c r="Q604" s="286">
        <v>4183</v>
      </c>
      <c r="R604" s="286">
        <v>748</v>
      </c>
      <c r="S604" s="286">
        <v>3410</v>
      </c>
      <c r="T604" s="286">
        <v>3074</v>
      </c>
      <c r="U604" s="286">
        <v>482</v>
      </c>
      <c r="V604" s="286">
        <v>2568</v>
      </c>
      <c r="W604" s="286"/>
      <c r="X604" s="286"/>
      <c r="Y604" s="286"/>
      <c r="Z604" s="286"/>
      <c r="AA604" s="286"/>
      <c r="AB604" s="286"/>
      <c r="AC604" s="286"/>
      <c r="AD604" s="286"/>
      <c r="AE604" s="286"/>
      <c r="AF604" s="286"/>
      <c r="AG604" s="286"/>
      <c r="AH604" s="286"/>
      <c r="AI604" s="286"/>
      <c r="AJ604" s="286"/>
      <c r="AK604" s="286"/>
      <c r="AL604" s="286"/>
      <c r="AM604" s="286"/>
      <c r="AN604" s="286"/>
      <c r="AO604" s="286"/>
      <c r="AP604" s="286"/>
      <c r="AQ604" s="286"/>
      <c r="AR604" s="286"/>
      <c r="AS604" s="286"/>
      <c r="AT604" s="286"/>
      <c r="AU604" s="286"/>
      <c r="AV604" s="286"/>
      <c r="AW604" s="286"/>
      <c r="AX604" s="286"/>
      <c r="AY604" s="286"/>
      <c r="AZ604" s="286"/>
      <c r="BA604" s="286"/>
      <c r="BB604" s="286"/>
      <c r="BC604" s="286"/>
      <c r="BD604" s="286"/>
      <c r="BE604" s="286"/>
      <c r="BF604" s="286"/>
      <c r="BG604" s="286"/>
      <c r="BH604" s="286"/>
      <c r="BI604" s="286"/>
      <c r="BJ604" s="286"/>
      <c r="BK604" s="286"/>
      <c r="BL604" s="286"/>
      <c r="BM604" s="286"/>
      <c r="BN604" s="286"/>
      <c r="BO604" s="286"/>
      <c r="BP604" s="286"/>
      <c r="BQ604" s="286"/>
      <c r="BR604" s="286"/>
      <c r="BS604" s="286"/>
      <c r="BT604" s="286"/>
      <c r="BU604" s="286"/>
      <c r="BV604" s="286"/>
      <c r="BW604" s="286"/>
      <c r="BX604" s="286"/>
      <c r="BY604" s="286"/>
      <c r="BZ604" s="286"/>
      <c r="CA604" s="286"/>
      <c r="CB604" s="286"/>
      <c r="CC604" s="286"/>
      <c r="CD604" s="286"/>
      <c r="CE604" s="286"/>
      <c r="CF604" s="286"/>
      <c r="CG604" s="286"/>
      <c r="CH604" s="286"/>
      <c r="CI604" s="286"/>
      <c r="CJ604" s="286"/>
      <c r="CK604" s="286"/>
      <c r="CL604" s="286"/>
      <c r="CM604" s="286"/>
      <c r="CN604" s="286"/>
      <c r="CO604" s="286"/>
      <c r="CP604" s="286"/>
      <c r="CQ604" s="286"/>
      <c r="CR604" s="286"/>
      <c r="CS604" s="286"/>
      <c r="CT604" s="286"/>
      <c r="CU604" s="286"/>
      <c r="CV604" s="286"/>
      <c r="CW604" s="286"/>
      <c r="CX604" s="286"/>
      <c r="CY604" s="286"/>
      <c r="CZ604" s="286"/>
      <c r="DA604" s="286"/>
      <c r="DB604" s="286"/>
      <c r="DC604" s="286"/>
      <c r="DD604" s="286"/>
      <c r="DE604" s="286"/>
      <c r="DF604" s="286"/>
      <c r="DG604" s="286"/>
      <c r="DH604" s="286"/>
      <c r="DI604" s="286"/>
      <c r="DJ604" s="286"/>
      <c r="DK604" s="286"/>
      <c r="DL604" s="286"/>
      <c r="DM604" s="286"/>
      <c r="DN604" s="286"/>
      <c r="DO604" s="286"/>
      <c r="DP604" s="286"/>
      <c r="DQ604" s="286"/>
      <c r="DR604" s="286"/>
      <c r="DS604" s="286"/>
      <c r="DT604" s="286"/>
      <c r="DU604" s="286"/>
      <c r="DV604" s="286"/>
      <c r="DW604" s="286"/>
      <c r="DX604" s="286"/>
      <c r="DY604" s="286"/>
      <c r="DZ604" s="286"/>
      <c r="EA604" s="286"/>
      <c r="EB604" s="286"/>
      <c r="EC604" s="286"/>
      <c r="ED604" s="286"/>
      <c r="EE604" s="286"/>
      <c r="EF604" s="286"/>
      <c r="EG604" s="286"/>
      <c r="EH604" s="286"/>
      <c r="EI604" s="286"/>
      <c r="EJ604" s="286"/>
      <c r="EK604" s="286"/>
      <c r="EL604" s="286"/>
      <c r="EM604" s="286"/>
      <c r="EN604" s="286"/>
      <c r="EO604" s="286"/>
      <c r="EP604" s="286"/>
      <c r="EQ604" s="286"/>
      <c r="ER604" s="286"/>
      <c r="ES604" s="286"/>
      <c r="ET604" s="286"/>
      <c r="EU604" s="286"/>
      <c r="EV604" s="286"/>
      <c r="EW604" s="286"/>
      <c r="EX604" s="286"/>
      <c r="EY604" s="286"/>
      <c r="EZ604" s="286"/>
      <c r="FA604" s="286"/>
      <c r="FB604" s="286"/>
      <c r="FC604" s="286"/>
      <c r="FD604" s="286"/>
      <c r="FE604" s="286"/>
      <c r="FF604" s="286"/>
      <c r="FG604" s="286"/>
      <c r="FH604" s="286"/>
      <c r="FI604" s="286"/>
      <c r="FJ604" s="286"/>
      <c r="FK604" s="286"/>
      <c r="FL604" s="286"/>
      <c r="FM604" s="286"/>
      <c r="FN604" s="286"/>
      <c r="FO604" s="286"/>
      <c r="FP604" s="286"/>
      <c r="FQ604" s="286"/>
      <c r="FR604" s="286"/>
      <c r="FS604" s="286"/>
    </row>
    <row r="605" spans="1:175">
      <c r="A605" s="212" t="s">
        <v>3159</v>
      </c>
      <c r="B605" s="212" t="s">
        <v>3160</v>
      </c>
      <c r="C605" s="212" t="s">
        <v>3170</v>
      </c>
      <c r="D605" s="212" t="s">
        <v>3771</v>
      </c>
      <c r="E605" s="212" t="s">
        <v>3785</v>
      </c>
      <c r="F605" s="278">
        <v>55696</v>
      </c>
      <c r="G605" s="278">
        <v>393417</v>
      </c>
      <c r="H605" s="287">
        <f t="shared" si="9"/>
        <v>3.4652798430164431</v>
      </c>
      <c r="I605" s="286">
        <v>2291</v>
      </c>
      <c r="J605" s="286">
        <v>13633</v>
      </c>
      <c r="K605" s="286">
        <v>5865</v>
      </c>
      <c r="L605" s="286">
        <v>7667</v>
      </c>
      <c r="M605" s="286">
        <v>10872</v>
      </c>
      <c r="N605" s="286">
        <v>4577</v>
      </c>
      <c r="O605" s="286">
        <v>6194</v>
      </c>
      <c r="P605" s="286">
        <v>2260</v>
      </c>
      <c r="Q605" s="286">
        <v>13469</v>
      </c>
      <c r="R605" s="286">
        <v>5724</v>
      </c>
      <c r="S605" s="286">
        <v>7644</v>
      </c>
      <c r="T605" s="286">
        <v>10710</v>
      </c>
      <c r="U605" s="286">
        <v>4438</v>
      </c>
      <c r="V605" s="286">
        <v>6171</v>
      </c>
      <c r="W605" s="286"/>
      <c r="X605" s="286"/>
      <c r="Y605" s="286"/>
      <c r="Z605" s="286"/>
      <c r="AA605" s="286"/>
      <c r="AB605" s="286"/>
      <c r="AC605" s="286"/>
      <c r="AD605" s="286"/>
      <c r="AE605" s="286"/>
      <c r="AF605" s="286"/>
      <c r="AG605" s="286"/>
      <c r="AH605" s="286"/>
      <c r="AI605" s="286"/>
      <c r="AJ605" s="286"/>
      <c r="AK605" s="286"/>
      <c r="AL605" s="286"/>
      <c r="AM605" s="286"/>
      <c r="AN605" s="286"/>
      <c r="AO605" s="286"/>
      <c r="AP605" s="286"/>
      <c r="AQ605" s="286"/>
      <c r="AR605" s="286"/>
      <c r="AS605" s="286"/>
      <c r="AT605" s="286"/>
      <c r="AU605" s="286"/>
      <c r="AV605" s="286"/>
      <c r="AW605" s="286"/>
      <c r="AX605" s="286"/>
      <c r="AY605" s="286"/>
      <c r="AZ605" s="286"/>
      <c r="BA605" s="286"/>
      <c r="BB605" s="286"/>
      <c r="BC605" s="286"/>
      <c r="BD605" s="286"/>
      <c r="BE605" s="286"/>
      <c r="BF605" s="286"/>
      <c r="BG605" s="286"/>
      <c r="BH605" s="286"/>
      <c r="BI605" s="286"/>
      <c r="BJ605" s="286"/>
      <c r="BK605" s="286"/>
      <c r="BL605" s="286"/>
      <c r="BM605" s="286"/>
      <c r="BN605" s="286"/>
      <c r="BO605" s="286"/>
      <c r="BP605" s="286"/>
      <c r="BQ605" s="286"/>
      <c r="BR605" s="286"/>
      <c r="BS605" s="286"/>
      <c r="BT605" s="286"/>
      <c r="BU605" s="286"/>
      <c r="BV605" s="286"/>
      <c r="BW605" s="286"/>
      <c r="BX605" s="286"/>
      <c r="BY605" s="286"/>
      <c r="BZ605" s="286"/>
      <c r="CA605" s="286"/>
      <c r="CB605" s="286"/>
      <c r="CC605" s="286"/>
      <c r="CD605" s="286"/>
      <c r="CE605" s="286"/>
      <c r="CF605" s="286"/>
      <c r="CG605" s="286"/>
      <c r="CH605" s="286"/>
      <c r="CI605" s="286"/>
      <c r="CJ605" s="286"/>
      <c r="CK605" s="286"/>
      <c r="CL605" s="286"/>
      <c r="CM605" s="286"/>
      <c r="CN605" s="286"/>
      <c r="CO605" s="286"/>
      <c r="CP605" s="286"/>
      <c r="CQ605" s="286"/>
      <c r="CR605" s="286"/>
      <c r="CS605" s="286"/>
      <c r="CT605" s="286"/>
      <c r="CU605" s="286"/>
      <c r="CV605" s="286"/>
      <c r="CW605" s="286"/>
      <c r="CX605" s="286"/>
      <c r="CY605" s="286"/>
      <c r="CZ605" s="286"/>
      <c r="DA605" s="286"/>
      <c r="DB605" s="286"/>
      <c r="DC605" s="286"/>
      <c r="DD605" s="286"/>
      <c r="DE605" s="286"/>
      <c r="DF605" s="286"/>
      <c r="DG605" s="286"/>
      <c r="DH605" s="286"/>
      <c r="DI605" s="286"/>
      <c r="DJ605" s="286"/>
      <c r="DK605" s="286"/>
      <c r="DL605" s="286"/>
      <c r="DM605" s="286"/>
      <c r="DN605" s="286"/>
      <c r="DO605" s="286"/>
      <c r="DP605" s="286"/>
      <c r="DQ605" s="286"/>
      <c r="DR605" s="286"/>
      <c r="DS605" s="286"/>
      <c r="DT605" s="286"/>
      <c r="DU605" s="286"/>
      <c r="DV605" s="286"/>
      <c r="DW605" s="286"/>
      <c r="DX605" s="286"/>
      <c r="DY605" s="286"/>
      <c r="DZ605" s="286"/>
      <c r="EA605" s="286"/>
      <c r="EB605" s="286"/>
      <c r="EC605" s="286"/>
      <c r="ED605" s="286"/>
      <c r="EE605" s="286"/>
      <c r="EF605" s="286"/>
      <c r="EG605" s="286"/>
      <c r="EH605" s="286"/>
      <c r="EI605" s="286"/>
      <c r="EJ605" s="286"/>
      <c r="EK605" s="286"/>
      <c r="EL605" s="286"/>
      <c r="EM605" s="286"/>
      <c r="EN605" s="286"/>
      <c r="EO605" s="286"/>
      <c r="EP605" s="286"/>
      <c r="EQ605" s="286"/>
      <c r="ER605" s="286"/>
      <c r="ES605" s="286"/>
      <c r="ET605" s="286"/>
      <c r="EU605" s="286"/>
      <c r="EV605" s="286"/>
      <c r="EW605" s="286"/>
      <c r="EX605" s="286"/>
      <c r="EY605" s="286"/>
      <c r="EZ605" s="286"/>
      <c r="FA605" s="286"/>
      <c r="FB605" s="286"/>
      <c r="FC605" s="286"/>
      <c r="FD605" s="286"/>
      <c r="FE605" s="286"/>
      <c r="FF605" s="286"/>
      <c r="FG605" s="286"/>
      <c r="FH605" s="286"/>
      <c r="FI605" s="286"/>
      <c r="FJ605" s="286"/>
      <c r="FK605" s="286"/>
      <c r="FL605" s="286"/>
      <c r="FM605" s="286"/>
      <c r="FN605" s="286"/>
      <c r="FO605" s="286"/>
      <c r="FP605" s="286"/>
      <c r="FQ605" s="286"/>
      <c r="FR605" s="286"/>
      <c r="FS605" s="286"/>
    </row>
    <row r="606" spans="1:175">
      <c r="A606" s="212" t="s">
        <v>3159</v>
      </c>
      <c r="B606" s="212" t="s">
        <v>3160</v>
      </c>
      <c r="C606" s="212" t="s">
        <v>3172</v>
      </c>
      <c r="D606" s="212" t="s">
        <v>3771</v>
      </c>
      <c r="E606" s="212" t="s">
        <v>3786</v>
      </c>
      <c r="F606" s="278">
        <v>250</v>
      </c>
      <c r="G606" s="278">
        <v>5334</v>
      </c>
      <c r="H606" s="287">
        <f t="shared" si="9"/>
        <v>5.6430446194225725</v>
      </c>
      <c r="I606" s="286">
        <v>7</v>
      </c>
      <c r="J606" s="286">
        <v>301</v>
      </c>
      <c r="K606" s="286">
        <v>163</v>
      </c>
      <c r="L606" s="286">
        <v>138</v>
      </c>
      <c r="M606" s="286">
        <v>277</v>
      </c>
      <c r="N606" s="286">
        <v>143</v>
      </c>
      <c r="O606" s="286">
        <v>134</v>
      </c>
      <c r="P606" s="286">
        <v>7</v>
      </c>
      <c r="Q606" s="286">
        <v>301</v>
      </c>
      <c r="R606" s="286">
        <v>163</v>
      </c>
      <c r="S606" s="286">
        <v>138</v>
      </c>
      <c r="T606" s="286">
        <v>277</v>
      </c>
      <c r="U606" s="286">
        <v>143</v>
      </c>
      <c r="V606" s="286">
        <v>134</v>
      </c>
      <c r="W606" s="286"/>
      <c r="X606" s="286"/>
      <c r="Y606" s="286"/>
      <c r="Z606" s="286"/>
      <c r="AA606" s="286"/>
      <c r="AB606" s="286"/>
      <c r="AC606" s="286"/>
      <c r="AD606" s="286"/>
      <c r="AE606" s="286"/>
      <c r="AF606" s="286"/>
      <c r="AG606" s="286"/>
      <c r="AH606" s="286"/>
      <c r="AI606" s="286"/>
      <c r="AJ606" s="286"/>
      <c r="AK606" s="286"/>
      <c r="AL606" s="286"/>
      <c r="AM606" s="286"/>
      <c r="AN606" s="286"/>
      <c r="AO606" s="286"/>
      <c r="AP606" s="286"/>
      <c r="AQ606" s="286"/>
      <c r="AR606" s="286"/>
      <c r="AS606" s="286"/>
      <c r="AT606" s="286"/>
      <c r="AU606" s="286"/>
      <c r="AV606" s="286"/>
      <c r="AW606" s="286"/>
      <c r="AX606" s="286"/>
      <c r="AY606" s="286"/>
      <c r="AZ606" s="286"/>
      <c r="BA606" s="286"/>
      <c r="BB606" s="286"/>
      <c r="BC606" s="286"/>
      <c r="BD606" s="286"/>
      <c r="BE606" s="286"/>
      <c r="BF606" s="286"/>
      <c r="BG606" s="286"/>
      <c r="BH606" s="286"/>
      <c r="BI606" s="286"/>
      <c r="BJ606" s="286"/>
      <c r="BK606" s="286"/>
      <c r="BL606" s="286"/>
      <c r="BM606" s="286"/>
      <c r="BN606" s="286"/>
      <c r="BO606" s="286"/>
      <c r="BP606" s="286"/>
      <c r="BQ606" s="286"/>
      <c r="BR606" s="286"/>
      <c r="BS606" s="286"/>
      <c r="BT606" s="286"/>
      <c r="BU606" s="286"/>
      <c r="BV606" s="286"/>
      <c r="BW606" s="286"/>
      <c r="BX606" s="286"/>
      <c r="BY606" s="286"/>
      <c r="BZ606" s="286"/>
      <c r="CA606" s="286"/>
      <c r="CB606" s="286"/>
      <c r="CC606" s="286"/>
      <c r="CD606" s="286"/>
      <c r="CE606" s="286"/>
      <c r="CF606" s="286"/>
      <c r="CG606" s="286"/>
      <c r="CH606" s="286"/>
      <c r="CI606" s="286"/>
      <c r="CJ606" s="286"/>
      <c r="CK606" s="286"/>
      <c r="CL606" s="286"/>
      <c r="CM606" s="286"/>
      <c r="CN606" s="286"/>
      <c r="CO606" s="286"/>
      <c r="CP606" s="286"/>
      <c r="CQ606" s="286"/>
      <c r="CR606" s="286"/>
      <c r="CS606" s="286"/>
      <c r="CT606" s="286"/>
      <c r="CU606" s="286"/>
      <c r="CV606" s="286"/>
      <c r="CW606" s="286"/>
      <c r="CX606" s="286"/>
      <c r="CY606" s="286"/>
      <c r="CZ606" s="286"/>
      <c r="DA606" s="286"/>
      <c r="DB606" s="286"/>
      <c r="DC606" s="286"/>
      <c r="DD606" s="286"/>
      <c r="DE606" s="286"/>
      <c r="DF606" s="286"/>
      <c r="DG606" s="286"/>
      <c r="DH606" s="286"/>
      <c r="DI606" s="286"/>
      <c r="DJ606" s="286"/>
      <c r="DK606" s="286"/>
      <c r="DL606" s="286"/>
      <c r="DM606" s="286"/>
      <c r="DN606" s="286"/>
      <c r="DO606" s="286"/>
      <c r="DP606" s="286"/>
      <c r="DQ606" s="286"/>
      <c r="DR606" s="286"/>
      <c r="DS606" s="286"/>
      <c r="DT606" s="286"/>
      <c r="DU606" s="286"/>
      <c r="DV606" s="286"/>
      <c r="DW606" s="286"/>
      <c r="DX606" s="286"/>
      <c r="DY606" s="286"/>
      <c r="DZ606" s="286"/>
      <c r="EA606" s="286"/>
      <c r="EB606" s="286"/>
      <c r="EC606" s="286"/>
      <c r="ED606" s="286"/>
      <c r="EE606" s="286"/>
      <c r="EF606" s="286"/>
      <c r="EG606" s="286"/>
      <c r="EH606" s="286"/>
      <c r="EI606" s="286"/>
      <c r="EJ606" s="286"/>
      <c r="EK606" s="286"/>
      <c r="EL606" s="286"/>
      <c r="EM606" s="286"/>
      <c r="EN606" s="286"/>
      <c r="EO606" s="286"/>
      <c r="EP606" s="286"/>
      <c r="EQ606" s="286"/>
      <c r="ER606" s="286"/>
      <c r="ES606" s="286"/>
      <c r="ET606" s="286"/>
      <c r="EU606" s="286"/>
      <c r="EV606" s="286"/>
      <c r="EW606" s="286"/>
      <c r="EX606" s="286"/>
      <c r="EY606" s="286"/>
      <c r="EZ606" s="286"/>
      <c r="FA606" s="286"/>
      <c r="FB606" s="286"/>
      <c r="FC606" s="286"/>
      <c r="FD606" s="286"/>
      <c r="FE606" s="286"/>
      <c r="FF606" s="286"/>
      <c r="FG606" s="286"/>
      <c r="FH606" s="286"/>
      <c r="FI606" s="286"/>
      <c r="FJ606" s="286"/>
      <c r="FK606" s="286"/>
      <c r="FL606" s="286"/>
      <c r="FM606" s="286"/>
      <c r="FN606" s="286"/>
      <c r="FO606" s="286"/>
      <c r="FP606" s="286"/>
      <c r="FQ606" s="286"/>
      <c r="FR606" s="286"/>
      <c r="FS606" s="286"/>
    </row>
    <row r="607" spans="1:175">
      <c r="A607" s="212" t="s">
        <v>3159</v>
      </c>
      <c r="B607" s="212" t="s">
        <v>3160</v>
      </c>
      <c r="C607" s="212" t="s">
        <v>3172</v>
      </c>
      <c r="D607" s="212" t="s">
        <v>3771</v>
      </c>
      <c r="E607" s="212" t="s">
        <v>3787</v>
      </c>
      <c r="F607" s="278">
        <v>7261</v>
      </c>
      <c r="G607" s="278">
        <v>80294</v>
      </c>
      <c r="H607" s="287">
        <f t="shared" si="9"/>
        <v>1.9416145664682292</v>
      </c>
      <c r="I607" s="286">
        <v>232</v>
      </c>
      <c r="J607" s="286">
        <v>1559</v>
      </c>
      <c r="K607" s="286">
        <v>598</v>
      </c>
      <c r="L607" s="286">
        <v>866</v>
      </c>
      <c r="M607" s="286">
        <v>1376</v>
      </c>
      <c r="N607" s="286">
        <v>483</v>
      </c>
      <c r="O607" s="286">
        <v>798</v>
      </c>
      <c r="P607" s="286">
        <v>232</v>
      </c>
      <c r="Q607" s="286">
        <v>1559</v>
      </c>
      <c r="R607" s="286">
        <v>598</v>
      </c>
      <c r="S607" s="286">
        <v>866</v>
      </c>
      <c r="T607" s="286">
        <v>1376</v>
      </c>
      <c r="U607" s="286">
        <v>483</v>
      </c>
      <c r="V607" s="286">
        <v>798</v>
      </c>
      <c r="W607" s="286"/>
      <c r="X607" s="286"/>
      <c r="Y607" s="286"/>
      <c r="Z607" s="286"/>
      <c r="AA607" s="286"/>
      <c r="AB607" s="286"/>
      <c r="AC607" s="286"/>
      <c r="AD607" s="286"/>
      <c r="AE607" s="286"/>
      <c r="AF607" s="286"/>
      <c r="AG607" s="286"/>
      <c r="AH607" s="286"/>
      <c r="AI607" s="286"/>
      <c r="AJ607" s="286"/>
      <c r="AK607" s="286"/>
      <c r="AL607" s="286"/>
      <c r="AM607" s="286"/>
      <c r="AN607" s="286"/>
      <c r="AO607" s="286"/>
      <c r="AP607" s="286"/>
      <c r="AQ607" s="286"/>
      <c r="AR607" s="286"/>
      <c r="AS607" s="286"/>
      <c r="AT607" s="286"/>
      <c r="AU607" s="286"/>
      <c r="AV607" s="286"/>
      <c r="AW607" s="286"/>
      <c r="AX607" s="286"/>
      <c r="AY607" s="286"/>
      <c r="AZ607" s="286"/>
      <c r="BA607" s="286"/>
      <c r="BB607" s="286"/>
      <c r="BC607" s="286"/>
      <c r="BD607" s="286"/>
      <c r="BE607" s="286"/>
      <c r="BF607" s="286"/>
      <c r="BG607" s="286"/>
      <c r="BH607" s="286"/>
      <c r="BI607" s="286"/>
      <c r="BJ607" s="286"/>
      <c r="BK607" s="286"/>
      <c r="BL607" s="286"/>
      <c r="BM607" s="286"/>
      <c r="BN607" s="286"/>
      <c r="BO607" s="286"/>
      <c r="BP607" s="286"/>
      <c r="BQ607" s="286"/>
      <c r="BR607" s="286"/>
      <c r="BS607" s="286"/>
      <c r="BT607" s="286"/>
      <c r="BU607" s="286"/>
      <c r="BV607" s="286"/>
      <c r="BW607" s="286"/>
      <c r="BX607" s="286"/>
      <c r="BY607" s="286"/>
      <c r="BZ607" s="286"/>
      <c r="CA607" s="286"/>
      <c r="CB607" s="286"/>
      <c r="CC607" s="286"/>
      <c r="CD607" s="286"/>
      <c r="CE607" s="286"/>
      <c r="CF607" s="286"/>
      <c r="CG607" s="286"/>
      <c r="CH607" s="286"/>
      <c r="CI607" s="286"/>
      <c r="CJ607" s="286"/>
      <c r="CK607" s="286"/>
      <c r="CL607" s="286"/>
      <c r="CM607" s="286"/>
      <c r="CN607" s="286"/>
      <c r="CO607" s="286"/>
      <c r="CP607" s="286"/>
      <c r="CQ607" s="286"/>
      <c r="CR607" s="286"/>
      <c r="CS607" s="286"/>
      <c r="CT607" s="286"/>
      <c r="CU607" s="286"/>
      <c r="CV607" s="286"/>
      <c r="CW607" s="286"/>
      <c r="CX607" s="286"/>
      <c r="CY607" s="286"/>
      <c r="CZ607" s="286"/>
      <c r="DA607" s="286"/>
      <c r="DB607" s="286"/>
      <c r="DC607" s="286"/>
      <c r="DD607" s="286"/>
      <c r="DE607" s="286"/>
      <c r="DF607" s="286"/>
      <c r="DG607" s="286"/>
      <c r="DH607" s="286"/>
      <c r="DI607" s="286"/>
      <c r="DJ607" s="286"/>
      <c r="DK607" s="286"/>
      <c r="DL607" s="286"/>
      <c r="DM607" s="286"/>
      <c r="DN607" s="286"/>
      <c r="DO607" s="286"/>
      <c r="DP607" s="286"/>
      <c r="DQ607" s="286"/>
      <c r="DR607" s="286"/>
      <c r="DS607" s="286"/>
      <c r="DT607" s="286"/>
      <c r="DU607" s="286"/>
      <c r="DV607" s="286"/>
      <c r="DW607" s="286"/>
      <c r="DX607" s="286"/>
      <c r="DY607" s="286"/>
      <c r="DZ607" s="286"/>
      <c r="EA607" s="286"/>
      <c r="EB607" s="286"/>
      <c r="EC607" s="286"/>
      <c r="ED607" s="286"/>
      <c r="EE607" s="286"/>
      <c r="EF607" s="286"/>
      <c r="EG607" s="286"/>
      <c r="EH607" s="286"/>
      <c r="EI607" s="286"/>
      <c r="EJ607" s="286"/>
      <c r="EK607" s="286"/>
      <c r="EL607" s="286"/>
      <c r="EM607" s="286"/>
      <c r="EN607" s="286"/>
      <c r="EO607" s="286"/>
      <c r="EP607" s="286"/>
      <c r="EQ607" s="286"/>
      <c r="ER607" s="286"/>
      <c r="ES607" s="286"/>
      <c r="ET607" s="286"/>
      <c r="EU607" s="286"/>
      <c r="EV607" s="286"/>
      <c r="EW607" s="286"/>
      <c r="EX607" s="286"/>
      <c r="EY607" s="286"/>
      <c r="EZ607" s="286"/>
      <c r="FA607" s="286"/>
      <c r="FB607" s="286"/>
      <c r="FC607" s="286"/>
      <c r="FD607" s="286"/>
      <c r="FE607" s="286"/>
      <c r="FF607" s="286"/>
      <c r="FG607" s="286"/>
      <c r="FH607" s="286"/>
      <c r="FI607" s="286"/>
      <c r="FJ607" s="286"/>
      <c r="FK607" s="286"/>
      <c r="FL607" s="286"/>
      <c r="FM607" s="286"/>
      <c r="FN607" s="286"/>
      <c r="FO607" s="286"/>
      <c r="FP607" s="286"/>
      <c r="FQ607" s="286"/>
      <c r="FR607" s="286"/>
      <c r="FS607" s="286"/>
    </row>
    <row r="608" spans="1:175">
      <c r="A608" s="212" t="s">
        <v>3159</v>
      </c>
      <c r="B608" s="212" t="s">
        <v>3160</v>
      </c>
      <c r="C608" s="212" t="s">
        <v>3172</v>
      </c>
      <c r="D608" s="212" t="s">
        <v>3771</v>
      </c>
      <c r="E608" s="212" t="s">
        <v>3788</v>
      </c>
      <c r="F608" s="278">
        <v>5030</v>
      </c>
      <c r="G608" s="278">
        <v>16806</v>
      </c>
      <c r="H608" s="287">
        <f t="shared" si="9"/>
        <v>5.1112697846007382</v>
      </c>
      <c r="I608" s="286">
        <v>230</v>
      </c>
      <c r="J608" s="286">
        <v>859</v>
      </c>
      <c r="K608" s="286">
        <v>127</v>
      </c>
      <c r="L608" s="286">
        <v>732</v>
      </c>
      <c r="M608" s="286">
        <v>645</v>
      </c>
      <c r="N608" s="286">
        <v>72</v>
      </c>
      <c r="O608" s="286">
        <v>573</v>
      </c>
      <c r="P608" s="286">
        <v>230</v>
      </c>
      <c r="Q608" s="286">
        <v>859</v>
      </c>
      <c r="R608" s="286">
        <v>127</v>
      </c>
      <c r="S608" s="286">
        <v>732</v>
      </c>
      <c r="T608" s="286">
        <v>645</v>
      </c>
      <c r="U608" s="286">
        <v>72</v>
      </c>
      <c r="V608" s="286">
        <v>573</v>
      </c>
      <c r="W608" s="286"/>
      <c r="X608" s="286"/>
      <c r="Y608" s="286"/>
      <c r="Z608" s="286"/>
      <c r="AA608" s="286"/>
      <c r="AB608" s="286"/>
      <c r="AC608" s="286"/>
      <c r="AD608" s="286"/>
      <c r="AE608" s="286"/>
      <c r="AF608" s="286"/>
      <c r="AG608" s="286"/>
      <c r="AH608" s="286"/>
      <c r="AI608" s="286"/>
      <c r="AJ608" s="286"/>
      <c r="AK608" s="286"/>
      <c r="AL608" s="286"/>
      <c r="AM608" s="286"/>
      <c r="AN608" s="286"/>
      <c r="AO608" s="286"/>
      <c r="AP608" s="286"/>
      <c r="AQ608" s="286"/>
      <c r="AR608" s="286"/>
      <c r="AS608" s="286"/>
      <c r="AT608" s="286"/>
      <c r="AU608" s="286"/>
      <c r="AV608" s="286"/>
      <c r="AW608" s="286"/>
      <c r="AX608" s="286"/>
      <c r="AY608" s="286"/>
      <c r="AZ608" s="286"/>
      <c r="BA608" s="286"/>
      <c r="BB608" s="286"/>
      <c r="BC608" s="286"/>
      <c r="BD608" s="286"/>
      <c r="BE608" s="286"/>
      <c r="BF608" s="286"/>
      <c r="BG608" s="286"/>
      <c r="BH608" s="286"/>
      <c r="BI608" s="286"/>
      <c r="BJ608" s="286"/>
      <c r="BK608" s="286"/>
      <c r="BL608" s="286"/>
      <c r="BM608" s="286"/>
      <c r="BN608" s="286"/>
      <c r="BO608" s="286"/>
      <c r="BP608" s="286"/>
      <c r="BQ608" s="286"/>
      <c r="BR608" s="286"/>
      <c r="BS608" s="286"/>
      <c r="BT608" s="286"/>
      <c r="BU608" s="286"/>
      <c r="BV608" s="286"/>
      <c r="BW608" s="286"/>
      <c r="BX608" s="286"/>
      <c r="BY608" s="286"/>
      <c r="BZ608" s="286"/>
      <c r="CA608" s="286"/>
      <c r="CB608" s="286"/>
      <c r="CC608" s="286"/>
      <c r="CD608" s="286"/>
      <c r="CE608" s="286"/>
      <c r="CF608" s="286"/>
      <c r="CG608" s="286"/>
      <c r="CH608" s="286"/>
      <c r="CI608" s="286"/>
      <c r="CJ608" s="286"/>
      <c r="CK608" s="286"/>
      <c r="CL608" s="286"/>
      <c r="CM608" s="286"/>
      <c r="CN608" s="286"/>
      <c r="CO608" s="286"/>
      <c r="CP608" s="286"/>
      <c r="CQ608" s="286"/>
      <c r="CR608" s="286"/>
      <c r="CS608" s="286"/>
      <c r="CT608" s="286"/>
      <c r="CU608" s="286"/>
      <c r="CV608" s="286"/>
      <c r="CW608" s="286"/>
      <c r="CX608" s="286"/>
      <c r="CY608" s="286"/>
      <c r="CZ608" s="286"/>
      <c r="DA608" s="286"/>
      <c r="DB608" s="286"/>
      <c r="DC608" s="286"/>
      <c r="DD608" s="286"/>
      <c r="DE608" s="286"/>
      <c r="DF608" s="286"/>
      <c r="DG608" s="286"/>
      <c r="DH608" s="286"/>
      <c r="DI608" s="286"/>
      <c r="DJ608" s="286"/>
      <c r="DK608" s="286"/>
      <c r="DL608" s="286"/>
      <c r="DM608" s="286"/>
      <c r="DN608" s="286"/>
      <c r="DO608" s="286"/>
      <c r="DP608" s="286"/>
      <c r="DQ608" s="286"/>
      <c r="DR608" s="286"/>
      <c r="DS608" s="286"/>
      <c r="DT608" s="286"/>
      <c r="DU608" s="286"/>
      <c r="DV608" s="286"/>
      <c r="DW608" s="286"/>
      <c r="DX608" s="286"/>
      <c r="DY608" s="286"/>
      <c r="DZ608" s="286"/>
      <c r="EA608" s="286"/>
      <c r="EB608" s="286"/>
      <c r="EC608" s="286"/>
      <c r="ED608" s="286"/>
      <c r="EE608" s="286"/>
      <c r="EF608" s="286"/>
      <c r="EG608" s="286"/>
      <c r="EH608" s="286"/>
      <c r="EI608" s="286"/>
      <c r="EJ608" s="286"/>
      <c r="EK608" s="286"/>
      <c r="EL608" s="286"/>
      <c r="EM608" s="286"/>
      <c r="EN608" s="286"/>
      <c r="EO608" s="286"/>
      <c r="EP608" s="286"/>
      <c r="EQ608" s="286"/>
      <c r="ER608" s="286"/>
      <c r="ES608" s="286"/>
      <c r="ET608" s="286"/>
      <c r="EU608" s="286"/>
      <c r="EV608" s="286"/>
      <c r="EW608" s="286"/>
      <c r="EX608" s="286"/>
      <c r="EY608" s="286"/>
      <c r="EZ608" s="286"/>
      <c r="FA608" s="286"/>
      <c r="FB608" s="286"/>
      <c r="FC608" s="286"/>
      <c r="FD608" s="286"/>
      <c r="FE608" s="286"/>
      <c r="FF608" s="286"/>
      <c r="FG608" s="286"/>
      <c r="FH608" s="286"/>
      <c r="FI608" s="286"/>
      <c r="FJ608" s="286"/>
      <c r="FK608" s="286"/>
      <c r="FL608" s="286"/>
      <c r="FM608" s="286"/>
      <c r="FN608" s="286"/>
      <c r="FO608" s="286"/>
      <c r="FP608" s="286"/>
      <c r="FQ608" s="286"/>
      <c r="FR608" s="286"/>
      <c r="FS608" s="286"/>
    </row>
    <row r="609" spans="1:175">
      <c r="A609" s="212" t="s">
        <v>3159</v>
      </c>
      <c r="B609" s="212" t="s">
        <v>3160</v>
      </c>
      <c r="C609" s="212" t="s">
        <v>3172</v>
      </c>
      <c r="D609" s="212" t="s">
        <v>3771</v>
      </c>
      <c r="E609" s="212" t="s">
        <v>3789</v>
      </c>
      <c r="F609" s="278">
        <v>2880</v>
      </c>
      <c r="G609" s="278">
        <v>16018</v>
      </c>
      <c r="H609" s="287">
        <f t="shared" si="9"/>
        <v>9.2021475839680367</v>
      </c>
      <c r="I609" s="286">
        <v>250</v>
      </c>
      <c r="J609" s="286">
        <v>1474</v>
      </c>
      <c r="K609" s="286">
        <v>1284</v>
      </c>
      <c r="L609" s="286">
        <v>190</v>
      </c>
      <c r="M609" s="286">
        <v>1193</v>
      </c>
      <c r="N609" s="286">
        <v>1091</v>
      </c>
      <c r="O609" s="286">
        <v>102</v>
      </c>
      <c r="P609" s="286">
        <v>244</v>
      </c>
      <c r="Q609" s="286">
        <v>1458</v>
      </c>
      <c r="R609" s="286">
        <v>1268</v>
      </c>
      <c r="S609" s="286">
        <v>190</v>
      </c>
      <c r="T609" s="286">
        <v>1177</v>
      </c>
      <c r="U609" s="286">
        <v>1075</v>
      </c>
      <c r="V609" s="286">
        <v>102</v>
      </c>
      <c r="W609" s="286"/>
      <c r="X609" s="286"/>
      <c r="Y609" s="286"/>
      <c r="Z609" s="286"/>
      <c r="AA609" s="286"/>
      <c r="AB609" s="286"/>
      <c r="AC609" s="286"/>
      <c r="AD609" s="286"/>
      <c r="AE609" s="286"/>
      <c r="AF609" s="286"/>
      <c r="AG609" s="286"/>
      <c r="AH609" s="286"/>
      <c r="AI609" s="286"/>
      <c r="AJ609" s="286"/>
      <c r="AK609" s="286"/>
      <c r="AL609" s="286"/>
      <c r="AM609" s="286"/>
      <c r="AN609" s="286"/>
      <c r="AO609" s="286"/>
      <c r="AP609" s="286"/>
      <c r="AQ609" s="286"/>
      <c r="AR609" s="286"/>
      <c r="AS609" s="286"/>
      <c r="AT609" s="286"/>
      <c r="AU609" s="286"/>
      <c r="AV609" s="286"/>
      <c r="AW609" s="286"/>
      <c r="AX609" s="286"/>
      <c r="AY609" s="286"/>
      <c r="AZ609" s="286"/>
      <c r="BA609" s="286"/>
      <c r="BB609" s="286"/>
      <c r="BC609" s="286"/>
      <c r="BD609" s="286"/>
      <c r="BE609" s="286"/>
      <c r="BF609" s="286"/>
      <c r="BG609" s="286"/>
      <c r="BH609" s="286"/>
      <c r="BI609" s="286"/>
      <c r="BJ609" s="286"/>
      <c r="BK609" s="286"/>
      <c r="BL609" s="286"/>
      <c r="BM609" s="286"/>
      <c r="BN609" s="286"/>
      <c r="BO609" s="286"/>
      <c r="BP609" s="286"/>
      <c r="BQ609" s="286"/>
      <c r="BR609" s="286"/>
      <c r="BS609" s="286"/>
      <c r="BT609" s="286"/>
      <c r="BU609" s="286"/>
      <c r="BV609" s="286"/>
      <c r="BW609" s="286"/>
      <c r="BX609" s="286"/>
      <c r="BY609" s="286"/>
      <c r="BZ609" s="286"/>
      <c r="CA609" s="286"/>
      <c r="CB609" s="286"/>
      <c r="CC609" s="286"/>
      <c r="CD609" s="286"/>
      <c r="CE609" s="286"/>
      <c r="CF609" s="286"/>
      <c r="CG609" s="286"/>
      <c r="CH609" s="286"/>
      <c r="CI609" s="286"/>
      <c r="CJ609" s="286"/>
      <c r="CK609" s="286"/>
      <c r="CL609" s="286"/>
      <c r="CM609" s="286"/>
      <c r="CN609" s="286"/>
      <c r="CO609" s="286"/>
      <c r="CP609" s="286"/>
      <c r="CQ609" s="286"/>
      <c r="CR609" s="286"/>
      <c r="CS609" s="286"/>
      <c r="CT609" s="286"/>
      <c r="CU609" s="286"/>
      <c r="CV609" s="286"/>
      <c r="CW609" s="286"/>
      <c r="CX609" s="286"/>
      <c r="CY609" s="286"/>
      <c r="CZ609" s="286"/>
      <c r="DA609" s="286"/>
      <c r="DB609" s="286"/>
      <c r="DC609" s="286"/>
      <c r="DD609" s="286"/>
      <c r="DE609" s="286"/>
      <c r="DF609" s="286"/>
      <c r="DG609" s="286"/>
      <c r="DH609" s="286"/>
      <c r="DI609" s="286"/>
      <c r="DJ609" s="286"/>
      <c r="DK609" s="286"/>
      <c r="DL609" s="286"/>
      <c r="DM609" s="286"/>
      <c r="DN609" s="286"/>
      <c r="DO609" s="286"/>
      <c r="DP609" s="286"/>
      <c r="DQ609" s="286"/>
      <c r="DR609" s="286"/>
      <c r="DS609" s="286"/>
      <c r="DT609" s="286"/>
      <c r="DU609" s="286"/>
      <c r="DV609" s="286"/>
      <c r="DW609" s="286"/>
      <c r="DX609" s="286"/>
      <c r="DY609" s="286"/>
      <c r="DZ609" s="286"/>
      <c r="EA609" s="286"/>
      <c r="EB609" s="286"/>
      <c r="EC609" s="286"/>
      <c r="ED609" s="286"/>
      <c r="EE609" s="286"/>
      <c r="EF609" s="286"/>
      <c r="EG609" s="286"/>
      <c r="EH609" s="286"/>
      <c r="EI609" s="286"/>
      <c r="EJ609" s="286"/>
      <c r="EK609" s="286"/>
      <c r="EL609" s="286"/>
      <c r="EM609" s="286"/>
      <c r="EN609" s="286"/>
      <c r="EO609" s="286"/>
      <c r="EP609" s="286"/>
      <c r="EQ609" s="286"/>
      <c r="ER609" s="286"/>
      <c r="ES609" s="286"/>
      <c r="ET609" s="286"/>
      <c r="EU609" s="286"/>
      <c r="EV609" s="286"/>
      <c r="EW609" s="286"/>
      <c r="EX609" s="286"/>
      <c r="EY609" s="286"/>
      <c r="EZ609" s="286"/>
      <c r="FA609" s="286"/>
      <c r="FB609" s="286"/>
      <c r="FC609" s="286"/>
      <c r="FD609" s="286"/>
      <c r="FE609" s="286"/>
      <c r="FF609" s="286"/>
      <c r="FG609" s="286"/>
      <c r="FH609" s="286"/>
      <c r="FI609" s="286"/>
      <c r="FJ609" s="286"/>
      <c r="FK609" s="286"/>
      <c r="FL609" s="286"/>
      <c r="FM609" s="286"/>
      <c r="FN609" s="286"/>
      <c r="FO609" s="286"/>
      <c r="FP609" s="286"/>
      <c r="FQ609" s="286"/>
      <c r="FR609" s="286"/>
      <c r="FS609" s="286"/>
    </row>
    <row r="610" spans="1:175">
      <c r="A610" s="212" t="s">
        <v>3159</v>
      </c>
      <c r="B610" s="212" t="s">
        <v>3160</v>
      </c>
      <c r="C610" s="212" t="s">
        <v>3172</v>
      </c>
      <c r="D610" s="212" t="s">
        <v>3771</v>
      </c>
      <c r="E610" s="212" t="s">
        <v>3790</v>
      </c>
      <c r="F610" s="278">
        <v>1580</v>
      </c>
      <c r="G610" s="278">
        <v>9217</v>
      </c>
      <c r="H610" s="287">
        <f t="shared" si="9"/>
        <v>4.263860258218509</v>
      </c>
      <c r="I610" s="286">
        <v>65</v>
      </c>
      <c r="J610" s="286">
        <v>393</v>
      </c>
      <c r="K610" s="286">
        <v>296</v>
      </c>
      <c r="L610" s="286">
        <v>97</v>
      </c>
      <c r="M610" s="286">
        <v>332</v>
      </c>
      <c r="N610" s="286">
        <v>250</v>
      </c>
      <c r="O610" s="286">
        <v>82</v>
      </c>
      <c r="P610" s="286">
        <v>45</v>
      </c>
      <c r="Q610" s="286">
        <v>260</v>
      </c>
      <c r="R610" s="286">
        <v>171</v>
      </c>
      <c r="S610" s="286">
        <v>89</v>
      </c>
      <c r="T610" s="286">
        <v>201</v>
      </c>
      <c r="U610" s="286">
        <v>127</v>
      </c>
      <c r="V610" s="286">
        <v>74</v>
      </c>
      <c r="W610" s="286"/>
      <c r="X610" s="286"/>
      <c r="Y610" s="286"/>
      <c r="Z610" s="286"/>
      <c r="AA610" s="286"/>
      <c r="AB610" s="286"/>
      <c r="AC610" s="286"/>
      <c r="AD610" s="286"/>
      <c r="AE610" s="286"/>
      <c r="AF610" s="286"/>
      <c r="AG610" s="286"/>
      <c r="AH610" s="286"/>
      <c r="AI610" s="286"/>
      <c r="AJ610" s="286"/>
      <c r="AK610" s="286"/>
      <c r="AL610" s="286"/>
      <c r="AM610" s="286"/>
      <c r="AN610" s="286"/>
      <c r="AO610" s="286"/>
      <c r="AP610" s="286"/>
      <c r="AQ610" s="286"/>
      <c r="AR610" s="286"/>
      <c r="AS610" s="286"/>
      <c r="AT610" s="286"/>
      <c r="AU610" s="286"/>
      <c r="AV610" s="286"/>
      <c r="AW610" s="286"/>
      <c r="AX610" s="286"/>
      <c r="AY610" s="286"/>
      <c r="AZ610" s="286"/>
      <c r="BA610" s="286"/>
      <c r="BB610" s="286"/>
      <c r="BC610" s="286"/>
      <c r="BD610" s="286"/>
      <c r="BE610" s="286"/>
      <c r="BF610" s="286"/>
      <c r="BG610" s="286"/>
      <c r="BH610" s="286"/>
      <c r="BI610" s="286"/>
      <c r="BJ610" s="286"/>
      <c r="BK610" s="286"/>
      <c r="BL610" s="286"/>
      <c r="BM610" s="286"/>
      <c r="BN610" s="286"/>
      <c r="BO610" s="286"/>
      <c r="BP610" s="286"/>
      <c r="BQ610" s="286"/>
      <c r="BR610" s="286"/>
      <c r="BS610" s="286"/>
      <c r="BT610" s="286"/>
      <c r="BU610" s="286"/>
      <c r="BV610" s="286"/>
      <c r="BW610" s="286"/>
      <c r="BX610" s="286"/>
      <c r="BY610" s="286"/>
      <c r="BZ610" s="286"/>
      <c r="CA610" s="286"/>
      <c r="CB610" s="286"/>
      <c r="CC610" s="286"/>
      <c r="CD610" s="286"/>
      <c r="CE610" s="286"/>
      <c r="CF610" s="286"/>
      <c r="CG610" s="286"/>
      <c r="CH610" s="286"/>
      <c r="CI610" s="286"/>
      <c r="CJ610" s="286"/>
      <c r="CK610" s="286"/>
      <c r="CL610" s="286"/>
      <c r="CM610" s="286"/>
      <c r="CN610" s="286"/>
      <c r="CO610" s="286"/>
      <c r="CP610" s="286"/>
      <c r="CQ610" s="286"/>
      <c r="CR610" s="286"/>
      <c r="CS610" s="286"/>
      <c r="CT610" s="286"/>
      <c r="CU610" s="286"/>
      <c r="CV610" s="286"/>
      <c r="CW610" s="286"/>
      <c r="CX610" s="286"/>
      <c r="CY610" s="286"/>
      <c r="CZ610" s="286"/>
      <c r="DA610" s="286"/>
      <c r="DB610" s="286"/>
      <c r="DC610" s="286"/>
      <c r="DD610" s="286"/>
      <c r="DE610" s="286"/>
      <c r="DF610" s="286"/>
      <c r="DG610" s="286"/>
      <c r="DH610" s="286"/>
      <c r="DI610" s="286"/>
      <c r="DJ610" s="286"/>
      <c r="DK610" s="286"/>
      <c r="DL610" s="286"/>
      <c r="DM610" s="286"/>
      <c r="DN610" s="286"/>
      <c r="DO610" s="286"/>
      <c r="DP610" s="286"/>
      <c r="DQ610" s="286"/>
      <c r="DR610" s="286"/>
      <c r="DS610" s="286"/>
      <c r="DT610" s="286"/>
      <c r="DU610" s="286"/>
      <c r="DV610" s="286"/>
      <c r="DW610" s="286"/>
      <c r="DX610" s="286"/>
      <c r="DY610" s="286"/>
      <c r="DZ610" s="286"/>
      <c r="EA610" s="286"/>
      <c r="EB610" s="286"/>
      <c r="EC610" s="286"/>
      <c r="ED610" s="286"/>
      <c r="EE610" s="286"/>
      <c r="EF610" s="286"/>
      <c r="EG610" s="286"/>
      <c r="EH610" s="286"/>
      <c r="EI610" s="286"/>
      <c r="EJ610" s="286"/>
      <c r="EK610" s="286"/>
      <c r="EL610" s="286"/>
      <c r="EM610" s="286"/>
      <c r="EN610" s="286"/>
      <c r="EO610" s="286"/>
      <c r="EP610" s="286"/>
      <c r="EQ610" s="286"/>
      <c r="ER610" s="286"/>
      <c r="ES610" s="286"/>
      <c r="ET610" s="286"/>
      <c r="EU610" s="286"/>
      <c r="EV610" s="286"/>
      <c r="EW610" s="286"/>
      <c r="EX610" s="286"/>
      <c r="EY610" s="286"/>
      <c r="EZ610" s="286"/>
      <c r="FA610" s="286"/>
      <c r="FB610" s="286"/>
      <c r="FC610" s="286"/>
      <c r="FD610" s="286"/>
      <c r="FE610" s="286"/>
      <c r="FF610" s="286"/>
      <c r="FG610" s="286"/>
      <c r="FH610" s="286"/>
      <c r="FI610" s="286"/>
      <c r="FJ610" s="286"/>
      <c r="FK610" s="286"/>
      <c r="FL610" s="286"/>
      <c r="FM610" s="286"/>
      <c r="FN610" s="286"/>
      <c r="FO610" s="286"/>
      <c r="FP610" s="286"/>
      <c r="FQ610" s="286"/>
      <c r="FR610" s="286"/>
      <c r="FS610" s="286"/>
    </row>
    <row r="611" spans="1:175">
      <c r="A611" s="212" t="s">
        <v>3159</v>
      </c>
      <c r="B611" s="212" t="s">
        <v>3160</v>
      </c>
      <c r="C611" s="212" t="s">
        <v>3172</v>
      </c>
      <c r="D611" s="212" t="s">
        <v>3771</v>
      </c>
      <c r="E611" s="212" t="s">
        <v>3791</v>
      </c>
      <c r="F611" s="278">
        <v>12587</v>
      </c>
      <c r="G611" s="278">
        <v>142531</v>
      </c>
      <c r="H611" s="287">
        <f t="shared" si="9"/>
        <v>3.5816769685191292</v>
      </c>
      <c r="I611" s="286">
        <v>412</v>
      </c>
      <c r="J611" s="286">
        <v>5105</v>
      </c>
      <c r="K611" s="286">
        <v>2165</v>
      </c>
      <c r="L611" s="286">
        <v>2940</v>
      </c>
      <c r="M611" s="286">
        <v>4164</v>
      </c>
      <c r="N611" s="286">
        <v>1751</v>
      </c>
      <c r="O611" s="286">
        <v>2413</v>
      </c>
      <c r="P611" s="286">
        <v>412</v>
      </c>
      <c r="Q611" s="286">
        <v>5105</v>
      </c>
      <c r="R611" s="286">
        <v>2165</v>
      </c>
      <c r="S611" s="286">
        <v>2940</v>
      </c>
      <c r="T611" s="286">
        <v>4164</v>
      </c>
      <c r="U611" s="286">
        <v>1751</v>
      </c>
      <c r="V611" s="286">
        <v>2413</v>
      </c>
      <c r="W611" s="286"/>
      <c r="X611" s="286"/>
      <c r="Y611" s="286"/>
      <c r="Z611" s="286"/>
      <c r="AA611" s="286"/>
      <c r="AB611" s="286"/>
      <c r="AC611" s="286"/>
      <c r="AD611" s="286"/>
      <c r="AE611" s="286"/>
      <c r="AF611" s="286"/>
      <c r="AG611" s="286"/>
      <c r="AH611" s="286"/>
      <c r="AI611" s="286"/>
      <c r="AJ611" s="286"/>
      <c r="AK611" s="286"/>
      <c r="AL611" s="286"/>
      <c r="AM611" s="286"/>
      <c r="AN611" s="286"/>
      <c r="AO611" s="286"/>
      <c r="AP611" s="286"/>
      <c r="AQ611" s="286"/>
      <c r="AR611" s="286"/>
      <c r="AS611" s="286"/>
      <c r="AT611" s="286"/>
      <c r="AU611" s="286"/>
      <c r="AV611" s="286"/>
      <c r="AW611" s="286"/>
      <c r="AX611" s="286"/>
      <c r="AY611" s="286"/>
      <c r="AZ611" s="286"/>
      <c r="BA611" s="286"/>
      <c r="BB611" s="286"/>
      <c r="BC611" s="286"/>
      <c r="BD611" s="286"/>
      <c r="BE611" s="286"/>
      <c r="BF611" s="286"/>
      <c r="BG611" s="286"/>
      <c r="BH611" s="286"/>
      <c r="BI611" s="286"/>
      <c r="BJ611" s="286"/>
      <c r="BK611" s="286"/>
      <c r="BL611" s="286"/>
      <c r="BM611" s="286"/>
      <c r="BN611" s="286"/>
      <c r="BO611" s="286"/>
      <c r="BP611" s="286"/>
      <c r="BQ611" s="286"/>
      <c r="BR611" s="286"/>
      <c r="BS611" s="286"/>
      <c r="BT611" s="286"/>
      <c r="BU611" s="286"/>
      <c r="BV611" s="286"/>
      <c r="BW611" s="286"/>
      <c r="BX611" s="286"/>
      <c r="BY611" s="286"/>
      <c r="BZ611" s="286"/>
      <c r="CA611" s="286"/>
      <c r="CB611" s="286"/>
      <c r="CC611" s="286"/>
      <c r="CD611" s="286"/>
      <c r="CE611" s="286"/>
      <c r="CF611" s="286"/>
      <c r="CG611" s="286"/>
      <c r="CH611" s="286"/>
      <c r="CI611" s="286"/>
      <c r="CJ611" s="286"/>
      <c r="CK611" s="286"/>
      <c r="CL611" s="286"/>
      <c r="CM611" s="286"/>
      <c r="CN611" s="286"/>
      <c r="CO611" s="286"/>
      <c r="CP611" s="286"/>
      <c r="CQ611" s="286"/>
      <c r="CR611" s="286"/>
      <c r="CS611" s="286"/>
      <c r="CT611" s="286"/>
      <c r="CU611" s="286"/>
      <c r="CV611" s="286"/>
      <c r="CW611" s="286"/>
      <c r="CX611" s="286"/>
      <c r="CY611" s="286"/>
      <c r="CZ611" s="286"/>
      <c r="DA611" s="286"/>
      <c r="DB611" s="286"/>
      <c r="DC611" s="286"/>
      <c r="DD611" s="286"/>
      <c r="DE611" s="286"/>
      <c r="DF611" s="286"/>
      <c r="DG611" s="286"/>
      <c r="DH611" s="286"/>
      <c r="DI611" s="286"/>
      <c r="DJ611" s="286"/>
      <c r="DK611" s="286"/>
      <c r="DL611" s="286"/>
      <c r="DM611" s="286"/>
      <c r="DN611" s="286"/>
      <c r="DO611" s="286"/>
      <c r="DP611" s="286"/>
      <c r="DQ611" s="286"/>
      <c r="DR611" s="286"/>
      <c r="DS611" s="286"/>
      <c r="DT611" s="286"/>
      <c r="DU611" s="286"/>
      <c r="DV611" s="286"/>
      <c r="DW611" s="286"/>
      <c r="DX611" s="286"/>
      <c r="DY611" s="286"/>
      <c r="DZ611" s="286"/>
      <c r="EA611" s="286"/>
      <c r="EB611" s="286"/>
      <c r="EC611" s="286"/>
      <c r="ED611" s="286"/>
      <c r="EE611" s="286"/>
      <c r="EF611" s="286"/>
      <c r="EG611" s="286"/>
      <c r="EH611" s="286"/>
      <c r="EI611" s="286"/>
      <c r="EJ611" s="286"/>
      <c r="EK611" s="286"/>
      <c r="EL611" s="286"/>
      <c r="EM611" s="286"/>
      <c r="EN611" s="286"/>
      <c r="EO611" s="286"/>
      <c r="EP611" s="286"/>
      <c r="EQ611" s="286"/>
      <c r="ER611" s="286"/>
      <c r="ES611" s="286"/>
      <c r="ET611" s="286"/>
      <c r="EU611" s="286"/>
      <c r="EV611" s="286"/>
      <c r="EW611" s="286"/>
      <c r="EX611" s="286"/>
      <c r="EY611" s="286"/>
      <c r="EZ611" s="286"/>
      <c r="FA611" s="286"/>
      <c r="FB611" s="286"/>
      <c r="FC611" s="286"/>
      <c r="FD611" s="286"/>
      <c r="FE611" s="286"/>
      <c r="FF611" s="286"/>
      <c r="FG611" s="286"/>
      <c r="FH611" s="286"/>
      <c r="FI611" s="286"/>
      <c r="FJ611" s="286"/>
      <c r="FK611" s="286"/>
      <c r="FL611" s="286"/>
      <c r="FM611" s="286"/>
      <c r="FN611" s="286"/>
      <c r="FO611" s="286"/>
      <c r="FP611" s="286"/>
      <c r="FQ611" s="286"/>
      <c r="FR611" s="286"/>
      <c r="FS611" s="286"/>
    </row>
    <row r="612" spans="1:175">
      <c r="A612" s="212" t="s">
        <v>3159</v>
      </c>
      <c r="B612" s="212" t="s">
        <v>3160</v>
      </c>
      <c r="C612" s="212" t="s">
        <v>3432</v>
      </c>
      <c r="D612" s="212" t="s">
        <v>3771</v>
      </c>
      <c r="E612" s="212" t="s">
        <v>3792</v>
      </c>
      <c r="F612" s="278">
        <v>10442</v>
      </c>
      <c r="G612" s="278">
        <v>85014</v>
      </c>
      <c r="H612" s="287">
        <f t="shared" si="9"/>
        <v>3.3829722163408378</v>
      </c>
      <c r="I612" s="286">
        <v>329</v>
      </c>
      <c r="J612" s="286">
        <v>2876</v>
      </c>
      <c r="K612" s="286">
        <v>1514</v>
      </c>
      <c r="L612" s="286">
        <v>1362</v>
      </c>
      <c r="M612" s="286">
        <v>2482</v>
      </c>
      <c r="N612" s="286">
        <v>1261</v>
      </c>
      <c r="O612" s="286">
        <v>1221</v>
      </c>
      <c r="P612" s="286">
        <v>329</v>
      </c>
      <c r="Q612" s="286">
        <v>2876</v>
      </c>
      <c r="R612" s="286">
        <v>1514</v>
      </c>
      <c r="S612" s="286">
        <v>1362</v>
      </c>
      <c r="T612" s="286">
        <v>2482</v>
      </c>
      <c r="U612" s="286">
        <v>1261</v>
      </c>
      <c r="V612" s="286">
        <v>1221</v>
      </c>
      <c r="W612" s="286"/>
      <c r="X612" s="286"/>
      <c r="Y612" s="286"/>
      <c r="Z612" s="286"/>
      <c r="AA612" s="286"/>
      <c r="AB612" s="286"/>
      <c r="AC612" s="286"/>
      <c r="AD612" s="286"/>
      <c r="AE612" s="286"/>
      <c r="AF612" s="286"/>
      <c r="AG612" s="286"/>
      <c r="AH612" s="286"/>
      <c r="AI612" s="286"/>
      <c r="AJ612" s="286"/>
      <c r="AK612" s="286"/>
      <c r="AL612" s="286"/>
      <c r="AM612" s="286"/>
      <c r="AN612" s="286"/>
      <c r="AO612" s="286"/>
      <c r="AP612" s="286"/>
      <c r="AQ612" s="286"/>
      <c r="AR612" s="286"/>
      <c r="AS612" s="286"/>
      <c r="AT612" s="286"/>
      <c r="AU612" s="286"/>
      <c r="AV612" s="286"/>
      <c r="AW612" s="286"/>
      <c r="AX612" s="286"/>
      <c r="AY612" s="286"/>
      <c r="AZ612" s="286"/>
      <c r="BA612" s="286"/>
      <c r="BB612" s="286"/>
      <c r="BC612" s="286"/>
      <c r="BD612" s="286"/>
      <c r="BE612" s="286"/>
      <c r="BF612" s="286"/>
      <c r="BG612" s="286"/>
      <c r="BH612" s="286"/>
      <c r="BI612" s="286"/>
      <c r="BJ612" s="286"/>
      <c r="BK612" s="286"/>
      <c r="BL612" s="286"/>
      <c r="BM612" s="286"/>
      <c r="BN612" s="286"/>
      <c r="BO612" s="286"/>
      <c r="BP612" s="286"/>
      <c r="BQ612" s="286"/>
      <c r="BR612" s="286"/>
      <c r="BS612" s="286"/>
      <c r="BT612" s="286"/>
      <c r="BU612" s="286"/>
      <c r="BV612" s="286"/>
      <c r="BW612" s="286"/>
      <c r="BX612" s="286"/>
      <c r="BY612" s="286"/>
      <c r="BZ612" s="286"/>
      <c r="CA612" s="286"/>
      <c r="CB612" s="286"/>
      <c r="CC612" s="286"/>
      <c r="CD612" s="286"/>
      <c r="CE612" s="286"/>
      <c r="CF612" s="286"/>
      <c r="CG612" s="286"/>
      <c r="CH612" s="286"/>
      <c r="CI612" s="286"/>
      <c r="CJ612" s="286"/>
      <c r="CK612" s="286"/>
      <c r="CL612" s="286"/>
      <c r="CM612" s="286"/>
      <c r="CN612" s="286"/>
      <c r="CO612" s="286"/>
      <c r="CP612" s="286"/>
      <c r="CQ612" s="286"/>
      <c r="CR612" s="286"/>
      <c r="CS612" s="286"/>
      <c r="CT612" s="286"/>
      <c r="CU612" s="286"/>
      <c r="CV612" s="286"/>
      <c r="CW612" s="286"/>
      <c r="CX612" s="286"/>
      <c r="CY612" s="286"/>
      <c r="CZ612" s="286"/>
      <c r="DA612" s="286"/>
      <c r="DB612" s="286"/>
      <c r="DC612" s="286"/>
      <c r="DD612" s="286"/>
      <c r="DE612" s="286"/>
      <c r="DF612" s="286"/>
      <c r="DG612" s="286"/>
      <c r="DH612" s="286"/>
      <c r="DI612" s="286"/>
      <c r="DJ612" s="286"/>
      <c r="DK612" s="286"/>
      <c r="DL612" s="286"/>
      <c r="DM612" s="286"/>
      <c r="DN612" s="286"/>
      <c r="DO612" s="286"/>
      <c r="DP612" s="286"/>
      <c r="DQ612" s="286"/>
      <c r="DR612" s="286"/>
      <c r="DS612" s="286"/>
      <c r="DT612" s="286"/>
      <c r="DU612" s="286"/>
      <c r="DV612" s="286"/>
      <c r="DW612" s="286"/>
      <c r="DX612" s="286"/>
      <c r="DY612" s="286"/>
      <c r="DZ612" s="286"/>
      <c r="EA612" s="286"/>
      <c r="EB612" s="286"/>
      <c r="EC612" s="286"/>
      <c r="ED612" s="286"/>
      <c r="EE612" s="286"/>
      <c r="EF612" s="286"/>
      <c r="EG612" s="286"/>
      <c r="EH612" s="286"/>
      <c r="EI612" s="286"/>
      <c r="EJ612" s="286"/>
      <c r="EK612" s="286"/>
      <c r="EL612" s="286"/>
      <c r="EM612" s="286"/>
      <c r="EN612" s="286"/>
      <c r="EO612" s="286"/>
      <c r="EP612" s="286"/>
      <c r="EQ612" s="286"/>
      <c r="ER612" s="286"/>
      <c r="ES612" s="286"/>
      <c r="ET612" s="286"/>
      <c r="EU612" s="286"/>
      <c r="EV612" s="286"/>
      <c r="EW612" s="286"/>
      <c r="EX612" s="286"/>
      <c r="EY612" s="286"/>
      <c r="EZ612" s="286"/>
      <c r="FA612" s="286"/>
      <c r="FB612" s="286"/>
      <c r="FC612" s="286"/>
      <c r="FD612" s="286"/>
      <c r="FE612" s="286"/>
      <c r="FF612" s="286"/>
      <c r="FG612" s="286"/>
      <c r="FH612" s="286"/>
      <c r="FI612" s="286"/>
      <c r="FJ612" s="286"/>
      <c r="FK612" s="286"/>
      <c r="FL612" s="286"/>
      <c r="FM612" s="286"/>
      <c r="FN612" s="286"/>
      <c r="FO612" s="286"/>
      <c r="FP612" s="286"/>
      <c r="FQ612" s="286"/>
      <c r="FR612" s="286"/>
      <c r="FS612" s="286"/>
    </row>
    <row r="613" spans="1:175">
      <c r="A613" s="212" t="s">
        <v>3159</v>
      </c>
      <c r="B613" s="212" t="s">
        <v>3160</v>
      </c>
      <c r="C613" s="212" t="s">
        <v>3432</v>
      </c>
      <c r="D613" s="212" t="s">
        <v>3771</v>
      </c>
      <c r="E613" s="212" t="s">
        <v>3793</v>
      </c>
      <c r="F613" s="278">
        <v>1322</v>
      </c>
      <c r="G613" s="278">
        <v>47774</v>
      </c>
      <c r="H613" s="287">
        <f t="shared" si="9"/>
        <v>4.2303344915644487</v>
      </c>
      <c r="I613" s="286">
        <v>52</v>
      </c>
      <c r="J613" s="286">
        <v>2021</v>
      </c>
      <c r="K613" s="286">
        <v>593</v>
      </c>
      <c r="L613" s="286">
        <v>1428</v>
      </c>
      <c r="M613" s="286">
        <v>1486</v>
      </c>
      <c r="N613" s="286">
        <v>442</v>
      </c>
      <c r="O613" s="286">
        <v>1044</v>
      </c>
      <c r="P613" s="286">
        <v>52</v>
      </c>
      <c r="Q613" s="286">
        <v>2021</v>
      </c>
      <c r="R613" s="286">
        <v>593</v>
      </c>
      <c r="S613" s="286">
        <v>1428</v>
      </c>
      <c r="T613" s="286">
        <v>1486</v>
      </c>
      <c r="U613" s="286">
        <v>442</v>
      </c>
      <c r="V613" s="286">
        <v>1044</v>
      </c>
      <c r="W613" s="286"/>
      <c r="X613" s="286"/>
      <c r="Y613" s="286"/>
      <c r="Z613" s="286"/>
      <c r="AA613" s="286"/>
      <c r="AB613" s="286"/>
      <c r="AC613" s="286"/>
      <c r="AD613" s="286"/>
      <c r="AE613" s="286"/>
      <c r="AF613" s="286"/>
      <c r="AG613" s="286"/>
      <c r="AH613" s="286"/>
      <c r="AI613" s="286"/>
      <c r="AJ613" s="286"/>
      <c r="AK613" s="286"/>
      <c r="AL613" s="286"/>
      <c r="AM613" s="286"/>
      <c r="AN613" s="286"/>
      <c r="AO613" s="286"/>
      <c r="AP613" s="286"/>
      <c r="AQ613" s="286"/>
      <c r="AR613" s="286"/>
      <c r="AS613" s="286"/>
      <c r="AT613" s="286"/>
      <c r="AU613" s="286"/>
      <c r="AV613" s="286"/>
      <c r="AW613" s="286"/>
      <c r="AX613" s="286"/>
      <c r="AY613" s="286"/>
      <c r="AZ613" s="286"/>
      <c r="BA613" s="286"/>
      <c r="BB613" s="286"/>
      <c r="BC613" s="286"/>
      <c r="BD613" s="286"/>
      <c r="BE613" s="286"/>
      <c r="BF613" s="286"/>
      <c r="BG613" s="286"/>
      <c r="BH613" s="286"/>
      <c r="BI613" s="286"/>
      <c r="BJ613" s="286"/>
      <c r="BK613" s="286"/>
      <c r="BL613" s="286"/>
      <c r="BM613" s="286"/>
      <c r="BN613" s="286"/>
      <c r="BO613" s="286"/>
      <c r="BP613" s="286"/>
      <c r="BQ613" s="286"/>
      <c r="BR613" s="286"/>
      <c r="BS613" s="286"/>
      <c r="BT613" s="286"/>
      <c r="BU613" s="286"/>
      <c r="BV613" s="286"/>
      <c r="BW613" s="286"/>
      <c r="BX613" s="286"/>
      <c r="BY613" s="286"/>
      <c r="BZ613" s="286"/>
      <c r="CA613" s="286"/>
      <c r="CB613" s="286"/>
      <c r="CC613" s="286"/>
      <c r="CD613" s="286"/>
      <c r="CE613" s="286"/>
      <c r="CF613" s="286"/>
      <c r="CG613" s="286"/>
      <c r="CH613" s="286"/>
      <c r="CI613" s="286"/>
      <c r="CJ613" s="286"/>
      <c r="CK613" s="286"/>
      <c r="CL613" s="286"/>
      <c r="CM613" s="286"/>
      <c r="CN613" s="286"/>
      <c r="CO613" s="286"/>
      <c r="CP613" s="286"/>
      <c r="CQ613" s="286"/>
      <c r="CR613" s="286"/>
      <c r="CS613" s="286"/>
      <c r="CT613" s="286"/>
      <c r="CU613" s="286"/>
      <c r="CV613" s="286"/>
      <c r="CW613" s="286"/>
      <c r="CX613" s="286"/>
      <c r="CY613" s="286"/>
      <c r="CZ613" s="286"/>
      <c r="DA613" s="286"/>
      <c r="DB613" s="286"/>
      <c r="DC613" s="286"/>
      <c r="DD613" s="286"/>
      <c r="DE613" s="286"/>
      <c r="DF613" s="286"/>
      <c r="DG613" s="286"/>
      <c r="DH613" s="286"/>
      <c r="DI613" s="286"/>
      <c r="DJ613" s="286"/>
      <c r="DK613" s="286"/>
      <c r="DL613" s="286"/>
      <c r="DM613" s="286"/>
      <c r="DN613" s="286"/>
      <c r="DO613" s="286"/>
      <c r="DP613" s="286"/>
      <c r="DQ613" s="286"/>
      <c r="DR613" s="286"/>
      <c r="DS613" s="286"/>
      <c r="DT613" s="286"/>
      <c r="DU613" s="286"/>
      <c r="DV613" s="286"/>
      <c r="DW613" s="286"/>
      <c r="DX613" s="286"/>
      <c r="DY613" s="286"/>
      <c r="DZ613" s="286"/>
      <c r="EA613" s="286"/>
      <c r="EB613" s="286"/>
      <c r="EC613" s="286"/>
      <c r="ED613" s="286"/>
      <c r="EE613" s="286"/>
      <c r="EF613" s="286"/>
      <c r="EG613" s="286"/>
      <c r="EH613" s="286"/>
      <c r="EI613" s="286"/>
      <c r="EJ613" s="286"/>
      <c r="EK613" s="286"/>
      <c r="EL613" s="286"/>
      <c r="EM613" s="286"/>
      <c r="EN613" s="286"/>
      <c r="EO613" s="286"/>
      <c r="EP613" s="286"/>
      <c r="EQ613" s="286"/>
      <c r="ER613" s="286"/>
      <c r="ES613" s="286"/>
      <c r="ET613" s="286"/>
      <c r="EU613" s="286"/>
      <c r="EV613" s="286"/>
      <c r="EW613" s="286"/>
      <c r="EX613" s="286"/>
      <c r="EY613" s="286"/>
      <c r="EZ613" s="286"/>
      <c r="FA613" s="286"/>
      <c r="FB613" s="286"/>
      <c r="FC613" s="286"/>
      <c r="FD613" s="286"/>
      <c r="FE613" s="286"/>
      <c r="FF613" s="286"/>
      <c r="FG613" s="286"/>
      <c r="FH613" s="286"/>
      <c r="FI613" s="286"/>
      <c r="FJ613" s="286"/>
      <c r="FK613" s="286"/>
      <c r="FL613" s="286"/>
      <c r="FM613" s="286"/>
      <c r="FN613" s="286"/>
      <c r="FO613" s="286"/>
      <c r="FP613" s="286"/>
      <c r="FQ613" s="286"/>
      <c r="FR613" s="286"/>
      <c r="FS613" s="286"/>
    </row>
    <row r="614" spans="1:175">
      <c r="A614" s="212" t="s">
        <v>3159</v>
      </c>
      <c r="B614" s="212" t="s">
        <v>3160</v>
      </c>
      <c r="C614" s="212" t="s">
        <v>3432</v>
      </c>
      <c r="D614" s="212" t="s">
        <v>3771</v>
      </c>
      <c r="E614" s="212" t="s">
        <v>3794</v>
      </c>
      <c r="F614" s="278">
        <v>823</v>
      </c>
      <c r="G614" s="278">
        <v>9743</v>
      </c>
      <c r="H614" s="287">
        <f t="shared" si="9"/>
        <v>2.1348660576824385</v>
      </c>
      <c r="I614" s="286">
        <v>31</v>
      </c>
      <c r="J614" s="286">
        <v>208</v>
      </c>
      <c r="K614" s="286">
        <v>58</v>
      </c>
      <c r="L614" s="286">
        <v>150</v>
      </c>
      <c r="M614" s="286">
        <v>196</v>
      </c>
      <c r="N614" s="286">
        <v>48</v>
      </c>
      <c r="O614" s="286">
        <v>148</v>
      </c>
      <c r="P614" s="286">
        <v>31</v>
      </c>
      <c r="Q614" s="286">
        <v>208</v>
      </c>
      <c r="R614" s="286">
        <v>58</v>
      </c>
      <c r="S614" s="286">
        <v>150</v>
      </c>
      <c r="T614" s="286">
        <v>196</v>
      </c>
      <c r="U614" s="286">
        <v>48</v>
      </c>
      <c r="V614" s="286">
        <v>148</v>
      </c>
      <c r="W614" s="286"/>
      <c r="X614" s="286"/>
      <c r="Y614" s="286"/>
      <c r="Z614" s="286"/>
      <c r="AA614" s="286"/>
      <c r="AB614" s="286"/>
      <c r="AC614" s="286"/>
      <c r="AD614" s="286"/>
      <c r="AE614" s="286"/>
      <c r="AF614" s="286"/>
      <c r="AG614" s="286"/>
      <c r="AH614" s="286"/>
      <c r="AI614" s="286"/>
      <c r="AJ614" s="286"/>
      <c r="AK614" s="286"/>
      <c r="AL614" s="286"/>
      <c r="AM614" s="286"/>
      <c r="AN614" s="286"/>
      <c r="AO614" s="286"/>
      <c r="AP614" s="286"/>
      <c r="AQ614" s="286"/>
      <c r="AR614" s="286"/>
      <c r="AS614" s="286"/>
      <c r="AT614" s="286"/>
      <c r="AU614" s="286"/>
      <c r="AV614" s="286"/>
      <c r="AW614" s="286"/>
      <c r="AX614" s="286"/>
      <c r="AY614" s="286"/>
      <c r="AZ614" s="286"/>
      <c r="BA614" s="286"/>
      <c r="BB614" s="286"/>
      <c r="BC614" s="286"/>
      <c r="BD614" s="286"/>
      <c r="BE614" s="286"/>
      <c r="BF614" s="286"/>
      <c r="BG614" s="286"/>
      <c r="BH614" s="286"/>
      <c r="BI614" s="286"/>
      <c r="BJ614" s="286"/>
      <c r="BK614" s="286"/>
      <c r="BL614" s="286"/>
      <c r="BM614" s="286"/>
      <c r="BN614" s="286"/>
      <c r="BO614" s="286"/>
      <c r="BP614" s="286"/>
      <c r="BQ614" s="286"/>
      <c r="BR614" s="286"/>
      <c r="BS614" s="286"/>
      <c r="BT614" s="286"/>
      <c r="BU614" s="286"/>
      <c r="BV614" s="286"/>
      <c r="BW614" s="286"/>
      <c r="BX614" s="286"/>
      <c r="BY614" s="286"/>
      <c r="BZ614" s="286"/>
      <c r="CA614" s="286"/>
      <c r="CB614" s="286"/>
      <c r="CC614" s="286"/>
      <c r="CD614" s="286"/>
      <c r="CE614" s="286"/>
      <c r="CF614" s="286"/>
      <c r="CG614" s="286"/>
      <c r="CH614" s="286"/>
      <c r="CI614" s="286"/>
      <c r="CJ614" s="286"/>
      <c r="CK614" s="286"/>
      <c r="CL614" s="286"/>
      <c r="CM614" s="286"/>
      <c r="CN614" s="286"/>
      <c r="CO614" s="286"/>
      <c r="CP614" s="286"/>
      <c r="CQ614" s="286"/>
      <c r="CR614" s="286"/>
      <c r="CS614" s="286"/>
      <c r="CT614" s="286"/>
      <c r="CU614" s="286"/>
      <c r="CV614" s="286"/>
      <c r="CW614" s="286"/>
      <c r="CX614" s="286"/>
      <c r="CY614" s="286"/>
      <c r="CZ614" s="286"/>
      <c r="DA614" s="286"/>
      <c r="DB614" s="286"/>
      <c r="DC614" s="286"/>
      <c r="DD614" s="286"/>
      <c r="DE614" s="286"/>
      <c r="DF614" s="286"/>
      <c r="DG614" s="286"/>
      <c r="DH614" s="286"/>
      <c r="DI614" s="286"/>
      <c r="DJ614" s="286"/>
      <c r="DK614" s="286"/>
      <c r="DL614" s="286"/>
      <c r="DM614" s="286"/>
      <c r="DN614" s="286"/>
      <c r="DO614" s="286"/>
      <c r="DP614" s="286"/>
      <c r="DQ614" s="286"/>
      <c r="DR614" s="286"/>
      <c r="DS614" s="286"/>
      <c r="DT614" s="286"/>
      <c r="DU614" s="286"/>
      <c r="DV614" s="286"/>
      <c r="DW614" s="286"/>
      <c r="DX614" s="286"/>
      <c r="DY614" s="286"/>
      <c r="DZ614" s="286"/>
      <c r="EA614" s="286"/>
      <c r="EB614" s="286"/>
      <c r="EC614" s="286"/>
      <c r="ED614" s="286"/>
      <c r="EE614" s="286"/>
      <c r="EF614" s="286"/>
      <c r="EG614" s="286"/>
      <c r="EH614" s="286"/>
      <c r="EI614" s="286"/>
      <c r="EJ614" s="286"/>
      <c r="EK614" s="286"/>
      <c r="EL614" s="286"/>
      <c r="EM614" s="286"/>
      <c r="EN614" s="286"/>
      <c r="EO614" s="286"/>
      <c r="EP614" s="286"/>
      <c r="EQ614" s="286"/>
      <c r="ER614" s="286"/>
      <c r="ES614" s="286"/>
      <c r="ET614" s="286"/>
      <c r="EU614" s="286"/>
      <c r="EV614" s="286"/>
      <c r="EW614" s="286"/>
      <c r="EX614" s="286"/>
      <c r="EY614" s="286"/>
      <c r="EZ614" s="286"/>
      <c r="FA614" s="286"/>
      <c r="FB614" s="286"/>
      <c r="FC614" s="286"/>
      <c r="FD614" s="286"/>
      <c r="FE614" s="286"/>
      <c r="FF614" s="286"/>
      <c r="FG614" s="286"/>
      <c r="FH614" s="286"/>
      <c r="FI614" s="286"/>
      <c r="FJ614" s="286"/>
      <c r="FK614" s="286"/>
      <c r="FL614" s="286"/>
      <c r="FM614" s="286"/>
      <c r="FN614" s="286"/>
      <c r="FO614" s="286"/>
      <c r="FP614" s="286"/>
      <c r="FQ614" s="286"/>
      <c r="FR614" s="286"/>
      <c r="FS614" s="286"/>
    </row>
    <row r="615" spans="1:175">
      <c r="A615" s="212" t="s">
        <v>3159</v>
      </c>
      <c r="B615" s="212" t="s">
        <v>3160</v>
      </c>
      <c r="C615" s="212" t="s">
        <v>3172</v>
      </c>
      <c r="D615" s="212" t="s">
        <v>3771</v>
      </c>
      <c r="E615" s="212" t="s">
        <v>3795</v>
      </c>
      <c r="F615" s="278">
        <v>26108</v>
      </c>
      <c r="G615" s="278">
        <v>123217</v>
      </c>
      <c r="H615" s="287">
        <f t="shared" si="9"/>
        <v>3.1992338719494877</v>
      </c>
      <c r="I615" s="286">
        <v>1095</v>
      </c>
      <c r="J615" s="286">
        <v>3942</v>
      </c>
      <c r="K615" s="286">
        <v>1232</v>
      </c>
      <c r="L615" s="286">
        <v>2704</v>
      </c>
      <c r="M615" s="286">
        <v>2885</v>
      </c>
      <c r="N615" s="286">
        <v>787</v>
      </c>
      <c r="O615" s="286">
        <v>2092</v>
      </c>
      <c r="P615" s="286">
        <v>1090</v>
      </c>
      <c r="Q615" s="286">
        <v>3927</v>
      </c>
      <c r="R615" s="286">
        <v>1232</v>
      </c>
      <c r="S615" s="286">
        <v>2689</v>
      </c>
      <c r="T615" s="286">
        <v>2870</v>
      </c>
      <c r="U615" s="286">
        <v>787</v>
      </c>
      <c r="V615" s="286">
        <v>2077</v>
      </c>
      <c r="W615" s="286"/>
      <c r="X615" s="286"/>
      <c r="Y615" s="286"/>
      <c r="Z615" s="286"/>
      <c r="AA615" s="286"/>
      <c r="AB615" s="286"/>
      <c r="AC615" s="286"/>
      <c r="AD615" s="286"/>
      <c r="AE615" s="286"/>
      <c r="AF615" s="286"/>
      <c r="AG615" s="286"/>
      <c r="AH615" s="286"/>
      <c r="AI615" s="286"/>
      <c r="AJ615" s="286"/>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286"/>
      <c r="BH615" s="286"/>
      <c r="BI615" s="286"/>
      <c r="BJ615" s="286"/>
      <c r="BK615" s="286"/>
      <c r="BL615" s="286"/>
      <c r="BM615" s="286"/>
      <c r="BN615" s="286"/>
      <c r="BO615" s="286"/>
      <c r="BP615" s="286"/>
      <c r="BQ615" s="286"/>
      <c r="BR615" s="286"/>
      <c r="BS615" s="286"/>
      <c r="BT615" s="286"/>
      <c r="BU615" s="286"/>
      <c r="BV615" s="286"/>
      <c r="BW615" s="286"/>
      <c r="BX615" s="286"/>
      <c r="BY615" s="286"/>
      <c r="BZ615" s="286"/>
      <c r="CA615" s="286"/>
      <c r="CB615" s="286"/>
      <c r="CC615" s="286"/>
      <c r="CD615" s="286"/>
      <c r="CE615" s="286"/>
      <c r="CF615" s="286"/>
      <c r="CG615" s="286"/>
      <c r="CH615" s="286"/>
      <c r="CI615" s="286"/>
      <c r="CJ615" s="286"/>
      <c r="CK615" s="286"/>
      <c r="CL615" s="286"/>
      <c r="CM615" s="286"/>
      <c r="CN615" s="286"/>
      <c r="CO615" s="286"/>
      <c r="CP615" s="286"/>
      <c r="CQ615" s="286"/>
      <c r="CR615" s="286"/>
      <c r="CS615" s="286"/>
      <c r="CT615" s="286"/>
      <c r="CU615" s="286"/>
      <c r="CV615" s="286"/>
      <c r="CW615" s="286"/>
      <c r="CX615" s="286"/>
      <c r="CY615" s="286"/>
      <c r="CZ615" s="286"/>
      <c r="DA615" s="286"/>
      <c r="DB615" s="286"/>
      <c r="DC615" s="286"/>
      <c r="DD615" s="286"/>
      <c r="DE615" s="286"/>
      <c r="DF615" s="286"/>
      <c r="DG615" s="286"/>
      <c r="DH615" s="286"/>
      <c r="DI615" s="286"/>
      <c r="DJ615" s="286"/>
      <c r="DK615" s="286"/>
      <c r="DL615" s="286"/>
      <c r="DM615" s="286"/>
      <c r="DN615" s="286"/>
      <c r="DO615" s="286"/>
      <c r="DP615" s="286"/>
      <c r="DQ615" s="286"/>
      <c r="DR615" s="286"/>
      <c r="DS615" s="286"/>
      <c r="DT615" s="286"/>
      <c r="DU615" s="286"/>
      <c r="DV615" s="286"/>
      <c r="DW615" s="286"/>
      <c r="DX615" s="286"/>
      <c r="DY615" s="286"/>
      <c r="DZ615" s="286"/>
      <c r="EA615" s="286"/>
      <c r="EB615" s="286"/>
      <c r="EC615" s="286"/>
      <c r="ED615" s="286"/>
      <c r="EE615" s="286"/>
      <c r="EF615" s="286"/>
      <c r="EG615" s="286"/>
      <c r="EH615" s="286"/>
      <c r="EI615" s="286"/>
      <c r="EJ615" s="286"/>
      <c r="EK615" s="286"/>
      <c r="EL615" s="286"/>
      <c r="EM615" s="286"/>
      <c r="EN615" s="286"/>
      <c r="EO615" s="286"/>
      <c r="EP615" s="286"/>
      <c r="EQ615" s="286"/>
      <c r="ER615" s="286"/>
      <c r="ES615" s="286"/>
      <c r="ET615" s="286"/>
      <c r="EU615" s="286"/>
      <c r="EV615" s="286"/>
      <c r="EW615" s="286"/>
      <c r="EX615" s="286"/>
      <c r="EY615" s="286"/>
      <c r="EZ615" s="286"/>
      <c r="FA615" s="286"/>
      <c r="FB615" s="286"/>
      <c r="FC615" s="286"/>
      <c r="FD615" s="286"/>
      <c r="FE615" s="286"/>
      <c r="FF615" s="286"/>
      <c r="FG615" s="286"/>
      <c r="FH615" s="286"/>
      <c r="FI615" s="286"/>
      <c r="FJ615" s="286"/>
      <c r="FK615" s="286"/>
      <c r="FL615" s="286"/>
      <c r="FM615" s="286"/>
      <c r="FN615" s="286"/>
      <c r="FO615" s="286"/>
      <c r="FP615" s="286"/>
      <c r="FQ615" s="286"/>
      <c r="FR615" s="286"/>
      <c r="FS615" s="286"/>
    </row>
    <row r="616" spans="1:175">
      <c r="A616" s="212" t="s">
        <v>3159</v>
      </c>
      <c r="B616" s="212" t="s">
        <v>3160</v>
      </c>
      <c r="C616" s="212" t="s">
        <v>3432</v>
      </c>
      <c r="D616" s="212" t="s">
        <v>3771</v>
      </c>
      <c r="E616" s="212" t="s">
        <v>3796</v>
      </c>
      <c r="F616" s="278">
        <v>2130</v>
      </c>
      <c r="G616" s="278">
        <v>8312</v>
      </c>
      <c r="H616" s="287">
        <f t="shared" si="9"/>
        <v>4.4393647738209818</v>
      </c>
      <c r="I616" s="286">
        <v>65</v>
      </c>
      <c r="J616" s="286">
        <v>369</v>
      </c>
      <c r="K616" s="286">
        <v>199</v>
      </c>
      <c r="L616" s="286">
        <v>166</v>
      </c>
      <c r="M616" s="286">
        <v>297</v>
      </c>
      <c r="N616" s="286">
        <v>150</v>
      </c>
      <c r="O616" s="286">
        <v>143</v>
      </c>
      <c r="P616" s="286">
        <v>65</v>
      </c>
      <c r="Q616" s="286">
        <v>369</v>
      </c>
      <c r="R616" s="286">
        <v>199</v>
      </c>
      <c r="S616" s="286">
        <v>166</v>
      </c>
      <c r="T616" s="286">
        <v>297</v>
      </c>
      <c r="U616" s="286">
        <v>150</v>
      </c>
      <c r="V616" s="286">
        <v>143</v>
      </c>
      <c r="W616" s="286"/>
      <c r="X616" s="286"/>
      <c r="Y616" s="286"/>
      <c r="Z616" s="286"/>
      <c r="AA616" s="286"/>
      <c r="AB616" s="286"/>
      <c r="AC616" s="286"/>
      <c r="AD616" s="286"/>
      <c r="AE616" s="286"/>
      <c r="AF616" s="286"/>
      <c r="AG616" s="286"/>
      <c r="AH616" s="286"/>
      <c r="AI616" s="286"/>
      <c r="AJ616" s="286"/>
      <c r="AK616" s="286"/>
      <c r="AL616" s="286"/>
      <c r="AM616" s="286"/>
      <c r="AN616" s="286"/>
      <c r="AO616" s="286"/>
      <c r="AP616" s="286"/>
      <c r="AQ616" s="286"/>
      <c r="AR616" s="286"/>
      <c r="AS616" s="286"/>
      <c r="AT616" s="286"/>
      <c r="AU616" s="286"/>
      <c r="AV616" s="286"/>
      <c r="AW616" s="286"/>
      <c r="AX616" s="286"/>
      <c r="AY616" s="286"/>
      <c r="AZ616" s="286"/>
      <c r="BA616" s="286"/>
      <c r="BB616" s="286"/>
      <c r="BC616" s="286"/>
      <c r="BD616" s="286"/>
      <c r="BE616" s="286"/>
      <c r="BF616" s="286"/>
      <c r="BG616" s="286"/>
      <c r="BH616" s="286"/>
      <c r="BI616" s="286"/>
      <c r="BJ616" s="286"/>
      <c r="BK616" s="286"/>
      <c r="BL616" s="286"/>
      <c r="BM616" s="286"/>
      <c r="BN616" s="286"/>
      <c r="BO616" s="286"/>
      <c r="BP616" s="286"/>
      <c r="BQ616" s="286"/>
      <c r="BR616" s="286"/>
      <c r="BS616" s="286"/>
      <c r="BT616" s="286"/>
      <c r="BU616" s="286"/>
      <c r="BV616" s="286"/>
      <c r="BW616" s="286"/>
      <c r="BX616" s="286"/>
      <c r="BY616" s="286"/>
      <c r="BZ616" s="286"/>
      <c r="CA616" s="286"/>
      <c r="CB616" s="286"/>
      <c r="CC616" s="286"/>
      <c r="CD616" s="286"/>
      <c r="CE616" s="286"/>
      <c r="CF616" s="286"/>
      <c r="CG616" s="286"/>
      <c r="CH616" s="286"/>
      <c r="CI616" s="286"/>
      <c r="CJ616" s="286"/>
      <c r="CK616" s="286"/>
      <c r="CL616" s="286"/>
      <c r="CM616" s="286"/>
      <c r="CN616" s="286"/>
      <c r="CO616" s="286"/>
      <c r="CP616" s="286"/>
      <c r="CQ616" s="286"/>
      <c r="CR616" s="286"/>
      <c r="CS616" s="286"/>
      <c r="CT616" s="286"/>
      <c r="CU616" s="286"/>
      <c r="CV616" s="286"/>
      <c r="CW616" s="286"/>
      <c r="CX616" s="286"/>
      <c r="CY616" s="286"/>
      <c r="CZ616" s="286"/>
      <c r="DA616" s="286"/>
      <c r="DB616" s="286"/>
      <c r="DC616" s="286"/>
      <c r="DD616" s="286"/>
      <c r="DE616" s="286"/>
      <c r="DF616" s="286"/>
      <c r="DG616" s="286"/>
      <c r="DH616" s="286"/>
      <c r="DI616" s="286"/>
      <c r="DJ616" s="286"/>
      <c r="DK616" s="286"/>
      <c r="DL616" s="286"/>
      <c r="DM616" s="286"/>
      <c r="DN616" s="286"/>
      <c r="DO616" s="286"/>
      <c r="DP616" s="286"/>
      <c r="DQ616" s="286"/>
      <c r="DR616" s="286"/>
      <c r="DS616" s="286"/>
      <c r="DT616" s="286"/>
      <c r="DU616" s="286"/>
      <c r="DV616" s="286"/>
      <c r="DW616" s="286"/>
      <c r="DX616" s="286"/>
      <c r="DY616" s="286"/>
      <c r="DZ616" s="286"/>
      <c r="EA616" s="286"/>
      <c r="EB616" s="286"/>
      <c r="EC616" s="286"/>
      <c r="ED616" s="286"/>
      <c r="EE616" s="286"/>
      <c r="EF616" s="286"/>
      <c r="EG616" s="286"/>
      <c r="EH616" s="286"/>
      <c r="EI616" s="286"/>
      <c r="EJ616" s="286"/>
      <c r="EK616" s="286"/>
      <c r="EL616" s="286"/>
      <c r="EM616" s="286"/>
      <c r="EN616" s="286"/>
      <c r="EO616" s="286"/>
      <c r="EP616" s="286"/>
      <c r="EQ616" s="286"/>
      <c r="ER616" s="286"/>
      <c r="ES616" s="286"/>
      <c r="ET616" s="286"/>
      <c r="EU616" s="286"/>
      <c r="EV616" s="286"/>
      <c r="EW616" s="286"/>
      <c r="EX616" s="286"/>
      <c r="EY616" s="286"/>
      <c r="EZ616" s="286"/>
      <c r="FA616" s="286"/>
      <c r="FB616" s="286"/>
      <c r="FC616" s="286"/>
      <c r="FD616" s="286"/>
      <c r="FE616" s="286"/>
      <c r="FF616" s="286"/>
      <c r="FG616" s="286"/>
      <c r="FH616" s="286"/>
      <c r="FI616" s="286"/>
      <c r="FJ616" s="286"/>
      <c r="FK616" s="286"/>
      <c r="FL616" s="286"/>
      <c r="FM616" s="286"/>
      <c r="FN616" s="286"/>
      <c r="FO616" s="286"/>
      <c r="FP616" s="286"/>
      <c r="FQ616" s="286"/>
      <c r="FR616" s="286"/>
      <c r="FS616" s="286"/>
    </row>
    <row r="617" spans="1:175">
      <c r="A617" s="212" t="s">
        <v>3159</v>
      </c>
      <c r="B617" s="212" t="s">
        <v>3160</v>
      </c>
      <c r="C617" s="212" t="s">
        <v>3432</v>
      </c>
      <c r="D617" s="212" t="s">
        <v>3771</v>
      </c>
      <c r="E617" s="212" t="s">
        <v>3797</v>
      </c>
      <c r="F617" s="278">
        <v>23978</v>
      </c>
      <c r="G617" s="278">
        <v>114905</v>
      </c>
      <c r="H617" s="287">
        <f t="shared" si="9"/>
        <v>3.109525259997389</v>
      </c>
      <c r="I617" s="286">
        <v>1030</v>
      </c>
      <c r="J617" s="286">
        <v>3573</v>
      </c>
      <c r="K617" s="286">
        <v>1033</v>
      </c>
      <c r="L617" s="286">
        <v>2538</v>
      </c>
      <c r="M617" s="286">
        <v>2588</v>
      </c>
      <c r="N617" s="286">
        <v>637</v>
      </c>
      <c r="O617" s="286">
        <v>1949</v>
      </c>
      <c r="P617" s="286">
        <v>1025</v>
      </c>
      <c r="Q617" s="286">
        <v>3558</v>
      </c>
      <c r="R617" s="286">
        <v>1033</v>
      </c>
      <c r="S617" s="286">
        <v>2523</v>
      </c>
      <c r="T617" s="286">
        <v>2573</v>
      </c>
      <c r="U617" s="286">
        <v>637</v>
      </c>
      <c r="V617" s="286">
        <v>1934</v>
      </c>
      <c r="W617" s="286"/>
      <c r="X617" s="286"/>
      <c r="Y617" s="286"/>
      <c r="Z617" s="286"/>
      <c r="AA617" s="286"/>
      <c r="AB617" s="286"/>
      <c r="AC617" s="286"/>
      <c r="AD617" s="286"/>
      <c r="AE617" s="286"/>
      <c r="AF617" s="286"/>
      <c r="AG617" s="286"/>
      <c r="AH617" s="286"/>
      <c r="AI617" s="286"/>
      <c r="AJ617" s="286"/>
      <c r="AK617" s="286"/>
      <c r="AL617" s="286"/>
      <c r="AM617" s="286"/>
      <c r="AN617" s="286"/>
      <c r="AO617" s="286"/>
      <c r="AP617" s="286"/>
      <c r="AQ617" s="286"/>
      <c r="AR617" s="286"/>
      <c r="AS617" s="286"/>
      <c r="AT617" s="286"/>
      <c r="AU617" s="286"/>
      <c r="AV617" s="286"/>
      <c r="AW617" s="286"/>
      <c r="AX617" s="286"/>
      <c r="AY617" s="286"/>
      <c r="AZ617" s="286"/>
      <c r="BA617" s="286"/>
      <c r="BB617" s="286"/>
      <c r="BC617" s="286"/>
      <c r="BD617" s="286"/>
      <c r="BE617" s="286"/>
      <c r="BF617" s="286"/>
      <c r="BG617" s="286"/>
      <c r="BH617" s="286"/>
      <c r="BI617" s="286"/>
      <c r="BJ617" s="286"/>
      <c r="BK617" s="286"/>
      <c r="BL617" s="286"/>
      <c r="BM617" s="286"/>
      <c r="BN617" s="286"/>
      <c r="BO617" s="286"/>
      <c r="BP617" s="286"/>
      <c r="BQ617" s="286"/>
      <c r="BR617" s="286"/>
      <c r="BS617" s="286"/>
      <c r="BT617" s="286"/>
      <c r="BU617" s="286"/>
      <c r="BV617" s="286"/>
      <c r="BW617" s="286"/>
      <c r="BX617" s="286"/>
      <c r="BY617" s="286"/>
      <c r="BZ617" s="286"/>
      <c r="CA617" s="286"/>
      <c r="CB617" s="286"/>
      <c r="CC617" s="286"/>
      <c r="CD617" s="286"/>
      <c r="CE617" s="286"/>
      <c r="CF617" s="286"/>
      <c r="CG617" s="286"/>
      <c r="CH617" s="286"/>
      <c r="CI617" s="286"/>
      <c r="CJ617" s="286"/>
      <c r="CK617" s="286"/>
      <c r="CL617" s="286"/>
      <c r="CM617" s="286"/>
      <c r="CN617" s="286"/>
      <c r="CO617" s="286"/>
      <c r="CP617" s="286"/>
      <c r="CQ617" s="286"/>
      <c r="CR617" s="286"/>
      <c r="CS617" s="286"/>
      <c r="CT617" s="286"/>
      <c r="CU617" s="286"/>
      <c r="CV617" s="286"/>
      <c r="CW617" s="286"/>
      <c r="CX617" s="286"/>
      <c r="CY617" s="286"/>
      <c r="CZ617" s="286"/>
      <c r="DA617" s="286"/>
      <c r="DB617" s="286"/>
      <c r="DC617" s="286"/>
      <c r="DD617" s="286"/>
      <c r="DE617" s="286"/>
      <c r="DF617" s="286"/>
      <c r="DG617" s="286"/>
      <c r="DH617" s="286"/>
      <c r="DI617" s="286"/>
      <c r="DJ617" s="286"/>
      <c r="DK617" s="286"/>
      <c r="DL617" s="286"/>
      <c r="DM617" s="286"/>
      <c r="DN617" s="286"/>
      <c r="DO617" s="286"/>
      <c r="DP617" s="286"/>
      <c r="DQ617" s="286"/>
      <c r="DR617" s="286"/>
      <c r="DS617" s="286"/>
      <c r="DT617" s="286"/>
      <c r="DU617" s="286"/>
      <c r="DV617" s="286"/>
      <c r="DW617" s="286"/>
      <c r="DX617" s="286"/>
      <c r="DY617" s="286"/>
      <c r="DZ617" s="286"/>
      <c r="EA617" s="286"/>
      <c r="EB617" s="286"/>
      <c r="EC617" s="286"/>
      <c r="ED617" s="286"/>
      <c r="EE617" s="286"/>
      <c r="EF617" s="286"/>
      <c r="EG617" s="286"/>
      <c r="EH617" s="286"/>
      <c r="EI617" s="286"/>
      <c r="EJ617" s="286"/>
      <c r="EK617" s="286"/>
      <c r="EL617" s="286"/>
      <c r="EM617" s="286"/>
      <c r="EN617" s="286"/>
      <c r="EO617" s="286"/>
      <c r="EP617" s="286"/>
      <c r="EQ617" s="286"/>
      <c r="ER617" s="286"/>
      <c r="ES617" s="286"/>
      <c r="ET617" s="286"/>
      <c r="EU617" s="286"/>
      <c r="EV617" s="286"/>
      <c r="EW617" s="286"/>
      <c r="EX617" s="286"/>
      <c r="EY617" s="286"/>
      <c r="EZ617" s="286"/>
      <c r="FA617" s="286"/>
      <c r="FB617" s="286"/>
      <c r="FC617" s="286"/>
      <c r="FD617" s="286"/>
      <c r="FE617" s="286"/>
      <c r="FF617" s="286"/>
      <c r="FG617" s="286"/>
      <c r="FH617" s="286"/>
      <c r="FI617" s="286"/>
      <c r="FJ617" s="286"/>
      <c r="FK617" s="286"/>
      <c r="FL617" s="286"/>
      <c r="FM617" s="286"/>
      <c r="FN617" s="286"/>
      <c r="FO617" s="286"/>
      <c r="FP617" s="286"/>
      <c r="FQ617" s="286"/>
      <c r="FR617" s="286"/>
      <c r="FS617" s="286"/>
    </row>
    <row r="618" spans="1:175">
      <c r="A618" s="212" t="s">
        <v>3159</v>
      </c>
      <c r="B618" s="212" t="s">
        <v>3160</v>
      </c>
      <c r="C618" s="212" t="s">
        <v>3170</v>
      </c>
      <c r="D618" s="212" t="s">
        <v>3771</v>
      </c>
      <c r="E618" s="212" t="s">
        <v>3798</v>
      </c>
      <c r="F618" s="278">
        <v>55209</v>
      </c>
      <c r="G618" s="278">
        <v>792359</v>
      </c>
      <c r="H618" s="287">
        <f t="shared" si="9"/>
        <v>4.1235096717523243</v>
      </c>
      <c r="I618" s="286">
        <v>2095</v>
      </c>
      <c r="J618" s="286">
        <v>32673</v>
      </c>
      <c r="K618" s="286">
        <v>16614</v>
      </c>
      <c r="L618" s="286">
        <v>16056</v>
      </c>
      <c r="M618" s="286">
        <v>29119</v>
      </c>
      <c r="N618" s="286">
        <v>14570</v>
      </c>
      <c r="O618" s="286">
        <v>14546</v>
      </c>
      <c r="P618" s="286">
        <v>2020</v>
      </c>
      <c r="Q618" s="286">
        <v>31926</v>
      </c>
      <c r="R618" s="286">
        <v>16172</v>
      </c>
      <c r="S618" s="286">
        <v>15751</v>
      </c>
      <c r="T618" s="286">
        <v>28556</v>
      </c>
      <c r="U618" s="286">
        <v>14183</v>
      </c>
      <c r="V618" s="286">
        <v>14370</v>
      </c>
      <c r="W618" s="286"/>
      <c r="X618" s="286"/>
      <c r="Y618" s="286"/>
      <c r="Z618" s="286"/>
      <c r="AA618" s="286"/>
      <c r="AB618" s="286"/>
      <c r="AC618" s="286"/>
      <c r="AD618" s="286"/>
      <c r="AE618" s="286"/>
      <c r="AF618" s="286"/>
      <c r="AG618" s="286"/>
      <c r="AH618" s="286"/>
      <c r="AI618" s="286"/>
      <c r="AJ618" s="286"/>
      <c r="AK618" s="286"/>
      <c r="AL618" s="286"/>
      <c r="AM618" s="286"/>
      <c r="AN618" s="286"/>
      <c r="AO618" s="286"/>
      <c r="AP618" s="286"/>
      <c r="AQ618" s="286"/>
      <c r="AR618" s="286"/>
      <c r="AS618" s="286"/>
      <c r="AT618" s="286"/>
      <c r="AU618" s="286"/>
      <c r="AV618" s="286"/>
      <c r="AW618" s="286"/>
      <c r="AX618" s="286"/>
      <c r="AY618" s="286"/>
      <c r="AZ618" s="286"/>
      <c r="BA618" s="286"/>
      <c r="BB618" s="286"/>
      <c r="BC618" s="286"/>
      <c r="BD618" s="286"/>
      <c r="BE618" s="286"/>
      <c r="BF618" s="286"/>
      <c r="BG618" s="286"/>
      <c r="BH618" s="286"/>
      <c r="BI618" s="286"/>
      <c r="BJ618" s="286"/>
      <c r="BK618" s="286"/>
      <c r="BL618" s="286"/>
      <c r="BM618" s="286"/>
      <c r="BN618" s="286"/>
      <c r="BO618" s="286"/>
      <c r="BP618" s="286"/>
      <c r="BQ618" s="286"/>
      <c r="BR618" s="286"/>
      <c r="BS618" s="286"/>
      <c r="BT618" s="286"/>
      <c r="BU618" s="286"/>
      <c r="BV618" s="286"/>
      <c r="BW618" s="286"/>
      <c r="BX618" s="286"/>
      <c r="BY618" s="286"/>
      <c r="BZ618" s="286"/>
      <c r="CA618" s="286"/>
      <c r="CB618" s="286"/>
      <c r="CC618" s="286"/>
      <c r="CD618" s="286"/>
      <c r="CE618" s="286"/>
      <c r="CF618" s="286"/>
      <c r="CG618" s="286"/>
      <c r="CH618" s="286"/>
      <c r="CI618" s="286"/>
      <c r="CJ618" s="286"/>
      <c r="CK618" s="286"/>
      <c r="CL618" s="286"/>
      <c r="CM618" s="286"/>
      <c r="CN618" s="286"/>
      <c r="CO618" s="286"/>
      <c r="CP618" s="286"/>
      <c r="CQ618" s="286"/>
      <c r="CR618" s="286"/>
      <c r="CS618" s="286"/>
      <c r="CT618" s="286"/>
      <c r="CU618" s="286"/>
      <c r="CV618" s="286"/>
      <c r="CW618" s="286"/>
      <c r="CX618" s="286"/>
      <c r="CY618" s="286"/>
      <c r="CZ618" s="286"/>
      <c r="DA618" s="286"/>
      <c r="DB618" s="286"/>
      <c r="DC618" s="286"/>
      <c r="DD618" s="286"/>
      <c r="DE618" s="286"/>
      <c r="DF618" s="286"/>
      <c r="DG618" s="286"/>
      <c r="DH618" s="286"/>
      <c r="DI618" s="286"/>
      <c r="DJ618" s="286"/>
      <c r="DK618" s="286"/>
      <c r="DL618" s="286"/>
      <c r="DM618" s="286"/>
      <c r="DN618" s="286"/>
      <c r="DO618" s="286"/>
      <c r="DP618" s="286"/>
      <c r="DQ618" s="286"/>
      <c r="DR618" s="286"/>
      <c r="DS618" s="286"/>
      <c r="DT618" s="286"/>
      <c r="DU618" s="286"/>
      <c r="DV618" s="286"/>
      <c r="DW618" s="286"/>
      <c r="DX618" s="286"/>
      <c r="DY618" s="286"/>
      <c r="DZ618" s="286"/>
      <c r="EA618" s="286"/>
      <c r="EB618" s="286"/>
      <c r="EC618" s="286"/>
      <c r="ED618" s="286"/>
      <c r="EE618" s="286"/>
      <c r="EF618" s="286"/>
      <c r="EG618" s="286"/>
      <c r="EH618" s="286"/>
      <c r="EI618" s="286"/>
      <c r="EJ618" s="286"/>
      <c r="EK618" s="286"/>
      <c r="EL618" s="286"/>
      <c r="EM618" s="286"/>
      <c r="EN618" s="286"/>
      <c r="EO618" s="286"/>
      <c r="EP618" s="286"/>
      <c r="EQ618" s="286"/>
      <c r="ER618" s="286"/>
      <c r="ES618" s="286"/>
      <c r="ET618" s="286"/>
      <c r="EU618" s="286"/>
      <c r="EV618" s="286"/>
      <c r="EW618" s="286"/>
      <c r="EX618" s="286"/>
      <c r="EY618" s="286"/>
      <c r="EZ618" s="286"/>
      <c r="FA618" s="286"/>
      <c r="FB618" s="286"/>
      <c r="FC618" s="286"/>
      <c r="FD618" s="286"/>
      <c r="FE618" s="286"/>
      <c r="FF618" s="286"/>
      <c r="FG618" s="286"/>
      <c r="FH618" s="286"/>
      <c r="FI618" s="286"/>
      <c r="FJ618" s="286"/>
      <c r="FK618" s="286"/>
      <c r="FL618" s="286"/>
      <c r="FM618" s="286"/>
      <c r="FN618" s="286"/>
      <c r="FO618" s="286"/>
      <c r="FP618" s="286"/>
      <c r="FQ618" s="286"/>
      <c r="FR618" s="286"/>
      <c r="FS618" s="286"/>
    </row>
    <row r="619" spans="1:175">
      <c r="A619" s="212" t="s">
        <v>3159</v>
      </c>
      <c r="B619" s="212" t="s">
        <v>3160</v>
      </c>
      <c r="C619" s="212" t="s">
        <v>3172</v>
      </c>
      <c r="D619" s="212" t="s">
        <v>3771</v>
      </c>
      <c r="E619" s="212" t="s">
        <v>3799</v>
      </c>
      <c r="F619" s="278">
        <v>743</v>
      </c>
      <c r="G619" s="278">
        <v>12247</v>
      </c>
      <c r="H619" s="287">
        <f t="shared" si="9"/>
        <v>4.3357556952723115</v>
      </c>
      <c r="I619" s="286">
        <v>29</v>
      </c>
      <c r="J619" s="286">
        <v>531</v>
      </c>
      <c r="K619" s="286">
        <v>306</v>
      </c>
      <c r="L619" s="286">
        <v>225</v>
      </c>
      <c r="M619" s="286">
        <v>483</v>
      </c>
      <c r="N619" s="286">
        <v>272</v>
      </c>
      <c r="O619" s="286">
        <v>211</v>
      </c>
      <c r="P619" s="286">
        <v>29</v>
      </c>
      <c r="Q619" s="286">
        <v>531</v>
      </c>
      <c r="R619" s="286">
        <v>306</v>
      </c>
      <c r="S619" s="286">
        <v>225</v>
      </c>
      <c r="T619" s="286">
        <v>483</v>
      </c>
      <c r="U619" s="286">
        <v>272</v>
      </c>
      <c r="V619" s="286">
        <v>211</v>
      </c>
      <c r="W619" s="286"/>
      <c r="X619" s="286"/>
      <c r="Y619" s="286"/>
      <c r="Z619" s="286"/>
      <c r="AA619" s="286"/>
      <c r="AB619" s="286"/>
      <c r="AC619" s="286"/>
      <c r="AD619" s="286"/>
      <c r="AE619" s="286"/>
      <c r="AF619" s="286"/>
      <c r="AG619" s="286"/>
      <c r="AH619" s="286"/>
      <c r="AI619" s="286"/>
      <c r="AJ619" s="286"/>
      <c r="AK619" s="286"/>
      <c r="AL619" s="286"/>
      <c r="AM619" s="286"/>
      <c r="AN619" s="286"/>
      <c r="AO619" s="286"/>
      <c r="AP619" s="286"/>
      <c r="AQ619" s="286"/>
      <c r="AR619" s="286"/>
      <c r="AS619" s="286"/>
      <c r="AT619" s="286"/>
      <c r="AU619" s="286"/>
      <c r="AV619" s="286"/>
      <c r="AW619" s="286"/>
      <c r="AX619" s="286"/>
      <c r="AY619" s="286"/>
      <c r="AZ619" s="286"/>
      <c r="BA619" s="286"/>
      <c r="BB619" s="286"/>
      <c r="BC619" s="286"/>
      <c r="BD619" s="286"/>
      <c r="BE619" s="286"/>
      <c r="BF619" s="286"/>
      <c r="BG619" s="286"/>
      <c r="BH619" s="286"/>
      <c r="BI619" s="286"/>
      <c r="BJ619" s="286"/>
      <c r="BK619" s="286"/>
      <c r="BL619" s="286"/>
      <c r="BM619" s="286"/>
      <c r="BN619" s="286"/>
      <c r="BO619" s="286"/>
      <c r="BP619" s="286"/>
      <c r="BQ619" s="286"/>
      <c r="BR619" s="286"/>
      <c r="BS619" s="286"/>
      <c r="BT619" s="286"/>
      <c r="BU619" s="286"/>
      <c r="BV619" s="286"/>
      <c r="BW619" s="286"/>
      <c r="BX619" s="286"/>
      <c r="BY619" s="286"/>
      <c r="BZ619" s="286"/>
      <c r="CA619" s="286"/>
      <c r="CB619" s="286"/>
      <c r="CC619" s="286"/>
      <c r="CD619" s="286"/>
      <c r="CE619" s="286"/>
      <c r="CF619" s="286"/>
      <c r="CG619" s="286"/>
      <c r="CH619" s="286"/>
      <c r="CI619" s="286"/>
      <c r="CJ619" s="286"/>
      <c r="CK619" s="286"/>
      <c r="CL619" s="286"/>
      <c r="CM619" s="286"/>
      <c r="CN619" s="286"/>
      <c r="CO619" s="286"/>
      <c r="CP619" s="286"/>
      <c r="CQ619" s="286"/>
      <c r="CR619" s="286"/>
      <c r="CS619" s="286"/>
      <c r="CT619" s="286"/>
      <c r="CU619" s="286"/>
      <c r="CV619" s="286"/>
      <c r="CW619" s="286"/>
      <c r="CX619" s="286"/>
      <c r="CY619" s="286"/>
      <c r="CZ619" s="286"/>
      <c r="DA619" s="286"/>
      <c r="DB619" s="286"/>
      <c r="DC619" s="286"/>
      <c r="DD619" s="286"/>
      <c r="DE619" s="286"/>
      <c r="DF619" s="286"/>
      <c r="DG619" s="286"/>
      <c r="DH619" s="286"/>
      <c r="DI619" s="286"/>
      <c r="DJ619" s="286"/>
      <c r="DK619" s="286"/>
      <c r="DL619" s="286"/>
      <c r="DM619" s="286"/>
      <c r="DN619" s="286"/>
      <c r="DO619" s="286"/>
      <c r="DP619" s="286"/>
      <c r="DQ619" s="286"/>
      <c r="DR619" s="286"/>
      <c r="DS619" s="286"/>
      <c r="DT619" s="286"/>
      <c r="DU619" s="286"/>
      <c r="DV619" s="286"/>
      <c r="DW619" s="286"/>
      <c r="DX619" s="286"/>
      <c r="DY619" s="286"/>
      <c r="DZ619" s="286"/>
      <c r="EA619" s="286"/>
      <c r="EB619" s="286"/>
      <c r="EC619" s="286"/>
      <c r="ED619" s="286"/>
      <c r="EE619" s="286"/>
      <c r="EF619" s="286"/>
      <c r="EG619" s="286"/>
      <c r="EH619" s="286"/>
      <c r="EI619" s="286"/>
      <c r="EJ619" s="286"/>
      <c r="EK619" s="286"/>
      <c r="EL619" s="286"/>
      <c r="EM619" s="286"/>
      <c r="EN619" s="286"/>
      <c r="EO619" s="286"/>
      <c r="EP619" s="286"/>
      <c r="EQ619" s="286"/>
      <c r="ER619" s="286"/>
      <c r="ES619" s="286"/>
      <c r="ET619" s="286"/>
      <c r="EU619" s="286"/>
      <c r="EV619" s="286"/>
      <c r="EW619" s="286"/>
      <c r="EX619" s="286"/>
      <c r="EY619" s="286"/>
      <c r="EZ619" s="286"/>
      <c r="FA619" s="286"/>
      <c r="FB619" s="286"/>
      <c r="FC619" s="286"/>
      <c r="FD619" s="286"/>
      <c r="FE619" s="286"/>
      <c r="FF619" s="286"/>
      <c r="FG619" s="286"/>
      <c r="FH619" s="286"/>
      <c r="FI619" s="286"/>
      <c r="FJ619" s="286"/>
      <c r="FK619" s="286"/>
      <c r="FL619" s="286"/>
      <c r="FM619" s="286"/>
      <c r="FN619" s="286"/>
      <c r="FO619" s="286"/>
      <c r="FP619" s="286"/>
      <c r="FQ619" s="286"/>
      <c r="FR619" s="286"/>
      <c r="FS619" s="286"/>
    </row>
    <row r="620" spans="1:175">
      <c r="A620" s="212" t="s">
        <v>3159</v>
      </c>
      <c r="B620" s="212" t="s">
        <v>3160</v>
      </c>
      <c r="C620" s="212" t="s">
        <v>3172</v>
      </c>
      <c r="D620" s="212" t="s">
        <v>3771</v>
      </c>
      <c r="E620" s="212" t="s">
        <v>3800</v>
      </c>
      <c r="F620" s="278">
        <v>575</v>
      </c>
      <c r="G620" s="278">
        <v>20053</v>
      </c>
      <c r="H620" s="287">
        <f t="shared" si="9"/>
        <v>4.3385029671370869</v>
      </c>
      <c r="I620" s="286">
        <v>24</v>
      </c>
      <c r="J620" s="286">
        <v>870</v>
      </c>
      <c r="K620" s="286">
        <v>353</v>
      </c>
      <c r="L620" s="286">
        <v>517</v>
      </c>
      <c r="M620" s="286">
        <v>817</v>
      </c>
      <c r="N620" s="286">
        <v>306</v>
      </c>
      <c r="O620" s="286">
        <v>511</v>
      </c>
      <c r="P620" s="286">
        <v>24</v>
      </c>
      <c r="Q620" s="286">
        <v>870</v>
      </c>
      <c r="R620" s="286">
        <v>353</v>
      </c>
      <c r="S620" s="286">
        <v>517</v>
      </c>
      <c r="T620" s="286">
        <v>817</v>
      </c>
      <c r="U620" s="286">
        <v>306</v>
      </c>
      <c r="V620" s="286">
        <v>511</v>
      </c>
      <c r="W620" s="286"/>
      <c r="X620" s="286"/>
      <c r="Y620" s="286"/>
      <c r="Z620" s="286"/>
      <c r="AA620" s="286"/>
      <c r="AB620" s="286"/>
      <c r="AC620" s="286"/>
      <c r="AD620" s="286"/>
      <c r="AE620" s="286"/>
      <c r="AF620" s="286"/>
      <c r="AG620" s="286"/>
      <c r="AH620" s="286"/>
      <c r="AI620" s="286"/>
      <c r="AJ620" s="286"/>
      <c r="AK620" s="286"/>
      <c r="AL620" s="286"/>
      <c r="AM620" s="286"/>
      <c r="AN620" s="286"/>
      <c r="AO620" s="286"/>
      <c r="AP620" s="286"/>
      <c r="AQ620" s="286"/>
      <c r="AR620" s="286"/>
      <c r="AS620" s="286"/>
      <c r="AT620" s="286"/>
      <c r="AU620" s="286"/>
      <c r="AV620" s="286"/>
      <c r="AW620" s="286"/>
      <c r="AX620" s="286"/>
      <c r="AY620" s="286"/>
      <c r="AZ620" s="286"/>
      <c r="BA620" s="286"/>
      <c r="BB620" s="286"/>
      <c r="BC620" s="286"/>
      <c r="BD620" s="286"/>
      <c r="BE620" s="286"/>
      <c r="BF620" s="286"/>
      <c r="BG620" s="286"/>
      <c r="BH620" s="286"/>
      <c r="BI620" s="286"/>
      <c r="BJ620" s="286"/>
      <c r="BK620" s="286"/>
      <c r="BL620" s="286"/>
      <c r="BM620" s="286"/>
      <c r="BN620" s="286"/>
      <c r="BO620" s="286"/>
      <c r="BP620" s="286"/>
      <c r="BQ620" s="286"/>
      <c r="BR620" s="286"/>
      <c r="BS620" s="286"/>
      <c r="BT620" s="286"/>
      <c r="BU620" s="286"/>
      <c r="BV620" s="286"/>
      <c r="BW620" s="286"/>
      <c r="BX620" s="286"/>
      <c r="BY620" s="286"/>
      <c r="BZ620" s="286"/>
      <c r="CA620" s="286"/>
      <c r="CB620" s="286"/>
      <c r="CC620" s="286"/>
      <c r="CD620" s="286"/>
      <c r="CE620" s="286"/>
      <c r="CF620" s="286"/>
      <c r="CG620" s="286"/>
      <c r="CH620" s="286"/>
      <c r="CI620" s="286"/>
      <c r="CJ620" s="286"/>
      <c r="CK620" s="286"/>
      <c r="CL620" s="286"/>
      <c r="CM620" s="286"/>
      <c r="CN620" s="286"/>
      <c r="CO620" s="286"/>
      <c r="CP620" s="286"/>
      <c r="CQ620" s="286"/>
      <c r="CR620" s="286"/>
      <c r="CS620" s="286"/>
      <c r="CT620" s="286"/>
      <c r="CU620" s="286"/>
      <c r="CV620" s="286"/>
      <c r="CW620" s="286"/>
      <c r="CX620" s="286"/>
      <c r="CY620" s="286"/>
      <c r="CZ620" s="286"/>
      <c r="DA620" s="286"/>
      <c r="DB620" s="286"/>
      <c r="DC620" s="286"/>
      <c r="DD620" s="286"/>
      <c r="DE620" s="286"/>
      <c r="DF620" s="286"/>
      <c r="DG620" s="286"/>
      <c r="DH620" s="286"/>
      <c r="DI620" s="286"/>
      <c r="DJ620" s="286"/>
      <c r="DK620" s="286"/>
      <c r="DL620" s="286"/>
      <c r="DM620" s="286"/>
      <c r="DN620" s="286"/>
      <c r="DO620" s="286"/>
      <c r="DP620" s="286"/>
      <c r="DQ620" s="286"/>
      <c r="DR620" s="286"/>
      <c r="DS620" s="286"/>
      <c r="DT620" s="286"/>
      <c r="DU620" s="286"/>
      <c r="DV620" s="286"/>
      <c r="DW620" s="286"/>
      <c r="DX620" s="286"/>
      <c r="DY620" s="286"/>
      <c r="DZ620" s="286"/>
      <c r="EA620" s="286"/>
      <c r="EB620" s="286"/>
      <c r="EC620" s="286"/>
      <c r="ED620" s="286"/>
      <c r="EE620" s="286"/>
      <c r="EF620" s="286"/>
      <c r="EG620" s="286"/>
      <c r="EH620" s="286"/>
      <c r="EI620" s="286"/>
      <c r="EJ620" s="286"/>
      <c r="EK620" s="286"/>
      <c r="EL620" s="286"/>
      <c r="EM620" s="286"/>
      <c r="EN620" s="286"/>
      <c r="EO620" s="286"/>
      <c r="EP620" s="286"/>
      <c r="EQ620" s="286"/>
      <c r="ER620" s="286"/>
      <c r="ES620" s="286"/>
      <c r="ET620" s="286"/>
      <c r="EU620" s="286"/>
      <c r="EV620" s="286"/>
      <c r="EW620" s="286"/>
      <c r="EX620" s="286"/>
      <c r="EY620" s="286"/>
      <c r="EZ620" s="286"/>
      <c r="FA620" s="286"/>
      <c r="FB620" s="286"/>
      <c r="FC620" s="286"/>
      <c r="FD620" s="286"/>
      <c r="FE620" s="286"/>
      <c r="FF620" s="286"/>
      <c r="FG620" s="286"/>
      <c r="FH620" s="286"/>
      <c r="FI620" s="286"/>
      <c r="FJ620" s="286"/>
      <c r="FK620" s="286"/>
      <c r="FL620" s="286"/>
      <c r="FM620" s="286"/>
      <c r="FN620" s="286"/>
      <c r="FO620" s="286"/>
      <c r="FP620" s="286"/>
      <c r="FQ620" s="286"/>
      <c r="FR620" s="286"/>
      <c r="FS620" s="286"/>
    </row>
    <row r="621" spans="1:175">
      <c r="A621" s="212" t="s">
        <v>3159</v>
      </c>
      <c r="B621" s="212" t="s">
        <v>3160</v>
      </c>
      <c r="C621" s="212" t="s">
        <v>3172</v>
      </c>
      <c r="D621" s="212" t="s">
        <v>3771</v>
      </c>
      <c r="E621" s="280" t="s">
        <v>3801</v>
      </c>
      <c r="F621" s="288">
        <v>4241</v>
      </c>
      <c r="G621" s="288">
        <v>39996</v>
      </c>
      <c r="H621" s="289">
        <f t="shared" si="9"/>
        <v>3.0678067806780676</v>
      </c>
      <c r="I621" s="286">
        <v>98</v>
      </c>
      <c r="J621" s="286">
        <v>1227</v>
      </c>
      <c r="K621" s="286">
        <v>691</v>
      </c>
      <c r="L621" s="286">
        <v>536</v>
      </c>
      <c r="M621" s="286">
        <v>1043</v>
      </c>
      <c r="N621" s="286">
        <v>565</v>
      </c>
      <c r="O621" s="286">
        <v>478</v>
      </c>
      <c r="P621" s="286">
        <v>96</v>
      </c>
      <c r="Q621" s="286">
        <v>1221</v>
      </c>
      <c r="R621" s="286">
        <v>686</v>
      </c>
      <c r="S621" s="286">
        <v>535</v>
      </c>
      <c r="T621" s="286">
        <v>1037</v>
      </c>
      <c r="U621" s="286">
        <v>560</v>
      </c>
      <c r="V621" s="286">
        <v>477</v>
      </c>
      <c r="W621" s="286"/>
      <c r="X621" s="286"/>
      <c r="Y621" s="286"/>
      <c r="Z621" s="286"/>
      <c r="AA621" s="286"/>
      <c r="AB621" s="286"/>
      <c r="AC621" s="286"/>
      <c r="AD621" s="286"/>
      <c r="AE621" s="286"/>
      <c r="AF621" s="286"/>
      <c r="AG621" s="286"/>
      <c r="AH621" s="286"/>
      <c r="AI621" s="286"/>
      <c r="AJ621" s="286"/>
      <c r="AK621" s="286"/>
      <c r="AL621" s="286"/>
      <c r="AM621" s="286"/>
      <c r="AN621" s="286"/>
      <c r="AO621" s="286"/>
      <c r="AP621" s="286"/>
      <c r="AQ621" s="286"/>
      <c r="AR621" s="286"/>
      <c r="AS621" s="286"/>
      <c r="AT621" s="286"/>
      <c r="AU621" s="286"/>
      <c r="AV621" s="286"/>
      <c r="AW621" s="286"/>
      <c r="AX621" s="286"/>
      <c r="AY621" s="286"/>
      <c r="AZ621" s="286"/>
      <c r="BA621" s="286"/>
      <c r="BB621" s="286"/>
      <c r="BC621" s="286"/>
      <c r="BD621" s="286"/>
      <c r="BE621" s="286"/>
      <c r="BF621" s="286"/>
      <c r="BG621" s="286"/>
      <c r="BH621" s="286"/>
      <c r="BI621" s="286"/>
      <c r="BJ621" s="286"/>
      <c r="BK621" s="286"/>
      <c r="BL621" s="286"/>
      <c r="BM621" s="286"/>
      <c r="BN621" s="286"/>
      <c r="BO621" s="286"/>
      <c r="BP621" s="286"/>
      <c r="BQ621" s="286"/>
      <c r="BR621" s="286"/>
      <c r="BS621" s="286"/>
      <c r="BT621" s="286"/>
      <c r="BU621" s="286"/>
      <c r="BV621" s="286"/>
      <c r="BW621" s="286"/>
      <c r="BX621" s="286"/>
      <c r="BY621" s="286"/>
      <c r="BZ621" s="286"/>
      <c r="CA621" s="286"/>
      <c r="CB621" s="286"/>
      <c r="CC621" s="286"/>
      <c r="CD621" s="286"/>
      <c r="CE621" s="286"/>
      <c r="CF621" s="286"/>
      <c r="CG621" s="286"/>
      <c r="CH621" s="286"/>
      <c r="CI621" s="286"/>
      <c r="CJ621" s="286"/>
      <c r="CK621" s="286"/>
      <c r="CL621" s="286"/>
      <c r="CM621" s="286"/>
      <c r="CN621" s="286"/>
      <c r="CO621" s="286"/>
      <c r="CP621" s="286"/>
      <c r="CQ621" s="286"/>
      <c r="CR621" s="286"/>
      <c r="CS621" s="286"/>
      <c r="CT621" s="286"/>
      <c r="CU621" s="286"/>
      <c r="CV621" s="286"/>
      <c r="CW621" s="286"/>
      <c r="CX621" s="286"/>
      <c r="CY621" s="286"/>
      <c r="CZ621" s="286"/>
      <c r="DA621" s="286"/>
      <c r="DB621" s="286"/>
      <c r="DC621" s="286"/>
      <c r="DD621" s="286"/>
      <c r="DE621" s="286"/>
      <c r="DF621" s="286"/>
      <c r="DG621" s="286"/>
      <c r="DH621" s="286"/>
      <c r="DI621" s="286"/>
      <c r="DJ621" s="286"/>
      <c r="DK621" s="286"/>
      <c r="DL621" s="286"/>
      <c r="DM621" s="286"/>
      <c r="DN621" s="286"/>
      <c r="DO621" s="286"/>
      <c r="DP621" s="286"/>
      <c r="DQ621" s="286"/>
      <c r="DR621" s="286"/>
      <c r="DS621" s="286"/>
      <c r="DT621" s="286"/>
      <c r="DU621" s="286"/>
      <c r="DV621" s="286"/>
      <c r="DW621" s="286"/>
      <c r="DX621" s="286"/>
      <c r="DY621" s="286"/>
      <c r="DZ621" s="286"/>
      <c r="EA621" s="286"/>
      <c r="EB621" s="286"/>
      <c r="EC621" s="286"/>
      <c r="ED621" s="286"/>
      <c r="EE621" s="286"/>
      <c r="EF621" s="286"/>
      <c r="EG621" s="286"/>
      <c r="EH621" s="286"/>
      <c r="EI621" s="286"/>
      <c r="EJ621" s="286"/>
      <c r="EK621" s="286"/>
      <c r="EL621" s="286"/>
      <c r="EM621" s="286"/>
      <c r="EN621" s="286"/>
      <c r="EO621" s="286"/>
      <c r="EP621" s="286"/>
      <c r="EQ621" s="286"/>
      <c r="ER621" s="286"/>
      <c r="ES621" s="286"/>
      <c r="ET621" s="286"/>
      <c r="EU621" s="286"/>
      <c r="EV621" s="286"/>
      <c r="EW621" s="286"/>
      <c r="EX621" s="286"/>
      <c r="EY621" s="286"/>
      <c r="EZ621" s="286"/>
      <c r="FA621" s="286"/>
      <c r="FB621" s="286"/>
      <c r="FC621" s="286"/>
      <c r="FD621" s="286"/>
      <c r="FE621" s="286"/>
      <c r="FF621" s="286"/>
      <c r="FG621" s="286"/>
      <c r="FH621" s="286"/>
      <c r="FI621" s="286"/>
      <c r="FJ621" s="286"/>
      <c r="FK621" s="286"/>
      <c r="FL621" s="286"/>
      <c r="FM621" s="286"/>
      <c r="FN621" s="286"/>
      <c r="FO621" s="286"/>
      <c r="FP621" s="286"/>
      <c r="FQ621" s="286"/>
      <c r="FR621" s="286"/>
      <c r="FS621" s="286"/>
    </row>
    <row r="622" spans="1:175">
      <c r="A622" s="212" t="s">
        <v>3159</v>
      </c>
      <c r="B622" s="212" t="s">
        <v>3160</v>
      </c>
      <c r="C622" s="212" t="s">
        <v>3172</v>
      </c>
      <c r="D622" s="212" t="s">
        <v>3771</v>
      </c>
      <c r="E622" s="280" t="s">
        <v>3802</v>
      </c>
      <c r="F622" s="288">
        <v>845</v>
      </c>
      <c r="G622" s="288">
        <v>18180</v>
      </c>
      <c r="H622" s="289">
        <f t="shared" si="9"/>
        <v>3.1793179317931788</v>
      </c>
      <c r="I622" s="286">
        <v>45</v>
      </c>
      <c r="J622" s="286">
        <v>578</v>
      </c>
      <c r="K622" s="286">
        <v>383</v>
      </c>
      <c r="L622" s="286">
        <v>195</v>
      </c>
      <c r="M622" s="286">
        <v>435</v>
      </c>
      <c r="N622" s="286">
        <v>327</v>
      </c>
      <c r="O622" s="286">
        <v>108</v>
      </c>
      <c r="P622" s="286">
        <v>39</v>
      </c>
      <c r="Q622" s="286">
        <v>329</v>
      </c>
      <c r="R622" s="286">
        <v>272</v>
      </c>
      <c r="S622" s="286">
        <v>57</v>
      </c>
      <c r="T622" s="286">
        <v>272</v>
      </c>
      <c r="U622" s="286">
        <v>219</v>
      </c>
      <c r="V622" s="286">
        <v>53</v>
      </c>
      <c r="W622" s="286"/>
      <c r="X622" s="286"/>
      <c r="Y622" s="286"/>
      <c r="Z622" s="286"/>
      <c r="AA622" s="286"/>
      <c r="AB622" s="286"/>
      <c r="AC622" s="286"/>
      <c r="AD622" s="286"/>
      <c r="AE622" s="286"/>
      <c r="AF622" s="286"/>
      <c r="AG622" s="286"/>
      <c r="AH622" s="286"/>
      <c r="AI622" s="286"/>
      <c r="AJ622" s="286"/>
      <c r="AK622" s="286"/>
      <c r="AL622" s="286"/>
      <c r="AM622" s="286"/>
      <c r="AN622" s="286"/>
      <c r="AO622" s="286"/>
      <c r="AP622" s="286"/>
      <c r="AQ622" s="286"/>
      <c r="AR622" s="286"/>
      <c r="AS622" s="286"/>
      <c r="AT622" s="286"/>
      <c r="AU622" s="286"/>
      <c r="AV622" s="286"/>
      <c r="AW622" s="286"/>
      <c r="AX622" s="286"/>
      <c r="AY622" s="286"/>
      <c r="AZ622" s="286"/>
      <c r="BA622" s="286"/>
      <c r="BB622" s="286"/>
      <c r="BC622" s="286"/>
      <c r="BD622" s="286"/>
      <c r="BE622" s="286"/>
      <c r="BF622" s="286"/>
      <c r="BG622" s="286"/>
      <c r="BH622" s="286"/>
      <c r="BI622" s="286"/>
      <c r="BJ622" s="286"/>
      <c r="BK622" s="286"/>
      <c r="BL622" s="286"/>
      <c r="BM622" s="286"/>
      <c r="BN622" s="286"/>
      <c r="BO622" s="286"/>
      <c r="BP622" s="286"/>
      <c r="BQ622" s="286"/>
      <c r="BR622" s="286"/>
      <c r="BS622" s="286"/>
      <c r="BT622" s="286"/>
      <c r="BU622" s="286"/>
      <c r="BV622" s="286"/>
      <c r="BW622" s="286"/>
      <c r="BX622" s="286"/>
      <c r="BY622" s="286"/>
      <c r="BZ622" s="286"/>
      <c r="CA622" s="286"/>
      <c r="CB622" s="286"/>
      <c r="CC622" s="286"/>
      <c r="CD622" s="286"/>
      <c r="CE622" s="286"/>
      <c r="CF622" s="286"/>
      <c r="CG622" s="286"/>
      <c r="CH622" s="286"/>
      <c r="CI622" s="286"/>
      <c r="CJ622" s="286"/>
      <c r="CK622" s="286"/>
      <c r="CL622" s="286"/>
      <c r="CM622" s="286"/>
      <c r="CN622" s="286"/>
      <c r="CO622" s="286"/>
      <c r="CP622" s="286"/>
      <c r="CQ622" s="286"/>
      <c r="CR622" s="286"/>
      <c r="CS622" s="286"/>
      <c r="CT622" s="286"/>
      <c r="CU622" s="286"/>
      <c r="CV622" s="286"/>
      <c r="CW622" s="286"/>
      <c r="CX622" s="286"/>
      <c r="CY622" s="286"/>
      <c r="CZ622" s="286"/>
      <c r="DA622" s="286"/>
      <c r="DB622" s="286"/>
      <c r="DC622" s="286"/>
      <c r="DD622" s="286"/>
      <c r="DE622" s="286"/>
      <c r="DF622" s="286"/>
      <c r="DG622" s="286"/>
      <c r="DH622" s="286"/>
      <c r="DI622" s="286"/>
      <c r="DJ622" s="286"/>
      <c r="DK622" s="286"/>
      <c r="DL622" s="286"/>
      <c r="DM622" s="286"/>
      <c r="DN622" s="286"/>
      <c r="DO622" s="286"/>
      <c r="DP622" s="286"/>
      <c r="DQ622" s="286"/>
      <c r="DR622" s="286"/>
      <c r="DS622" s="286"/>
      <c r="DT622" s="286"/>
      <c r="DU622" s="286"/>
      <c r="DV622" s="286"/>
      <c r="DW622" s="286"/>
      <c r="DX622" s="286"/>
      <c r="DY622" s="286"/>
      <c r="DZ622" s="286"/>
      <c r="EA622" s="286"/>
      <c r="EB622" s="286"/>
      <c r="EC622" s="286"/>
      <c r="ED622" s="286"/>
      <c r="EE622" s="286"/>
      <c r="EF622" s="286"/>
      <c r="EG622" s="286"/>
      <c r="EH622" s="286"/>
      <c r="EI622" s="286"/>
      <c r="EJ622" s="286"/>
      <c r="EK622" s="286"/>
      <c r="EL622" s="286"/>
      <c r="EM622" s="286"/>
      <c r="EN622" s="286"/>
      <c r="EO622" s="286"/>
      <c r="EP622" s="286"/>
      <c r="EQ622" s="286"/>
      <c r="ER622" s="286"/>
      <c r="ES622" s="286"/>
      <c r="ET622" s="286"/>
      <c r="EU622" s="286"/>
      <c r="EV622" s="286"/>
      <c r="EW622" s="286"/>
      <c r="EX622" s="286"/>
      <c r="EY622" s="286"/>
      <c r="EZ622" s="286"/>
      <c r="FA622" s="286"/>
      <c r="FB622" s="286"/>
      <c r="FC622" s="286"/>
      <c r="FD622" s="286"/>
      <c r="FE622" s="286"/>
      <c r="FF622" s="286"/>
      <c r="FG622" s="286"/>
      <c r="FH622" s="286"/>
      <c r="FI622" s="286"/>
      <c r="FJ622" s="286"/>
      <c r="FK622" s="286"/>
      <c r="FL622" s="286"/>
      <c r="FM622" s="286"/>
      <c r="FN622" s="286"/>
      <c r="FO622" s="286"/>
      <c r="FP622" s="286"/>
      <c r="FQ622" s="286"/>
      <c r="FR622" s="286"/>
      <c r="FS622" s="286"/>
    </row>
    <row r="623" spans="1:175">
      <c r="A623" s="212" t="s">
        <v>3159</v>
      </c>
      <c r="B623" s="212" t="s">
        <v>3160</v>
      </c>
      <c r="C623" s="212" t="s">
        <v>3172</v>
      </c>
      <c r="D623" s="212" t="s">
        <v>3771</v>
      </c>
      <c r="E623" s="280" t="s">
        <v>3803</v>
      </c>
      <c r="F623" s="288">
        <v>19344</v>
      </c>
      <c r="G623" s="288">
        <v>306208</v>
      </c>
      <c r="H623" s="289">
        <f t="shared" si="9"/>
        <v>5.4936513742292821</v>
      </c>
      <c r="I623" s="286">
        <v>904</v>
      </c>
      <c r="J623" s="286">
        <v>16822</v>
      </c>
      <c r="K623" s="286">
        <v>8156</v>
      </c>
      <c r="L623" s="286">
        <v>8666</v>
      </c>
      <c r="M623" s="286">
        <v>15240</v>
      </c>
      <c r="N623" s="286">
        <v>7226</v>
      </c>
      <c r="O623" s="286">
        <v>8014</v>
      </c>
      <c r="P623" s="286">
        <v>854</v>
      </c>
      <c r="Q623" s="286">
        <v>16481</v>
      </c>
      <c r="R623" s="286">
        <v>7949</v>
      </c>
      <c r="S623" s="286">
        <v>8532</v>
      </c>
      <c r="T623" s="286">
        <v>14997</v>
      </c>
      <c r="U623" s="286">
        <v>7071</v>
      </c>
      <c r="V623" s="286">
        <v>7926</v>
      </c>
      <c r="W623" s="286"/>
      <c r="X623" s="286"/>
      <c r="Y623" s="286"/>
      <c r="Z623" s="286"/>
      <c r="AA623" s="286"/>
      <c r="AB623" s="286"/>
      <c r="AC623" s="286"/>
      <c r="AD623" s="286"/>
      <c r="AE623" s="286"/>
      <c r="AF623" s="286"/>
      <c r="AG623" s="286"/>
      <c r="AH623" s="286"/>
      <c r="AI623" s="286"/>
      <c r="AJ623" s="286"/>
      <c r="AK623" s="286"/>
      <c r="AL623" s="286"/>
      <c r="AM623" s="286"/>
      <c r="AN623" s="286"/>
      <c r="AO623" s="286"/>
      <c r="AP623" s="286"/>
      <c r="AQ623" s="286"/>
      <c r="AR623" s="286"/>
      <c r="AS623" s="286"/>
      <c r="AT623" s="286"/>
      <c r="AU623" s="286"/>
      <c r="AV623" s="286"/>
      <c r="AW623" s="286"/>
      <c r="AX623" s="286"/>
      <c r="AY623" s="286"/>
      <c r="AZ623" s="286"/>
      <c r="BA623" s="286"/>
      <c r="BB623" s="286"/>
      <c r="BC623" s="286"/>
      <c r="BD623" s="286"/>
      <c r="BE623" s="286"/>
      <c r="BF623" s="286"/>
      <c r="BG623" s="286"/>
      <c r="BH623" s="286"/>
      <c r="BI623" s="286"/>
      <c r="BJ623" s="286"/>
      <c r="BK623" s="286"/>
      <c r="BL623" s="286"/>
      <c r="BM623" s="286"/>
      <c r="BN623" s="286"/>
      <c r="BO623" s="286"/>
      <c r="BP623" s="286"/>
      <c r="BQ623" s="286"/>
      <c r="BR623" s="286"/>
      <c r="BS623" s="286"/>
      <c r="BT623" s="286"/>
      <c r="BU623" s="286"/>
      <c r="BV623" s="286"/>
      <c r="BW623" s="286"/>
      <c r="BX623" s="286"/>
      <c r="BY623" s="286"/>
      <c r="BZ623" s="286"/>
      <c r="CA623" s="286"/>
      <c r="CB623" s="286"/>
      <c r="CC623" s="286"/>
      <c r="CD623" s="286"/>
      <c r="CE623" s="286"/>
      <c r="CF623" s="286"/>
      <c r="CG623" s="286"/>
      <c r="CH623" s="286"/>
      <c r="CI623" s="286"/>
      <c r="CJ623" s="286"/>
      <c r="CK623" s="286"/>
      <c r="CL623" s="286"/>
      <c r="CM623" s="286"/>
      <c r="CN623" s="286"/>
      <c r="CO623" s="286"/>
      <c r="CP623" s="286"/>
      <c r="CQ623" s="286"/>
      <c r="CR623" s="286"/>
      <c r="CS623" s="286"/>
      <c r="CT623" s="286"/>
      <c r="CU623" s="286"/>
      <c r="CV623" s="286"/>
      <c r="CW623" s="286"/>
      <c r="CX623" s="286"/>
      <c r="CY623" s="286"/>
      <c r="CZ623" s="286"/>
      <c r="DA623" s="286"/>
      <c r="DB623" s="286"/>
      <c r="DC623" s="286"/>
      <c r="DD623" s="286"/>
      <c r="DE623" s="286"/>
      <c r="DF623" s="286"/>
      <c r="DG623" s="286"/>
      <c r="DH623" s="286"/>
      <c r="DI623" s="286"/>
      <c r="DJ623" s="286"/>
      <c r="DK623" s="286"/>
      <c r="DL623" s="286"/>
      <c r="DM623" s="286"/>
      <c r="DN623" s="286"/>
      <c r="DO623" s="286"/>
      <c r="DP623" s="286"/>
      <c r="DQ623" s="286"/>
      <c r="DR623" s="286"/>
      <c r="DS623" s="286"/>
      <c r="DT623" s="286"/>
      <c r="DU623" s="286"/>
      <c r="DV623" s="286"/>
      <c r="DW623" s="286"/>
      <c r="DX623" s="286"/>
      <c r="DY623" s="286"/>
      <c r="DZ623" s="286"/>
      <c r="EA623" s="286"/>
      <c r="EB623" s="286"/>
      <c r="EC623" s="286"/>
      <c r="ED623" s="286"/>
      <c r="EE623" s="286"/>
      <c r="EF623" s="286"/>
      <c r="EG623" s="286"/>
      <c r="EH623" s="286"/>
      <c r="EI623" s="286"/>
      <c r="EJ623" s="286"/>
      <c r="EK623" s="286"/>
      <c r="EL623" s="286"/>
      <c r="EM623" s="286"/>
      <c r="EN623" s="286"/>
      <c r="EO623" s="286"/>
      <c r="EP623" s="286"/>
      <c r="EQ623" s="286"/>
      <c r="ER623" s="286"/>
      <c r="ES623" s="286"/>
      <c r="ET623" s="286"/>
      <c r="EU623" s="286"/>
      <c r="EV623" s="286"/>
      <c r="EW623" s="286"/>
      <c r="EX623" s="286"/>
      <c r="EY623" s="286"/>
      <c r="EZ623" s="286"/>
      <c r="FA623" s="286"/>
      <c r="FB623" s="286"/>
      <c r="FC623" s="286"/>
      <c r="FD623" s="286"/>
      <c r="FE623" s="286"/>
      <c r="FF623" s="286"/>
      <c r="FG623" s="286"/>
      <c r="FH623" s="286"/>
      <c r="FI623" s="286"/>
      <c r="FJ623" s="286"/>
      <c r="FK623" s="286"/>
      <c r="FL623" s="286"/>
      <c r="FM623" s="286"/>
      <c r="FN623" s="286"/>
      <c r="FO623" s="286"/>
      <c r="FP623" s="286"/>
      <c r="FQ623" s="286"/>
      <c r="FR623" s="286"/>
      <c r="FS623" s="286"/>
    </row>
    <row r="624" spans="1:175">
      <c r="A624" s="212" t="s">
        <v>3159</v>
      </c>
      <c r="B624" s="212" t="s">
        <v>3160</v>
      </c>
      <c r="C624" s="212" t="s">
        <v>3432</v>
      </c>
      <c r="D624" s="212" t="s">
        <v>3771</v>
      </c>
      <c r="E624" s="280" t="s">
        <v>3804</v>
      </c>
      <c r="F624" s="288">
        <v>4168</v>
      </c>
      <c r="G624" s="288">
        <v>46442</v>
      </c>
      <c r="H624" s="289">
        <f t="shared" si="9"/>
        <v>3.7379957796821843</v>
      </c>
      <c r="I624" s="286">
        <v>183</v>
      </c>
      <c r="J624" s="286">
        <v>1736</v>
      </c>
      <c r="K624" s="286">
        <v>1018</v>
      </c>
      <c r="L624" s="286">
        <v>718</v>
      </c>
      <c r="M624" s="286">
        <v>1577</v>
      </c>
      <c r="N624" s="286">
        <v>903</v>
      </c>
      <c r="O624" s="286">
        <v>674</v>
      </c>
      <c r="P624" s="286">
        <v>162</v>
      </c>
      <c r="Q624" s="286">
        <v>1596</v>
      </c>
      <c r="R624" s="286">
        <v>936</v>
      </c>
      <c r="S624" s="286">
        <v>660</v>
      </c>
      <c r="T624" s="286">
        <v>1464</v>
      </c>
      <c r="U624" s="286">
        <v>837</v>
      </c>
      <c r="V624" s="286">
        <v>627</v>
      </c>
      <c r="W624" s="286"/>
      <c r="X624" s="286"/>
      <c r="Y624" s="286"/>
      <c r="Z624" s="286"/>
      <c r="AA624" s="286"/>
      <c r="AB624" s="286"/>
      <c r="AC624" s="286"/>
      <c r="AD624" s="286"/>
      <c r="AE624" s="286"/>
      <c r="AF624" s="286"/>
      <c r="AG624" s="286"/>
      <c r="AH624" s="286"/>
      <c r="AI624" s="286"/>
      <c r="AJ624" s="286"/>
      <c r="AK624" s="286"/>
      <c r="AL624" s="286"/>
      <c r="AM624" s="286"/>
      <c r="AN624" s="286"/>
      <c r="AO624" s="286"/>
      <c r="AP624" s="286"/>
      <c r="AQ624" s="286"/>
      <c r="AR624" s="286"/>
      <c r="AS624" s="286"/>
      <c r="AT624" s="286"/>
      <c r="AU624" s="286"/>
      <c r="AV624" s="286"/>
      <c r="AW624" s="286"/>
      <c r="AX624" s="286"/>
      <c r="AY624" s="286"/>
      <c r="AZ624" s="286"/>
      <c r="BA624" s="286"/>
      <c r="BB624" s="286"/>
      <c r="BC624" s="286"/>
      <c r="BD624" s="286"/>
      <c r="BE624" s="286"/>
      <c r="BF624" s="286"/>
      <c r="BG624" s="286"/>
      <c r="BH624" s="286"/>
      <c r="BI624" s="286"/>
      <c r="BJ624" s="286"/>
      <c r="BK624" s="286"/>
      <c r="BL624" s="286"/>
      <c r="BM624" s="286"/>
      <c r="BN624" s="286"/>
      <c r="BO624" s="286"/>
      <c r="BP624" s="286"/>
      <c r="BQ624" s="286"/>
      <c r="BR624" s="286"/>
      <c r="BS624" s="286"/>
      <c r="BT624" s="286"/>
      <c r="BU624" s="286"/>
      <c r="BV624" s="286"/>
      <c r="BW624" s="286"/>
      <c r="BX624" s="286"/>
      <c r="BY624" s="286"/>
      <c r="BZ624" s="286"/>
      <c r="CA624" s="286"/>
      <c r="CB624" s="286"/>
      <c r="CC624" s="286"/>
      <c r="CD624" s="286"/>
      <c r="CE624" s="286"/>
      <c r="CF624" s="286"/>
      <c r="CG624" s="286"/>
      <c r="CH624" s="286"/>
      <c r="CI624" s="286"/>
      <c r="CJ624" s="286"/>
      <c r="CK624" s="286"/>
      <c r="CL624" s="286"/>
      <c r="CM624" s="286"/>
      <c r="CN624" s="286"/>
      <c r="CO624" s="286"/>
      <c r="CP624" s="286"/>
      <c r="CQ624" s="286"/>
      <c r="CR624" s="286"/>
      <c r="CS624" s="286"/>
      <c r="CT624" s="286"/>
      <c r="CU624" s="286"/>
      <c r="CV624" s="286"/>
      <c r="CW624" s="286"/>
      <c r="CX624" s="286"/>
      <c r="CY624" s="286"/>
      <c r="CZ624" s="286"/>
      <c r="DA624" s="286"/>
      <c r="DB624" s="286"/>
      <c r="DC624" s="286"/>
      <c r="DD624" s="286"/>
      <c r="DE624" s="286"/>
      <c r="DF624" s="286"/>
      <c r="DG624" s="286"/>
      <c r="DH624" s="286"/>
      <c r="DI624" s="286"/>
      <c r="DJ624" s="286"/>
      <c r="DK624" s="286"/>
      <c r="DL624" s="286"/>
      <c r="DM624" s="286"/>
      <c r="DN624" s="286"/>
      <c r="DO624" s="286"/>
      <c r="DP624" s="286"/>
      <c r="DQ624" s="286"/>
      <c r="DR624" s="286"/>
      <c r="DS624" s="286"/>
      <c r="DT624" s="286"/>
      <c r="DU624" s="286"/>
      <c r="DV624" s="286"/>
      <c r="DW624" s="286"/>
      <c r="DX624" s="286"/>
      <c r="DY624" s="286"/>
      <c r="DZ624" s="286"/>
      <c r="EA624" s="286"/>
      <c r="EB624" s="286"/>
      <c r="EC624" s="286"/>
      <c r="ED624" s="286"/>
      <c r="EE624" s="286"/>
      <c r="EF624" s="286"/>
      <c r="EG624" s="286"/>
      <c r="EH624" s="286"/>
      <c r="EI624" s="286"/>
      <c r="EJ624" s="286"/>
      <c r="EK624" s="286"/>
      <c r="EL624" s="286"/>
      <c r="EM624" s="286"/>
      <c r="EN624" s="286"/>
      <c r="EO624" s="286"/>
      <c r="EP624" s="286"/>
      <c r="EQ624" s="286"/>
      <c r="ER624" s="286"/>
      <c r="ES624" s="286"/>
      <c r="ET624" s="286"/>
      <c r="EU624" s="286"/>
      <c r="EV624" s="286"/>
      <c r="EW624" s="286"/>
      <c r="EX624" s="286"/>
      <c r="EY624" s="286"/>
      <c r="EZ624" s="286"/>
      <c r="FA624" s="286"/>
      <c r="FB624" s="286"/>
      <c r="FC624" s="286"/>
      <c r="FD624" s="286"/>
      <c r="FE624" s="286"/>
      <c r="FF624" s="286"/>
      <c r="FG624" s="286"/>
      <c r="FH624" s="286"/>
      <c r="FI624" s="286"/>
      <c r="FJ624" s="286"/>
      <c r="FK624" s="286"/>
      <c r="FL624" s="286"/>
      <c r="FM624" s="286"/>
      <c r="FN624" s="286"/>
      <c r="FO624" s="286"/>
      <c r="FP624" s="286"/>
      <c r="FQ624" s="286"/>
      <c r="FR624" s="286"/>
      <c r="FS624" s="286"/>
    </row>
    <row r="625" spans="1:175">
      <c r="A625" s="212" t="s">
        <v>3159</v>
      </c>
      <c r="B625" s="212" t="s">
        <v>3160</v>
      </c>
      <c r="C625" s="212" t="s">
        <v>3432</v>
      </c>
      <c r="D625" s="212" t="s">
        <v>3771</v>
      </c>
      <c r="E625" s="280" t="s">
        <v>3805</v>
      </c>
      <c r="F625" s="288">
        <v>1496</v>
      </c>
      <c r="G625" s="288">
        <v>14413</v>
      </c>
      <c r="H625" s="289">
        <f t="shared" si="9"/>
        <v>4.8359120238673423</v>
      </c>
      <c r="I625" s="286">
        <v>73</v>
      </c>
      <c r="J625" s="286">
        <v>697</v>
      </c>
      <c r="K625" s="286">
        <v>356</v>
      </c>
      <c r="L625" s="286">
        <v>341</v>
      </c>
      <c r="M625" s="286">
        <v>612</v>
      </c>
      <c r="N625" s="286">
        <v>311</v>
      </c>
      <c r="O625" s="286">
        <v>301</v>
      </c>
      <c r="P625" s="286">
        <v>44</v>
      </c>
      <c r="Q625" s="286">
        <v>496</v>
      </c>
      <c r="R625" s="286">
        <v>231</v>
      </c>
      <c r="S625" s="286">
        <v>265</v>
      </c>
      <c r="T625" s="286">
        <v>482</v>
      </c>
      <c r="U625" s="286">
        <v>222</v>
      </c>
      <c r="V625" s="286">
        <v>260</v>
      </c>
      <c r="W625" s="286"/>
      <c r="X625" s="286"/>
      <c r="Y625" s="286"/>
      <c r="Z625" s="286"/>
      <c r="AA625" s="286"/>
      <c r="AB625" s="286"/>
      <c r="AC625" s="286"/>
      <c r="AD625" s="286"/>
      <c r="AE625" s="286"/>
      <c r="AF625" s="286"/>
      <c r="AG625" s="286"/>
      <c r="AH625" s="286"/>
      <c r="AI625" s="286"/>
      <c r="AJ625" s="286"/>
      <c r="AK625" s="286"/>
      <c r="AL625" s="286"/>
      <c r="AM625" s="286"/>
      <c r="AN625" s="286"/>
      <c r="AO625" s="286"/>
      <c r="AP625" s="286"/>
      <c r="AQ625" s="286"/>
      <c r="AR625" s="286"/>
      <c r="AS625" s="286"/>
      <c r="AT625" s="286"/>
      <c r="AU625" s="286"/>
      <c r="AV625" s="286"/>
      <c r="AW625" s="286"/>
      <c r="AX625" s="286"/>
      <c r="AY625" s="286"/>
      <c r="AZ625" s="286"/>
      <c r="BA625" s="286"/>
      <c r="BB625" s="286"/>
      <c r="BC625" s="286"/>
      <c r="BD625" s="286"/>
      <c r="BE625" s="286"/>
      <c r="BF625" s="286"/>
      <c r="BG625" s="286"/>
      <c r="BH625" s="286"/>
      <c r="BI625" s="286"/>
      <c r="BJ625" s="286"/>
      <c r="BK625" s="286"/>
      <c r="BL625" s="286"/>
      <c r="BM625" s="286"/>
      <c r="BN625" s="286"/>
      <c r="BO625" s="286"/>
      <c r="BP625" s="286"/>
      <c r="BQ625" s="286"/>
      <c r="BR625" s="286"/>
      <c r="BS625" s="286"/>
      <c r="BT625" s="286"/>
      <c r="BU625" s="286"/>
      <c r="BV625" s="286"/>
      <c r="BW625" s="286"/>
      <c r="BX625" s="286"/>
      <c r="BY625" s="286"/>
      <c r="BZ625" s="286"/>
      <c r="CA625" s="286"/>
      <c r="CB625" s="286"/>
      <c r="CC625" s="286"/>
      <c r="CD625" s="286"/>
      <c r="CE625" s="286"/>
      <c r="CF625" s="286"/>
      <c r="CG625" s="286"/>
      <c r="CH625" s="286"/>
      <c r="CI625" s="286"/>
      <c r="CJ625" s="286"/>
      <c r="CK625" s="286"/>
      <c r="CL625" s="286"/>
      <c r="CM625" s="286"/>
      <c r="CN625" s="286"/>
      <c r="CO625" s="286"/>
      <c r="CP625" s="286"/>
      <c r="CQ625" s="286"/>
      <c r="CR625" s="286"/>
      <c r="CS625" s="286"/>
      <c r="CT625" s="286"/>
      <c r="CU625" s="286"/>
      <c r="CV625" s="286"/>
      <c r="CW625" s="286"/>
      <c r="CX625" s="286"/>
      <c r="CY625" s="286"/>
      <c r="CZ625" s="286"/>
      <c r="DA625" s="286"/>
      <c r="DB625" s="286"/>
      <c r="DC625" s="286"/>
      <c r="DD625" s="286"/>
      <c r="DE625" s="286"/>
      <c r="DF625" s="286"/>
      <c r="DG625" s="286"/>
      <c r="DH625" s="286"/>
      <c r="DI625" s="286"/>
      <c r="DJ625" s="286"/>
      <c r="DK625" s="286"/>
      <c r="DL625" s="286"/>
      <c r="DM625" s="286"/>
      <c r="DN625" s="286"/>
      <c r="DO625" s="286"/>
      <c r="DP625" s="286"/>
      <c r="DQ625" s="286"/>
      <c r="DR625" s="286"/>
      <c r="DS625" s="286"/>
      <c r="DT625" s="286"/>
      <c r="DU625" s="286"/>
      <c r="DV625" s="286"/>
      <c r="DW625" s="286"/>
      <c r="DX625" s="286"/>
      <c r="DY625" s="286"/>
      <c r="DZ625" s="286"/>
      <c r="EA625" s="286"/>
      <c r="EB625" s="286"/>
      <c r="EC625" s="286"/>
      <c r="ED625" s="286"/>
      <c r="EE625" s="286"/>
      <c r="EF625" s="286"/>
      <c r="EG625" s="286"/>
      <c r="EH625" s="286"/>
      <c r="EI625" s="286"/>
      <c r="EJ625" s="286"/>
      <c r="EK625" s="286"/>
      <c r="EL625" s="286"/>
      <c r="EM625" s="286"/>
      <c r="EN625" s="286"/>
      <c r="EO625" s="286"/>
      <c r="EP625" s="286"/>
      <c r="EQ625" s="286"/>
      <c r="ER625" s="286"/>
      <c r="ES625" s="286"/>
      <c r="ET625" s="286"/>
      <c r="EU625" s="286"/>
      <c r="EV625" s="286"/>
      <c r="EW625" s="286"/>
      <c r="EX625" s="286"/>
      <c r="EY625" s="286"/>
      <c r="EZ625" s="286"/>
      <c r="FA625" s="286"/>
      <c r="FB625" s="286"/>
      <c r="FC625" s="286"/>
      <c r="FD625" s="286"/>
      <c r="FE625" s="286"/>
      <c r="FF625" s="286"/>
      <c r="FG625" s="286"/>
      <c r="FH625" s="286"/>
      <c r="FI625" s="286"/>
      <c r="FJ625" s="286"/>
      <c r="FK625" s="286"/>
      <c r="FL625" s="286"/>
      <c r="FM625" s="286"/>
      <c r="FN625" s="286"/>
      <c r="FO625" s="286"/>
      <c r="FP625" s="286"/>
      <c r="FQ625" s="286"/>
      <c r="FR625" s="286"/>
      <c r="FS625" s="286"/>
    </row>
    <row r="626" spans="1:175">
      <c r="A626" s="212" t="s">
        <v>3159</v>
      </c>
      <c r="B626" s="212" t="s">
        <v>3160</v>
      </c>
      <c r="C626" s="212" t="s">
        <v>3432</v>
      </c>
      <c r="D626" s="212" t="s">
        <v>3771</v>
      </c>
      <c r="E626" s="280" t="s">
        <v>3806</v>
      </c>
      <c r="F626" s="288">
        <v>2363</v>
      </c>
      <c r="G626" s="288">
        <v>108995</v>
      </c>
      <c r="H626" s="289">
        <f t="shared" si="9"/>
        <v>6.8902243222166151</v>
      </c>
      <c r="I626" s="286">
        <v>141</v>
      </c>
      <c r="J626" s="286">
        <v>7510</v>
      </c>
      <c r="K626" s="286">
        <v>3880</v>
      </c>
      <c r="L626" s="286">
        <v>3630</v>
      </c>
      <c r="M626" s="286">
        <v>6732</v>
      </c>
      <c r="N626" s="286">
        <v>3470</v>
      </c>
      <c r="O626" s="286">
        <v>3262</v>
      </c>
      <c r="P626" s="286">
        <v>141</v>
      </c>
      <c r="Q626" s="286">
        <v>7510</v>
      </c>
      <c r="R626" s="286">
        <v>3880</v>
      </c>
      <c r="S626" s="286">
        <v>3630</v>
      </c>
      <c r="T626" s="286">
        <v>6732</v>
      </c>
      <c r="U626" s="286">
        <v>3470</v>
      </c>
      <c r="V626" s="286">
        <v>3262</v>
      </c>
      <c r="W626" s="286"/>
      <c r="X626" s="286"/>
      <c r="Y626" s="286"/>
      <c r="Z626" s="286"/>
      <c r="AA626" s="286"/>
      <c r="AB626" s="286"/>
      <c r="AC626" s="286"/>
      <c r="AD626" s="286"/>
      <c r="AE626" s="286"/>
      <c r="AF626" s="286"/>
      <c r="AG626" s="286"/>
      <c r="AH626" s="286"/>
      <c r="AI626" s="286"/>
      <c r="AJ626" s="286"/>
      <c r="AK626" s="286"/>
      <c r="AL626" s="286"/>
      <c r="AM626" s="286"/>
      <c r="AN626" s="286"/>
      <c r="AO626" s="286"/>
      <c r="AP626" s="286"/>
      <c r="AQ626" s="286"/>
      <c r="AR626" s="286"/>
      <c r="AS626" s="286"/>
      <c r="AT626" s="286"/>
      <c r="AU626" s="286"/>
      <c r="AV626" s="286"/>
      <c r="AW626" s="286"/>
      <c r="AX626" s="286"/>
      <c r="AY626" s="286"/>
      <c r="AZ626" s="286"/>
      <c r="BA626" s="286"/>
      <c r="BB626" s="286"/>
      <c r="BC626" s="286"/>
      <c r="BD626" s="286"/>
      <c r="BE626" s="286"/>
      <c r="BF626" s="286"/>
      <c r="BG626" s="286"/>
      <c r="BH626" s="286"/>
      <c r="BI626" s="286"/>
      <c r="BJ626" s="286"/>
      <c r="BK626" s="286"/>
      <c r="BL626" s="286"/>
      <c r="BM626" s="286"/>
      <c r="BN626" s="286"/>
      <c r="BO626" s="286"/>
      <c r="BP626" s="286"/>
      <c r="BQ626" s="286"/>
      <c r="BR626" s="286"/>
      <c r="BS626" s="286"/>
      <c r="BT626" s="286"/>
      <c r="BU626" s="286"/>
      <c r="BV626" s="286"/>
      <c r="BW626" s="286"/>
      <c r="BX626" s="286"/>
      <c r="BY626" s="286"/>
      <c r="BZ626" s="286"/>
      <c r="CA626" s="286"/>
      <c r="CB626" s="286"/>
      <c r="CC626" s="286"/>
      <c r="CD626" s="286"/>
      <c r="CE626" s="286"/>
      <c r="CF626" s="286"/>
      <c r="CG626" s="286"/>
      <c r="CH626" s="286"/>
      <c r="CI626" s="286"/>
      <c r="CJ626" s="286"/>
      <c r="CK626" s="286"/>
      <c r="CL626" s="286"/>
      <c r="CM626" s="286"/>
      <c r="CN626" s="286"/>
      <c r="CO626" s="286"/>
      <c r="CP626" s="286"/>
      <c r="CQ626" s="286"/>
      <c r="CR626" s="286"/>
      <c r="CS626" s="286"/>
      <c r="CT626" s="286"/>
      <c r="CU626" s="286"/>
      <c r="CV626" s="286"/>
      <c r="CW626" s="286"/>
      <c r="CX626" s="286"/>
      <c r="CY626" s="286"/>
      <c r="CZ626" s="286"/>
      <c r="DA626" s="286"/>
      <c r="DB626" s="286"/>
      <c r="DC626" s="286"/>
      <c r="DD626" s="286"/>
      <c r="DE626" s="286"/>
      <c r="DF626" s="286"/>
      <c r="DG626" s="286"/>
      <c r="DH626" s="286"/>
      <c r="DI626" s="286"/>
      <c r="DJ626" s="286"/>
      <c r="DK626" s="286"/>
      <c r="DL626" s="286"/>
      <c r="DM626" s="286"/>
      <c r="DN626" s="286"/>
      <c r="DO626" s="286"/>
      <c r="DP626" s="286"/>
      <c r="DQ626" s="286"/>
      <c r="DR626" s="286"/>
      <c r="DS626" s="286"/>
      <c r="DT626" s="286"/>
      <c r="DU626" s="286"/>
      <c r="DV626" s="286"/>
      <c r="DW626" s="286"/>
      <c r="DX626" s="286"/>
      <c r="DY626" s="286"/>
      <c r="DZ626" s="286"/>
      <c r="EA626" s="286"/>
      <c r="EB626" s="286"/>
      <c r="EC626" s="286"/>
      <c r="ED626" s="286"/>
      <c r="EE626" s="286"/>
      <c r="EF626" s="286"/>
      <c r="EG626" s="286"/>
      <c r="EH626" s="286"/>
      <c r="EI626" s="286"/>
      <c r="EJ626" s="286"/>
      <c r="EK626" s="286"/>
      <c r="EL626" s="286"/>
      <c r="EM626" s="286"/>
      <c r="EN626" s="286"/>
      <c r="EO626" s="286"/>
      <c r="EP626" s="286"/>
      <c r="EQ626" s="286"/>
      <c r="ER626" s="286"/>
      <c r="ES626" s="286"/>
      <c r="ET626" s="286"/>
      <c r="EU626" s="286"/>
      <c r="EV626" s="286"/>
      <c r="EW626" s="286"/>
      <c r="EX626" s="286"/>
      <c r="EY626" s="286"/>
      <c r="EZ626" s="286"/>
      <c r="FA626" s="286"/>
      <c r="FB626" s="286"/>
      <c r="FC626" s="286"/>
      <c r="FD626" s="286"/>
      <c r="FE626" s="286"/>
      <c r="FF626" s="286"/>
      <c r="FG626" s="286"/>
      <c r="FH626" s="286"/>
      <c r="FI626" s="286"/>
      <c r="FJ626" s="286"/>
      <c r="FK626" s="286"/>
      <c r="FL626" s="286"/>
      <c r="FM626" s="286"/>
      <c r="FN626" s="286"/>
      <c r="FO626" s="286"/>
      <c r="FP626" s="286"/>
      <c r="FQ626" s="286"/>
      <c r="FR626" s="286"/>
      <c r="FS626" s="286"/>
    </row>
    <row r="627" spans="1:175">
      <c r="A627" s="212" t="s">
        <v>3159</v>
      </c>
      <c r="B627" s="212" t="s">
        <v>3160</v>
      </c>
      <c r="C627" s="212" t="s">
        <v>3432</v>
      </c>
      <c r="D627" s="212" t="s">
        <v>3771</v>
      </c>
      <c r="E627" s="280" t="s">
        <v>3807</v>
      </c>
      <c r="F627" s="288">
        <v>2310</v>
      </c>
      <c r="G627" s="288">
        <v>26838</v>
      </c>
      <c r="H627" s="289">
        <f t="shared" si="9"/>
        <v>5.6934197779268203</v>
      </c>
      <c r="I627" s="286">
        <v>117</v>
      </c>
      <c r="J627" s="286">
        <v>1528</v>
      </c>
      <c r="K627" s="286">
        <v>862</v>
      </c>
      <c r="L627" s="286">
        <v>666</v>
      </c>
      <c r="M627" s="286">
        <v>1280</v>
      </c>
      <c r="N627" s="286">
        <v>693</v>
      </c>
      <c r="O627" s="286">
        <v>587</v>
      </c>
      <c r="P627" s="286">
        <v>117</v>
      </c>
      <c r="Q627" s="286">
        <v>1528</v>
      </c>
      <c r="R627" s="286">
        <v>862</v>
      </c>
      <c r="S627" s="286">
        <v>666</v>
      </c>
      <c r="T627" s="286">
        <v>1280</v>
      </c>
      <c r="U627" s="286">
        <v>693</v>
      </c>
      <c r="V627" s="286">
        <v>587</v>
      </c>
      <c r="W627" s="286"/>
      <c r="X627" s="286"/>
      <c r="Y627" s="286"/>
      <c r="Z627" s="286"/>
      <c r="AA627" s="286"/>
      <c r="AB627" s="286"/>
      <c r="AC627" s="286"/>
      <c r="AD627" s="286"/>
      <c r="AE627" s="286"/>
      <c r="AF627" s="286"/>
      <c r="AG627" s="286"/>
      <c r="AH627" s="286"/>
      <c r="AI627" s="286"/>
      <c r="AJ627" s="286"/>
      <c r="AK627" s="286"/>
      <c r="AL627" s="286"/>
      <c r="AM627" s="286"/>
      <c r="AN627" s="286"/>
      <c r="AO627" s="286"/>
      <c r="AP627" s="286"/>
      <c r="AQ627" s="286"/>
      <c r="AR627" s="286"/>
      <c r="AS627" s="286"/>
      <c r="AT627" s="286"/>
      <c r="AU627" s="286"/>
      <c r="AV627" s="286"/>
      <c r="AW627" s="286"/>
      <c r="AX627" s="286"/>
      <c r="AY627" s="286"/>
      <c r="AZ627" s="286"/>
      <c r="BA627" s="286"/>
      <c r="BB627" s="286"/>
      <c r="BC627" s="286"/>
      <c r="BD627" s="286"/>
      <c r="BE627" s="286"/>
      <c r="BF627" s="286"/>
      <c r="BG627" s="286"/>
      <c r="BH627" s="286"/>
      <c r="BI627" s="286"/>
      <c r="BJ627" s="286"/>
      <c r="BK627" s="286"/>
      <c r="BL627" s="286"/>
      <c r="BM627" s="286"/>
      <c r="BN627" s="286"/>
      <c r="BO627" s="286"/>
      <c r="BP627" s="286"/>
      <c r="BQ627" s="286"/>
      <c r="BR627" s="286"/>
      <c r="BS627" s="286"/>
      <c r="BT627" s="286"/>
      <c r="BU627" s="286"/>
      <c r="BV627" s="286"/>
      <c r="BW627" s="286"/>
      <c r="BX627" s="286"/>
      <c r="BY627" s="286"/>
      <c r="BZ627" s="286"/>
      <c r="CA627" s="286"/>
      <c r="CB627" s="286"/>
      <c r="CC627" s="286"/>
      <c r="CD627" s="286"/>
      <c r="CE627" s="286"/>
      <c r="CF627" s="286"/>
      <c r="CG627" s="286"/>
      <c r="CH627" s="286"/>
      <c r="CI627" s="286"/>
      <c r="CJ627" s="286"/>
      <c r="CK627" s="286"/>
      <c r="CL627" s="286"/>
      <c r="CM627" s="286"/>
      <c r="CN627" s="286"/>
      <c r="CO627" s="286"/>
      <c r="CP627" s="286"/>
      <c r="CQ627" s="286"/>
      <c r="CR627" s="286"/>
      <c r="CS627" s="286"/>
      <c r="CT627" s="286"/>
      <c r="CU627" s="286"/>
      <c r="CV627" s="286"/>
      <c r="CW627" s="286"/>
      <c r="CX627" s="286"/>
      <c r="CY627" s="286"/>
      <c r="CZ627" s="286"/>
      <c r="DA627" s="286"/>
      <c r="DB627" s="286"/>
      <c r="DC627" s="286"/>
      <c r="DD627" s="286"/>
      <c r="DE627" s="286"/>
      <c r="DF627" s="286"/>
      <c r="DG627" s="286"/>
      <c r="DH627" s="286"/>
      <c r="DI627" s="286"/>
      <c r="DJ627" s="286"/>
      <c r="DK627" s="286"/>
      <c r="DL627" s="286"/>
      <c r="DM627" s="286"/>
      <c r="DN627" s="286"/>
      <c r="DO627" s="286"/>
      <c r="DP627" s="286"/>
      <c r="DQ627" s="286"/>
      <c r="DR627" s="286"/>
      <c r="DS627" s="286"/>
      <c r="DT627" s="286"/>
      <c r="DU627" s="286"/>
      <c r="DV627" s="286"/>
      <c r="DW627" s="286"/>
      <c r="DX627" s="286"/>
      <c r="DY627" s="286"/>
      <c r="DZ627" s="286"/>
      <c r="EA627" s="286"/>
      <c r="EB627" s="286"/>
      <c r="EC627" s="286"/>
      <c r="ED627" s="286"/>
      <c r="EE627" s="286"/>
      <c r="EF627" s="286"/>
      <c r="EG627" s="286"/>
      <c r="EH627" s="286"/>
      <c r="EI627" s="286"/>
      <c r="EJ627" s="286"/>
      <c r="EK627" s="286"/>
      <c r="EL627" s="286"/>
      <c r="EM627" s="286"/>
      <c r="EN627" s="286"/>
      <c r="EO627" s="286"/>
      <c r="EP627" s="286"/>
      <c r="EQ627" s="286"/>
      <c r="ER627" s="286"/>
      <c r="ES627" s="286"/>
      <c r="ET627" s="286"/>
      <c r="EU627" s="286"/>
      <c r="EV627" s="286"/>
      <c r="EW627" s="286"/>
      <c r="EX627" s="286"/>
      <c r="EY627" s="286"/>
      <c r="EZ627" s="286"/>
      <c r="FA627" s="286"/>
      <c r="FB627" s="286"/>
      <c r="FC627" s="286"/>
      <c r="FD627" s="286"/>
      <c r="FE627" s="286"/>
      <c r="FF627" s="286"/>
      <c r="FG627" s="286"/>
      <c r="FH627" s="286"/>
      <c r="FI627" s="286"/>
      <c r="FJ627" s="286"/>
      <c r="FK627" s="286"/>
      <c r="FL627" s="286"/>
      <c r="FM627" s="286"/>
      <c r="FN627" s="286"/>
      <c r="FO627" s="286"/>
      <c r="FP627" s="286"/>
      <c r="FQ627" s="286"/>
      <c r="FR627" s="286"/>
      <c r="FS627" s="286"/>
    </row>
    <row r="628" spans="1:175">
      <c r="A628" s="212" t="s">
        <v>3159</v>
      </c>
      <c r="B628" s="212" t="s">
        <v>3160</v>
      </c>
      <c r="C628" s="212" t="s">
        <v>3432</v>
      </c>
      <c r="D628" s="212" t="s">
        <v>3771</v>
      </c>
      <c r="E628" s="280" t="s">
        <v>3808</v>
      </c>
      <c r="F628" s="288">
        <v>540</v>
      </c>
      <c r="G628" s="288">
        <v>17013</v>
      </c>
      <c r="H628" s="289">
        <f t="shared" si="9"/>
        <v>3.3797684123905247</v>
      </c>
      <c r="I628" s="286">
        <v>16</v>
      </c>
      <c r="J628" s="286">
        <v>575</v>
      </c>
      <c r="K628" s="286">
        <v>333</v>
      </c>
      <c r="L628" s="286">
        <v>242</v>
      </c>
      <c r="M628" s="286">
        <v>568</v>
      </c>
      <c r="N628" s="286">
        <v>328</v>
      </c>
      <c r="O628" s="286">
        <v>240</v>
      </c>
      <c r="P628" s="286">
        <v>16</v>
      </c>
      <c r="Q628" s="286">
        <v>575</v>
      </c>
      <c r="R628" s="286">
        <v>333</v>
      </c>
      <c r="S628" s="286">
        <v>242</v>
      </c>
      <c r="T628" s="286">
        <v>568</v>
      </c>
      <c r="U628" s="286">
        <v>328</v>
      </c>
      <c r="V628" s="286">
        <v>240</v>
      </c>
      <c r="W628" s="286"/>
      <c r="X628" s="286"/>
      <c r="Y628" s="286"/>
      <c r="Z628" s="286"/>
      <c r="AA628" s="286"/>
      <c r="AB628" s="286"/>
      <c r="AC628" s="286"/>
      <c r="AD628" s="286"/>
      <c r="AE628" s="286"/>
      <c r="AF628" s="286"/>
      <c r="AG628" s="286"/>
      <c r="AH628" s="286"/>
      <c r="AI628" s="286"/>
      <c r="AJ628" s="286"/>
      <c r="AK628" s="286"/>
      <c r="AL628" s="286"/>
      <c r="AM628" s="286"/>
      <c r="AN628" s="286"/>
      <c r="AO628" s="286"/>
      <c r="AP628" s="286"/>
      <c r="AQ628" s="286"/>
      <c r="AR628" s="286"/>
      <c r="AS628" s="286"/>
      <c r="AT628" s="286"/>
      <c r="AU628" s="286"/>
      <c r="AV628" s="286"/>
      <c r="AW628" s="286"/>
      <c r="AX628" s="286"/>
      <c r="AY628" s="286"/>
      <c r="AZ628" s="286"/>
      <c r="BA628" s="286"/>
      <c r="BB628" s="286"/>
      <c r="BC628" s="286"/>
      <c r="BD628" s="286"/>
      <c r="BE628" s="286"/>
      <c r="BF628" s="286"/>
      <c r="BG628" s="286"/>
      <c r="BH628" s="286"/>
      <c r="BI628" s="286"/>
      <c r="BJ628" s="286"/>
      <c r="BK628" s="286"/>
      <c r="BL628" s="286"/>
      <c r="BM628" s="286"/>
      <c r="BN628" s="286"/>
      <c r="BO628" s="286"/>
      <c r="BP628" s="286"/>
      <c r="BQ628" s="286"/>
      <c r="BR628" s="286"/>
      <c r="BS628" s="286"/>
      <c r="BT628" s="286"/>
      <c r="BU628" s="286"/>
      <c r="BV628" s="286"/>
      <c r="BW628" s="286"/>
      <c r="BX628" s="286"/>
      <c r="BY628" s="286"/>
      <c r="BZ628" s="286"/>
      <c r="CA628" s="286"/>
      <c r="CB628" s="286"/>
      <c r="CC628" s="286"/>
      <c r="CD628" s="286"/>
      <c r="CE628" s="286"/>
      <c r="CF628" s="286"/>
      <c r="CG628" s="286"/>
      <c r="CH628" s="286"/>
      <c r="CI628" s="286"/>
      <c r="CJ628" s="286"/>
      <c r="CK628" s="286"/>
      <c r="CL628" s="286"/>
      <c r="CM628" s="286"/>
      <c r="CN628" s="286"/>
      <c r="CO628" s="286"/>
      <c r="CP628" s="286"/>
      <c r="CQ628" s="286"/>
      <c r="CR628" s="286"/>
      <c r="CS628" s="286"/>
      <c r="CT628" s="286"/>
      <c r="CU628" s="286"/>
      <c r="CV628" s="286"/>
      <c r="CW628" s="286"/>
      <c r="CX628" s="286"/>
      <c r="CY628" s="286"/>
      <c r="CZ628" s="286"/>
      <c r="DA628" s="286"/>
      <c r="DB628" s="286"/>
      <c r="DC628" s="286"/>
      <c r="DD628" s="286"/>
      <c r="DE628" s="286"/>
      <c r="DF628" s="286"/>
      <c r="DG628" s="286"/>
      <c r="DH628" s="286"/>
      <c r="DI628" s="286"/>
      <c r="DJ628" s="286"/>
      <c r="DK628" s="286"/>
      <c r="DL628" s="286"/>
      <c r="DM628" s="286"/>
      <c r="DN628" s="286"/>
      <c r="DO628" s="286"/>
      <c r="DP628" s="286"/>
      <c r="DQ628" s="286"/>
      <c r="DR628" s="286"/>
      <c r="DS628" s="286"/>
      <c r="DT628" s="286"/>
      <c r="DU628" s="286"/>
      <c r="DV628" s="286"/>
      <c r="DW628" s="286"/>
      <c r="DX628" s="286"/>
      <c r="DY628" s="286"/>
      <c r="DZ628" s="286"/>
      <c r="EA628" s="286"/>
      <c r="EB628" s="286"/>
      <c r="EC628" s="286"/>
      <c r="ED628" s="286"/>
      <c r="EE628" s="286"/>
      <c r="EF628" s="286"/>
      <c r="EG628" s="286"/>
      <c r="EH628" s="286"/>
      <c r="EI628" s="286"/>
      <c r="EJ628" s="286"/>
      <c r="EK628" s="286"/>
      <c r="EL628" s="286"/>
      <c r="EM628" s="286"/>
      <c r="EN628" s="286"/>
      <c r="EO628" s="286"/>
      <c r="EP628" s="286"/>
      <c r="EQ628" s="286"/>
      <c r="ER628" s="286"/>
      <c r="ES628" s="286"/>
      <c r="ET628" s="286"/>
      <c r="EU628" s="286"/>
      <c r="EV628" s="286"/>
      <c r="EW628" s="286"/>
      <c r="EX628" s="286"/>
      <c r="EY628" s="286"/>
      <c r="EZ628" s="286"/>
      <c r="FA628" s="286"/>
      <c r="FB628" s="286"/>
      <c r="FC628" s="286"/>
      <c r="FD628" s="286"/>
      <c r="FE628" s="286"/>
      <c r="FF628" s="286"/>
      <c r="FG628" s="286"/>
      <c r="FH628" s="286"/>
      <c r="FI628" s="286"/>
      <c r="FJ628" s="286"/>
      <c r="FK628" s="286"/>
      <c r="FL628" s="286"/>
      <c r="FM628" s="286"/>
      <c r="FN628" s="286"/>
      <c r="FO628" s="286"/>
      <c r="FP628" s="286"/>
      <c r="FQ628" s="286"/>
      <c r="FR628" s="286"/>
      <c r="FS628" s="286"/>
    </row>
    <row r="629" spans="1:175">
      <c r="A629" s="212" t="s">
        <v>3159</v>
      </c>
      <c r="B629" s="212" t="s">
        <v>3160</v>
      </c>
      <c r="C629" s="212" t="s">
        <v>3432</v>
      </c>
      <c r="D629" s="212" t="s">
        <v>3771</v>
      </c>
      <c r="E629" s="280" t="s">
        <v>3809</v>
      </c>
      <c r="F629" s="288">
        <v>447</v>
      </c>
      <c r="G629" s="288">
        <v>2524</v>
      </c>
      <c r="H629" s="289">
        <f t="shared" si="9"/>
        <v>4.9128367670364499</v>
      </c>
      <c r="I629" s="286">
        <v>27</v>
      </c>
      <c r="J629" s="286">
        <v>124</v>
      </c>
      <c r="K629" s="286">
        <v>69</v>
      </c>
      <c r="L629" s="286">
        <v>55</v>
      </c>
      <c r="M629" s="286">
        <v>97</v>
      </c>
      <c r="N629" s="286">
        <v>51</v>
      </c>
      <c r="O629" s="286">
        <v>46</v>
      </c>
      <c r="P629" s="286">
        <v>27</v>
      </c>
      <c r="Q629" s="286">
        <v>124</v>
      </c>
      <c r="R629" s="286">
        <v>69</v>
      </c>
      <c r="S629" s="286">
        <v>55</v>
      </c>
      <c r="T629" s="286">
        <v>97</v>
      </c>
      <c r="U629" s="286">
        <v>51</v>
      </c>
      <c r="V629" s="286">
        <v>46</v>
      </c>
      <c r="W629" s="286"/>
      <c r="X629" s="286"/>
      <c r="Y629" s="286"/>
      <c r="Z629" s="286"/>
      <c r="AA629" s="286"/>
      <c r="AB629" s="286"/>
      <c r="AC629" s="286"/>
      <c r="AD629" s="286"/>
      <c r="AE629" s="286"/>
      <c r="AF629" s="286"/>
      <c r="AG629" s="286"/>
      <c r="AH629" s="286"/>
      <c r="AI629" s="286"/>
      <c r="AJ629" s="286"/>
      <c r="AK629" s="286"/>
      <c r="AL629" s="286"/>
      <c r="AM629" s="286"/>
      <c r="AN629" s="286"/>
      <c r="AO629" s="286"/>
      <c r="AP629" s="286"/>
      <c r="AQ629" s="286"/>
      <c r="AR629" s="286"/>
      <c r="AS629" s="286"/>
      <c r="AT629" s="286"/>
      <c r="AU629" s="286"/>
      <c r="AV629" s="286"/>
      <c r="AW629" s="286"/>
      <c r="AX629" s="286"/>
      <c r="AY629" s="286"/>
      <c r="AZ629" s="286"/>
      <c r="BA629" s="286"/>
      <c r="BB629" s="286"/>
      <c r="BC629" s="286"/>
      <c r="BD629" s="286"/>
      <c r="BE629" s="286"/>
      <c r="BF629" s="286"/>
      <c r="BG629" s="286"/>
      <c r="BH629" s="286"/>
      <c r="BI629" s="286"/>
      <c r="BJ629" s="286"/>
      <c r="BK629" s="286"/>
      <c r="BL629" s="286"/>
      <c r="BM629" s="286"/>
      <c r="BN629" s="286"/>
      <c r="BO629" s="286"/>
      <c r="BP629" s="286"/>
      <c r="BQ629" s="286"/>
      <c r="BR629" s="286"/>
      <c r="BS629" s="286"/>
      <c r="BT629" s="286"/>
      <c r="BU629" s="286"/>
      <c r="BV629" s="286"/>
      <c r="BW629" s="286"/>
      <c r="BX629" s="286"/>
      <c r="BY629" s="286"/>
      <c r="BZ629" s="286"/>
      <c r="CA629" s="286"/>
      <c r="CB629" s="286"/>
      <c r="CC629" s="286"/>
      <c r="CD629" s="286"/>
      <c r="CE629" s="286"/>
      <c r="CF629" s="286"/>
      <c r="CG629" s="286"/>
      <c r="CH629" s="286"/>
      <c r="CI629" s="286"/>
      <c r="CJ629" s="286"/>
      <c r="CK629" s="286"/>
      <c r="CL629" s="286"/>
      <c r="CM629" s="286"/>
      <c r="CN629" s="286"/>
      <c r="CO629" s="286"/>
      <c r="CP629" s="286"/>
      <c r="CQ629" s="286"/>
      <c r="CR629" s="286"/>
      <c r="CS629" s="286"/>
      <c r="CT629" s="286"/>
      <c r="CU629" s="286"/>
      <c r="CV629" s="286"/>
      <c r="CW629" s="286"/>
      <c r="CX629" s="286"/>
      <c r="CY629" s="286"/>
      <c r="CZ629" s="286"/>
      <c r="DA629" s="286"/>
      <c r="DB629" s="286"/>
      <c r="DC629" s="286"/>
      <c r="DD629" s="286"/>
      <c r="DE629" s="286"/>
      <c r="DF629" s="286"/>
      <c r="DG629" s="286"/>
      <c r="DH629" s="286"/>
      <c r="DI629" s="286"/>
      <c r="DJ629" s="286"/>
      <c r="DK629" s="286"/>
      <c r="DL629" s="286"/>
      <c r="DM629" s="286"/>
      <c r="DN629" s="286"/>
      <c r="DO629" s="286"/>
      <c r="DP629" s="286"/>
      <c r="DQ629" s="286"/>
      <c r="DR629" s="286"/>
      <c r="DS629" s="286"/>
      <c r="DT629" s="286"/>
      <c r="DU629" s="286"/>
      <c r="DV629" s="286"/>
      <c r="DW629" s="286"/>
      <c r="DX629" s="286"/>
      <c r="DY629" s="286"/>
      <c r="DZ629" s="286"/>
      <c r="EA629" s="286"/>
      <c r="EB629" s="286"/>
      <c r="EC629" s="286"/>
      <c r="ED629" s="286"/>
      <c r="EE629" s="286"/>
      <c r="EF629" s="286"/>
      <c r="EG629" s="286"/>
      <c r="EH629" s="286"/>
      <c r="EI629" s="286"/>
      <c r="EJ629" s="286"/>
      <c r="EK629" s="286"/>
      <c r="EL629" s="286"/>
      <c r="EM629" s="286"/>
      <c r="EN629" s="286"/>
      <c r="EO629" s="286"/>
      <c r="EP629" s="286"/>
      <c r="EQ629" s="286"/>
      <c r="ER629" s="286"/>
      <c r="ES629" s="286"/>
      <c r="ET629" s="286"/>
      <c r="EU629" s="286"/>
      <c r="EV629" s="286"/>
      <c r="EW629" s="286"/>
      <c r="EX629" s="286"/>
      <c r="EY629" s="286"/>
      <c r="EZ629" s="286"/>
      <c r="FA629" s="286"/>
      <c r="FB629" s="286"/>
      <c r="FC629" s="286"/>
      <c r="FD629" s="286"/>
      <c r="FE629" s="286"/>
      <c r="FF629" s="286"/>
      <c r="FG629" s="286"/>
      <c r="FH629" s="286"/>
      <c r="FI629" s="286"/>
      <c r="FJ629" s="286"/>
      <c r="FK629" s="286"/>
      <c r="FL629" s="286"/>
      <c r="FM629" s="286"/>
      <c r="FN629" s="286"/>
      <c r="FO629" s="286"/>
      <c r="FP629" s="286"/>
      <c r="FQ629" s="286"/>
      <c r="FR629" s="286"/>
      <c r="FS629" s="286"/>
    </row>
    <row r="630" spans="1:175">
      <c r="A630" s="212" t="s">
        <v>3159</v>
      </c>
      <c r="B630" s="212" t="s">
        <v>3160</v>
      </c>
      <c r="C630" s="212" t="s">
        <v>3432</v>
      </c>
      <c r="D630" s="212" t="s">
        <v>3771</v>
      </c>
      <c r="E630" s="280" t="s">
        <v>3810</v>
      </c>
      <c r="F630" s="288">
        <v>455</v>
      </c>
      <c r="G630" s="288">
        <v>2389</v>
      </c>
      <c r="H630" s="289">
        <f t="shared" si="9"/>
        <v>6.3624947676852246</v>
      </c>
      <c r="I630" s="286">
        <v>26</v>
      </c>
      <c r="J630" s="286">
        <v>152</v>
      </c>
      <c r="K630" s="286">
        <v>97</v>
      </c>
      <c r="L630" s="286">
        <v>55</v>
      </c>
      <c r="M630" s="286">
        <v>111</v>
      </c>
      <c r="N630" s="286">
        <v>69</v>
      </c>
      <c r="O630" s="286">
        <v>42</v>
      </c>
      <c r="P630" s="286">
        <v>26</v>
      </c>
      <c r="Q630" s="286">
        <v>152</v>
      </c>
      <c r="R630" s="286">
        <v>97</v>
      </c>
      <c r="S630" s="286">
        <v>55</v>
      </c>
      <c r="T630" s="286">
        <v>111</v>
      </c>
      <c r="U630" s="286">
        <v>69</v>
      </c>
      <c r="V630" s="286">
        <v>42</v>
      </c>
      <c r="W630" s="286"/>
      <c r="X630" s="286"/>
      <c r="Y630" s="286"/>
      <c r="Z630" s="286"/>
      <c r="AA630" s="286"/>
      <c r="AB630" s="286"/>
      <c r="AC630" s="286"/>
      <c r="AD630" s="286"/>
      <c r="AE630" s="286"/>
      <c r="AF630" s="286"/>
      <c r="AG630" s="286"/>
      <c r="AH630" s="286"/>
      <c r="AI630" s="286"/>
      <c r="AJ630" s="286"/>
      <c r="AK630" s="286"/>
      <c r="AL630" s="286"/>
      <c r="AM630" s="286"/>
      <c r="AN630" s="286"/>
      <c r="AO630" s="286"/>
      <c r="AP630" s="286"/>
      <c r="AQ630" s="286"/>
      <c r="AR630" s="286"/>
      <c r="AS630" s="286"/>
      <c r="AT630" s="286"/>
      <c r="AU630" s="286"/>
      <c r="AV630" s="286"/>
      <c r="AW630" s="286"/>
      <c r="AX630" s="286"/>
      <c r="AY630" s="286"/>
      <c r="AZ630" s="286"/>
      <c r="BA630" s="286"/>
      <c r="BB630" s="286"/>
      <c r="BC630" s="286"/>
      <c r="BD630" s="286"/>
      <c r="BE630" s="286"/>
      <c r="BF630" s="286"/>
      <c r="BG630" s="286"/>
      <c r="BH630" s="286"/>
      <c r="BI630" s="286"/>
      <c r="BJ630" s="286"/>
      <c r="BK630" s="286"/>
      <c r="BL630" s="286"/>
      <c r="BM630" s="286"/>
      <c r="BN630" s="286"/>
      <c r="BO630" s="286"/>
      <c r="BP630" s="286"/>
      <c r="BQ630" s="286"/>
      <c r="BR630" s="286"/>
      <c r="BS630" s="286"/>
      <c r="BT630" s="286"/>
      <c r="BU630" s="286"/>
      <c r="BV630" s="286"/>
      <c r="BW630" s="286"/>
      <c r="BX630" s="286"/>
      <c r="BY630" s="286"/>
      <c r="BZ630" s="286"/>
      <c r="CA630" s="286"/>
      <c r="CB630" s="286"/>
      <c r="CC630" s="286"/>
      <c r="CD630" s="286"/>
      <c r="CE630" s="286"/>
      <c r="CF630" s="286"/>
      <c r="CG630" s="286"/>
      <c r="CH630" s="286"/>
      <c r="CI630" s="286"/>
      <c r="CJ630" s="286"/>
      <c r="CK630" s="286"/>
      <c r="CL630" s="286"/>
      <c r="CM630" s="286"/>
      <c r="CN630" s="286"/>
      <c r="CO630" s="286"/>
      <c r="CP630" s="286"/>
      <c r="CQ630" s="286"/>
      <c r="CR630" s="286"/>
      <c r="CS630" s="286"/>
      <c r="CT630" s="286"/>
      <c r="CU630" s="286"/>
      <c r="CV630" s="286"/>
      <c r="CW630" s="286"/>
      <c r="CX630" s="286"/>
      <c r="CY630" s="286"/>
      <c r="CZ630" s="286"/>
      <c r="DA630" s="286"/>
      <c r="DB630" s="286"/>
      <c r="DC630" s="286"/>
      <c r="DD630" s="286"/>
      <c r="DE630" s="286"/>
      <c r="DF630" s="286"/>
      <c r="DG630" s="286"/>
      <c r="DH630" s="286"/>
      <c r="DI630" s="286"/>
      <c r="DJ630" s="286"/>
      <c r="DK630" s="286"/>
      <c r="DL630" s="286"/>
      <c r="DM630" s="286"/>
      <c r="DN630" s="286"/>
      <c r="DO630" s="286"/>
      <c r="DP630" s="286"/>
      <c r="DQ630" s="286"/>
      <c r="DR630" s="286"/>
      <c r="DS630" s="286"/>
      <c r="DT630" s="286"/>
      <c r="DU630" s="286"/>
      <c r="DV630" s="286"/>
      <c r="DW630" s="286"/>
      <c r="DX630" s="286"/>
      <c r="DY630" s="286"/>
      <c r="DZ630" s="286"/>
      <c r="EA630" s="286"/>
      <c r="EB630" s="286"/>
      <c r="EC630" s="286"/>
      <c r="ED630" s="286"/>
      <c r="EE630" s="286"/>
      <c r="EF630" s="286"/>
      <c r="EG630" s="286"/>
      <c r="EH630" s="286"/>
      <c r="EI630" s="286"/>
      <c r="EJ630" s="286"/>
      <c r="EK630" s="286"/>
      <c r="EL630" s="286"/>
      <c r="EM630" s="286"/>
      <c r="EN630" s="286"/>
      <c r="EO630" s="286"/>
      <c r="EP630" s="286"/>
      <c r="EQ630" s="286"/>
      <c r="ER630" s="286"/>
      <c r="ES630" s="286"/>
      <c r="ET630" s="286"/>
      <c r="EU630" s="286"/>
      <c r="EV630" s="286"/>
      <c r="EW630" s="286"/>
      <c r="EX630" s="286"/>
      <c r="EY630" s="286"/>
      <c r="EZ630" s="286"/>
      <c r="FA630" s="286"/>
      <c r="FB630" s="286"/>
      <c r="FC630" s="286"/>
      <c r="FD630" s="286"/>
      <c r="FE630" s="286"/>
      <c r="FF630" s="286"/>
      <c r="FG630" s="286"/>
      <c r="FH630" s="286"/>
      <c r="FI630" s="286"/>
      <c r="FJ630" s="286"/>
      <c r="FK630" s="286"/>
      <c r="FL630" s="286"/>
      <c r="FM630" s="286"/>
      <c r="FN630" s="286"/>
      <c r="FO630" s="286"/>
      <c r="FP630" s="286"/>
      <c r="FQ630" s="286"/>
      <c r="FR630" s="286"/>
      <c r="FS630" s="286"/>
    </row>
    <row r="631" spans="1:175">
      <c r="A631" s="212" t="s">
        <v>3159</v>
      </c>
      <c r="B631" s="212" t="s">
        <v>3160</v>
      </c>
      <c r="C631" s="212" t="s">
        <v>3432</v>
      </c>
      <c r="D631" s="212" t="s">
        <v>3771</v>
      </c>
      <c r="E631" s="280" t="s">
        <v>3811</v>
      </c>
      <c r="F631" s="288">
        <v>7565</v>
      </c>
      <c r="G631" s="288">
        <v>87594</v>
      </c>
      <c r="H631" s="289">
        <f t="shared" si="9"/>
        <v>5.1373381738475237</v>
      </c>
      <c r="I631" s="286">
        <v>321</v>
      </c>
      <c r="J631" s="286">
        <v>4500</v>
      </c>
      <c r="K631" s="286">
        <v>1541</v>
      </c>
      <c r="L631" s="286">
        <v>2959</v>
      </c>
      <c r="M631" s="286">
        <v>4263</v>
      </c>
      <c r="N631" s="286">
        <v>1401</v>
      </c>
      <c r="O631" s="286">
        <v>2862</v>
      </c>
      <c r="P631" s="286">
        <v>321</v>
      </c>
      <c r="Q631" s="286">
        <v>4500</v>
      </c>
      <c r="R631" s="286">
        <v>1541</v>
      </c>
      <c r="S631" s="286">
        <v>2959</v>
      </c>
      <c r="T631" s="286">
        <v>4263</v>
      </c>
      <c r="U631" s="286">
        <v>1401</v>
      </c>
      <c r="V631" s="286">
        <v>2862</v>
      </c>
      <c r="W631" s="286"/>
      <c r="X631" s="286"/>
      <c r="Y631" s="286"/>
      <c r="Z631" s="286"/>
      <c r="AA631" s="286"/>
      <c r="AB631" s="286"/>
      <c r="AC631" s="286"/>
      <c r="AD631" s="286"/>
      <c r="AE631" s="286"/>
      <c r="AF631" s="286"/>
      <c r="AG631" s="286"/>
      <c r="AH631" s="286"/>
      <c r="AI631" s="286"/>
      <c r="AJ631" s="286"/>
      <c r="AK631" s="286"/>
      <c r="AL631" s="286"/>
      <c r="AM631" s="286"/>
      <c r="AN631" s="286"/>
      <c r="AO631" s="286"/>
      <c r="AP631" s="286"/>
      <c r="AQ631" s="286"/>
      <c r="AR631" s="286"/>
      <c r="AS631" s="286"/>
      <c r="AT631" s="286"/>
      <c r="AU631" s="286"/>
      <c r="AV631" s="286"/>
      <c r="AW631" s="286"/>
      <c r="AX631" s="286"/>
      <c r="AY631" s="286"/>
      <c r="AZ631" s="286"/>
      <c r="BA631" s="286"/>
      <c r="BB631" s="286"/>
      <c r="BC631" s="286"/>
      <c r="BD631" s="286"/>
      <c r="BE631" s="286"/>
      <c r="BF631" s="286"/>
      <c r="BG631" s="286"/>
      <c r="BH631" s="286"/>
      <c r="BI631" s="286"/>
      <c r="BJ631" s="286"/>
      <c r="BK631" s="286"/>
      <c r="BL631" s="286"/>
      <c r="BM631" s="286"/>
      <c r="BN631" s="286"/>
      <c r="BO631" s="286"/>
      <c r="BP631" s="286"/>
      <c r="BQ631" s="286"/>
      <c r="BR631" s="286"/>
      <c r="BS631" s="286"/>
      <c r="BT631" s="286"/>
      <c r="BU631" s="286"/>
      <c r="BV631" s="286"/>
      <c r="BW631" s="286"/>
      <c r="BX631" s="286"/>
      <c r="BY631" s="286"/>
      <c r="BZ631" s="286"/>
      <c r="CA631" s="286"/>
      <c r="CB631" s="286"/>
      <c r="CC631" s="286"/>
      <c r="CD631" s="286"/>
      <c r="CE631" s="286"/>
      <c r="CF631" s="286"/>
      <c r="CG631" s="286"/>
      <c r="CH631" s="286"/>
      <c r="CI631" s="286"/>
      <c r="CJ631" s="286"/>
      <c r="CK631" s="286"/>
      <c r="CL631" s="286"/>
      <c r="CM631" s="286"/>
      <c r="CN631" s="286"/>
      <c r="CO631" s="286"/>
      <c r="CP631" s="286"/>
      <c r="CQ631" s="286"/>
      <c r="CR631" s="286"/>
      <c r="CS631" s="286"/>
      <c r="CT631" s="286"/>
      <c r="CU631" s="286"/>
      <c r="CV631" s="286"/>
      <c r="CW631" s="286"/>
      <c r="CX631" s="286"/>
      <c r="CY631" s="286"/>
      <c r="CZ631" s="286"/>
      <c r="DA631" s="286"/>
      <c r="DB631" s="286"/>
      <c r="DC631" s="286"/>
      <c r="DD631" s="286"/>
      <c r="DE631" s="286"/>
      <c r="DF631" s="286"/>
      <c r="DG631" s="286"/>
      <c r="DH631" s="286"/>
      <c r="DI631" s="286"/>
      <c r="DJ631" s="286"/>
      <c r="DK631" s="286"/>
      <c r="DL631" s="286"/>
      <c r="DM631" s="286"/>
      <c r="DN631" s="286"/>
      <c r="DO631" s="286"/>
      <c r="DP631" s="286"/>
      <c r="DQ631" s="286"/>
      <c r="DR631" s="286"/>
      <c r="DS631" s="286"/>
      <c r="DT631" s="286"/>
      <c r="DU631" s="286"/>
      <c r="DV631" s="286"/>
      <c r="DW631" s="286"/>
      <c r="DX631" s="286"/>
      <c r="DY631" s="286"/>
      <c r="DZ631" s="286"/>
      <c r="EA631" s="286"/>
      <c r="EB631" s="286"/>
      <c r="EC631" s="286"/>
      <c r="ED631" s="286"/>
      <c r="EE631" s="286"/>
      <c r="EF631" s="286"/>
      <c r="EG631" s="286"/>
      <c r="EH631" s="286"/>
      <c r="EI631" s="286"/>
      <c r="EJ631" s="286"/>
      <c r="EK631" s="286"/>
      <c r="EL631" s="286"/>
      <c r="EM631" s="286"/>
      <c r="EN631" s="286"/>
      <c r="EO631" s="286"/>
      <c r="EP631" s="286"/>
      <c r="EQ631" s="286"/>
      <c r="ER631" s="286"/>
      <c r="ES631" s="286"/>
      <c r="ET631" s="286"/>
      <c r="EU631" s="286"/>
      <c r="EV631" s="286"/>
      <c r="EW631" s="286"/>
      <c r="EX631" s="286"/>
      <c r="EY631" s="286"/>
      <c r="EZ631" s="286"/>
      <c r="FA631" s="286"/>
      <c r="FB631" s="286"/>
      <c r="FC631" s="286"/>
      <c r="FD631" s="286"/>
      <c r="FE631" s="286"/>
      <c r="FF631" s="286"/>
      <c r="FG631" s="286"/>
      <c r="FH631" s="286"/>
      <c r="FI631" s="286"/>
      <c r="FJ631" s="286"/>
      <c r="FK631" s="286"/>
      <c r="FL631" s="286"/>
      <c r="FM631" s="286"/>
      <c r="FN631" s="286"/>
      <c r="FO631" s="286"/>
      <c r="FP631" s="286"/>
      <c r="FQ631" s="286"/>
      <c r="FR631" s="286"/>
      <c r="FS631" s="286"/>
    </row>
    <row r="632" spans="1:175">
      <c r="A632" s="212" t="s">
        <v>3159</v>
      </c>
      <c r="B632" s="212" t="s">
        <v>3160</v>
      </c>
      <c r="C632" s="212" t="s">
        <v>3172</v>
      </c>
      <c r="D632" s="212" t="s">
        <v>3771</v>
      </c>
      <c r="E632" s="212" t="s">
        <v>3812</v>
      </c>
      <c r="F632" s="278">
        <v>2568</v>
      </c>
      <c r="G632" s="278">
        <v>70542</v>
      </c>
      <c r="H632" s="287">
        <f t="shared" si="9"/>
        <v>3.2292818462759776</v>
      </c>
      <c r="I632" s="286">
        <v>114</v>
      </c>
      <c r="J632" s="286">
        <v>2278</v>
      </c>
      <c r="K632" s="286">
        <v>1203</v>
      </c>
      <c r="L632" s="286">
        <v>1075</v>
      </c>
      <c r="M632" s="286">
        <v>2155</v>
      </c>
      <c r="N632" s="286">
        <v>1142</v>
      </c>
      <c r="O632" s="286">
        <v>1013</v>
      </c>
      <c r="P632" s="286">
        <v>97</v>
      </c>
      <c r="Q632" s="286">
        <v>2127</v>
      </c>
      <c r="R632" s="286">
        <v>1084</v>
      </c>
      <c r="S632" s="286">
        <v>1043</v>
      </c>
      <c r="T632" s="286">
        <v>2004</v>
      </c>
      <c r="U632" s="286">
        <v>1023</v>
      </c>
      <c r="V632" s="286">
        <v>981</v>
      </c>
      <c r="W632" s="286"/>
      <c r="X632" s="286"/>
      <c r="Y632" s="286"/>
      <c r="Z632" s="286"/>
      <c r="AA632" s="286"/>
      <c r="AB632" s="286"/>
      <c r="AC632" s="286"/>
      <c r="AD632" s="286"/>
      <c r="AE632" s="286"/>
      <c r="AF632" s="286"/>
      <c r="AG632" s="286"/>
      <c r="AH632" s="286"/>
      <c r="AI632" s="286"/>
      <c r="AJ632" s="286"/>
      <c r="AK632" s="286"/>
      <c r="AL632" s="286"/>
      <c r="AM632" s="286"/>
      <c r="AN632" s="286"/>
      <c r="AO632" s="286"/>
      <c r="AP632" s="286"/>
      <c r="AQ632" s="286"/>
      <c r="AR632" s="286"/>
      <c r="AS632" s="286"/>
      <c r="AT632" s="286"/>
      <c r="AU632" s="286"/>
      <c r="AV632" s="286"/>
      <c r="AW632" s="286"/>
      <c r="AX632" s="286"/>
      <c r="AY632" s="286"/>
      <c r="AZ632" s="286"/>
      <c r="BA632" s="286"/>
      <c r="BB632" s="286"/>
      <c r="BC632" s="286"/>
      <c r="BD632" s="286"/>
      <c r="BE632" s="286"/>
      <c r="BF632" s="286"/>
      <c r="BG632" s="286"/>
      <c r="BH632" s="286"/>
      <c r="BI632" s="286"/>
      <c r="BJ632" s="286"/>
      <c r="BK632" s="286"/>
      <c r="BL632" s="286"/>
      <c r="BM632" s="286"/>
      <c r="BN632" s="286"/>
      <c r="BO632" s="286"/>
      <c r="BP632" s="286"/>
      <c r="BQ632" s="286"/>
      <c r="BR632" s="286"/>
      <c r="BS632" s="286"/>
      <c r="BT632" s="286"/>
      <c r="BU632" s="286"/>
      <c r="BV632" s="286"/>
      <c r="BW632" s="286"/>
      <c r="BX632" s="286"/>
      <c r="BY632" s="286"/>
      <c r="BZ632" s="286"/>
      <c r="CA632" s="286"/>
      <c r="CB632" s="286"/>
      <c r="CC632" s="286"/>
      <c r="CD632" s="286"/>
      <c r="CE632" s="286"/>
      <c r="CF632" s="286"/>
      <c r="CG632" s="286"/>
      <c r="CH632" s="286"/>
      <c r="CI632" s="286"/>
      <c r="CJ632" s="286"/>
      <c r="CK632" s="286"/>
      <c r="CL632" s="286"/>
      <c r="CM632" s="286"/>
      <c r="CN632" s="286"/>
      <c r="CO632" s="286"/>
      <c r="CP632" s="286"/>
      <c r="CQ632" s="286"/>
      <c r="CR632" s="286"/>
      <c r="CS632" s="286"/>
      <c r="CT632" s="286"/>
      <c r="CU632" s="286"/>
      <c r="CV632" s="286"/>
      <c r="CW632" s="286"/>
      <c r="CX632" s="286"/>
      <c r="CY632" s="286"/>
      <c r="CZ632" s="286"/>
      <c r="DA632" s="286"/>
      <c r="DB632" s="286"/>
      <c r="DC632" s="286"/>
      <c r="DD632" s="286"/>
      <c r="DE632" s="286"/>
      <c r="DF632" s="286"/>
      <c r="DG632" s="286"/>
      <c r="DH632" s="286"/>
      <c r="DI632" s="286"/>
      <c r="DJ632" s="286"/>
      <c r="DK632" s="286"/>
      <c r="DL632" s="286"/>
      <c r="DM632" s="286"/>
      <c r="DN632" s="286"/>
      <c r="DO632" s="286"/>
      <c r="DP632" s="286"/>
      <c r="DQ632" s="286"/>
      <c r="DR632" s="286"/>
      <c r="DS632" s="286"/>
      <c r="DT632" s="286"/>
      <c r="DU632" s="286"/>
      <c r="DV632" s="286"/>
      <c r="DW632" s="286"/>
      <c r="DX632" s="286"/>
      <c r="DY632" s="286"/>
      <c r="DZ632" s="286"/>
      <c r="EA632" s="286"/>
      <c r="EB632" s="286"/>
      <c r="EC632" s="286"/>
      <c r="ED632" s="286"/>
      <c r="EE632" s="286"/>
      <c r="EF632" s="286"/>
      <c r="EG632" s="286"/>
      <c r="EH632" s="286"/>
      <c r="EI632" s="286"/>
      <c r="EJ632" s="286"/>
      <c r="EK632" s="286"/>
      <c r="EL632" s="286"/>
      <c r="EM632" s="286"/>
      <c r="EN632" s="286"/>
      <c r="EO632" s="286"/>
      <c r="EP632" s="286"/>
      <c r="EQ632" s="286"/>
      <c r="ER632" s="286"/>
      <c r="ES632" s="286"/>
      <c r="ET632" s="286"/>
      <c r="EU632" s="286"/>
      <c r="EV632" s="286"/>
      <c r="EW632" s="286"/>
      <c r="EX632" s="286"/>
      <c r="EY632" s="286"/>
      <c r="EZ632" s="286"/>
      <c r="FA632" s="286"/>
      <c r="FB632" s="286"/>
      <c r="FC632" s="286"/>
      <c r="FD632" s="286"/>
      <c r="FE632" s="286"/>
      <c r="FF632" s="286"/>
      <c r="FG632" s="286"/>
      <c r="FH632" s="286"/>
      <c r="FI632" s="286"/>
      <c r="FJ632" s="286"/>
      <c r="FK632" s="286"/>
      <c r="FL632" s="286"/>
      <c r="FM632" s="286"/>
      <c r="FN632" s="286"/>
      <c r="FO632" s="286"/>
      <c r="FP632" s="286"/>
      <c r="FQ632" s="286"/>
      <c r="FR632" s="286"/>
      <c r="FS632" s="286"/>
    </row>
    <row r="633" spans="1:175">
      <c r="A633" s="212" t="s">
        <v>3159</v>
      </c>
      <c r="B633" s="212" t="s">
        <v>3160</v>
      </c>
      <c r="C633" s="212" t="s">
        <v>3172</v>
      </c>
      <c r="D633" s="212" t="s">
        <v>3771</v>
      </c>
      <c r="E633" s="212" t="s">
        <v>3813</v>
      </c>
      <c r="F633" s="278">
        <v>14840</v>
      </c>
      <c r="G633" s="278">
        <v>219747</v>
      </c>
      <c r="H633" s="287">
        <f t="shared" si="9"/>
        <v>3.2114204061943963</v>
      </c>
      <c r="I633" s="286">
        <v>532</v>
      </c>
      <c r="J633" s="286">
        <v>7057</v>
      </c>
      <c r="K633" s="286">
        <v>3917</v>
      </c>
      <c r="L633" s="286">
        <v>3137</v>
      </c>
      <c r="M633" s="286">
        <v>6432</v>
      </c>
      <c r="N633" s="286">
        <v>3571</v>
      </c>
      <c r="O633" s="286">
        <v>2858</v>
      </c>
      <c r="P633" s="286">
        <v>532</v>
      </c>
      <c r="Q633" s="286">
        <v>7057</v>
      </c>
      <c r="R633" s="286">
        <v>3917</v>
      </c>
      <c r="S633" s="286">
        <v>3137</v>
      </c>
      <c r="T633" s="286">
        <v>6432</v>
      </c>
      <c r="U633" s="286">
        <v>3571</v>
      </c>
      <c r="V633" s="286">
        <v>2858</v>
      </c>
      <c r="W633" s="286"/>
      <c r="X633" s="286"/>
      <c r="Y633" s="286"/>
      <c r="Z633" s="286"/>
      <c r="AA633" s="286"/>
      <c r="AB633" s="286"/>
      <c r="AC633" s="286"/>
      <c r="AD633" s="286"/>
      <c r="AE633" s="286"/>
      <c r="AF633" s="286"/>
      <c r="AG633" s="286"/>
      <c r="AH633" s="286"/>
      <c r="AI633" s="286"/>
      <c r="AJ633" s="286"/>
      <c r="AK633" s="286"/>
      <c r="AL633" s="286"/>
      <c r="AM633" s="286"/>
      <c r="AN633" s="286"/>
      <c r="AO633" s="286"/>
      <c r="AP633" s="286"/>
      <c r="AQ633" s="286"/>
      <c r="AR633" s="286"/>
      <c r="AS633" s="286"/>
      <c r="AT633" s="286"/>
      <c r="AU633" s="286"/>
      <c r="AV633" s="286"/>
      <c r="AW633" s="286"/>
      <c r="AX633" s="286"/>
      <c r="AY633" s="286"/>
      <c r="AZ633" s="286"/>
      <c r="BA633" s="286"/>
      <c r="BB633" s="286"/>
      <c r="BC633" s="286"/>
      <c r="BD633" s="286"/>
      <c r="BE633" s="286"/>
      <c r="BF633" s="286"/>
      <c r="BG633" s="286"/>
      <c r="BH633" s="286"/>
      <c r="BI633" s="286"/>
      <c r="BJ633" s="286"/>
      <c r="BK633" s="286"/>
      <c r="BL633" s="286"/>
      <c r="BM633" s="286"/>
      <c r="BN633" s="286"/>
      <c r="BO633" s="286"/>
      <c r="BP633" s="286"/>
      <c r="BQ633" s="286"/>
      <c r="BR633" s="286"/>
      <c r="BS633" s="286"/>
      <c r="BT633" s="286"/>
      <c r="BU633" s="286"/>
      <c r="BV633" s="286"/>
      <c r="BW633" s="286"/>
      <c r="BX633" s="286"/>
      <c r="BY633" s="286"/>
      <c r="BZ633" s="286"/>
      <c r="CA633" s="286"/>
      <c r="CB633" s="286"/>
      <c r="CC633" s="286"/>
      <c r="CD633" s="286"/>
      <c r="CE633" s="286"/>
      <c r="CF633" s="286"/>
      <c r="CG633" s="286"/>
      <c r="CH633" s="286"/>
      <c r="CI633" s="286"/>
      <c r="CJ633" s="286"/>
      <c r="CK633" s="286"/>
      <c r="CL633" s="286"/>
      <c r="CM633" s="286"/>
      <c r="CN633" s="286"/>
      <c r="CO633" s="286"/>
      <c r="CP633" s="286"/>
      <c r="CQ633" s="286"/>
      <c r="CR633" s="286"/>
      <c r="CS633" s="286"/>
      <c r="CT633" s="286"/>
      <c r="CU633" s="286"/>
      <c r="CV633" s="286"/>
      <c r="CW633" s="286"/>
      <c r="CX633" s="286"/>
      <c r="CY633" s="286"/>
      <c r="CZ633" s="286"/>
      <c r="DA633" s="286"/>
      <c r="DB633" s="286"/>
      <c r="DC633" s="286"/>
      <c r="DD633" s="286"/>
      <c r="DE633" s="286"/>
      <c r="DF633" s="286"/>
      <c r="DG633" s="286"/>
      <c r="DH633" s="286"/>
      <c r="DI633" s="286"/>
      <c r="DJ633" s="286"/>
      <c r="DK633" s="286"/>
      <c r="DL633" s="286"/>
      <c r="DM633" s="286"/>
      <c r="DN633" s="286"/>
      <c r="DO633" s="286"/>
      <c r="DP633" s="286"/>
      <c r="DQ633" s="286"/>
      <c r="DR633" s="286"/>
      <c r="DS633" s="286"/>
      <c r="DT633" s="286"/>
      <c r="DU633" s="286"/>
      <c r="DV633" s="286"/>
      <c r="DW633" s="286"/>
      <c r="DX633" s="286"/>
      <c r="DY633" s="286"/>
      <c r="DZ633" s="286"/>
      <c r="EA633" s="286"/>
      <c r="EB633" s="286"/>
      <c r="EC633" s="286"/>
      <c r="ED633" s="286"/>
      <c r="EE633" s="286"/>
      <c r="EF633" s="286"/>
      <c r="EG633" s="286"/>
      <c r="EH633" s="286"/>
      <c r="EI633" s="286"/>
      <c r="EJ633" s="286"/>
      <c r="EK633" s="286"/>
      <c r="EL633" s="286"/>
      <c r="EM633" s="286"/>
      <c r="EN633" s="286"/>
      <c r="EO633" s="286"/>
      <c r="EP633" s="286"/>
      <c r="EQ633" s="286"/>
      <c r="ER633" s="286"/>
      <c r="ES633" s="286"/>
      <c r="ET633" s="286"/>
      <c r="EU633" s="286"/>
      <c r="EV633" s="286"/>
      <c r="EW633" s="286"/>
      <c r="EX633" s="286"/>
      <c r="EY633" s="286"/>
      <c r="EZ633" s="286"/>
      <c r="FA633" s="286"/>
      <c r="FB633" s="286"/>
      <c r="FC633" s="286"/>
      <c r="FD633" s="286"/>
      <c r="FE633" s="286"/>
      <c r="FF633" s="286"/>
      <c r="FG633" s="286"/>
      <c r="FH633" s="286"/>
      <c r="FI633" s="286"/>
      <c r="FJ633" s="286"/>
      <c r="FK633" s="286"/>
      <c r="FL633" s="286"/>
      <c r="FM633" s="286"/>
      <c r="FN633" s="286"/>
      <c r="FO633" s="286"/>
      <c r="FP633" s="286"/>
      <c r="FQ633" s="286"/>
      <c r="FR633" s="286"/>
      <c r="FS633" s="286"/>
    </row>
    <row r="634" spans="1:175">
      <c r="A634" s="212" t="s">
        <v>3159</v>
      </c>
      <c r="B634" s="212" t="s">
        <v>3160</v>
      </c>
      <c r="C634" s="212" t="s">
        <v>3432</v>
      </c>
      <c r="D634" s="212" t="s">
        <v>3771</v>
      </c>
      <c r="E634" s="212" t="s">
        <v>3814</v>
      </c>
      <c r="F634" s="278">
        <v>2761</v>
      </c>
      <c r="G634" s="278">
        <v>9903</v>
      </c>
      <c r="H634" s="287">
        <f t="shared" si="9"/>
        <v>2.6961526810057559</v>
      </c>
      <c r="I634" s="286">
        <v>103</v>
      </c>
      <c r="J634" s="286">
        <v>267</v>
      </c>
      <c r="K634" s="286">
        <v>160</v>
      </c>
      <c r="L634" s="286">
        <v>107</v>
      </c>
      <c r="M634" s="286">
        <v>140</v>
      </c>
      <c r="N634" s="286">
        <v>87</v>
      </c>
      <c r="O634" s="286">
        <v>53</v>
      </c>
      <c r="P634" s="286">
        <v>103</v>
      </c>
      <c r="Q634" s="286">
        <v>267</v>
      </c>
      <c r="R634" s="286">
        <v>160</v>
      </c>
      <c r="S634" s="286">
        <v>107</v>
      </c>
      <c r="T634" s="286">
        <v>140</v>
      </c>
      <c r="U634" s="286">
        <v>87</v>
      </c>
      <c r="V634" s="286">
        <v>53</v>
      </c>
      <c r="W634" s="286"/>
      <c r="X634" s="286"/>
      <c r="Y634" s="286"/>
      <c r="Z634" s="286"/>
      <c r="AA634" s="286"/>
      <c r="AB634" s="286"/>
      <c r="AC634" s="286"/>
      <c r="AD634" s="286"/>
      <c r="AE634" s="286"/>
      <c r="AF634" s="286"/>
      <c r="AG634" s="286"/>
      <c r="AH634" s="286"/>
      <c r="AI634" s="286"/>
      <c r="AJ634" s="286"/>
      <c r="AK634" s="286"/>
      <c r="AL634" s="286"/>
      <c r="AM634" s="286"/>
      <c r="AN634" s="286"/>
      <c r="AO634" s="286"/>
      <c r="AP634" s="286"/>
      <c r="AQ634" s="286"/>
      <c r="AR634" s="286"/>
      <c r="AS634" s="286"/>
      <c r="AT634" s="286"/>
      <c r="AU634" s="286"/>
      <c r="AV634" s="286"/>
      <c r="AW634" s="286"/>
      <c r="AX634" s="286"/>
      <c r="AY634" s="286"/>
      <c r="AZ634" s="286"/>
      <c r="BA634" s="286"/>
      <c r="BB634" s="286"/>
      <c r="BC634" s="286"/>
      <c r="BD634" s="286"/>
      <c r="BE634" s="286"/>
      <c r="BF634" s="286"/>
      <c r="BG634" s="286"/>
      <c r="BH634" s="286"/>
      <c r="BI634" s="286"/>
      <c r="BJ634" s="286"/>
      <c r="BK634" s="286"/>
      <c r="BL634" s="286"/>
      <c r="BM634" s="286"/>
      <c r="BN634" s="286"/>
      <c r="BO634" s="286"/>
      <c r="BP634" s="286"/>
      <c r="BQ634" s="286"/>
      <c r="BR634" s="286"/>
      <c r="BS634" s="286"/>
      <c r="BT634" s="286"/>
      <c r="BU634" s="286"/>
      <c r="BV634" s="286"/>
      <c r="BW634" s="286"/>
      <c r="BX634" s="286"/>
      <c r="BY634" s="286"/>
      <c r="BZ634" s="286"/>
      <c r="CA634" s="286"/>
      <c r="CB634" s="286"/>
      <c r="CC634" s="286"/>
      <c r="CD634" s="286"/>
      <c r="CE634" s="286"/>
      <c r="CF634" s="286"/>
      <c r="CG634" s="286"/>
      <c r="CH634" s="286"/>
      <c r="CI634" s="286"/>
      <c r="CJ634" s="286"/>
      <c r="CK634" s="286"/>
      <c r="CL634" s="286"/>
      <c r="CM634" s="286"/>
      <c r="CN634" s="286"/>
      <c r="CO634" s="286"/>
      <c r="CP634" s="286"/>
      <c r="CQ634" s="286"/>
      <c r="CR634" s="286"/>
      <c r="CS634" s="286"/>
      <c r="CT634" s="286"/>
      <c r="CU634" s="286"/>
      <c r="CV634" s="286"/>
      <c r="CW634" s="286"/>
      <c r="CX634" s="286"/>
      <c r="CY634" s="286"/>
      <c r="CZ634" s="286"/>
      <c r="DA634" s="286"/>
      <c r="DB634" s="286"/>
      <c r="DC634" s="286"/>
      <c r="DD634" s="286"/>
      <c r="DE634" s="286"/>
      <c r="DF634" s="286"/>
      <c r="DG634" s="286"/>
      <c r="DH634" s="286"/>
      <c r="DI634" s="286"/>
      <c r="DJ634" s="286"/>
      <c r="DK634" s="286"/>
      <c r="DL634" s="286"/>
      <c r="DM634" s="286"/>
      <c r="DN634" s="286"/>
      <c r="DO634" s="286"/>
      <c r="DP634" s="286"/>
      <c r="DQ634" s="286"/>
      <c r="DR634" s="286"/>
      <c r="DS634" s="286"/>
      <c r="DT634" s="286"/>
      <c r="DU634" s="286"/>
      <c r="DV634" s="286"/>
      <c r="DW634" s="286"/>
      <c r="DX634" s="286"/>
      <c r="DY634" s="286"/>
      <c r="DZ634" s="286"/>
      <c r="EA634" s="286"/>
      <c r="EB634" s="286"/>
      <c r="EC634" s="286"/>
      <c r="ED634" s="286"/>
      <c r="EE634" s="286"/>
      <c r="EF634" s="286"/>
      <c r="EG634" s="286"/>
      <c r="EH634" s="286"/>
      <c r="EI634" s="286"/>
      <c r="EJ634" s="286"/>
      <c r="EK634" s="286"/>
      <c r="EL634" s="286"/>
      <c r="EM634" s="286"/>
      <c r="EN634" s="286"/>
      <c r="EO634" s="286"/>
      <c r="EP634" s="286"/>
      <c r="EQ634" s="286"/>
      <c r="ER634" s="286"/>
      <c r="ES634" s="286"/>
      <c r="ET634" s="286"/>
      <c r="EU634" s="286"/>
      <c r="EV634" s="286"/>
      <c r="EW634" s="286"/>
      <c r="EX634" s="286"/>
      <c r="EY634" s="286"/>
      <c r="EZ634" s="286"/>
      <c r="FA634" s="286"/>
      <c r="FB634" s="286"/>
      <c r="FC634" s="286"/>
      <c r="FD634" s="286"/>
      <c r="FE634" s="286"/>
      <c r="FF634" s="286"/>
      <c r="FG634" s="286"/>
      <c r="FH634" s="286"/>
      <c r="FI634" s="286"/>
      <c r="FJ634" s="286"/>
      <c r="FK634" s="286"/>
      <c r="FL634" s="286"/>
      <c r="FM634" s="286"/>
      <c r="FN634" s="286"/>
      <c r="FO634" s="286"/>
      <c r="FP634" s="286"/>
      <c r="FQ634" s="286"/>
      <c r="FR634" s="286"/>
      <c r="FS634" s="286"/>
    </row>
    <row r="635" spans="1:175">
      <c r="A635" s="212" t="s">
        <v>3159</v>
      </c>
      <c r="B635" s="212" t="s">
        <v>3160</v>
      </c>
      <c r="C635" s="212" t="s">
        <v>3432</v>
      </c>
      <c r="D635" s="212" t="s">
        <v>3771</v>
      </c>
      <c r="E635" s="212" t="s">
        <v>3815</v>
      </c>
      <c r="F635" s="278">
        <v>8399</v>
      </c>
      <c r="G635" s="278">
        <v>172359</v>
      </c>
      <c r="H635" s="287">
        <f t="shared" si="9"/>
        <v>3.2931265556193758</v>
      </c>
      <c r="I635" s="286">
        <v>298</v>
      </c>
      <c r="J635" s="286">
        <v>5676</v>
      </c>
      <c r="K635" s="286">
        <v>3174</v>
      </c>
      <c r="L635" s="286">
        <v>2502</v>
      </c>
      <c r="M635" s="286">
        <v>5301</v>
      </c>
      <c r="N635" s="286">
        <v>2972</v>
      </c>
      <c r="O635" s="286">
        <v>2329</v>
      </c>
      <c r="P635" s="286">
        <v>298</v>
      </c>
      <c r="Q635" s="286">
        <v>5676</v>
      </c>
      <c r="R635" s="286">
        <v>3174</v>
      </c>
      <c r="S635" s="286">
        <v>2502</v>
      </c>
      <c r="T635" s="286">
        <v>5301</v>
      </c>
      <c r="U635" s="286">
        <v>2972</v>
      </c>
      <c r="V635" s="286">
        <v>2329</v>
      </c>
      <c r="W635" s="286"/>
      <c r="X635" s="286"/>
      <c r="Y635" s="286"/>
      <c r="Z635" s="286"/>
      <c r="AA635" s="286"/>
      <c r="AB635" s="286"/>
      <c r="AC635" s="286"/>
      <c r="AD635" s="286"/>
      <c r="AE635" s="286"/>
      <c r="AF635" s="286"/>
      <c r="AG635" s="286"/>
      <c r="AH635" s="286"/>
      <c r="AI635" s="286"/>
      <c r="AJ635" s="286"/>
      <c r="AK635" s="286"/>
      <c r="AL635" s="286"/>
      <c r="AM635" s="286"/>
      <c r="AN635" s="286"/>
      <c r="AO635" s="286"/>
      <c r="AP635" s="286"/>
      <c r="AQ635" s="286"/>
      <c r="AR635" s="286"/>
      <c r="AS635" s="286"/>
      <c r="AT635" s="286"/>
      <c r="AU635" s="286"/>
      <c r="AV635" s="286"/>
      <c r="AW635" s="286"/>
      <c r="AX635" s="286"/>
      <c r="AY635" s="286"/>
      <c r="AZ635" s="286"/>
      <c r="BA635" s="286"/>
      <c r="BB635" s="286"/>
      <c r="BC635" s="286"/>
      <c r="BD635" s="286"/>
      <c r="BE635" s="286"/>
      <c r="BF635" s="286"/>
      <c r="BG635" s="286"/>
      <c r="BH635" s="286"/>
      <c r="BI635" s="286"/>
      <c r="BJ635" s="286"/>
      <c r="BK635" s="286"/>
      <c r="BL635" s="286"/>
      <c r="BM635" s="286"/>
      <c r="BN635" s="286"/>
      <c r="BO635" s="286"/>
      <c r="BP635" s="286"/>
      <c r="BQ635" s="286"/>
      <c r="BR635" s="286"/>
      <c r="BS635" s="286"/>
      <c r="BT635" s="286"/>
      <c r="BU635" s="286"/>
      <c r="BV635" s="286"/>
      <c r="BW635" s="286"/>
      <c r="BX635" s="286"/>
      <c r="BY635" s="286"/>
      <c r="BZ635" s="286"/>
      <c r="CA635" s="286"/>
      <c r="CB635" s="286"/>
      <c r="CC635" s="286"/>
      <c r="CD635" s="286"/>
      <c r="CE635" s="286"/>
      <c r="CF635" s="286"/>
      <c r="CG635" s="286"/>
      <c r="CH635" s="286"/>
      <c r="CI635" s="286"/>
      <c r="CJ635" s="286"/>
      <c r="CK635" s="286"/>
      <c r="CL635" s="286"/>
      <c r="CM635" s="286"/>
      <c r="CN635" s="286"/>
      <c r="CO635" s="286"/>
      <c r="CP635" s="286"/>
      <c r="CQ635" s="286"/>
      <c r="CR635" s="286"/>
      <c r="CS635" s="286"/>
      <c r="CT635" s="286"/>
      <c r="CU635" s="286"/>
      <c r="CV635" s="286"/>
      <c r="CW635" s="286"/>
      <c r="CX635" s="286"/>
      <c r="CY635" s="286"/>
      <c r="CZ635" s="286"/>
      <c r="DA635" s="286"/>
      <c r="DB635" s="286"/>
      <c r="DC635" s="286"/>
      <c r="DD635" s="286"/>
      <c r="DE635" s="286"/>
      <c r="DF635" s="286"/>
      <c r="DG635" s="286"/>
      <c r="DH635" s="286"/>
      <c r="DI635" s="286"/>
      <c r="DJ635" s="286"/>
      <c r="DK635" s="286"/>
      <c r="DL635" s="286"/>
      <c r="DM635" s="286"/>
      <c r="DN635" s="286"/>
      <c r="DO635" s="286"/>
      <c r="DP635" s="286"/>
      <c r="DQ635" s="286"/>
      <c r="DR635" s="286"/>
      <c r="DS635" s="286"/>
      <c r="DT635" s="286"/>
      <c r="DU635" s="286"/>
      <c r="DV635" s="286"/>
      <c r="DW635" s="286"/>
      <c r="DX635" s="286"/>
      <c r="DY635" s="286"/>
      <c r="DZ635" s="286"/>
      <c r="EA635" s="286"/>
      <c r="EB635" s="286"/>
      <c r="EC635" s="286"/>
      <c r="ED635" s="286"/>
      <c r="EE635" s="286"/>
      <c r="EF635" s="286"/>
      <c r="EG635" s="286"/>
      <c r="EH635" s="286"/>
      <c r="EI635" s="286"/>
      <c r="EJ635" s="286"/>
      <c r="EK635" s="286"/>
      <c r="EL635" s="286"/>
      <c r="EM635" s="286"/>
      <c r="EN635" s="286"/>
      <c r="EO635" s="286"/>
      <c r="EP635" s="286"/>
      <c r="EQ635" s="286"/>
      <c r="ER635" s="286"/>
      <c r="ES635" s="286"/>
      <c r="ET635" s="286"/>
      <c r="EU635" s="286"/>
      <c r="EV635" s="286"/>
      <c r="EW635" s="286"/>
      <c r="EX635" s="286"/>
      <c r="EY635" s="286"/>
      <c r="EZ635" s="286"/>
      <c r="FA635" s="286"/>
      <c r="FB635" s="286"/>
      <c r="FC635" s="286"/>
      <c r="FD635" s="286"/>
      <c r="FE635" s="286"/>
      <c r="FF635" s="286"/>
      <c r="FG635" s="286"/>
      <c r="FH635" s="286"/>
      <c r="FI635" s="286"/>
      <c r="FJ635" s="286"/>
      <c r="FK635" s="286"/>
      <c r="FL635" s="286"/>
      <c r="FM635" s="286"/>
      <c r="FN635" s="286"/>
      <c r="FO635" s="286"/>
      <c r="FP635" s="286"/>
      <c r="FQ635" s="286"/>
      <c r="FR635" s="286"/>
      <c r="FS635" s="286"/>
    </row>
    <row r="636" spans="1:175">
      <c r="A636" s="212" t="s">
        <v>3159</v>
      </c>
      <c r="B636" s="212" t="s">
        <v>3160</v>
      </c>
      <c r="C636" s="212" t="s">
        <v>3432</v>
      </c>
      <c r="D636" s="212" t="s">
        <v>3771</v>
      </c>
      <c r="E636" s="212" t="s">
        <v>3816</v>
      </c>
      <c r="F636" s="278">
        <v>2643</v>
      </c>
      <c r="G636" s="278">
        <v>33551</v>
      </c>
      <c r="H636" s="287">
        <f t="shared" si="9"/>
        <v>2.8881404429078121</v>
      </c>
      <c r="I636" s="286">
        <v>90</v>
      </c>
      <c r="J636" s="286">
        <v>969</v>
      </c>
      <c r="K636" s="286">
        <v>503</v>
      </c>
      <c r="L636" s="286">
        <v>463</v>
      </c>
      <c r="M636" s="286">
        <v>900</v>
      </c>
      <c r="N636" s="286">
        <v>468</v>
      </c>
      <c r="O636" s="286">
        <v>429</v>
      </c>
      <c r="P636" s="286">
        <v>90</v>
      </c>
      <c r="Q636" s="286">
        <v>969</v>
      </c>
      <c r="R636" s="286">
        <v>503</v>
      </c>
      <c r="S636" s="286">
        <v>463</v>
      </c>
      <c r="T636" s="286">
        <v>900</v>
      </c>
      <c r="U636" s="286">
        <v>468</v>
      </c>
      <c r="V636" s="286">
        <v>429</v>
      </c>
      <c r="W636" s="286"/>
      <c r="X636" s="286"/>
      <c r="Y636" s="286"/>
      <c r="Z636" s="286"/>
      <c r="AA636" s="286"/>
      <c r="AB636" s="286"/>
      <c r="AC636" s="286"/>
      <c r="AD636" s="286"/>
      <c r="AE636" s="286"/>
      <c r="AF636" s="286"/>
      <c r="AG636" s="286"/>
      <c r="AH636" s="286"/>
      <c r="AI636" s="286"/>
      <c r="AJ636" s="286"/>
      <c r="AK636" s="286"/>
      <c r="AL636" s="286"/>
      <c r="AM636" s="286"/>
      <c r="AN636" s="286"/>
      <c r="AO636" s="286"/>
      <c r="AP636" s="286"/>
      <c r="AQ636" s="286"/>
      <c r="AR636" s="286"/>
      <c r="AS636" s="286"/>
      <c r="AT636" s="286"/>
      <c r="AU636" s="286"/>
      <c r="AV636" s="286"/>
      <c r="AW636" s="286"/>
      <c r="AX636" s="286"/>
      <c r="AY636" s="286"/>
      <c r="AZ636" s="286"/>
      <c r="BA636" s="286"/>
      <c r="BB636" s="286"/>
      <c r="BC636" s="286"/>
      <c r="BD636" s="286"/>
      <c r="BE636" s="286"/>
      <c r="BF636" s="286"/>
      <c r="BG636" s="286"/>
      <c r="BH636" s="286"/>
      <c r="BI636" s="286"/>
      <c r="BJ636" s="286"/>
      <c r="BK636" s="286"/>
      <c r="BL636" s="286"/>
      <c r="BM636" s="286"/>
      <c r="BN636" s="286"/>
      <c r="BO636" s="286"/>
      <c r="BP636" s="286"/>
      <c r="BQ636" s="286"/>
      <c r="BR636" s="286"/>
      <c r="BS636" s="286"/>
      <c r="BT636" s="286"/>
      <c r="BU636" s="286"/>
      <c r="BV636" s="286"/>
      <c r="BW636" s="286"/>
      <c r="BX636" s="286"/>
      <c r="BY636" s="286"/>
      <c r="BZ636" s="286"/>
      <c r="CA636" s="286"/>
      <c r="CB636" s="286"/>
      <c r="CC636" s="286"/>
      <c r="CD636" s="286"/>
      <c r="CE636" s="286"/>
      <c r="CF636" s="286"/>
      <c r="CG636" s="286"/>
      <c r="CH636" s="286"/>
      <c r="CI636" s="286"/>
      <c r="CJ636" s="286"/>
      <c r="CK636" s="286"/>
      <c r="CL636" s="286"/>
      <c r="CM636" s="286"/>
      <c r="CN636" s="286"/>
      <c r="CO636" s="286"/>
      <c r="CP636" s="286"/>
      <c r="CQ636" s="286"/>
      <c r="CR636" s="286"/>
      <c r="CS636" s="286"/>
      <c r="CT636" s="286"/>
      <c r="CU636" s="286"/>
      <c r="CV636" s="286"/>
      <c r="CW636" s="286"/>
      <c r="CX636" s="286"/>
      <c r="CY636" s="286"/>
      <c r="CZ636" s="286"/>
      <c r="DA636" s="286"/>
      <c r="DB636" s="286"/>
      <c r="DC636" s="286"/>
      <c r="DD636" s="286"/>
      <c r="DE636" s="286"/>
      <c r="DF636" s="286"/>
      <c r="DG636" s="286"/>
      <c r="DH636" s="286"/>
      <c r="DI636" s="286"/>
      <c r="DJ636" s="286"/>
      <c r="DK636" s="286"/>
      <c r="DL636" s="286"/>
      <c r="DM636" s="286"/>
      <c r="DN636" s="286"/>
      <c r="DO636" s="286"/>
      <c r="DP636" s="286"/>
      <c r="DQ636" s="286"/>
      <c r="DR636" s="286"/>
      <c r="DS636" s="286"/>
      <c r="DT636" s="286"/>
      <c r="DU636" s="286"/>
      <c r="DV636" s="286"/>
      <c r="DW636" s="286"/>
      <c r="DX636" s="286"/>
      <c r="DY636" s="286"/>
      <c r="DZ636" s="286"/>
      <c r="EA636" s="286"/>
      <c r="EB636" s="286"/>
      <c r="EC636" s="286"/>
      <c r="ED636" s="286"/>
      <c r="EE636" s="286"/>
      <c r="EF636" s="286"/>
      <c r="EG636" s="286"/>
      <c r="EH636" s="286"/>
      <c r="EI636" s="286"/>
      <c r="EJ636" s="286"/>
      <c r="EK636" s="286"/>
      <c r="EL636" s="286"/>
      <c r="EM636" s="286"/>
      <c r="EN636" s="286"/>
      <c r="EO636" s="286"/>
      <c r="EP636" s="286"/>
      <c r="EQ636" s="286"/>
      <c r="ER636" s="286"/>
      <c r="ES636" s="286"/>
      <c r="ET636" s="286"/>
      <c r="EU636" s="286"/>
      <c r="EV636" s="286"/>
      <c r="EW636" s="286"/>
      <c r="EX636" s="286"/>
      <c r="EY636" s="286"/>
      <c r="EZ636" s="286"/>
      <c r="FA636" s="286"/>
      <c r="FB636" s="286"/>
      <c r="FC636" s="286"/>
      <c r="FD636" s="286"/>
      <c r="FE636" s="286"/>
      <c r="FF636" s="286"/>
      <c r="FG636" s="286"/>
      <c r="FH636" s="286"/>
      <c r="FI636" s="286"/>
      <c r="FJ636" s="286"/>
      <c r="FK636" s="286"/>
      <c r="FL636" s="286"/>
      <c r="FM636" s="286"/>
      <c r="FN636" s="286"/>
      <c r="FO636" s="286"/>
      <c r="FP636" s="286"/>
      <c r="FQ636" s="286"/>
      <c r="FR636" s="286"/>
      <c r="FS636" s="286"/>
    </row>
    <row r="637" spans="1:175">
      <c r="A637" s="212" t="s">
        <v>3159</v>
      </c>
      <c r="B637" s="212" t="s">
        <v>3160</v>
      </c>
      <c r="C637" s="212" t="s">
        <v>3432</v>
      </c>
      <c r="D637" s="212" t="s">
        <v>3771</v>
      </c>
      <c r="E637" s="212" t="s">
        <v>3817</v>
      </c>
      <c r="F637" s="278">
        <v>1037</v>
      </c>
      <c r="G637" s="278">
        <v>3934</v>
      </c>
      <c r="H637" s="287">
        <f t="shared" si="9"/>
        <v>3.6858159633960343</v>
      </c>
      <c r="I637" s="286">
        <v>41</v>
      </c>
      <c r="J637" s="286">
        <v>145</v>
      </c>
      <c r="K637" s="286">
        <v>80</v>
      </c>
      <c r="L637" s="286">
        <v>65</v>
      </c>
      <c r="M637" s="286">
        <v>91</v>
      </c>
      <c r="N637" s="286">
        <v>44</v>
      </c>
      <c r="O637" s="286">
        <v>47</v>
      </c>
      <c r="P637" s="286">
        <v>41</v>
      </c>
      <c r="Q637" s="286">
        <v>145</v>
      </c>
      <c r="R637" s="286">
        <v>80</v>
      </c>
      <c r="S637" s="286">
        <v>65</v>
      </c>
      <c r="T637" s="286">
        <v>91</v>
      </c>
      <c r="U637" s="286">
        <v>44</v>
      </c>
      <c r="V637" s="286">
        <v>47</v>
      </c>
      <c r="W637" s="286"/>
      <c r="X637" s="286"/>
      <c r="Y637" s="286"/>
      <c r="Z637" s="286"/>
      <c r="AA637" s="286"/>
      <c r="AB637" s="286"/>
      <c r="AC637" s="286"/>
      <c r="AD637" s="286"/>
      <c r="AE637" s="286"/>
      <c r="AF637" s="286"/>
      <c r="AG637" s="286"/>
      <c r="AH637" s="286"/>
      <c r="AI637" s="286"/>
      <c r="AJ637" s="286"/>
      <c r="AK637" s="286"/>
      <c r="AL637" s="286"/>
      <c r="AM637" s="286"/>
      <c r="AN637" s="286"/>
      <c r="AO637" s="286"/>
      <c r="AP637" s="286"/>
      <c r="AQ637" s="286"/>
      <c r="AR637" s="286"/>
      <c r="AS637" s="286"/>
      <c r="AT637" s="286"/>
      <c r="AU637" s="286"/>
      <c r="AV637" s="286"/>
      <c r="AW637" s="286"/>
      <c r="AX637" s="286"/>
      <c r="AY637" s="286"/>
      <c r="AZ637" s="286"/>
      <c r="BA637" s="286"/>
      <c r="BB637" s="286"/>
      <c r="BC637" s="286"/>
      <c r="BD637" s="286"/>
      <c r="BE637" s="286"/>
      <c r="BF637" s="286"/>
      <c r="BG637" s="286"/>
      <c r="BH637" s="286"/>
      <c r="BI637" s="286"/>
      <c r="BJ637" s="286"/>
      <c r="BK637" s="286"/>
      <c r="BL637" s="286"/>
      <c r="BM637" s="286"/>
      <c r="BN637" s="286"/>
      <c r="BO637" s="286"/>
      <c r="BP637" s="286"/>
      <c r="BQ637" s="286"/>
      <c r="BR637" s="286"/>
      <c r="BS637" s="286"/>
      <c r="BT637" s="286"/>
      <c r="BU637" s="286"/>
      <c r="BV637" s="286"/>
      <c r="BW637" s="286"/>
      <c r="BX637" s="286"/>
      <c r="BY637" s="286"/>
      <c r="BZ637" s="286"/>
      <c r="CA637" s="286"/>
      <c r="CB637" s="286"/>
      <c r="CC637" s="286"/>
      <c r="CD637" s="286"/>
      <c r="CE637" s="286"/>
      <c r="CF637" s="286"/>
      <c r="CG637" s="286"/>
      <c r="CH637" s="286"/>
      <c r="CI637" s="286"/>
      <c r="CJ637" s="286"/>
      <c r="CK637" s="286"/>
      <c r="CL637" s="286"/>
      <c r="CM637" s="286"/>
      <c r="CN637" s="286"/>
      <c r="CO637" s="286"/>
      <c r="CP637" s="286"/>
      <c r="CQ637" s="286"/>
      <c r="CR637" s="286"/>
      <c r="CS637" s="286"/>
      <c r="CT637" s="286"/>
      <c r="CU637" s="286"/>
      <c r="CV637" s="286"/>
      <c r="CW637" s="286"/>
      <c r="CX637" s="286"/>
      <c r="CY637" s="286"/>
      <c r="CZ637" s="286"/>
      <c r="DA637" s="286"/>
      <c r="DB637" s="286"/>
      <c r="DC637" s="286"/>
      <c r="DD637" s="286"/>
      <c r="DE637" s="286"/>
      <c r="DF637" s="286"/>
      <c r="DG637" s="286"/>
      <c r="DH637" s="286"/>
      <c r="DI637" s="286"/>
      <c r="DJ637" s="286"/>
      <c r="DK637" s="286"/>
      <c r="DL637" s="286"/>
      <c r="DM637" s="286"/>
      <c r="DN637" s="286"/>
      <c r="DO637" s="286"/>
      <c r="DP637" s="286"/>
      <c r="DQ637" s="286"/>
      <c r="DR637" s="286"/>
      <c r="DS637" s="286"/>
      <c r="DT637" s="286"/>
      <c r="DU637" s="286"/>
      <c r="DV637" s="286"/>
      <c r="DW637" s="286"/>
      <c r="DX637" s="286"/>
      <c r="DY637" s="286"/>
      <c r="DZ637" s="286"/>
      <c r="EA637" s="286"/>
      <c r="EB637" s="286"/>
      <c r="EC637" s="286"/>
      <c r="ED637" s="286"/>
      <c r="EE637" s="286"/>
      <c r="EF637" s="286"/>
      <c r="EG637" s="286"/>
      <c r="EH637" s="286"/>
      <c r="EI637" s="286"/>
      <c r="EJ637" s="286"/>
      <c r="EK637" s="286"/>
      <c r="EL637" s="286"/>
      <c r="EM637" s="286"/>
      <c r="EN637" s="286"/>
      <c r="EO637" s="286"/>
      <c r="EP637" s="286"/>
      <c r="EQ637" s="286"/>
      <c r="ER637" s="286"/>
      <c r="ES637" s="286"/>
      <c r="ET637" s="286"/>
      <c r="EU637" s="286"/>
      <c r="EV637" s="286"/>
      <c r="EW637" s="286"/>
      <c r="EX637" s="286"/>
      <c r="EY637" s="286"/>
      <c r="EZ637" s="286"/>
      <c r="FA637" s="286"/>
      <c r="FB637" s="286"/>
      <c r="FC637" s="286"/>
      <c r="FD637" s="286"/>
      <c r="FE637" s="286"/>
      <c r="FF637" s="286"/>
      <c r="FG637" s="286"/>
      <c r="FH637" s="286"/>
      <c r="FI637" s="286"/>
      <c r="FJ637" s="286"/>
      <c r="FK637" s="286"/>
      <c r="FL637" s="286"/>
      <c r="FM637" s="286"/>
      <c r="FN637" s="286"/>
      <c r="FO637" s="286"/>
      <c r="FP637" s="286"/>
      <c r="FQ637" s="286"/>
      <c r="FR637" s="286"/>
      <c r="FS637" s="286"/>
    </row>
    <row r="638" spans="1:175">
      <c r="A638" s="212" t="s">
        <v>3159</v>
      </c>
      <c r="B638" s="212" t="s">
        <v>3160</v>
      </c>
      <c r="C638" s="212" t="s">
        <v>3172</v>
      </c>
      <c r="D638" s="212" t="s">
        <v>3771</v>
      </c>
      <c r="E638" s="212" t="s">
        <v>3818</v>
      </c>
      <c r="F638" s="278">
        <v>12053</v>
      </c>
      <c r="G638" s="278">
        <v>105386</v>
      </c>
      <c r="H638" s="287">
        <f t="shared" si="9"/>
        <v>3.1408346459681553</v>
      </c>
      <c r="I638" s="286">
        <v>349</v>
      </c>
      <c r="J638" s="286">
        <v>3310</v>
      </c>
      <c r="K638" s="286">
        <v>1605</v>
      </c>
      <c r="L638" s="286">
        <v>1705</v>
      </c>
      <c r="M638" s="286">
        <v>2514</v>
      </c>
      <c r="N638" s="286">
        <v>1161</v>
      </c>
      <c r="O638" s="286">
        <v>1353</v>
      </c>
      <c r="P638" s="286">
        <v>349</v>
      </c>
      <c r="Q638" s="286">
        <v>3310</v>
      </c>
      <c r="R638" s="286">
        <v>1605</v>
      </c>
      <c r="S638" s="286">
        <v>1705</v>
      </c>
      <c r="T638" s="286">
        <v>2514</v>
      </c>
      <c r="U638" s="286">
        <v>1161</v>
      </c>
      <c r="V638" s="286">
        <v>1353</v>
      </c>
      <c r="W638" s="286"/>
      <c r="X638" s="286"/>
      <c r="Y638" s="286"/>
      <c r="Z638" s="286"/>
      <c r="AA638" s="286"/>
      <c r="AB638" s="286"/>
      <c r="AC638" s="286"/>
      <c r="AD638" s="286"/>
      <c r="AE638" s="286"/>
      <c r="AF638" s="286"/>
      <c r="AG638" s="286"/>
      <c r="AH638" s="286"/>
      <c r="AI638" s="286"/>
      <c r="AJ638" s="286"/>
      <c r="AK638" s="286"/>
      <c r="AL638" s="286"/>
      <c r="AM638" s="286"/>
      <c r="AN638" s="286"/>
      <c r="AO638" s="286"/>
      <c r="AP638" s="286"/>
      <c r="AQ638" s="286"/>
      <c r="AR638" s="286"/>
      <c r="AS638" s="286"/>
      <c r="AT638" s="286"/>
      <c r="AU638" s="286"/>
      <c r="AV638" s="286"/>
      <c r="AW638" s="286"/>
      <c r="AX638" s="286"/>
      <c r="AY638" s="286"/>
      <c r="AZ638" s="286"/>
      <c r="BA638" s="286"/>
      <c r="BB638" s="286"/>
      <c r="BC638" s="286"/>
      <c r="BD638" s="286"/>
      <c r="BE638" s="286"/>
      <c r="BF638" s="286"/>
      <c r="BG638" s="286"/>
      <c r="BH638" s="286"/>
      <c r="BI638" s="286"/>
      <c r="BJ638" s="286"/>
      <c r="BK638" s="286"/>
      <c r="BL638" s="286"/>
      <c r="BM638" s="286"/>
      <c r="BN638" s="286"/>
      <c r="BO638" s="286"/>
      <c r="BP638" s="286"/>
      <c r="BQ638" s="286"/>
      <c r="BR638" s="286"/>
      <c r="BS638" s="286"/>
      <c r="BT638" s="286"/>
      <c r="BU638" s="286"/>
      <c r="BV638" s="286"/>
      <c r="BW638" s="286"/>
      <c r="BX638" s="286"/>
      <c r="BY638" s="286"/>
      <c r="BZ638" s="286"/>
      <c r="CA638" s="286"/>
      <c r="CB638" s="286"/>
      <c r="CC638" s="286"/>
      <c r="CD638" s="286"/>
      <c r="CE638" s="286"/>
      <c r="CF638" s="286"/>
      <c r="CG638" s="286"/>
      <c r="CH638" s="286"/>
      <c r="CI638" s="286"/>
      <c r="CJ638" s="286"/>
      <c r="CK638" s="286"/>
      <c r="CL638" s="286"/>
      <c r="CM638" s="286"/>
      <c r="CN638" s="286"/>
      <c r="CO638" s="286"/>
      <c r="CP638" s="286"/>
      <c r="CQ638" s="286"/>
      <c r="CR638" s="286"/>
      <c r="CS638" s="286"/>
      <c r="CT638" s="286"/>
      <c r="CU638" s="286"/>
      <c r="CV638" s="286"/>
      <c r="CW638" s="286"/>
      <c r="CX638" s="286"/>
      <c r="CY638" s="286"/>
      <c r="CZ638" s="286"/>
      <c r="DA638" s="286"/>
      <c r="DB638" s="286"/>
      <c r="DC638" s="286"/>
      <c r="DD638" s="286"/>
      <c r="DE638" s="286"/>
      <c r="DF638" s="286"/>
      <c r="DG638" s="286"/>
      <c r="DH638" s="286"/>
      <c r="DI638" s="286"/>
      <c r="DJ638" s="286"/>
      <c r="DK638" s="286"/>
      <c r="DL638" s="286"/>
      <c r="DM638" s="286"/>
      <c r="DN638" s="286"/>
      <c r="DO638" s="286"/>
      <c r="DP638" s="286"/>
      <c r="DQ638" s="286"/>
      <c r="DR638" s="286"/>
      <c r="DS638" s="286"/>
      <c r="DT638" s="286"/>
      <c r="DU638" s="286"/>
      <c r="DV638" s="286"/>
      <c r="DW638" s="286"/>
      <c r="DX638" s="286"/>
      <c r="DY638" s="286"/>
      <c r="DZ638" s="286"/>
      <c r="EA638" s="286"/>
      <c r="EB638" s="286"/>
      <c r="EC638" s="286"/>
      <c r="ED638" s="286"/>
      <c r="EE638" s="286"/>
      <c r="EF638" s="286"/>
      <c r="EG638" s="286"/>
      <c r="EH638" s="286"/>
      <c r="EI638" s="286"/>
      <c r="EJ638" s="286"/>
      <c r="EK638" s="286"/>
      <c r="EL638" s="286"/>
      <c r="EM638" s="286"/>
      <c r="EN638" s="286"/>
      <c r="EO638" s="286"/>
      <c r="EP638" s="286"/>
      <c r="EQ638" s="286"/>
      <c r="ER638" s="286"/>
      <c r="ES638" s="286"/>
      <c r="ET638" s="286"/>
      <c r="EU638" s="286"/>
      <c r="EV638" s="286"/>
      <c r="EW638" s="286"/>
      <c r="EX638" s="286"/>
      <c r="EY638" s="286"/>
      <c r="EZ638" s="286"/>
      <c r="FA638" s="286"/>
      <c r="FB638" s="286"/>
      <c r="FC638" s="286"/>
      <c r="FD638" s="286"/>
      <c r="FE638" s="286"/>
      <c r="FF638" s="286"/>
      <c r="FG638" s="286"/>
      <c r="FH638" s="286"/>
      <c r="FI638" s="286"/>
      <c r="FJ638" s="286"/>
      <c r="FK638" s="286"/>
      <c r="FL638" s="286"/>
      <c r="FM638" s="286"/>
      <c r="FN638" s="286"/>
      <c r="FO638" s="286"/>
      <c r="FP638" s="286"/>
      <c r="FQ638" s="286"/>
      <c r="FR638" s="286"/>
      <c r="FS638" s="286"/>
    </row>
    <row r="639" spans="1:175">
      <c r="A639" s="212" t="s">
        <v>3159</v>
      </c>
      <c r="B639" s="212" t="s">
        <v>3160</v>
      </c>
      <c r="C639" s="212" t="s">
        <v>3432</v>
      </c>
      <c r="D639" s="212" t="s">
        <v>3771</v>
      </c>
      <c r="E639" s="212" t="s">
        <v>3819</v>
      </c>
      <c r="F639" s="278">
        <v>4504</v>
      </c>
      <c r="G639" s="278">
        <v>46818</v>
      </c>
      <c r="H639" s="287">
        <f t="shared" si="9"/>
        <v>3.376906318082789</v>
      </c>
      <c r="I639" s="286">
        <v>166</v>
      </c>
      <c r="J639" s="286">
        <v>1581</v>
      </c>
      <c r="K639" s="286">
        <v>775</v>
      </c>
      <c r="L639" s="286">
        <v>806</v>
      </c>
      <c r="M639" s="286">
        <v>1071</v>
      </c>
      <c r="N639" s="286">
        <v>535</v>
      </c>
      <c r="O639" s="286">
        <v>536</v>
      </c>
      <c r="P639" s="286">
        <v>166</v>
      </c>
      <c r="Q639" s="286">
        <v>1581</v>
      </c>
      <c r="R639" s="286">
        <v>775</v>
      </c>
      <c r="S639" s="286">
        <v>806</v>
      </c>
      <c r="T639" s="286">
        <v>1071</v>
      </c>
      <c r="U639" s="286">
        <v>535</v>
      </c>
      <c r="V639" s="286">
        <v>536</v>
      </c>
      <c r="W639" s="286"/>
      <c r="X639" s="286"/>
      <c r="Y639" s="286"/>
      <c r="Z639" s="286"/>
      <c r="AA639" s="286"/>
      <c r="AB639" s="286"/>
      <c r="AC639" s="286"/>
      <c r="AD639" s="286"/>
      <c r="AE639" s="286"/>
      <c r="AF639" s="286"/>
      <c r="AG639" s="286"/>
      <c r="AH639" s="286"/>
      <c r="AI639" s="286"/>
      <c r="AJ639" s="286"/>
      <c r="AK639" s="286"/>
      <c r="AL639" s="286"/>
      <c r="AM639" s="286"/>
      <c r="AN639" s="286"/>
      <c r="AO639" s="286"/>
      <c r="AP639" s="286"/>
      <c r="AQ639" s="286"/>
      <c r="AR639" s="286"/>
      <c r="AS639" s="286"/>
      <c r="AT639" s="286"/>
      <c r="AU639" s="286"/>
      <c r="AV639" s="286"/>
      <c r="AW639" s="286"/>
      <c r="AX639" s="286"/>
      <c r="AY639" s="286"/>
      <c r="AZ639" s="286"/>
      <c r="BA639" s="286"/>
      <c r="BB639" s="286"/>
      <c r="BC639" s="286"/>
      <c r="BD639" s="286"/>
      <c r="BE639" s="286"/>
      <c r="BF639" s="286"/>
      <c r="BG639" s="286"/>
      <c r="BH639" s="286"/>
      <c r="BI639" s="286"/>
      <c r="BJ639" s="286"/>
      <c r="BK639" s="286"/>
      <c r="BL639" s="286"/>
      <c r="BM639" s="286"/>
      <c r="BN639" s="286"/>
      <c r="BO639" s="286"/>
      <c r="BP639" s="286"/>
      <c r="BQ639" s="286"/>
      <c r="BR639" s="286"/>
      <c r="BS639" s="286"/>
      <c r="BT639" s="286"/>
      <c r="BU639" s="286"/>
      <c r="BV639" s="286"/>
      <c r="BW639" s="286"/>
      <c r="BX639" s="286"/>
      <c r="BY639" s="286"/>
      <c r="BZ639" s="286"/>
      <c r="CA639" s="286"/>
      <c r="CB639" s="286"/>
      <c r="CC639" s="286"/>
      <c r="CD639" s="286"/>
      <c r="CE639" s="286"/>
      <c r="CF639" s="286"/>
      <c r="CG639" s="286"/>
      <c r="CH639" s="286"/>
      <c r="CI639" s="286"/>
      <c r="CJ639" s="286"/>
      <c r="CK639" s="286"/>
      <c r="CL639" s="286"/>
      <c r="CM639" s="286"/>
      <c r="CN639" s="286"/>
      <c r="CO639" s="286"/>
      <c r="CP639" s="286"/>
      <c r="CQ639" s="286"/>
      <c r="CR639" s="286"/>
      <c r="CS639" s="286"/>
      <c r="CT639" s="286"/>
      <c r="CU639" s="286"/>
      <c r="CV639" s="286"/>
      <c r="CW639" s="286"/>
      <c r="CX639" s="286"/>
      <c r="CY639" s="286"/>
      <c r="CZ639" s="286"/>
      <c r="DA639" s="286"/>
      <c r="DB639" s="286"/>
      <c r="DC639" s="286"/>
      <c r="DD639" s="286"/>
      <c r="DE639" s="286"/>
      <c r="DF639" s="286"/>
      <c r="DG639" s="286"/>
      <c r="DH639" s="286"/>
      <c r="DI639" s="286"/>
      <c r="DJ639" s="286"/>
      <c r="DK639" s="286"/>
      <c r="DL639" s="286"/>
      <c r="DM639" s="286"/>
      <c r="DN639" s="286"/>
      <c r="DO639" s="286"/>
      <c r="DP639" s="286"/>
      <c r="DQ639" s="286"/>
      <c r="DR639" s="286"/>
      <c r="DS639" s="286"/>
      <c r="DT639" s="286"/>
      <c r="DU639" s="286"/>
      <c r="DV639" s="286"/>
      <c r="DW639" s="286"/>
      <c r="DX639" s="286"/>
      <c r="DY639" s="286"/>
      <c r="DZ639" s="286"/>
      <c r="EA639" s="286"/>
      <c r="EB639" s="286"/>
      <c r="EC639" s="286"/>
      <c r="ED639" s="286"/>
      <c r="EE639" s="286"/>
      <c r="EF639" s="286"/>
      <c r="EG639" s="286"/>
      <c r="EH639" s="286"/>
      <c r="EI639" s="286"/>
      <c r="EJ639" s="286"/>
      <c r="EK639" s="286"/>
      <c r="EL639" s="286"/>
      <c r="EM639" s="286"/>
      <c r="EN639" s="286"/>
      <c r="EO639" s="286"/>
      <c r="EP639" s="286"/>
      <c r="EQ639" s="286"/>
      <c r="ER639" s="286"/>
      <c r="ES639" s="286"/>
      <c r="ET639" s="286"/>
      <c r="EU639" s="286"/>
      <c r="EV639" s="286"/>
      <c r="EW639" s="286"/>
      <c r="EX639" s="286"/>
      <c r="EY639" s="286"/>
      <c r="EZ639" s="286"/>
      <c r="FA639" s="286"/>
      <c r="FB639" s="286"/>
      <c r="FC639" s="286"/>
      <c r="FD639" s="286"/>
      <c r="FE639" s="286"/>
      <c r="FF639" s="286"/>
      <c r="FG639" s="286"/>
      <c r="FH639" s="286"/>
      <c r="FI639" s="286"/>
      <c r="FJ639" s="286"/>
      <c r="FK639" s="286"/>
      <c r="FL639" s="286"/>
      <c r="FM639" s="286"/>
      <c r="FN639" s="286"/>
      <c r="FO639" s="286"/>
      <c r="FP639" s="286"/>
      <c r="FQ639" s="286"/>
      <c r="FR639" s="286"/>
      <c r="FS639" s="286"/>
    </row>
    <row r="640" spans="1:175">
      <c r="A640" s="212" t="s">
        <v>3159</v>
      </c>
      <c r="B640" s="212" t="s">
        <v>3160</v>
      </c>
      <c r="C640" s="212" t="s">
        <v>3432</v>
      </c>
      <c r="D640" s="212" t="s">
        <v>3771</v>
      </c>
      <c r="E640" s="212" t="s">
        <v>3820</v>
      </c>
      <c r="F640" s="278">
        <v>1238</v>
      </c>
      <c r="G640" s="278">
        <v>12872</v>
      </c>
      <c r="H640" s="287">
        <f t="shared" si="9"/>
        <v>1.7945929148539466</v>
      </c>
      <c r="I640" s="286">
        <v>30</v>
      </c>
      <c r="J640" s="286">
        <v>231</v>
      </c>
      <c r="K640" s="286">
        <v>125</v>
      </c>
      <c r="L640" s="286">
        <v>106</v>
      </c>
      <c r="M640" s="286">
        <v>200</v>
      </c>
      <c r="N640" s="286">
        <v>103</v>
      </c>
      <c r="O640" s="286">
        <v>97</v>
      </c>
      <c r="P640" s="286">
        <v>30</v>
      </c>
      <c r="Q640" s="286">
        <v>231</v>
      </c>
      <c r="R640" s="286">
        <v>125</v>
      </c>
      <c r="S640" s="286">
        <v>106</v>
      </c>
      <c r="T640" s="286">
        <v>200</v>
      </c>
      <c r="U640" s="286">
        <v>103</v>
      </c>
      <c r="V640" s="286">
        <v>97</v>
      </c>
      <c r="W640" s="286"/>
      <c r="X640" s="286"/>
      <c r="Y640" s="286"/>
      <c r="Z640" s="286"/>
      <c r="AA640" s="286"/>
      <c r="AB640" s="286"/>
      <c r="AC640" s="286"/>
      <c r="AD640" s="286"/>
      <c r="AE640" s="286"/>
      <c r="AF640" s="286"/>
      <c r="AG640" s="286"/>
      <c r="AH640" s="286"/>
      <c r="AI640" s="286"/>
      <c r="AJ640" s="286"/>
      <c r="AK640" s="286"/>
      <c r="AL640" s="286"/>
      <c r="AM640" s="286"/>
      <c r="AN640" s="286"/>
      <c r="AO640" s="286"/>
      <c r="AP640" s="286"/>
      <c r="AQ640" s="286"/>
      <c r="AR640" s="286"/>
      <c r="AS640" s="286"/>
      <c r="AT640" s="286"/>
      <c r="AU640" s="286"/>
      <c r="AV640" s="286"/>
      <c r="AW640" s="286"/>
      <c r="AX640" s="286"/>
      <c r="AY640" s="286"/>
      <c r="AZ640" s="286"/>
      <c r="BA640" s="286"/>
      <c r="BB640" s="286"/>
      <c r="BC640" s="286"/>
      <c r="BD640" s="286"/>
      <c r="BE640" s="286"/>
      <c r="BF640" s="286"/>
      <c r="BG640" s="286"/>
      <c r="BH640" s="286"/>
      <c r="BI640" s="286"/>
      <c r="BJ640" s="286"/>
      <c r="BK640" s="286"/>
      <c r="BL640" s="286"/>
      <c r="BM640" s="286"/>
      <c r="BN640" s="286"/>
      <c r="BO640" s="286"/>
      <c r="BP640" s="286"/>
      <c r="BQ640" s="286"/>
      <c r="BR640" s="286"/>
      <c r="BS640" s="286"/>
      <c r="BT640" s="286"/>
      <c r="BU640" s="286"/>
      <c r="BV640" s="286"/>
      <c r="BW640" s="286"/>
      <c r="BX640" s="286"/>
      <c r="BY640" s="286"/>
      <c r="BZ640" s="286"/>
      <c r="CA640" s="286"/>
      <c r="CB640" s="286"/>
      <c r="CC640" s="286"/>
      <c r="CD640" s="286"/>
      <c r="CE640" s="286"/>
      <c r="CF640" s="286"/>
      <c r="CG640" s="286"/>
      <c r="CH640" s="286"/>
      <c r="CI640" s="286"/>
      <c r="CJ640" s="286"/>
      <c r="CK640" s="286"/>
      <c r="CL640" s="286"/>
      <c r="CM640" s="286"/>
      <c r="CN640" s="286"/>
      <c r="CO640" s="286"/>
      <c r="CP640" s="286"/>
      <c r="CQ640" s="286"/>
      <c r="CR640" s="286"/>
      <c r="CS640" s="286"/>
      <c r="CT640" s="286"/>
      <c r="CU640" s="286"/>
      <c r="CV640" s="286"/>
      <c r="CW640" s="286"/>
      <c r="CX640" s="286"/>
      <c r="CY640" s="286"/>
      <c r="CZ640" s="286"/>
      <c r="DA640" s="286"/>
      <c r="DB640" s="286"/>
      <c r="DC640" s="286"/>
      <c r="DD640" s="286"/>
      <c r="DE640" s="286"/>
      <c r="DF640" s="286"/>
      <c r="DG640" s="286"/>
      <c r="DH640" s="286"/>
      <c r="DI640" s="286"/>
      <c r="DJ640" s="286"/>
      <c r="DK640" s="286"/>
      <c r="DL640" s="286"/>
      <c r="DM640" s="286"/>
      <c r="DN640" s="286"/>
      <c r="DO640" s="286"/>
      <c r="DP640" s="286"/>
      <c r="DQ640" s="286"/>
      <c r="DR640" s="286"/>
      <c r="DS640" s="286"/>
      <c r="DT640" s="286"/>
      <c r="DU640" s="286"/>
      <c r="DV640" s="286"/>
      <c r="DW640" s="286"/>
      <c r="DX640" s="286"/>
      <c r="DY640" s="286"/>
      <c r="DZ640" s="286"/>
      <c r="EA640" s="286"/>
      <c r="EB640" s="286"/>
      <c r="EC640" s="286"/>
      <c r="ED640" s="286"/>
      <c r="EE640" s="286"/>
      <c r="EF640" s="286"/>
      <c r="EG640" s="286"/>
      <c r="EH640" s="286"/>
      <c r="EI640" s="286"/>
      <c r="EJ640" s="286"/>
      <c r="EK640" s="286"/>
      <c r="EL640" s="286"/>
      <c r="EM640" s="286"/>
      <c r="EN640" s="286"/>
      <c r="EO640" s="286"/>
      <c r="EP640" s="286"/>
      <c r="EQ640" s="286"/>
      <c r="ER640" s="286"/>
      <c r="ES640" s="286"/>
      <c r="ET640" s="286"/>
      <c r="EU640" s="286"/>
      <c r="EV640" s="286"/>
      <c r="EW640" s="286"/>
      <c r="EX640" s="286"/>
      <c r="EY640" s="286"/>
      <c r="EZ640" s="286"/>
      <c r="FA640" s="286"/>
      <c r="FB640" s="286"/>
      <c r="FC640" s="286"/>
      <c r="FD640" s="286"/>
      <c r="FE640" s="286"/>
      <c r="FF640" s="286"/>
      <c r="FG640" s="286"/>
      <c r="FH640" s="286"/>
      <c r="FI640" s="286"/>
      <c r="FJ640" s="286"/>
      <c r="FK640" s="286"/>
      <c r="FL640" s="286"/>
      <c r="FM640" s="286"/>
      <c r="FN640" s="286"/>
      <c r="FO640" s="286"/>
      <c r="FP640" s="286"/>
      <c r="FQ640" s="286"/>
      <c r="FR640" s="286"/>
      <c r="FS640" s="286"/>
    </row>
    <row r="641" spans="1:175">
      <c r="A641" s="212" t="s">
        <v>3159</v>
      </c>
      <c r="B641" s="212" t="s">
        <v>3160</v>
      </c>
      <c r="C641" s="212" t="s">
        <v>3432</v>
      </c>
      <c r="D641" s="212" t="s">
        <v>3771</v>
      </c>
      <c r="E641" s="212" t="s">
        <v>3821</v>
      </c>
      <c r="F641" s="278">
        <v>6311</v>
      </c>
      <c r="G641" s="278">
        <v>45696</v>
      </c>
      <c r="H641" s="287">
        <f t="shared" si="9"/>
        <v>3.278186274509804</v>
      </c>
      <c r="I641" s="286">
        <v>153</v>
      </c>
      <c r="J641" s="286">
        <v>1498</v>
      </c>
      <c r="K641" s="286">
        <v>705</v>
      </c>
      <c r="L641" s="286">
        <v>793</v>
      </c>
      <c r="M641" s="286">
        <v>1243</v>
      </c>
      <c r="N641" s="286">
        <v>523</v>
      </c>
      <c r="O641" s="286">
        <v>720</v>
      </c>
      <c r="P641" s="286">
        <v>153</v>
      </c>
      <c r="Q641" s="286">
        <v>1498</v>
      </c>
      <c r="R641" s="286">
        <v>705</v>
      </c>
      <c r="S641" s="286">
        <v>793</v>
      </c>
      <c r="T641" s="286">
        <v>1243</v>
      </c>
      <c r="U641" s="286">
        <v>523</v>
      </c>
      <c r="V641" s="286">
        <v>720</v>
      </c>
      <c r="W641" s="286"/>
      <c r="X641" s="286"/>
      <c r="Y641" s="286"/>
      <c r="Z641" s="286"/>
      <c r="AA641" s="286"/>
      <c r="AB641" s="286"/>
      <c r="AC641" s="286"/>
      <c r="AD641" s="286"/>
      <c r="AE641" s="286"/>
      <c r="AF641" s="286"/>
      <c r="AG641" s="286"/>
      <c r="AH641" s="286"/>
      <c r="AI641" s="286"/>
      <c r="AJ641" s="286"/>
      <c r="AK641" s="286"/>
      <c r="AL641" s="286"/>
      <c r="AM641" s="286"/>
      <c r="AN641" s="286"/>
      <c r="AO641" s="286"/>
      <c r="AP641" s="286"/>
      <c r="AQ641" s="286"/>
      <c r="AR641" s="286"/>
      <c r="AS641" s="286"/>
      <c r="AT641" s="286"/>
      <c r="AU641" s="286"/>
      <c r="AV641" s="286"/>
      <c r="AW641" s="286"/>
      <c r="AX641" s="286"/>
      <c r="AY641" s="286"/>
      <c r="AZ641" s="286"/>
      <c r="BA641" s="286"/>
      <c r="BB641" s="286"/>
      <c r="BC641" s="286"/>
      <c r="BD641" s="286"/>
      <c r="BE641" s="286"/>
      <c r="BF641" s="286"/>
      <c r="BG641" s="286"/>
      <c r="BH641" s="286"/>
      <c r="BI641" s="286"/>
      <c r="BJ641" s="286"/>
      <c r="BK641" s="286"/>
      <c r="BL641" s="286"/>
      <c r="BM641" s="286"/>
      <c r="BN641" s="286"/>
      <c r="BO641" s="286"/>
      <c r="BP641" s="286"/>
      <c r="BQ641" s="286"/>
      <c r="BR641" s="286"/>
      <c r="BS641" s="286"/>
      <c r="BT641" s="286"/>
      <c r="BU641" s="286"/>
      <c r="BV641" s="286"/>
      <c r="BW641" s="286"/>
      <c r="BX641" s="286"/>
      <c r="BY641" s="286"/>
      <c r="BZ641" s="286"/>
      <c r="CA641" s="286"/>
      <c r="CB641" s="286"/>
      <c r="CC641" s="286"/>
      <c r="CD641" s="286"/>
      <c r="CE641" s="286"/>
      <c r="CF641" s="286"/>
      <c r="CG641" s="286"/>
      <c r="CH641" s="286"/>
      <c r="CI641" s="286"/>
      <c r="CJ641" s="286"/>
      <c r="CK641" s="286"/>
      <c r="CL641" s="286"/>
      <c r="CM641" s="286"/>
      <c r="CN641" s="286"/>
      <c r="CO641" s="286"/>
      <c r="CP641" s="286"/>
      <c r="CQ641" s="286"/>
      <c r="CR641" s="286"/>
      <c r="CS641" s="286"/>
      <c r="CT641" s="286"/>
      <c r="CU641" s="286"/>
      <c r="CV641" s="286"/>
      <c r="CW641" s="286"/>
      <c r="CX641" s="286"/>
      <c r="CY641" s="286"/>
      <c r="CZ641" s="286"/>
      <c r="DA641" s="286"/>
      <c r="DB641" s="286"/>
      <c r="DC641" s="286"/>
      <c r="DD641" s="286"/>
      <c r="DE641" s="286"/>
      <c r="DF641" s="286"/>
      <c r="DG641" s="286"/>
      <c r="DH641" s="286"/>
      <c r="DI641" s="286"/>
      <c r="DJ641" s="286"/>
      <c r="DK641" s="286"/>
      <c r="DL641" s="286"/>
      <c r="DM641" s="286"/>
      <c r="DN641" s="286"/>
      <c r="DO641" s="286"/>
      <c r="DP641" s="286"/>
      <c r="DQ641" s="286"/>
      <c r="DR641" s="286"/>
      <c r="DS641" s="286"/>
      <c r="DT641" s="286"/>
      <c r="DU641" s="286"/>
      <c r="DV641" s="286"/>
      <c r="DW641" s="286"/>
      <c r="DX641" s="286"/>
      <c r="DY641" s="286"/>
      <c r="DZ641" s="286"/>
      <c r="EA641" s="286"/>
      <c r="EB641" s="286"/>
      <c r="EC641" s="286"/>
      <c r="ED641" s="286"/>
      <c r="EE641" s="286"/>
      <c r="EF641" s="286"/>
      <c r="EG641" s="286"/>
      <c r="EH641" s="286"/>
      <c r="EI641" s="286"/>
      <c r="EJ641" s="286"/>
      <c r="EK641" s="286"/>
      <c r="EL641" s="286"/>
      <c r="EM641" s="286"/>
      <c r="EN641" s="286"/>
      <c r="EO641" s="286"/>
      <c r="EP641" s="286"/>
      <c r="EQ641" s="286"/>
      <c r="ER641" s="286"/>
      <c r="ES641" s="286"/>
      <c r="ET641" s="286"/>
      <c r="EU641" s="286"/>
      <c r="EV641" s="286"/>
      <c r="EW641" s="286"/>
      <c r="EX641" s="286"/>
      <c r="EY641" s="286"/>
      <c r="EZ641" s="286"/>
      <c r="FA641" s="286"/>
      <c r="FB641" s="286"/>
      <c r="FC641" s="286"/>
      <c r="FD641" s="286"/>
      <c r="FE641" s="286"/>
      <c r="FF641" s="286"/>
      <c r="FG641" s="286"/>
      <c r="FH641" s="286"/>
      <c r="FI641" s="286"/>
      <c r="FJ641" s="286"/>
      <c r="FK641" s="286"/>
      <c r="FL641" s="286"/>
      <c r="FM641" s="286"/>
      <c r="FN641" s="286"/>
      <c r="FO641" s="286"/>
      <c r="FP641" s="286"/>
      <c r="FQ641" s="286"/>
      <c r="FR641" s="286"/>
      <c r="FS641" s="286"/>
    </row>
    <row r="642" spans="1:175">
      <c r="A642" s="212" t="s">
        <v>3159</v>
      </c>
      <c r="B642" s="212" t="s">
        <v>3160</v>
      </c>
      <c r="C642" s="212" t="s">
        <v>3168</v>
      </c>
      <c r="D642" s="212" t="s">
        <v>3822</v>
      </c>
      <c r="E642" s="212" t="s">
        <v>3823</v>
      </c>
      <c r="F642" s="278">
        <v>213536</v>
      </c>
      <c r="G642" s="278">
        <v>3347777</v>
      </c>
      <c r="H642" s="287">
        <f t="shared" si="9"/>
        <v>4.5484212359425378</v>
      </c>
      <c r="I642" s="286">
        <v>10022</v>
      </c>
      <c r="J642" s="286">
        <v>152271</v>
      </c>
      <c r="K642" s="286">
        <v>65119</v>
      </c>
      <c r="L642" s="286">
        <v>86980</v>
      </c>
      <c r="M642" s="286">
        <v>138783</v>
      </c>
      <c r="N642" s="286">
        <v>58280</v>
      </c>
      <c r="O642" s="286">
        <v>80333</v>
      </c>
      <c r="P642" s="286">
        <v>7888</v>
      </c>
      <c r="Q642" s="286">
        <v>93819</v>
      </c>
      <c r="R642" s="286">
        <v>40540</v>
      </c>
      <c r="S642" s="286">
        <v>53107</v>
      </c>
      <c r="T642" s="286">
        <v>80735</v>
      </c>
      <c r="U642" s="286">
        <v>33851</v>
      </c>
      <c r="V642" s="286">
        <v>46714</v>
      </c>
      <c r="W642" s="286"/>
      <c r="X642" s="286"/>
      <c r="Y642" s="286"/>
      <c r="Z642" s="286"/>
      <c r="AA642" s="286"/>
      <c r="AB642" s="286"/>
      <c r="AC642" s="286"/>
      <c r="AD642" s="286"/>
      <c r="AE642" s="286"/>
      <c r="AF642" s="286"/>
      <c r="AG642" s="286"/>
      <c r="AH642" s="286"/>
      <c r="AI642" s="286"/>
      <c r="AJ642" s="286"/>
      <c r="AK642" s="286"/>
      <c r="AL642" s="286"/>
      <c r="AM642" s="286"/>
      <c r="AN642" s="286"/>
      <c r="AO642" s="286"/>
      <c r="AP642" s="286"/>
      <c r="AQ642" s="286"/>
      <c r="AR642" s="286"/>
      <c r="AS642" s="286"/>
      <c r="AT642" s="286"/>
      <c r="AU642" s="286"/>
      <c r="AV642" s="286"/>
      <c r="AW642" s="286"/>
      <c r="AX642" s="286"/>
      <c r="AY642" s="286"/>
      <c r="AZ642" s="286"/>
      <c r="BA642" s="286"/>
      <c r="BB642" s="286"/>
      <c r="BC642" s="286"/>
      <c r="BD642" s="286"/>
      <c r="BE642" s="286"/>
      <c r="BF642" s="286"/>
      <c r="BG642" s="286"/>
      <c r="BH642" s="286"/>
      <c r="BI642" s="286"/>
      <c r="BJ642" s="286"/>
      <c r="BK642" s="286"/>
      <c r="BL642" s="286"/>
      <c r="BM642" s="286"/>
      <c r="BN642" s="286"/>
      <c r="BO642" s="286"/>
      <c r="BP642" s="286"/>
      <c r="BQ642" s="286"/>
      <c r="BR642" s="286"/>
      <c r="BS642" s="286"/>
      <c r="BT642" s="286"/>
      <c r="BU642" s="286"/>
      <c r="BV642" s="286"/>
      <c r="BW642" s="286"/>
      <c r="BX642" s="286"/>
      <c r="BY642" s="286"/>
      <c r="BZ642" s="286"/>
      <c r="CA642" s="286"/>
      <c r="CB642" s="286"/>
      <c r="CC642" s="286"/>
      <c r="CD642" s="286"/>
      <c r="CE642" s="286"/>
      <c r="CF642" s="286"/>
      <c r="CG642" s="286"/>
      <c r="CH642" s="286"/>
      <c r="CI642" s="286"/>
      <c r="CJ642" s="286"/>
      <c r="CK642" s="286"/>
      <c r="CL642" s="286"/>
      <c r="CM642" s="286"/>
      <c r="CN642" s="286"/>
      <c r="CO642" s="286"/>
      <c r="CP642" s="286"/>
      <c r="CQ642" s="286"/>
      <c r="CR642" s="286"/>
      <c r="CS642" s="286"/>
      <c r="CT642" s="286"/>
      <c r="CU642" s="286"/>
      <c r="CV642" s="286"/>
      <c r="CW642" s="286"/>
      <c r="CX642" s="286"/>
      <c r="CY642" s="286"/>
      <c r="CZ642" s="286"/>
      <c r="DA642" s="286"/>
      <c r="DB642" s="286"/>
      <c r="DC642" s="286"/>
      <c r="DD642" s="286"/>
      <c r="DE642" s="286"/>
      <c r="DF642" s="286"/>
      <c r="DG642" s="286"/>
      <c r="DH642" s="286"/>
      <c r="DI642" s="286"/>
      <c r="DJ642" s="286"/>
      <c r="DK642" s="286"/>
      <c r="DL642" s="286"/>
      <c r="DM642" s="286"/>
      <c r="DN642" s="286"/>
      <c r="DO642" s="286"/>
      <c r="DP642" s="286"/>
      <c r="DQ642" s="286"/>
      <c r="DR642" s="286"/>
      <c r="DS642" s="286"/>
      <c r="DT642" s="286"/>
      <c r="DU642" s="286"/>
      <c r="DV642" s="286"/>
      <c r="DW642" s="286"/>
      <c r="DX642" s="286"/>
      <c r="DY642" s="286"/>
      <c r="DZ642" s="286"/>
      <c r="EA642" s="286"/>
      <c r="EB642" s="286"/>
      <c r="EC642" s="286"/>
      <c r="ED642" s="286"/>
      <c r="EE642" s="286"/>
      <c r="EF642" s="286"/>
      <c r="EG642" s="286"/>
      <c r="EH642" s="286"/>
      <c r="EI642" s="286"/>
      <c r="EJ642" s="286"/>
      <c r="EK642" s="286"/>
      <c r="EL642" s="286"/>
      <c r="EM642" s="286"/>
      <c r="EN642" s="286"/>
      <c r="EO642" s="286"/>
      <c r="EP642" s="286"/>
      <c r="EQ642" s="286"/>
      <c r="ER642" s="286"/>
      <c r="ES642" s="286"/>
      <c r="ET642" s="286"/>
      <c r="EU642" s="286"/>
      <c r="EV642" s="286"/>
      <c r="EW642" s="286"/>
      <c r="EX642" s="286"/>
      <c r="EY642" s="286"/>
      <c r="EZ642" s="286"/>
      <c r="FA642" s="286"/>
      <c r="FB642" s="286"/>
      <c r="FC642" s="286"/>
      <c r="FD642" s="286"/>
      <c r="FE642" s="286"/>
      <c r="FF642" s="286"/>
      <c r="FG642" s="286"/>
      <c r="FH642" s="286"/>
      <c r="FI642" s="286"/>
      <c r="FJ642" s="286"/>
      <c r="FK642" s="286"/>
      <c r="FL642" s="286"/>
      <c r="FM642" s="286"/>
      <c r="FN642" s="286"/>
      <c r="FO642" s="286"/>
      <c r="FP642" s="286"/>
      <c r="FQ642" s="286"/>
      <c r="FR642" s="286"/>
      <c r="FS642" s="286"/>
    </row>
    <row r="643" spans="1:175">
      <c r="A643" s="212" t="s">
        <v>3159</v>
      </c>
      <c r="B643" s="212" t="s">
        <v>3160</v>
      </c>
      <c r="C643" s="212" t="s">
        <v>3459</v>
      </c>
      <c r="D643" s="212" t="s">
        <v>3824</v>
      </c>
      <c r="E643" s="212" t="s">
        <v>3825</v>
      </c>
      <c r="F643" s="278">
        <v>57293</v>
      </c>
      <c r="G643" s="278">
        <v>2381381</v>
      </c>
      <c r="H643" s="287">
        <f t="shared" si="9"/>
        <v>4.5209481389160322</v>
      </c>
      <c r="I643" s="286">
        <v>2583</v>
      </c>
      <c r="J643" s="286">
        <v>107661</v>
      </c>
      <c r="K643" s="286">
        <v>44471</v>
      </c>
      <c r="L643" s="286">
        <v>63157</v>
      </c>
      <c r="M643" s="286">
        <v>103427</v>
      </c>
      <c r="N643" s="286">
        <v>41797</v>
      </c>
      <c r="O643" s="286">
        <v>61597</v>
      </c>
      <c r="P643" s="286">
        <v>955</v>
      </c>
      <c r="Q643" s="286">
        <v>53307</v>
      </c>
      <c r="R643" s="286">
        <v>22093</v>
      </c>
      <c r="S643" s="286">
        <v>31181</v>
      </c>
      <c r="T643" s="286">
        <v>49282</v>
      </c>
      <c r="U643" s="286">
        <v>19464</v>
      </c>
      <c r="V643" s="286">
        <v>29785</v>
      </c>
      <c r="W643" s="286"/>
      <c r="X643" s="286"/>
      <c r="Y643" s="286"/>
      <c r="Z643" s="286"/>
      <c r="AA643" s="286"/>
      <c r="AB643" s="286"/>
      <c r="AC643" s="286"/>
      <c r="AD643" s="286"/>
      <c r="AE643" s="286"/>
      <c r="AF643" s="286"/>
      <c r="AG643" s="286"/>
      <c r="AH643" s="286"/>
      <c r="AI643" s="286"/>
      <c r="AJ643" s="286"/>
      <c r="AK643" s="286"/>
      <c r="AL643" s="286"/>
      <c r="AM643" s="286"/>
      <c r="AN643" s="286"/>
      <c r="AO643" s="286"/>
      <c r="AP643" s="286"/>
      <c r="AQ643" s="286"/>
      <c r="AR643" s="286"/>
      <c r="AS643" s="286"/>
      <c r="AT643" s="286"/>
      <c r="AU643" s="286"/>
      <c r="AV643" s="286"/>
      <c r="AW643" s="286"/>
      <c r="AX643" s="286"/>
      <c r="AY643" s="286"/>
      <c r="AZ643" s="286"/>
      <c r="BA643" s="286"/>
      <c r="BB643" s="286"/>
      <c r="BC643" s="286"/>
      <c r="BD643" s="286"/>
      <c r="BE643" s="286"/>
      <c r="BF643" s="286"/>
      <c r="BG643" s="286"/>
      <c r="BH643" s="286"/>
      <c r="BI643" s="286"/>
      <c r="BJ643" s="286"/>
      <c r="BK643" s="286"/>
      <c r="BL643" s="286"/>
      <c r="BM643" s="286"/>
      <c r="BN643" s="286"/>
      <c r="BO643" s="286"/>
      <c r="BP643" s="286"/>
      <c r="BQ643" s="286"/>
      <c r="BR643" s="286"/>
      <c r="BS643" s="286"/>
      <c r="BT643" s="286"/>
      <c r="BU643" s="286"/>
      <c r="BV643" s="286"/>
      <c r="BW643" s="286"/>
      <c r="BX643" s="286"/>
      <c r="BY643" s="286"/>
      <c r="BZ643" s="286"/>
      <c r="CA643" s="286"/>
      <c r="CB643" s="286"/>
      <c r="CC643" s="286"/>
      <c r="CD643" s="286"/>
      <c r="CE643" s="286"/>
      <c r="CF643" s="286"/>
      <c r="CG643" s="286"/>
      <c r="CH643" s="286"/>
      <c r="CI643" s="286"/>
      <c r="CJ643" s="286"/>
      <c r="CK643" s="286"/>
      <c r="CL643" s="286"/>
      <c r="CM643" s="286"/>
      <c r="CN643" s="286"/>
      <c r="CO643" s="286"/>
      <c r="CP643" s="286"/>
      <c r="CQ643" s="286"/>
      <c r="CR643" s="286"/>
      <c r="CS643" s="286"/>
      <c r="CT643" s="286"/>
      <c r="CU643" s="286"/>
      <c r="CV643" s="286"/>
      <c r="CW643" s="286"/>
      <c r="CX643" s="286"/>
      <c r="CY643" s="286"/>
      <c r="CZ643" s="286"/>
      <c r="DA643" s="286"/>
      <c r="DB643" s="286"/>
      <c r="DC643" s="286"/>
      <c r="DD643" s="286"/>
      <c r="DE643" s="286"/>
      <c r="DF643" s="286"/>
      <c r="DG643" s="286"/>
      <c r="DH643" s="286"/>
      <c r="DI643" s="286"/>
      <c r="DJ643" s="286"/>
      <c r="DK643" s="286"/>
      <c r="DL643" s="286"/>
      <c r="DM643" s="286"/>
      <c r="DN643" s="286"/>
      <c r="DO643" s="286"/>
      <c r="DP643" s="286"/>
      <c r="DQ643" s="286"/>
      <c r="DR643" s="286"/>
      <c r="DS643" s="286"/>
      <c r="DT643" s="286"/>
      <c r="DU643" s="286"/>
      <c r="DV643" s="286"/>
      <c r="DW643" s="286"/>
      <c r="DX643" s="286"/>
      <c r="DY643" s="286"/>
      <c r="DZ643" s="286"/>
      <c r="EA643" s="286"/>
      <c r="EB643" s="286"/>
      <c r="EC643" s="286"/>
      <c r="ED643" s="286"/>
      <c r="EE643" s="286"/>
      <c r="EF643" s="286"/>
      <c r="EG643" s="286"/>
      <c r="EH643" s="286"/>
      <c r="EI643" s="286"/>
      <c r="EJ643" s="286"/>
      <c r="EK643" s="286"/>
      <c r="EL643" s="286"/>
      <c r="EM643" s="286"/>
      <c r="EN643" s="286"/>
      <c r="EO643" s="286"/>
      <c r="EP643" s="286"/>
      <c r="EQ643" s="286"/>
      <c r="ER643" s="286"/>
      <c r="ES643" s="286"/>
      <c r="ET643" s="286"/>
      <c r="EU643" s="286"/>
      <c r="EV643" s="286"/>
      <c r="EW643" s="286"/>
      <c r="EX643" s="286"/>
      <c r="EY643" s="286"/>
      <c r="EZ643" s="286"/>
      <c r="FA643" s="286"/>
      <c r="FB643" s="286"/>
      <c r="FC643" s="286"/>
      <c r="FD643" s="286"/>
      <c r="FE643" s="286"/>
      <c r="FF643" s="286"/>
      <c r="FG643" s="286"/>
      <c r="FH643" s="286"/>
      <c r="FI643" s="286"/>
      <c r="FJ643" s="286"/>
      <c r="FK643" s="286"/>
      <c r="FL643" s="286"/>
      <c r="FM643" s="286"/>
      <c r="FN643" s="286"/>
      <c r="FO643" s="286"/>
      <c r="FP643" s="286"/>
      <c r="FQ643" s="286"/>
      <c r="FR643" s="286"/>
      <c r="FS643" s="286"/>
    </row>
    <row r="644" spans="1:175">
      <c r="A644" s="212" t="s">
        <v>3159</v>
      </c>
      <c r="B644" s="212" t="s">
        <v>3160</v>
      </c>
      <c r="C644" s="212" t="s">
        <v>3170</v>
      </c>
      <c r="D644" s="212" t="s">
        <v>3824</v>
      </c>
      <c r="E644" s="212" t="s">
        <v>3826</v>
      </c>
      <c r="F644" s="278">
        <v>57293</v>
      </c>
      <c r="G644" s="278">
        <v>2381381</v>
      </c>
      <c r="H644" s="287">
        <f t="shared" si="9"/>
        <v>4.5209481389160322</v>
      </c>
      <c r="I644" s="286">
        <v>2583</v>
      </c>
      <c r="J644" s="286">
        <v>107661</v>
      </c>
      <c r="K644" s="286">
        <v>44471</v>
      </c>
      <c r="L644" s="286">
        <v>63157</v>
      </c>
      <c r="M644" s="286">
        <v>103427</v>
      </c>
      <c r="N644" s="286">
        <v>41797</v>
      </c>
      <c r="O644" s="286">
        <v>61597</v>
      </c>
      <c r="P644" s="286">
        <v>955</v>
      </c>
      <c r="Q644" s="286">
        <v>53307</v>
      </c>
      <c r="R644" s="286">
        <v>22093</v>
      </c>
      <c r="S644" s="286">
        <v>31181</v>
      </c>
      <c r="T644" s="286">
        <v>49282</v>
      </c>
      <c r="U644" s="286">
        <v>19464</v>
      </c>
      <c r="V644" s="286">
        <v>29785</v>
      </c>
      <c r="W644" s="286"/>
      <c r="X644" s="286"/>
      <c r="Y644" s="286"/>
      <c r="Z644" s="286"/>
      <c r="AA644" s="286"/>
      <c r="AB644" s="286"/>
      <c r="AC644" s="286"/>
      <c r="AD644" s="286"/>
      <c r="AE644" s="286"/>
      <c r="AF644" s="286"/>
      <c r="AG644" s="286"/>
      <c r="AH644" s="286"/>
      <c r="AI644" s="286"/>
      <c r="AJ644" s="286"/>
      <c r="AK644" s="286"/>
      <c r="AL644" s="286"/>
      <c r="AM644" s="286"/>
      <c r="AN644" s="286"/>
      <c r="AO644" s="286"/>
      <c r="AP644" s="286"/>
      <c r="AQ644" s="286"/>
      <c r="AR644" s="286"/>
      <c r="AS644" s="286"/>
      <c r="AT644" s="286"/>
      <c r="AU644" s="286"/>
      <c r="AV644" s="286"/>
      <c r="AW644" s="286"/>
      <c r="AX644" s="286"/>
      <c r="AY644" s="286"/>
      <c r="AZ644" s="286"/>
      <c r="BA644" s="286"/>
      <c r="BB644" s="286"/>
      <c r="BC644" s="286"/>
      <c r="BD644" s="286"/>
      <c r="BE644" s="286"/>
      <c r="BF644" s="286"/>
      <c r="BG644" s="286"/>
      <c r="BH644" s="286"/>
      <c r="BI644" s="286"/>
      <c r="BJ644" s="286"/>
      <c r="BK644" s="286"/>
      <c r="BL644" s="286"/>
      <c r="BM644" s="286"/>
      <c r="BN644" s="286"/>
      <c r="BO644" s="286"/>
      <c r="BP644" s="286"/>
      <c r="BQ644" s="286"/>
      <c r="BR644" s="286"/>
      <c r="BS644" s="286"/>
      <c r="BT644" s="286"/>
      <c r="BU644" s="286"/>
      <c r="BV644" s="286"/>
      <c r="BW644" s="286"/>
      <c r="BX644" s="286"/>
      <c r="BY644" s="286"/>
      <c r="BZ644" s="286"/>
      <c r="CA644" s="286"/>
      <c r="CB644" s="286"/>
      <c r="CC644" s="286"/>
      <c r="CD644" s="286"/>
      <c r="CE644" s="286"/>
      <c r="CF644" s="286"/>
      <c r="CG644" s="286"/>
      <c r="CH644" s="286"/>
      <c r="CI644" s="286"/>
      <c r="CJ644" s="286"/>
      <c r="CK644" s="286"/>
      <c r="CL644" s="286"/>
      <c r="CM644" s="286"/>
      <c r="CN644" s="286"/>
      <c r="CO644" s="286"/>
      <c r="CP644" s="286"/>
      <c r="CQ644" s="286"/>
      <c r="CR644" s="286"/>
      <c r="CS644" s="286"/>
      <c r="CT644" s="286"/>
      <c r="CU644" s="286"/>
      <c r="CV644" s="286"/>
      <c r="CW644" s="286"/>
      <c r="CX644" s="286"/>
      <c r="CY644" s="286"/>
      <c r="CZ644" s="286"/>
      <c r="DA644" s="286"/>
      <c r="DB644" s="286"/>
      <c r="DC644" s="286"/>
      <c r="DD644" s="286"/>
      <c r="DE644" s="286"/>
      <c r="DF644" s="286"/>
      <c r="DG644" s="286"/>
      <c r="DH644" s="286"/>
      <c r="DI644" s="286"/>
      <c r="DJ644" s="286"/>
      <c r="DK644" s="286"/>
      <c r="DL644" s="286"/>
      <c r="DM644" s="286"/>
      <c r="DN644" s="286"/>
      <c r="DO644" s="286"/>
      <c r="DP644" s="286"/>
      <c r="DQ644" s="286"/>
      <c r="DR644" s="286"/>
      <c r="DS644" s="286"/>
      <c r="DT644" s="286"/>
      <c r="DU644" s="286"/>
      <c r="DV644" s="286"/>
      <c r="DW644" s="286"/>
      <c r="DX644" s="286"/>
      <c r="DY644" s="286"/>
      <c r="DZ644" s="286"/>
      <c r="EA644" s="286"/>
      <c r="EB644" s="286"/>
      <c r="EC644" s="286"/>
      <c r="ED644" s="286"/>
      <c r="EE644" s="286"/>
      <c r="EF644" s="286"/>
      <c r="EG644" s="286"/>
      <c r="EH644" s="286"/>
      <c r="EI644" s="286"/>
      <c r="EJ644" s="286"/>
      <c r="EK644" s="286"/>
      <c r="EL644" s="286"/>
      <c r="EM644" s="286"/>
      <c r="EN644" s="286"/>
      <c r="EO644" s="286"/>
      <c r="EP644" s="286"/>
      <c r="EQ644" s="286"/>
      <c r="ER644" s="286"/>
      <c r="ES644" s="286"/>
      <c r="ET644" s="286"/>
      <c r="EU644" s="286"/>
      <c r="EV644" s="286"/>
      <c r="EW644" s="286"/>
      <c r="EX644" s="286"/>
      <c r="EY644" s="286"/>
      <c r="EZ644" s="286"/>
      <c r="FA644" s="286"/>
      <c r="FB644" s="286"/>
      <c r="FC644" s="286"/>
      <c r="FD644" s="286"/>
      <c r="FE644" s="286"/>
      <c r="FF644" s="286"/>
      <c r="FG644" s="286"/>
      <c r="FH644" s="286"/>
      <c r="FI644" s="286"/>
      <c r="FJ644" s="286"/>
      <c r="FK644" s="286"/>
      <c r="FL644" s="286"/>
      <c r="FM644" s="286"/>
      <c r="FN644" s="286"/>
      <c r="FO644" s="286"/>
      <c r="FP644" s="286"/>
      <c r="FQ644" s="286"/>
      <c r="FR644" s="286"/>
      <c r="FS644" s="286"/>
    </row>
    <row r="645" spans="1:175">
      <c r="A645" s="212" t="s">
        <v>3159</v>
      </c>
      <c r="B645" s="212" t="s">
        <v>3160</v>
      </c>
      <c r="C645" s="212" t="s">
        <v>3172</v>
      </c>
      <c r="D645" s="212" t="s">
        <v>3824</v>
      </c>
      <c r="E645" s="212" t="s">
        <v>3827</v>
      </c>
      <c r="F645" s="278">
        <v>618</v>
      </c>
      <c r="G645" s="278">
        <v>16542</v>
      </c>
      <c r="H645" s="287">
        <f t="shared" si="9"/>
        <v>4.1772457985733285</v>
      </c>
      <c r="I645" s="286">
        <v>26</v>
      </c>
      <c r="J645" s="286">
        <v>691</v>
      </c>
      <c r="K645" s="286">
        <v>383</v>
      </c>
      <c r="L645" s="286">
        <v>308</v>
      </c>
      <c r="M645" s="286">
        <v>604</v>
      </c>
      <c r="N645" s="286">
        <v>305</v>
      </c>
      <c r="O645" s="286">
        <v>299</v>
      </c>
      <c r="P645" s="286">
        <v>26</v>
      </c>
      <c r="Q645" s="286">
        <v>691</v>
      </c>
      <c r="R645" s="286">
        <v>383</v>
      </c>
      <c r="S645" s="286">
        <v>308</v>
      </c>
      <c r="T645" s="286">
        <v>604</v>
      </c>
      <c r="U645" s="286">
        <v>305</v>
      </c>
      <c r="V645" s="286">
        <v>299</v>
      </c>
      <c r="W645" s="286"/>
      <c r="X645" s="286"/>
      <c r="Y645" s="286"/>
      <c r="Z645" s="286"/>
      <c r="AA645" s="286"/>
      <c r="AB645" s="286"/>
      <c r="AC645" s="286"/>
      <c r="AD645" s="286"/>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86"/>
      <c r="BT645" s="286"/>
      <c r="BU645" s="286"/>
      <c r="BV645" s="286"/>
      <c r="BW645" s="286"/>
      <c r="BX645" s="286"/>
      <c r="BY645" s="286"/>
      <c r="BZ645" s="286"/>
      <c r="CA645" s="286"/>
      <c r="CB645" s="286"/>
      <c r="CC645" s="286"/>
      <c r="CD645" s="286"/>
      <c r="CE645" s="286"/>
      <c r="CF645" s="286"/>
      <c r="CG645" s="286"/>
      <c r="CH645" s="286"/>
      <c r="CI645" s="286"/>
      <c r="CJ645" s="286"/>
      <c r="CK645" s="286"/>
      <c r="CL645" s="286"/>
      <c r="CM645" s="286"/>
      <c r="CN645" s="286"/>
      <c r="CO645" s="286"/>
      <c r="CP645" s="286"/>
      <c r="CQ645" s="286"/>
      <c r="CR645" s="286"/>
      <c r="CS645" s="286"/>
      <c r="CT645" s="286"/>
      <c r="CU645" s="286"/>
      <c r="CV645" s="286"/>
      <c r="CW645" s="286"/>
      <c r="CX645" s="286"/>
      <c r="CY645" s="286"/>
      <c r="CZ645" s="286"/>
      <c r="DA645" s="286"/>
      <c r="DB645" s="286"/>
      <c r="DC645" s="286"/>
      <c r="DD645" s="286"/>
      <c r="DE645" s="286"/>
      <c r="DF645" s="286"/>
      <c r="DG645" s="286"/>
      <c r="DH645" s="286"/>
      <c r="DI645" s="286"/>
      <c r="DJ645" s="286"/>
      <c r="DK645" s="286"/>
      <c r="DL645" s="286"/>
      <c r="DM645" s="286"/>
      <c r="DN645" s="286"/>
      <c r="DO645" s="286"/>
      <c r="DP645" s="286"/>
      <c r="DQ645" s="286"/>
      <c r="DR645" s="286"/>
      <c r="DS645" s="286"/>
      <c r="DT645" s="286"/>
      <c r="DU645" s="286"/>
      <c r="DV645" s="286"/>
      <c r="DW645" s="286"/>
      <c r="DX645" s="286"/>
      <c r="DY645" s="286"/>
      <c r="DZ645" s="286"/>
      <c r="EA645" s="286"/>
      <c r="EB645" s="286"/>
      <c r="EC645" s="286"/>
      <c r="ED645" s="286"/>
      <c r="EE645" s="286"/>
      <c r="EF645" s="286"/>
      <c r="EG645" s="286"/>
      <c r="EH645" s="286"/>
      <c r="EI645" s="286"/>
      <c r="EJ645" s="286"/>
      <c r="EK645" s="286"/>
      <c r="EL645" s="286"/>
      <c r="EM645" s="286"/>
      <c r="EN645" s="286"/>
      <c r="EO645" s="286"/>
      <c r="EP645" s="286"/>
      <c r="EQ645" s="286"/>
      <c r="ER645" s="286"/>
      <c r="ES645" s="286"/>
      <c r="ET645" s="286"/>
      <c r="EU645" s="286"/>
      <c r="EV645" s="286"/>
      <c r="EW645" s="286"/>
      <c r="EX645" s="286"/>
      <c r="EY645" s="286"/>
      <c r="EZ645" s="286"/>
      <c r="FA645" s="286"/>
      <c r="FB645" s="286"/>
      <c r="FC645" s="286"/>
      <c r="FD645" s="286"/>
      <c r="FE645" s="286"/>
      <c r="FF645" s="286"/>
      <c r="FG645" s="286"/>
      <c r="FH645" s="286"/>
      <c r="FI645" s="286"/>
      <c r="FJ645" s="286"/>
      <c r="FK645" s="286"/>
      <c r="FL645" s="286"/>
      <c r="FM645" s="286"/>
      <c r="FN645" s="286"/>
      <c r="FO645" s="286"/>
      <c r="FP645" s="286"/>
      <c r="FQ645" s="286"/>
      <c r="FR645" s="286"/>
      <c r="FS645" s="286"/>
    </row>
    <row r="646" spans="1:175">
      <c r="A646" s="212" t="s">
        <v>3159</v>
      </c>
      <c r="B646" s="212" t="s">
        <v>3160</v>
      </c>
      <c r="C646" s="212" t="s">
        <v>3172</v>
      </c>
      <c r="D646" s="212" t="s">
        <v>3824</v>
      </c>
      <c r="E646" s="212" t="s">
        <v>3828</v>
      </c>
      <c r="F646" s="278">
        <v>9199</v>
      </c>
      <c r="G646" s="278">
        <v>166502</v>
      </c>
      <c r="H646" s="287">
        <f t="shared" si="9"/>
        <v>3.8413952985549726</v>
      </c>
      <c r="I646" s="286">
        <v>451</v>
      </c>
      <c r="J646" s="286">
        <v>6396</v>
      </c>
      <c r="K646" s="286">
        <v>619</v>
      </c>
      <c r="L646" s="286">
        <v>5777</v>
      </c>
      <c r="M646" s="286">
        <v>6198</v>
      </c>
      <c r="N646" s="286">
        <v>554</v>
      </c>
      <c r="O646" s="286">
        <v>5644</v>
      </c>
      <c r="P646" s="286">
        <v>195</v>
      </c>
      <c r="Q646" s="286">
        <v>4346</v>
      </c>
      <c r="R646" s="286">
        <v>549</v>
      </c>
      <c r="S646" s="286">
        <v>3797</v>
      </c>
      <c r="T646" s="286">
        <v>4167</v>
      </c>
      <c r="U646" s="286">
        <v>484</v>
      </c>
      <c r="V646" s="286">
        <v>3683</v>
      </c>
      <c r="W646" s="286"/>
      <c r="X646" s="286"/>
      <c r="Y646" s="286"/>
      <c r="Z646" s="286"/>
      <c r="AA646" s="286"/>
      <c r="AB646" s="286"/>
      <c r="AC646" s="286"/>
      <c r="AD646" s="286"/>
      <c r="AE646" s="286"/>
      <c r="AF646" s="286"/>
      <c r="AG646" s="286"/>
      <c r="AH646" s="286"/>
      <c r="AI646" s="286"/>
      <c r="AJ646" s="286"/>
      <c r="AK646" s="286"/>
      <c r="AL646" s="286"/>
      <c r="AM646" s="286"/>
      <c r="AN646" s="286"/>
      <c r="AO646" s="286"/>
      <c r="AP646" s="286"/>
      <c r="AQ646" s="286"/>
      <c r="AR646" s="286"/>
      <c r="AS646" s="286"/>
      <c r="AT646" s="286"/>
      <c r="AU646" s="286"/>
      <c r="AV646" s="286"/>
      <c r="AW646" s="286"/>
      <c r="AX646" s="286"/>
      <c r="AY646" s="286"/>
      <c r="AZ646" s="286"/>
      <c r="BA646" s="286"/>
      <c r="BB646" s="286"/>
      <c r="BC646" s="286"/>
      <c r="BD646" s="286"/>
      <c r="BE646" s="286"/>
      <c r="BF646" s="286"/>
      <c r="BG646" s="286"/>
      <c r="BH646" s="286"/>
      <c r="BI646" s="286"/>
      <c r="BJ646" s="286"/>
      <c r="BK646" s="286"/>
      <c r="BL646" s="286"/>
      <c r="BM646" s="286"/>
      <c r="BN646" s="286"/>
      <c r="BO646" s="286"/>
      <c r="BP646" s="286"/>
      <c r="BQ646" s="286"/>
      <c r="BR646" s="286"/>
      <c r="BS646" s="286"/>
      <c r="BT646" s="286"/>
      <c r="BU646" s="286"/>
      <c r="BV646" s="286"/>
      <c r="BW646" s="286"/>
      <c r="BX646" s="286"/>
      <c r="BY646" s="286"/>
      <c r="BZ646" s="286"/>
      <c r="CA646" s="286"/>
      <c r="CB646" s="286"/>
      <c r="CC646" s="286"/>
      <c r="CD646" s="286"/>
      <c r="CE646" s="286"/>
      <c r="CF646" s="286"/>
      <c r="CG646" s="286"/>
      <c r="CH646" s="286"/>
      <c r="CI646" s="286"/>
      <c r="CJ646" s="286"/>
      <c r="CK646" s="286"/>
      <c r="CL646" s="286"/>
      <c r="CM646" s="286"/>
      <c r="CN646" s="286"/>
      <c r="CO646" s="286"/>
      <c r="CP646" s="286"/>
      <c r="CQ646" s="286"/>
      <c r="CR646" s="286"/>
      <c r="CS646" s="286"/>
      <c r="CT646" s="286"/>
      <c r="CU646" s="286"/>
      <c r="CV646" s="286"/>
      <c r="CW646" s="286"/>
      <c r="CX646" s="286"/>
      <c r="CY646" s="286"/>
      <c r="CZ646" s="286"/>
      <c r="DA646" s="286"/>
      <c r="DB646" s="286"/>
      <c r="DC646" s="286"/>
      <c r="DD646" s="286"/>
      <c r="DE646" s="286"/>
      <c r="DF646" s="286"/>
      <c r="DG646" s="286"/>
      <c r="DH646" s="286"/>
      <c r="DI646" s="286"/>
      <c r="DJ646" s="286"/>
      <c r="DK646" s="286"/>
      <c r="DL646" s="286"/>
      <c r="DM646" s="286"/>
      <c r="DN646" s="286"/>
      <c r="DO646" s="286"/>
      <c r="DP646" s="286"/>
      <c r="DQ646" s="286"/>
      <c r="DR646" s="286"/>
      <c r="DS646" s="286"/>
      <c r="DT646" s="286"/>
      <c r="DU646" s="286"/>
      <c r="DV646" s="286"/>
      <c r="DW646" s="286"/>
      <c r="DX646" s="286"/>
      <c r="DY646" s="286"/>
      <c r="DZ646" s="286"/>
      <c r="EA646" s="286"/>
      <c r="EB646" s="286"/>
      <c r="EC646" s="286"/>
      <c r="ED646" s="286"/>
      <c r="EE646" s="286"/>
      <c r="EF646" s="286"/>
      <c r="EG646" s="286"/>
      <c r="EH646" s="286"/>
      <c r="EI646" s="286"/>
      <c r="EJ646" s="286"/>
      <c r="EK646" s="286"/>
      <c r="EL646" s="286"/>
      <c r="EM646" s="286"/>
      <c r="EN646" s="286"/>
      <c r="EO646" s="286"/>
      <c r="EP646" s="286"/>
      <c r="EQ646" s="286"/>
      <c r="ER646" s="286"/>
      <c r="ES646" s="286"/>
      <c r="ET646" s="286"/>
      <c r="EU646" s="286"/>
      <c r="EV646" s="286"/>
      <c r="EW646" s="286"/>
      <c r="EX646" s="286"/>
      <c r="EY646" s="286"/>
      <c r="EZ646" s="286"/>
      <c r="FA646" s="286"/>
      <c r="FB646" s="286"/>
      <c r="FC646" s="286"/>
      <c r="FD646" s="286"/>
      <c r="FE646" s="286"/>
      <c r="FF646" s="286"/>
      <c r="FG646" s="286"/>
      <c r="FH646" s="286"/>
      <c r="FI646" s="286"/>
      <c r="FJ646" s="286"/>
      <c r="FK646" s="286"/>
      <c r="FL646" s="286"/>
      <c r="FM646" s="286"/>
      <c r="FN646" s="286"/>
      <c r="FO646" s="286"/>
      <c r="FP646" s="286"/>
      <c r="FQ646" s="286"/>
      <c r="FR646" s="286"/>
      <c r="FS646" s="286"/>
    </row>
    <row r="647" spans="1:175">
      <c r="A647" s="212" t="s">
        <v>3159</v>
      </c>
      <c r="B647" s="212" t="s">
        <v>3160</v>
      </c>
      <c r="C647" s="212" t="s">
        <v>3172</v>
      </c>
      <c r="D647" s="212" t="s">
        <v>3824</v>
      </c>
      <c r="E647" s="212" t="s">
        <v>3829</v>
      </c>
      <c r="F647" s="278">
        <v>5370</v>
      </c>
      <c r="G647" s="278">
        <v>178878</v>
      </c>
      <c r="H647" s="287">
        <f t="shared" si="9"/>
        <v>7.7304084347991369</v>
      </c>
      <c r="I647" s="286">
        <v>434</v>
      </c>
      <c r="J647" s="286">
        <v>13828</v>
      </c>
      <c r="K647" s="286">
        <v>1091</v>
      </c>
      <c r="L647" s="286">
        <v>12737</v>
      </c>
      <c r="M647" s="286">
        <v>13427</v>
      </c>
      <c r="N647" s="286">
        <v>917</v>
      </c>
      <c r="O647" s="286">
        <v>12510</v>
      </c>
      <c r="P647" s="286">
        <v>345</v>
      </c>
      <c r="Q647" s="286">
        <v>11409</v>
      </c>
      <c r="R647" s="286">
        <v>1013</v>
      </c>
      <c r="S647" s="286">
        <v>10396</v>
      </c>
      <c r="T647" s="286">
        <v>11050</v>
      </c>
      <c r="U647" s="286">
        <v>840</v>
      </c>
      <c r="V647" s="286">
        <v>10210</v>
      </c>
      <c r="W647" s="286"/>
      <c r="X647" s="286"/>
      <c r="Y647" s="286"/>
      <c r="Z647" s="286"/>
      <c r="AA647" s="286"/>
      <c r="AB647" s="286"/>
      <c r="AC647" s="286"/>
      <c r="AD647" s="286"/>
      <c r="AE647" s="286"/>
      <c r="AF647" s="286"/>
      <c r="AG647" s="286"/>
      <c r="AH647" s="286"/>
      <c r="AI647" s="286"/>
      <c r="AJ647" s="286"/>
      <c r="AK647" s="286"/>
      <c r="AL647" s="286"/>
      <c r="AM647" s="286"/>
      <c r="AN647" s="286"/>
      <c r="AO647" s="286"/>
      <c r="AP647" s="286"/>
      <c r="AQ647" s="286"/>
      <c r="AR647" s="286"/>
      <c r="AS647" s="286"/>
      <c r="AT647" s="286"/>
      <c r="AU647" s="286"/>
      <c r="AV647" s="286"/>
      <c r="AW647" s="286"/>
      <c r="AX647" s="286"/>
      <c r="AY647" s="286"/>
      <c r="AZ647" s="286"/>
      <c r="BA647" s="286"/>
      <c r="BB647" s="286"/>
      <c r="BC647" s="286"/>
      <c r="BD647" s="286"/>
      <c r="BE647" s="286"/>
      <c r="BF647" s="286"/>
      <c r="BG647" s="286"/>
      <c r="BH647" s="286"/>
      <c r="BI647" s="286"/>
      <c r="BJ647" s="286"/>
      <c r="BK647" s="286"/>
      <c r="BL647" s="286"/>
      <c r="BM647" s="286"/>
      <c r="BN647" s="286"/>
      <c r="BO647" s="286"/>
      <c r="BP647" s="286"/>
      <c r="BQ647" s="286"/>
      <c r="BR647" s="286"/>
      <c r="BS647" s="286"/>
      <c r="BT647" s="286"/>
      <c r="BU647" s="286"/>
      <c r="BV647" s="286"/>
      <c r="BW647" s="286"/>
      <c r="BX647" s="286"/>
      <c r="BY647" s="286"/>
      <c r="BZ647" s="286"/>
      <c r="CA647" s="286"/>
      <c r="CB647" s="286"/>
      <c r="CC647" s="286"/>
      <c r="CD647" s="286"/>
      <c r="CE647" s="286"/>
      <c r="CF647" s="286"/>
      <c r="CG647" s="286"/>
      <c r="CH647" s="286"/>
      <c r="CI647" s="286"/>
      <c r="CJ647" s="286"/>
      <c r="CK647" s="286"/>
      <c r="CL647" s="286"/>
      <c r="CM647" s="286"/>
      <c r="CN647" s="286"/>
      <c r="CO647" s="286"/>
      <c r="CP647" s="286"/>
      <c r="CQ647" s="286"/>
      <c r="CR647" s="286"/>
      <c r="CS647" s="286"/>
      <c r="CT647" s="286"/>
      <c r="CU647" s="286"/>
      <c r="CV647" s="286"/>
      <c r="CW647" s="286"/>
      <c r="CX647" s="286"/>
      <c r="CY647" s="286"/>
      <c r="CZ647" s="286"/>
      <c r="DA647" s="286"/>
      <c r="DB647" s="286"/>
      <c r="DC647" s="286"/>
      <c r="DD647" s="286"/>
      <c r="DE647" s="286"/>
      <c r="DF647" s="286"/>
      <c r="DG647" s="286"/>
      <c r="DH647" s="286"/>
      <c r="DI647" s="286"/>
      <c r="DJ647" s="286"/>
      <c r="DK647" s="286"/>
      <c r="DL647" s="286"/>
      <c r="DM647" s="286"/>
      <c r="DN647" s="286"/>
      <c r="DO647" s="286"/>
      <c r="DP647" s="286"/>
      <c r="DQ647" s="286"/>
      <c r="DR647" s="286"/>
      <c r="DS647" s="286"/>
      <c r="DT647" s="286"/>
      <c r="DU647" s="286"/>
      <c r="DV647" s="286"/>
      <c r="DW647" s="286"/>
      <c r="DX647" s="286"/>
      <c r="DY647" s="286"/>
      <c r="DZ647" s="286"/>
      <c r="EA647" s="286"/>
      <c r="EB647" s="286"/>
      <c r="EC647" s="286"/>
      <c r="ED647" s="286"/>
      <c r="EE647" s="286"/>
      <c r="EF647" s="286"/>
      <c r="EG647" s="286"/>
      <c r="EH647" s="286"/>
      <c r="EI647" s="286"/>
      <c r="EJ647" s="286"/>
      <c r="EK647" s="286"/>
      <c r="EL647" s="286"/>
      <c r="EM647" s="286"/>
      <c r="EN647" s="286"/>
      <c r="EO647" s="286"/>
      <c r="EP647" s="286"/>
      <c r="EQ647" s="286"/>
      <c r="ER647" s="286"/>
      <c r="ES647" s="286"/>
      <c r="ET647" s="286"/>
      <c r="EU647" s="286"/>
      <c r="EV647" s="286"/>
      <c r="EW647" s="286"/>
      <c r="EX647" s="286"/>
      <c r="EY647" s="286"/>
      <c r="EZ647" s="286"/>
      <c r="FA647" s="286"/>
      <c r="FB647" s="286"/>
      <c r="FC647" s="286"/>
      <c r="FD647" s="286"/>
      <c r="FE647" s="286"/>
      <c r="FF647" s="286"/>
      <c r="FG647" s="286"/>
      <c r="FH647" s="286"/>
      <c r="FI647" s="286"/>
      <c r="FJ647" s="286"/>
      <c r="FK647" s="286"/>
      <c r="FL647" s="286"/>
      <c r="FM647" s="286"/>
      <c r="FN647" s="286"/>
      <c r="FO647" s="286"/>
      <c r="FP647" s="286"/>
      <c r="FQ647" s="286"/>
      <c r="FR647" s="286"/>
      <c r="FS647" s="286"/>
    </row>
    <row r="648" spans="1:175">
      <c r="A648" s="212" t="s">
        <v>3159</v>
      </c>
      <c r="B648" s="212" t="s">
        <v>3160</v>
      </c>
      <c r="C648" s="212" t="s">
        <v>3172</v>
      </c>
      <c r="D648" s="212" t="s">
        <v>3824</v>
      </c>
      <c r="E648" s="212" t="s">
        <v>3830</v>
      </c>
      <c r="F648" s="278">
        <v>19203</v>
      </c>
      <c r="G648" s="278">
        <v>565923</v>
      </c>
      <c r="H648" s="287">
        <f t="shared" si="9"/>
        <v>4.0166241697192016</v>
      </c>
      <c r="I648" s="286">
        <v>749</v>
      </c>
      <c r="J648" s="286">
        <v>22731</v>
      </c>
      <c r="K648" s="286">
        <v>7774</v>
      </c>
      <c r="L648" s="286">
        <v>14957</v>
      </c>
      <c r="M648" s="286">
        <v>22682</v>
      </c>
      <c r="N648" s="286">
        <v>7763</v>
      </c>
      <c r="O648" s="286">
        <v>14919</v>
      </c>
      <c r="P648" s="286">
        <v>12</v>
      </c>
      <c r="Q648" s="286">
        <v>428</v>
      </c>
      <c r="R648" s="286">
        <v>199</v>
      </c>
      <c r="S648" s="286">
        <v>229</v>
      </c>
      <c r="T648" s="286">
        <v>427</v>
      </c>
      <c r="U648" s="286">
        <v>198</v>
      </c>
      <c r="V648" s="286">
        <v>229</v>
      </c>
      <c r="W648" s="286"/>
      <c r="X648" s="286"/>
      <c r="Y648" s="286"/>
      <c r="Z648" s="286"/>
      <c r="AA648" s="286"/>
      <c r="AB648" s="286"/>
      <c r="AC648" s="286"/>
      <c r="AD648" s="286"/>
      <c r="AE648" s="286"/>
      <c r="AF648" s="286"/>
      <c r="AG648" s="286"/>
      <c r="AH648" s="286"/>
      <c r="AI648" s="286"/>
      <c r="AJ648" s="286"/>
      <c r="AK648" s="286"/>
      <c r="AL648" s="286"/>
      <c r="AM648" s="286"/>
      <c r="AN648" s="286"/>
      <c r="AO648" s="286"/>
      <c r="AP648" s="286"/>
      <c r="AQ648" s="286"/>
      <c r="AR648" s="286"/>
      <c r="AS648" s="286"/>
      <c r="AT648" s="286"/>
      <c r="AU648" s="286"/>
      <c r="AV648" s="286"/>
      <c r="AW648" s="286"/>
      <c r="AX648" s="286"/>
      <c r="AY648" s="286"/>
      <c r="AZ648" s="286"/>
      <c r="BA648" s="286"/>
      <c r="BB648" s="286"/>
      <c r="BC648" s="286"/>
      <c r="BD648" s="286"/>
      <c r="BE648" s="286"/>
      <c r="BF648" s="286"/>
      <c r="BG648" s="286"/>
      <c r="BH648" s="286"/>
      <c r="BI648" s="286"/>
      <c r="BJ648" s="286"/>
      <c r="BK648" s="286"/>
      <c r="BL648" s="286"/>
      <c r="BM648" s="286"/>
      <c r="BN648" s="286"/>
      <c r="BO648" s="286"/>
      <c r="BP648" s="286"/>
      <c r="BQ648" s="286"/>
      <c r="BR648" s="286"/>
      <c r="BS648" s="286"/>
      <c r="BT648" s="286"/>
      <c r="BU648" s="286"/>
      <c r="BV648" s="286"/>
      <c r="BW648" s="286"/>
      <c r="BX648" s="286"/>
      <c r="BY648" s="286"/>
      <c r="BZ648" s="286"/>
      <c r="CA648" s="286"/>
      <c r="CB648" s="286"/>
      <c r="CC648" s="286"/>
      <c r="CD648" s="286"/>
      <c r="CE648" s="286"/>
      <c r="CF648" s="286"/>
      <c r="CG648" s="286"/>
      <c r="CH648" s="286"/>
      <c r="CI648" s="286"/>
      <c r="CJ648" s="286"/>
      <c r="CK648" s="286"/>
      <c r="CL648" s="286"/>
      <c r="CM648" s="286"/>
      <c r="CN648" s="286"/>
      <c r="CO648" s="286"/>
      <c r="CP648" s="286"/>
      <c r="CQ648" s="286"/>
      <c r="CR648" s="286"/>
      <c r="CS648" s="286"/>
      <c r="CT648" s="286"/>
      <c r="CU648" s="286"/>
      <c r="CV648" s="286"/>
      <c r="CW648" s="286"/>
      <c r="CX648" s="286"/>
      <c r="CY648" s="286"/>
      <c r="CZ648" s="286"/>
      <c r="DA648" s="286"/>
      <c r="DB648" s="286"/>
      <c r="DC648" s="286"/>
      <c r="DD648" s="286"/>
      <c r="DE648" s="286"/>
      <c r="DF648" s="286"/>
      <c r="DG648" s="286"/>
      <c r="DH648" s="286"/>
      <c r="DI648" s="286"/>
      <c r="DJ648" s="286"/>
      <c r="DK648" s="286"/>
      <c r="DL648" s="286"/>
      <c r="DM648" s="286"/>
      <c r="DN648" s="286"/>
      <c r="DO648" s="286"/>
      <c r="DP648" s="286"/>
      <c r="DQ648" s="286"/>
      <c r="DR648" s="286"/>
      <c r="DS648" s="286"/>
      <c r="DT648" s="286"/>
      <c r="DU648" s="286"/>
      <c r="DV648" s="286"/>
      <c r="DW648" s="286"/>
      <c r="DX648" s="286"/>
      <c r="DY648" s="286"/>
      <c r="DZ648" s="286"/>
      <c r="EA648" s="286"/>
      <c r="EB648" s="286"/>
      <c r="EC648" s="286"/>
      <c r="ED648" s="286"/>
      <c r="EE648" s="286"/>
      <c r="EF648" s="286"/>
      <c r="EG648" s="286"/>
      <c r="EH648" s="286"/>
      <c r="EI648" s="286"/>
      <c r="EJ648" s="286"/>
      <c r="EK648" s="286"/>
      <c r="EL648" s="286"/>
      <c r="EM648" s="286"/>
      <c r="EN648" s="286"/>
      <c r="EO648" s="286"/>
      <c r="EP648" s="286"/>
      <c r="EQ648" s="286"/>
      <c r="ER648" s="286"/>
      <c r="ES648" s="286"/>
      <c r="ET648" s="286"/>
      <c r="EU648" s="286"/>
      <c r="EV648" s="286"/>
      <c r="EW648" s="286"/>
      <c r="EX648" s="286"/>
      <c r="EY648" s="286"/>
      <c r="EZ648" s="286"/>
      <c r="FA648" s="286"/>
      <c r="FB648" s="286"/>
      <c r="FC648" s="286"/>
      <c r="FD648" s="286"/>
      <c r="FE648" s="286"/>
      <c r="FF648" s="286"/>
      <c r="FG648" s="286"/>
      <c r="FH648" s="286"/>
      <c r="FI648" s="286"/>
      <c r="FJ648" s="286"/>
      <c r="FK648" s="286"/>
      <c r="FL648" s="286"/>
      <c r="FM648" s="286"/>
      <c r="FN648" s="286"/>
      <c r="FO648" s="286"/>
      <c r="FP648" s="286"/>
      <c r="FQ648" s="286"/>
      <c r="FR648" s="286"/>
      <c r="FS648" s="286"/>
    </row>
    <row r="649" spans="1:175">
      <c r="A649" s="212" t="s">
        <v>3159</v>
      </c>
      <c r="B649" s="212" t="s">
        <v>3160</v>
      </c>
      <c r="C649" s="212" t="s">
        <v>3172</v>
      </c>
      <c r="D649" s="212" t="s">
        <v>3824</v>
      </c>
      <c r="E649" s="212" t="s">
        <v>3831</v>
      </c>
      <c r="F649" s="278">
        <v>9834</v>
      </c>
      <c r="G649" s="278">
        <v>311718</v>
      </c>
      <c r="H649" s="287">
        <f t="shared" si="9"/>
        <v>3.9311172277507231</v>
      </c>
      <c r="I649" s="286">
        <v>370</v>
      </c>
      <c r="J649" s="286">
        <v>12254</v>
      </c>
      <c r="K649" s="286">
        <v>6524</v>
      </c>
      <c r="L649" s="286">
        <v>5730</v>
      </c>
      <c r="M649" s="286">
        <v>12206</v>
      </c>
      <c r="N649" s="286">
        <v>6504</v>
      </c>
      <c r="O649" s="286">
        <v>5702</v>
      </c>
      <c r="P649" s="286">
        <v>32</v>
      </c>
      <c r="Q649" s="286">
        <v>1033</v>
      </c>
      <c r="R649" s="286">
        <v>602</v>
      </c>
      <c r="S649" s="286">
        <v>431</v>
      </c>
      <c r="T649" s="286">
        <v>1007</v>
      </c>
      <c r="U649" s="286">
        <v>588</v>
      </c>
      <c r="V649" s="286">
        <v>419</v>
      </c>
      <c r="W649" s="286"/>
      <c r="X649" s="286"/>
      <c r="Y649" s="286"/>
      <c r="Z649" s="286"/>
      <c r="AA649" s="286"/>
      <c r="AB649" s="286"/>
      <c r="AC649" s="286"/>
      <c r="AD649" s="286"/>
      <c r="AE649" s="286"/>
      <c r="AF649" s="286"/>
      <c r="AG649" s="286"/>
      <c r="AH649" s="286"/>
      <c r="AI649" s="286"/>
      <c r="AJ649" s="286"/>
      <c r="AK649" s="286"/>
      <c r="AL649" s="286"/>
      <c r="AM649" s="286"/>
      <c r="AN649" s="286"/>
      <c r="AO649" s="286"/>
      <c r="AP649" s="286"/>
      <c r="AQ649" s="286"/>
      <c r="AR649" s="286"/>
      <c r="AS649" s="286"/>
      <c r="AT649" s="286"/>
      <c r="AU649" s="286"/>
      <c r="AV649" s="286"/>
      <c r="AW649" s="286"/>
      <c r="AX649" s="286"/>
      <c r="AY649" s="286"/>
      <c r="AZ649" s="286"/>
      <c r="BA649" s="286"/>
      <c r="BB649" s="286"/>
      <c r="BC649" s="286"/>
      <c r="BD649" s="286"/>
      <c r="BE649" s="286"/>
      <c r="BF649" s="286"/>
      <c r="BG649" s="286"/>
      <c r="BH649" s="286"/>
      <c r="BI649" s="286"/>
      <c r="BJ649" s="286"/>
      <c r="BK649" s="286"/>
      <c r="BL649" s="286"/>
      <c r="BM649" s="286"/>
      <c r="BN649" s="286"/>
      <c r="BO649" s="286"/>
      <c r="BP649" s="286"/>
      <c r="BQ649" s="286"/>
      <c r="BR649" s="286"/>
      <c r="BS649" s="286"/>
      <c r="BT649" s="286"/>
      <c r="BU649" s="286"/>
      <c r="BV649" s="286"/>
      <c r="BW649" s="286"/>
      <c r="BX649" s="286"/>
      <c r="BY649" s="286"/>
      <c r="BZ649" s="286"/>
      <c r="CA649" s="286"/>
      <c r="CB649" s="286"/>
      <c r="CC649" s="286"/>
      <c r="CD649" s="286"/>
      <c r="CE649" s="286"/>
      <c r="CF649" s="286"/>
      <c r="CG649" s="286"/>
      <c r="CH649" s="286"/>
      <c r="CI649" s="286"/>
      <c r="CJ649" s="286"/>
      <c r="CK649" s="286"/>
      <c r="CL649" s="286"/>
      <c r="CM649" s="286"/>
      <c r="CN649" s="286"/>
      <c r="CO649" s="286"/>
      <c r="CP649" s="286"/>
      <c r="CQ649" s="286"/>
      <c r="CR649" s="286"/>
      <c r="CS649" s="286"/>
      <c r="CT649" s="286"/>
      <c r="CU649" s="286"/>
      <c r="CV649" s="286"/>
      <c r="CW649" s="286"/>
      <c r="CX649" s="286"/>
      <c r="CY649" s="286"/>
      <c r="CZ649" s="286"/>
      <c r="DA649" s="286"/>
      <c r="DB649" s="286"/>
      <c r="DC649" s="286"/>
      <c r="DD649" s="286"/>
      <c r="DE649" s="286"/>
      <c r="DF649" s="286"/>
      <c r="DG649" s="286"/>
      <c r="DH649" s="286"/>
      <c r="DI649" s="286"/>
      <c r="DJ649" s="286"/>
      <c r="DK649" s="286"/>
      <c r="DL649" s="286"/>
      <c r="DM649" s="286"/>
      <c r="DN649" s="286"/>
      <c r="DO649" s="286"/>
      <c r="DP649" s="286"/>
      <c r="DQ649" s="286"/>
      <c r="DR649" s="286"/>
      <c r="DS649" s="286"/>
      <c r="DT649" s="286"/>
      <c r="DU649" s="286"/>
      <c r="DV649" s="286"/>
      <c r="DW649" s="286"/>
      <c r="DX649" s="286"/>
      <c r="DY649" s="286"/>
      <c r="DZ649" s="286"/>
      <c r="EA649" s="286"/>
      <c r="EB649" s="286"/>
      <c r="EC649" s="286"/>
      <c r="ED649" s="286"/>
      <c r="EE649" s="286"/>
      <c r="EF649" s="286"/>
      <c r="EG649" s="286"/>
      <c r="EH649" s="286"/>
      <c r="EI649" s="286"/>
      <c r="EJ649" s="286"/>
      <c r="EK649" s="286"/>
      <c r="EL649" s="286"/>
      <c r="EM649" s="286"/>
      <c r="EN649" s="286"/>
      <c r="EO649" s="286"/>
      <c r="EP649" s="286"/>
      <c r="EQ649" s="286"/>
      <c r="ER649" s="286"/>
      <c r="ES649" s="286"/>
      <c r="ET649" s="286"/>
      <c r="EU649" s="286"/>
      <c r="EV649" s="286"/>
      <c r="EW649" s="286"/>
      <c r="EX649" s="286"/>
      <c r="EY649" s="286"/>
      <c r="EZ649" s="286"/>
      <c r="FA649" s="286"/>
      <c r="FB649" s="286"/>
      <c r="FC649" s="286"/>
      <c r="FD649" s="286"/>
      <c r="FE649" s="286"/>
      <c r="FF649" s="286"/>
      <c r="FG649" s="286"/>
      <c r="FH649" s="286"/>
      <c r="FI649" s="286"/>
      <c r="FJ649" s="286"/>
      <c r="FK649" s="286"/>
      <c r="FL649" s="286"/>
      <c r="FM649" s="286"/>
      <c r="FN649" s="286"/>
      <c r="FO649" s="286"/>
      <c r="FP649" s="286"/>
      <c r="FQ649" s="286"/>
      <c r="FR649" s="286"/>
      <c r="FS649" s="286"/>
    </row>
    <row r="650" spans="1:175">
      <c r="A650" s="212" t="s">
        <v>3159</v>
      </c>
      <c r="B650" s="212" t="s">
        <v>3160</v>
      </c>
      <c r="C650" s="212" t="s">
        <v>3172</v>
      </c>
      <c r="D650" s="212" t="s">
        <v>3824</v>
      </c>
      <c r="E650" s="212" t="s">
        <v>3832</v>
      </c>
      <c r="F650" s="278">
        <v>5583</v>
      </c>
      <c r="G650" s="278">
        <v>370152</v>
      </c>
      <c r="H650" s="287">
        <f t="shared" si="9"/>
        <v>4.3085002917720283</v>
      </c>
      <c r="I650" s="286">
        <v>235</v>
      </c>
      <c r="J650" s="286">
        <v>15948</v>
      </c>
      <c r="K650" s="286">
        <v>9593</v>
      </c>
      <c r="L650" s="286">
        <v>6355</v>
      </c>
      <c r="M650" s="286">
        <v>15762</v>
      </c>
      <c r="N650" s="286">
        <v>9492</v>
      </c>
      <c r="O650" s="286">
        <v>6270</v>
      </c>
      <c r="P650" s="286">
        <v>82</v>
      </c>
      <c r="Q650" s="286">
        <v>4257</v>
      </c>
      <c r="R650" s="286">
        <v>2605</v>
      </c>
      <c r="S650" s="286">
        <v>1652</v>
      </c>
      <c r="T650" s="286">
        <v>4145</v>
      </c>
      <c r="U650" s="286">
        <v>2532</v>
      </c>
      <c r="V650" s="286">
        <v>1613</v>
      </c>
      <c r="W650" s="286"/>
      <c r="X650" s="286"/>
      <c r="Y650" s="286"/>
      <c r="Z650" s="286"/>
      <c r="AA650" s="286"/>
      <c r="AB650" s="286"/>
      <c r="AC650" s="286"/>
      <c r="AD650" s="286"/>
      <c r="AE650" s="286"/>
      <c r="AF650" s="286"/>
      <c r="AG650" s="286"/>
      <c r="AH650" s="286"/>
      <c r="AI650" s="286"/>
      <c r="AJ650" s="286"/>
      <c r="AK650" s="286"/>
      <c r="AL650" s="286"/>
      <c r="AM650" s="286"/>
      <c r="AN650" s="286"/>
      <c r="AO650" s="286"/>
      <c r="AP650" s="286"/>
      <c r="AQ650" s="286"/>
      <c r="AR650" s="286"/>
      <c r="AS650" s="286"/>
      <c r="AT650" s="286"/>
      <c r="AU650" s="286"/>
      <c r="AV650" s="286"/>
      <c r="AW650" s="286"/>
      <c r="AX650" s="286"/>
      <c r="AY650" s="286"/>
      <c r="AZ650" s="286"/>
      <c r="BA650" s="286"/>
      <c r="BB650" s="286"/>
      <c r="BC650" s="286"/>
      <c r="BD650" s="286"/>
      <c r="BE650" s="286"/>
      <c r="BF650" s="286"/>
      <c r="BG650" s="286"/>
      <c r="BH650" s="286"/>
      <c r="BI650" s="286"/>
      <c r="BJ650" s="286"/>
      <c r="BK650" s="286"/>
      <c r="BL650" s="286"/>
      <c r="BM650" s="286"/>
      <c r="BN650" s="286"/>
      <c r="BO650" s="286"/>
      <c r="BP650" s="286"/>
      <c r="BQ650" s="286"/>
      <c r="BR650" s="286"/>
      <c r="BS650" s="286"/>
      <c r="BT650" s="286"/>
      <c r="BU650" s="286"/>
      <c r="BV650" s="286"/>
      <c r="BW650" s="286"/>
      <c r="BX650" s="286"/>
      <c r="BY650" s="286"/>
      <c r="BZ650" s="286"/>
      <c r="CA650" s="286"/>
      <c r="CB650" s="286"/>
      <c r="CC650" s="286"/>
      <c r="CD650" s="286"/>
      <c r="CE650" s="286"/>
      <c r="CF650" s="286"/>
      <c r="CG650" s="286"/>
      <c r="CH650" s="286"/>
      <c r="CI650" s="286"/>
      <c r="CJ650" s="286"/>
      <c r="CK650" s="286"/>
      <c r="CL650" s="286"/>
      <c r="CM650" s="286"/>
      <c r="CN650" s="286"/>
      <c r="CO650" s="286"/>
      <c r="CP650" s="286"/>
      <c r="CQ650" s="286"/>
      <c r="CR650" s="286"/>
      <c r="CS650" s="286"/>
      <c r="CT650" s="286"/>
      <c r="CU650" s="286"/>
      <c r="CV650" s="286"/>
      <c r="CW650" s="286"/>
      <c r="CX650" s="286"/>
      <c r="CY650" s="286"/>
      <c r="CZ650" s="286"/>
      <c r="DA650" s="286"/>
      <c r="DB650" s="286"/>
      <c r="DC650" s="286"/>
      <c r="DD650" s="286"/>
      <c r="DE650" s="286"/>
      <c r="DF650" s="286"/>
      <c r="DG650" s="286"/>
      <c r="DH650" s="286"/>
      <c r="DI650" s="286"/>
      <c r="DJ650" s="286"/>
      <c r="DK650" s="286"/>
      <c r="DL650" s="286"/>
      <c r="DM650" s="286"/>
      <c r="DN650" s="286"/>
      <c r="DO650" s="286"/>
      <c r="DP650" s="286"/>
      <c r="DQ650" s="286"/>
      <c r="DR650" s="286"/>
      <c r="DS650" s="286"/>
      <c r="DT650" s="286"/>
      <c r="DU650" s="286"/>
      <c r="DV650" s="286"/>
      <c r="DW650" s="286"/>
      <c r="DX650" s="286"/>
      <c r="DY650" s="286"/>
      <c r="DZ650" s="286"/>
      <c r="EA650" s="286"/>
      <c r="EB650" s="286"/>
      <c r="EC650" s="286"/>
      <c r="ED650" s="286"/>
      <c r="EE650" s="286"/>
      <c r="EF650" s="286"/>
      <c r="EG650" s="286"/>
      <c r="EH650" s="286"/>
      <c r="EI650" s="286"/>
      <c r="EJ650" s="286"/>
      <c r="EK650" s="286"/>
      <c r="EL650" s="286"/>
      <c r="EM650" s="286"/>
      <c r="EN650" s="286"/>
      <c r="EO650" s="286"/>
      <c r="EP650" s="286"/>
      <c r="EQ650" s="286"/>
      <c r="ER650" s="286"/>
      <c r="ES650" s="286"/>
      <c r="ET650" s="286"/>
      <c r="EU650" s="286"/>
      <c r="EV650" s="286"/>
      <c r="EW650" s="286"/>
      <c r="EX650" s="286"/>
      <c r="EY650" s="286"/>
      <c r="EZ650" s="286"/>
      <c r="FA650" s="286"/>
      <c r="FB650" s="286"/>
      <c r="FC650" s="286"/>
      <c r="FD650" s="286"/>
      <c r="FE650" s="286"/>
      <c r="FF650" s="286"/>
      <c r="FG650" s="286"/>
      <c r="FH650" s="286"/>
      <c r="FI650" s="286"/>
      <c r="FJ650" s="286"/>
      <c r="FK650" s="286"/>
      <c r="FL650" s="286"/>
      <c r="FM650" s="286"/>
      <c r="FN650" s="286"/>
      <c r="FO650" s="286"/>
      <c r="FP650" s="286"/>
      <c r="FQ650" s="286"/>
      <c r="FR650" s="286"/>
      <c r="FS650" s="286"/>
    </row>
    <row r="651" spans="1:175">
      <c r="A651" s="212" t="s">
        <v>3159</v>
      </c>
      <c r="B651" s="212" t="s">
        <v>3160</v>
      </c>
      <c r="C651" s="212" t="s">
        <v>3172</v>
      </c>
      <c r="D651" s="212" t="s">
        <v>3824</v>
      </c>
      <c r="E651" s="212" t="s">
        <v>3833</v>
      </c>
      <c r="F651" s="278">
        <v>1248</v>
      </c>
      <c r="G651" s="278">
        <v>113514</v>
      </c>
      <c r="H651" s="287">
        <f t="shared" ref="H651:H714" si="10">J651/G651*100</f>
        <v>3.9396021636097749</v>
      </c>
      <c r="I651" s="286">
        <v>47</v>
      </c>
      <c r="J651" s="286">
        <v>4472</v>
      </c>
      <c r="K651" s="286">
        <v>1631</v>
      </c>
      <c r="L651" s="286">
        <v>2841</v>
      </c>
      <c r="M651" s="286">
        <v>4471</v>
      </c>
      <c r="N651" s="286">
        <v>1631</v>
      </c>
      <c r="O651" s="286">
        <v>2840</v>
      </c>
      <c r="P651" s="286">
        <v>1</v>
      </c>
      <c r="Q651" s="286">
        <v>56</v>
      </c>
      <c r="R651" s="286">
        <v>25</v>
      </c>
      <c r="S651" s="286">
        <v>31</v>
      </c>
      <c r="T651" s="286">
        <v>56</v>
      </c>
      <c r="U651" s="286">
        <v>25</v>
      </c>
      <c r="V651" s="286">
        <v>31</v>
      </c>
      <c r="W651" s="286"/>
      <c r="X651" s="286"/>
      <c r="Y651" s="286"/>
      <c r="Z651" s="286"/>
      <c r="AA651" s="286"/>
      <c r="AB651" s="286"/>
      <c r="AC651" s="286"/>
      <c r="AD651" s="286"/>
      <c r="AE651" s="286"/>
      <c r="AF651" s="286"/>
      <c r="AG651" s="286"/>
      <c r="AH651" s="286"/>
      <c r="AI651" s="286"/>
      <c r="AJ651" s="286"/>
      <c r="AK651" s="286"/>
      <c r="AL651" s="286"/>
      <c r="AM651" s="286"/>
      <c r="AN651" s="286"/>
      <c r="AO651" s="286"/>
      <c r="AP651" s="286"/>
      <c r="AQ651" s="286"/>
      <c r="AR651" s="286"/>
      <c r="AS651" s="286"/>
      <c r="AT651" s="286"/>
      <c r="AU651" s="286"/>
      <c r="AV651" s="286"/>
      <c r="AW651" s="286"/>
      <c r="AX651" s="286"/>
      <c r="AY651" s="286"/>
      <c r="AZ651" s="286"/>
      <c r="BA651" s="286"/>
      <c r="BB651" s="286"/>
      <c r="BC651" s="286"/>
      <c r="BD651" s="286"/>
      <c r="BE651" s="286"/>
      <c r="BF651" s="286"/>
      <c r="BG651" s="286"/>
      <c r="BH651" s="286"/>
      <c r="BI651" s="286"/>
      <c r="BJ651" s="286"/>
      <c r="BK651" s="286"/>
      <c r="BL651" s="286"/>
      <c r="BM651" s="286"/>
      <c r="BN651" s="286"/>
      <c r="BO651" s="286"/>
      <c r="BP651" s="286"/>
      <c r="BQ651" s="286"/>
      <c r="BR651" s="286"/>
      <c r="BS651" s="286"/>
      <c r="BT651" s="286"/>
      <c r="BU651" s="286"/>
      <c r="BV651" s="286"/>
      <c r="BW651" s="286"/>
      <c r="BX651" s="286"/>
      <c r="BY651" s="286"/>
      <c r="BZ651" s="286"/>
      <c r="CA651" s="286"/>
      <c r="CB651" s="286"/>
      <c r="CC651" s="286"/>
      <c r="CD651" s="286"/>
      <c r="CE651" s="286"/>
      <c r="CF651" s="286"/>
      <c r="CG651" s="286"/>
      <c r="CH651" s="286"/>
      <c r="CI651" s="286"/>
      <c r="CJ651" s="286"/>
      <c r="CK651" s="286"/>
      <c r="CL651" s="286"/>
      <c r="CM651" s="286"/>
      <c r="CN651" s="286"/>
      <c r="CO651" s="286"/>
      <c r="CP651" s="286"/>
      <c r="CQ651" s="286"/>
      <c r="CR651" s="286"/>
      <c r="CS651" s="286"/>
      <c r="CT651" s="286"/>
      <c r="CU651" s="286"/>
      <c r="CV651" s="286"/>
      <c r="CW651" s="286"/>
      <c r="CX651" s="286"/>
      <c r="CY651" s="286"/>
      <c r="CZ651" s="286"/>
      <c r="DA651" s="286"/>
      <c r="DB651" s="286"/>
      <c r="DC651" s="286"/>
      <c r="DD651" s="286"/>
      <c r="DE651" s="286"/>
      <c r="DF651" s="286"/>
      <c r="DG651" s="286"/>
      <c r="DH651" s="286"/>
      <c r="DI651" s="286"/>
      <c r="DJ651" s="286"/>
      <c r="DK651" s="286"/>
      <c r="DL651" s="286"/>
      <c r="DM651" s="286"/>
      <c r="DN651" s="286"/>
      <c r="DO651" s="286"/>
      <c r="DP651" s="286"/>
      <c r="DQ651" s="286"/>
      <c r="DR651" s="286"/>
      <c r="DS651" s="286"/>
      <c r="DT651" s="286"/>
      <c r="DU651" s="286"/>
      <c r="DV651" s="286"/>
      <c r="DW651" s="286"/>
      <c r="DX651" s="286"/>
      <c r="DY651" s="286"/>
      <c r="DZ651" s="286"/>
      <c r="EA651" s="286"/>
      <c r="EB651" s="286"/>
      <c r="EC651" s="286"/>
      <c r="ED651" s="286"/>
      <c r="EE651" s="286"/>
      <c r="EF651" s="286"/>
      <c r="EG651" s="286"/>
      <c r="EH651" s="286"/>
      <c r="EI651" s="286"/>
      <c r="EJ651" s="286"/>
      <c r="EK651" s="286"/>
      <c r="EL651" s="286"/>
      <c r="EM651" s="286"/>
      <c r="EN651" s="286"/>
      <c r="EO651" s="286"/>
      <c r="EP651" s="286"/>
      <c r="EQ651" s="286"/>
      <c r="ER651" s="286"/>
      <c r="ES651" s="286"/>
      <c r="ET651" s="286"/>
      <c r="EU651" s="286"/>
      <c r="EV651" s="286"/>
      <c r="EW651" s="286"/>
      <c r="EX651" s="286"/>
      <c r="EY651" s="286"/>
      <c r="EZ651" s="286"/>
      <c r="FA651" s="286"/>
      <c r="FB651" s="286"/>
      <c r="FC651" s="286"/>
      <c r="FD651" s="286"/>
      <c r="FE651" s="286"/>
      <c r="FF651" s="286"/>
      <c r="FG651" s="286"/>
      <c r="FH651" s="286"/>
      <c r="FI651" s="286"/>
      <c r="FJ651" s="286"/>
      <c r="FK651" s="286"/>
      <c r="FL651" s="286"/>
      <c r="FM651" s="286"/>
      <c r="FN651" s="286"/>
      <c r="FO651" s="286"/>
      <c r="FP651" s="286"/>
      <c r="FQ651" s="286"/>
      <c r="FR651" s="286"/>
      <c r="FS651" s="286"/>
    </row>
    <row r="652" spans="1:175">
      <c r="A652" s="212" t="s">
        <v>3159</v>
      </c>
      <c r="B652" s="212" t="s">
        <v>3160</v>
      </c>
      <c r="C652" s="212" t="s">
        <v>3172</v>
      </c>
      <c r="D652" s="212" t="s">
        <v>3824</v>
      </c>
      <c r="E652" s="212" t="s">
        <v>3834</v>
      </c>
      <c r="F652" s="278">
        <v>2442</v>
      </c>
      <c r="G652" s="278">
        <v>553435</v>
      </c>
      <c r="H652" s="287">
        <f t="shared" si="10"/>
        <v>5.1398989944618609</v>
      </c>
      <c r="I652" s="286">
        <v>139</v>
      </c>
      <c r="J652" s="286">
        <v>28446</v>
      </c>
      <c r="K652" s="286">
        <v>15308</v>
      </c>
      <c r="L652" s="286">
        <v>13138</v>
      </c>
      <c r="M652" s="286">
        <v>25392</v>
      </c>
      <c r="N652" s="286">
        <v>13195</v>
      </c>
      <c r="O652" s="286">
        <v>12197</v>
      </c>
      <c r="P652" s="286">
        <v>138</v>
      </c>
      <c r="Q652" s="286">
        <v>28315</v>
      </c>
      <c r="R652" s="286">
        <v>15198</v>
      </c>
      <c r="S652" s="286">
        <v>13117</v>
      </c>
      <c r="T652" s="286">
        <v>25261</v>
      </c>
      <c r="U652" s="286">
        <v>13085</v>
      </c>
      <c r="V652" s="286">
        <v>12176</v>
      </c>
      <c r="W652" s="286"/>
      <c r="X652" s="286"/>
      <c r="Y652" s="286"/>
      <c r="Z652" s="286"/>
      <c r="AA652" s="286"/>
      <c r="AB652" s="286"/>
      <c r="AC652" s="286"/>
      <c r="AD652" s="286"/>
      <c r="AE652" s="286"/>
      <c r="AF652" s="286"/>
      <c r="AG652" s="286"/>
      <c r="AH652" s="286"/>
      <c r="AI652" s="286"/>
      <c r="AJ652" s="286"/>
      <c r="AK652" s="286"/>
      <c r="AL652" s="286"/>
      <c r="AM652" s="286"/>
      <c r="AN652" s="286"/>
      <c r="AO652" s="286"/>
      <c r="AP652" s="286"/>
      <c r="AQ652" s="286"/>
      <c r="AR652" s="286"/>
      <c r="AS652" s="286"/>
      <c r="AT652" s="286"/>
      <c r="AU652" s="286"/>
      <c r="AV652" s="286"/>
      <c r="AW652" s="286"/>
      <c r="AX652" s="286"/>
      <c r="AY652" s="286"/>
      <c r="AZ652" s="286"/>
      <c r="BA652" s="286"/>
      <c r="BB652" s="286"/>
      <c r="BC652" s="286"/>
      <c r="BD652" s="286"/>
      <c r="BE652" s="286"/>
      <c r="BF652" s="286"/>
      <c r="BG652" s="286"/>
      <c r="BH652" s="286"/>
      <c r="BI652" s="286"/>
      <c r="BJ652" s="286"/>
      <c r="BK652" s="286"/>
      <c r="BL652" s="286"/>
      <c r="BM652" s="286"/>
      <c r="BN652" s="286"/>
      <c r="BO652" s="286"/>
      <c r="BP652" s="286"/>
      <c r="BQ652" s="286"/>
      <c r="BR652" s="286"/>
      <c r="BS652" s="286"/>
      <c r="BT652" s="286"/>
      <c r="BU652" s="286"/>
      <c r="BV652" s="286"/>
      <c r="BW652" s="286"/>
      <c r="BX652" s="286"/>
      <c r="BY652" s="286"/>
      <c r="BZ652" s="286"/>
      <c r="CA652" s="286"/>
      <c r="CB652" s="286"/>
      <c r="CC652" s="286"/>
      <c r="CD652" s="286"/>
      <c r="CE652" s="286"/>
      <c r="CF652" s="286"/>
      <c r="CG652" s="286"/>
      <c r="CH652" s="286"/>
      <c r="CI652" s="286"/>
      <c r="CJ652" s="286"/>
      <c r="CK652" s="286"/>
      <c r="CL652" s="286"/>
      <c r="CM652" s="286"/>
      <c r="CN652" s="286"/>
      <c r="CO652" s="286"/>
      <c r="CP652" s="286"/>
      <c r="CQ652" s="286"/>
      <c r="CR652" s="286"/>
      <c r="CS652" s="286"/>
      <c r="CT652" s="286"/>
      <c r="CU652" s="286"/>
      <c r="CV652" s="286"/>
      <c r="CW652" s="286"/>
      <c r="CX652" s="286"/>
      <c r="CY652" s="286"/>
      <c r="CZ652" s="286"/>
      <c r="DA652" s="286"/>
      <c r="DB652" s="286"/>
      <c r="DC652" s="286"/>
      <c r="DD652" s="286"/>
      <c r="DE652" s="286"/>
      <c r="DF652" s="286"/>
      <c r="DG652" s="286"/>
      <c r="DH652" s="286"/>
      <c r="DI652" s="286"/>
      <c r="DJ652" s="286"/>
      <c r="DK652" s="286"/>
      <c r="DL652" s="286"/>
      <c r="DM652" s="286"/>
      <c r="DN652" s="286"/>
      <c r="DO652" s="286"/>
      <c r="DP652" s="286"/>
      <c r="DQ652" s="286"/>
      <c r="DR652" s="286"/>
      <c r="DS652" s="286"/>
      <c r="DT652" s="286"/>
      <c r="DU652" s="286"/>
      <c r="DV652" s="286"/>
      <c r="DW652" s="286"/>
      <c r="DX652" s="286"/>
      <c r="DY652" s="286"/>
      <c r="DZ652" s="286"/>
      <c r="EA652" s="286"/>
      <c r="EB652" s="286"/>
      <c r="EC652" s="286"/>
      <c r="ED652" s="286"/>
      <c r="EE652" s="286"/>
      <c r="EF652" s="286"/>
      <c r="EG652" s="286"/>
      <c r="EH652" s="286"/>
      <c r="EI652" s="286"/>
      <c r="EJ652" s="286"/>
      <c r="EK652" s="286"/>
      <c r="EL652" s="286"/>
      <c r="EM652" s="286"/>
      <c r="EN652" s="286"/>
      <c r="EO652" s="286"/>
      <c r="EP652" s="286"/>
      <c r="EQ652" s="286"/>
      <c r="ER652" s="286"/>
      <c r="ES652" s="286"/>
      <c r="ET652" s="286"/>
      <c r="EU652" s="286"/>
      <c r="EV652" s="286"/>
      <c r="EW652" s="286"/>
      <c r="EX652" s="286"/>
      <c r="EY652" s="286"/>
      <c r="EZ652" s="286"/>
      <c r="FA652" s="286"/>
      <c r="FB652" s="286"/>
      <c r="FC652" s="286"/>
      <c r="FD652" s="286"/>
      <c r="FE652" s="286"/>
      <c r="FF652" s="286"/>
      <c r="FG652" s="286"/>
      <c r="FH652" s="286"/>
      <c r="FI652" s="286"/>
      <c r="FJ652" s="286"/>
      <c r="FK652" s="286"/>
      <c r="FL652" s="286"/>
      <c r="FM652" s="286"/>
      <c r="FN652" s="286"/>
      <c r="FO652" s="286"/>
      <c r="FP652" s="286"/>
      <c r="FQ652" s="286"/>
      <c r="FR652" s="286"/>
      <c r="FS652" s="286"/>
    </row>
    <row r="653" spans="1:175">
      <c r="A653" s="212" t="s">
        <v>3159</v>
      </c>
      <c r="B653" s="212" t="s">
        <v>3160</v>
      </c>
      <c r="C653" s="212" t="s">
        <v>3172</v>
      </c>
      <c r="D653" s="212" t="s">
        <v>3824</v>
      </c>
      <c r="E653" s="212" t="s">
        <v>3835</v>
      </c>
      <c r="F653" s="278">
        <v>3776</v>
      </c>
      <c r="G653" s="278">
        <v>103516</v>
      </c>
      <c r="H653" s="287">
        <f t="shared" si="10"/>
        <v>2.7966691139533983</v>
      </c>
      <c r="I653" s="286">
        <v>132</v>
      </c>
      <c r="J653" s="286">
        <v>2895</v>
      </c>
      <c r="K653" s="286">
        <v>1548</v>
      </c>
      <c r="L653" s="286">
        <v>1314</v>
      </c>
      <c r="M653" s="286">
        <v>2685</v>
      </c>
      <c r="N653" s="286">
        <v>1436</v>
      </c>
      <c r="O653" s="286">
        <v>1216</v>
      </c>
      <c r="P653" s="286">
        <v>124</v>
      </c>
      <c r="Q653" s="286">
        <v>2772</v>
      </c>
      <c r="R653" s="286">
        <v>1519</v>
      </c>
      <c r="S653" s="286">
        <v>1220</v>
      </c>
      <c r="T653" s="286">
        <v>2565</v>
      </c>
      <c r="U653" s="286">
        <v>1407</v>
      </c>
      <c r="V653" s="286">
        <v>1125</v>
      </c>
      <c r="W653" s="286"/>
      <c r="X653" s="286"/>
      <c r="Y653" s="286"/>
      <c r="Z653" s="286"/>
      <c r="AA653" s="286"/>
      <c r="AB653" s="286"/>
      <c r="AC653" s="286"/>
      <c r="AD653" s="286"/>
      <c r="AE653" s="286"/>
      <c r="AF653" s="286"/>
      <c r="AG653" s="286"/>
      <c r="AH653" s="286"/>
      <c r="AI653" s="286"/>
      <c r="AJ653" s="286"/>
      <c r="AK653" s="286"/>
      <c r="AL653" s="286"/>
      <c r="AM653" s="286"/>
      <c r="AN653" s="286"/>
      <c r="AO653" s="286"/>
      <c r="AP653" s="286"/>
      <c r="AQ653" s="286"/>
      <c r="AR653" s="286"/>
      <c r="AS653" s="286"/>
      <c r="AT653" s="286"/>
      <c r="AU653" s="286"/>
      <c r="AV653" s="286"/>
      <c r="AW653" s="286"/>
      <c r="AX653" s="286"/>
      <c r="AY653" s="286"/>
      <c r="AZ653" s="286"/>
      <c r="BA653" s="286"/>
      <c r="BB653" s="286"/>
      <c r="BC653" s="286"/>
      <c r="BD653" s="286"/>
      <c r="BE653" s="286"/>
      <c r="BF653" s="286"/>
      <c r="BG653" s="286"/>
      <c r="BH653" s="286"/>
      <c r="BI653" s="286"/>
      <c r="BJ653" s="286"/>
      <c r="BK653" s="286"/>
      <c r="BL653" s="286"/>
      <c r="BM653" s="286"/>
      <c r="BN653" s="286"/>
      <c r="BO653" s="286"/>
      <c r="BP653" s="286"/>
      <c r="BQ653" s="286"/>
      <c r="BR653" s="286"/>
      <c r="BS653" s="286"/>
      <c r="BT653" s="286"/>
      <c r="BU653" s="286"/>
      <c r="BV653" s="286"/>
      <c r="BW653" s="286"/>
      <c r="BX653" s="286"/>
      <c r="BY653" s="286"/>
      <c r="BZ653" s="286"/>
      <c r="CA653" s="286"/>
      <c r="CB653" s="286"/>
      <c r="CC653" s="286"/>
      <c r="CD653" s="286"/>
      <c r="CE653" s="286"/>
      <c r="CF653" s="286"/>
      <c r="CG653" s="286"/>
      <c r="CH653" s="286"/>
      <c r="CI653" s="286"/>
      <c r="CJ653" s="286"/>
      <c r="CK653" s="286"/>
      <c r="CL653" s="286"/>
      <c r="CM653" s="286"/>
      <c r="CN653" s="286"/>
      <c r="CO653" s="286"/>
      <c r="CP653" s="286"/>
      <c r="CQ653" s="286"/>
      <c r="CR653" s="286"/>
      <c r="CS653" s="286"/>
      <c r="CT653" s="286"/>
      <c r="CU653" s="286"/>
      <c r="CV653" s="286"/>
      <c r="CW653" s="286"/>
      <c r="CX653" s="286"/>
      <c r="CY653" s="286"/>
      <c r="CZ653" s="286"/>
      <c r="DA653" s="286"/>
      <c r="DB653" s="286"/>
      <c r="DC653" s="286"/>
      <c r="DD653" s="286"/>
      <c r="DE653" s="286"/>
      <c r="DF653" s="286"/>
      <c r="DG653" s="286"/>
      <c r="DH653" s="286"/>
      <c r="DI653" s="286"/>
      <c r="DJ653" s="286"/>
      <c r="DK653" s="286"/>
      <c r="DL653" s="286"/>
      <c r="DM653" s="286"/>
      <c r="DN653" s="286"/>
      <c r="DO653" s="286"/>
      <c r="DP653" s="286"/>
      <c r="DQ653" s="286"/>
      <c r="DR653" s="286"/>
      <c r="DS653" s="286"/>
      <c r="DT653" s="286"/>
      <c r="DU653" s="286"/>
      <c r="DV653" s="286"/>
      <c r="DW653" s="286"/>
      <c r="DX653" s="286"/>
      <c r="DY653" s="286"/>
      <c r="DZ653" s="286"/>
      <c r="EA653" s="286"/>
      <c r="EB653" s="286"/>
      <c r="EC653" s="286"/>
      <c r="ED653" s="286"/>
      <c r="EE653" s="286"/>
      <c r="EF653" s="286"/>
      <c r="EG653" s="286"/>
      <c r="EH653" s="286"/>
      <c r="EI653" s="286"/>
      <c r="EJ653" s="286"/>
      <c r="EK653" s="286"/>
      <c r="EL653" s="286"/>
      <c r="EM653" s="286"/>
      <c r="EN653" s="286"/>
      <c r="EO653" s="286"/>
      <c r="EP653" s="286"/>
      <c r="EQ653" s="286"/>
      <c r="ER653" s="286"/>
      <c r="ES653" s="286"/>
      <c r="ET653" s="286"/>
      <c r="EU653" s="286"/>
      <c r="EV653" s="286"/>
      <c r="EW653" s="286"/>
      <c r="EX653" s="286"/>
      <c r="EY653" s="286"/>
      <c r="EZ653" s="286"/>
      <c r="FA653" s="286"/>
      <c r="FB653" s="286"/>
      <c r="FC653" s="286"/>
      <c r="FD653" s="286"/>
      <c r="FE653" s="286"/>
      <c r="FF653" s="286"/>
      <c r="FG653" s="286"/>
      <c r="FH653" s="286"/>
      <c r="FI653" s="286"/>
      <c r="FJ653" s="286"/>
      <c r="FK653" s="286"/>
      <c r="FL653" s="286"/>
      <c r="FM653" s="286"/>
      <c r="FN653" s="286"/>
      <c r="FO653" s="286"/>
      <c r="FP653" s="286"/>
      <c r="FQ653" s="286"/>
      <c r="FR653" s="286"/>
      <c r="FS653" s="286"/>
    </row>
    <row r="654" spans="1:175">
      <c r="A654" s="212" t="s">
        <v>3159</v>
      </c>
      <c r="B654" s="212" t="s">
        <v>3160</v>
      </c>
      <c r="C654" s="212" t="s">
        <v>3432</v>
      </c>
      <c r="D654" s="212" t="s">
        <v>3824</v>
      </c>
      <c r="E654" s="212" t="s">
        <v>3836</v>
      </c>
      <c r="F654" s="278">
        <v>2927</v>
      </c>
      <c r="G654" s="278">
        <v>85572</v>
      </c>
      <c r="H654" s="287">
        <f t="shared" si="10"/>
        <v>2.4447249100172952</v>
      </c>
      <c r="I654" s="286">
        <v>87</v>
      </c>
      <c r="J654" s="286">
        <v>2092</v>
      </c>
      <c r="K654" s="286">
        <v>1131</v>
      </c>
      <c r="L654" s="286">
        <v>928</v>
      </c>
      <c r="M654" s="286">
        <v>1947</v>
      </c>
      <c r="N654" s="286">
        <v>1050</v>
      </c>
      <c r="O654" s="286">
        <v>864</v>
      </c>
      <c r="P654" s="286">
        <v>79</v>
      </c>
      <c r="Q654" s="286">
        <v>1969</v>
      </c>
      <c r="R654" s="286">
        <v>1102</v>
      </c>
      <c r="S654" s="286">
        <v>834</v>
      </c>
      <c r="T654" s="286">
        <v>1827</v>
      </c>
      <c r="U654" s="286">
        <v>1021</v>
      </c>
      <c r="V654" s="286">
        <v>773</v>
      </c>
      <c r="W654" s="286"/>
      <c r="X654" s="286"/>
      <c r="Y654" s="286"/>
      <c r="Z654" s="286"/>
      <c r="AA654" s="286"/>
      <c r="AB654" s="286"/>
      <c r="AC654" s="286"/>
      <c r="AD654" s="286"/>
      <c r="AE654" s="286"/>
      <c r="AF654" s="286"/>
      <c r="AG654" s="286"/>
      <c r="AH654" s="286"/>
      <c r="AI654" s="286"/>
      <c r="AJ654" s="286"/>
      <c r="AK654" s="286"/>
      <c r="AL654" s="286"/>
      <c r="AM654" s="286"/>
      <c r="AN654" s="286"/>
      <c r="AO654" s="286"/>
      <c r="AP654" s="286"/>
      <c r="AQ654" s="286"/>
      <c r="AR654" s="286"/>
      <c r="AS654" s="286"/>
      <c r="AT654" s="286"/>
      <c r="AU654" s="286"/>
      <c r="AV654" s="286"/>
      <c r="AW654" s="286"/>
      <c r="AX654" s="286"/>
      <c r="AY654" s="286"/>
      <c r="AZ654" s="286"/>
      <c r="BA654" s="286"/>
      <c r="BB654" s="286"/>
      <c r="BC654" s="286"/>
      <c r="BD654" s="286"/>
      <c r="BE654" s="286"/>
      <c r="BF654" s="286"/>
      <c r="BG654" s="286"/>
      <c r="BH654" s="286"/>
      <c r="BI654" s="286"/>
      <c r="BJ654" s="286"/>
      <c r="BK654" s="286"/>
      <c r="BL654" s="286"/>
      <c r="BM654" s="286"/>
      <c r="BN654" s="286"/>
      <c r="BO654" s="286"/>
      <c r="BP654" s="286"/>
      <c r="BQ654" s="286"/>
      <c r="BR654" s="286"/>
      <c r="BS654" s="286"/>
      <c r="BT654" s="286"/>
      <c r="BU654" s="286"/>
      <c r="BV654" s="286"/>
      <c r="BW654" s="286"/>
      <c r="BX654" s="286"/>
      <c r="BY654" s="286"/>
      <c r="BZ654" s="286"/>
      <c r="CA654" s="286"/>
      <c r="CB654" s="286"/>
      <c r="CC654" s="286"/>
      <c r="CD654" s="286"/>
      <c r="CE654" s="286"/>
      <c r="CF654" s="286"/>
      <c r="CG654" s="286"/>
      <c r="CH654" s="286"/>
      <c r="CI654" s="286"/>
      <c r="CJ654" s="286"/>
      <c r="CK654" s="286"/>
      <c r="CL654" s="286"/>
      <c r="CM654" s="286"/>
      <c r="CN654" s="286"/>
      <c r="CO654" s="286"/>
      <c r="CP654" s="286"/>
      <c r="CQ654" s="286"/>
      <c r="CR654" s="286"/>
      <c r="CS654" s="286"/>
      <c r="CT654" s="286"/>
      <c r="CU654" s="286"/>
      <c r="CV654" s="286"/>
      <c r="CW654" s="286"/>
      <c r="CX654" s="286"/>
      <c r="CY654" s="286"/>
      <c r="CZ654" s="286"/>
      <c r="DA654" s="286"/>
      <c r="DB654" s="286"/>
      <c r="DC654" s="286"/>
      <c r="DD654" s="286"/>
      <c r="DE654" s="286"/>
      <c r="DF654" s="286"/>
      <c r="DG654" s="286"/>
      <c r="DH654" s="286"/>
      <c r="DI654" s="286"/>
      <c r="DJ654" s="286"/>
      <c r="DK654" s="286"/>
      <c r="DL654" s="286"/>
      <c r="DM654" s="286"/>
      <c r="DN654" s="286"/>
      <c r="DO654" s="286"/>
      <c r="DP654" s="286"/>
      <c r="DQ654" s="286"/>
      <c r="DR654" s="286"/>
      <c r="DS654" s="286"/>
      <c r="DT654" s="286"/>
      <c r="DU654" s="286"/>
      <c r="DV654" s="286"/>
      <c r="DW654" s="286"/>
      <c r="DX654" s="286"/>
      <c r="DY654" s="286"/>
      <c r="DZ654" s="286"/>
      <c r="EA654" s="286"/>
      <c r="EB654" s="286"/>
      <c r="EC654" s="286"/>
      <c r="ED654" s="286"/>
      <c r="EE654" s="286"/>
      <c r="EF654" s="286"/>
      <c r="EG654" s="286"/>
      <c r="EH654" s="286"/>
      <c r="EI654" s="286"/>
      <c r="EJ654" s="286"/>
      <c r="EK654" s="286"/>
      <c r="EL654" s="286"/>
      <c r="EM654" s="286"/>
      <c r="EN654" s="286"/>
      <c r="EO654" s="286"/>
      <c r="EP654" s="286"/>
      <c r="EQ654" s="286"/>
      <c r="ER654" s="286"/>
      <c r="ES654" s="286"/>
      <c r="ET654" s="286"/>
      <c r="EU654" s="286"/>
      <c r="EV654" s="286"/>
      <c r="EW654" s="286"/>
      <c r="EX654" s="286"/>
      <c r="EY654" s="286"/>
      <c r="EZ654" s="286"/>
      <c r="FA654" s="286"/>
      <c r="FB654" s="286"/>
      <c r="FC654" s="286"/>
      <c r="FD654" s="286"/>
      <c r="FE654" s="286"/>
      <c r="FF654" s="286"/>
      <c r="FG654" s="286"/>
      <c r="FH654" s="286"/>
      <c r="FI654" s="286"/>
      <c r="FJ654" s="286"/>
      <c r="FK654" s="286"/>
      <c r="FL654" s="286"/>
      <c r="FM654" s="286"/>
      <c r="FN654" s="286"/>
      <c r="FO654" s="286"/>
      <c r="FP654" s="286"/>
      <c r="FQ654" s="286"/>
      <c r="FR654" s="286"/>
      <c r="FS654" s="286"/>
    </row>
    <row r="655" spans="1:175">
      <c r="A655" s="212" t="s">
        <v>3159</v>
      </c>
      <c r="B655" s="212" t="s">
        <v>3160</v>
      </c>
      <c r="C655" s="212" t="s">
        <v>3432</v>
      </c>
      <c r="D655" s="212" t="s">
        <v>3824</v>
      </c>
      <c r="E655" s="212" t="s">
        <v>3837</v>
      </c>
      <c r="F655" s="278">
        <v>849</v>
      </c>
      <c r="G655" s="278">
        <v>17944</v>
      </c>
      <c r="H655" s="287">
        <f t="shared" si="10"/>
        <v>4.4750334373606773</v>
      </c>
      <c r="I655" s="286">
        <v>45</v>
      </c>
      <c r="J655" s="286">
        <v>803</v>
      </c>
      <c r="K655" s="286">
        <v>417</v>
      </c>
      <c r="L655" s="286">
        <v>386</v>
      </c>
      <c r="M655" s="286">
        <v>738</v>
      </c>
      <c r="N655" s="286">
        <v>386</v>
      </c>
      <c r="O655" s="286">
        <v>352</v>
      </c>
      <c r="P655" s="286">
        <v>45</v>
      </c>
      <c r="Q655" s="286">
        <v>803</v>
      </c>
      <c r="R655" s="286">
        <v>417</v>
      </c>
      <c r="S655" s="286">
        <v>386</v>
      </c>
      <c r="T655" s="286">
        <v>738</v>
      </c>
      <c r="U655" s="286">
        <v>386</v>
      </c>
      <c r="V655" s="286">
        <v>352</v>
      </c>
      <c r="W655" s="286"/>
      <c r="X655" s="286"/>
      <c r="Y655" s="286"/>
      <c r="Z655" s="286"/>
      <c r="AA655" s="286"/>
      <c r="AB655" s="286"/>
      <c r="AC655" s="286"/>
      <c r="AD655" s="286"/>
      <c r="AE655" s="286"/>
      <c r="AF655" s="286"/>
      <c r="AG655" s="286"/>
      <c r="AH655" s="286"/>
      <c r="AI655" s="286"/>
      <c r="AJ655" s="286"/>
      <c r="AK655" s="286"/>
      <c r="AL655" s="286"/>
      <c r="AM655" s="286"/>
      <c r="AN655" s="286"/>
      <c r="AO655" s="286"/>
      <c r="AP655" s="286"/>
      <c r="AQ655" s="286"/>
      <c r="AR655" s="286"/>
      <c r="AS655" s="286"/>
      <c r="AT655" s="286"/>
      <c r="AU655" s="286"/>
      <c r="AV655" s="286"/>
      <c r="AW655" s="286"/>
      <c r="AX655" s="286"/>
      <c r="AY655" s="286"/>
      <c r="AZ655" s="286"/>
      <c r="BA655" s="286"/>
      <c r="BB655" s="286"/>
      <c r="BC655" s="286"/>
      <c r="BD655" s="286"/>
      <c r="BE655" s="286"/>
      <c r="BF655" s="286"/>
      <c r="BG655" s="286"/>
      <c r="BH655" s="286"/>
      <c r="BI655" s="286"/>
      <c r="BJ655" s="286"/>
      <c r="BK655" s="286"/>
      <c r="BL655" s="286"/>
      <c r="BM655" s="286"/>
      <c r="BN655" s="286"/>
      <c r="BO655" s="286"/>
      <c r="BP655" s="286"/>
      <c r="BQ655" s="286"/>
      <c r="BR655" s="286"/>
      <c r="BS655" s="286"/>
      <c r="BT655" s="286"/>
      <c r="BU655" s="286"/>
      <c r="BV655" s="286"/>
      <c r="BW655" s="286"/>
      <c r="BX655" s="286"/>
      <c r="BY655" s="286"/>
      <c r="BZ655" s="286"/>
      <c r="CA655" s="286"/>
      <c r="CB655" s="286"/>
      <c r="CC655" s="286"/>
      <c r="CD655" s="286"/>
      <c r="CE655" s="286"/>
      <c r="CF655" s="286"/>
      <c r="CG655" s="286"/>
      <c r="CH655" s="286"/>
      <c r="CI655" s="286"/>
      <c r="CJ655" s="286"/>
      <c r="CK655" s="286"/>
      <c r="CL655" s="286"/>
      <c r="CM655" s="286"/>
      <c r="CN655" s="286"/>
      <c r="CO655" s="286"/>
      <c r="CP655" s="286"/>
      <c r="CQ655" s="286"/>
      <c r="CR655" s="286"/>
      <c r="CS655" s="286"/>
      <c r="CT655" s="286"/>
      <c r="CU655" s="286"/>
      <c r="CV655" s="286"/>
      <c r="CW655" s="286"/>
      <c r="CX655" s="286"/>
      <c r="CY655" s="286"/>
      <c r="CZ655" s="286"/>
      <c r="DA655" s="286"/>
      <c r="DB655" s="286"/>
      <c r="DC655" s="286"/>
      <c r="DD655" s="286"/>
      <c r="DE655" s="286"/>
      <c r="DF655" s="286"/>
      <c r="DG655" s="286"/>
      <c r="DH655" s="286"/>
      <c r="DI655" s="286"/>
      <c r="DJ655" s="286"/>
      <c r="DK655" s="286"/>
      <c r="DL655" s="286"/>
      <c r="DM655" s="286"/>
      <c r="DN655" s="286"/>
      <c r="DO655" s="286"/>
      <c r="DP655" s="286"/>
      <c r="DQ655" s="286"/>
      <c r="DR655" s="286"/>
      <c r="DS655" s="286"/>
      <c r="DT655" s="286"/>
      <c r="DU655" s="286"/>
      <c r="DV655" s="286"/>
      <c r="DW655" s="286"/>
      <c r="DX655" s="286"/>
      <c r="DY655" s="286"/>
      <c r="DZ655" s="286"/>
      <c r="EA655" s="286"/>
      <c r="EB655" s="286"/>
      <c r="EC655" s="286"/>
      <c r="ED655" s="286"/>
      <c r="EE655" s="286"/>
      <c r="EF655" s="286"/>
      <c r="EG655" s="286"/>
      <c r="EH655" s="286"/>
      <c r="EI655" s="286"/>
      <c r="EJ655" s="286"/>
      <c r="EK655" s="286"/>
      <c r="EL655" s="286"/>
      <c r="EM655" s="286"/>
      <c r="EN655" s="286"/>
      <c r="EO655" s="286"/>
      <c r="EP655" s="286"/>
      <c r="EQ655" s="286"/>
      <c r="ER655" s="286"/>
      <c r="ES655" s="286"/>
      <c r="ET655" s="286"/>
      <c r="EU655" s="286"/>
      <c r="EV655" s="286"/>
      <c r="EW655" s="286"/>
      <c r="EX655" s="286"/>
      <c r="EY655" s="286"/>
      <c r="EZ655" s="286"/>
      <c r="FA655" s="286"/>
      <c r="FB655" s="286"/>
      <c r="FC655" s="286"/>
      <c r="FD655" s="286"/>
      <c r="FE655" s="286"/>
      <c r="FF655" s="286"/>
      <c r="FG655" s="286"/>
      <c r="FH655" s="286"/>
      <c r="FI655" s="286"/>
      <c r="FJ655" s="286"/>
      <c r="FK655" s="286"/>
      <c r="FL655" s="286"/>
      <c r="FM655" s="286"/>
      <c r="FN655" s="286"/>
      <c r="FO655" s="286"/>
      <c r="FP655" s="286"/>
      <c r="FQ655" s="286"/>
      <c r="FR655" s="286"/>
      <c r="FS655" s="286"/>
    </row>
    <row r="656" spans="1:175">
      <c r="A656" s="212" t="s">
        <v>3159</v>
      </c>
      <c r="B656" s="212" t="s">
        <v>3160</v>
      </c>
      <c r="C656" s="212" t="s">
        <v>3172</v>
      </c>
      <c r="D656" s="212" t="s">
        <v>3824</v>
      </c>
      <c r="E656" s="212" t="s">
        <v>3838</v>
      </c>
      <c r="F656" s="278">
        <v>20</v>
      </c>
      <c r="G656" s="278">
        <v>1201</v>
      </c>
      <c r="H656" s="287">
        <f t="shared" si="10"/>
        <v>0</v>
      </c>
      <c r="I656" s="286">
        <v>0</v>
      </c>
      <c r="J656" s="286">
        <v>0</v>
      </c>
      <c r="K656" s="286">
        <v>0</v>
      </c>
      <c r="L656" s="286">
        <v>0</v>
      </c>
      <c r="M656" s="286">
        <v>0</v>
      </c>
      <c r="N656" s="286">
        <v>0</v>
      </c>
      <c r="O656" s="286">
        <v>0</v>
      </c>
      <c r="P656" s="286">
        <v>0</v>
      </c>
      <c r="Q656" s="286">
        <v>0</v>
      </c>
      <c r="R656" s="286">
        <v>0</v>
      </c>
      <c r="S656" s="286">
        <v>0</v>
      </c>
      <c r="T656" s="286">
        <v>0</v>
      </c>
      <c r="U656" s="286">
        <v>0</v>
      </c>
      <c r="V656" s="286">
        <v>0</v>
      </c>
      <c r="W656" s="286"/>
      <c r="X656" s="286"/>
      <c r="Y656" s="286"/>
      <c r="Z656" s="286"/>
      <c r="AA656" s="286"/>
      <c r="AB656" s="286"/>
      <c r="AC656" s="286"/>
      <c r="AD656" s="286"/>
      <c r="AE656" s="286"/>
      <c r="AF656" s="286"/>
      <c r="AG656" s="286"/>
      <c r="AH656" s="286"/>
      <c r="AI656" s="286"/>
      <c r="AJ656" s="286"/>
      <c r="AK656" s="286"/>
      <c r="AL656" s="286"/>
      <c r="AM656" s="286"/>
      <c r="AN656" s="286"/>
      <c r="AO656" s="286"/>
      <c r="AP656" s="286"/>
      <c r="AQ656" s="286"/>
      <c r="AR656" s="286"/>
      <c r="AS656" s="286"/>
      <c r="AT656" s="286"/>
      <c r="AU656" s="286"/>
      <c r="AV656" s="286"/>
      <c r="AW656" s="286"/>
      <c r="AX656" s="286"/>
      <c r="AY656" s="286"/>
      <c r="AZ656" s="286"/>
      <c r="BA656" s="286"/>
      <c r="BB656" s="286"/>
      <c r="BC656" s="286"/>
      <c r="BD656" s="286"/>
      <c r="BE656" s="286"/>
      <c r="BF656" s="286"/>
      <c r="BG656" s="286"/>
      <c r="BH656" s="286"/>
      <c r="BI656" s="286"/>
      <c r="BJ656" s="286"/>
      <c r="BK656" s="286"/>
      <c r="BL656" s="286"/>
      <c r="BM656" s="286"/>
      <c r="BN656" s="286"/>
      <c r="BO656" s="286"/>
      <c r="BP656" s="286"/>
      <c r="BQ656" s="286"/>
      <c r="BR656" s="286"/>
      <c r="BS656" s="286"/>
      <c r="BT656" s="286"/>
      <c r="BU656" s="286"/>
      <c r="BV656" s="286"/>
      <c r="BW656" s="286"/>
      <c r="BX656" s="286"/>
      <c r="BY656" s="286"/>
      <c r="BZ656" s="286"/>
      <c r="CA656" s="286"/>
      <c r="CB656" s="286"/>
      <c r="CC656" s="286"/>
      <c r="CD656" s="286"/>
      <c r="CE656" s="286"/>
      <c r="CF656" s="286"/>
      <c r="CG656" s="286"/>
      <c r="CH656" s="286"/>
      <c r="CI656" s="286"/>
      <c r="CJ656" s="286"/>
      <c r="CK656" s="286"/>
      <c r="CL656" s="286"/>
      <c r="CM656" s="286"/>
      <c r="CN656" s="286"/>
      <c r="CO656" s="286"/>
      <c r="CP656" s="286"/>
      <c r="CQ656" s="286"/>
      <c r="CR656" s="286"/>
      <c r="CS656" s="286"/>
      <c r="CT656" s="286"/>
      <c r="CU656" s="286"/>
      <c r="CV656" s="286"/>
      <c r="CW656" s="286"/>
      <c r="CX656" s="286"/>
      <c r="CY656" s="286"/>
      <c r="CZ656" s="286"/>
      <c r="DA656" s="286"/>
      <c r="DB656" s="286"/>
      <c r="DC656" s="286"/>
      <c r="DD656" s="286"/>
      <c r="DE656" s="286"/>
      <c r="DF656" s="286"/>
      <c r="DG656" s="286"/>
      <c r="DH656" s="286"/>
      <c r="DI656" s="286"/>
      <c r="DJ656" s="286"/>
      <c r="DK656" s="286"/>
      <c r="DL656" s="286"/>
      <c r="DM656" s="286"/>
      <c r="DN656" s="286"/>
      <c r="DO656" s="286"/>
      <c r="DP656" s="286"/>
      <c r="DQ656" s="286"/>
      <c r="DR656" s="286"/>
      <c r="DS656" s="286"/>
      <c r="DT656" s="286"/>
      <c r="DU656" s="286"/>
      <c r="DV656" s="286"/>
      <c r="DW656" s="286"/>
      <c r="DX656" s="286"/>
      <c r="DY656" s="286"/>
      <c r="DZ656" s="286"/>
      <c r="EA656" s="286"/>
      <c r="EB656" s="286"/>
      <c r="EC656" s="286"/>
      <c r="ED656" s="286"/>
      <c r="EE656" s="286"/>
      <c r="EF656" s="286"/>
      <c r="EG656" s="286"/>
      <c r="EH656" s="286"/>
      <c r="EI656" s="286"/>
      <c r="EJ656" s="286"/>
      <c r="EK656" s="286"/>
      <c r="EL656" s="286"/>
      <c r="EM656" s="286"/>
      <c r="EN656" s="286"/>
      <c r="EO656" s="286"/>
      <c r="EP656" s="286"/>
      <c r="EQ656" s="286"/>
      <c r="ER656" s="286"/>
      <c r="ES656" s="286"/>
      <c r="ET656" s="286"/>
      <c r="EU656" s="286"/>
      <c r="EV656" s="286"/>
      <c r="EW656" s="286"/>
      <c r="EX656" s="286"/>
      <c r="EY656" s="286"/>
      <c r="EZ656" s="286"/>
      <c r="FA656" s="286"/>
      <c r="FB656" s="286"/>
      <c r="FC656" s="286"/>
      <c r="FD656" s="286"/>
      <c r="FE656" s="286"/>
      <c r="FF656" s="286"/>
      <c r="FG656" s="286"/>
      <c r="FH656" s="286"/>
      <c r="FI656" s="286"/>
      <c r="FJ656" s="286"/>
      <c r="FK656" s="286"/>
      <c r="FL656" s="286"/>
      <c r="FM656" s="286"/>
      <c r="FN656" s="286"/>
      <c r="FO656" s="286"/>
      <c r="FP656" s="286"/>
      <c r="FQ656" s="286"/>
      <c r="FR656" s="286"/>
      <c r="FS656" s="286"/>
    </row>
    <row r="657" spans="1:175">
      <c r="A657" s="212" t="s">
        <v>3159</v>
      </c>
      <c r="B657" s="212" t="s">
        <v>3160</v>
      </c>
      <c r="C657" s="212" t="s">
        <v>3459</v>
      </c>
      <c r="D657" s="212" t="s">
        <v>3839</v>
      </c>
      <c r="E657" s="212" t="s">
        <v>3840</v>
      </c>
      <c r="F657" s="278">
        <v>156243</v>
      </c>
      <c r="G657" s="278">
        <v>966396</v>
      </c>
      <c r="H657" s="287">
        <f t="shared" si="10"/>
        <v>4.6161200998348502</v>
      </c>
      <c r="I657" s="286">
        <v>7439</v>
      </c>
      <c r="J657" s="286">
        <v>44610</v>
      </c>
      <c r="K657" s="286">
        <v>20648</v>
      </c>
      <c r="L657" s="286">
        <v>23823</v>
      </c>
      <c r="M657" s="286">
        <v>35356</v>
      </c>
      <c r="N657" s="286">
        <v>16483</v>
      </c>
      <c r="O657" s="286">
        <v>18736</v>
      </c>
      <c r="P657" s="286">
        <v>6933</v>
      </c>
      <c r="Q657" s="286">
        <v>40512</v>
      </c>
      <c r="R657" s="286">
        <v>18447</v>
      </c>
      <c r="S657" s="286">
        <v>21926</v>
      </c>
      <c r="T657" s="286">
        <v>31453</v>
      </c>
      <c r="U657" s="286">
        <v>14387</v>
      </c>
      <c r="V657" s="286">
        <v>16929</v>
      </c>
      <c r="W657" s="286"/>
      <c r="X657" s="286"/>
      <c r="Y657" s="286"/>
      <c r="Z657" s="286"/>
      <c r="AA657" s="286"/>
      <c r="AB657" s="286"/>
      <c r="AC657" s="286"/>
      <c r="AD657" s="286"/>
      <c r="AE657" s="286"/>
      <c r="AF657" s="286"/>
      <c r="AG657" s="286"/>
      <c r="AH657" s="286"/>
      <c r="AI657" s="286"/>
      <c r="AJ657" s="286"/>
      <c r="AK657" s="286"/>
      <c r="AL657" s="286"/>
      <c r="AM657" s="286"/>
      <c r="AN657" s="286"/>
      <c r="AO657" s="286"/>
      <c r="AP657" s="286"/>
      <c r="AQ657" s="286"/>
      <c r="AR657" s="286"/>
      <c r="AS657" s="286"/>
      <c r="AT657" s="286"/>
      <c r="AU657" s="286"/>
      <c r="AV657" s="286"/>
      <c r="AW657" s="286"/>
      <c r="AX657" s="286"/>
      <c r="AY657" s="286"/>
      <c r="AZ657" s="286"/>
      <c r="BA657" s="286"/>
      <c r="BB657" s="286"/>
      <c r="BC657" s="286"/>
      <c r="BD657" s="286"/>
      <c r="BE657" s="286"/>
      <c r="BF657" s="286"/>
      <c r="BG657" s="286"/>
      <c r="BH657" s="286"/>
      <c r="BI657" s="286"/>
      <c r="BJ657" s="286"/>
      <c r="BK657" s="286"/>
      <c r="BL657" s="286"/>
      <c r="BM657" s="286"/>
      <c r="BN657" s="286"/>
      <c r="BO657" s="286"/>
      <c r="BP657" s="286"/>
      <c r="BQ657" s="286"/>
      <c r="BR657" s="286"/>
      <c r="BS657" s="286"/>
      <c r="BT657" s="286"/>
      <c r="BU657" s="286"/>
      <c r="BV657" s="286"/>
      <c r="BW657" s="286"/>
      <c r="BX657" s="286"/>
      <c r="BY657" s="286"/>
      <c r="BZ657" s="286"/>
      <c r="CA657" s="286"/>
      <c r="CB657" s="286"/>
      <c r="CC657" s="286"/>
      <c r="CD657" s="286"/>
      <c r="CE657" s="286"/>
      <c r="CF657" s="286"/>
      <c r="CG657" s="286"/>
      <c r="CH657" s="286"/>
      <c r="CI657" s="286"/>
      <c r="CJ657" s="286"/>
      <c r="CK657" s="286"/>
      <c r="CL657" s="286"/>
      <c r="CM657" s="286"/>
      <c r="CN657" s="286"/>
      <c r="CO657" s="286"/>
      <c r="CP657" s="286"/>
      <c r="CQ657" s="286"/>
      <c r="CR657" s="286"/>
      <c r="CS657" s="286"/>
      <c r="CT657" s="286"/>
      <c r="CU657" s="286"/>
      <c r="CV657" s="286"/>
      <c r="CW657" s="286"/>
      <c r="CX657" s="286"/>
      <c r="CY657" s="286"/>
      <c r="CZ657" s="286"/>
      <c r="DA657" s="286"/>
      <c r="DB657" s="286"/>
      <c r="DC657" s="286"/>
      <c r="DD657" s="286"/>
      <c r="DE657" s="286"/>
      <c r="DF657" s="286"/>
      <c r="DG657" s="286"/>
      <c r="DH657" s="286"/>
      <c r="DI657" s="286"/>
      <c r="DJ657" s="286"/>
      <c r="DK657" s="286"/>
      <c r="DL657" s="286"/>
      <c r="DM657" s="286"/>
      <c r="DN657" s="286"/>
      <c r="DO657" s="286"/>
      <c r="DP657" s="286"/>
      <c r="DQ657" s="286"/>
      <c r="DR657" s="286"/>
      <c r="DS657" s="286"/>
      <c r="DT657" s="286"/>
      <c r="DU657" s="286"/>
      <c r="DV657" s="286"/>
      <c r="DW657" s="286"/>
      <c r="DX657" s="286"/>
      <c r="DY657" s="286"/>
      <c r="DZ657" s="286"/>
      <c r="EA657" s="286"/>
      <c r="EB657" s="286"/>
      <c r="EC657" s="286"/>
      <c r="ED657" s="286"/>
      <c r="EE657" s="286"/>
      <c r="EF657" s="286"/>
      <c r="EG657" s="286"/>
      <c r="EH657" s="286"/>
      <c r="EI657" s="286"/>
      <c r="EJ657" s="286"/>
      <c r="EK657" s="286"/>
      <c r="EL657" s="286"/>
      <c r="EM657" s="286"/>
      <c r="EN657" s="286"/>
      <c r="EO657" s="286"/>
      <c r="EP657" s="286"/>
      <c r="EQ657" s="286"/>
      <c r="ER657" s="286"/>
      <c r="ES657" s="286"/>
      <c r="ET657" s="286"/>
      <c r="EU657" s="286"/>
      <c r="EV657" s="286"/>
      <c r="EW657" s="286"/>
      <c r="EX657" s="286"/>
      <c r="EY657" s="286"/>
      <c r="EZ657" s="286"/>
      <c r="FA657" s="286"/>
      <c r="FB657" s="286"/>
      <c r="FC657" s="286"/>
      <c r="FD657" s="286"/>
      <c r="FE657" s="286"/>
      <c r="FF657" s="286"/>
      <c r="FG657" s="286"/>
      <c r="FH657" s="286"/>
      <c r="FI657" s="286"/>
      <c r="FJ657" s="286"/>
      <c r="FK657" s="286"/>
      <c r="FL657" s="286"/>
      <c r="FM657" s="286"/>
      <c r="FN657" s="286"/>
      <c r="FO657" s="286"/>
      <c r="FP657" s="286"/>
      <c r="FQ657" s="286"/>
      <c r="FR657" s="286"/>
      <c r="FS657" s="286"/>
    </row>
    <row r="658" spans="1:175">
      <c r="A658" s="212" t="s">
        <v>3159</v>
      </c>
      <c r="B658" s="212" t="s">
        <v>3160</v>
      </c>
      <c r="C658" s="212" t="s">
        <v>3170</v>
      </c>
      <c r="D658" s="212" t="s">
        <v>3839</v>
      </c>
      <c r="E658" s="212" t="s">
        <v>3841</v>
      </c>
      <c r="F658" s="278">
        <v>156243</v>
      </c>
      <c r="G658" s="278">
        <v>966396</v>
      </c>
      <c r="H658" s="287">
        <f t="shared" si="10"/>
        <v>4.6161200998348502</v>
      </c>
      <c r="I658" s="286">
        <v>7439</v>
      </c>
      <c r="J658" s="286">
        <v>44610</v>
      </c>
      <c r="K658" s="286">
        <v>20648</v>
      </c>
      <c r="L658" s="286">
        <v>23823</v>
      </c>
      <c r="M658" s="286">
        <v>35356</v>
      </c>
      <c r="N658" s="286">
        <v>16483</v>
      </c>
      <c r="O658" s="286">
        <v>18736</v>
      </c>
      <c r="P658" s="286">
        <v>6933</v>
      </c>
      <c r="Q658" s="286">
        <v>40512</v>
      </c>
      <c r="R658" s="286">
        <v>18447</v>
      </c>
      <c r="S658" s="286">
        <v>21926</v>
      </c>
      <c r="T658" s="286">
        <v>31453</v>
      </c>
      <c r="U658" s="286">
        <v>14387</v>
      </c>
      <c r="V658" s="286">
        <v>16929</v>
      </c>
      <c r="W658" s="286"/>
      <c r="X658" s="286"/>
      <c r="Y658" s="286"/>
      <c r="Z658" s="286"/>
      <c r="AA658" s="286"/>
      <c r="AB658" s="286"/>
      <c r="AC658" s="286"/>
      <c r="AD658" s="286"/>
      <c r="AE658" s="286"/>
      <c r="AF658" s="286"/>
      <c r="AG658" s="286"/>
      <c r="AH658" s="286"/>
      <c r="AI658" s="286"/>
      <c r="AJ658" s="286"/>
      <c r="AK658" s="286"/>
      <c r="AL658" s="286"/>
      <c r="AM658" s="286"/>
      <c r="AN658" s="286"/>
      <c r="AO658" s="286"/>
      <c r="AP658" s="286"/>
      <c r="AQ658" s="286"/>
      <c r="AR658" s="286"/>
      <c r="AS658" s="286"/>
      <c r="AT658" s="286"/>
      <c r="AU658" s="286"/>
      <c r="AV658" s="286"/>
      <c r="AW658" s="286"/>
      <c r="AX658" s="286"/>
      <c r="AY658" s="286"/>
      <c r="AZ658" s="286"/>
      <c r="BA658" s="286"/>
      <c r="BB658" s="286"/>
      <c r="BC658" s="286"/>
      <c r="BD658" s="286"/>
      <c r="BE658" s="286"/>
      <c r="BF658" s="286"/>
      <c r="BG658" s="286"/>
      <c r="BH658" s="286"/>
      <c r="BI658" s="286"/>
      <c r="BJ658" s="286"/>
      <c r="BK658" s="286"/>
      <c r="BL658" s="286"/>
      <c r="BM658" s="286"/>
      <c r="BN658" s="286"/>
      <c r="BO658" s="286"/>
      <c r="BP658" s="286"/>
      <c r="BQ658" s="286"/>
      <c r="BR658" s="286"/>
      <c r="BS658" s="286"/>
      <c r="BT658" s="286"/>
      <c r="BU658" s="286"/>
      <c r="BV658" s="286"/>
      <c r="BW658" s="286"/>
      <c r="BX658" s="286"/>
      <c r="BY658" s="286"/>
      <c r="BZ658" s="286"/>
      <c r="CA658" s="286"/>
      <c r="CB658" s="286"/>
      <c r="CC658" s="286"/>
      <c r="CD658" s="286"/>
      <c r="CE658" s="286"/>
      <c r="CF658" s="286"/>
      <c r="CG658" s="286"/>
      <c r="CH658" s="286"/>
      <c r="CI658" s="286"/>
      <c r="CJ658" s="286"/>
      <c r="CK658" s="286"/>
      <c r="CL658" s="286"/>
      <c r="CM658" s="286"/>
      <c r="CN658" s="286"/>
      <c r="CO658" s="286"/>
      <c r="CP658" s="286"/>
      <c r="CQ658" s="286"/>
      <c r="CR658" s="286"/>
      <c r="CS658" s="286"/>
      <c r="CT658" s="286"/>
      <c r="CU658" s="286"/>
      <c r="CV658" s="286"/>
      <c r="CW658" s="286"/>
      <c r="CX658" s="286"/>
      <c r="CY658" s="286"/>
      <c r="CZ658" s="286"/>
      <c r="DA658" s="286"/>
      <c r="DB658" s="286"/>
      <c r="DC658" s="286"/>
      <c r="DD658" s="286"/>
      <c r="DE658" s="286"/>
      <c r="DF658" s="286"/>
      <c r="DG658" s="286"/>
      <c r="DH658" s="286"/>
      <c r="DI658" s="286"/>
      <c r="DJ658" s="286"/>
      <c r="DK658" s="286"/>
      <c r="DL658" s="286"/>
      <c r="DM658" s="286"/>
      <c r="DN658" s="286"/>
      <c r="DO658" s="286"/>
      <c r="DP658" s="286"/>
      <c r="DQ658" s="286"/>
      <c r="DR658" s="286"/>
      <c r="DS658" s="286"/>
      <c r="DT658" s="286"/>
      <c r="DU658" s="286"/>
      <c r="DV658" s="286"/>
      <c r="DW658" s="286"/>
      <c r="DX658" s="286"/>
      <c r="DY658" s="286"/>
      <c r="DZ658" s="286"/>
      <c r="EA658" s="286"/>
      <c r="EB658" s="286"/>
      <c r="EC658" s="286"/>
      <c r="ED658" s="286"/>
      <c r="EE658" s="286"/>
      <c r="EF658" s="286"/>
      <c r="EG658" s="286"/>
      <c r="EH658" s="286"/>
      <c r="EI658" s="286"/>
      <c r="EJ658" s="286"/>
      <c r="EK658" s="286"/>
      <c r="EL658" s="286"/>
      <c r="EM658" s="286"/>
      <c r="EN658" s="286"/>
      <c r="EO658" s="286"/>
      <c r="EP658" s="286"/>
      <c r="EQ658" s="286"/>
      <c r="ER658" s="286"/>
      <c r="ES658" s="286"/>
      <c r="ET658" s="286"/>
      <c r="EU658" s="286"/>
      <c r="EV658" s="286"/>
      <c r="EW658" s="286"/>
      <c r="EX658" s="286"/>
      <c r="EY658" s="286"/>
      <c r="EZ658" s="286"/>
      <c r="FA658" s="286"/>
      <c r="FB658" s="286"/>
      <c r="FC658" s="286"/>
      <c r="FD658" s="286"/>
      <c r="FE658" s="286"/>
      <c r="FF658" s="286"/>
      <c r="FG658" s="286"/>
      <c r="FH658" s="286"/>
      <c r="FI658" s="286"/>
      <c r="FJ658" s="286"/>
      <c r="FK658" s="286"/>
      <c r="FL658" s="286"/>
      <c r="FM658" s="286"/>
      <c r="FN658" s="286"/>
      <c r="FO658" s="286"/>
      <c r="FP658" s="286"/>
      <c r="FQ658" s="286"/>
      <c r="FR658" s="286"/>
      <c r="FS658" s="286"/>
    </row>
    <row r="659" spans="1:175">
      <c r="A659" s="212" t="s">
        <v>3159</v>
      </c>
      <c r="B659" s="212" t="s">
        <v>3160</v>
      </c>
      <c r="C659" s="212" t="s">
        <v>3172</v>
      </c>
      <c r="D659" s="212" t="s">
        <v>3839</v>
      </c>
      <c r="E659" s="212" t="s">
        <v>3842</v>
      </c>
      <c r="F659" s="278">
        <v>481</v>
      </c>
      <c r="G659" s="278">
        <v>7258</v>
      </c>
      <c r="H659" s="287">
        <f t="shared" si="10"/>
        <v>1.9289060347203086</v>
      </c>
      <c r="I659" s="286">
        <v>18</v>
      </c>
      <c r="J659" s="286">
        <v>140</v>
      </c>
      <c r="K659" s="286">
        <v>68</v>
      </c>
      <c r="L659" s="286">
        <v>72</v>
      </c>
      <c r="M659" s="286">
        <v>109</v>
      </c>
      <c r="N659" s="286">
        <v>53</v>
      </c>
      <c r="O659" s="286">
        <v>56</v>
      </c>
      <c r="P659" s="286">
        <v>18</v>
      </c>
      <c r="Q659" s="286">
        <v>140</v>
      </c>
      <c r="R659" s="286">
        <v>68</v>
      </c>
      <c r="S659" s="286">
        <v>72</v>
      </c>
      <c r="T659" s="286">
        <v>109</v>
      </c>
      <c r="U659" s="286">
        <v>53</v>
      </c>
      <c r="V659" s="286">
        <v>56</v>
      </c>
      <c r="W659" s="286"/>
      <c r="X659" s="286"/>
      <c r="Y659" s="286"/>
      <c r="Z659" s="286"/>
      <c r="AA659" s="286"/>
      <c r="AB659" s="286"/>
      <c r="AC659" s="286"/>
      <c r="AD659" s="286"/>
      <c r="AE659" s="286"/>
      <c r="AF659" s="286"/>
      <c r="AG659" s="286"/>
      <c r="AH659" s="286"/>
      <c r="AI659" s="286"/>
      <c r="AJ659" s="286"/>
      <c r="AK659" s="286"/>
      <c r="AL659" s="286"/>
      <c r="AM659" s="286"/>
      <c r="AN659" s="286"/>
      <c r="AO659" s="286"/>
      <c r="AP659" s="286"/>
      <c r="AQ659" s="286"/>
      <c r="AR659" s="286"/>
      <c r="AS659" s="286"/>
      <c r="AT659" s="286"/>
      <c r="AU659" s="286"/>
      <c r="AV659" s="286"/>
      <c r="AW659" s="286"/>
      <c r="AX659" s="286"/>
      <c r="AY659" s="286"/>
      <c r="AZ659" s="286"/>
      <c r="BA659" s="286"/>
      <c r="BB659" s="286"/>
      <c r="BC659" s="286"/>
      <c r="BD659" s="286"/>
      <c r="BE659" s="286"/>
      <c r="BF659" s="286"/>
      <c r="BG659" s="286"/>
      <c r="BH659" s="286"/>
      <c r="BI659" s="286"/>
      <c r="BJ659" s="286"/>
      <c r="BK659" s="286"/>
      <c r="BL659" s="286"/>
      <c r="BM659" s="286"/>
      <c r="BN659" s="286"/>
      <c r="BO659" s="286"/>
      <c r="BP659" s="286"/>
      <c r="BQ659" s="286"/>
      <c r="BR659" s="286"/>
      <c r="BS659" s="286"/>
      <c r="BT659" s="286"/>
      <c r="BU659" s="286"/>
      <c r="BV659" s="286"/>
      <c r="BW659" s="286"/>
      <c r="BX659" s="286"/>
      <c r="BY659" s="286"/>
      <c r="BZ659" s="286"/>
      <c r="CA659" s="286"/>
      <c r="CB659" s="286"/>
      <c r="CC659" s="286"/>
      <c r="CD659" s="286"/>
      <c r="CE659" s="286"/>
      <c r="CF659" s="286"/>
      <c r="CG659" s="286"/>
      <c r="CH659" s="286"/>
      <c r="CI659" s="286"/>
      <c r="CJ659" s="286"/>
      <c r="CK659" s="286"/>
      <c r="CL659" s="286"/>
      <c r="CM659" s="286"/>
      <c r="CN659" s="286"/>
      <c r="CO659" s="286"/>
      <c r="CP659" s="286"/>
      <c r="CQ659" s="286"/>
      <c r="CR659" s="286"/>
      <c r="CS659" s="286"/>
      <c r="CT659" s="286"/>
      <c r="CU659" s="286"/>
      <c r="CV659" s="286"/>
      <c r="CW659" s="286"/>
      <c r="CX659" s="286"/>
      <c r="CY659" s="286"/>
      <c r="CZ659" s="286"/>
      <c r="DA659" s="286"/>
      <c r="DB659" s="286"/>
      <c r="DC659" s="286"/>
      <c r="DD659" s="286"/>
      <c r="DE659" s="286"/>
      <c r="DF659" s="286"/>
      <c r="DG659" s="286"/>
      <c r="DH659" s="286"/>
      <c r="DI659" s="286"/>
      <c r="DJ659" s="286"/>
      <c r="DK659" s="286"/>
      <c r="DL659" s="286"/>
      <c r="DM659" s="286"/>
      <c r="DN659" s="286"/>
      <c r="DO659" s="286"/>
      <c r="DP659" s="286"/>
      <c r="DQ659" s="286"/>
      <c r="DR659" s="286"/>
      <c r="DS659" s="286"/>
      <c r="DT659" s="286"/>
      <c r="DU659" s="286"/>
      <c r="DV659" s="286"/>
      <c r="DW659" s="286"/>
      <c r="DX659" s="286"/>
      <c r="DY659" s="286"/>
      <c r="DZ659" s="286"/>
      <c r="EA659" s="286"/>
      <c r="EB659" s="286"/>
      <c r="EC659" s="286"/>
      <c r="ED659" s="286"/>
      <c r="EE659" s="286"/>
      <c r="EF659" s="286"/>
      <c r="EG659" s="286"/>
      <c r="EH659" s="286"/>
      <c r="EI659" s="286"/>
      <c r="EJ659" s="286"/>
      <c r="EK659" s="286"/>
      <c r="EL659" s="286"/>
      <c r="EM659" s="286"/>
      <c r="EN659" s="286"/>
      <c r="EO659" s="286"/>
      <c r="EP659" s="286"/>
      <c r="EQ659" s="286"/>
      <c r="ER659" s="286"/>
      <c r="ES659" s="286"/>
      <c r="ET659" s="286"/>
      <c r="EU659" s="286"/>
      <c r="EV659" s="286"/>
      <c r="EW659" s="286"/>
      <c r="EX659" s="286"/>
      <c r="EY659" s="286"/>
      <c r="EZ659" s="286"/>
      <c r="FA659" s="286"/>
      <c r="FB659" s="286"/>
      <c r="FC659" s="286"/>
      <c r="FD659" s="286"/>
      <c r="FE659" s="286"/>
      <c r="FF659" s="286"/>
      <c r="FG659" s="286"/>
      <c r="FH659" s="286"/>
      <c r="FI659" s="286"/>
      <c r="FJ659" s="286"/>
      <c r="FK659" s="286"/>
      <c r="FL659" s="286"/>
      <c r="FM659" s="286"/>
      <c r="FN659" s="286"/>
      <c r="FO659" s="286"/>
      <c r="FP659" s="286"/>
      <c r="FQ659" s="286"/>
      <c r="FR659" s="286"/>
      <c r="FS659" s="286"/>
    </row>
    <row r="660" spans="1:175">
      <c r="A660" s="212" t="s">
        <v>3159</v>
      </c>
      <c r="B660" s="212" t="s">
        <v>3160</v>
      </c>
      <c r="C660" s="212" t="s">
        <v>3172</v>
      </c>
      <c r="D660" s="212" t="s">
        <v>3839</v>
      </c>
      <c r="E660" s="212" t="s">
        <v>3843</v>
      </c>
      <c r="F660" s="278">
        <v>17155</v>
      </c>
      <c r="G660" s="278">
        <v>139125</v>
      </c>
      <c r="H660" s="287">
        <f t="shared" si="10"/>
        <v>3.5859838274932616</v>
      </c>
      <c r="I660" s="286">
        <v>674</v>
      </c>
      <c r="J660" s="286">
        <v>4989</v>
      </c>
      <c r="K660" s="286">
        <v>2086</v>
      </c>
      <c r="L660" s="286">
        <v>2903</v>
      </c>
      <c r="M660" s="286">
        <v>4606</v>
      </c>
      <c r="N660" s="286">
        <v>1913</v>
      </c>
      <c r="O660" s="286">
        <v>2693</v>
      </c>
      <c r="P660" s="286">
        <v>205</v>
      </c>
      <c r="Q660" s="286">
        <v>2314</v>
      </c>
      <c r="R660" s="286">
        <v>915</v>
      </c>
      <c r="S660" s="286">
        <v>1399</v>
      </c>
      <c r="T660" s="286">
        <v>2038</v>
      </c>
      <c r="U660" s="286">
        <v>782</v>
      </c>
      <c r="V660" s="286">
        <v>1256</v>
      </c>
      <c r="W660" s="286"/>
      <c r="X660" s="286"/>
      <c r="Y660" s="286"/>
      <c r="Z660" s="286"/>
      <c r="AA660" s="286"/>
      <c r="AB660" s="286"/>
      <c r="AC660" s="286"/>
      <c r="AD660" s="286"/>
      <c r="AE660" s="286"/>
      <c r="AF660" s="286"/>
      <c r="AG660" s="286"/>
      <c r="AH660" s="286"/>
      <c r="AI660" s="286"/>
      <c r="AJ660" s="286"/>
      <c r="AK660" s="286"/>
      <c r="AL660" s="286"/>
      <c r="AM660" s="286"/>
      <c r="AN660" s="286"/>
      <c r="AO660" s="286"/>
      <c r="AP660" s="286"/>
      <c r="AQ660" s="286"/>
      <c r="AR660" s="286"/>
      <c r="AS660" s="286"/>
      <c r="AT660" s="286"/>
      <c r="AU660" s="286"/>
      <c r="AV660" s="286"/>
      <c r="AW660" s="286"/>
      <c r="AX660" s="286"/>
      <c r="AY660" s="286"/>
      <c r="AZ660" s="286"/>
      <c r="BA660" s="286"/>
      <c r="BB660" s="286"/>
      <c r="BC660" s="286"/>
      <c r="BD660" s="286"/>
      <c r="BE660" s="286"/>
      <c r="BF660" s="286"/>
      <c r="BG660" s="286"/>
      <c r="BH660" s="286"/>
      <c r="BI660" s="286"/>
      <c r="BJ660" s="286"/>
      <c r="BK660" s="286"/>
      <c r="BL660" s="286"/>
      <c r="BM660" s="286"/>
      <c r="BN660" s="286"/>
      <c r="BO660" s="286"/>
      <c r="BP660" s="286"/>
      <c r="BQ660" s="286"/>
      <c r="BR660" s="286"/>
      <c r="BS660" s="286"/>
      <c r="BT660" s="286"/>
      <c r="BU660" s="286"/>
      <c r="BV660" s="286"/>
      <c r="BW660" s="286"/>
      <c r="BX660" s="286"/>
      <c r="BY660" s="286"/>
      <c r="BZ660" s="286"/>
      <c r="CA660" s="286"/>
      <c r="CB660" s="286"/>
      <c r="CC660" s="286"/>
      <c r="CD660" s="286"/>
      <c r="CE660" s="286"/>
      <c r="CF660" s="286"/>
      <c r="CG660" s="286"/>
      <c r="CH660" s="286"/>
      <c r="CI660" s="286"/>
      <c r="CJ660" s="286"/>
      <c r="CK660" s="286"/>
      <c r="CL660" s="286"/>
      <c r="CM660" s="286"/>
      <c r="CN660" s="286"/>
      <c r="CO660" s="286"/>
      <c r="CP660" s="286"/>
      <c r="CQ660" s="286"/>
      <c r="CR660" s="286"/>
      <c r="CS660" s="286"/>
      <c r="CT660" s="286"/>
      <c r="CU660" s="286"/>
      <c r="CV660" s="286"/>
      <c r="CW660" s="286"/>
      <c r="CX660" s="286"/>
      <c r="CY660" s="286"/>
      <c r="CZ660" s="286"/>
      <c r="DA660" s="286"/>
      <c r="DB660" s="286"/>
      <c r="DC660" s="286"/>
      <c r="DD660" s="286"/>
      <c r="DE660" s="286"/>
      <c r="DF660" s="286"/>
      <c r="DG660" s="286"/>
      <c r="DH660" s="286"/>
      <c r="DI660" s="286"/>
      <c r="DJ660" s="286"/>
      <c r="DK660" s="286"/>
      <c r="DL660" s="286"/>
      <c r="DM660" s="286"/>
      <c r="DN660" s="286"/>
      <c r="DO660" s="286"/>
      <c r="DP660" s="286"/>
      <c r="DQ660" s="286"/>
      <c r="DR660" s="286"/>
      <c r="DS660" s="286"/>
      <c r="DT660" s="286"/>
      <c r="DU660" s="286"/>
      <c r="DV660" s="286"/>
      <c r="DW660" s="286"/>
      <c r="DX660" s="286"/>
      <c r="DY660" s="286"/>
      <c r="DZ660" s="286"/>
      <c r="EA660" s="286"/>
      <c r="EB660" s="286"/>
      <c r="EC660" s="286"/>
      <c r="ED660" s="286"/>
      <c r="EE660" s="286"/>
      <c r="EF660" s="286"/>
      <c r="EG660" s="286"/>
      <c r="EH660" s="286"/>
      <c r="EI660" s="286"/>
      <c r="EJ660" s="286"/>
      <c r="EK660" s="286"/>
      <c r="EL660" s="286"/>
      <c r="EM660" s="286"/>
      <c r="EN660" s="286"/>
      <c r="EO660" s="286"/>
      <c r="EP660" s="286"/>
      <c r="EQ660" s="286"/>
      <c r="ER660" s="286"/>
      <c r="ES660" s="286"/>
      <c r="ET660" s="286"/>
      <c r="EU660" s="286"/>
      <c r="EV660" s="286"/>
      <c r="EW660" s="286"/>
      <c r="EX660" s="286"/>
      <c r="EY660" s="286"/>
      <c r="EZ660" s="286"/>
      <c r="FA660" s="286"/>
      <c r="FB660" s="286"/>
      <c r="FC660" s="286"/>
      <c r="FD660" s="286"/>
      <c r="FE660" s="286"/>
      <c r="FF660" s="286"/>
      <c r="FG660" s="286"/>
      <c r="FH660" s="286"/>
      <c r="FI660" s="286"/>
      <c r="FJ660" s="286"/>
      <c r="FK660" s="286"/>
      <c r="FL660" s="286"/>
      <c r="FM660" s="286"/>
      <c r="FN660" s="286"/>
      <c r="FO660" s="286"/>
      <c r="FP660" s="286"/>
      <c r="FQ660" s="286"/>
      <c r="FR660" s="286"/>
      <c r="FS660" s="286"/>
    </row>
    <row r="661" spans="1:175">
      <c r="A661" s="212" t="s">
        <v>3159</v>
      </c>
      <c r="B661" s="212" t="s">
        <v>3160</v>
      </c>
      <c r="C661" s="212" t="s">
        <v>3432</v>
      </c>
      <c r="D661" s="212" t="s">
        <v>3839</v>
      </c>
      <c r="E661" s="212" t="s">
        <v>3844</v>
      </c>
      <c r="F661" s="278">
        <v>7167</v>
      </c>
      <c r="G661" s="278">
        <v>27845</v>
      </c>
      <c r="H661" s="287">
        <f t="shared" si="10"/>
        <v>2.8802298437780571</v>
      </c>
      <c r="I661" s="286">
        <v>283</v>
      </c>
      <c r="J661" s="286">
        <v>802</v>
      </c>
      <c r="K661" s="286">
        <v>432</v>
      </c>
      <c r="L661" s="286">
        <v>370</v>
      </c>
      <c r="M661" s="286">
        <v>754</v>
      </c>
      <c r="N661" s="286">
        <v>410</v>
      </c>
      <c r="O661" s="286">
        <v>344</v>
      </c>
      <c r="P661" s="286">
        <v>13</v>
      </c>
      <c r="Q661" s="286">
        <v>63</v>
      </c>
      <c r="R661" s="286">
        <v>32</v>
      </c>
      <c r="S661" s="286">
        <v>31</v>
      </c>
      <c r="T661" s="286">
        <v>54</v>
      </c>
      <c r="U661" s="286">
        <v>24</v>
      </c>
      <c r="V661" s="286">
        <v>30</v>
      </c>
      <c r="W661" s="286"/>
      <c r="X661" s="286"/>
      <c r="Y661" s="286"/>
      <c r="Z661" s="286"/>
      <c r="AA661" s="286"/>
      <c r="AB661" s="286"/>
      <c r="AC661" s="286"/>
      <c r="AD661" s="286"/>
      <c r="AE661" s="286"/>
      <c r="AF661" s="286"/>
      <c r="AG661" s="286"/>
      <c r="AH661" s="286"/>
      <c r="AI661" s="286"/>
      <c r="AJ661" s="286"/>
      <c r="AK661" s="286"/>
      <c r="AL661" s="286"/>
      <c r="AM661" s="286"/>
      <c r="AN661" s="286"/>
      <c r="AO661" s="286"/>
      <c r="AP661" s="286"/>
      <c r="AQ661" s="286"/>
      <c r="AR661" s="286"/>
      <c r="AS661" s="286"/>
      <c r="AT661" s="286"/>
      <c r="AU661" s="286"/>
      <c r="AV661" s="286"/>
      <c r="AW661" s="286"/>
      <c r="AX661" s="286"/>
      <c r="AY661" s="286"/>
      <c r="AZ661" s="286"/>
      <c r="BA661" s="286"/>
      <c r="BB661" s="286"/>
      <c r="BC661" s="286"/>
      <c r="BD661" s="286"/>
      <c r="BE661" s="286"/>
      <c r="BF661" s="286"/>
      <c r="BG661" s="286"/>
      <c r="BH661" s="286"/>
      <c r="BI661" s="286"/>
      <c r="BJ661" s="286"/>
      <c r="BK661" s="286"/>
      <c r="BL661" s="286"/>
      <c r="BM661" s="286"/>
      <c r="BN661" s="286"/>
      <c r="BO661" s="286"/>
      <c r="BP661" s="286"/>
      <c r="BQ661" s="286"/>
      <c r="BR661" s="286"/>
      <c r="BS661" s="286"/>
      <c r="BT661" s="286"/>
      <c r="BU661" s="286"/>
      <c r="BV661" s="286"/>
      <c r="BW661" s="286"/>
      <c r="BX661" s="286"/>
      <c r="BY661" s="286"/>
      <c r="BZ661" s="286"/>
      <c r="CA661" s="286"/>
      <c r="CB661" s="286"/>
      <c r="CC661" s="286"/>
      <c r="CD661" s="286"/>
      <c r="CE661" s="286"/>
      <c r="CF661" s="286"/>
      <c r="CG661" s="286"/>
      <c r="CH661" s="286"/>
      <c r="CI661" s="286"/>
      <c r="CJ661" s="286"/>
      <c r="CK661" s="286"/>
      <c r="CL661" s="286"/>
      <c r="CM661" s="286"/>
      <c r="CN661" s="286"/>
      <c r="CO661" s="286"/>
      <c r="CP661" s="286"/>
      <c r="CQ661" s="286"/>
      <c r="CR661" s="286"/>
      <c r="CS661" s="286"/>
      <c r="CT661" s="286"/>
      <c r="CU661" s="286"/>
      <c r="CV661" s="286"/>
      <c r="CW661" s="286"/>
      <c r="CX661" s="286"/>
      <c r="CY661" s="286"/>
      <c r="CZ661" s="286"/>
      <c r="DA661" s="286"/>
      <c r="DB661" s="286"/>
      <c r="DC661" s="286"/>
      <c r="DD661" s="286"/>
      <c r="DE661" s="286"/>
      <c r="DF661" s="286"/>
      <c r="DG661" s="286"/>
      <c r="DH661" s="286"/>
      <c r="DI661" s="286"/>
      <c r="DJ661" s="286"/>
      <c r="DK661" s="286"/>
      <c r="DL661" s="286"/>
      <c r="DM661" s="286"/>
      <c r="DN661" s="286"/>
      <c r="DO661" s="286"/>
      <c r="DP661" s="286"/>
      <c r="DQ661" s="286"/>
      <c r="DR661" s="286"/>
      <c r="DS661" s="286"/>
      <c r="DT661" s="286"/>
      <c r="DU661" s="286"/>
      <c r="DV661" s="286"/>
      <c r="DW661" s="286"/>
      <c r="DX661" s="286"/>
      <c r="DY661" s="286"/>
      <c r="DZ661" s="286"/>
      <c r="EA661" s="286"/>
      <c r="EB661" s="286"/>
      <c r="EC661" s="286"/>
      <c r="ED661" s="286"/>
      <c r="EE661" s="286"/>
      <c r="EF661" s="286"/>
      <c r="EG661" s="286"/>
      <c r="EH661" s="286"/>
      <c r="EI661" s="286"/>
      <c r="EJ661" s="286"/>
      <c r="EK661" s="286"/>
      <c r="EL661" s="286"/>
      <c r="EM661" s="286"/>
      <c r="EN661" s="286"/>
      <c r="EO661" s="286"/>
      <c r="EP661" s="286"/>
      <c r="EQ661" s="286"/>
      <c r="ER661" s="286"/>
      <c r="ES661" s="286"/>
      <c r="ET661" s="286"/>
      <c r="EU661" s="286"/>
      <c r="EV661" s="286"/>
      <c r="EW661" s="286"/>
      <c r="EX661" s="286"/>
      <c r="EY661" s="286"/>
      <c r="EZ661" s="286"/>
      <c r="FA661" s="286"/>
      <c r="FB661" s="286"/>
      <c r="FC661" s="286"/>
      <c r="FD661" s="286"/>
      <c r="FE661" s="286"/>
      <c r="FF661" s="286"/>
      <c r="FG661" s="286"/>
      <c r="FH661" s="286"/>
      <c r="FI661" s="286"/>
      <c r="FJ661" s="286"/>
      <c r="FK661" s="286"/>
      <c r="FL661" s="286"/>
      <c r="FM661" s="286"/>
      <c r="FN661" s="286"/>
      <c r="FO661" s="286"/>
      <c r="FP661" s="286"/>
      <c r="FQ661" s="286"/>
      <c r="FR661" s="286"/>
      <c r="FS661" s="286"/>
    </row>
    <row r="662" spans="1:175">
      <c r="A662" s="212" t="s">
        <v>3159</v>
      </c>
      <c r="B662" s="212" t="s">
        <v>3160</v>
      </c>
      <c r="C662" s="212" t="s">
        <v>3432</v>
      </c>
      <c r="D662" s="212" t="s">
        <v>3839</v>
      </c>
      <c r="E662" s="212" t="s">
        <v>3845</v>
      </c>
      <c r="F662" s="278">
        <v>3562</v>
      </c>
      <c r="G662" s="278">
        <v>46159</v>
      </c>
      <c r="H662" s="287">
        <f t="shared" si="10"/>
        <v>2.6777009900561102</v>
      </c>
      <c r="I662" s="286">
        <v>116</v>
      </c>
      <c r="J662" s="286">
        <v>1236</v>
      </c>
      <c r="K662" s="286">
        <v>245</v>
      </c>
      <c r="L662" s="286">
        <v>991</v>
      </c>
      <c r="M662" s="286">
        <v>1211</v>
      </c>
      <c r="N662" s="286">
        <v>238</v>
      </c>
      <c r="O662" s="286">
        <v>973</v>
      </c>
      <c r="P662" s="286">
        <v>42</v>
      </c>
      <c r="Q662" s="286">
        <v>472</v>
      </c>
      <c r="R662" s="286">
        <v>82</v>
      </c>
      <c r="S662" s="286">
        <v>390</v>
      </c>
      <c r="T662" s="286">
        <v>470</v>
      </c>
      <c r="U662" s="286">
        <v>81</v>
      </c>
      <c r="V662" s="286">
        <v>389</v>
      </c>
      <c r="W662" s="286"/>
      <c r="X662" s="286"/>
      <c r="Y662" s="286"/>
      <c r="Z662" s="286"/>
      <c r="AA662" s="286"/>
      <c r="AB662" s="286"/>
      <c r="AC662" s="286"/>
      <c r="AD662" s="286"/>
      <c r="AE662" s="286"/>
      <c r="AF662" s="286"/>
      <c r="AG662" s="286"/>
      <c r="AH662" s="286"/>
      <c r="AI662" s="286"/>
      <c r="AJ662" s="286"/>
      <c r="AK662" s="286"/>
      <c r="AL662" s="286"/>
      <c r="AM662" s="286"/>
      <c r="AN662" s="286"/>
      <c r="AO662" s="286"/>
      <c r="AP662" s="286"/>
      <c r="AQ662" s="286"/>
      <c r="AR662" s="286"/>
      <c r="AS662" s="286"/>
      <c r="AT662" s="286"/>
      <c r="AU662" s="286"/>
      <c r="AV662" s="286"/>
      <c r="AW662" s="286"/>
      <c r="AX662" s="286"/>
      <c r="AY662" s="286"/>
      <c r="AZ662" s="286"/>
      <c r="BA662" s="286"/>
      <c r="BB662" s="286"/>
      <c r="BC662" s="286"/>
      <c r="BD662" s="286"/>
      <c r="BE662" s="286"/>
      <c r="BF662" s="286"/>
      <c r="BG662" s="286"/>
      <c r="BH662" s="286"/>
      <c r="BI662" s="286"/>
      <c r="BJ662" s="286"/>
      <c r="BK662" s="286"/>
      <c r="BL662" s="286"/>
      <c r="BM662" s="286"/>
      <c r="BN662" s="286"/>
      <c r="BO662" s="286"/>
      <c r="BP662" s="286"/>
      <c r="BQ662" s="286"/>
      <c r="BR662" s="286"/>
      <c r="BS662" s="286"/>
      <c r="BT662" s="286"/>
      <c r="BU662" s="286"/>
      <c r="BV662" s="286"/>
      <c r="BW662" s="286"/>
      <c r="BX662" s="286"/>
      <c r="BY662" s="286"/>
      <c r="BZ662" s="286"/>
      <c r="CA662" s="286"/>
      <c r="CB662" s="286"/>
      <c r="CC662" s="286"/>
      <c r="CD662" s="286"/>
      <c r="CE662" s="286"/>
      <c r="CF662" s="286"/>
      <c r="CG662" s="286"/>
      <c r="CH662" s="286"/>
      <c r="CI662" s="286"/>
      <c r="CJ662" s="286"/>
      <c r="CK662" s="286"/>
      <c r="CL662" s="286"/>
      <c r="CM662" s="286"/>
      <c r="CN662" s="286"/>
      <c r="CO662" s="286"/>
      <c r="CP662" s="286"/>
      <c r="CQ662" s="286"/>
      <c r="CR662" s="286"/>
      <c r="CS662" s="286"/>
      <c r="CT662" s="286"/>
      <c r="CU662" s="286"/>
      <c r="CV662" s="286"/>
      <c r="CW662" s="286"/>
      <c r="CX662" s="286"/>
      <c r="CY662" s="286"/>
      <c r="CZ662" s="286"/>
      <c r="DA662" s="286"/>
      <c r="DB662" s="286"/>
      <c r="DC662" s="286"/>
      <c r="DD662" s="286"/>
      <c r="DE662" s="286"/>
      <c r="DF662" s="286"/>
      <c r="DG662" s="286"/>
      <c r="DH662" s="286"/>
      <c r="DI662" s="286"/>
      <c r="DJ662" s="286"/>
      <c r="DK662" s="286"/>
      <c r="DL662" s="286"/>
      <c r="DM662" s="286"/>
      <c r="DN662" s="286"/>
      <c r="DO662" s="286"/>
      <c r="DP662" s="286"/>
      <c r="DQ662" s="286"/>
      <c r="DR662" s="286"/>
      <c r="DS662" s="286"/>
      <c r="DT662" s="286"/>
      <c r="DU662" s="286"/>
      <c r="DV662" s="286"/>
      <c r="DW662" s="286"/>
      <c r="DX662" s="286"/>
      <c r="DY662" s="286"/>
      <c r="DZ662" s="286"/>
      <c r="EA662" s="286"/>
      <c r="EB662" s="286"/>
      <c r="EC662" s="286"/>
      <c r="ED662" s="286"/>
      <c r="EE662" s="286"/>
      <c r="EF662" s="286"/>
      <c r="EG662" s="286"/>
      <c r="EH662" s="286"/>
      <c r="EI662" s="286"/>
      <c r="EJ662" s="286"/>
      <c r="EK662" s="286"/>
      <c r="EL662" s="286"/>
      <c r="EM662" s="286"/>
      <c r="EN662" s="286"/>
      <c r="EO662" s="286"/>
      <c r="EP662" s="286"/>
      <c r="EQ662" s="286"/>
      <c r="ER662" s="286"/>
      <c r="ES662" s="286"/>
      <c r="ET662" s="286"/>
      <c r="EU662" s="286"/>
      <c r="EV662" s="286"/>
      <c r="EW662" s="286"/>
      <c r="EX662" s="286"/>
      <c r="EY662" s="286"/>
      <c r="EZ662" s="286"/>
      <c r="FA662" s="286"/>
      <c r="FB662" s="286"/>
      <c r="FC662" s="286"/>
      <c r="FD662" s="286"/>
      <c r="FE662" s="286"/>
      <c r="FF662" s="286"/>
      <c r="FG662" s="286"/>
      <c r="FH662" s="286"/>
      <c r="FI662" s="286"/>
      <c r="FJ662" s="286"/>
      <c r="FK662" s="286"/>
      <c r="FL662" s="286"/>
      <c r="FM662" s="286"/>
      <c r="FN662" s="286"/>
      <c r="FO662" s="286"/>
      <c r="FP662" s="286"/>
      <c r="FQ662" s="286"/>
      <c r="FR662" s="286"/>
      <c r="FS662" s="286"/>
    </row>
    <row r="663" spans="1:175">
      <c r="A663" s="212" t="s">
        <v>3159</v>
      </c>
      <c r="B663" s="212" t="s">
        <v>3160</v>
      </c>
      <c r="C663" s="212" t="s">
        <v>3432</v>
      </c>
      <c r="D663" s="212" t="s">
        <v>3839</v>
      </c>
      <c r="E663" s="212" t="s">
        <v>3846</v>
      </c>
      <c r="F663" s="278">
        <v>4424</v>
      </c>
      <c r="G663" s="278">
        <v>38229</v>
      </c>
      <c r="H663" s="287">
        <f t="shared" si="10"/>
        <v>3.6229040780559258</v>
      </c>
      <c r="I663" s="286">
        <v>177</v>
      </c>
      <c r="J663" s="286">
        <v>1385</v>
      </c>
      <c r="K663" s="286">
        <v>591</v>
      </c>
      <c r="L663" s="286">
        <v>794</v>
      </c>
      <c r="M663" s="286">
        <v>1194</v>
      </c>
      <c r="N663" s="286">
        <v>505</v>
      </c>
      <c r="O663" s="286">
        <v>689</v>
      </c>
      <c r="P663" s="286">
        <v>105</v>
      </c>
      <c r="Q663" s="286">
        <v>736</v>
      </c>
      <c r="R663" s="286">
        <v>287</v>
      </c>
      <c r="S663" s="286">
        <v>449</v>
      </c>
      <c r="T663" s="286">
        <v>565</v>
      </c>
      <c r="U663" s="286">
        <v>204</v>
      </c>
      <c r="V663" s="286">
        <v>361</v>
      </c>
      <c r="W663" s="286"/>
      <c r="X663" s="286"/>
      <c r="Y663" s="286"/>
      <c r="Z663" s="286"/>
      <c r="AA663" s="286"/>
      <c r="AB663" s="286"/>
      <c r="AC663" s="286"/>
      <c r="AD663" s="286"/>
      <c r="AE663" s="286"/>
      <c r="AF663" s="286"/>
      <c r="AG663" s="286"/>
      <c r="AH663" s="286"/>
      <c r="AI663" s="286"/>
      <c r="AJ663" s="286"/>
      <c r="AK663" s="286"/>
      <c r="AL663" s="286"/>
      <c r="AM663" s="286"/>
      <c r="AN663" s="286"/>
      <c r="AO663" s="286"/>
      <c r="AP663" s="286"/>
      <c r="AQ663" s="286"/>
      <c r="AR663" s="286"/>
      <c r="AS663" s="286"/>
      <c r="AT663" s="286"/>
      <c r="AU663" s="286"/>
      <c r="AV663" s="286"/>
      <c r="AW663" s="286"/>
      <c r="AX663" s="286"/>
      <c r="AY663" s="286"/>
      <c r="AZ663" s="286"/>
      <c r="BA663" s="286"/>
      <c r="BB663" s="286"/>
      <c r="BC663" s="286"/>
      <c r="BD663" s="286"/>
      <c r="BE663" s="286"/>
      <c r="BF663" s="286"/>
      <c r="BG663" s="286"/>
      <c r="BH663" s="286"/>
      <c r="BI663" s="286"/>
      <c r="BJ663" s="286"/>
      <c r="BK663" s="286"/>
      <c r="BL663" s="286"/>
      <c r="BM663" s="286"/>
      <c r="BN663" s="286"/>
      <c r="BO663" s="286"/>
      <c r="BP663" s="286"/>
      <c r="BQ663" s="286"/>
      <c r="BR663" s="286"/>
      <c r="BS663" s="286"/>
      <c r="BT663" s="286"/>
      <c r="BU663" s="286"/>
      <c r="BV663" s="286"/>
      <c r="BW663" s="286"/>
      <c r="BX663" s="286"/>
      <c r="BY663" s="286"/>
      <c r="BZ663" s="286"/>
      <c r="CA663" s="286"/>
      <c r="CB663" s="286"/>
      <c r="CC663" s="286"/>
      <c r="CD663" s="286"/>
      <c r="CE663" s="286"/>
      <c r="CF663" s="286"/>
      <c r="CG663" s="286"/>
      <c r="CH663" s="286"/>
      <c r="CI663" s="286"/>
      <c r="CJ663" s="286"/>
      <c r="CK663" s="286"/>
      <c r="CL663" s="286"/>
      <c r="CM663" s="286"/>
      <c r="CN663" s="286"/>
      <c r="CO663" s="286"/>
      <c r="CP663" s="286"/>
      <c r="CQ663" s="286"/>
      <c r="CR663" s="286"/>
      <c r="CS663" s="286"/>
      <c r="CT663" s="286"/>
      <c r="CU663" s="286"/>
      <c r="CV663" s="286"/>
      <c r="CW663" s="286"/>
      <c r="CX663" s="286"/>
      <c r="CY663" s="286"/>
      <c r="CZ663" s="286"/>
      <c r="DA663" s="286"/>
      <c r="DB663" s="286"/>
      <c r="DC663" s="286"/>
      <c r="DD663" s="286"/>
      <c r="DE663" s="286"/>
      <c r="DF663" s="286"/>
      <c r="DG663" s="286"/>
      <c r="DH663" s="286"/>
      <c r="DI663" s="286"/>
      <c r="DJ663" s="286"/>
      <c r="DK663" s="286"/>
      <c r="DL663" s="286"/>
      <c r="DM663" s="286"/>
      <c r="DN663" s="286"/>
      <c r="DO663" s="286"/>
      <c r="DP663" s="286"/>
      <c r="DQ663" s="286"/>
      <c r="DR663" s="286"/>
      <c r="DS663" s="286"/>
      <c r="DT663" s="286"/>
      <c r="DU663" s="286"/>
      <c r="DV663" s="286"/>
      <c r="DW663" s="286"/>
      <c r="DX663" s="286"/>
      <c r="DY663" s="286"/>
      <c r="DZ663" s="286"/>
      <c r="EA663" s="286"/>
      <c r="EB663" s="286"/>
      <c r="EC663" s="286"/>
      <c r="ED663" s="286"/>
      <c r="EE663" s="286"/>
      <c r="EF663" s="286"/>
      <c r="EG663" s="286"/>
      <c r="EH663" s="286"/>
      <c r="EI663" s="286"/>
      <c r="EJ663" s="286"/>
      <c r="EK663" s="286"/>
      <c r="EL663" s="286"/>
      <c r="EM663" s="286"/>
      <c r="EN663" s="286"/>
      <c r="EO663" s="286"/>
      <c r="EP663" s="286"/>
      <c r="EQ663" s="286"/>
      <c r="ER663" s="286"/>
      <c r="ES663" s="286"/>
      <c r="ET663" s="286"/>
      <c r="EU663" s="286"/>
      <c r="EV663" s="286"/>
      <c r="EW663" s="286"/>
      <c r="EX663" s="286"/>
      <c r="EY663" s="286"/>
      <c r="EZ663" s="286"/>
      <c r="FA663" s="286"/>
      <c r="FB663" s="286"/>
      <c r="FC663" s="286"/>
      <c r="FD663" s="286"/>
      <c r="FE663" s="286"/>
      <c r="FF663" s="286"/>
      <c r="FG663" s="286"/>
      <c r="FH663" s="286"/>
      <c r="FI663" s="286"/>
      <c r="FJ663" s="286"/>
      <c r="FK663" s="286"/>
      <c r="FL663" s="286"/>
      <c r="FM663" s="286"/>
      <c r="FN663" s="286"/>
      <c r="FO663" s="286"/>
      <c r="FP663" s="286"/>
      <c r="FQ663" s="286"/>
      <c r="FR663" s="286"/>
      <c r="FS663" s="286"/>
    </row>
    <row r="664" spans="1:175">
      <c r="A664" s="212" t="s">
        <v>3159</v>
      </c>
      <c r="B664" s="212" t="s">
        <v>3160</v>
      </c>
      <c r="C664" s="212" t="s">
        <v>3432</v>
      </c>
      <c r="D664" s="212" t="s">
        <v>3839</v>
      </c>
      <c r="E664" s="212" t="s">
        <v>3847</v>
      </c>
      <c r="F664" s="278">
        <v>418</v>
      </c>
      <c r="G664" s="278">
        <v>13245</v>
      </c>
      <c r="H664" s="287">
        <f t="shared" si="10"/>
        <v>6.727066817667045</v>
      </c>
      <c r="I664" s="286">
        <v>27</v>
      </c>
      <c r="J664" s="286">
        <v>891</v>
      </c>
      <c r="K664" s="286">
        <v>455</v>
      </c>
      <c r="L664" s="286">
        <v>436</v>
      </c>
      <c r="M664" s="286">
        <v>821</v>
      </c>
      <c r="N664" s="286">
        <v>429</v>
      </c>
      <c r="O664" s="286">
        <v>392</v>
      </c>
      <c r="P664" s="286">
        <v>22</v>
      </c>
      <c r="Q664" s="286">
        <v>840</v>
      </c>
      <c r="R664" s="286">
        <v>420</v>
      </c>
      <c r="S664" s="286">
        <v>420</v>
      </c>
      <c r="T664" s="286">
        <v>771</v>
      </c>
      <c r="U664" s="286">
        <v>394</v>
      </c>
      <c r="V664" s="286">
        <v>377</v>
      </c>
      <c r="W664" s="286"/>
      <c r="X664" s="286"/>
      <c r="Y664" s="286"/>
      <c r="Z664" s="286"/>
      <c r="AA664" s="286"/>
      <c r="AB664" s="286"/>
      <c r="AC664" s="286"/>
      <c r="AD664" s="286"/>
      <c r="AE664" s="286"/>
      <c r="AF664" s="286"/>
      <c r="AG664" s="286"/>
      <c r="AH664" s="286"/>
      <c r="AI664" s="286"/>
      <c r="AJ664" s="286"/>
      <c r="AK664" s="286"/>
      <c r="AL664" s="286"/>
      <c r="AM664" s="286"/>
      <c r="AN664" s="286"/>
      <c r="AO664" s="286"/>
      <c r="AP664" s="286"/>
      <c r="AQ664" s="286"/>
      <c r="AR664" s="286"/>
      <c r="AS664" s="286"/>
      <c r="AT664" s="286"/>
      <c r="AU664" s="286"/>
      <c r="AV664" s="286"/>
      <c r="AW664" s="286"/>
      <c r="AX664" s="286"/>
      <c r="AY664" s="286"/>
      <c r="AZ664" s="286"/>
      <c r="BA664" s="286"/>
      <c r="BB664" s="286"/>
      <c r="BC664" s="286"/>
      <c r="BD664" s="286"/>
      <c r="BE664" s="286"/>
      <c r="BF664" s="286"/>
      <c r="BG664" s="286"/>
      <c r="BH664" s="286"/>
      <c r="BI664" s="286"/>
      <c r="BJ664" s="286"/>
      <c r="BK664" s="286"/>
      <c r="BL664" s="286"/>
      <c r="BM664" s="286"/>
      <c r="BN664" s="286"/>
      <c r="BO664" s="286"/>
      <c r="BP664" s="286"/>
      <c r="BQ664" s="286"/>
      <c r="BR664" s="286"/>
      <c r="BS664" s="286"/>
      <c r="BT664" s="286"/>
      <c r="BU664" s="286"/>
      <c r="BV664" s="286"/>
      <c r="BW664" s="286"/>
      <c r="BX664" s="286"/>
      <c r="BY664" s="286"/>
      <c r="BZ664" s="286"/>
      <c r="CA664" s="286"/>
      <c r="CB664" s="286"/>
      <c r="CC664" s="286"/>
      <c r="CD664" s="286"/>
      <c r="CE664" s="286"/>
      <c r="CF664" s="286"/>
      <c r="CG664" s="286"/>
      <c r="CH664" s="286"/>
      <c r="CI664" s="286"/>
      <c r="CJ664" s="286"/>
      <c r="CK664" s="286"/>
      <c r="CL664" s="286"/>
      <c r="CM664" s="286"/>
      <c r="CN664" s="286"/>
      <c r="CO664" s="286"/>
      <c r="CP664" s="286"/>
      <c r="CQ664" s="286"/>
      <c r="CR664" s="286"/>
      <c r="CS664" s="286"/>
      <c r="CT664" s="286"/>
      <c r="CU664" s="286"/>
      <c r="CV664" s="286"/>
      <c r="CW664" s="286"/>
      <c r="CX664" s="286"/>
      <c r="CY664" s="286"/>
      <c r="CZ664" s="286"/>
      <c r="DA664" s="286"/>
      <c r="DB664" s="286"/>
      <c r="DC664" s="286"/>
      <c r="DD664" s="286"/>
      <c r="DE664" s="286"/>
      <c r="DF664" s="286"/>
      <c r="DG664" s="286"/>
      <c r="DH664" s="286"/>
      <c r="DI664" s="286"/>
      <c r="DJ664" s="286"/>
      <c r="DK664" s="286"/>
      <c r="DL664" s="286"/>
      <c r="DM664" s="286"/>
      <c r="DN664" s="286"/>
      <c r="DO664" s="286"/>
      <c r="DP664" s="286"/>
      <c r="DQ664" s="286"/>
      <c r="DR664" s="286"/>
      <c r="DS664" s="286"/>
      <c r="DT664" s="286"/>
      <c r="DU664" s="286"/>
      <c r="DV664" s="286"/>
      <c r="DW664" s="286"/>
      <c r="DX664" s="286"/>
      <c r="DY664" s="286"/>
      <c r="DZ664" s="286"/>
      <c r="EA664" s="286"/>
      <c r="EB664" s="286"/>
      <c r="EC664" s="286"/>
      <c r="ED664" s="286"/>
      <c r="EE664" s="286"/>
      <c r="EF664" s="286"/>
      <c r="EG664" s="286"/>
      <c r="EH664" s="286"/>
      <c r="EI664" s="286"/>
      <c r="EJ664" s="286"/>
      <c r="EK664" s="286"/>
      <c r="EL664" s="286"/>
      <c r="EM664" s="286"/>
      <c r="EN664" s="286"/>
      <c r="EO664" s="286"/>
      <c r="EP664" s="286"/>
      <c r="EQ664" s="286"/>
      <c r="ER664" s="286"/>
      <c r="ES664" s="286"/>
      <c r="ET664" s="286"/>
      <c r="EU664" s="286"/>
      <c r="EV664" s="286"/>
      <c r="EW664" s="286"/>
      <c r="EX664" s="286"/>
      <c r="EY664" s="286"/>
      <c r="EZ664" s="286"/>
      <c r="FA664" s="286"/>
      <c r="FB664" s="286"/>
      <c r="FC664" s="286"/>
      <c r="FD664" s="286"/>
      <c r="FE664" s="286"/>
      <c r="FF664" s="286"/>
      <c r="FG664" s="286"/>
      <c r="FH664" s="286"/>
      <c r="FI664" s="286"/>
      <c r="FJ664" s="286"/>
      <c r="FK664" s="286"/>
      <c r="FL664" s="286"/>
      <c r="FM664" s="286"/>
      <c r="FN664" s="286"/>
      <c r="FO664" s="286"/>
      <c r="FP664" s="286"/>
      <c r="FQ664" s="286"/>
      <c r="FR664" s="286"/>
      <c r="FS664" s="286"/>
    </row>
    <row r="665" spans="1:175">
      <c r="A665" s="212" t="s">
        <v>3159</v>
      </c>
      <c r="B665" s="212" t="s">
        <v>3160</v>
      </c>
      <c r="C665" s="212" t="s">
        <v>3432</v>
      </c>
      <c r="D665" s="212" t="s">
        <v>3839</v>
      </c>
      <c r="E665" s="212" t="s">
        <v>3848</v>
      </c>
      <c r="F665" s="278">
        <v>41</v>
      </c>
      <c r="G665" s="278">
        <v>855</v>
      </c>
      <c r="H665" s="287">
        <f t="shared" si="10"/>
        <v>0.11695906432748539</v>
      </c>
      <c r="I665" s="286">
        <v>1</v>
      </c>
      <c r="J665" s="286">
        <v>1</v>
      </c>
      <c r="K665" s="286">
        <v>1</v>
      </c>
      <c r="L665" s="286">
        <v>0</v>
      </c>
      <c r="M665" s="286">
        <v>0</v>
      </c>
      <c r="N665" s="286">
        <v>0</v>
      </c>
      <c r="O665" s="286">
        <v>0</v>
      </c>
      <c r="P665" s="286">
        <v>1</v>
      </c>
      <c r="Q665" s="286">
        <v>1</v>
      </c>
      <c r="R665" s="286">
        <v>1</v>
      </c>
      <c r="S665" s="286">
        <v>0</v>
      </c>
      <c r="T665" s="286">
        <v>0</v>
      </c>
      <c r="U665" s="286">
        <v>0</v>
      </c>
      <c r="V665" s="286">
        <v>0</v>
      </c>
      <c r="W665" s="286"/>
      <c r="X665" s="286"/>
      <c r="Y665" s="286"/>
      <c r="Z665" s="286"/>
      <c r="AA665" s="286"/>
      <c r="AB665" s="286"/>
      <c r="AC665" s="286"/>
      <c r="AD665" s="286"/>
      <c r="AE665" s="286"/>
      <c r="AF665" s="286"/>
      <c r="AG665" s="286"/>
      <c r="AH665" s="286"/>
      <c r="AI665" s="286"/>
      <c r="AJ665" s="286"/>
      <c r="AK665" s="286"/>
      <c r="AL665" s="286"/>
      <c r="AM665" s="286"/>
      <c r="AN665" s="286"/>
      <c r="AO665" s="286"/>
      <c r="AP665" s="286"/>
      <c r="AQ665" s="286"/>
      <c r="AR665" s="286"/>
      <c r="AS665" s="286"/>
      <c r="AT665" s="286"/>
      <c r="AU665" s="286"/>
      <c r="AV665" s="286"/>
      <c r="AW665" s="286"/>
      <c r="AX665" s="286"/>
      <c r="AY665" s="286"/>
      <c r="AZ665" s="286"/>
      <c r="BA665" s="286"/>
      <c r="BB665" s="286"/>
      <c r="BC665" s="286"/>
      <c r="BD665" s="286"/>
      <c r="BE665" s="286"/>
      <c r="BF665" s="286"/>
      <c r="BG665" s="286"/>
      <c r="BH665" s="286"/>
      <c r="BI665" s="286"/>
      <c r="BJ665" s="286"/>
      <c r="BK665" s="286"/>
      <c r="BL665" s="286"/>
      <c r="BM665" s="286"/>
      <c r="BN665" s="286"/>
      <c r="BO665" s="286"/>
      <c r="BP665" s="286"/>
      <c r="BQ665" s="286"/>
      <c r="BR665" s="286"/>
      <c r="BS665" s="286"/>
      <c r="BT665" s="286"/>
      <c r="BU665" s="286"/>
      <c r="BV665" s="286"/>
      <c r="BW665" s="286"/>
      <c r="BX665" s="286"/>
      <c r="BY665" s="286"/>
      <c r="BZ665" s="286"/>
      <c r="CA665" s="286"/>
      <c r="CB665" s="286"/>
      <c r="CC665" s="286"/>
      <c r="CD665" s="286"/>
      <c r="CE665" s="286"/>
      <c r="CF665" s="286"/>
      <c r="CG665" s="286"/>
      <c r="CH665" s="286"/>
      <c r="CI665" s="286"/>
      <c r="CJ665" s="286"/>
      <c r="CK665" s="286"/>
      <c r="CL665" s="286"/>
      <c r="CM665" s="286"/>
      <c r="CN665" s="286"/>
      <c r="CO665" s="286"/>
      <c r="CP665" s="286"/>
      <c r="CQ665" s="286"/>
      <c r="CR665" s="286"/>
      <c r="CS665" s="286"/>
      <c r="CT665" s="286"/>
      <c r="CU665" s="286"/>
      <c r="CV665" s="286"/>
      <c r="CW665" s="286"/>
      <c r="CX665" s="286"/>
      <c r="CY665" s="286"/>
      <c r="CZ665" s="286"/>
      <c r="DA665" s="286"/>
      <c r="DB665" s="286"/>
      <c r="DC665" s="286"/>
      <c r="DD665" s="286"/>
      <c r="DE665" s="286"/>
      <c r="DF665" s="286"/>
      <c r="DG665" s="286"/>
      <c r="DH665" s="286"/>
      <c r="DI665" s="286"/>
      <c r="DJ665" s="286"/>
      <c r="DK665" s="286"/>
      <c r="DL665" s="286"/>
      <c r="DM665" s="286"/>
      <c r="DN665" s="286"/>
      <c r="DO665" s="286"/>
      <c r="DP665" s="286"/>
      <c r="DQ665" s="286"/>
      <c r="DR665" s="286"/>
      <c r="DS665" s="286"/>
      <c r="DT665" s="286"/>
      <c r="DU665" s="286"/>
      <c r="DV665" s="286"/>
      <c r="DW665" s="286"/>
      <c r="DX665" s="286"/>
      <c r="DY665" s="286"/>
      <c r="DZ665" s="286"/>
      <c r="EA665" s="286"/>
      <c r="EB665" s="286"/>
      <c r="EC665" s="286"/>
      <c r="ED665" s="286"/>
      <c r="EE665" s="286"/>
      <c r="EF665" s="286"/>
      <c r="EG665" s="286"/>
      <c r="EH665" s="286"/>
      <c r="EI665" s="286"/>
      <c r="EJ665" s="286"/>
      <c r="EK665" s="286"/>
      <c r="EL665" s="286"/>
      <c r="EM665" s="286"/>
      <c r="EN665" s="286"/>
      <c r="EO665" s="286"/>
      <c r="EP665" s="286"/>
      <c r="EQ665" s="286"/>
      <c r="ER665" s="286"/>
      <c r="ES665" s="286"/>
      <c r="ET665" s="286"/>
      <c r="EU665" s="286"/>
      <c r="EV665" s="286"/>
      <c r="EW665" s="286"/>
      <c r="EX665" s="286"/>
      <c r="EY665" s="286"/>
      <c r="EZ665" s="286"/>
      <c r="FA665" s="286"/>
      <c r="FB665" s="286"/>
      <c r="FC665" s="286"/>
      <c r="FD665" s="286"/>
      <c r="FE665" s="286"/>
      <c r="FF665" s="286"/>
      <c r="FG665" s="286"/>
      <c r="FH665" s="286"/>
      <c r="FI665" s="286"/>
      <c r="FJ665" s="286"/>
      <c r="FK665" s="286"/>
      <c r="FL665" s="286"/>
      <c r="FM665" s="286"/>
      <c r="FN665" s="286"/>
      <c r="FO665" s="286"/>
      <c r="FP665" s="286"/>
      <c r="FQ665" s="286"/>
      <c r="FR665" s="286"/>
      <c r="FS665" s="286"/>
    </row>
    <row r="666" spans="1:175">
      <c r="A666" s="212" t="s">
        <v>3159</v>
      </c>
      <c r="B666" s="212" t="s">
        <v>3160</v>
      </c>
      <c r="C666" s="212" t="s">
        <v>3432</v>
      </c>
      <c r="D666" s="212" t="s">
        <v>3839</v>
      </c>
      <c r="E666" s="212" t="s">
        <v>3849</v>
      </c>
      <c r="F666" s="278">
        <v>1543</v>
      </c>
      <c r="G666" s="278">
        <v>12792</v>
      </c>
      <c r="H666" s="287">
        <f t="shared" si="10"/>
        <v>5.2689180737961232</v>
      </c>
      <c r="I666" s="286">
        <v>70</v>
      </c>
      <c r="J666" s="286">
        <v>674</v>
      </c>
      <c r="K666" s="286">
        <v>362</v>
      </c>
      <c r="L666" s="286">
        <v>312</v>
      </c>
      <c r="M666" s="286">
        <v>626</v>
      </c>
      <c r="N666" s="286">
        <v>331</v>
      </c>
      <c r="O666" s="286">
        <v>295</v>
      </c>
      <c r="P666" s="286">
        <v>22</v>
      </c>
      <c r="Q666" s="286">
        <v>202</v>
      </c>
      <c r="R666" s="286">
        <v>93</v>
      </c>
      <c r="S666" s="286">
        <v>109</v>
      </c>
      <c r="T666" s="286">
        <v>178</v>
      </c>
      <c r="U666" s="286">
        <v>79</v>
      </c>
      <c r="V666" s="286">
        <v>99</v>
      </c>
      <c r="W666" s="286"/>
      <c r="X666" s="286"/>
      <c r="Y666" s="286"/>
      <c r="Z666" s="286"/>
      <c r="AA666" s="286"/>
      <c r="AB666" s="286"/>
      <c r="AC666" s="286"/>
      <c r="AD666" s="286"/>
      <c r="AE666" s="286"/>
      <c r="AF666" s="286"/>
      <c r="AG666" s="286"/>
      <c r="AH666" s="286"/>
      <c r="AI666" s="286"/>
      <c r="AJ666" s="286"/>
      <c r="AK666" s="286"/>
      <c r="AL666" s="286"/>
      <c r="AM666" s="286"/>
      <c r="AN666" s="286"/>
      <c r="AO666" s="286"/>
      <c r="AP666" s="286"/>
      <c r="AQ666" s="286"/>
      <c r="AR666" s="286"/>
      <c r="AS666" s="286"/>
      <c r="AT666" s="286"/>
      <c r="AU666" s="286"/>
      <c r="AV666" s="286"/>
      <c r="AW666" s="286"/>
      <c r="AX666" s="286"/>
      <c r="AY666" s="286"/>
      <c r="AZ666" s="286"/>
      <c r="BA666" s="286"/>
      <c r="BB666" s="286"/>
      <c r="BC666" s="286"/>
      <c r="BD666" s="286"/>
      <c r="BE666" s="286"/>
      <c r="BF666" s="286"/>
      <c r="BG666" s="286"/>
      <c r="BH666" s="286"/>
      <c r="BI666" s="286"/>
      <c r="BJ666" s="286"/>
      <c r="BK666" s="286"/>
      <c r="BL666" s="286"/>
      <c r="BM666" s="286"/>
      <c r="BN666" s="286"/>
      <c r="BO666" s="286"/>
      <c r="BP666" s="286"/>
      <c r="BQ666" s="286"/>
      <c r="BR666" s="286"/>
      <c r="BS666" s="286"/>
      <c r="BT666" s="286"/>
      <c r="BU666" s="286"/>
      <c r="BV666" s="286"/>
      <c r="BW666" s="286"/>
      <c r="BX666" s="286"/>
      <c r="BY666" s="286"/>
      <c r="BZ666" s="286"/>
      <c r="CA666" s="286"/>
      <c r="CB666" s="286"/>
      <c r="CC666" s="286"/>
      <c r="CD666" s="286"/>
      <c r="CE666" s="286"/>
      <c r="CF666" s="286"/>
      <c r="CG666" s="286"/>
      <c r="CH666" s="286"/>
      <c r="CI666" s="286"/>
      <c r="CJ666" s="286"/>
      <c r="CK666" s="286"/>
      <c r="CL666" s="286"/>
      <c r="CM666" s="286"/>
      <c r="CN666" s="286"/>
      <c r="CO666" s="286"/>
      <c r="CP666" s="286"/>
      <c r="CQ666" s="286"/>
      <c r="CR666" s="286"/>
      <c r="CS666" s="286"/>
      <c r="CT666" s="286"/>
      <c r="CU666" s="286"/>
      <c r="CV666" s="286"/>
      <c r="CW666" s="286"/>
      <c r="CX666" s="286"/>
      <c r="CY666" s="286"/>
      <c r="CZ666" s="286"/>
      <c r="DA666" s="286"/>
      <c r="DB666" s="286"/>
      <c r="DC666" s="286"/>
      <c r="DD666" s="286"/>
      <c r="DE666" s="286"/>
      <c r="DF666" s="286"/>
      <c r="DG666" s="286"/>
      <c r="DH666" s="286"/>
      <c r="DI666" s="286"/>
      <c r="DJ666" s="286"/>
      <c r="DK666" s="286"/>
      <c r="DL666" s="286"/>
      <c r="DM666" s="286"/>
      <c r="DN666" s="286"/>
      <c r="DO666" s="286"/>
      <c r="DP666" s="286"/>
      <c r="DQ666" s="286"/>
      <c r="DR666" s="286"/>
      <c r="DS666" s="286"/>
      <c r="DT666" s="286"/>
      <c r="DU666" s="286"/>
      <c r="DV666" s="286"/>
      <c r="DW666" s="286"/>
      <c r="DX666" s="286"/>
      <c r="DY666" s="286"/>
      <c r="DZ666" s="286"/>
      <c r="EA666" s="286"/>
      <c r="EB666" s="286"/>
      <c r="EC666" s="286"/>
      <c r="ED666" s="286"/>
      <c r="EE666" s="286"/>
      <c r="EF666" s="286"/>
      <c r="EG666" s="286"/>
      <c r="EH666" s="286"/>
      <c r="EI666" s="286"/>
      <c r="EJ666" s="286"/>
      <c r="EK666" s="286"/>
      <c r="EL666" s="286"/>
      <c r="EM666" s="286"/>
      <c r="EN666" s="286"/>
      <c r="EO666" s="286"/>
      <c r="EP666" s="286"/>
      <c r="EQ666" s="286"/>
      <c r="ER666" s="286"/>
      <c r="ES666" s="286"/>
      <c r="ET666" s="286"/>
      <c r="EU666" s="286"/>
      <c r="EV666" s="286"/>
      <c r="EW666" s="286"/>
      <c r="EX666" s="286"/>
      <c r="EY666" s="286"/>
      <c r="EZ666" s="286"/>
      <c r="FA666" s="286"/>
      <c r="FB666" s="286"/>
      <c r="FC666" s="286"/>
      <c r="FD666" s="286"/>
      <c r="FE666" s="286"/>
      <c r="FF666" s="286"/>
      <c r="FG666" s="286"/>
      <c r="FH666" s="286"/>
      <c r="FI666" s="286"/>
      <c r="FJ666" s="286"/>
      <c r="FK666" s="286"/>
      <c r="FL666" s="286"/>
      <c r="FM666" s="286"/>
      <c r="FN666" s="286"/>
      <c r="FO666" s="286"/>
      <c r="FP666" s="286"/>
      <c r="FQ666" s="286"/>
      <c r="FR666" s="286"/>
      <c r="FS666" s="286"/>
    </row>
    <row r="667" spans="1:175">
      <c r="A667" s="212" t="s">
        <v>3159</v>
      </c>
      <c r="B667" s="212" t="s">
        <v>3160</v>
      </c>
      <c r="C667" s="212" t="s">
        <v>3172</v>
      </c>
      <c r="D667" s="212" t="s">
        <v>3839</v>
      </c>
      <c r="E667" s="212" t="s">
        <v>3850</v>
      </c>
      <c r="F667" s="278">
        <v>5426</v>
      </c>
      <c r="G667" s="278">
        <v>99124</v>
      </c>
      <c r="H667" s="287">
        <f t="shared" si="10"/>
        <v>3.1859085589766356</v>
      </c>
      <c r="I667" s="286">
        <v>189</v>
      </c>
      <c r="J667" s="286">
        <v>3158</v>
      </c>
      <c r="K667" s="286">
        <v>2184</v>
      </c>
      <c r="L667" s="286">
        <v>970</v>
      </c>
      <c r="M667" s="286">
        <v>2946</v>
      </c>
      <c r="N667" s="286">
        <v>2048</v>
      </c>
      <c r="O667" s="286">
        <v>894</v>
      </c>
      <c r="P667" s="286">
        <v>160</v>
      </c>
      <c r="Q667" s="286">
        <v>1767</v>
      </c>
      <c r="R667" s="286">
        <v>1169</v>
      </c>
      <c r="S667" s="286">
        <v>594</v>
      </c>
      <c r="T667" s="286">
        <v>1643</v>
      </c>
      <c r="U667" s="286">
        <v>1098</v>
      </c>
      <c r="V667" s="286">
        <v>541</v>
      </c>
      <c r="W667" s="286"/>
      <c r="X667" s="286"/>
      <c r="Y667" s="286"/>
      <c r="Z667" s="286"/>
      <c r="AA667" s="286"/>
      <c r="AB667" s="286"/>
      <c r="AC667" s="286"/>
      <c r="AD667" s="286"/>
      <c r="AE667" s="286"/>
      <c r="AF667" s="286"/>
      <c r="AG667" s="286"/>
      <c r="AH667" s="286"/>
      <c r="AI667" s="286"/>
      <c r="AJ667" s="286"/>
      <c r="AK667" s="286"/>
      <c r="AL667" s="286"/>
      <c r="AM667" s="286"/>
      <c r="AN667" s="286"/>
      <c r="AO667" s="286"/>
      <c r="AP667" s="286"/>
      <c r="AQ667" s="286"/>
      <c r="AR667" s="286"/>
      <c r="AS667" s="286"/>
      <c r="AT667" s="286"/>
      <c r="AU667" s="286"/>
      <c r="AV667" s="286"/>
      <c r="AW667" s="286"/>
      <c r="AX667" s="286"/>
      <c r="AY667" s="286"/>
      <c r="AZ667" s="286"/>
      <c r="BA667" s="286"/>
      <c r="BB667" s="286"/>
      <c r="BC667" s="286"/>
      <c r="BD667" s="286"/>
      <c r="BE667" s="286"/>
      <c r="BF667" s="286"/>
      <c r="BG667" s="286"/>
      <c r="BH667" s="286"/>
      <c r="BI667" s="286"/>
      <c r="BJ667" s="286"/>
      <c r="BK667" s="286"/>
      <c r="BL667" s="286"/>
      <c r="BM667" s="286"/>
      <c r="BN667" s="286"/>
      <c r="BO667" s="286"/>
      <c r="BP667" s="286"/>
      <c r="BQ667" s="286"/>
      <c r="BR667" s="286"/>
      <c r="BS667" s="286"/>
      <c r="BT667" s="286"/>
      <c r="BU667" s="286"/>
      <c r="BV667" s="286"/>
      <c r="BW667" s="286"/>
      <c r="BX667" s="286"/>
      <c r="BY667" s="286"/>
      <c r="BZ667" s="286"/>
      <c r="CA667" s="286"/>
      <c r="CB667" s="286"/>
      <c r="CC667" s="286"/>
      <c r="CD667" s="286"/>
      <c r="CE667" s="286"/>
      <c r="CF667" s="286"/>
      <c r="CG667" s="286"/>
      <c r="CH667" s="286"/>
      <c r="CI667" s="286"/>
      <c r="CJ667" s="286"/>
      <c r="CK667" s="286"/>
      <c r="CL667" s="286"/>
      <c r="CM667" s="286"/>
      <c r="CN667" s="286"/>
      <c r="CO667" s="286"/>
      <c r="CP667" s="286"/>
      <c r="CQ667" s="286"/>
      <c r="CR667" s="286"/>
      <c r="CS667" s="286"/>
      <c r="CT667" s="286"/>
      <c r="CU667" s="286"/>
      <c r="CV667" s="286"/>
      <c r="CW667" s="286"/>
      <c r="CX667" s="286"/>
      <c r="CY667" s="286"/>
      <c r="CZ667" s="286"/>
      <c r="DA667" s="286"/>
      <c r="DB667" s="286"/>
      <c r="DC667" s="286"/>
      <c r="DD667" s="286"/>
      <c r="DE667" s="286"/>
      <c r="DF667" s="286"/>
      <c r="DG667" s="286"/>
      <c r="DH667" s="286"/>
      <c r="DI667" s="286"/>
      <c r="DJ667" s="286"/>
      <c r="DK667" s="286"/>
      <c r="DL667" s="286"/>
      <c r="DM667" s="286"/>
      <c r="DN667" s="286"/>
      <c r="DO667" s="286"/>
      <c r="DP667" s="286"/>
      <c r="DQ667" s="286"/>
      <c r="DR667" s="286"/>
      <c r="DS667" s="286"/>
      <c r="DT667" s="286"/>
      <c r="DU667" s="286"/>
      <c r="DV667" s="286"/>
      <c r="DW667" s="286"/>
      <c r="DX667" s="286"/>
      <c r="DY667" s="286"/>
      <c r="DZ667" s="286"/>
      <c r="EA667" s="286"/>
      <c r="EB667" s="286"/>
      <c r="EC667" s="286"/>
      <c r="ED667" s="286"/>
      <c r="EE667" s="286"/>
      <c r="EF667" s="286"/>
      <c r="EG667" s="286"/>
      <c r="EH667" s="286"/>
      <c r="EI667" s="286"/>
      <c r="EJ667" s="286"/>
      <c r="EK667" s="286"/>
      <c r="EL667" s="286"/>
      <c r="EM667" s="286"/>
      <c r="EN667" s="286"/>
      <c r="EO667" s="286"/>
      <c r="EP667" s="286"/>
      <c r="EQ667" s="286"/>
      <c r="ER667" s="286"/>
      <c r="ES667" s="286"/>
      <c r="ET667" s="286"/>
      <c r="EU667" s="286"/>
      <c r="EV667" s="286"/>
      <c r="EW667" s="286"/>
      <c r="EX667" s="286"/>
      <c r="EY667" s="286"/>
      <c r="EZ667" s="286"/>
      <c r="FA667" s="286"/>
      <c r="FB667" s="286"/>
      <c r="FC667" s="286"/>
      <c r="FD667" s="286"/>
      <c r="FE667" s="286"/>
      <c r="FF667" s="286"/>
      <c r="FG667" s="286"/>
      <c r="FH667" s="286"/>
      <c r="FI667" s="286"/>
      <c r="FJ667" s="286"/>
      <c r="FK667" s="286"/>
      <c r="FL667" s="286"/>
      <c r="FM667" s="286"/>
      <c r="FN667" s="286"/>
      <c r="FO667" s="286"/>
      <c r="FP667" s="286"/>
      <c r="FQ667" s="286"/>
      <c r="FR667" s="286"/>
      <c r="FS667" s="286"/>
    </row>
    <row r="668" spans="1:175">
      <c r="A668" s="212" t="s">
        <v>3159</v>
      </c>
      <c r="B668" s="212" t="s">
        <v>3160</v>
      </c>
      <c r="C668" s="212" t="s">
        <v>3172</v>
      </c>
      <c r="D668" s="212" t="s">
        <v>3839</v>
      </c>
      <c r="E668" s="212" t="s">
        <v>3851</v>
      </c>
      <c r="F668" s="278">
        <v>53014</v>
      </c>
      <c r="G668" s="278">
        <v>378521</v>
      </c>
      <c r="H668" s="287">
        <f t="shared" si="10"/>
        <v>5.4971850967317533</v>
      </c>
      <c r="I668" s="286">
        <v>2817</v>
      </c>
      <c r="J668" s="286">
        <v>20808</v>
      </c>
      <c r="K668" s="286">
        <v>10273</v>
      </c>
      <c r="L668" s="286">
        <v>10423</v>
      </c>
      <c r="M668" s="286">
        <v>16402</v>
      </c>
      <c r="N668" s="286">
        <v>7949</v>
      </c>
      <c r="O668" s="286">
        <v>8342</v>
      </c>
      <c r="P668" s="286">
        <v>2817</v>
      </c>
      <c r="Q668" s="286">
        <v>20808</v>
      </c>
      <c r="R668" s="286">
        <v>10273</v>
      </c>
      <c r="S668" s="286">
        <v>10423</v>
      </c>
      <c r="T668" s="286">
        <v>16402</v>
      </c>
      <c r="U668" s="286">
        <v>7949</v>
      </c>
      <c r="V668" s="286">
        <v>8342</v>
      </c>
      <c r="W668" s="286"/>
      <c r="X668" s="286"/>
      <c r="Y668" s="286"/>
      <c r="Z668" s="286"/>
      <c r="AA668" s="286"/>
      <c r="AB668" s="286"/>
      <c r="AC668" s="286"/>
      <c r="AD668" s="286"/>
      <c r="AE668" s="286"/>
      <c r="AF668" s="286"/>
      <c r="AG668" s="286"/>
      <c r="AH668" s="286"/>
      <c r="AI668" s="286"/>
      <c r="AJ668" s="286"/>
      <c r="AK668" s="286"/>
      <c r="AL668" s="286"/>
      <c r="AM668" s="286"/>
      <c r="AN668" s="286"/>
      <c r="AO668" s="286"/>
      <c r="AP668" s="286"/>
      <c r="AQ668" s="286"/>
      <c r="AR668" s="286"/>
      <c r="AS668" s="286"/>
      <c r="AT668" s="286"/>
      <c r="AU668" s="286"/>
      <c r="AV668" s="286"/>
      <c r="AW668" s="286"/>
      <c r="AX668" s="286"/>
      <c r="AY668" s="286"/>
      <c r="AZ668" s="286"/>
      <c r="BA668" s="286"/>
      <c r="BB668" s="286"/>
      <c r="BC668" s="286"/>
      <c r="BD668" s="286"/>
      <c r="BE668" s="286"/>
      <c r="BF668" s="286"/>
      <c r="BG668" s="286"/>
      <c r="BH668" s="286"/>
      <c r="BI668" s="286"/>
      <c r="BJ668" s="286"/>
      <c r="BK668" s="286"/>
      <c r="BL668" s="286"/>
      <c r="BM668" s="286"/>
      <c r="BN668" s="286"/>
      <c r="BO668" s="286"/>
      <c r="BP668" s="286"/>
      <c r="BQ668" s="286"/>
      <c r="BR668" s="286"/>
      <c r="BS668" s="286"/>
      <c r="BT668" s="286"/>
      <c r="BU668" s="286"/>
      <c r="BV668" s="286"/>
      <c r="BW668" s="286"/>
      <c r="BX668" s="286"/>
      <c r="BY668" s="286"/>
      <c r="BZ668" s="286"/>
      <c r="CA668" s="286"/>
      <c r="CB668" s="286"/>
      <c r="CC668" s="286"/>
      <c r="CD668" s="286"/>
      <c r="CE668" s="286"/>
      <c r="CF668" s="286"/>
      <c r="CG668" s="286"/>
      <c r="CH668" s="286"/>
      <c r="CI668" s="286"/>
      <c r="CJ668" s="286"/>
      <c r="CK668" s="286"/>
      <c r="CL668" s="286"/>
      <c r="CM668" s="286"/>
      <c r="CN668" s="286"/>
      <c r="CO668" s="286"/>
      <c r="CP668" s="286"/>
      <c r="CQ668" s="286"/>
      <c r="CR668" s="286"/>
      <c r="CS668" s="286"/>
      <c r="CT668" s="286"/>
      <c r="CU668" s="286"/>
      <c r="CV668" s="286"/>
      <c r="CW668" s="286"/>
      <c r="CX668" s="286"/>
      <c r="CY668" s="286"/>
      <c r="CZ668" s="286"/>
      <c r="DA668" s="286"/>
      <c r="DB668" s="286"/>
      <c r="DC668" s="286"/>
      <c r="DD668" s="286"/>
      <c r="DE668" s="286"/>
      <c r="DF668" s="286"/>
      <c r="DG668" s="286"/>
      <c r="DH668" s="286"/>
      <c r="DI668" s="286"/>
      <c r="DJ668" s="286"/>
      <c r="DK668" s="286"/>
      <c r="DL668" s="286"/>
      <c r="DM668" s="286"/>
      <c r="DN668" s="286"/>
      <c r="DO668" s="286"/>
      <c r="DP668" s="286"/>
      <c r="DQ668" s="286"/>
      <c r="DR668" s="286"/>
      <c r="DS668" s="286"/>
      <c r="DT668" s="286"/>
      <c r="DU668" s="286"/>
      <c r="DV668" s="286"/>
      <c r="DW668" s="286"/>
      <c r="DX668" s="286"/>
      <c r="DY668" s="286"/>
      <c r="DZ668" s="286"/>
      <c r="EA668" s="286"/>
      <c r="EB668" s="286"/>
      <c r="EC668" s="286"/>
      <c r="ED668" s="286"/>
      <c r="EE668" s="286"/>
      <c r="EF668" s="286"/>
      <c r="EG668" s="286"/>
      <c r="EH668" s="286"/>
      <c r="EI668" s="286"/>
      <c r="EJ668" s="286"/>
      <c r="EK668" s="286"/>
      <c r="EL668" s="286"/>
      <c r="EM668" s="286"/>
      <c r="EN668" s="286"/>
      <c r="EO668" s="286"/>
      <c r="EP668" s="286"/>
      <c r="EQ668" s="286"/>
      <c r="ER668" s="286"/>
      <c r="ES668" s="286"/>
      <c r="ET668" s="286"/>
      <c r="EU668" s="286"/>
      <c r="EV668" s="286"/>
      <c r="EW668" s="286"/>
      <c r="EX668" s="286"/>
      <c r="EY668" s="286"/>
      <c r="EZ668" s="286"/>
      <c r="FA668" s="286"/>
      <c r="FB668" s="286"/>
      <c r="FC668" s="286"/>
      <c r="FD668" s="286"/>
      <c r="FE668" s="286"/>
      <c r="FF668" s="286"/>
      <c r="FG668" s="286"/>
      <c r="FH668" s="286"/>
      <c r="FI668" s="286"/>
      <c r="FJ668" s="286"/>
      <c r="FK668" s="286"/>
      <c r="FL668" s="286"/>
      <c r="FM668" s="286"/>
      <c r="FN668" s="286"/>
      <c r="FO668" s="286"/>
      <c r="FP668" s="286"/>
      <c r="FQ668" s="286"/>
      <c r="FR668" s="286"/>
      <c r="FS668" s="286"/>
    </row>
    <row r="669" spans="1:175">
      <c r="A669" s="212" t="s">
        <v>3159</v>
      </c>
      <c r="B669" s="212" t="s">
        <v>3160</v>
      </c>
      <c r="C669" s="212" t="s">
        <v>3172</v>
      </c>
      <c r="D669" s="212" t="s">
        <v>3839</v>
      </c>
      <c r="E669" s="212" t="s">
        <v>3852</v>
      </c>
      <c r="F669" s="278">
        <v>74564</v>
      </c>
      <c r="G669" s="278">
        <v>259843</v>
      </c>
      <c r="H669" s="287">
        <f t="shared" si="10"/>
        <v>4.6751307520310341</v>
      </c>
      <c r="I669" s="286">
        <v>3478</v>
      </c>
      <c r="J669" s="286">
        <v>12148</v>
      </c>
      <c r="K669" s="286">
        <v>4022</v>
      </c>
      <c r="L669" s="286">
        <v>8106</v>
      </c>
      <c r="M669" s="286">
        <v>8355</v>
      </c>
      <c r="N669" s="286">
        <v>2739</v>
      </c>
      <c r="O669" s="286">
        <v>5597</v>
      </c>
      <c r="P669" s="286">
        <v>3477</v>
      </c>
      <c r="Q669" s="286">
        <v>12145</v>
      </c>
      <c r="R669" s="286">
        <v>4021</v>
      </c>
      <c r="S669" s="286">
        <v>8104</v>
      </c>
      <c r="T669" s="286">
        <v>8352</v>
      </c>
      <c r="U669" s="286">
        <v>2738</v>
      </c>
      <c r="V669" s="286">
        <v>5595</v>
      </c>
      <c r="W669" s="286"/>
      <c r="X669" s="286"/>
      <c r="Y669" s="286"/>
      <c r="Z669" s="286"/>
      <c r="AA669" s="286"/>
      <c r="AB669" s="286"/>
      <c r="AC669" s="286"/>
      <c r="AD669" s="286"/>
      <c r="AE669" s="286"/>
      <c r="AF669" s="286"/>
      <c r="AG669" s="286"/>
      <c r="AH669" s="286"/>
      <c r="AI669" s="286"/>
      <c r="AJ669" s="286"/>
      <c r="AK669" s="286"/>
      <c r="AL669" s="286"/>
      <c r="AM669" s="286"/>
      <c r="AN669" s="286"/>
      <c r="AO669" s="286"/>
      <c r="AP669" s="286"/>
      <c r="AQ669" s="286"/>
      <c r="AR669" s="286"/>
      <c r="AS669" s="286"/>
      <c r="AT669" s="286"/>
      <c r="AU669" s="286"/>
      <c r="AV669" s="286"/>
      <c r="AW669" s="286"/>
      <c r="AX669" s="286"/>
      <c r="AY669" s="286"/>
      <c r="AZ669" s="286"/>
      <c r="BA669" s="286"/>
      <c r="BB669" s="286"/>
      <c r="BC669" s="286"/>
      <c r="BD669" s="286"/>
      <c r="BE669" s="286"/>
      <c r="BF669" s="286"/>
      <c r="BG669" s="286"/>
      <c r="BH669" s="286"/>
      <c r="BI669" s="286"/>
      <c r="BJ669" s="286"/>
      <c r="BK669" s="286"/>
      <c r="BL669" s="286"/>
      <c r="BM669" s="286"/>
      <c r="BN669" s="286"/>
      <c r="BO669" s="286"/>
      <c r="BP669" s="286"/>
      <c r="BQ669" s="286"/>
      <c r="BR669" s="286"/>
      <c r="BS669" s="286"/>
      <c r="BT669" s="286"/>
      <c r="BU669" s="286"/>
      <c r="BV669" s="286"/>
      <c r="BW669" s="286"/>
      <c r="BX669" s="286"/>
      <c r="BY669" s="286"/>
      <c r="BZ669" s="286"/>
      <c r="CA669" s="286"/>
      <c r="CB669" s="286"/>
      <c r="CC669" s="286"/>
      <c r="CD669" s="286"/>
      <c r="CE669" s="286"/>
      <c r="CF669" s="286"/>
      <c r="CG669" s="286"/>
      <c r="CH669" s="286"/>
      <c r="CI669" s="286"/>
      <c r="CJ669" s="286"/>
      <c r="CK669" s="286"/>
      <c r="CL669" s="286"/>
      <c r="CM669" s="286"/>
      <c r="CN669" s="286"/>
      <c r="CO669" s="286"/>
      <c r="CP669" s="286"/>
      <c r="CQ669" s="286"/>
      <c r="CR669" s="286"/>
      <c r="CS669" s="286"/>
      <c r="CT669" s="286"/>
      <c r="CU669" s="286"/>
      <c r="CV669" s="286"/>
      <c r="CW669" s="286"/>
      <c r="CX669" s="286"/>
      <c r="CY669" s="286"/>
      <c r="CZ669" s="286"/>
      <c r="DA669" s="286"/>
      <c r="DB669" s="286"/>
      <c r="DC669" s="286"/>
      <c r="DD669" s="286"/>
      <c r="DE669" s="286"/>
      <c r="DF669" s="286"/>
      <c r="DG669" s="286"/>
      <c r="DH669" s="286"/>
      <c r="DI669" s="286"/>
      <c r="DJ669" s="286"/>
      <c r="DK669" s="286"/>
      <c r="DL669" s="286"/>
      <c r="DM669" s="286"/>
      <c r="DN669" s="286"/>
      <c r="DO669" s="286"/>
      <c r="DP669" s="286"/>
      <c r="DQ669" s="286"/>
      <c r="DR669" s="286"/>
      <c r="DS669" s="286"/>
      <c r="DT669" s="286"/>
      <c r="DU669" s="286"/>
      <c r="DV669" s="286"/>
      <c r="DW669" s="286"/>
      <c r="DX669" s="286"/>
      <c r="DY669" s="286"/>
      <c r="DZ669" s="286"/>
      <c r="EA669" s="286"/>
      <c r="EB669" s="286"/>
      <c r="EC669" s="286"/>
      <c r="ED669" s="286"/>
      <c r="EE669" s="286"/>
      <c r="EF669" s="286"/>
      <c r="EG669" s="286"/>
      <c r="EH669" s="286"/>
      <c r="EI669" s="286"/>
      <c r="EJ669" s="286"/>
      <c r="EK669" s="286"/>
      <c r="EL669" s="286"/>
      <c r="EM669" s="286"/>
      <c r="EN669" s="286"/>
      <c r="EO669" s="286"/>
      <c r="EP669" s="286"/>
      <c r="EQ669" s="286"/>
      <c r="ER669" s="286"/>
      <c r="ES669" s="286"/>
      <c r="ET669" s="286"/>
      <c r="EU669" s="286"/>
      <c r="EV669" s="286"/>
      <c r="EW669" s="286"/>
      <c r="EX669" s="286"/>
      <c r="EY669" s="286"/>
      <c r="EZ669" s="286"/>
      <c r="FA669" s="286"/>
      <c r="FB669" s="286"/>
      <c r="FC669" s="286"/>
      <c r="FD669" s="286"/>
      <c r="FE669" s="286"/>
      <c r="FF669" s="286"/>
      <c r="FG669" s="286"/>
      <c r="FH669" s="286"/>
      <c r="FI669" s="286"/>
      <c r="FJ669" s="286"/>
      <c r="FK669" s="286"/>
      <c r="FL669" s="286"/>
      <c r="FM669" s="286"/>
      <c r="FN669" s="286"/>
      <c r="FO669" s="286"/>
      <c r="FP669" s="286"/>
      <c r="FQ669" s="286"/>
      <c r="FR669" s="286"/>
      <c r="FS669" s="286"/>
    </row>
    <row r="670" spans="1:175">
      <c r="A670" s="212" t="s">
        <v>3159</v>
      </c>
      <c r="B670" s="212" t="s">
        <v>3160</v>
      </c>
      <c r="C670" s="212" t="s">
        <v>3432</v>
      </c>
      <c r="D670" s="212" t="s">
        <v>3839</v>
      </c>
      <c r="E670" s="212" t="s">
        <v>3853</v>
      </c>
      <c r="F670" s="278">
        <v>18010</v>
      </c>
      <c r="G670" s="278">
        <v>33168</v>
      </c>
      <c r="H670" s="287">
        <f t="shared" si="10"/>
        <v>4.1726965750120595</v>
      </c>
      <c r="I670" s="286">
        <v>742</v>
      </c>
      <c r="J670" s="286">
        <v>1384</v>
      </c>
      <c r="K670" s="286">
        <v>257</v>
      </c>
      <c r="L670" s="286">
        <v>1120</v>
      </c>
      <c r="M670" s="286">
        <v>580</v>
      </c>
      <c r="N670" s="286">
        <v>95</v>
      </c>
      <c r="O670" s="286">
        <v>478</v>
      </c>
      <c r="P670" s="286">
        <v>742</v>
      </c>
      <c r="Q670" s="286">
        <v>1384</v>
      </c>
      <c r="R670" s="286">
        <v>257</v>
      </c>
      <c r="S670" s="286">
        <v>1120</v>
      </c>
      <c r="T670" s="286">
        <v>580</v>
      </c>
      <c r="U670" s="286">
        <v>95</v>
      </c>
      <c r="V670" s="286">
        <v>478</v>
      </c>
      <c r="W670" s="286"/>
      <c r="X670" s="286"/>
      <c r="Y670" s="286"/>
      <c r="Z670" s="286"/>
      <c r="AA670" s="286"/>
      <c r="AB670" s="286"/>
      <c r="AC670" s="286"/>
      <c r="AD670" s="286"/>
      <c r="AE670" s="286"/>
      <c r="AF670" s="286"/>
      <c r="AG670" s="286"/>
      <c r="AH670" s="286"/>
      <c r="AI670" s="286"/>
      <c r="AJ670" s="286"/>
      <c r="AK670" s="286"/>
      <c r="AL670" s="286"/>
      <c r="AM670" s="286"/>
      <c r="AN670" s="286"/>
      <c r="AO670" s="286"/>
      <c r="AP670" s="286"/>
      <c r="AQ670" s="286"/>
      <c r="AR670" s="286"/>
      <c r="AS670" s="286"/>
      <c r="AT670" s="286"/>
      <c r="AU670" s="286"/>
      <c r="AV670" s="286"/>
      <c r="AW670" s="286"/>
      <c r="AX670" s="286"/>
      <c r="AY670" s="286"/>
      <c r="AZ670" s="286"/>
      <c r="BA670" s="286"/>
      <c r="BB670" s="286"/>
      <c r="BC670" s="286"/>
      <c r="BD670" s="286"/>
      <c r="BE670" s="286"/>
      <c r="BF670" s="286"/>
      <c r="BG670" s="286"/>
      <c r="BH670" s="286"/>
      <c r="BI670" s="286"/>
      <c r="BJ670" s="286"/>
      <c r="BK670" s="286"/>
      <c r="BL670" s="286"/>
      <c r="BM670" s="286"/>
      <c r="BN670" s="286"/>
      <c r="BO670" s="286"/>
      <c r="BP670" s="286"/>
      <c r="BQ670" s="286"/>
      <c r="BR670" s="286"/>
      <c r="BS670" s="286"/>
      <c r="BT670" s="286"/>
      <c r="BU670" s="286"/>
      <c r="BV670" s="286"/>
      <c r="BW670" s="286"/>
      <c r="BX670" s="286"/>
      <c r="BY670" s="286"/>
      <c r="BZ670" s="286"/>
      <c r="CA670" s="286"/>
      <c r="CB670" s="286"/>
      <c r="CC670" s="286"/>
      <c r="CD670" s="286"/>
      <c r="CE670" s="286"/>
      <c r="CF670" s="286"/>
      <c r="CG670" s="286"/>
      <c r="CH670" s="286"/>
      <c r="CI670" s="286"/>
      <c r="CJ670" s="286"/>
      <c r="CK670" s="286"/>
      <c r="CL670" s="286"/>
      <c r="CM670" s="286"/>
      <c r="CN670" s="286"/>
      <c r="CO670" s="286"/>
      <c r="CP670" s="286"/>
      <c r="CQ670" s="286"/>
      <c r="CR670" s="286"/>
      <c r="CS670" s="286"/>
      <c r="CT670" s="286"/>
      <c r="CU670" s="286"/>
      <c r="CV670" s="286"/>
      <c r="CW670" s="286"/>
      <c r="CX670" s="286"/>
      <c r="CY670" s="286"/>
      <c r="CZ670" s="286"/>
      <c r="DA670" s="286"/>
      <c r="DB670" s="286"/>
      <c r="DC670" s="286"/>
      <c r="DD670" s="286"/>
      <c r="DE670" s="286"/>
      <c r="DF670" s="286"/>
      <c r="DG670" s="286"/>
      <c r="DH670" s="286"/>
      <c r="DI670" s="286"/>
      <c r="DJ670" s="286"/>
      <c r="DK670" s="286"/>
      <c r="DL670" s="286"/>
      <c r="DM670" s="286"/>
      <c r="DN670" s="286"/>
      <c r="DO670" s="286"/>
      <c r="DP670" s="286"/>
      <c r="DQ670" s="286"/>
      <c r="DR670" s="286"/>
      <c r="DS670" s="286"/>
      <c r="DT670" s="286"/>
      <c r="DU670" s="286"/>
      <c r="DV670" s="286"/>
      <c r="DW670" s="286"/>
      <c r="DX670" s="286"/>
      <c r="DY670" s="286"/>
      <c r="DZ670" s="286"/>
      <c r="EA670" s="286"/>
      <c r="EB670" s="286"/>
      <c r="EC670" s="286"/>
      <c r="ED670" s="286"/>
      <c r="EE670" s="286"/>
      <c r="EF670" s="286"/>
      <c r="EG670" s="286"/>
      <c r="EH670" s="286"/>
      <c r="EI670" s="286"/>
      <c r="EJ670" s="286"/>
      <c r="EK670" s="286"/>
      <c r="EL670" s="286"/>
      <c r="EM670" s="286"/>
      <c r="EN670" s="286"/>
      <c r="EO670" s="286"/>
      <c r="EP670" s="286"/>
      <c r="EQ670" s="286"/>
      <c r="ER670" s="286"/>
      <c r="ES670" s="286"/>
      <c r="ET670" s="286"/>
      <c r="EU670" s="286"/>
      <c r="EV670" s="286"/>
      <c r="EW670" s="286"/>
      <c r="EX670" s="286"/>
      <c r="EY670" s="286"/>
      <c r="EZ670" s="286"/>
      <c r="FA670" s="286"/>
      <c r="FB670" s="286"/>
      <c r="FC670" s="286"/>
      <c r="FD670" s="286"/>
      <c r="FE670" s="286"/>
      <c r="FF670" s="286"/>
      <c r="FG670" s="286"/>
      <c r="FH670" s="286"/>
      <c r="FI670" s="286"/>
      <c r="FJ670" s="286"/>
      <c r="FK670" s="286"/>
      <c r="FL670" s="286"/>
      <c r="FM670" s="286"/>
      <c r="FN670" s="286"/>
      <c r="FO670" s="286"/>
      <c r="FP670" s="286"/>
      <c r="FQ670" s="286"/>
      <c r="FR670" s="286"/>
      <c r="FS670" s="286"/>
    </row>
    <row r="671" spans="1:175">
      <c r="A671" s="212" t="s">
        <v>3159</v>
      </c>
      <c r="B671" s="212" t="s">
        <v>3160</v>
      </c>
      <c r="C671" s="212" t="s">
        <v>3432</v>
      </c>
      <c r="D671" s="212" t="s">
        <v>3839</v>
      </c>
      <c r="E671" s="212" t="s">
        <v>3854</v>
      </c>
      <c r="F671" s="278">
        <v>7373</v>
      </c>
      <c r="G671" s="278">
        <v>10571</v>
      </c>
      <c r="H671" s="287">
        <f t="shared" si="10"/>
        <v>4.7583010122031979</v>
      </c>
      <c r="I671" s="286">
        <v>356</v>
      </c>
      <c r="J671" s="286">
        <v>503</v>
      </c>
      <c r="K671" s="286">
        <v>108</v>
      </c>
      <c r="L671" s="286">
        <v>395</v>
      </c>
      <c r="M671" s="286">
        <v>91</v>
      </c>
      <c r="N671" s="286">
        <v>19</v>
      </c>
      <c r="O671" s="286">
        <v>72</v>
      </c>
      <c r="P671" s="286">
        <v>356</v>
      </c>
      <c r="Q671" s="286">
        <v>503</v>
      </c>
      <c r="R671" s="286">
        <v>108</v>
      </c>
      <c r="S671" s="286">
        <v>395</v>
      </c>
      <c r="T671" s="286">
        <v>91</v>
      </c>
      <c r="U671" s="286">
        <v>19</v>
      </c>
      <c r="V671" s="286">
        <v>72</v>
      </c>
      <c r="W671" s="286"/>
      <c r="X671" s="286"/>
      <c r="Y671" s="286"/>
      <c r="Z671" s="286"/>
      <c r="AA671" s="286"/>
      <c r="AB671" s="286"/>
      <c r="AC671" s="286"/>
      <c r="AD671" s="286"/>
      <c r="AE671" s="286"/>
      <c r="AF671" s="286"/>
      <c r="AG671" s="286"/>
      <c r="AH671" s="286"/>
      <c r="AI671" s="286"/>
      <c r="AJ671" s="286"/>
      <c r="AK671" s="286"/>
      <c r="AL671" s="286"/>
      <c r="AM671" s="286"/>
      <c r="AN671" s="286"/>
      <c r="AO671" s="286"/>
      <c r="AP671" s="286"/>
      <c r="AQ671" s="286"/>
      <c r="AR671" s="286"/>
      <c r="AS671" s="286"/>
      <c r="AT671" s="286"/>
      <c r="AU671" s="286"/>
      <c r="AV671" s="286"/>
      <c r="AW671" s="286"/>
      <c r="AX671" s="286"/>
      <c r="AY671" s="286"/>
      <c r="AZ671" s="286"/>
      <c r="BA671" s="286"/>
      <c r="BB671" s="286"/>
      <c r="BC671" s="286"/>
      <c r="BD671" s="286"/>
      <c r="BE671" s="286"/>
      <c r="BF671" s="286"/>
      <c r="BG671" s="286"/>
      <c r="BH671" s="286"/>
      <c r="BI671" s="286"/>
      <c r="BJ671" s="286"/>
      <c r="BK671" s="286"/>
      <c r="BL671" s="286"/>
      <c r="BM671" s="286"/>
      <c r="BN671" s="286"/>
      <c r="BO671" s="286"/>
      <c r="BP671" s="286"/>
      <c r="BQ671" s="286"/>
      <c r="BR671" s="286"/>
      <c r="BS671" s="286"/>
      <c r="BT671" s="286"/>
      <c r="BU671" s="286"/>
      <c r="BV671" s="286"/>
      <c r="BW671" s="286"/>
      <c r="BX671" s="286"/>
      <c r="BY671" s="286"/>
      <c r="BZ671" s="286"/>
      <c r="CA671" s="286"/>
      <c r="CB671" s="286"/>
      <c r="CC671" s="286"/>
      <c r="CD671" s="286"/>
      <c r="CE671" s="286"/>
      <c r="CF671" s="286"/>
      <c r="CG671" s="286"/>
      <c r="CH671" s="286"/>
      <c r="CI671" s="286"/>
      <c r="CJ671" s="286"/>
      <c r="CK671" s="286"/>
      <c r="CL671" s="286"/>
      <c r="CM671" s="286"/>
      <c r="CN671" s="286"/>
      <c r="CO671" s="286"/>
      <c r="CP671" s="286"/>
      <c r="CQ671" s="286"/>
      <c r="CR671" s="286"/>
      <c r="CS671" s="286"/>
      <c r="CT671" s="286"/>
      <c r="CU671" s="286"/>
      <c r="CV671" s="286"/>
      <c r="CW671" s="286"/>
      <c r="CX671" s="286"/>
      <c r="CY671" s="286"/>
      <c r="CZ671" s="286"/>
      <c r="DA671" s="286"/>
      <c r="DB671" s="286"/>
      <c r="DC671" s="286"/>
      <c r="DD671" s="286"/>
      <c r="DE671" s="286"/>
      <c r="DF671" s="286"/>
      <c r="DG671" s="286"/>
      <c r="DH671" s="286"/>
      <c r="DI671" s="286"/>
      <c r="DJ671" s="286"/>
      <c r="DK671" s="286"/>
      <c r="DL671" s="286"/>
      <c r="DM671" s="286"/>
      <c r="DN671" s="286"/>
      <c r="DO671" s="286"/>
      <c r="DP671" s="286"/>
      <c r="DQ671" s="286"/>
      <c r="DR671" s="286"/>
      <c r="DS671" s="286"/>
      <c r="DT671" s="286"/>
      <c r="DU671" s="286"/>
      <c r="DV671" s="286"/>
      <c r="DW671" s="286"/>
      <c r="DX671" s="286"/>
      <c r="DY671" s="286"/>
      <c r="DZ671" s="286"/>
      <c r="EA671" s="286"/>
      <c r="EB671" s="286"/>
      <c r="EC671" s="286"/>
      <c r="ED671" s="286"/>
      <c r="EE671" s="286"/>
      <c r="EF671" s="286"/>
      <c r="EG671" s="286"/>
      <c r="EH671" s="286"/>
      <c r="EI671" s="286"/>
      <c r="EJ671" s="286"/>
      <c r="EK671" s="286"/>
      <c r="EL671" s="286"/>
      <c r="EM671" s="286"/>
      <c r="EN671" s="286"/>
      <c r="EO671" s="286"/>
      <c r="EP671" s="286"/>
      <c r="EQ671" s="286"/>
      <c r="ER671" s="286"/>
      <c r="ES671" s="286"/>
      <c r="ET671" s="286"/>
      <c r="EU671" s="286"/>
      <c r="EV671" s="286"/>
      <c r="EW671" s="286"/>
      <c r="EX671" s="286"/>
      <c r="EY671" s="286"/>
      <c r="EZ671" s="286"/>
      <c r="FA671" s="286"/>
      <c r="FB671" s="286"/>
      <c r="FC671" s="286"/>
      <c r="FD671" s="286"/>
      <c r="FE671" s="286"/>
      <c r="FF671" s="286"/>
      <c r="FG671" s="286"/>
      <c r="FH671" s="286"/>
      <c r="FI671" s="286"/>
      <c r="FJ671" s="286"/>
      <c r="FK671" s="286"/>
      <c r="FL671" s="286"/>
      <c r="FM671" s="286"/>
      <c r="FN671" s="286"/>
      <c r="FO671" s="286"/>
      <c r="FP671" s="286"/>
      <c r="FQ671" s="286"/>
      <c r="FR671" s="286"/>
      <c r="FS671" s="286"/>
    </row>
    <row r="672" spans="1:175">
      <c r="A672" s="212" t="s">
        <v>3159</v>
      </c>
      <c r="B672" s="212" t="s">
        <v>3160</v>
      </c>
      <c r="C672" s="212" t="s">
        <v>3432</v>
      </c>
      <c r="D672" s="212" t="s">
        <v>3839</v>
      </c>
      <c r="E672" s="212" t="s">
        <v>3855</v>
      </c>
      <c r="F672" s="278">
        <v>2231</v>
      </c>
      <c r="G672" s="278">
        <v>2942</v>
      </c>
      <c r="H672" s="287">
        <f t="shared" si="10"/>
        <v>4.078857919782461</v>
      </c>
      <c r="I672" s="286">
        <v>90</v>
      </c>
      <c r="J672" s="286">
        <v>120</v>
      </c>
      <c r="K672" s="286">
        <v>25</v>
      </c>
      <c r="L672" s="286">
        <v>95</v>
      </c>
      <c r="M672" s="286">
        <v>19</v>
      </c>
      <c r="N672" s="286">
        <v>4</v>
      </c>
      <c r="O672" s="286">
        <v>15</v>
      </c>
      <c r="P672" s="286">
        <v>90</v>
      </c>
      <c r="Q672" s="286">
        <v>120</v>
      </c>
      <c r="R672" s="286">
        <v>25</v>
      </c>
      <c r="S672" s="286">
        <v>95</v>
      </c>
      <c r="T672" s="286">
        <v>19</v>
      </c>
      <c r="U672" s="286">
        <v>4</v>
      </c>
      <c r="V672" s="286">
        <v>15</v>
      </c>
      <c r="W672" s="286"/>
      <c r="X672" s="286"/>
      <c r="Y672" s="286"/>
      <c r="Z672" s="286"/>
      <c r="AA672" s="286"/>
      <c r="AB672" s="286"/>
      <c r="AC672" s="286"/>
      <c r="AD672" s="286"/>
      <c r="AE672" s="286"/>
      <c r="AF672" s="286"/>
      <c r="AG672" s="286"/>
      <c r="AH672" s="286"/>
      <c r="AI672" s="286"/>
      <c r="AJ672" s="286"/>
      <c r="AK672" s="286"/>
      <c r="AL672" s="286"/>
      <c r="AM672" s="286"/>
      <c r="AN672" s="286"/>
      <c r="AO672" s="286"/>
      <c r="AP672" s="286"/>
      <c r="AQ672" s="286"/>
      <c r="AR672" s="286"/>
      <c r="AS672" s="286"/>
      <c r="AT672" s="286"/>
      <c r="AU672" s="286"/>
      <c r="AV672" s="286"/>
      <c r="AW672" s="286"/>
      <c r="AX672" s="286"/>
      <c r="AY672" s="286"/>
      <c r="AZ672" s="286"/>
      <c r="BA672" s="286"/>
      <c r="BB672" s="286"/>
      <c r="BC672" s="286"/>
      <c r="BD672" s="286"/>
      <c r="BE672" s="286"/>
      <c r="BF672" s="286"/>
      <c r="BG672" s="286"/>
      <c r="BH672" s="286"/>
      <c r="BI672" s="286"/>
      <c r="BJ672" s="286"/>
      <c r="BK672" s="286"/>
      <c r="BL672" s="286"/>
      <c r="BM672" s="286"/>
      <c r="BN672" s="286"/>
      <c r="BO672" s="286"/>
      <c r="BP672" s="286"/>
      <c r="BQ672" s="286"/>
      <c r="BR672" s="286"/>
      <c r="BS672" s="286"/>
      <c r="BT672" s="286"/>
      <c r="BU672" s="286"/>
      <c r="BV672" s="286"/>
      <c r="BW672" s="286"/>
      <c r="BX672" s="286"/>
      <c r="BY672" s="286"/>
      <c r="BZ672" s="286"/>
      <c r="CA672" s="286"/>
      <c r="CB672" s="286"/>
      <c r="CC672" s="286"/>
      <c r="CD672" s="286"/>
      <c r="CE672" s="286"/>
      <c r="CF672" s="286"/>
      <c r="CG672" s="286"/>
      <c r="CH672" s="286"/>
      <c r="CI672" s="286"/>
      <c r="CJ672" s="286"/>
      <c r="CK672" s="286"/>
      <c r="CL672" s="286"/>
      <c r="CM672" s="286"/>
      <c r="CN672" s="286"/>
      <c r="CO672" s="286"/>
      <c r="CP672" s="286"/>
      <c r="CQ672" s="286"/>
      <c r="CR672" s="286"/>
      <c r="CS672" s="286"/>
      <c r="CT672" s="286"/>
      <c r="CU672" s="286"/>
      <c r="CV672" s="286"/>
      <c r="CW672" s="286"/>
      <c r="CX672" s="286"/>
      <c r="CY672" s="286"/>
      <c r="CZ672" s="286"/>
      <c r="DA672" s="286"/>
      <c r="DB672" s="286"/>
      <c r="DC672" s="286"/>
      <c r="DD672" s="286"/>
      <c r="DE672" s="286"/>
      <c r="DF672" s="286"/>
      <c r="DG672" s="286"/>
      <c r="DH672" s="286"/>
      <c r="DI672" s="286"/>
      <c r="DJ672" s="286"/>
      <c r="DK672" s="286"/>
      <c r="DL672" s="286"/>
      <c r="DM672" s="286"/>
      <c r="DN672" s="286"/>
      <c r="DO672" s="286"/>
      <c r="DP672" s="286"/>
      <c r="DQ672" s="286"/>
      <c r="DR672" s="286"/>
      <c r="DS672" s="286"/>
      <c r="DT672" s="286"/>
      <c r="DU672" s="286"/>
      <c r="DV672" s="286"/>
      <c r="DW672" s="286"/>
      <c r="DX672" s="286"/>
      <c r="DY672" s="286"/>
      <c r="DZ672" s="286"/>
      <c r="EA672" s="286"/>
      <c r="EB672" s="286"/>
      <c r="EC672" s="286"/>
      <c r="ED672" s="286"/>
      <c r="EE672" s="286"/>
      <c r="EF672" s="286"/>
      <c r="EG672" s="286"/>
      <c r="EH672" s="286"/>
      <c r="EI672" s="286"/>
      <c r="EJ672" s="286"/>
      <c r="EK672" s="286"/>
      <c r="EL672" s="286"/>
      <c r="EM672" s="286"/>
      <c r="EN672" s="286"/>
      <c r="EO672" s="286"/>
      <c r="EP672" s="286"/>
      <c r="EQ672" s="286"/>
      <c r="ER672" s="286"/>
      <c r="ES672" s="286"/>
      <c r="ET672" s="286"/>
      <c r="EU672" s="286"/>
      <c r="EV672" s="286"/>
      <c r="EW672" s="286"/>
      <c r="EX672" s="286"/>
      <c r="EY672" s="286"/>
      <c r="EZ672" s="286"/>
      <c r="FA672" s="286"/>
      <c r="FB672" s="286"/>
      <c r="FC672" s="286"/>
      <c r="FD672" s="286"/>
      <c r="FE672" s="286"/>
      <c r="FF672" s="286"/>
      <c r="FG672" s="286"/>
      <c r="FH672" s="286"/>
      <c r="FI672" s="286"/>
      <c r="FJ672" s="286"/>
      <c r="FK672" s="286"/>
      <c r="FL672" s="286"/>
      <c r="FM672" s="286"/>
      <c r="FN672" s="286"/>
      <c r="FO672" s="286"/>
      <c r="FP672" s="286"/>
      <c r="FQ672" s="286"/>
      <c r="FR672" s="286"/>
      <c r="FS672" s="286"/>
    </row>
    <row r="673" spans="1:175">
      <c r="A673" s="212" t="s">
        <v>3159</v>
      </c>
      <c r="B673" s="212" t="s">
        <v>3160</v>
      </c>
      <c r="C673" s="212" t="s">
        <v>3432</v>
      </c>
      <c r="D673" s="212" t="s">
        <v>3839</v>
      </c>
      <c r="E673" s="212" t="s">
        <v>3856</v>
      </c>
      <c r="F673" s="278">
        <v>5227</v>
      </c>
      <c r="G673" s="278">
        <v>10575</v>
      </c>
      <c r="H673" s="287">
        <f t="shared" si="10"/>
        <v>4.3309692671394799</v>
      </c>
      <c r="I673" s="286">
        <v>236</v>
      </c>
      <c r="J673" s="286">
        <v>458</v>
      </c>
      <c r="K673" s="286">
        <v>131</v>
      </c>
      <c r="L673" s="286">
        <v>326</v>
      </c>
      <c r="M673" s="286">
        <v>225</v>
      </c>
      <c r="N673" s="286">
        <v>35</v>
      </c>
      <c r="O673" s="286">
        <v>189</v>
      </c>
      <c r="P673" s="286">
        <v>236</v>
      </c>
      <c r="Q673" s="286">
        <v>458</v>
      </c>
      <c r="R673" s="286">
        <v>131</v>
      </c>
      <c r="S673" s="286">
        <v>326</v>
      </c>
      <c r="T673" s="286">
        <v>225</v>
      </c>
      <c r="U673" s="286">
        <v>35</v>
      </c>
      <c r="V673" s="286">
        <v>189</v>
      </c>
      <c r="W673" s="286"/>
      <c r="X673" s="286"/>
      <c r="Y673" s="286"/>
      <c r="Z673" s="286"/>
      <c r="AA673" s="286"/>
      <c r="AB673" s="286"/>
      <c r="AC673" s="286"/>
      <c r="AD673" s="286"/>
      <c r="AE673" s="286"/>
      <c r="AF673" s="286"/>
      <c r="AG673" s="286"/>
      <c r="AH673" s="286"/>
      <c r="AI673" s="286"/>
      <c r="AJ673" s="286"/>
      <c r="AK673" s="286"/>
      <c r="AL673" s="286"/>
      <c r="AM673" s="286"/>
      <c r="AN673" s="286"/>
      <c r="AO673" s="286"/>
      <c r="AP673" s="286"/>
      <c r="AQ673" s="286"/>
      <c r="AR673" s="286"/>
      <c r="AS673" s="286"/>
      <c r="AT673" s="286"/>
      <c r="AU673" s="286"/>
      <c r="AV673" s="286"/>
      <c r="AW673" s="286"/>
      <c r="AX673" s="286"/>
      <c r="AY673" s="286"/>
      <c r="AZ673" s="286"/>
      <c r="BA673" s="286"/>
      <c r="BB673" s="286"/>
      <c r="BC673" s="286"/>
      <c r="BD673" s="286"/>
      <c r="BE673" s="286"/>
      <c r="BF673" s="286"/>
      <c r="BG673" s="286"/>
      <c r="BH673" s="286"/>
      <c r="BI673" s="286"/>
      <c r="BJ673" s="286"/>
      <c r="BK673" s="286"/>
      <c r="BL673" s="286"/>
      <c r="BM673" s="286"/>
      <c r="BN673" s="286"/>
      <c r="BO673" s="286"/>
      <c r="BP673" s="286"/>
      <c r="BQ673" s="286"/>
      <c r="BR673" s="286"/>
      <c r="BS673" s="286"/>
      <c r="BT673" s="286"/>
      <c r="BU673" s="286"/>
      <c r="BV673" s="286"/>
      <c r="BW673" s="286"/>
      <c r="BX673" s="286"/>
      <c r="BY673" s="286"/>
      <c r="BZ673" s="286"/>
      <c r="CA673" s="286"/>
      <c r="CB673" s="286"/>
      <c r="CC673" s="286"/>
      <c r="CD673" s="286"/>
      <c r="CE673" s="286"/>
      <c r="CF673" s="286"/>
      <c r="CG673" s="286"/>
      <c r="CH673" s="286"/>
      <c r="CI673" s="286"/>
      <c r="CJ673" s="286"/>
      <c r="CK673" s="286"/>
      <c r="CL673" s="286"/>
      <c r="CM673" s="286"/>
      <c r="CN673" s="286"/>
      <c r="CO673" s="286"/>
      <c r="CP673" s="286"/>
      <c r="CQ673" s="286"/>
      <c r="CR673" s="286"/>
      <c r="CS673" s="286"/>
      <c r="CT673" s="286"/>
      <c r="CU673" s="286"/>
      <c r="CV673" s="286"/>
      <c r="CW673" s="286"/>
      <c r="CX673" s="286"/>
      <c r="CY673" s="286"/>
      <c r="CZ673" s="286"/>
      <c r="DA673" s="286"/>
      <c r="DB673" s="286"/>
      <c r="DC673" s="286"/>
      <c r="DD673" s="286"/>
      <c r="DE673" s="286"/>
      <c r="DF673" s="286"/>
      <c r="DG673" s="286"/>
      <c r="DH673" s="286"/>
      <c r="DI673" s="286"/>
      <c r="DJ673" s="286"/>
      <c r="DK673" s="286"/>
      <c r="DL673" s="286"/>
      <c r="DM673" s="286"/>
      <c r="DN673" s="286"/>
      <c r="DO673" s="286"/>
      <c r="DP673" s="286"/>
      <c r="DQ673" s="286"/>
      <c r="DR673" s="286"/>
      <c r="DS673" s="286"/>
      <c r="DT673" s="286"/>
      <c r="DU673" s="286"/>
      <c r="DV673" s="286"/>
      <c r="DW673" s="286"/>
      <c r="DX673" s="286"/>
      <c r="DY673" s="286"/>
      <c r="DZ673" s="286"/>
      <c r="EA673" s="286"/>
      <c r="EB673" s="286"/>
      <c r="EC673" s="286"/>
      <c r="ED673" s="286"/>
      <c r="EE673" s="286"/>
      <c r="EF673" s="286"/>
      <c r="EG673" s="286"/>
      <c r="EH673" s="286"/>
      <c r="EI673" s="286"/>
      <c r="EJ673" s="286"/>
      <c r="EK673" s="286"/>
      <c r="EL673" s="286"/>
      <c r="EM673" s="286"/>
      <c r="EN673" s="286"/>
      <c r="EO673" s="286"/>
      <c r="EP673" s="286"/>
      <c r="EQ673" s="286"/>
      <c r="ER673" s="286"/>
      <c r="ES673" s="286"/>
      <c r="ET673" s="286"/>
      <c r="EU673" s="286"/>
      <c r="EV673" s="286"/>
      <c r="EW673" s="286"/>
      <c r="EX673" s="286"/>
      <c r="EY673" s="286"/>
      <c r="EZ673" s="286"/>
      <c r="FA673" s="286"/>
      <c r="FB673" s="286"/>
      <c r="FC673" s="286"/>
      <c r="FD673" s="286"/>
      <c r="FE673" s="286"/>
      <c r="FF673" s="286"/>
      <c r="FG673" s="286"/>
      <c r="FH673" s="286"/>
      <c r="FI673" s="286"/>
      <c r="FJ673" s="286"/>
      <c r="FK673" s="286"/>
      <c r="FL673" s="286"/>
      <c r="FM673" s="286"/>
      <c r="FN673" s="286"/>
      <c r="FO673" s="286"/>
      <c r="FP673" s="286"/>
      <c r="FQ673" s="286"/>
      <c r="FR673" s="286"/>
      <c r="FS673" s="286"/>
    </row>
    <row r="674" spans="1:175">
      <c r="A674" s="212" t="s">
        <v>3159</v>
      </c>
      <c r="B674" s="212" t="s">
        <v>3160</v>
      </c>
      <c r="C674" s="212" t="s">
        <v>3432</v>
      </c>
      <c r="D674" s="212" t="s">
        <v>3839</v>
      </c>
      <c r="E674" s="212" t="s">
        <v>3857</v>
      </c>
      <c r="F674" s="278">
        <v>9548</v>
      </c>
      <c r="G674" s="278">
        <v>40216</v>
      </c>
      <c r="H674" s="287">
        <f t="shared" si="10"/>
        <v>3.8765665406803262</v>
      </c>
      <c r="I674" s="286">
        <v>493</v>
      </c>
      <c r="J674" s="286">
        <v>1559</v>
      </c>
      <c r="K674" s="286">
        <v>515</v>
      </c>
      <c r="L674" s="286">
        <v>1044</v>
      </c>
      <c r="M674" s="286">
        <v>1089</v>
      </c>
      <c r="N674" s="286">
        <v>342</v>
      </c>
      <c r="O674" s="286">
        <v>747</v>
      </c>
      <c r="P674" s="286">
        <v>493</v>
      </c>
      <c r="Q674" s="286">
        <v>1559</v>
      </c>
      <c r="R674" s="286">
        <v>515</v>
      </c>
      <c r="S674" s="286">
        <v>1044</v>
      </c>
      <c r="T674" s="286">
        <v>1089</v>
      </c>
      <c r="U674" s="286">
        <v>342</v>
      </c>
      <c r="V674" s="286">
        <v>747</v>
      </c>
      <c r="W674" s="286"/>
      <c r="X674" s="286"/>
      <c r="Y674" s="286"/>
      <c r="Z674" s="286"/>
      <c r="AA674" s="286"/>
      <c r="AB674" s="286"/>
      <c r="AC674" s="286"/>
      <c r="AD674" s="286"/>
      <c r="AE674" s="286"/>
      <c r="AF674" s="286"/>
      <c r="AG674" s="286"/>
      <c r="AH674" s="286"/>
      <c r="AI674" s="286"/>
      <c r="AJ674" s="286"/>
      <c r="AK674" s="286"/>
      <c r="AL674" s="286"/>
      <c r="AM674" s="286"/>
      <c r="AN674" s="286"/>
      <c r="AO674" s="286"/>
      <c r="AP674" s="286"/>
      <c r="AQ674" s="286"/>
      <c r="AR674" s="286"/>
      <c r="AS674" s="286"/>
      <c r="AT674" s="286"/>
      <c r="AU674" s="286"/>
      <c r="AV674" s="286"/>
      <c r="AW674" s="286"/>
      <c r="AX674" s="286"/>
      <c r="AY674" s="286"/>
      <c r="AZ674" s="286"/>
      <c r="BA674" s="286"/>
      <c r="BB674" s="286"/>
      <c r="BC674" s="286"/>
      <c r="BD674" s="286"/>
      <c r="BE674" s="286"/>
      <c r="BF674" s="286"/>
      <c r="BG674" s="286"/>
      <c r="BH674" s="286"/>
      <c r="BI674" s="286"/>
      <c r="BJ674" s="286"/>
      <c r="BK674" s="286"/>
      <c r="BL674" s="286"/>
      <c r="BM674" s="286"/>
      <c r="BN674" s="286"/>
      <c r="BO674" s="286"/>
      <c r="BP674" s="286"/>
      <c r="BQ674" s="286"/>
      <c r="BR674" s="286"/>
      <c r="BS674" s="286"/>
      <c r="BT674" s="286"/>
      <c r="BU674" s="286"/>
      <c r="BV674" s="286"/>
      <c r="BW674" s="286"/>
      <c r="BX674" s="286"/>
      <c r="BY674" s="286"/>
      <c r="BZ674" s="286"/>
      <c r="CA674" s="286"/>
      <c r="CB674" s="286"/>
      <c r="CC674" s="286"/>
      <c r="CD674" s="286"/>
      <c r="CE674" s="286"/>
      <c r="CF674" s="286"/>
      <c r="CG674" s="286"/>
      <c r="CH674" s="286"/>
      <c r="CI674" s="286"/>
      <c r="CJ674" s="286"/>
      <c r="CK674" s="286"/>
      <c r="CL674" s="286"/>
      <c r="CM674" s="286"/>
      <c r="CN674" s="286"/>
      <c r="CO674" s="286"/>
      <c r="CP674" s="286"/>
      <c r="CQ674" s="286"/>
      <c r="CR674" s="286"/>
      <c r="CS674" s="286"/>
      <c r="CT674" s="286"/>
      <c r="CU674" s="286"/>
      <c r="CV674" s="286"/>
      <c r="CW674" s="286"/>
      <c r="CX674" s="286"/>
      <c r="CY674" s="286"/>
      <c r="CZ674" s="286"/>
      <c r="DA674" s="286"/>
      <c r="DB674" s="286"/>
      <c r="DC674" s="286"/>
      <c r="DD674" s="286"/>
      <c r="DE674" s="286"/>
      <c r="DF674" s="286"/>
      <c r="DG674" s="286"/>
      <c r="DH674" s="286"/>
      <c r="DI674" s="286"/>
      <c r="DJ674" s="286"/>
      <c r="DK674" s="286"/>
      <c r="DL674" s="286"/>
      <c r="DM674" s="286"/>
      <c r="DN674" s="286"/>
      <c r="DO674" s="286"/>
      <c r="DP674" s="286"/>
      <c r="DQ674" s="286"/>
      <c r="DR674" s="286"/>
      <c r="DS674" s="286"/>
      <c r="DT674" s="286"/>
      <c r="DU674" s="286"/>
      <c r="DV674" s="286"/>
      <c r="DW674" s="286"/>
      <c r="DX674" s="286"/>
      <c r="DY674" s="286"/>
      <c r="DZ674" s="286"/>
      <c r="EA674" s="286"/>
      <c r="EB674" s="286"/>
      <c r="EC674" s="286"/>
      <c r="ED674" s="286"/>
      <c r="EE674" s="286"/>
      <c r="EF674" s="286"/>
      <c r="EG674" s="286"/>
      <c r="EH674" s="286"/>
      <c r="EI674" s="286"/>
      <c r="EJ674" s="286"/>
      <c r="EK674" s="286"/>
      <c r="EL674" s="286"/>
      <c r="EM674" s="286"/>
      <c r="EN674" s="286"/>
      <c r="EO674" s="286"/>
      <c r="EP674" s="286"/>
      <c r="EQ674" s="286"/>
      <c r="ER674" s="286"/>
      <c r="ES674" s="286"/>
      <c r="ET674" s="286"/>
      <c r="EU674" s="286"/>
      <c r="EV674" s="286"/>
      <c r="EW674" s="286"/>
      <c r="EX674" s="286"/>
      <c r="EY674" s="286"/>
      <c r="EZ674" s="286"/>
      <c r="FA674" s="286"/>
      <c r="FB674" s="286"/>
      <c r="FC674" s="286"/>
      <c r="FD674" s="286"/>
      <c r="FE674" s="286"/>
      <c r="FF674" s="286"/>
      <c r="FG674" s="286"/>
      <c r="FH674" s="286"/>
      <c r="FI674" s="286"/>
      <c r="FJ674" s="286"/>
      <c r="FK674" s="286"/>
      <c r="FL674" s="286"/>
      <c r="FM674" s="286"/>
      <c r="FN674" s="286"/>
      <c r="FO674" s="286"/>
      <c r="FP674" s="286"/>
      <c r="FQ674" s="286"/>
      <c r="FR674" s="286"/>
      <c r="FS674" s="286"/>
    </row>
    <row r="675" spans="1:175">
      <c r="A675" s="212" t="s">
        <v>3159</v>
      </c>
      <c r="B675" s="212" t="s">
        <v>3160</v>
      </c>
      <c r="C675" s="212" t="s">
        <v>3432</v>
      </c>
      <c r="D675" s="280" t="s">
        <v>3839</v>
      </c>
      <c r="E675" s="280" t="s">
        <v>3858</v>
      </c>
      <c r="F675" s="288">
        <v>11401</v>
      </c>
      <c r="G675" s="288">
        <v>84390</v>
      </c>
      <c r="H675" s="289">
        <f t="shared" si="10"/>
        <v>5.8644389145633369</v>
      </c>
      <c r="I675" s="286">
        <v>547</v>
      </c>
      <c r="J675" s="286">
        <v>4949</v>
      </c>
      <c r="K675" s="286">
        <v>2199</v>
      </c>
      <c r="L675" s="286">
        <v>2748</v>
      </c>
      <c r="M675" s="286">
        <v>4321</v>
      </c>
      <c r="N675" s="286">
        <v>1831</v>
      </c>
      <c r="O675" s="286">
        <v>2488</v>
      </c>
      <c r="P675" s="286">
        <v>547</v>
      </c>
      <c r="Q675" s="286">
        <v>4949</v>
      </c>
      <c r="R675" s="286">
        <v>2199</v>
      </c>
      <c r="S675" s="286">
        <v>2748</v>
      </c>
      <c r="T675" s="286">
        <v>4321</v>
      </c>
      <c r="U675" s="286">
        <v>1831</v>
      </c>
      <c r="V675" s="286">
        <v>2488</v>
      </c>
      <c r="W675" s="286"/>
      <c r="X675" s="286"/>
      <c r="Y675" s="286"/>
      <c r="Z675" s="286"/>
      <c r="AA675" s="286"/>
      <c r="AB675" s="286"/>
      <c r="AC675" s="286"/>
      <c r="AD675" s="286"/>
      <c r="AE675" s="286"/>
      <c r="AF675" s="286"/>
      <c r="AG675" s="286"/>
      <c r="AH675" s="286"/>
      <c r="AI675" s="286"/>
      <c r="AJ675" s="286"/>
      <c r="AK675" s="286"/>
      <c r="AL675" s="286"/>
      <c r="AM675" s="286"/>
      <c r="AN675" s="286"/>
      <c r="AO675" s="286"/>
      <c r="AP675" s="286"/>
      <c r="AQ675" s="286"/>
      <c r="AR675" s="286"/>
      <c r="AS675" s="286"/>
      <c r="AT675" s="286"/>
      <c r="AU675" s="286"/>
      <c r="AV675" s="286"/>
      <c r="AW675" s="286"/>
      <c r="AX675" s="286"/>
      <c r="AY675" s="286"/>
      <c r="AZ675" s="286"/>
      <c r="BA675" s="286"/>
      <c r="BB675" s="286"/>
      <c r="BC675" s="286"/>
      <c r="BD675" s="286"/>
      <c r="BE675" s="286"/>
      <c r="BF675" s="286"/>
      <c r="BG675" s="286"/>
      <c r="BH675" s="286"/>
      <c r="BI675" s="286"/>
      <c r="BJ675" s="286"/>
      <c r="BK675" s="286"/>
      <c r="BL675" s="286"/>
      <c r="BM675" s="286"/>
      <c r="BN675" s="286"/>
      <c r="BO675" s="286"/>
      <c r="BP675" s="286"/>
      <c r="BQ675" s="286"/>
      <c r="BR675" s="286"/>
      <c r="BS675" s="286"/>
      <c r="BT675" s="286"/>
      <c r="BU675" s="286"/>
      <c r="BV675" s="286"/>
      <c r="BW675" s="286"/>
      <c r="BX675" s="286"/>
      <c r="BY675" s="286"/>
      <c r="BZ675" s="286"/>
      <c r="CA675" s="286"/>
      <c r="CB675" s="286"/>
      <c r="CC675" s="286"/>
      <c r="CD675" s="286"/>
      <c r="CE675" s="286"/>
      <c r="CF675" s="286"/>
      <c r="CG675" s="286"/>
      <c r="CH675" s="286"/>
      <c r="CI675" s="286"/>
      <c r="CJ675" s="286"/>
      <c r="CK675" s="286"/>
      <c r="CL675" s="286"/>
      <c r="CM675" s="286"/>
      <c r="CN675" s="286"/>
      <c r="CO675" s="286"/>
      <c r="CP675" s="286"/>
      <c r="CQ675" s="286"/>
      <c r="CR675" s="286"/>
      <c r="CS675" s="286"/>
      <c r="CT675" s="286"/>
      <c r="CU675" s="286"/>
      <c r="CV675" s="286"/>
      <c r="CW675" s="286"/>
      <c r="CX675" s="286"/>
      <c r="CY675" s="286"/>
      <c r="CZ675" s="286"/>
      <c r="DA675" s="286"/>
      <c r="DB675" s="286"/>
      <c r="DC675" s="286"/>
      <c r="DD675" s="286"/>
      <c r="DE675" s="286"/>
      <c r="DF675" s="286"/>
      <c r="DG675" s="286"/>
      <c r="DH675" s="286"/>
      <c r="DI675" s="286"/>
      <c r="DJ675" s="286"/>
      <c r="DK675" s="286"/>
      <c r="DL675" s="286"/>
      <c r="DM675" s="286"/>
      <c r="DN675" s="286"/>
      <c r="DO675" s="286"/>
      <c r="DP675" s="286"/>
      <c r="DQ675" s="286"/>
      <c r="DR675" s="286"/>
      <c r="DS675" s="286"/>
      <c r="DT675" s="286"/>
      <c r="DU675" s="286"/>
      <c r="DV675" s="286"/>
      <c r="DW675" s="286"/>
      <c r="DX675" s="286"/>
      <c r="DY675" s="286"/>
      <c r="DZ675" s="286"/>
      <c r="EA675" s="286"/>
      <c r="EB675" s="286"/>
      <c r="EC675" s="286"/>
      <c r="ED675" s="286"/>
      <c r="EE675" s="286"/>
      <c r="EF675" s="286"/>
      <c r="EG675" s="286"/>
      <c r="EH675" s="286"/>
      <c r="EI675" s="286"/>
      <c r="EJ675" s="286"/>
      <c r="EK675" s="286"/>
      <c r="EL675" s="286"/>
      <c r="EM675" s="286"/>
      <c r="EN675" s="286"/>
      <c r="EO675" s="286"/>
      <c r="EP675" s="286"/>
      <c r="EQ675" s="286"/>
      <c r="ER675" s="286"/>
      <c r="ES675" s="286"/>
      <c r="ET675" s="286"/>
      <c r="EU675" s="286"/>
      <c r="EV675" s="286"/>
      <c r="EW675" s="286"/>
      <c r="EX675" s="286"/>
      <c r="EY675" s="286"/>
      <c r="EZ675" s="286"/>
      <c r="FA675" s="286"/>
      <c r="FB675" s="286"/>
      <c r="FC675" s="286"/>
      <c r="FD675" s="286"/>
      <c r="FE675" s="286"/>
      <c r="FF675" s="286"/>
      <c r="FG675" s="286"/>
      <c r="FH675" s="286"/>
      <c r="FI675" s="286"/>
      <c r="FJ675" s="286"/>
      <c r="FK675" s="286"/>
      <c r="FL675" s="286"/>
      <c r="FM675" s="286"/>
      <c r="FN675" s="286"/>
      <c r="FO675" s="286"/>
      <c r="FP675" s="286"/>
      <c r="FQ675" s="286"/>
      <c r="FR675" s="286"/>
      <c r="FS675" s="286"/>
    </row>
    <row r="676" spans="1:175">
      <c r="A676" s="212" t="s">
        <v>3159</v>
      </c>
      <c r="B676" s="212" t="s">
        <v>3160</v>
      </c>
      <c r="C676" s="212" t="s">
        <v>3432</v>
      </c>
      <c r="D676" s="212" t="s">
        <v>3839</v>
      </c>
      <c r="E676" s="212" t="s">
        <v>3859</v>
      </c>
      <c r="F676" s="278">
        <v>20774</v>
      </c>
      <c r="G676" s="278">
        <v>77981</v>
      </c>
      <c r="H676" s="287">
        <f t="shared" si="10"/>
        <v>4.0715045972736954</v>
      </c>
      <c r="I676" s="286">
        <v>1014</v>
      </c>
      <c r="J676" s="286">
        <v>3175</v>
      </c>
      <c r="K676" s="286">
        <v>787</v>
      </c>
      <c r="L676" s="286">
        <v>2378</v>
      </c>
      <c r="M676" s="286">
        <v>2030</v>
      </c>
      <c r="N676" s="286">
        <v>413</v>
      </c>
      <c r="O676" s="286">
        <v>1608</v>
      </c>
      <c r="P676" s="286">
        <v>1013</v>
      </c>
      <c r="Q676" s="286">
        <v>3172</v>
      </c>
      <c r="R676" s="286">
        <v>786</v>
      </c>
      <c r="S676" s="286">
        <v>2376</v>
      </c>
      <c r="T676" s="286">
        <v>2027</v>
      </c>
      <c r="U676" s="286">
        <v>412</v>
      </c>
      <c r="V676" s="286">
        <v>1606</v>
      </c>
      <c r="W676" s="286"/>
      <c r="X676" s="286"/>
      <c r="Y676" s="286"/>
      <c r="Z676" s="286"/>
      <c r="AA676" s="286"/>
      <c r="AB676" s="286"/>
      <c r="AC676" s="286"/>
      <c r="AD676" s="286"/>
      <c r="AE676" s="286"/>
      <c r="AF676" s="286"/>
      <c r="AG676" s="286"/>
      <c r="AH676" s="286"/>
      <c r="AI676" s="286"/>
      <c r="AJ676" s="286"/>
      <c r="AK676" s="286"/>
      <c r="AL676" s="286"/>
      <c r="AM676" s="286"/>
      <c r="AN676" s="286"/>
      <c r="AO676" s="286"/>
      <c r="AP676" s="286"/>
      <c r="AQ676" s="286"/>
      <c r="AR676" s="286"/>
      <c r="AS676" s="286"/>
      <c r="AT676" s="286"/>
      <c r="AU676" s="286"/>
      <c r="AV676" s="286"/>
      <c r="AW676" s="286"/>
      <c r="AX676" s="286"/>
      <c r="AY676" s="286"/>
      <c r="AZ676" s="286"/>
      <c r="BA676" s="286"/>
      <c r="BB676" s="286"/>
      <c r="BC676" s="286"/>
      <c r="BD676" s="286"/>
      <c r="BE676" s="286"/>
      <c r="BF676" s="286"/>
      <c r="BG676" s="286"/>
      <c r="BH676" s="286"/>
      <c r="BI676" s="286"/>
      <c r="BJ676" s="286"/>
      <c r="BK676" s="286"/>
      <c r="BL676" s="286"/>
      <c r="BM676" s="286"/>
      <c r="BN676" s="286"/>
      <c r="BO676" s="286"/>
      <c r="BP676" s="286"/>
      <c r="BQ676" s="286"/>
      <c r="BR676" s="286"/>
      <c r="BS676" s="286"/>
      <c r="BT676" s="286"/>
      <c r="BU676" s="286"/>
      <c r="BV676" s="286"/>
      <c r="BW676" s="286"/>
      <c r="BX676" s="286"/>
      <c r="BY676" s="286"/>
      <c r="BZ676" s="286"/>
      <c r="CA676" s="286"/>
      <c r="CB676" s="286"/>
      <c r="CC676" s="286"/>
      <c r="CD676" s="286"/>
      <c r="CE676" s="286"/>
      <c r="CF676" s="286"/>
      <c r="CG676" s="286"/>
      <c r="CH676" s="286"/>
      <c r="CI676" s="286"/>
      <c r="CJ676" s="286"/>
      <c r="CK676" s="286"/>
      <c r="CL676" s="286"/>
      <c r="CM676" s="286"/>
      <c r="CN676" s="286"/>
      <c r="CO676" s="286"/>
      <c r="CP676" s="286"/>
      <c r="CQ676" s="286"/>
      <c r="CR676" s="286"/>
      <c r="CS676" s="286"/>
      <c r="CT676" s="286"/>
      <c r="CU676" s="286"/>
      <c r="CV676" s="286"/>
      <c r="CW676" s="286"/>
      <c r="CX676" s="286"/>
      <c r="CY676" s="286"/>
      <c r="CZ676" s="286"/>
      <c r="DA676" s="286"/>
      <c r="DB676" s="286"/>
      <c r="DC676" s="286"/>
      <c r="DD676" s="286"/>
      <c r="DE676" s="286"/>
      <c r="DF676" s="286"/>
      <c r="DG676" s="286"/>
      <c r="DH676" s="286"/>
      <c r="DI676" s="286"/>
      <c r="DJ676" s="286"/>
      <c r="DK676" s="286"/>
      <c r="DL676" s="286"/>
      <c r="DM676" s="286"/>
      <c r="DN676" s="286"/>
      <c r="DO676" s="286"/>
      <c r="DP676" s="286"/>
      <c r="DQ676" s="286"/>
      <c r="DR676" s="286"/>
      <c r="DS676" s="286"/>
      <c r="DT676" s="286"/>
      <c r="DU676" s="286"/>
      <c r="DV676" s="286"/>
      <c r="DW676" s="286"/>
      <c r="DX676" s="286"/>
      <c r="DY676" s="286"/>
      <c r="DZ676" s="286"/>
      <c r="EA676" s="286"/>
      <c r="EB676" s="286"/>
      <c r="EC676" s="286"/>
      <c r="ED676" s="286"/>
      <c r="EE676" s="286"/>
      <c r="EF676" s="286"/>
      <c r="EG676" s="286"/>
      <c r="EH676" s="286"/>
      <c r="EI676" s="286"/>
      <c r="EJ676" s="286"/>
      <c r="EK676" s="286"/>
      <c r="EL676" s="286"/>
      <c r="EM676" s="286"/>
      <c r="EN676" s="286"/>
      <c r="EO676" s="286"/>
      <c r="EP676" s="286"/>
      <c r="EQ676" s="286"/>
      <c r="ER676" s="286"/>
      <c r="ES676" s="286"/>
      <c r="ET676" s="286"/>
      <c r="EU676" s="286"/>
      <c r="EV676" s="286"/>
      <c r="EW676" s="286"/>
      <c r="EX676" s="286"/>
      <c r="EY676" s="286"/>
      <c r="EZ676" s="286"/>
      <c r="FA676" s="286"/>
      <c r="FB676" s="286"/>
      <c r="FC676" s="286"/>
      <c r="FD676" s="286"/>
      <c r="FE676" s="286"/>
      <c r="FF676" s="286"/>
      <c r="FG676" s="286"/>
      <c r="FH676" s="286"/>
      <c r="FI676" s="286"/>
      <c r="FJ676" s="286"/>
      <c r="FK676" s="286"/>
      <c r="FL676" s="286"/>
      <c r="FM676" s="286"/>
      <c r="FN676" s="286"/>
      <c r="FO676" s="286"/>
      <c r="FP676" s="286"/>
      <c r="FQ676" s="286"/>
      <c r="FR676" s="286"/>
      <c r="FS676" s="286"/>
    </row>
    <row r="677" spans="1:175">
      <c r="A677" s="212" t="s">
        <v>3159</v>
      </c>
      <c r="B677" s="212" t="s">
        <v>3160</v>
      </c>
      <c r="C677" s="212" t="s">
        <v>3172</v>
      </c>
      <c r="D677" s="212" t="s">
        <v>3839</v>
      </c>
      <c r="E677" s="212" t="s">
        <v>3860</v>
      </c>
      <c r="F677" s="278">
        <v>5584</v>
      </c>
      <c r="G677" s="278">
        <v>82418</v>
      </c>
      <c r="H677" s="287">
        <f t="shared" si="10"/>
        <v>4.0840593074328426</v>
      </c>
      <c r="I677" s="286">
        <v>262</v>
      </c>
      <c r="J677" s="286">
        <v>3366</v>
      </c>
      <c r="K677" s="286">
        <v>2015</v>
      </c>
      <c r="L677" s="286">
        <v>1348</v>
      </c>
      <c r="M677" s="286">
        <v>2938</v>
      </c>
      <c r="N677" s="286">
        <v>1781</v>
      </c>
      <c r="O677" s="286">
        <v>1154</v>
      </c>
      <c r="P677" s="286">
        <v>255</v>
      </c>
      <c r="Q677" s="286">
        <v>3337</v>
      </c>
      <c r="R677" s="286">
        <v>2001</v>
      </c>
      <c r="S677" s="286">
        <v>1333</v>
      </c>
      <c r="T677" s="286">
        <v>2909</v>
      </c>
      <c r="U677" s="286">
        <v>1767</v>
      </c>
      <c r="V677" s="286">
        <v>1139</v>
      </c>
      <c r="W677" s="286"/>
      <c r="X677" s="286"/>
      <c r="Y677" s="286"/>
      <c r="Z677" s="286"/>
      <c r="AA677" s="286"/>
      <c r="AB677" s="286"/>
      <c r="AC677" s="286"/>
      <c r="AD677" s="286"/>
      <c r="AE677" s="286"/>
      <c r="AF677" s="286"/>
      <c r="AG677" s="286"/>
      <c r="AH677" s="286"/>
      <c r="AI677" s="286"/>
      <c r="AJ677" s="286"/>
      <c r="AK677" s="286"/>
      <c r="AL677" s="286"/>
      <c r="AM677" s="286"/>
      <c r="AN677" s="286"/>
      <c r="AO677" s="286"/>
      <c r="AP677" s="286"/>
      <c r="AQ677" s="286"/>
      <c r="AR677" s="286"/>
      <c r="AS677" s="286"/>
      <c r="AT677" s="286"/>
      <c r="AU677" s="286"/>
      <c r="AV677" s="286"/>
      <c r="AW677" s="286"/>
      <c r="AX677" s="286"/>
      <c r="AY677" s="286"/>
      <c r="AZ677" s="286"/>
      <c r="BA677" s="286"/>
      <c r="BB677" s="286"/>
      <c r="BC677" s="286"/>
      <c r="BD677" s="286"/>
      <c r="BE677" s="286"/>
      <c r="BF677" s="286"/>
      <c r="BG677" s="286"/>
      <c r="BH677" s="286"/>
      <c r="BI677" s="286"/>
      <c r="BJ677" s="286"/>
      <c r="BK677" s="286"/>
      <c r="BL677" s="286"/>
      <c r="BM677" s="286"/>
      <c r="BN677" s="286"/>
      <c r="BO677" s="286"/>
      <c r="BP677" s="286"/>
      <c r="BQ677" s="286"/>
      <c r="BR677" s="286"/>
      <c r="BS677" s="286"/>
      <c r="BT677" s="286"/>
      <c r="BU677" s="286"/>
      <c r="BV677" s="286"/>
      <c r="BW677" s="286"/>
      <c r="BX677" s="286"/>
      <c r="BY677" s="286"/>
      <c r="BZ677" s="286"/>
      <c r="CA677" s="286"/>
      <c r="CB677" s="286"/>
      <c r="CC677" s="286"/>
      <c r="CD677" s="286"/>
      <c r="CE677" s="286"/>
      <c r="CF677" s="286"/>
      <c r="CG677" s="286"/>
      <c r="CH677" s="286"/>
      <c r="CI677" s="286"/>
      <c r="CJ677" s="286"/>
      <c r="CK677" s="286"/>
      <c r="CL677" s="286"/>
      <c r="CM677" s="286"/>
      <c r="CN677" s="286"/>
      <c r="CO677" s="286"/>
      <c r="CP677" s="286"/>
      <c r="CQ677" s="286"/>
      <c r="CR677" s="286"/>
      <c r="CS677" s="286"/>
      <c r="CT677" s="286"/>
      <c r="CU677" s="286"/>
      <c r="CV677" s="286"/>
      <c r="CW677" s="286"/>
      <c r="CX677" s="286"/>
      <c r="CY677" s="286"/>
      <c r="CZ677" s="286"/>
      <c r="DA677" s="286"/>
      <c r="DB677" s="286"/>
      <c r="DC677" s="286"/>
      <c r="DD677" s="286"/>
      <c r="DE677" s="286"/>
      <c r="DF677" s="286"/>
      <c r="DG677" s="286"/>
      <c r="DH677" s="286"/>
      <c r="DI677" s="286"/>
      <c r="DJ677" s="286"/>
      <c r="DK677" s="286"/>
      <c r="DL677" s="286"/>
      <c r="DM677" s="286"/>
      <c r="DN677" s="286"/>
      <c r="DO677" s="286"/>
      <c r="DP677" s="286"/>
      <c r="DQ677" s="286"/>
      <c r="DR677" s="286"/>
      <c r="DS677" s="286"/>
      <c r="DT677" s="286"/>
      <c r="DU677" s="286"/>
      <c r="DV677" s="286"/>
      <c r="DW677" s="286"/>
      <c r="DX677" s="286"/>
      <c r="DY677" s="286"/>
      <c r="DZ677" s="286"/>
      <c r="EA677" s="286"/>
      <c r="EB677" s="286"/>
      <c r="EC677" s="286"/>
      <c r="ED677" s="286"/>
      <c r="EE677" s="286"/>
      <c r="EF677" s="286"/>
      <c r="EG677" s="286"/>
      <c r="EH677" s="286"/>
      <c r="EI677" s="286"/>
      <c r="EJ677" s="286"/>
      <c r="EK677" s="286"/>
      <c r="EL677" s="286"/>
      <c r="EM677" s="286"/>
      <c r="EN677" s="286"/>
      <c r="EO677" s="286"/>
      <c r="EP677" s="286"/>
      <c r="EQ677" s="286"/>
      <c r="ER677" s="286"/>
      <c r="ES677" s="286"/>
      <c r="ET677" s="286"/>
      <c r="EU677" s="286"/>
      <c r="EV677" s="286"/>
      <c r="EW677" s="286"/>
      <c r="EX677" s="286"/>
      <c r="EY677" s="286"/>
      <c r="EZ677" s="286"/>
      <c r="FA677" s="286"/>
      <c r="FB677" s="286"/>
      <c r="FC677" s="286"/>
      <c r="FD677" s="286"/>
      <c r="FE677" s="286"/>
      <c r="FF677" s="286"/>
      <c r="FG677" s="286"/>
      <c r="FH677" s="286"/>
      <c r="FI677" s="286"/>
      <c r="FJ677" s="286"/>
      <c r="FK677" s="286"/>
      <c r="FL677" s="286"/>
      <c r="FM677" s="286"/>
      <c r="FN677" s="286"/>
      <c r="FO677" s="286"/>
      <c r="FP677" s="286"/>
      <c r="FQ677" s="286"/>
      <c r="FR677" s="286"/>
      <c r="FS677" s="286"/>
    </row>
    <row r="678" spans="1:175">
      <c r="A678" s="212" t="s">
        <v>3159</v>
      </c>
      <c r="B678" s="212" t="s">
        <v>3160</v>
      </c>
      <c r="C678" s="212" t="s">
        <v>3168</v>
      </c>
      <c r="D678" s="212" t="s">
        <v>3861</v>
      </c>
      <c r="E678" s="212" t="s">
        <v>3862</v>
      </c>
      <c r="F678" s="278">
        <v>485925</v>
      </c>
      <c r="G678" s="278">
        <v>8886182</v>
      </c>
      <c r="H678" s="287">
        <f t="shared" si="10"/>
        <v>4.3461185017367416</v>
      </c>
      <c r="I678" s="286">
        <v>21119</v>
      </c>
      <c r="J678" s="286">
        <v>386204</v>
      </c>
      <c r="K678" s="286">
        <v>98699</v>
      </c>
      <c r="L678" s="286">
        <v>282673</v>
      </c>
      <c r="M678" s="286">
        <v>356200</v>
      </c>
      <c r="N678" s="286">
        <v>82881</v>
      </c>
      <c r="O678" s="286">
        <v>268718</v>
      </c>
      <c r="P678" s="286">
        <v>20248</v>
      </c>
      <c r="Q678" s="286">
        <v>352550</v>
      </c>
      <c r="R678" s="286">
        <v>91448</v>
      </c>
      <c r="S678" s="286">
        <v>256270</v>
      </c>
      <c r="T678" s="286">
        <v>323167</v>
      </c>
      <c r="U678" s="286">
        <v>75704</v>
      </c>
      <c r="V678" s="286">
        <v>242862</v>
      </c>
      <c r="W678" s="286"/>
      <c r="X678" s="286"/>
      <c r="Y678" s="286"/>
      <c r="Z678" s="286"/>
      <c r="AA678" s="286"/>
      <c r="AB678" s="286"/>
      <c r="AC678" s="286"/>
      <c r="AD678" s="286"/>
      <c r="AE678" s="286"/>
      <c r="AF678" s="286"/>
      <c r="AG678" s="286"/>
      <c r="AH678" s="286"/>
      <c r="AI678" s="286"/>
      <c r="AJ678" s="286"/>
      <c r="AK678" s="286"/>
      <c r="AL678" s="286"/>
      <c r="AM678" s="286"/>
      <c r="AN678" s="286"/>
      <c r="AO678" s="286"/>
      <c r="AP678" s="286"/>
      <c r="AQ678" s="286"/>
      <c r="AR678" s="286"/>
      <c r="AS678" s="286"/>
      <c r="AT678" s="286"/>
      <c r="AU678" s="286"/>
      <c r="AV678" s="286"/>
      <c r="AW678" s="286"/>
      <c r="AX678" s="286"/>
      <c r="AY678" s="286"/>
      <c r="AZ678" s="286"/>
      <c r="BA678" s="286"/>
      <c r="BB678" s="286"/>
      <c r="BC678" s="286"/>
      <c r="BD678" s="286"/>
      <c r="BE678" s="286"/>
      <c r="BF678" s="286"/>
      <c r="BG678" s="286"/>
      <c r="BH678" s="286"/>
      <c r="BI678" s="286"/>
      <c r="BJ678" s="286"/>
      <c r="BK678" s="286"/>
      <c r="BL678" s="286"/>
      <c r="BM678" s="286"/>
      <c r="BN678" s="286"/>
      <c r="BO678" s="286"/>
      <c r="BP678" s="286"/>
      <c r="BQ678" s="286"/>
      <c r="BR678" s="286"/>
      <c r="BS678" s="286"/>
      <c r="BT678" s="286"/>
      <c r="BU678" s="286"/>
      <c r="BV678" s="286"/>
      <c r="BW678" s="286"/>
      <c r="BX678" s="286"/>
      <c r="BY678" s="286"/>
      <c r="BZ678" s="286"/>
      <c r="CA678" s="286"/>
      <c r="CB678" s="286"/>
      <c r="CC678" s="286"/>
      <c r="CD678" s="286"/>
      <c r="CE678" s="286"/>
      <c r="CF678" s="286"/>
      <c r="CG678" s="286"/>
      <c r="CH678" s="286"/>
      <c r="CI678" s="286"/>
      <c r="CJ678" s="286"/>
      <c r="CK678" s="286"/>
      <c r="CL678" s="286"/>
      <c r="CM678" s="286"/>
      <c r="CN678" s="286"/>
      <c r="CO678" s="286"/>
      <c r="CP678" s="286"/>
      <c r="CQ678" s="286"/>
      <c r="CR678" s="286"/>
      <c r="CS678" s="286"/>
      <c r="CT678" s="286"/>
      <c r="CU678" s="286"/>
      <c r="CV678" s="286"/>
      <c r="CW678" s="286"/>
      <c r="CX678" s="286"/>
      <c r="CY678" s="286"/>
      <c r="CZ678" s="286"/>
      <c r="DA678" s="286"/>
      <c r="DB678" s="286"/>
      <c r="DC678" s="286"/>
      <c r="DD678" s="286"/>
      <c r="DE678" s="286"/>
      <c r="DF678" s="286"/>
      <c r="DG678" s="286"/>
      <c r="DH678" s="286"/>
      <c r="DI678" s="286"/>
      <c r="DJ678" s="286"/>
      <c r="DK678" s="286"/>
      <c r="DL678" s="286"/>
      <c r="DM678" s="286"/>
      <c r="DN678" s="286"/>
      <c r="DO678" s="286"/>
      <c r="DP678" s="286"/>
      <c r="DQ678" s="286"/>
      <c r="DR678" s="286"/>
      <c r="DS678" s="286"/>
      <c r="DT678" s="286"/>
      <c r="DU678" s="286"/>
      <c r="DV678" s="286"/>
      <c r="DW678" s="286"/>
      <c r="DX678" s="286"/>
      <c r="DY678" s="286"/>
      <c r="DZ678" s="286"/>
      <c r="EA678" s="286"/>
      <c r="EB678" s="286"/>
      <c r="EC678" s="286"/>
      <c r="ED678" s="286"/>
      <c r="EE678" s="286"/>
      <c r="EF678" s="286"/>
      <c r="EG678" s="286"/>
      <c r="EH678" s="286"/>
      <c r="EI678" s="286"/>
      <c r="EJ678" s="286"/>
      <c r="EK678" s="286"/>
      <c r="EL678" s="286"/>
      <c r="EM678" s="286"/>
      <c r="EN678" s="286"/>
      <c r="EO678" s="286"/>
      <c r="EP678" s="286"/>
      <c r="EQ678" s="286"/>
      <c r="ER678" s="286"/>
      <c r="ES678" s="286"/>
      <c r="ET678" s="286"/>
      <c r="EU678" s="286"/>
      <c r="EV678" s="286"/>
      <c r="EW678" s="286"/>
      <c r="EX678" s="286"/>
      <c r="EY678" s="286"/>
      <c r="EZ678" s="286"/>
      <c r="FA678" s="286"/>
      <c r="FB678" s="286"/>
      <c r="FC678" s="286"/>
      <c r="FD678" s="286"/>
      <c r="FE678" s="286"/>
      <c r="FF678" s="286"/>
      <c r="FG678" s="286"/>
      <c r="FH678" s="286"/>
      <c r="FI678" s="286"/>
      <c r="FJ678" s="286"/>
      <c r="FK678" s="286"/>
      <c r="FL678" s="286"/>
      <c r="FM678" s="286"/>
      <c r="FN678" s="286"/>
      <c r="FO678" s="286"/>
      <c r="FP678" s="286"/>
      <c r="FQ678" s="286"/>
      <c r="FR678" s="286"/>
      <c r="FS678" s="286"/>
    </row>
    <row r="679" spans="1:175">
      <c r="A679" s="212" t="s">
        <v>3159</v>
      </c>
      <c r="B679" s="212" t="s">
        <v>3160</v>
      </c>
      <c r="C679" s="212" t="s">
        <v>3170</v>
      </c>
      <c r="D679" s="212" t="s">
        <v>3861</v>
      </c>
      <c r="E679" s="212" t="s">
        <v>3863</v>
      </c>
      <c r="F679" s="278">
        <v>250960</v>
      </c>
      <c r="G679" s="278">
        <v>4296665</v>
      </c>
      <c r="H679" s="287">
        <f t="shared" si="10"/>
        <v>4.5978916205941118</v>
      </c>
      <c r="I679" s="286">
        <v>11590</v>
      </c>
      <c r="J679" s="286">
        <v>197556</v>
      </c>
      <c r="K679" s="286">
        <v>53429</v>
      </c>
      <c r="L679" s="286">
        <v>140717</v>
      </c>
      <c r="M679" s="286">
        <v>177109</v>
      </c>
      <c r="N679" s="286">
        <v>40977</v>
      </c>
      <c r="O679" s="286">
        <v>132862</v>
      </c>
      <c r="P679" s="286">
        <v>11503</v>
      </c>
      <c r="Q679" s="286">
        <v>178679</v>
      </c>
      <c r="R679" s="286">
        <v>48396</v>
      </c>
      <c r="S679" s="286">
        <v>126873</v>
      </c>
      <c r="T679" s="286">
        <v>158301</v>
      </c>
      <c r="U679" s="286">
        <v>35992</v>
      </c>
      <c r="V679" s="286">
        <v>119039</v>
      </c>
      <c r="W679" s="286"/>
      <c r="X679" s="286"/>
      <c r="Y679" s="286"/>
      <c r="Z679" s="286"/>
      <c r="AA679" s="286"/>
      <c r="AB679" s="286"/>
      <c r="AC679" s="286"/>
      <c r="AD679" s="286"/>
      <c r="AE679" s="286"/>
      <c r="AF679" s="286"/>
      <c r="AG679" s="286"/>
      <c r="AH679" s="286"/>
      <c r="AI679" s="286"/>
      <c r="AJ679" s="286"/>
      <c r="AK679" s="286"/>
      <c r="AL679" s="286"/>
      <c r="AM679" s="286"/>
      <c r="AN679" s="286"/>
      <c r="AO679" s="286"/>
      <c r="AP679" s="286"/>
      <c r="AQ679" s="286"/>
      <c r="AR679" s="286"/>
      <c r="AS679" s="286"/>
      <c r="AT679" s="286"/>
      <c r="AU679" s="286"/>
      <c r="AV679" s="286"/>
      <c r="AW679" s="286"/>
      <c r="AX679" s="286"/>
      <c r="AY679" s="286"/>
      <c r="AZ679" s="286"/>
      <c r="BA679" s="286"/>
      <c r="BB679" s="286"/>
      <c r="BC679" s="286"/>
      <c r="BD679" s="286"/>
      <c r="BE679" s="286"/>
      <c r="BF679" s="286"/>
      <c r="BG679" s="286"/>
      <c r="BH679" s="286"/>
      <c r="BI679" s="286"/>
      <c r="BJ679" s="286"/>
      <c r="BK679" s="286"/>
      <c r="BL679" s="286"/>
      <c r="BM679" s="286"/>
      <c r="BN679" s="286"/>
      <c r="BO679" s="286"/>
      <c r="BP679" s="286"/>
      <c r="BQ679" s="286"/>
      <c r="BR679" s="286"/>
      <c r="BS679" s="286"/>
      <c r="BT679" s="286"/>
      <c r="BU679" s="286"/>
      <c r="BV679" s="286"/>
      <c r="BW679" s="286"/>
      <c r="BX679" s="286"/>
      <c r="BY679" s="286"/>
      <c r="BZ679" s="286"/>
      <c r="CA679" s="286"/>
      <c r="CB679" s="286"/>
      <c r="CC679" s="286"/>
      <c r="CD679" s="286"/>
      <c r="CE679" s="286"/>
      <c r="CF679" s="286"/>
      <c r="CG679" s="286"/>
      <c r="CH679" s="286"/>
      <c r="CI679" s="286"/>
      <c r="CJ679" s="286"/>
      <c r="CK679" s="286"/>
      <c r="CL679" s="286"/>
      <c r="CM679" s="286"/>
      <c r="CN679" s="286"/>
      <c r="CO679" s="286"/>
      <c r="CP679" s="286"/>
      <c r="CQ679" s="286"/>
      <c r="CR679" s="286"/>
      <c r="CS679" s="286"/>
      <c r="CT679" s="286"/>
      <c r="CU679" s="286"/>
      <c r="CV679" s="286"/>
      <c r="CW679" s="286"/>
      <c r="CX679" s="286"/>
      <c r="CY679" s="286"/>
      <c r="CZ679" s="286"/>
      <c r="DA679" s="286"/>
      <c r="DB679" s="286"/>
      <c r="DC679" s="286"/>
      <c r="DD679" s="286"/>
      <c r="DE679" s="286"/>
      <c r="DF679" s="286"/>
      <c r="DG679" s="286"/>
      <c r="DH679" s="286"/>
      <c r="DI679" s="286"/>
      <c r="DJ679" s="286"/>
      <c r="DK679" s="286"/>
      <c r="DL679" s="286"/>
      <c r="DM679" s="286"/>
      <c r="DN679" s="286"/>
      <c r="DO679" s="286"/>
      <c r="DP679" s="286"/>
      <c r="DQ679" s="286"/>
      <c r="DR679" s="286"/>
      <c r="DS679" s="286"/>
      <c r="DT679" s="286"/>
      <c r="DU679" s="286"/>
      <c r="DV679" s="286"/>
      <c r="DW679" s="286"/>
      <c r="DX679" s="286"/>
      <c r="DY679" s="286"/>
      <c r="DZ679" s="286"/>
      <c r="EA679" s="286"/>
      <c r="EB679" s="286"/>
      <c r="EC679" s="286"/>
      <c r="ED679" s="286"/>
      <c r="EE679" s="286"/>
      <c r="EF679" s="286"/>
      <c r="EG679" s="286"/>
      <c r="EH679" s="286"/>
      <c r="EI679" s="286"/>
      <c r="EJ679" s="286"/>
      <c r="EK679" s="286"/>
      <c r="EL679" s="286"/>
      <c r="EM679" s="286"/>
      <c r="EN679" s="286"/>
      <c r="EO679" s="286"/>
      <c r="EP679" s="286"/>
      <c r="EQ679" s="286"/>
      <c r="ER679" s="286"/>
      <c r="ES679" s="286"/>
      <c r="ET679" s="286"/>
      <c r="EU679" s="286"/>
      <c r="EV679" s="286"/>
      <c r="EW679" s="286"/>
      <c r="EX679" s="286"/>
      <c r="EY679" s="286"/>
      <c r="EZ679" s="286"/>
      <c r="FA679" s="286"/>
      <c r="FB679" s="286"/>
      <c r="FC679" s="286"/>
      <c r="FD679" s="286"/>
      <c r="FE679" s="286"/>
      <c r="FF679" s="286"/>
      <c r="FG679" s="286"/>
      <c r="FH679" s="286"/>
      <c r="FI679" s="286"/>
      <c r="FJ679" s="286"/>
      <c r="FK679" s="286"/>
      <c r="FL679" s="286"/>
      <c r="FM679" s="286"/>
      <c r="FN679" s="286"/>
      <c r="FO679" s="286"/>
      <c r="FP679" s="286"/>
      <c r="FQ679" s="286"/>
      <c r="FR679" s="286"/>
      <c r="FS679" s="286"/>
    </row>
    <row r="680" spans="1:175">
      <c r="A680" s="212" t="s">
        <v>3159</v>
      </c>
      <c r="B680" s="212" t="s">
        <v>3160</v>
      </c>
      <c r="C680" s="212" t="s">
        <v>3172</v>
      </c>
      <c r="D680" s="212" t="s">
        <v>3861</v>
      </c>
      <c r="E680" s="212" t="s">
        <v>3864</v>
      </c>
      <c r="F680" s="278">
        <v>773</v>
      </c>
      <c r="G680" s="278">
        <v>11772</v>
      </c>
      <c r="H680" s="287">
        <f t="shared" si="10"/>
        <v>4.3917770981991167</v>
      </c>
      <c r="I680" s="286">
        <v>32</v>
      </c>
      <c r="J680" s="286">
        <v>517</v>
      </c>
      <c r="K680" s="286">
        <v>246</v>
      </c>
      <c r="L680" s="286">
        <v>252</v>
      </c>
      <c r="M680" s="286">
        <v>472</v>
      </c>
      <c r="N680" s="286">
        <v>226</v>
      </c>
      <c r="O680" s="286">
        <v>246</v>
      </c>
      <c r="P680" s="286">
        <v>30</v>
      </c>
      <c r="Q680" s="286">
        <v>496</v>
      </c>
      <c r="R680" s="286">
        <v>234</v>
      </c>
      <c r="S680" s="286">
        <v>243</v>
      </c>
      <c r="T680" s="286">
        <v>451</v>
      </c>
      <c r="U680" s="286">
        <v>214</v>
      </c>
      <c r="V680" s="286">
        <v>237</v>
      </c>
      <c r="W680" s="286"/>
      <c r="X680" s="286"/>
      <c r="Y680" s="286"/>
      <c r="Z680" s="286"/>
      <c r="AA680" s="286"/>
      <c r="AB680" s="286"/>
      <c r="AC680" s="286"/>
      <c r="AD680" s="286"/>
      <c r="AE680" s="286"/>
      <c r="AF680" s="286"/>
      <c r="AG680" s="286"/>
      <c r="AH680" s="286"/>
      <c r="AI680" s="286"/>
      <c r="AJ680" s="286"/>
      <c r="AK680" s="286"/>
      <c r="AL680" s="286"/>
      <c r="AM680" s="286"/>
      <c r="AN680" s="286"/>
      <c r="AO680" s="286"/>
      <c r="AP680" s="286"/>
      <c r="AQ680" s="286"/>
      <c r="AR680" s="286"/>
      <c r="AS680" s="286"/>
      <c r="AT680" s="286"/>
      <c r="AU680" s="286"/>
      <c r="AV680" s="286"/>
      <c r="AW680" s="286"/>
      <c r="AX680" s="286"/>
      <c r="AY680" s="286"/>
      <c r="AZ680" s="286"/>
      <c r="BA680" s="286"/>
      <c r="BB680" s="286"/>
      <c r="BC680" s="286"/>
      <c r="BD680" s="286"/>
      <c r="BE680" s="286"/>
      <c r="BF680" s="286"/>
      <c r="BG680" s="286"/>
      <c r="BH680" s="286"/>
      <c r="BI680" s="286"/>
      <c r="BJ680" s="286"/>
      <c r="BK680" s="286"/>
      <c r="BL680" s="286"/>
      <c r="BM680" s="286"/>
      <c r="BN680" s="286"/>
      <c r="BO680" s="286"/>
      <c r="BP680" s="286"/>
      <c r="BQ680" s="286"/>
      <c r="BR680" s="286"/>
      <c r="BS680" s="286"/>
      <c r="BT680" s="286"/>
      <c r="BU680" s="286"/>
      <c r="BV680" s="286"/>
      <c r="BW680" s="286"/>
      <c r="BX680" s="286"/>
      <c r="BY680" s="286"/>
      <c r="BZ680" s="286"/>
      <c r="CA680" s="286"/>
      <c r="CB680" s="286"/>
      <c r="CC680" s="286"/>
      <c r="CD680" s="286"/>
      <c r="CE680" s="286"/>
      <c r="CF680" s="286"/>
      <c r="CG680" s="286"/>
      <c r="CH680" s="286"/>
      <c r="CI680" s="286"/>
      <c r="CJ680" s="286"/>
      <c r="CK680" s="286"/>
      <c r="CL680" s="286"/>
      <c r="CM680" s="286"/>
      <c r="CN680" s="286"/>
      <c r="CO680" s="286"/>
      <c r="CP680" s="286"/>
      <c r="CQ680" s="286"/>
      <c r="CR680" s="286"/>
      <c r="CS680" s="286"/>
      <c r="CT680" s="286"/>
      <c r="CU680" s="286"/>
      <c r="CV680" s="286"/>
      <c r="CW680" s="286"/>
      <c r="CX680" s="286"/>
      <c r="CY680" s="286"/>
      <c r="CZ680" s="286"/>
      <c r="DA680" s="286"/>
      <c r="DB680" s="286"/>
      <c r="DC680" s="286"/>
      <c r="DD680" s="286"/>
      <c r="DE680" s="286"/>
      <c r="DF680" s="286"/>
      <c r="DG680" s="286"/>
      <c r="DH680" s="286"/>
      <c r="DI680" s="286"/>
      <c r="DJ680" s="286"/>
      <c r="DK680" s="286"/>
      <c r="DL680" s="286"/>
      <c r="DM680" s="286"/>
      <c r="DN680" s="286"/>
      <c r="DO680" s="286"/>
      <c r="DP680" s="286"/>
      <c r="DQ680" s="286"/>
      <c r="DR680" s="286"/>
      <c r="DS680" s="286"/>
      <c r="DT680" s="286"/>
      <c r="DU680" s="286"/>
      <c r="DV680" s="286"/>
      <c r="DW680" s="286"/>
      <c r="DX680" s="286"/>
      <c r="DY680" s="286"/>
      <c r="DZ680" s="286"/>
      <c r="EA680" s="286"/>
      <c r="EB680" s="286"/>
      <c r="EC680" s="286"/>
      <c r="ED680" s="286"/>
      <c r="EE680" s="286"/>
      <c r="EF680" s="286"/>
      <c r="EG680" s="286"/>
      <c r="EH680" s="286"/>
      <c r="EI680" s="286"/>
      <c r="EJ680" s="286"/>
      <c r="EK680" s="286"/>
      <c r="EL680" s="286"/>
      <c r="EM680" s="286"/>
      <c r="EN680" s="286"/>
      <c r="EO680" s="286"/>
      <c r="EP680" s="286"/>
      <c r="EQ680" s="286"/>
      <c r="ER680" s="286"/>
      <c r="ES680" s="286"/>
      <c r="ET680" s="286"/>
      <c r="EU680" s="286"/>
      <c r="EV680" s="286"/>
      <c r="EW680" s="286"/>
      <c r="EX680" s="286"/>
      <c r="EY680" s="286"/>
      <c r="EZ680" s="286"/>
      <c r="FA680" s="286"/>
      <c r="FB680" s="286"/>
      <c r="FC680" s="286"/>
      <c r="FD680" s="286"/>
      <c r="FE680" s="286"/>
      <c r="FF680" s="286"/>
      <c r="FG680" s="286"/>
      <c r="FH680" s="286"/>
      <c r="FI680" s="286"/>
      <c r="FJ680" s="286"/>
      <c r="FK680" s="286"/>
      <c r="FL680" s="286"/>
      <c r="FM680" s="286"/>
      <c r="FN680" s="286"/>
      <c r="FO680" s="286"/>
      <c r="FP680" s="286"/>
      <c r="FQ680" s="286"/>
      <c r="FR680" s="286"/>
      <c r="FS680" s="286"/>
    </row>
    <row r="681" spans="1:175">
      <c r="A681" s="212" t="s">
        <v>3159</v>
      </c>
      <c r="B681" s="212" t="s">
        <v>3160</v>
      </c>
      <c r="C681" s="212" t="s">
        <v>3172</v>
      </c>
      <c r="D681" s="212" t="s">
        <v>3861</v>
      </c>
      <c r="E681" s="212" t="s">
        <v>3865</v>
      </c>
      <c r="F681" s="278">
        <v>8341</v>
      </c>
      <c r="G681" s="278">
        <v>2403536</v>
      </c>
      <c r="H681" s="287">
        <f t="shared" si="10"/>
        <v>4.4762799475439516</v>
      </c>
      <c r="I681" s="286">
        <v>361</v>
      </c>
      <c r="J681" s="286">
        <v>107589</v>
      </c>
      <c r="K681" s="286">
        <v>29036</v>
      </c>
      <c r="L681" s="286">
        <v>75265</v>
      </c>
      <c r="M681" s="286">
        <v>105788</v>
      </c>
      <c r="N681" s="286">
        <v>27792</v>
      </c>
      <c r="O681" s="286">
        <v>74805</v>
      </c>
      <c r="P681" s="286">
        <v>327</v>
      </c>
      <c r="Q681" s="286">
        <v>89247</v>
      </c>
      <c r="R681" s="286">
        <v>24133</v>
      </c>
      <c r="S681" s="286">
        <v>61826</v>
      </c>
      <c r="T681" s="286">
        <v>87497</v>
      </c>
      <c r="U681" s="286">
        <v>22933</v>
      </c>
      <c r="V681" s="286">
        <v>61373</v>
      </c>
      <c r="W681" s="286"/>
      <c r="X681" s="286"/>
      <c r="Y681" s="286"/>
      <c r="Z681" s="286"/>
      <c r="AA681" s="286"/>
      <c r="AB681" s="286"/>
      <c r="AC681" s="286"/>
      <c r="AD681" s="286"/>
      <c r="AE681" s="286"/>
      <c r="AF681" s="286"/>
      <c r="AG681" s="286"/>
      <c r="AH681" s="286"/>
      <c r="AI681" s="286"/>
      <c r="AJ681" s="286"/>
      <c r="AK681" s="286"/>
      <c r="AL681" s="286"/>
      <c r="AM681" s="286"/>
      <c r="AN681" s="286"/>
      <c r="AO681" s="286"/>
      <c r="AP681" s="286"/>
      <c r="AQ681" s="286"/>
      <c r="AR681" s="286"/>
      <c r="AS681" s="286"/>
      <c r="AT681" s="286"/>
      <c r="AU681" s="286"/>
      <c r="AV681" s="286"/>
      <c r="AW681" s="286"/>
      <c r="AX681" s="286"/>
      <c r="AY681" s="286"/>
      <c r="AZ681" s="286"/>
      <c r="BA681" s="286"/>
      <c r="BB681" s="286"/>
      <c r="BC681" s="286"/>
      <c r="BD681" s="286"/>
      <c r="BE681" s="286"/>
      <c r="BF681" s="286"/>
      <c r="BG681" s="286"/>
      <c r="BH681" s="286"/>
      <c r="BI681" s="286"/>
      <c r="BJ681" s="286"/>
      <c r="BK681" s="286"/>
      <c r="BL681" s="286"/>
      <c r="BM681" s="286"/>
      <c r="BN681" s="286"/>
      <c r="BO681" s="286"/>
      <c r="BP681" s="286"/>
      <c r="BQ681" s="286"/>
      <c r="BR681" s="286"/>
      <c r="BS681" s="286"/>
      <c r="BT681" s="286"/>
      <c r="BU681" s="286"/>
      <c r="BV681" s="286"/>
      <c r="BW681" s="286"/>
      <c r="BX681" s="286"/>
      <c r="BY681" s="286"/>
      <c r="BZ681" s="286"/>
      <c r="CA681" s="286"/>
      <c r="CB681" s="286"/>
      <c r="CC681" s="286"/>
      <c r="CD681" s="286"/>
      <c r="CE681" s="286"/>
      <c r="CF681" s="286"/>
      <c r="CG681" s="286"/>
      <c r="CH681" s="286"/>
      <c r="CI681" s="286"/>
      <c r="CJ681" s="286"/>
      <c r="CK681" s="286"/>
      <c r="CL681" s="286"/>
      <c r="CM681" s="286"/>
      <c r="CN681" s="286"/>
      <c r="CO681" s="286"/>
      <c r="CP681" s="286"/>
      <c r="CQ681" s="286"/>
      <c r="CR681" s="286"/>
      <c r="CS681" s="286"/>
      <c r="CT681" s="286"/>
      <c r="CU681" s="286"/>
      <c r="CV681" s="286"/>
      <c r="CW681" s="286"/>
      <c r="CX681" s="286"/>
      <c r="CY681" s="286"/>
      <c r="CZ681" s="286"/>
      <c r="DA681" s="286"/>
      <c r="DB681" s="286"/>
      <c r="DC681" s="286"/>
      <c r="DD681" s="286"/>
      <c r="DE681" s="286"/>
      <c r="DF681" s="286"/>
      <c r="DG681" s="286"/>
      <c r="DH681" s="286"/>
      <c r="DI681" s="286"/>
      <c r="DJ681" s="286"/>
      <c r="DK681" s="286"/>
      <c r="DL681" s="286"/>
      <c r="DM681" s="286"/>
      <c r="DN681" s="286"/>
      <c r="DO681" s="286"/>
      <c r="DP681" s="286"/>
      <c r="DQ681" s="286"/>
      <c r="DR681" s="286"/>
      <c r="DS681" s="286"/>
      <c r="DT681" s="286"/>
      <c r="DU681" s="286"/>
      <c r="DV681" s="286"/>
      <c r="DW681" s="286"/>
      <c r="DX681" s="286"/>
      <c r="DY681" s="286"/>
      <c r="DZ681" s="286"/>
      <c r="EA681" s="286"/>
      <c r="EB681" s="286"/>
      <c r="EC681" s="286"/>
      <c r="ED681" s="286"/>
      <c r="EE681" s="286"/>
      <c r="EF681" s="286"/>
      <c r="EG681" s="286"/>
      <c r="EH681" s="286"/>
      <c r="EI681" s="286"/>
      <c r="EJ681" s="286"/>
      <c r="EK681" s="286"/>
      <c r="EL681" s="286"/>
      <c r="EM681" s="286"/>
      <c r="EN681" s="286"/>
      <c r="EO681" s="286"/>
      <c r="EP681" s="286"/>
      <c r="EQ681" s="286"/>
      <c r="ER681" s="286"/>
      <c r="ES681" s="286"/>
      <c r="ET681" s="286"/>
      <c r="EU681" s="286"/>
      <c r="EV681" s="286"/>
      <c r="EW681" s="286"/>
      <c r="EX681" s="286"/>
      <c r="EY681" s="286"/>
      <c r="EZ681" s="286"/>
      <c r="FA681" s="286"/>
      <c r="FB681" s="286"/>
      <c r="FC681" s="286"/>
      <c r="FD681" s="286"/>
      <c r="FE681" s="286"/>
      <c r="FF681" s="286"/>
      <c r="FG681" s="286"/>
      <c r="FH681" s="286"/>
      <c r="FI681" s="286"/>
      <c r="FJ681" s="286"/>
      <c r="FK681" s="286"/>
      <c r="FL681" s="286"/>
      <c r="FM681" s="286"/>
      <c r="FN681" s="286"/>
      <c r="FO681" s="286"/>
      <c r="FP681" s="286"/>
      <c r="FQ681" s="286"/>
      <c r="FR681" s="286"/>
      <c r="FS681" s="286"/>
    </row>
    <row r="682" spans="1:175">
      <c r="A682" s="212" t="s">
        <v>3159</v>
      </c>
      <c r="B682" s="212" t="s">
        <v>3160</v>
      </c>
      <c r="C682" s="212" t="s">
        <v>3172</v>
      </c>
      <c r="D682" s="212" t="s">
        <v>3861</v>
      </c>
      <c r="E682" s="212" t="s">
        <v>3866</v>
      </c>
      <c r="F682" s="278">
        <v>82728</v>
      </c>
      <c r="G682" s="278">
        <v>1047032</v>
      </c>
      <c r="H682" s="287">
        <f t="shared" si="10"/>
        <v>4.8171402593234971</v>
      </c>
      <c r="I682" s="286">
        <v>4288</v>
      </c>
      <c r="J682" s="286">
        <v>50437</v>
      </c>
      <c r="K682" s="286">
        <v>11740</v>
      </c>
      <c r="L682" s="286">
        <v>38665</v>
      </c>
      <c r="M682" s="286">
        <v>41050</v>
      </c>
      <c r="N682" s="286">
        <v>6729</v>
      </c>
      <c r="O682" s="286">
        <v>34306</v>
      </c>
      <c r="P682" s="286">
        <v>4248</v>
      </c>
      <c r="Q682" s="286">
        <v>50084</v>
      </c>
      <c r="R682" s="286">
        <v>11653</v>
      </c>
      <c r="S682" s="286">
        <v>38399</v>
      </c>
      <c r="T682" s="286">
        <v>40713</v>
      </c>
      <c r="U682" s="286">
        <v>6646</v>
      </c>
      <c r="V682" s="286">
        <v>34052</v>
      </c>
      <c r="W682" s="286"/>
      <c r="X682" s="286"/>
      <c r="Y682" s="286"/>
      <c r="Z682" s="286"/>
      <c r="AA682" s="286"/>
      <c r="AB682" s="286"/>
      <c r="AC682" s="286"/>
      <c r="AD682" s="286"/>
      <c r="AE682" s="286"/>
      <c r="AF682" s="286"/>
      <c r="AG682" s="286"/>
      <c r="AH682" s="286"/>
      <c r="AI682" s="286"/>
      <c r="AJ682" s="286"/>
      <c r="AK682" s="286"/>
      <c r="AL682" s="286"/>
      <c r="AM682" s="286"/>
      <c r="AN682" s="286"/>
      <c r="AO682" s="286"/>
      <c r="AP682" s="286"/>
      <c r="AQ682" s="286"/>
      <c r="AR682" s="286"/>
      <c r="AS682" s="286"/>
      <c r="AT682" s="286"/>
      <c r="AU682" s="286"/>
      <c r="AV682" s="286"/>
      <c r="AW682" s="286"/>
      <c r="AX682" s="286"/>
      <c r="AY682" s="286"/>
      <c r="AZ682" s="286"/>
      <c r="BA682" s="286"/>
      <c r="BB682" s="286"/>
      <c r="BC682" s="286"/>
      <c r="BD682" s="286"/>
      <c r="BE682" s="286"/>
      <c r="BF682" s="286"/>
      <c r="BG682" s="286"/>
      <c r="BH682" s="286"/>
      <c r="BI682" s="286"/>
      <c r="BJ682" s="286"/>
      <c r="BK682" s="286"/>
      <c r="BL682" s="286"/>
      <c r="BM682" s="286"/>
      <c r="BN682" s="286"/>
      <c r="BO682" s="286"/>
      <c r="BP682" s="286"/>
      <c r="BQ682" s="286"/>
      <c r="BR682" s="286"/>
      <c r="BS682" s="286"/>
      <c r="BT682" s="286"/>
      <c r="BU682" s="286"/>
      <c r="BV682" s="286"/>
      <c r="BW682" s="286"/>
      <c r="BX682" s="286"/>
      <c r="BY682" s="286"/>
      <c r="BZ682" s="286"/>
      <c r="CA682" s="286"/>
      <c r="CB682" s="286"/>
      <c r="CC682" s="286"/>
      <c r="CD682" s="286"/>
      <c r="CE682" s="286"/>
      <c r="CF682" s="286"/>
      <c r="CG682" s="286"/>
      <c r="CH682" s="286"/>
      <c r="CI682" s="286"/>
      <c r="CJ682" s="286"/>
      <c r="CK682" s="286"/>
      <c r="CL682" s="286"/>
      <c r="CM682" s="286"/>
      <c r="CN682" s="286"/>
      <c r="CO682" s="286"/>
      <c r="CP682" s="286"/>
      <c r="CQ682" s="286"/>
      <c r="CR682" s="286"/>
      <c r="CS682" s="286"/>
      <c r="CT682" s="286"/>
      <c r="CU682" s="286"/>
      <c r="CV682" s="286"/>
      <c r="CW682" s="286"/>
      <c r="CX682" s="286"/>
      <c r="CY682" s="286"/>
      <c r="CZ682" s="286"/>
      <c r="DA682" s="286"/>
      <c r="DB682" s="286"/>
      <c r="DC682" s="286"/>
      <c r="DD682" s="286"/>
      <c r="DE682" s="286"/>
      <c r="DF682" s="286"/>
      <c r="DG682" s="286"/>
      <c r="DH682" s="286"/>
      <c r="DI682" s="286"/>
      <c r="DJ682" s="286"/>
      <c r="DK682" s="286"/>
      <c r="DL682" s="286"/>
      <c r="DM682" s="286"/>
      <c r="DN682" s="286"/>
      <c r="DO682" s="286"/>
      <c r="DP682" s="286"/>
      <c r="DQ682" s="286"/>
      <c r="DR682" s="286"/>
      <c r="DS682" s="286"/>
      <c r="DT682" s="286"/>
      <c r="DU682" s="286"/>
      <c r="DV682" s="286"/>
      <c r="DW682" s="286"/>
      <c r="DX682" s="286"/>
      <c r="DY682" s="286"/>
      <c r="DZ682" s="286"/>
      <c r="EA682" s="286"/>
      <c r="EB682" s="286"/>
      <c r="EC682" s="286"/>
      <c r="ED682" s="286"/>
      <c r="EE682" s="286"/>
      <c r="EF682" s="286"/>
      <c r="EG682" s="286"/>
      <c r="EH682" s="286"/>
      <c r="EI682" s="286"/>
      <c r="EJ682" s="286"/>
      <c r="EK682" s="286"/>
      <c r="EL682" s="286"/>
      <c r="EM682" s="286"/>
      <c r="EN682" s="286"/>
      <c r="EO682" s="286"/>
      <c r="EP682" s="286"/>
      <c r="EQ682" s="286"/>
      <c r="ER682" s="286"/>
      <c r="ES682" s="286"/>
      <c r="ET682" s="286"/>
      <c r="EU682" s="286"/>
      <c r="EV682" s="286"/>
      <c r="EW682" s="286"/>
      <c r="EX682" s="286"/>
      <c r="EY682" s="286"/>
      <c r="EZ682" s="286"/>
      <c r="FA682" s="286"/>
      <c r="FB682" s="286"/>
      <c r="FC682" s="286"/>
      <c r="FD682" s="286"/>
      <c r="FE682" s="286"/>
      <c r="FF682" s="286"/>
      <c r="FG682" s="286"/>
      <c r="FH682" s="286"/>
      <c r="FI682" s="286"/>
      <c r="FJ682" s="286"/>
      <c r="FK682" s="286"/>
      <c r="FL682" s="286"/>
      <c r="FM682" s="286"/>
      <c r="FN682" s="286"/>
      <c r="FO682" s="286"/>
      <c r="FP682" s="286"/>
      <c r="FQ682" s="286"/>
      <c r="FR682" s="286"/>
      <c r="FS682" s="286"/>
    </row>
    <row r="683" spans="1:175">
      <c r="A683" s="212" t="s">
        <v>3159</v>
      </c>
      <c r="B683" s="212" t="s">
        <v>3160</v>
      </c>
      <c r="C683" s="212" t="s">
        <v>3172</v>
      </c>
      <c r="D683" s="212" t="s">
        <v>3861</v>
      </c>
      <c r="E683" s="212" t="s">
        <v>3867</v>
      </c>
      <c r="F683" s="278">
        <v>64655</v>
      </c>
      <c r="G683" s="278">
        <v>456159</v>
      </c>
      <c r="H683" s="287">
        <f t="shared" si="10"/>
        <v>4.6624093791857657</v>
      </c>
      <c r="I683" s="286">
        <v>2822</v>
      </c>
      <c r="J683" s="286">
        <v>21268</v>
      </c>
      <c r="K683" s="286">
        <v>5190</v>
      </c>
      <c r="L683" s="286">
        <v>16074</v>
      </c>
      <c r="M683" s="286">
        <v>16715</v>
      </c>
      <c r="N683" s="286">
        <v>2262</v>
      </c>
      <c r="O683" s="286">
        <v>14450</v>
      </c>
      <c r="P683" s="286">
        <v>2817</v>
      </c>
      <c r="Q683" s="286">
        <v>21234</v>
      </c>
      <c r="R683" s="286">
        <v>5183</v>
      </c>
      <c r="S683" s="286">
        <v>16047</v>
      </c>
      <c r="T683" s="286">
        <v>16683</v>
      </c>
      <c r="U683" s="286">
        <v>2255</v>
      </c>
      <c r="V683" s="286">
        <v>14425</v>
      </c>
      <c r="W683" s="286"/>
      <c r="X683" s="286"/>
      <c r="Y683" s="286"/>
      <c r="Z683" s="286"/>
      <c r="AA683" s="286"/>
      <c r="AB683" s="286"/>
      <c r="AC683" s="286"/>
      <c r="AD683" s="286"/>
      <c r="AE683" s="286"/>
      <c r="AF683" s="286"/>
      <c r="AG683" s="286"/>
      <c r="AH683" s="286"/>
      <c r="AI683" s="286"/>
      <c r="AJ683" s="286"/>
      <c r="AK683" s="286"/>
      <c r="AL683" s="286"/>
      <c r="AM683" s="286"/>
      <c r="AN683" s="286"/>
      <c r="AO683" s="286"/>
      <c r="AP683" s="286"/>
      <c r="AQ683" s="286"/>
      <c r="AR683" s="286"/>
      <c r="AS683" s="286"/>
      <c r="AT683" s="286"/>
      <c r="AU683" s="286"/>
      <c r="AV683" s="286"/>
      <c r="AW683" s="286"/>
      <c r="AX683" s="286"/>
      <c r="AY683" s="286"/>
      <c r="AZ683" s="286"/>
      <c r="BA683" s="286"/>
      <c r="BB683" s="286"/>
      <c r="BC683" s="286"/>
      <c r="BD683" s="286"/>
      <c r="BE683" s="286"/>
      <c r="BF683" s="286"/>
      <c r="BG683" s="286"/>
      <c r="BH683" s="286"/>
      <c r="BI683" s="286"/>
      <c r="BJ683" s="286"/>
      <c r="BK683" s="286"/>
      <c r="BL683" s="286"/>
      <c r="BM683" s="286"/>
      <c r="BN683" s="286"/>
      <c r="BO683" s="286"/>
      <c r="BP683" s="286"/>
      <c r="BQ683" s="286"/>
      <c r="BR683" s="286"/>
      <c r="BS683" s="286"/>
      <c r="BT683" s="286"/>
      <c r="BU683" s="286"/>
      <c r="BV683" s="286"/>
      <c r="BW683" s="286"/>
      <c r="BX683" s="286"/>
      <c r="BY683" s="286"/>
      <c r="BZ683" s="286"/>
      <c r="CA683" s="286"/>
      <c r="CB683" s="286"/>
      <c r="CC683" s="286"/>
      <c r="CD683" s="286"/>
      <c r="CE683" s="286"/>
      <c r="CF683" s="286"/>
      <c r="CG683" s="286"/>
      <c r="CH683" s="286"/>
      <c r="CI683" s="286"/>
      <c r="CJ683" s="286"/>
      <c r="CK683" s="286"/>
      <c r="CL683" s="286"/>
      <c r="CM683" s="286"/>
      <c r="CN683" s="286"/>
      <c r="CO683" s="286"/>
      <c r="CP683" s="286"/>
      <c r="CQ683" s="286"/>
      <c r="CR683" s="286"/>
      <c r="CS683" s="286"/>
      <c r="CT683" s="286"/>
      <c r="CU683" s="286"/>
      <c r="CV683" s="286"/>
      <c r="CW683" s="286"/>
      <c r="CX683" s="286"/>
      <c r="CY683" s="286"/>
      <c r="CZ683" s="286"/>
      <c r="DA683" s="286"/>
      <c r="DB683" s="286"/>
      <c r="DC683" s="286"/>
      <c r="DD683" s="286"/>
      <c r="DE683" s="286"/>
      <c r="DF683" s="286"/>
      <c r="DG683" s="286"/>
      <c r="DH683" s="286"/>
      <c r="DI683" s="286"/>
      <c r="DJ683" s="286"/>
      <c r="DK683" s="286"/>
      <c r="DL683" s="286"/>
      <c r="DM683" s="286"/>
      <c r="DN683" s="286"/>
      <c r="DO683" s="286"/>
      <c r="DP683" s="286"/>
      <c r="DQ683" s="286"/>
      <c r="DR683" s="286"/>
      <c r="DS683" s="286"/>
      <c r="DT683" s="286"/>
      <c r="DU683" s="286"/>
      <c r="DV683" s="286"/>
      <c r="DW683" s="286"/>
      <c r="DX683" s="286"/>
      <c r="DY683" s="286"/>
      <c r="DZ683" s="286"/>
      <c r="EA683" s="286"/>
      <c r="EB683" s="286"/>
      <c r="EC683" s="286"/>
      <c r="ED683" s="286"/>
      <c r="EE683" s="286"/>
      <c r="EF683" s="286"/>
      <c r="EG683" s="286"/>
      <c r="EH683" s="286"/>
      <c r="EI683" s="286"/>
      <c r="EJ683" s="286"/>
      <c r="EK683" s="286"/>
      <c r="EL683" s="286"/>
      <c r="EM683" s="286"/>
      <c r="EN683" s="286"/>
      <c r="EO683" s="286"/>
      <c r="EP683" s="286"/>
      <c r="EQ683" s="286"/>
      <c r="ER683" s="286"/>
      <c r="ES683" s="286"/>
      <c r="ET683" s="286"/>
      <c r="EU683" s="286"/>
      <c r="EV683" s="286"/>
      <c r="EW683" s="286"/>
      <c r="EX683" s="286"/>
      <c r="EY683" s="286"/>
      <c r="EZ683" s="286"/>
      <c r="FA683" s="286"/>
      <c r="FB683" s="286"/>
      <c r="FC683" s="286"/>
      <c r="FD683" s="286"/>
      <c r="FE683" s="286"/>
      <c r="FF683" s="286"/>
      <c r="FG683" s="286"/>
      <c r="FH683" s="286"/>
      <c r="FI683" s="286"/>
      <c r="FJ683" s="286"/>
      <c r="FK683" s="286"/>
      <c r="FL683" s="286"/>
      <c r="FM683" s="286"/>
      <c r="FN683" s="286"/>
      <c r="FO683" s="286"/>
      <c r="FP683" s="286"/>
      <c r="FQ683" s="286"/>
      <c r="FR683" s="286"/>
      <c r="FS683" s="286"/>
    </row>
    <row r="684" spans="1:175">
      <c r="A684" s="212" t="s">
        <v>3159</v>
      </c>
      <c r="B684" s="212" t="s">
        <v>3160</v>
      </c>
      <c r="C684" s="212" t="s">
        <v>3172</v>
      </c>
      <c r="D684" s="212" t="s">
        <v>3861</v>
      </c>
      <c r="E684" s="212" t="s">
        <v>3868</v>
      </c>
      <c r="F684" s="278">
        <v>8146</v>
      </c>
      <c r="G684" s="278">
        <v>97285</v>
      </c>
      <c r="H684" s="287">
        <f t="shared" si="10"/>
        <v>6.2815439173562222</v>
      </c>
      <c r="I684" s="286">
        <v>441</v>
      </c>
      <c r="J684" s="286">
        <v>6111</v>
      </c>
      <c r="K684" s="286">
        <v>1395</v>
      </c>
      <c r="L684" s="286">
        <v>4672</v>
      </c>
      <c r="M684" s="286">
        <v>5669</v>
      </c>
      <c r="N684" s="286">
        <v>1205</v>
      </c>
      <c r="O684" s="286">
        <v>4421</v>
      </c>
      <c r="P684" s="286">
        <v>435</v>
      </c>
      <c r="Q684" s="286">
        <v>5984</v>
      </c>
      <c r="R684" s="286">
        <v>1371</v>
      </c>
      <c r="S684" s="286">
        <v>4569</v>
      </c>
      <c r="T684" s="286">
        <v>5542</v>
      </c>
      <c r="U684" s="286">
        <v>1181</v>
      </c>
      <c r="V684" s="286">
        <v>4318</v>
      </c>
      <c r="W684" s="286"/>
      <c r="X684" s="286"/>
      <c r="Y684" s="286"/>
      <c r="Z684" s="286"/>
      <c r="AA684" s="286"/>
      <c r="AB684" s="286"/>
      <c r="AC684" s="286"/>
      <c r="AD684" s="286"/>
      <c r="AE684" s="286"/>
      <c r="AF684" s="286"/>
      <c r="AG684" s="286"/>
      <c r="AH684" s="286"/>
      <c r="AI684" s="286"/>
      <c r="AJ684" s="286"/>
      <c r="AK684" s="286"/>
      <c r="AL684" s="286"/>
      <c r="AM684" s="286"/>
      <c r="AN684" s="286"/>
      <c r="AO684" s="286"/>
      <c r="AP684" s="286"/>
      <c r="AQ684" s="286"/>
      <c r="AR684" s="286"/>
      <c r="AS684" s="286"/>
      <c r="AT684" s="286"/>
      <c r="AU684" s="286"/>
      <c r="AV684" s="286"/>
      <c r="AW684" s="286"/>
      <c r="AX684" s="286"/>
      <c r="AY684" s="286"/>
      <c r="AZ684" s="286"/>
      <c r="BA684" s="286"/>
      <c r="BB684" s="286"/>
      <c r="BC684" s="286"/>
      <c r="BD684" s="286"/>
      <c r="BE684" s="286"/>
      <c r="BF684" s="286"/>
      <c r="BG684" s="286"/>
      <c r="BH684" s="286"/>
      <c r="BI684" s="286"/>
      <c r="BJ684" s="286"/>
      <c r="BK684" s="286"/>
      <c r="BL684" s="286"/>
      <c r="BM684" s="286"/>
      <c r="BN684" s="286"/>
      <c r="BO684" s="286"/>
      <c r="BP684" s="286"/>
      <c r="BQ684" s="286"/>
      <c r="BR684" s="286"/>
      <c r="BS684" s="286"/>
      <c r="BT684" s="286"/>
      <c r="BU684" s="286"/>
      <c r="BV684" s="286"/>
      <c r="BW684" s="286"/>
      <c r="BX684" s="286"/>
      <c r="BY684" s="286"/>
      <c r="BZ684" s="286"/>
      <c r="CA684" s="286"/>
      <c r="CB684" s="286"/>
      <c r="CC684" s="286"/>
      <c r="CD684" s="286"/>
      <c r="CE684" s="286"/>
      <c r="CF684" s="286"/>
      <c r="CG684" s="286"/>
      <c r="CH684" s="286"/>
      <c r="CI684" s="286"/>
      <c r="CJ684" s="286"/>
      <c r="CK684" s="286"/>
      <c r="CL684" s="286"/>
      <c r="CM684" s="286"/>
      <c r="CN684" s="286"/>
      <c r="CO684" s="286"/>
      <c r="CP684" s="286"/>
      <c r="CQ684" s="286"/>
      <c r="CR684" s="286"/>
      <c r="CS684" s="286"/>
      <c r="CT684" s="286"/>
      <c r="CU684" s="286"/>
      <c r="CV684" s="286"/>
      <c r="CW684" s="286"/>
      <c r="CX684" s="286"/>
      <c r="CY684" s="286"/>
      <c r="CZ684" s="286"/>
      <c r="DA684" s="286"/>
      <c r="DB684" s="286"/>
      <c r="DC684" s="286"/>
      <c r="DD684" s="286"/>
      <c r="DE684" s="286"/>
      <c r="DF684" s="286"/>
      <c r="DG684" s="286"/>
      <c r="DH684" s="286"/>
      <c r="DI684" s="286"/>
      <c r="DJ684" s="286"/>
      <c r="DK684" s="286"/>
      <c r="DL684" s="286"/>
      <c r="DM684" s="286"/>
      <c r="DN684" s="286"/>
      <c r="DO684" s="286"/>
      <c r="DP684" s="286"/>
      <c r="DQ684" s="286"/>
      <c r="DR684" s="286"/>
      <c r="DS684" s="286"/>
      <c r="DT684" s="286"/>
      <c r="DU684" s="286"/>
      <c r="DV684" s="286"/>
      <c r="DW684" s="286"/>
      <c r="DX684" s="286"/>
      <c r="DY684" s="286"/>
      <c r="DZ684" s="286"/>
      <c r="EA684" s="286"/>
      <c r="EB684" s="286"/>
      <c r="EC684" s="286"/>
      <c r="ED684" s="286"/>
      <c r="EE684" s="286"/>
      <c r="EF684" s="286"/>
      <c r="EG684" s="286"/>
      <c r="EH684" s="286"/>
      <c r="EI684" s="286"/>
      <c r="EJ684" s="286"/>
      <c r="EK684" s="286"/>
      <c r="EL684" s="286"/>
      <c r="EM684" s="286"/>
      <c r="EN684" s="286"/>
      <c r="EO684" s="286"/>
      <c r="EP684" s="286"/>
      <c r="EQ684" s="286"/>
      <c r="ER684" s="286"/>
      <c r="ES684" s="286"/>
      <c r="ET684" s="286"/>
      <c r="EU684" s="286"/>
      <c r="EV684" s="286"/>
      <c r="EW684" s="286"/>
      <c r="EX684" s="286"/>
      <c r="EY684" s="286"/>
      <c r="EZ684" s="286"/>
      <c r="FA684" s="286"/>
      <c r="FB684" s="286"/>
      <c r="FC684" s="286"/>
      <c r="FD684" s="286"/>
      <c r="FE684" s="286"/>
      <c r="FF684" s="286"/>
      <c r="FG684" s="286"/>
      <c r="FH684" s="286"/>
      <c r="FI684" s="286"/>
      <c r="FJ684" s="286"/>
      <c r="FK684" s="286"/>
      <c r="FL684" s="286"/>
      <c r="FM684" s="286"/>
      <c r="FN684" s="286"/>
      <c r="FO684" s="286"/>
      <c r="FP684" s="286"/>
      <c r="FQ684" s="286"/>
      <c r="FR684" s="286"/>
      <c r="FS684" s="286"/>
    </row>
    <row r="685" spans="1:175">
      <c r="A685" s="212" t="s">
        <v>3159</v>
      </c>
      <c r="B685" s="212" t="s">
        <v>3160</v>
      </c>
      <c r="C685" s="212" t="s">
        <v>3432</v>
      </c>
      <c r="D685" s="212" t="s">
        <v>3861</v>
      </c>
      <c r="E685" s="212" t="s">
        <v>3869</v>
      </c>
      <c r="F685" s="278">
        <v>503</v>
      </c>
      <c r="G685" s="278">
        <v>1632</v>
      </c>
      <c r="H685" s="287">
        <f t="shared" si="10"/>
        <v>4.4730392156862742</v>
      </c>
      <c r="I685" s="286">
        <v>17</v>
      </c>
      <c r="J685" s="286">
        <v>73</v>
      </c>
      <c r="K685" s="286">
        <v>2</v>
      </c>
      <c r="L685" s="286">
        <v>71</v>
      </c>
      <c r="M685" s="286">
        <v>42</v>
      </c>
      <c r="N685" s="286">
        <v>0</v>
      </c>
      <c r="O685" s="286">
        <v>42</v>
      </c>
      <c r="P685" s="286">
        <v>17</v>
      </c>
      <c r="Q685" s="286">
        <v>73</v>
      </c>
      <c r="R685" s="286">
        <v>2</v>
      </c>
      <c r="S685" s="286">
        <v>71</v>
      </c>
      <c r="T685" s="286">
        <v>42</v>
      </c>
      <c r="U685" s="286">
        <v>0</v>
      </c>
      <c r="V685" s="286">
        <v>42</v>
      </c>
      <c r="W685" s="286"/>
      <c r="X685" s="286"/>
      <c r="Y685" s="286"/>
      <c r="Z685" s="286"/>
      <c r="AA685" s="286"/>
      <c r="AB685" s="286"/>
      <c r="AC685" s="286"/>
      <c r="AD685" s="286"/>
      <c r="AE685" s="286"/>
      <c r="AF685" s="286"/>
      <c r="AG685" s="286"/>
      <c r="AH685" s="286"/>
      <c r="AI685" s="286"/>
      <c r="AJ685" s="286"/>
      <c r="AK685" s="286"/>
      <c r="AL685" s="286"/>
      <c r="AM685" s="286"/>
      <c r="AN685" s="286"/>
      <c r="AO685" s="286"/>
      <c r="AP685" s="286"/>
      <c r="AQ685" s="286"/>
      <c r="AR685" s="286"/>
      <c r="AS685" s="286"/>
      <c r="AT685" s="286"/>
      <c r="AU685" s="286"/>
      <c r="AV685" s="286"/>
      <c r="AW685" s="286"/>
      <c r="AX685" s="286"/>
      <c r="AY685" s="286"/>
      <c r="AZ685" s="286"/>
      <c r="BA685" s="286"/>
      <c r="BB685" s="286"/>
      <c r="BC685" s="286"/>
      <c r="BD685" s="286"/>
      <c r="BE685" s="286"/>
      <c r="BF685" s="286"/>
      <c r="BG685" s="286"/>
      <c r="BH685" s="286"/>
      <c r="BI685" s="286"/>
      <c r="BJ685" s="286"/>
      <c r="BK685" s="286"/>
      <c r="BL685" s="286"/>
      <c r="BM685" s="286"/>
      <c r="BN685" s="286"/>
      <c r="BO685" s="286"/>
      <c r="BP685" s="286"/>
      <c r="BQ685" s="286"/>
      <c r="BR685" s="286"/>
      <c r="BS685" s="286"/>
      <c r="BT685" s="286"/>
      <c r="BU685" s="286"/>
      <c r="BV685" s="286"/>
      <c r="BW685" s="286"/>
      <c r="BX685" s="286"/>
      <c r="BY685" s="286"/>
      <c r="BZ685" s="286"/>
      <c r="CA685" s="286"/>
      <c r="CB685" s="286"/>
      <c r="CC685" s="286"/>
      <c r="CD685" s="286"/>
      <c r="CE685" s="286"/>
      <c r="CF685" s="286"/>
      <c r="CG685" s="286"/>
      <c r="CH685" s="286"/>
      <c r="CI685" s="286"/>
      <c r="CJ685" s="286"/>
      <c r="CK685" s="286"/>
      <c r="CL685" s="286"/>
      <c r="CM685" s="286"/>
      <c r="CN685" s="286"/>
      <c r="CO685" s="286"/>
      <c r="CP685" s="286"/>
      <c r="CQ685" s="286"/>
      <c r="CR685" s="286"/>
      <c r="CS685" s="286"/>
      <c r="CT685" s="286"/>
      <c r="CU685" s="286"/>
      <c r="CV685" s="286"/>
      <c r="CW685" s="286"/>
      <c r="CX685" s="286"/>
      <c r="CY685" s="286"/>
      <c r="CZ685" s="286"/>
      <c r="DA685" s="286"/>
      <c r="DB685" s="286"/>
      <c r="DC685" s="286"/>
      <c r="DD685" s="286"/>
      <c r="DE685" s="286"/>
      <c r="DF685" s="286"/>
      <c r="DG685" s="286"/>
      <c r="DH685" s="286"/>
      <c r="DI685" s="286"/>
      <c r="DJ685" s="286"/>
      <c r="DK685" s="286"/>
      <c r="DL685" s="286"/>
      <c r="DM685" s="286"/>
      <c r="DN685" s="286"/>
      <c r="DO685" s="286"/>
      <c r="DP685" s="286"/>
      <c r="DQ685" s="286"/>
      <c r="DR685" s="286"/>
      <c r="DS685" s="286"/>
      <c r="DT685" s="286"/>
      <c r="DU685" s="286"/>
      <c r="DV685" s="286"/>
      <c r="DW685" s="286"/>
      <c r="DX685" s="286"/>
      <c r="DY685" s="286"/>
      <c r="DZ685" s="286"/>
      <c r="EA685" s="286"/>
      <c r="EB685" s="286"/>
      <c r="EC685" s="286"/>
      <c r="ED685" s="286"/>
      <c r="EE685" s="286"/>
      <c r="EF685" s="286"/>
      <c r="EG685" s="286"/>
      <c r="EH685" s="286"/>
      <c r="EI685" s="286"/>
      <c r="EJ685" s="286"/>
      <c r="EK685" s="286"/>
      <c r="EL685" s="286"/>
      <c r="EM685" s="286"/>
      <c r="EN685" s="286"/>
      <c r="EO685" s="286"/>
      <c r="EP685" s="286"/>
      <c r="EQ685" s="286"/>
      <c r="ER685" s="286"/>
      <c r="ES685" s="286"/>
      <c r="ET685" s="286"/>
      <c r="EU685" s="286"/>
      <c r="EV685" s="286"/>
      <c r="EW685" s="286"/>
      <c r="EX685" s="286"/>
      <c r="EY685" s="286"/>
      <c r="EZ685" s="286"/>
      <c r="FA685" s="286"/>
      <c r="FB685" s="286"/>
      <c r="FC685" s="286"/>
      <c r="FD685" s="286"/>
      <c r="FE685" s="286"/>
      <c r="FF685" s="286"/>
      <c r="FG685" s="286"/>
      <c r="FH685" s="286"/>
      <c r="FI685" s="286"/>
      <c r="FJ685" s="286"/>
      <c r="FK685" s="286"/>
      <c r="FL685" s="286"/>
      <c r="FM685" s="286"/>
      <c r="FN685" s="286"/>
      <c r="FO685" s="286"/>
      <c r="FP685" s="286"/>
      <c r="FQ685" s="286"/>
      <c r="FR685" s="286"/>
      <c r="FS685" s="286"/>
    </row>
    <row r="686" spans="1:175">
      <c r="A686" s="212" t="s">
        <v>3159</v>
      </c>
      <c r="B686" s="212" t="s">
        <v>3160</v>
      </c>
      <c r="C686" s="212" t="s">
        <v>3432</v>
      </c>
      <c r="D686" s="212" t="s">
        <v>3861</v>
      </c>
      <c r="E686" s="212" t="s">
        <v>3870</v>
      </c>
      <c r="F686" s="278">
        <v>7643</v>
      </c>
      <c r="G686" s="278">
        <v>95653</v>
      </c>
      <c r="H686" s="287">
        <f t="shared" si="10"/>
        <v>6.3124000292724745</v>
      </c>
      <c r="I686" s="286">
        <v>424</v>
      </c>
      <c r="J686" s="286">
        <v>6038</v>
      </c>
      <c r="K686" s="286">
        <v>1393</v>
      </c>
      <c r="L686" s="286">
        <v>4601</v>
      </c>
      <c r="M686" s="286">
        <v>5627</v>
      </c>
      <c r="N686" s="286">
        <v>1205</v>
      </c>
      <c r="O686" s="286">
        <v>4379</v>
      </c>
      <c r="P686" s="286">
        <v>418</v>
      </c>
      <c r="Q686" s="286">
        <v>5911</v>
      </c>
      <c r="R686" s="286">
        <v>1369</v>
      </c>
      <c r="S686" s="286">
        <v>4498</v>
      </c>
      <c r="T686" s="286">
        <v>5500</v>
      </c>
      <c r="U686" s="286">
        <v>1181</v>
      </c>
      <c r="V686" s="286">
        <v>4276</v>
      </c>
      <c r="W686" s="286"/>
      <c r="X686" s="286"/>
      <c r="Y686" s="286"/>
      <c r="Z686" s="286"/>
      <c r="AA686" s="286"/>
      <c r="AB686" s="286"/>
      <c r="AC686" s="286"/>
      <c r="AD686" s="286"/>
      <c r="AE686" s="286"/>
      <c r="AF686" s="286"/>
      <c r="AG686" s="286"/>
      <c r="AH686" s="286"/>
      <c r="AI686" s="286"/>
      <c r="AJ686" s="286"/>
      <c r="AK686" s="286"/>
      <c r="AL686" s="286"/>
      <c r="AM686" s="286"/>
      <c r="AN686" s="286"/>
      <c r="AO686" s="286"/>
      <c r="AP686" s="286"/>
      <c r="AQ686" s="286"/>
      <c r="AR686" s="286"/>
      <c r="AS686" s="286"/>
      <c r="AT686" s="286"/>
      <c r="AU686" s="286"/>
      <c r="AV686" s="286"/>
      <c r="AW686" s="286"/>
      <c r="AX686" s="286"/>
      <c r="AY686" s="286"/>
      <c r="AZ686" s="286"/>
      <c r="BA686" s="286"/>
      <c r="BB686" s="286"/>
      <c r="BC686" s="286"/>
      <c r="BD686" s="286"/>
      <c r="BE686" s="286"/>
      <c r="BF686" s="286"/>
      <c r="BG686" s="286"/>
      <c r="BH686" s="286"/>
      <c r="BI686" s="286"/>
      <c r="BJ686" s="286"/>
      <c r="BK686" s="286"/>
      <c r="BL686" s="286"/>
      <c r="BM686" s="286"/>
      <c r="BN686" s="286"/>
      <c r="BO686" s="286"/>
      <c r="BP686" s="286"/>
      <c r="BQ686" s="286"/>
      <c r="BR686" s="286"/>
      <c r="BS686" s="286"/>
      <c r="BT686" s="286"/>
      <c r="BU686" s="286"/>
      <c r="BV686" s="286"/>
      <c r="BW686" s="286"/>
      <c r="BX686" s="286"/>
      <c r="BY686" s="286"/>
      <c r="BZ686" s="286"/>
      <c r="CA686" s="286"/>
      <c r="CB686" s="286"/>
      <c r="CC686" s="286"/>
      <c r="CD686" s="286"/>
      <c r="CE686" s="286"/>
      <c r="CF686" s="286"/>
      <c r="CG686" s="286"/>
      <c r="CH686" s="286"/>
      <c r="CI686" s="286"/>
      <c r="CJ686" s="286"/>
      <c r="CK686" s="286"/>
      <c r="CL686" s="286"/>
      <c r="CM686" s="286"/>
      <c r="CN686" s="286"/>
      <c r="CO686" s="286"/>
      <c r="CP686" s="286"/>
      <c r="CQ686" s="286"/>
      <c r="CR686" s="286"/>
      <c r="CS686" s="286"/>
      <c r="CT686" s="286"/>
      <c r="CU686" s="286"/>
      <c r="CV686" s="286"/>
      <c r="CW686" s="286"/>
      <c r="CX686" s="286"/>
      <c r="CY686" s="286"/>
      <c r="CZ686" s="286"/>
      <c r="DA686" s="286"/>
      <c r="DB686" s="286"/>
      <c r="DC686" s="286"/>
      <c r="DD686" s="286"/>
      <c r="DE686" s="286"/>
      <c r="DF686" s="286"/>
      <c r="DG686" s="286"/>
      <c r="DH686" s="286"/>
      <c r="DI686" s="286"/>
      <c r="DJ686" s="286"/>
      <c r="DK686" s="286"/>
      <c r="DL686" s="286"/>
      <c r="DM686" s="286"/>
      <c r="DN686" s="286"/>
      <c r="DO686" s="286"/>
      <c r="DP686" s="286"/>
      <c r="DQ686" s="286"/>
      <c r="DR686" s="286"/>
      <c r="DS686" s="286"/>
      <c r="DT686" s="286"/>
      <c r="DU686" s="286"/>
      <c r="DV686" s="286"/>
      <c r="DW686" s="286"/>
      <c r="DX686" s="286"/>
      <c r="DY686" s="286"/>
      <c r="DZ686" s="286"/>
      <c r="EA686" s="286"/>
      <c r="EB686" s="286"/>
      <c r="EC686" s="286"/>
      <c r="ED686" s="286"/>
      <c r="EE686" s="286"/>
      <c r="EF686" s="286"/>
      <c r="EG686" s="286"/>
      <c r="EH686" s="286"/>
      <c r="EI686" s="286"/>
      <c r="EJ686" s="286"/>
      <c r="EK686" s="286"/>
      <c r="EL686" s="286"/>
      <c r="EM686" s="286"/>
      <c r="EN686" s="286"/>
      <c r="EO686" s="286"/>
      <c r="EP686" s="286"/>
      <c r="EQ686" s="286"/>
      <c r="ER686" s="286"/>
      <c r="ES686" s="286"/>
      <c r="ET686" s="286"/>
      <c r="EU686" s="286"/>
      <c r="EV686" s="286"/>
      <c r="EW686" s="286"/>
      <c r="EX686" s="286"/>
      <c r="EY686" s="286"/>
      <c r="EZ686" s="286"/>
      <c r="FA686" s="286"/>
      <c r="FB686" s="286"/>
      <c r="FC686" s="286"/>
      <c r="FD686" s="286"/>
      <c r="FE686" s="286"/>
      <c r="FF686" s="286"/>
      <c r="FG686" s="286"/>
      <c r="FH686" s="286"/>
      <c r="FI686" s="286"/>
      <c r="FJ686" s="286"/>
      <c r="FK686" s="286"/>
      <c r="FL686" s="286"/>
      <c r="FM686" s="286"/>
      <c r="FN686" s="286"/>
      <c r="FO686" s="286"/>
      <c r="FP686" s="286"/>
      <c r="FQ686" s="286"/>
      <c r="FR686" s="286"/>
      <c r="FS686" s="286"/>
    </row>
    <row r="687" spans="1:175">
      <c r="A687" s="212" t="s">
        <v>3159</v>
      </c>
      <c r="B687" s="212" t="s">
        <v>3160</v>
      </c>
      <c r="C687" s="212" t="s">
        <v>3172</v>
      </c>
      <c r="D687" s="212" t="s">
        <v>3861</v>
      </c>
      <c r="E687" s="212" t="s">
        <v>3871</v>
      </c>
      <c r="F687" s="278">
        <v>78918</v>
      </c>
      <c r="G687" s="278">
        <v>203189</v>
      </c>
      <c r="H687" s="287">
        <f t="shared" si="10"/>
        <v>4.4948299366599569</v>
      </c>
      <c r="I687" s="286">
        <v>3361</v>
      </c>
      <c r="J687" s="286">
        <v>9133</v>
      </c>
      <c r="K687" s="286">
        <v>4624</v>
      </c>
      <c r="L687" s="286">
        <v>4496</v>
      </c>
      <c r="M687" s="286">
        <v>5236</v>
      </c>
      <c r="N687" s="286">
        <v>1815</v>
      </c>
      <c r="O687" s="286">
        <v>3413</v>
      </c>
      <c r="P687" s="286">
        <v>3361</v>
      </c>
      <c r="Q687" s="286">
        <v>9133</v>
      </c>
      <c r="R687" s="286">
        <v>4624</v>
      </c>
      <c r="S687" s="286">
        <v>4496</v>
      </c>
      <c r="T687" s="286">
        <v>5236</v>
      </c>
      <c r="U687" s="286">
        <v>1815</v>
      </c>
      <c r="V687" s="286">
        <v>3413</v>
      </c>
      <c r="W687" s="286"/>
      <c r="X687" s="286"/>
      <c r="Y687" s="286"/>
      <c r="Z687" s="286"/>
      <c r="AA687" s="286"/>
      <c r="AB687" s="286"/>
      <c r="AC687" s="286"/>
      <c r="AD687" s="286"/>
      <c r="AE687" s="286"/>
      <c r="AF687" s="286"/>
      <c r="AG687" s="286"/>
      <c r="AH687" s="286"/>
      <c r="AI687" s="286"/>
      <c r="AJ687" s="286"/>
      <c r="AK687" s="286"/>
      <c r="AL687" s="286"/>
      <c r="AM687" s="286"/>
      <c r="AN687" s="286"/>
      <c r="AO687" s="286"/>
      <c r="AP687" s="286"/>
      <c r="AQ687" s="286"/>
      <c r="AR687" s="286"/>
      <c r="AS687" s="286"/>
      <c r="AT687" s="286"/>
      <c r="AU687" s="286"/>
      <c r="AV687" s="286"/>
      <c r="AW687" s="286"/>
      <c r="AX687" s="286"/>
      <c r="AY687" s="286"/>
      <c r="AZ687" s="286"/>
      <c r="BA687" s="286"/>
      <c r="BB687" s="286"/>
      <c r="BC687" s="286"/>
      <c r="BD687" s="286"/>
      <c r="BE687" s="286"/>
      <c r="BF687" s="286"/>
      <c r="BG687" s="286"/>
      <c r="BH687" s="286"/>
      <c r="BI687" s="286"/>
      <c r="BJ687" s="286"/>
      <c r="BK687" s="286"/>
      <c r="BL687" s="286"/>
      <c r="BM687" s="286"/>
      <c r="BN687" s="286"/>
      <c r="BO687" s="286"/>
      <c r="BP687" s="286"/>
      <c r="BQ687" s="286"/>
      <c r="BR687" s="286"/>
      <c r="BS687" s="286"/>
      <c r="BT687" s="286"/>
      <c r="BU687" s="286"/>
      <c r="BV687" s="286"/>
      <c r="BW687" s="286"/>
      <c r="BX687" s="286"/>
      <c r="BY687" s="286"/>
      <c r="BZ687" s="286"/>
      <c r="CA687" s="286"/>
      <c r="CB687" s="286"/>
      <c r="CC687" s="286"/>
      <c r="CD687" s="286"/>
      <c r="CE687" s="286"/>
      <c r="CF687" s="286"/>
      <c r="CG687" s="286"/>
      <c r="CH687" s="286"/>
      <c r="CI687" s="286"/>
      <c r="CJ687" s="286"/>
      <c r="CK687" s="286"/>
      <c r="CL687" s="286"/>
      <c r="CM687" s="286"/>
      <c r="CN687" s="286"/>
      <c r="CO687" s="286"/>
      <c r="CP687" s="286"/>
      <c r="CQ687" s="286"/>
      <c r="CR687" s="286"/>
      <c r="CS687" s="286"/>
      <c r="CT687" s="286"/>
      <c r="CU687" s="286"/>
      <c r="CV687" s="286"/>
      <c r="CW687" s="286"/>
      <c r="CX687" s="286"/>
      <c r="CY687" s="286"/>
      <c r="CZ687" s="286"/>
      <c r="DA687" s="286"/>
      <c r="DB687" s="286"/>
      <c r="DC687" s="286"/>
      <c r="DD687" s="286"/>
      <c r="DE687" s="286"/>
      <c r="DF687" s="286"/>
      <c r="DG687" s="286"/>
      <c r="DH687" s="286"/>
      <c r="DI687" s="286"/>
      <c r="DJ687" s="286"/>
      <c r="DK687" s="286"/>
      <c r="DL687" s="286"/>
      <c r="DM687" s="286"/>
      <c r="DN687" s="286"/>
      <c r="DO687" s="286"/>
      <c r="DP687" s="286"/>
      <c r="DQ687" s="286"/>
      <c r="DR687" s="286"/>
      <c r="DS687" s="286"/>
      <c r="DT687" s="286"/>
      <c r="DU687" s="286"/>
      <c r="DV687" s="286"/>
      <c r="DW687" s="286"/>
      <c r="DX687" s="286"/>
      <c r="DY687" s="286"/>
      <c r="DZ687" s="286"/>
      <c r="EA687" s="286"/>
      <c r="EB687" s="286"/>
      <c r="EC687" s="286"/>
      <c r="ED687" s="286"/>
      <c r="EE687" s="286"/>
      <c r="EF687" s="286"/>
      <c r="EG687" s="286"/>
      <c r="EH687" s="286"/>
      <c r="EI687" s="286"/>
      <c r="EJ687" s="286"/>
      <c r="EK687" s="286"/>
      <c r="EL687" s="286"/>
      <c r="EM687" s="286"/>
      <c r="EN687" s="286"/>
      <c r="EO687" s="286"/>
      <c r="EP687" s="286"/>
      <c r="EQ687" s="286"/>
      <c r="ER687" s="286"/>
      <c r="ES687" s="286"/>
      <c r="ET687" s="286"/>
      <c r="EU687" s="286"/>
      <c r="EV687" s="286"/>
      <c r="EW687" s="286"/>
      <c r="EX687" s="286"/>
      <c r="EY687" s="286"/>
      <c r="EZ687" s="286"/>
      <c r="FA687" s="286"/>
      <c r="FB687" s="286"/>
      <c r="FC687" s="286"/>
      <c r="FD687" s="286"/>
      <c r="FE687" s="286"/>
      <c r="FF687" s="286"/>
      <c r="FG687" s="286"/>
      <c r="FH687" s="286"/>
      <c r="FI687" s="286"/>
      <c r="FJ687" s="286"/>
      <c r="FK687" s="286"/>
      <c r="FL687" s="286"/>
      <c r="FM687" s="286"/>
      <c r="FN687" s="286"/>
      <c r="FO687" s="286"/>
      <c r="FP687" s="286"/>
      <c r="FQ687" s="286"/>
      <c r="FR687" s="286"/>
      <c r="FS687" s="286"/>
    </row>
    <row r="688" spans="1:175">
      <c r="A688" s="212" t="s">
        <v>3159</v>
      </c>
      <c r="B688" s="212" t="s">
        <v>3160</v>
      </c>
      <c r="C688" s="212" t="s">
        <v>3172</v>
      </c>
      <c r="D688" s="212" t="s">
        <v>3861</v>
      </c>
      <c r="E688" s="212" t="s">
        <v>3872</v>
      </c>
      <c r="F688" s="278">
        <v>7399</v>
      </c>
      <c r="G688" s="278">
        <v>77692</v>
      </c>
      <c r="H688" s="287">
        <f t="shared" si="10"/>
        <v>3.2191216598877621</v>
      </c>
      <c r="I688" s="286">
        <v>285</v>
      </c>
      <c r="J688" s="286">
        <v>2501</v>
      </c>
      <c r="K688" s="286">
        <v>1198</v>
      </c>
      <c r="L688" s="286">
        <v>1293</v>
      </c>
      <c r="M688" s="286">
        <v>2179</v>
      </c>
      <c r="N688" s="286">
        <v>948</v>
      </c>
      <c r="O688" s="286">
        <v>1221</v>
      </c>
      <c r="P688" s="286">
        <v>285</v>
      </c>
      <c r="Q688" s="286">
        <v>2501</v>
      </c>
      <c r="R688" s="286">
        <v>1198</v>
      </c>
      <c r="S688" s="286">
        <v>1293</v>
      </c>
      <c r="T688" s="286">
        <v>2179</v>
      </c>
      <c r="U688" s="286">
        <v>948</v>
      </c>
      <c r="V688" s="286">
        <v>1221</v>
      </c>
      <c r="W688" s="286"/>
      <c r="X688" s="286"/>
      <c r="Y688" s="286"/>
      <c r="Z688" s="286"/>
      <c r="AA688" s="286"/>
      <c r="AB688" s="286"/>
      <c r="AC688" s="286"/>
      <c r="AD688" s="286"/>
      <c r="AE688" s="286"/>
      <c r="AF688" s="286"/>
      <c r="AG688" s="286"/>
      <c r="AH688" s="286"/>
      <c r="AI688" s="286"/>
      <c r="AJ688" s="286"/>
      <c r="AK688" s="286"/>
      <c r="AL688" s="286"/>
      <c r="AM688" s="286"/>
      <c r="AN688" s="286"/>
      <c r="AO688" s="286"/>
      <c r="AP688" s="286"/>
      <c r="AQ688" s="286"/>
      <c r="AR688" s="286"/>
      <c r="AS688" s="286"/>
      <c r="AT688" s="286"/>
      <c r="AU688" s="286"/>
      <c r="AV688" s="286"/>
      <c r="AW688" s="286"/>
      <c r="AX688" s="286"/>
      <c r="AY688" s="286"/>
      <c r="AZ688" s="286"/>
      <c r="BA688" s="286"/>
      <c r="BB688" s="286"/>
      <c r="BC688" s="286"/>
      <c r="BD688" s="286"/>
      <c r="BE688" s="286"/>
      <c r="BF688" s="286"/>
      <c r="BG688" s="286"/>
      <c r="BH688" s="286"/>
      <c r="BI688" s="286"/>
      <c r="BJ688" s="286"/>
      <c r="BK688" s="286"/>
      <c r="BL688" s="286"/>
      <c r="BM688" s="286"/>
      <c r="BN688" s="286"/>
      <c r="BO688" s="286"/>
      <c r="BP688" s="286"/>
      <c r="BQ688" s="286"/>
      <c r="BR688" s="286"/>
      <c r="BS688" s="286"/>
      <c r="BT688" s="286"/>
      <c r="BU688" s="286"/>
      <c r="BV688" s="286"/>
      <c r="BW688" s="286"/>
      <c r="BX688" s="286"/>
      <c r="BY688" s="286"/>
      <c r="BZ688" s="286"/>
      <c r="CA688" s="286"/>
      <c r="CB688" s="286"/>
      <c r="CC688" s="286"/>
      <c r="CD688" s="286"/>
      <c r="CE688" s="286"/>
      <c r="CF688" s="286"/>
      <c r="CG688" s="286"/>
      <c r="CH688" s="286"/>
      <c r="CI688" s="286"/>
      <c r="CJ688" s="286"/>
      <c r="CK688" s="286"/>
      <c r="CL688" s="286"/>
      <c r="CM688" s="286"/>
      <c r="CN688" s="286"/>
      <c r="CO688" s="286"/>
      <c r="CP688" s="286"/>
      <c r="CQ688" s="286"/>
      <c r="CR688" s="286"/>
      <c r="CS688" s="286"/>
      <c r="CT688" s="286"/>
      <c r="CU688" s="286"/>
      <c r="CV688" s="286"/>
      <c r="CW688" s="286"/>
      <c r="CX688" s="286"/>
      <c r="CY688" s="286"/>
      <c r="CZ688" s="286"/>
      <c r="DA688" s="286"/>
      <c r="DB688" s="286"/>
      <c r="DC688" s="286"/>
      <c r="DD688" s="286"/>
      <c r="DE688" s="286"/>
      <c r="DF688" s="286"/>
      <c r="DG688" s="286"/>
      <c r="DH688" s="286"/>
      <c r="DI688" s="286"/>
      <c r="DJ688" s="286"/>
      <c r="DK688" s="286"/>
      <c r="DL688" s="286"/>
      <c r="DM688" s="286"/>
      <c r="DN688" s="286"/>
      <c r="DO688" s="286"/>
      <c r="DP688" s="286"/>
      <c r="DQ688" s="286"/>
      <c r="DR688" s="286"/>
      <c r="DS688" s="286"/>
      <c r="DT688" s="286"/>
      <c r="DU688" s="286"/>
      <c r="DV688" s="286"/>
      <c r="DW688" s="286"/>
      <c r="DX688" s="286"/>
      <c r="DY688" s="286"/>
      <c r="DZ688" s="286"/>
      <c r="EA688" s="286"/>
      <c r="EB688" s="286"/>
      <c r="EC688" s="286"/>
      <c r="ED688" s="286"/>
      <c r="EE688" s="286"/>
      <c r="EF688" s="286"/>
      <c r="EG688" s="286"/>
      <c r="EH688" s="286"/>
      <c r="EI688" s="286"/>
      <c r="EJ688" s="286"/>
      <c r="EK688" s="286"/>
      <c r="EL688" s="286"/>
      <c r="EM688" s="286"/>
      <c r="EN688" s="286"/>
      <c r="EO688" s="286"/>
      <c r="EP688" s="286"/>
      <c r="EQ688" s="286"/>
      <c r="ER688" s="286"/>
      <c r="ES688" s="286"/>
      <c r="ET688" s="286"/>
      <c r="EU688" s="286"/>
      <c r="EV688" s="286"/>
      <c r="EW688" s="286"/>
      <c r="EX688" s="286"/>
      <c r="EY688" s="286"/>
      <c r="EZ688" s="286"/>
      <c r="FA688" s="286"/>
      <c r="FB688" s="286"/>
      <c r="FC688" s="286"/>
      <c r="FD688" s="286"/>
      <c r="FE688" s="286"/>
      <c r="FF688" s="286"/>
      <c r="FG688" s="286"/>
      <c r="FH688" s="286"/>
      <c r="FI688" s="286"/>
      <c r="FJ688" s="286"/>
      <c r="FK688" s="286"/>
      <c r="FL688" s="286"/>
      <c r="FM688" s="286"/>
      <c r="FN688" s="286"/>
      <c r="FO688" s="286"/>
      <c r="FP688" s="286"/>
      <c r="FQ688" s="286"/>
      <c r="FR688" s="286"/>
      <c r="FS688" s="286"/>
    </row>
    <row r="689" spans="1:175">
      <c r="A689" s="212" t="s">
        <v>3159</v>
      </c>
      <c r="B689" s="212" t="s">
        <v>3160</v>
      </c>
      <c r="C689" s="212" t="s">
        <v>3432</v>
      </c>
      <c r="D689" s="212" t="s">
        <v>3861</v>
      </c>
      <c r="E689" s="212" t="s">
        <v>3873</v>
      </c>
      <c r="F689" s="278">
        <v>5452</v>
      </c>
      <c r="G689" s="278">
        <v>25452</v>
      </c>
      <c r="H689" s="287">
        <f t="shared" si="10"/>
        <v>3.4967782492534969</v>
      </c>
      <c r="I689" s="286">
        <v>211</v>
      </c>
      <c r="J689" s="286">
        <v>890</v>
      </c>
      <c r="K689" s="286">
        <v>556</v>
      </c>
      <c r="L689" s="286">
        <v>324</v>
      </c>
      <c r="M689" s="286">
        <v>613</v>
      </c>
      <c r="N689" s="286">
        <v>334</v>
      </c>
      <c r="O689" s="286">
        <v>269</v>
      </c>
      <c r="P689" s="286">
        <v>211</v>
      </c>
      <c r="Q689" s="286">
        <v>890</v>
      </c>
      <c r="R689" s="286">
        <v>556</v>
      </c>
      <c r="S689" s="286">
        <v>324</v>
      </c>
      <c r="T689" s="286">
        <v>613</v>
      </c>
      <c r="U689" s="286">
        <v>334</v>
      </c>
      <c r="V689" s="286">
        <v>269</v>
      </c>
      <c r="W689" s="286"/>
      <c r="X689" s="286"/>
      <c r="Y689" s="286"/>
      <c r="Z689" s="286"/>
      <c r="AA689" s="286"/>
      <c r="AB689" s="286"/>
      <c r="AC689" s="286"/>
      <c r="AD689" s="286"/>
      <c r="AE689" s="286"/>
      <c r="AF689" s="286"/>
      <c r="AG689" s="286"/>
      <c r="AH689" s="286"/>
      <c r="AI689" s="286"/>
      <c r="AJ689" s="286"/>
      <c r="AK689" s="286"/>
      <c r="AL689" s="286"/>
      <c r="AM689" s="286"/>
      <c r="AN689" s="286"/>
      <c r="AO689" s="286"/>
      <c r="AP689" s="286"/>
      <c r="AQ689" s="286"/>
      <c r="AR689" s="286"/>
      <c r="AS689" s="286"/>
      <c r="AT689" s="286"/>
      <c r="AU689" s="286"/>
      <c r="AV689" s="286"/>
      <c r="AW689" s="286"/>
      <c r="AX689" s="286"/>
      <c r="AY689" s="286"/>
      <c r="AZ689" s="286"/>
      <c r="BA689" s="286"/>
      <c r="BB689" s="286"/>
      <c r="BC689" s="286"/>
      <c r="BD689" s="286"/>
      <c r="BE689" s="286"/>
      <c r="BF689" s="286"/>
      <c r="BG689" s="286"/>
      <c r="BH689" s="286"/>
      <c r="BI689" s="286"/>
      <c r="BJ689" s="286"/>
      <c r="BK689" s="286"/>
      <c r="BL689" s="286"/>
      <c r="BM689" s="286"/>
      <c r="BN689" s="286"/>
      <c r="BO689" s="286"/>
      <c r="BP689" s="286"/>
      <c r="BQ689" s="286"/>
      <c r="BR689" s="286"/>
      <c r="BS689" s="286"/>
      <c r="BT689" s="286"/>
      <c r="BU689" s="286"/>
      <c r="BV689" s="286"/>
      <c r="BW689" s="286"/>
      <c r="BX689" s="286"/>
      <c r="BY689" s="286"/>
      <c r="BZ689" s="286"/>
      <c r="CA689" s="286"/>
      <c r="CB689" s="286"/>
      <c r="CC689" s="286"/>
      <c r="CD689" s="286"/>
      <c r="CE689" s="286"/>
      <c r="CF689" s="286"/>
      <c r="CG689" s="286"/>
      <c r="CH689" s="286"/>
      <c r="CI689" s="286"/>
      <c r="CJ689" s="286"/>
      <c r="CK689" s="286"/>
      <c r="CL689" s="286"/>
      <c r="CM689" s="286"/>
      <c r="CN689" s="286"/>
      <c r="CO689" s="286"/>
      <c r="CP689" s="286"/>
      <c r="CQ689" s="286"/>
      <c r="CR689" s="286"/>
      <c r="CS689" s="286"/>
      <c r="CT689" s="286"/>
      <c r="CU689" s="286"/>
      <c r="CV689" s="286"/>
      <c r="CW689" s="286"/>
      <c r="CX689" s="286"/>
      <c r="CY689" s="286"/>
      <c r="CZ689" s="286"/>
      <c r="DA689" s="286"/>
      <c r="DB689" s="286"/>
      <c r="DC689" s="286"/>
      <c r="DD689" s="286"/>
      <c r="DE689" s="286"/>
      <c r="DF689" s="286"/>
      <c r="DG689" s="286"/>
      <c r="DH689" s="286"/>
      <c r="DI689" s="286"/>
      <c r="DJ689" s="286"/>
      <c r="DK689" s="286"/>
      <c r="DL689" s="286"/>
      <c r="DM689" s="286"/>
      <c r="DN689" s="286"/>
      <c r="DO689" s="286"/>
      <c r="DP689" s="286"/>
      <c r="DQ689" s="286"/>
      <c r="DR689" s="286"/>
      <c r="DS689" s="286"/>
      <c r="DT689" s="286"/>
      <c r="DU689" s="286"/>
      <c r="DV689" s="286"/>
      <c r="DW689" s="286"/>
      <c r="DX689" s="286"/>
      <c r="DY689" s="286"/>
      <c r="DZ689" s="286"/>
      <c r="EA689" s="286"/>
      <c r="EB689" s="286"/>
      <c r="EC689" s="286"/>
      <c r="ED689" s="286"/>
      <c r="EE689" s="286"/>
      <c r="EF689" s="286"/>
      <c r="EG689" s="286"/>
      <c r="EH689" s="286"/>
      <c r="EI689" s="286"/>
      <c r="EJ689" s="286"/>
      <c r="EK689" s="286"/>
      <c r="EL689" s="286"/>
      <c r="EM689" s="286"/>
      <c r="EN689" s="286"/>
      <c r="EO689" s="286"/>
      <c r="EP689" s="286"/>
      <c r="EQ689" s="286"/>
      <c r="ER689" s="286"/>
      <c r="ES689" s="286"/>
      <c r="ET689" s="286"/>
      <c r="EU689" s="286"/>
      <c r="EV689" s="286"/>
      <c r="EW689" s="286"/>
      <c r="EX689" s="286"/>
      <c r="EY689" s="286"/>
      <c r="EZ689" s="286"/>
      <c r="FA689" s="286"/>
      <c r="FB689" s="286"/>
      <c r="FC689" s="286"/>
      <c r="FD689" s="286"/>
      <c r="FE689" s="286"/>
      <c r="FF689" s="286"/>
      <c r="FG689" s="286"/>
      <c r="FH689" s="286"/>
      <c r="FI689" s="286"/>
      <c r="FJ689" s="286"/>
      <c r="FK689" s="286"/>
      <c r="FL689" s="286"/>
      <c r="FM689" s="286"/>
      <c r="FN689" s="286"/>
      <c r="FO689" s="286"/>
      <c r="FP689" s="286"/>
      <c r="FQ689" s="286"/>
      <c r="FR689" s="286"/>
      <c r="FS689" s="286"/>
    </row>
    <row r="690" spans="1:175">
      <c r="A690" s="212" t="s">
        <v>3159</v>
      </c>
      <c r="B690" s="212" t="s">
        <v>3160</v>
      </c>
      <c r="C690" s="212" t="s">
        <v>3432</v>
      </c>
      <c r="D690" s="212" t="s">
        <v>3861</v>
      </c>
      <c r="E690" s="212" t="s">
        <v>3874</v>
      </c>
      <c r="F690" s="278">
        <v>1947</v>
      </c>
      <c r="G690" s="278">
        <v>52240</v>
      </c>
      <c r="H690" s="287">
        <f t="shared" si="10"/>
        <v>3.0838437978560491</v>
      </c>
      <c r="I690" s="286">
        <v>74</v>
      </c>
      <c r="J690" s="286">
        <v>1611</v>
      </c>
      <c r="K690" s="286">
        <v>642</v>
      </c>
      <c r="L690" s="286">
        <v>969</v>
      </c>
      <c r="M690" s="286">
        <v>1566</v>
      </c>
      <c r="N690" s="286">
        <v>614</v>
      </c>
      <c r="O690" s="286">
        <v>952</v>
      </c>
      <c r="P690" s="286">
        <v>74</v>
      </c>
      <c r="Q690" s="286">
        <v>1611</v>
      </c>
      <c r="R690" s="286">
        <v>642</v>
      </c>
      <c r="S690" s="286">
        <v>969</v>
      </c>
      <c r="T690" s="286">
        <v>1566</v>
      </c>
      <c r="U690" s="286">
        <v>614</v>
      </c>
      <c r="V690" s="286">
        <v>952</v>
      </c>
      <c r="W690" s="286"/>
      <c r="X690" s="286"/>
      <c r="Y690" s="286"/>
      <c r="Z690" s="286"/>
      <c r="AA690" s="286"/>
      <c r="AB690" s="286"/>
      <c r="AC690" s="286"/>
      <c r="AD690" s="286"/>
      <c r="AE690" s="286"/>
      <c r="AF690" s="286"/>
      <c r="AG690" s="286"/>
      <c r="AH690" s="286"/>
      <c r="AI690" s="286"/>
      <c r="AJ690" s="286"/>
      <c r="AK690" s="286"/>
      <c r="AL690" s="286"/>
      <c r="AM690" s="286"/>
      <c r="AN690" s="286"/>
      <c r="AO690" s="286"/>
      <c r="AP690" s="286"/>
      <c r="AQ690" s="286"/>
      <c r="AR690" s="286"/>
      <c r="AS690" s="286"/>
      <c r="AT690" s="286"/>
      <c r="AU690" s="286"/>
      <c r="AV690" s="286"/>
      <c r="AW690" s="286"/>
      <c r="AX690" s="286"/>
      <c r="AY690" s="286"/>
      <c r="AZ690" s="286"/>
      <c r="BA690" s="286"/>
      <c r="BB690" s="286"/>
      <c r="BC690" s="286"/>
      <c r="BD690" s="286"/>
      <c r="BE690" s="286"/>
      <c r="BF690" s="286"/>
      <c r="BG690" s="286"/>
      <c r="BH690" s="286"/>
      <c r="BI690" s="286"/>
      <c r="BJ690" s="286"/>
      <c r="BK690" s="286"/>
      <c r="BL690" s="286"/>
      <c r="BM690" s="286"/>
      <c r="BN690" s="286"/>
      <c r="BO690" s="286"/>
      <c r="BP690" s="286"/>
      <c r="BQ690" s="286"/>
      <c r="BR690" s="286"/>
      <c r="BS690" s="286"/>
      <c r="BT690" s="286"/>
      <c r="BU690" s="286"/>
      <c r="BV690" s="286"/>
      <c r="BW690" s="286"/>
      <c r="BX690" s="286"/>
      <c r="BY690" s="286"/>
      <c r="BZ690" s="286"/>
      <c r="CA690" s="286"/>
      <c r="CB690" s="286"/>
      <c r="CC690" s="286"/>
      <c r="CD690" s="286"/>
      <c r="CE690" s="286"/>
      <c r="CF690" s="286"/>
      <c r="CG690" s="286"/>
      <c r="CH690" s="286"/>
      <c r="CI690" s="286"/>
      <c r="CJ690" s="286"/>
      <c r="CK690" s="286"/>
      <c r="CL690" s="286"/>
      <c r="CM690" s="286"/>
      <c r="CN690" s="286"/>
      <c r="CO690" s="286"/>
      <c r="CP690" s="286"/>
      <c r="CQ690" s="286"/>
      <c r="CR690" s="286"/>
      <c r="CS690" s="286"/>
      <c r="CT690" s="286"/>
      <c r="CU690" s="286"/>
      <c r="CV690" s="286"/>
      <c r="CW690" s="286"/>
      <c r="CX690" s="286"/>
      <c r="CY690" s="286"/>
      <c r="CZ690" s="286"/>
      <c r="DA690" s="286"/>
      <c r="DB690" s="286"/>
      <c r="DC690" s="286"/>
      <c r="DD690" s="286"/>
      <c r="DE690" s="286"/>
      <c r="DF690" s="286"/>
      <c r="DG690" s="286"/>
      <c r="DH690" s="286"/>
      <c r="DI690" s="286"/>
      <c r="DJ690" s="286"/>
      <c r="DK690" s="286"/>
      <c r="DL690" s="286"/>
      <c r="DM690" s="286"/>
      <c r="DN690" s="286"/>
      <c r="DO690" s="286"/>
      <c r="DP690" s="286"/>
      <c r="DQ690" s="286"/>
      <c r="DR690" s="286"/>
      <c r="DS690" s="286"/>
      <c r="DT690" s="286"/>
      <c r="DU690" s="286"/>
      <c r="DV690" s="286"/>
      <c r="DW690" s="286"/>
      <c r="DX690" s="286"/>
      <c r="DY690" s="286"/>
      <c r="DZ690" s="286"/>
      <c r="EA690" s="286"/>
      <c r="EB690" s="286"/>
      <c r="EC690" s="286"/>
      <c r="ED690" s="286"/>
      <c r="EE690" s="286"/>
      <c r="EF690" s="286"/>
      <c r="EG690" s="286"/>
      <c r="EH690" s="286"/>
      <c r="EI690" s="286"/>
      <c r="EJ690" s="286"/>
      <c r="EK690" s="286"/>
      <c r="EL690" s="286"/>
      <c r="EM690" s="286"/>
      <c r="EN690" s="286"/>
      <c r="EO690" s="286"/>
      <c r="EP690" s="286"/>
      <c r="EQ690" s="286"/>
      <c r="ER690" s="286"/>
      <c r="ES690" s="286"/>
      <c r="ET690" s="286"/>
      <c r="EU690" s="286"/>
      <c r="EV690" s="286"/>
      <c r="EW690" s="286"/>
      <c r="EX690" s="286"/>
      <c r="EY690" s="286"/>
      <c r="EZ690" s="286"/>
      <c r="FA690" s="286"/>
      <c r="FB690" s="286"/>
      <c r="FC690" s="286"/>
      <c r="FD690" s="286"/>
      <c r="FE690" s="286"/>
      <c r="FF690" s="286"/>
      <c r="FG690" s="286"/>
      <c r="FH690" s="286"/>
      <c r="FI690" s="286"/>
      <c r="FJ690" s="286"/>
      <c r="FK690" s="286"/>
      <c r="FL690" s="286"/>
      <c r="FM690" s="286"/>
      <c r="FN690" s="286"/>
      <c r="FO690" s="286"/>
      <c r="FP690" s="286"/>
      <c r="FQ690" s="286"/>
      <c r="FR690" s="286"/>
      <c r="FS690" s="286"/>
    </row>
    <row r="691" spans="1:175">
      <c r="A691" s="212" t="s">
        <v>3159</v>
      </c>
      <c r="B691" s="212" t="s">
        <v>3160</v>
      </c>
      <c r="C691" s="212" t="s">
        <v>3170</v>
      </c>
      <c r="D691" s="212" t="s">
        <v>3861</v>
      </c>
      <c r="E691" s="212" t="s">
        <v>3875</v>
      </c>
      <c r="F691" s="278">
        <v>5171</v>
      </c>
      <c r="G691" s="278">
        <v>166904</v>
      </c>
      <c r="H691" s="287">
        <f t="shared" si="10"/>
        <v>3.4612711498825672</v>
      </c>
      <c r="I691" s="286">
        <v>200</v>
      </c>
      <c r="J691" s="286">
        <v>5777</v>
      </c>
      <c r="K691" s="286">
        <v>1676</v>
      </c>
      <c r="L691" s="286">
        <v>4029</v>
      </c>
      <c r="M691" s="286">
        <v>5202</v>
      </c>
      <c r="N691" s="286">
        <v>1539</v>
      </c>
      <c r="O691" s="286">
        <v>3591</v>
      </c>
      <c r="P691" s="286">
        <v>108</v>
      </c>
      <c r="Q691" s="286">
        <v>2969</v>
      </c>
      <c r="R691" s="286">
        <v>844</v>
      </c>
      <c r="S691" s="286">
        <v>2053</v>
      </c>
      <c r="T691" s="286">
        <v>2437</v>
      </c>
      <c r="U691" s="286">
        <v>708</v>
      </c>
      <c r="V691" s="286">
        <v>1657</v>
      </c>
      <c r="W691" s="286"/>
      <c r="X691" s="286"/>
      <c r="Y691" s="286"/>
      <c r="Z691" s="286"/>
      <c r="AA691" s="286"/>
      <c r="AB691" s="286"/>
      <c r="AC691" s="286"/>
      <c r="AD691" s="286"/>
      <c r="AE691" s="286"/>
      <c r="AF691" s="286"/>
      <c r="AG691" s="286"/>
      <c r="AH691" s="286"/>
      <c r="AI691" s="286"/>
      <c r="AJ691" s="286"/>
      <c r="AK691" s="286"/>
      <c r="AL691" s="286"/>
      <c r="AM691" s="286"/>
      <c r="AN691" s="286"/>
      <c r="AO691" s="286"/>
      <c r="AP691" s="286"/>
      <c r="AQ691" s="286"/>
      <c r="AR691" s="286"/>
      <c r="AS691" s="286"/>
      <c r="AT691" s="286"/>
      <c r="AU691" s="286"/>
      <c r="AV691" s="286"/>
      <c r="AW691" s="286"/>
      <c r="AX691" s="286"/>
      <c r="AY691" s="286"/>
      <c r="AZ691" s="286"/>
      <c r="BA691" s="286"/>
      <c r="BB691" s="286"/>
      <c r="BC691" s="286"/>
      <c r="BD691" s="286"/>
      <c r="BE691" s="286"/>
      <c r="BF691" s="286"/>
      <c r="BG691" s="286"/>
      <c r="BH691" s="286"/>
      <c r="BI691" s="286"/>
      <c r="BJ691" s="286"/>
      <c r="BK691" s="286"/>
      <c r="BL691" s="286"/>
      <c r="BM691" s="286"/>
      <c r="BN691" s="286"/>
      <c r="BO691" s="286"/>
      <c r="BP691" s="286"/>
      <c r="BQ691" s="286"/>
      <c r="BR691" s="286"/>
      <c r="BS691" s="286"/>
      <c r="BT691" s="286"/>
      <c r="BU691" s="286"/>
      <c r="BV691" s="286"/>
      <c r="BW691" s="286"/>
      <c r="BX691" s="286"/>
      <c r="BY691" s="286"/>
      <c r="BZ691" s="286"/>
      <c r="CA691" s="286"/>
      <c r="CB691" s="286"/>
      <c r="CC691" s="286"/>
      <c r="CD691" s="286"/>
      <c r="CE691" s="286"/>
      <c r="CF691" s="286"/>
      <c r="CG691" s="286"/>
      <c r="CH691" s="286"/>
      <c r="CI691" s="286"/>
      <c r="CJ691" s="286"/>
      <c r="CK691" s="286"/>
      <c r="CL691" s="286"/>
      <c r="CM691" s="286"/>
      <c r="CN691" s="286"/>
      <c r="CO691" s="286"/>
      <c r="CP691" s="286"/>
      <c r="CQ691" s="286"/>
      <c r="CR691" s="286"/>
      <c r="CS691" s="286"/>
      <c r="CT691" s="286"/>
      <c r="CU691" s="286"/>
      <c r="CV691" s="286"/>
      <c r="CW691" s="286"/>
      <c r="CX691" s="286"/>
      <c r="CY691" s="286"/>
      <c r="CZ691" s="286"/>
      <c r="DA691" s="286"/>
      <c r="DB691" s="286"/>
      <c r="DC691" s="286"/>
      <c r="DD691" s="286"/>
      <c r="DE691" s="286"/>
      <c r="DF691" s="286"/>
      <c r="DG691" s="286"/>
      <c r="DH691" s="286"/>
      <c r="DI691" s="286"/>
      <c r="DJ691" s="286"/>
      <c r="DK691" s="286"/>
      <c r="DL691" s="286"/>
      <c r="DM691" s="286"/>
      <c r="DN691" s="286"/>
      <c r="DO691" s="286"/>
      <c r="DP691" s="286"/>
      <c r="DQ691" s="286"/>
      <c r="DR691" s="286"/>
      <c r="DS691" s="286"/>
      <c r="DT691" s="286"/>
      <c r="DU691" s="286"/>
      <c r="DV691" s="286"/>
      <c r="DW691" s="286"/>
      <c r="DX691" s="286"/>
      <c r="DY691" s="286"/>
      <c r="DZ691" s="286"/>
      <c r="EA691" s="286"/>
      <c r="EB691" s="286"/>
      <c r="EC691" s="286"/>
      <c r="ED691" s="286"/>
      <c r="EE691" s="286"/>
      <c r="EF691" s="286"/>
      <c r="EG691" s="286"/>
      <c r="EH691" s="286"/>
      <c r="EI691" s="286"/>
      <c r="EJ691" s="286"/>
      <c r="EK691" s="286"/>
      <c r="EL691" s="286"/>
      <c r="EM691" s="286"/>
      <c r="EN691" s="286"/>
      <c r="EO691" s="286"/>
      <c r="EP691" s="286"/>
      <c r="EQ691" s="286"/>
      <c r="ER691" s="286"/>
      <c r="ES691" s="286"/>
      <c r="ET691" s="286"/>
      <c r="EU691" s="286"/>
      <c r="EV691" s="286"/>
      <c r="EW691" s="286"/>
      <c r="EX691" s="286"/>
      <c r="EY691" s="286"/>
      <c r="EZ691" s="286"/>
      <c r="FA691" s="286"/>
      <c r="FB691" s="286"/>
      <c r="FC691" s="286"/>
      <c r="FD691" s="286"/>
      <c r="FE691" s="286"/>
      <c r="FF691" s="286"/>
      <c r="FG691" s="286"/>
      <c r="FH691" s="286"/>
      <c r="FI691" s="286"/>
      <c r="FJ691" s="286"/>
      <c r="FK691" s="286"/>
      <c r="FL691" s="286"/>
      <c r="FM691" s="286"/>
      <c r="FN691" s="286"/>
      <c r="FO691" s="286"/>
      <c r="FP691" s="286"/>
      <c r="FQ691" s="286"/>
      <c r="FR691" s="286"/>
      <c r="FS691" s="286"/>
    </row>
    <row r="692" spans="1:175">
      <c r="A692" s="212" t="s">
        <v>3159</v>
      </c>
      <c r="B692" s="212" t="s">
        <v>3160</v>
      </c>
      <c r="C692" s="212" t="s">
        <v>3172</v>
      </c>
      <c r="D692" s="212" t="s">
        <v>3861</v>
      </c>
      <c r="E692" s="212" t="s">
        <v>3876</v>
      </c>
      <c r="F692" s="278">
        <v>17</v>
      </c>
      <c r="G692" s="278">
        <v>312</v>
      </c>
      <c r="H692" s="287">
        <f t="shared" si="10"/>
        <v>0</v>
      </c>
      <c r="I692" s="286">
        <v>0</v>
      </c>
      <c r="J692" s="286">
        <v>0</v>
      </c>
      <c r="K692" s="286">
        <v>0</v>
      </c>
      <c r="L692" s="286">
        <v>0</v>
      </c>
      <c r="M692" s="286">
        <v>0</v>
      </c>
      <c r="N692" s="286">
        <v>0</v>
      </c>
      <c r="O692" s="286">
        <v>0</v>
      </c>
      <c r="P692" s="286">
        <v>0</v>
      </c>
      <c r="Q692" s="286">
        <v>0</v>
      </c>
      <c r="R692" s="286">
        <v>0</v>
      </c>
      <c r="S692" s="286">
        <v>0</v>
      </c>
      <c r="T692" s="286">
        <v>0</v>
      </c>
      <c r="U692" s="286">
        <v>0</v>
      </c>
      <c r="V692" s="286">
        <v>0</v>
      </c>
      <c r="W692" s="286"/>
      <c r="X692" s="286"/>
      <c r="Y692" s="286"/>
      <c r="Z692" s="286"/>
      <c r="AA692" s="286"/>
      <c r="AB692" s="286"/>
      <c r="AC692" s="286"/>
      <c r="AD692" s="286"/>
      <c r="AE692" s="286"/>
      <c r="AF692" s="286"/>
      <c r="AG692" s="286"/>
      <c r="AH692" s="286"/>
      <c r="AI692" s="286"/>
      <c r="AJ692" s="286"/>
      <c r="AK692" s="286"/>
      <c r="AL692" s="286"/>
      <c r="AM692" s="286"/>
      <c r="AN692" s="286"/>
      <c r="AO692" s="286"/>
      <c r="AP692" s="286"/>
      <c r="AQ692" s="286"/>
      <c r="AR692" s="286"/>
      <c r="AS692" s="286"/>
      <c r="AT692" s="286"/>
      <c r="AU692" s="286"/>
      <c r="AV692" s="286"/>
      <c r="AW692" s="286"/>
      <c r="AX692" s="286"/>
      <c r="AY692" s="286"/>
      <c r="AZ692" s="286"/>
      <c r="BA692" s="286"/>
      <c r="BB692" s="286"/>
      <c r="BC692" s="286"/>
      <c r="BD692" s="286"/>
      <c r="BE692" s="286"/>
      <c r="BF692" s="286"/>
      <c r="BG692" s="286"/>
      <c r="BH692" s="286"/>
      <c r="BI692" s="286"/>
      <c r="BJ692" s="286"/>
      <c r="BK692" s="286"/>
      <c r="BL692" s="286"/>
      <c r="BM692" s="286"/>
      <c r="BN692" s="286"/>
      <c r="BO692" s="286"/>
      <c r="BP692" s="286"/>
      <c r="BQ692" s="286"/>
      <c r="BR692" s="286"/>
      <c r="BS692" s="286"/>
      <c r="BT692" s="286"/>
      <c r="BU692" s="286"/>
      <c r="BV692" s="286"/>
      <c r="BW692" s="286"/>
      <c r="BX692" s="286"/>
      <c r="BY692" s="286"/>
      <c r="BZ692" s="286"/>
      <c r="CA692" s="286"/>
      <c r="CB692" s="286"/>
      <c r="CC692" s="286"/>
      <c r="CD692" s="286"/>
      <c r="CE692" s="286"/>
      <c r="CF692" s="286"/>
      <c r="CG692" s="286"/>
      <c r="CH692" s="286"/>
      <c r="CI692" s="286"/>
      <c r="CJ692" s="286"/>
      <c r="CK692" s="286"/>
      <c r="CL692" s="286"/>
      <c r="CM692" s="286"/>
      <c r="CN692" s="286"/>
      <c r="CO692" s="286"/>
      <c r="CP692" s="286"/>
      <c r="CQ692" s="286"/>
      <c r="CR692" s="286"/>
      <c r="CS692" s="286"/>
      <c r="CT692" s="286"/>
      <c r="CU692" s="286"/>
      <c r="CV692" s="286"/>
      <c r="CW692" s="286"/>
      <c r="CX692" s="286"/>
      <c r="CY692" s="286"/>
      <c r="CZ692" s="286"/>
      <c r="DA692" s="286"/>
      <c r="DB692" s="286"/>
      <c r="DC692" s="286"/>
      <c r="DD692" s="286"/>
      <c r="DE692" s="286"/>
      <c r="DF692" s="286"/>
      <c r="DG692" s="286"/>
      <c r="DH692" s="286"/>
      <c r="DI692" s="286"/>
      <c r="DJ692" s="286"/>
      <c r="DK692" s="286"/>
      <c r="DL692" s="286"/>
      <c r="DM692" s="286"/>
      <c r="DN692" s="286"/>
      <c r="DO692" s="286"/>
      <c r="DP692" s="286"/>
      <c r="DQ692" s="286"/>
      <c r="DR692" s="286"/>
      <c r="DS692" s="286"/>
      <c r="DT692" s="286"/>
      <c r="DU692" s="286"/>
      <c r="DV692" s="286"/>
      <c r="DW692" s="286"/>
      <c r="DX692" s="286"/>
      <c r="DY692" s="286"/>
      <c r="DZ692" s="286"/>
      <c r="EA692" s="286"/>
      <c r="EB692" s="286"/>
      <c r="EC692" s="286"/>
      <c r="ED692" s="286"/>
      <c r="EE692" s="286"/>
      <c r="EF692" s="286"/>
      <c r="EG692" s="286"/>
      <c r="EH692" s="286"/>
      <c r="EI692" s="286"/>
      <c r="EJ692" s="286"/>
      <c r="EK692" s="286"/>
      <c r="EL692" s="286"/>
      <c r="EM692" s="286"/>
      <c r="EN692" s="286"/>
      <c r="EO692" s="286"/>
      <c r="EP692" s="286"/>
      <c r="EQ692" s="286"/>
      <c r="ER692" s="286"/>
      <c r="ES692" s="286"/>
      <c r="ET692" s="286"/>
      <c r="EU692" s="286"/>
      <c r="EV692" s="286"/>
      <c r="EW692" s="286"/>
      <c r="EX692" s="286"/>
      <c r="EY692" s="286"/>
      <c r="EZ692" s="286"/>
      <c r="FA692" s="286"/>
      <c r="FB692" s="286"/>
      <c r="FC692" s="286"/>
      <c r="FD692" s="286"/>
      <c r="FE692" s="286"/>
      <c r="FF692" s="286"/>
      <c r="FG692" s="286"/>
      <c r="FH692" s="286"/>
      <c r="FI692" s="286"/>
      <c r="FJ692" s="286"/>
      <c r="FK692" s="286"/>
      <c r="FL692" s="286"/>
      <c r="FM692" s="286"/>
      <c r="FN692" s="286"/>
      <c r="FO692" s="286"/>
      <c r="FP692" s="286"/>
      <c r="FQ692" s="286"/>
      <c r="FR692" s="286"/>
      <c r="FS692" s="286"/>
    </row>
    <row r="693" spans="1:175">
      <c r="A693" s="212" t="s">
        <v>3159</v>
      </c>
      <c r="B693" s="212" t="s">
        <v>3160</v>
      </c>
      <c r="C693" s="212" t="s">
        <v>3172</v>
      </c>
      <c r="D693" s="212" t="s">
        <v>3861</v>
      </c>
      <c r="E693" s="212" t="s">
        <v>3877</v>
      </c>
      <c r="F693" s="278">
        <v>557</v>
      </c>
      <c r="G693" s="278">
        <v>32058</v>
      </c>
      <c r="H693" s="287">
        <f t="shared" si="10"/>
        <v>4.1144176180672529</v>
      </c>
      <c r="I693" s="286">
        <v>17</v>
      </c>
      <c r="J693" s="286">
        <v>1319</v>
      </c>
      <c r="K693" s="286">
        <v>434</v>
      </c>
      <c r="L693" s="286">
        <v>885</v>
      </c>
      <c r="M693" s="286">
        <v>1319</v>
      </c>
      <c r="N693" s="286">
        <v>434</v>
      </c>
      <c r="O693" s="286">
        <v>885</v>
      </c>
      <c r="P693" s="286">
        <v>0</v>
      </c>
      <c r="Q693" s="286">
        <v>0</v>
      </c>
      <c r="R693" s="286">
        <v>0</v>
      </c>
      <c r="S693" s="286">
        <v>0</v>
      </c>
      <c r="T693" s="286">
        <v>0</v>
      </c>
      <c r="U693" s="286">
        <v>0</v>
      </c>
      <c r="V693" s="286">
        <v>0</v>
      </c>
      <c r="W693" s="286"/>
      <c r="X693" s="286"/>
      <c r="Y693" s="286"/>
      <c r="Z693" s="286"/>
      <c r="AA693" s="286"/>
      <c r="AB693" s="286"/>
      <c r="AC693" s="286"/>
      <c r="AD693" s="286"/>
      <c r="AE693" s="286"/>
      <c r="AF693" s="286"/>
      <c r="AG693" s="286"/>
      <c r="AH693" s="286"/>
      <c r="AI693" s="286"/>
      <c r="AJ693" s="286"/>
      <c r="AK693" s="286"/>
      <c r="AL693" s="286"/>
      <c r="AM693" s="286"/>
      <c r="AN693" s="286"/>
      <c r="AO693" s="286"/>
      <c r="AP693" s="286"/>
      <c r="AQ693" s="286"/>
      <c r="AR693" s="286"/>
      <c r="AS693" s="286"/>
      <c r="AT693" s="286"/>
      <c r="AU693" s="286"/>
      <c r="AV693" s="286"/>
      <c r="AW693" s="286"/>
      <c r="AX693" s="286"/>
      <c r="AY693" s="286"/>
      <c r="AZ693" s="286"/>
      <c r="BA693" s="286"/>
      <c r="BB693" s="286"/>
      <c r="BC693" s="286"/>
      <c r="BD693" s="286"/>
      <c r="BE693" s="286"/>
      <c r="BF693" s="286"/>
      <c r="BG693" s="286"/>
      <c r="BH693" s="286"/>
      <c r="BI693" s="286"/>
      <c r="BJ693" s="286"/>
      <c r="BK693" s="286"/>
      <c r="BL693" s="286"/>
      <c r="BM693" s="286"/>
      <c r="BN693" s="286"/>
      <c r="BO693" s="286"/>
      <c r="BP693" s="286"/>
      <c r="BQ693" s="286"/>
      <c r="BR693" s="286"/>
      <c r="BS693" s="286"/>
      <c r="BT693" s="286"/>
      <c r="BU693" s="286"/>
      <c r="BV693" s="286"/>
      <c r="BW693" s="286"/>
      <c r="BX693" s="286"/>
      <c r="BY693" s="286"/>
      <c r="BZ693" s="286"/>
      <c r="CA693" s="286"/>
      <c r="CB693" s="286"/>
      <c r="CC693" s="286"/>
      <c r="CD693" s="286"/>
      <c r="CE693" s="286"/>
      <c r="CF693" s="286"/>
      <c r="CG693" s="286"/>
      <c r="CH693" s="286"/>
      <c r="CI693" s="286"/>
      <c r="CJ693" s="286"/>
      <c r="CK693" s="286"/>
      <c r="CL693" s="286"/>
      <c r="CM693" s="286"/>
      <c r="CN693" s="286"/>
      <c r="CO693" s="286"/>
      <c r="CP693" s="286"/>
      <c r="CQ693" s="286"/>
      <c r="CR693" s="286"/>
      <c r="CS693" s="286"/>
      <c r="CT693" s="286"/>
      <c r="CU693" s="286"/>
      <c r="CV693" s="286"/>
      <c r="CW693" s="286"/>
      <c r="CX693" s="286"/>
      <c r="CY693" s="286"/>
      <c r="CZ693" s="286"/>
      <c r="DA693" s="286"/>
      <c r="DB693" s="286"/>
      <c r="DC693" s="286"/>
      <c r="DD693" s="286"/>
      <c r="DE693" s="286"/>
      <c r="DF693" s="286"/>
      <c r="DG693" s="286"/>
      <c r="DH693" s="286"/>
      <c r="DI693" s="286"/>
      <c r="DJ693" s="286"/>
      <c r="DK693" s="286"/>
      <c r="DL693" s="286"/>
      <c r="DM693" s="286"/>
      <c r="DN693" s="286"/>
      <c r="DO693" s="286"/>
      <c r="DP693" s="286"/>
      <c r="DQ693" s="286"/>
      <c r="DR693" s="286"/>
      <c r="DS693" s="286"/>
      <c r="DT693" s="286"/>
      <c r="DU693" s="286"/>
      <c r="DV693" s="286"/>
      <c r="DW693" s="286"/>
      <c r="DX693" s="286"/>
      <c r="DY693" s="286"/>
      <c r="DZ693" s="286"/>
      <c r="EA693" s="286"/>
      <c r="EB693" s="286"/>
      <c r="EC693" s="286"/>
      <c r="ED693" s="286"/>
      <c r="EE693" s="286"/>
      <c r="EF693" s="286"/>
      <c r="EG693" s="286"/>
      <c r="EH693" s="286"/>
      <c r="EI693" s="286"/>
      <c r="EJ693" s="286"/>
      <c r="EK693" s="286"/>
      <c r="EL693" s="286"/>
      <c r="EM693" s="286"/>
      <c r="EN693" s="286"/>
      <c r="EO693" s="286"/>
      <c r="EP693" s="286"/>
      <c r="EQ693" s="286"/>
      <c r="ER693" s="286"/>
      <c r="ES693" s="286"/>
      <c r="ET693" s="286"/>
      <c r="EU693" s="286"/>
      <c r="EV693" s="286"/>
      <c r="EW693" s="286"/>
      <c r="EX693" s="286"/>
      <c r="EY693" s="286"/>
      <c r="EZ693" s="286"/>
      <c r="FA693" s="286"/>
      <c r="FB693" s="286"/>
      <c r="FC693" s="286"/>
      <c r="FD693" s="286"/>
      <c r="FE693" s="286"/>
      <c r="FF693" s="286"/>
      <c r="FG693" s="286"/>
      <c r="FH693" s="286"/>
      <c r="FI693" s="286"/>
      <c r="FJ693" s="286"/>
      <c r="FK693" s="286"/>
      <c r="FL693" s="286"/>
      <c r="FM693" s="286"/>
      <c r="FN693" s="286"/>
      <c r="FO693" s="286"/>
      <c r="FP693" s="286"/>
      <c r="FQ693" s="286"/>
      <c r="FR693" s="286"/>
      <c r="FS693" s="286"/>
    </row>
    <row r="694" spans="1:175">
      <c r="A694" s="212" t="s">
        <v>3159</v>
      </c>
      <c r="B694" s="212" t="s">
        <v>3160</v>
      </c>
      <c r="C694" s="212" t="s">
        <v>3172</v>
      </c>
      <c r="D694" s="212" t="s">
        <v>3861</v>
      </c>
      <c r="E694" s="212" t="s">
        <v>3878</v>
      </c>
      <c r="F694" s="278">
        <v>3829</v>
      </c>
      <c r="G694" s="278">
        <v>121715</v>
      </c>
      <c r="H694" s="287">
        <f t="shared" si="10"/>
        <v>3.0834326089635624</v>
      </c>
      <c r="I694" s="286">
        <v>144</v>
      </c>
      <c r="J694" s="286">
        <v>3753</v>
      </c>
      <c r="K694" s="286">
        <v>848</v>
      </c>
      <c r="L694" s="286">
        <v>2833</v>
      </c>
      <c r="M694" s="286">
        <v>3201</v>
      </c>
      <c r="N694" s="286">
        <v>728</v>
      </c>
      <c r="O694" s="286">
        <v>2401</v>
      </c>
      <c r="P694" s="286">
        <v>95</v>
      </c>
      <c r="Q694" s="286">
        <v>2689</v>
      </c>
      <c r="R694" s="286">
        <v>708</v>
      </c>
      <c r="S694" s="286">
        <v>1909</v>
      </c>
      <c r="T694" s="286">
        <v>2176</v>
      </c>
      <c r="U694" s="286">
        <v>589</v>
      </c>
      <c r="V694" s="286">
        <v>1515</v>
      </c>
      <c r="W694" s="286"/>
      <c r="X694" s="286"/>
      <c r="Y694" s="286"/>
      <c r="Z694" s="286"/>
      <c r="AA694" s="286"/>
      <c r="AB694" s="286"/>
      <c r="AC694" s="286"/>
      <c r="AD694" s="286"/>
      <c r="AE694" s="286"/>
      <c r="AF694" s="286"/>
      <c r="AG694" s="286"/>
      <c r="AH694" s="286"/>
      <c r="AI694" s="286"/>
      <c r="AJ694" s="286"/>
      <c r="AK694" s="286"/>
      <c r="AL694" s="286"/>
      <c r="AM694" s="286"/>
      <c r="AN694" s="286"/>
      <c r="AO694" s="286"/>
      <c r="AP694" s="286"/>
      <c r="AQ694" s="286"/>
      <c r="AR694" s="286"/>
      <c r="AS694" s="286"/>
      <c r="AT694" s="286"/>
      <c r="AU694" s="286"/>
      <c r="AV694" s="286"/>
      <c r="AW694" s="286"/>
      <c r="AX694" s="286"/>
      <c r="AY694" s="286"/>
      <c r="AZ694" s="286"/>
      <c r="BA694" s="286"/>
      <c r="BB694" s="286"/>
      <c r="BC694" s="286"/>
      <c r="BD694" s="286"/>
      <c r="BE694" s="286"/>
      <c r="BF694" s="286"/>
      <c r="BG694" s="286"/>
      <c r="BH694" s="286"/>
      <c r="BI694" s="286"/>
      <c r="BJ694" s="286"/>
      <c r="BK694" s="286"/>
      <c r="BL694" s="286"/>
      <c r="BM694" s="286"/>
      <c r="BN694" s="286"/>
      <c r="BO694" s="286"/>
      <c r="BP694" s="286"/>
      <c r="BQ694" s="286"/>
      <c r="BR694" s="286"/>
      <c r="BS694" s="286"/>
      <c r="BT694" s="286"/>
      <c r="BU694" s="286"/>
      <c r="BV694" s="286"/>
      <c r="BW694" s="286"/>
      <c r="BX694" s="286"/>
      <c r="BY694" s="286"/>
      <c r="BZ694" s="286"/>
      <c r="CA694" s="286"/>
      <c r="CB694" s="286"/>
      <c r="CC694" s="286"/>
      <c r="CD694" s="286"/>
      <c r="CE694" s="286"/>
      <c r="CF694" s="286"/>
      <c r="CG694" s="286"/>
      <c r="CH694" s="286"/>
      <c r="CI694" s="286"/>
      <c r="CJ694" s="286"/>
      <c r="CK694" s="286"/>
      <c r="CL694" s="286"/>
      <c r="CM694" s="286"/>
      <c r="CN694" s="286"/>
      <c r="CO694" s="286"/>
      <c r="CP694" s="286"/>
      <c r="CQ694" s="286"/>
      <c r="CR694" s="286"/>
      <c r="CS694" s="286"/>
      <c r="CT694" s="286"/>
      <c r="CU694" s="286"/>
      <c r="CV694" s="286"/>
      <c r="CW694" s="286"/>
      <c r="CX694" s="286"/>
      <c r="CY694" s="286"/>
      <c r="CZ694" s="286"/>
      <c r="DA694" s="286"/>
      <c r="DB694" s="286"/>
      <c r="DC694" s="286"/>
      <c r="DD694" s="286"/>
      <c r="DE694" s="286"/>
      <c r="DF694" s="286"/>
      <c r="DG694" s="286"/>
      <c r="DH694" s="286"/>
      <c r="DI694" s="286"/>
      <c r="DJ694" s="286"/>
      <c r="DK694" s="286"/>
      <c r="DL694" s="286"/>
      <c r="DM694" s="286"/>
      <c r="DN694" s="286"/>
      <c r="DO694" s="286"/>
      <c r="DP694" s="286"/>
      <c r="DQ694" s="286"/>
      <c r="DR694" s="286"/>
      <c r="DS694" s="286"/>
      <c r="DT694" s="286"/>
      <c r="DU694" s="286"/>
      <c r="DV694" s="286"/>
      <c r="DW694" s="286"/>
      <c r="DX694" s="286"/>
      <c r="DY694" s="286"/>
      <c r="DZ694" s="286"/>
      <c r="EA694" s="286"/>
      <c r="EB694" s="286"/>
      <c r="EC694" s="286"/>
      <c r="ED694" s="286"/>
      <c r="EE694" s="286"/>
      <c r="EF694" s="286"/>
      <c r="EG694" s="286"/>
      <c r="EH694" s="286"/>
      <c r="EI694" s="286"/>
      <c r="EJ694" s="286"/>
      <c r="EK694" s="286"/>
      <c r="EL694" s="286"/>
      <c r="EM694" s="286"/>
      <c r="EN694" s="286"/>
      <c r="EO694" s="286"/>
      <c r="EP694" s="286"/>
      <c r="EQ694" s="286"/>
      <c r="ER694" s="286"/>
      <c r="ES694" s="286"/>
      <c r="ET694" s="286"/>
      <c r="EU694" s="286"/>
      <c r="EV694" s="286"/>
      <c r="EW694" s="286"/>
      <c r="EX694" s="286"/>
      <c r="EY694" s="286"/>
      <c r="EZ694" s="286"/>
      <c r="FA694" s="286"/>
      <c r="FB694" s="286"/>
      <c r="FC694" s="286"/>
      <c r="FD694" s="286"/>
      <c r="FE694" s="286"/>
      <c r="FF694" s="286"/>
      <c r="FG694" s="286"/>
      <c r="FH694" s="286"/>
      <c r="FI694" s="286"/>
      <c r="FJ694" s="286"/>
      <c r="FK694" s="286"/>
      <c r="FL694" s="286"/>
      <c r="FM694" s="286"/>
      <c r="FN694" s="286"/>
      <c r="FO694" s="286"/>
      <c r="FP694" s="286"/>
      <c r="FQ694" s="286"/>
      <c r="FR694" s="286"/>
      <c r="FS694" s="286"/>
    </row>
    <row r="695" spans="1:175">
      <c r="A695" s="212" t="s">
        <v>3159</v>
      </c>
      <c r="B695" s="212" t="s">
        <v>3160</v>
      </c>
      <c r="C695" s="212" t="s">
        <v>3172</v>
      </c>
      <c r="D695" s="212" t="s">
        <v>3861</v>
      </c>
      <c r="E695" s="212" t="s">
        <v>3879</v>
      </c>
      <c r="F695" s="278">
        <v>768</v>
      </c>
      <c r="G695" s="278">
        <v>12819</v>
      </c>
      <c r="H695" s="287">
        <f t="shared" si="10"/>
        <v>5.4996489585771124</v>
      </c>
      <c r="I695" s="286">
        <v>39</v>
      </c>
      <c r="J695" s="286">
        <v>705</v>
      </c>
      <c r="K695" s="286">
        <v>394</v>
      </c>
      <c r="L695" s="286">
        <v>311</v>
      </c>
      <c r="M695" s="286">
        <v>682</v>
      </c>
      <c r="N695" s="286">
        <v>377</v>
      </c>
      <c r="O695" s="286">
        <v>305</v>
      </c>
      <c r="P695" s="286">
        <v>13</v>
      </c>
      <c r="Q695" s="286">
        <v>280</v>
      </c>
      <c r="R695" s="286">
        <v>136</v>
      </c>
      <c r="S695" s="286">
        <v>144</v>
      </c>
      <c r="T695" s="286">
        <v>261</v>
      </c>
      <c r="U695" s="286">
        <v>119</v>
      </c>
      <c r="V695" s="286">
        <v>142</v>
      </c>
      <c r="W695" s="286"/>
      <c r="X695" s="286"/>
      <c r="Y695" s="286"/>
      <c r="Z695" s="286"/>
      <c r="AA695" s="286"/>
      <c r="AB695" s="286"/>
      <c r="AC695" s="286"/>
      <c r="AD695" s="286"/>
      <c r="AE695" s="286"/>
      <c r="AF695" s="286"/>
      <c r="AG695" s="286"/>
      <c r="AH695" s="286"/>
      <c r="AI695" s="286"/>
      <c r="AJ695" s="286"/>
      <c r="AK695" s="286"/>
      <c r="AL695" s="286"/>
      <c r="AM695" s="286"/>
      <c r="AN695" s="286"/>
      <c r="AO695" s="286"/>
      <c r="AP695" s="286"/>
      <c r="AQ695" s="286"/>
      <c r="AR695" s="286"/>
      <c r="AS695" s="286"/>
      <c r="AT695" s="286"/>
      <c r="AU695" s="286"/>
      <c r="AV695" s="286"/>
      <c r="AW695" s="286"/>
      <c r="AX695" s="286"/>
      <c r="AY695" s="286"/>
      <c r="AZ695" s="286"/>
      <c r="BA695" s="286"/>
      <c r="BB695" s="286"/>
      <c r="BC695" s="286"/>
      <c r="BD695" s="286"/>
      <c r="BE695" s="286"/>
      <c r="BF695" s="286"/>
      <c r="BG695" s="286"/>
      <c r="BH695" s="286"/>
      <c r="BI695" s="286"/>
      <c r="BJ695" s="286"/>
      <c r="BK695" s="286"/>
      <c r="BL695" s="286"/>
      <c r="BM695" s="286"/>
      <c r="BN695" s="286"/>
      <c r="BO695" s="286"/>
      <c r="BP695" s="286"/>
      <c r="BQ695" s="286"/>
      <c r="BR695" s="286"/>
      <c r="BS695" s="286"/>
      <c r="BT695" s="286"/>
      <c r="BU695" s="286"/>
      <c r="BV695" s="286"/>
      <c r="BW695" s="286"/>
      <c r="BX695" s="286"/>
      <c r="BY695" s="286"/>
      <c r="BZ695" s="286"/>
      <c r="CA695" s="286"/>
      <c r="CB695" s="286"/>
      <c r="CC695" s="286"/>
      <c r="CD695" s="286"/>
      <c r="CE695" s="286"/>
      <c r="CF695" s="286"/>
      <c r="CG695" s="286"/>
      <c r="CH695" s="286"/>
      <c r="CI695" s="286"/>
      <c r="CJ695" s="286"/>
      <c r="CK695" s="286"/>
      <c r="CL695" s="286"/>
      <c r="CM695" s="286"/>
      <c r="CN695" s="286"/>
      <c r="CO695" s="286"/>
      <c r="CP695" s="286"/>
      <c r="CQ695" s="286"/>
      <c r="CR695" s="286"/>
      <c r="CS695" s="286"/>
      <c r="CT695" s="286"/>
      <c r="CU695" s="286"/>
      <c r="CV695" s="286"/>
      <c r="CW695" s="286"/>
      <c r="CX695" s="286"/>
      <c r="CY695" s="286"/>
      <c r="CZ695" s="286"/>
      <c r="DA695" s="286"/>
      <c r="DB695" s="286"/>
      <c r="DC695" s="286"/>
      <c r="DD695" s="286"/>
      <c r="DE695" s="286"/>
      <c r="DF695" s="286"/>
      <c r="DG695" s="286"/>
      <c r="DH695" s="286"/>
      <c r="DI695" s="286"/>
      <c r="DJ695" s="286"/>
      <c r="DK695" s="286"/>
      <c r="DL695" s="286"/>
      <c r="DM695" s="286"/>
      <c r="DN695" s="286"/>
      <c r="DO695" s="286"/>
      <c r="DP695" s="286"/>
      <c r="DQ695" s="286"/>
      <c r="DR695" s="286"/>
      <c r="DS695" s="286"/>
      <c r="DT695" s="286"/>
      <c r="DU695" s="286"/>
      <c r="DV695" s="286"/>
      <c r="DW695" s="286"/>
      <c r="DX695" s="286"/>
      <c r="DY695" s="286"/>
      <c r="DZ695" s="286"/>
      <c r="EA695" s="286"/>
      <c r="EB695" s="286"/>
      <c r="EC695" s="286"/>
      <c r="ED695" s="286"/>
      <c r="EE695" s="286"/>
      <c r="EF695" s="286"/>
      <c r="EG695" s="286"/>
      <c r="EH695" s="286"/>
      <c r="EI695" s="286"/>
      <c r="EJ695" s="286"/>
      <c r="EK695" s="286"/>
      <c r="EL695" s="286"/>
      <c r="EM695" s="286"/>
      <c r="EN695" s="286"/>
      <c r="EO695" s="286"/>
      <c r="EP695" s="286"/>
      <c r="EQ695" s="286"/>
      <c r="ER695" s="286"/>
      <c r="ES695" s="286"/>
      <c r="ET695" s="286"/>
      <c r="EU695" s="286"/>
      <c r="EV695" s="286"/>
      <c r="EW695" s="286"/>
      <c r="EX695" s="286"/>
      <c r="EY695" s="286"/>
      <c r="EZ695" s="286"/>
      <c r="FA695" s="286"/>
      <c r="FB695" s="286"/>
      <c r="FC695" s="286"/>
      <c r="FD695" s="286"/>
      <c r="FE695" s="286"/>
      <c r="FF695" s="286"/>
      <c r="FG695" s="286"/>
      <c r="FH695" s="286"/>
      <c r="FI695" s="286"/>
      <c r="FJ695" s="286"/>
      <c r="FK695" s="286"/>
      <c r="FL695" s="286"/>
      <c r="FM695" s="286"/>
      <c r="FN695" s="286"/>
      <c r="FO695" s="286"/>
      <c r="FP695" s="286"/>
      <c r="FQ695" s="286"/>
      <c r="FR695" s="286"/>
      <c r="FS695" s="286"/>
    </row>
    <row r="696" spans="1:175">
      <c r="A696" s="212" t="s">
        <v>3159</v>
      </c>
      <c r="B696" s="212" t="s">
        <v>3160</v>
      </c>
      <c r="C696" s="212" t="s">
        <v>3170</v>
      </c>
      <c r="D696" s="212" t="s">
        <v>3861</v>
      </c>
      <c r="E696" s="212" t="s">
        <v>3880</v>
      </c>
      <c r="F696" s="278">
        <v>229768</v>
      </c>
      <c r="G696" s="278">
        <v>4422372</v>
      </c>
      <c r="H696" s="287">
        <f t="shared" si="10"/>
        <v>4.134749405974893</v>
      </c>
      <c r="I696" s="286">
        <v>9327</v>
      </c>
      <c r="J696" s="286">
        <v>182854</v>
      </c>
      <c r="K696" s="286">
        <v>43590</v>
      </c>
      <c r="L696" s="286">
        <v>137914</v>
      </c>
      <c r="M696" s="286">
        <v>173874</v>
      </c>
      <c r="N696" s="286">
        <v>40362</v>
      </c>
      <c r="O696" s="286">
        <v>132253</v>
      </c>
      <c r="P696" s="286">
        <v>8635</v>
      </c>
      <c r="Q696" s="286">
        <v>170885</v>
      </c>
      <c r="R696" s="286">
        <v>42204</v>
      </c>
      <c r="S696" s="286">
        <v>127331</v>
      </c>
      <c r="T696" s="286">
        <v>162414</v>
      </c>
      <c r="U696" s="286">
        <v>39001</v>
      </c>
      <c r="V696" s="286">
        <v>122154</v>
      </c>
      <c r="W696" s="286"/>
      <c r="X696" s="286"/>
      <c r="Y696" s="286"/>
      <c r="Z696" s="286"/>
      <c r="AA696" s="286"/>
      <c r="AB696" s="286"/>
      <c r="AC696" s="286"/>
      <c r="AD696" s="286"/>
      <c r="AE696" s="286"/>
      <c r="AF696" s="286"/>
      <c r="AG696" s="286"/>
      <c r="AH696" s="286"/>
      <c r="AI696" s="286"/>
      <c r="AJ696" s="286"/>
      <c r="AK696" s="286"/>
      <c r="AL696" s="286"/>
      <c r="AM696" s="286"/>
      <c r="AN696" s="286"/>
      <c r="AO696" s="286"/>
      <c r="AP696" s="286"/>
      <c r="AQ696" s="286"/>
      <c r="AR696" s="286"/>
      <c r="AS696" s="286"/>
      <c r="AT696" s="286"/>
      <c r="AU696" s="286"/>
      <c r="AV696" s="286"/>
      <c r="AW696" s="286"/>
      <c r="AX696" s="286"/>
      <c r="AY696" s="286"/>
      <c r="AZ696" s="286"/>
      <c r="BA696" s="286"/>
      <c r="BB696" s="286"/>
      <c r="BC696" s="286"/>
      <c r="BD696" s="286"/>
      <c r="BE696" s="286"/>
      <c r="BF696" s="286"/>
      <c r="BG696" s="286"/>
      <c r="BH696" s="286"/>
      <c r="BI696" s="286"/>
      <c r="BJ696" s="286"/>
      <c r="BK696" s="286"/>
      <c r="BL696" s="286"/>
      <c r="BM696" s="286"/>
      <c r="BN696" s="286"/>
      <c r="BO696" s="286"/>
      <c r="BP696" s="286"/>
      <c r="BQ696" s="286"/>
      <c r="BR696" s="286"/>
      <c r="BS696" s="286"/>
      <c r="BT696" s="286"/>
      <c r="BU696" s="286"/>
      <c r="BV696" s="286"/>
      <c r="BW696" s="286"/>
      <c r="BX696" s="286"/>
      <c r="BY696" s="286"/>
      <c r="BZ696" s="286"/>
      <c r="CA696" s="286"/>
      <c r="CB696" s="286"/>
      <c r="CC696" s="286"/>
      <c r="CD696" s="286"/>
      <c r="CE696" s="286"/>
      <c r="CF696" s="286"/>
      <c r="CG696" s="286"/>
      <c r="CH696" s="286"/>
      <c r="CI696" s="286"/>
      <c r="CJ696" s="286"/>
      <c r="CK696" s="286"/>
      <c r="CL696" s="286"/>
      <c r="CM696" s="286"/>
      <c r="CN696" s="286"/>
      <c r="CO696" s="286"/>
      <c r="CP696" s="286"/>
      <c r="CQ696" s="286"/>
      <c r="CR696" s="286"/>
      <c r="CS696" s="286"/>
      <c r="CT696" s="286"/>
      <c r="CU696" s="286"/>
      <c r="CV696" s="286"/>
      <c r="CW696" s="286"/>
      <c r="CX696" s="286"/>
      <c r="CY696" s="286"/>
      <c r="CZ696" s="286"/>
      <c r="DA696" s="286"/>
      <c r="DB696" s="286"/>
      <c r="DC696" s="286"/>
      <c r="DD696" s="286"/>
      <c r="DE696" s="286"/>
      <c r="DF696" s="286"/>
      <c r="DG696" s="286"/>
      <c r="DH696" s="286"/>
      <c r="DI696" s="286"/>
      <c r="DJ696" s="286"/>
      <c r="DK696" s="286"/>
      <c r="DL696" s="286"/>
      <c r="DM696" s="286"/>
      <c r="DN696" s="286"/>
      <c r="DO696" s="286"/>
      <c r="DP696" s="286"/>
      <c r="DQ696" s="286"/>
      <c r="DR696" s="286"/>
      <c r="DS696" s="286"/>
      <c r="DT696" s="286"/>
      <c r="DU696" s="286"/>
      <c r="DV696" s="286"/>
      <c r="DW696" s="286"/>
      <c r="DX696" s="286"/>
      <c r="DY696" s="286"/>
      <c r="DZ696" s="286"/>
      <c r="EA696" s="286"/>
      <c r="EB696" s="286"/>
      <c r="EC696" s="286"/>
      <c r="ED696" s="286"/>
      <c r="EE696" s="286"/>
      <c r="EF696" s="286"/>
      <c r="EG696" s="286"/>
      <c r="EH696" s="286"/>
      <c r="EI696" s="286"/>
      <c r="EJ696" s="286"/>
      <c r="EK696" s="286"/>
      <c r="EL696" s="286"/>
      <c r="EM696" s="286"/>
      <c r="EN696" s="286"/>
      <c r="EO696" s="286"/>
      <c r="EP696" s="286"/>
      <c r="EQ696" s="286"/>
      <c r="ER696" s="286"/>
      <c r="ES696" s="286"/>
      <c r="ET696" s="286"/>
      <c r="EU696" s="286"/>
      <c r="EV696" s="286"/>
      <c r="EW696" s="286"/>
      <c r="EX696" s="286"/>
      <c r="EY696" s="286"/>
      <c r="EZ696" s="286"/>
      <c r="FA696" s="286"/>
      <c r="FB696" s="286"/>
      <c r="FC696" s="286"/>
      <c r="FD696" s="286"/>
      <c r="FE696" s="286"/>
      <c r="FF696" s="286"/>
      <c r="FG696" s="286"/>
      <c r="FH696" s="286"/>
      <c r="FI696" s="286"/>
      <c r="FJ696" s="286"/>
      <c r="FK696" s="286"/>
      <c r="FL696" s="286"/>
      <c r="FM696" s="286"/>
      <c r="FN696" s="286"/>
      <c r="FO696" s="286"/>
      <c r="FP696" s="286"/>
      <c r="FQ696" s="286"/>
      <c r="FR696" s="286"/>
      <c r="FS696" s="286"/>
    </row>
    <row r="697" spans="1:175">
      <c r="A697" s="212" t="s">
        <v>3159</v>
      </c>
      <c r="B697" s="212" t="s">
        <v>3160</v>
      </c>
      <c r="C697" s="212" t="s">
        <v>3172</v>
      </c>
      <c r="D697" s="212" t="s">
        <v>3861</v>
      </c>
      <c r="E697" s="212" t="s">
        <v>3881</v>
      </c>
      <c r="F697" s="278">
        <v>2795</v>
      </c>
      <c r="G697" s="278">
        <v>23668</v>
      </c>
      <c r="H697" s="287">
        <f t="shared" si="10"/>
        <v>3.2279871556532025</v>
      </c>
      <c r="I697" s="286">
        <v>107</v>
      </c>
      <c r="J697" s="286">
        <v>764</v>
      </c>
      <c r="K697" s="286">
        <v>349</v>
      </c>
      <c r="L697" s="286">
        <v>415</v>
      </c>
      <c r="M697" s="286">
        <v>638</v>
      </c>
      <c r="N697" s="286">
        <v>265</v>
      </c>
      <c r="O697" s="286">
        <v>373</v>
      </c>
      <c r="P697" s="286">
        <v>107</v>
      </c>
      <c r="Q697" s="286">
        <v>764</v>
      </c>
      <c r="R697" s="286">
        <v>349</v>
      </c>
      <c r="S697" s="286">
        <v>415</v>
      </c>
      <c r="T697" s="286">
        <v>638</v>
      </c>
      <c r="U697" s="286">
        <v>265</v>
      </c>
      <c r="V697" s="286">
        <v>373</v>
      </c>
      <c r="W697" s="286"/>
      <c r="X697" s="286"/>
      <c r="Y697" s="286"/>
      <c r="Z697" s="286"/>
      <c r="AA697" s="286"/>
      <c r="AB697" s="286"/>
      <c r="AC697" s="286"/>
      <c r="AD697" s="286"/>
      <c r="AE697" s="286"/>
      <c r="AF697" s="286"/>
      <c r="AG697" s="286"/>
      <c r="AH697" s="286"/>
      <c r="AI697" s="286"/>
      <c r="AJ697" s="286"/>
      <c r="AK697" s="286"/>
      <c r="AL697" s="286"/>
      <c r="AM697" s="286"/>
      <c r="AN697" s="286"/>
      <c r="AO697" s="286"/>
      <c r="AP697" s="286"/>
      <c r="AQ697" s="286"/>
      <c r="AR697" s="286"/>
      <c r="AS697" s="286"/>
      <c r="AT697" s="286"/>
      <c r="AU697" s="286"/>
      <c r="AV697" s="286"/>
      <c r="AW697" s="286"/>
      <c r="AX697" s="286"/>
      <c r="AY697" s="286"/>
      <c r="AZ697" s="286"/>
      <c r="BA697" s="286"/>
      <c r="BB697" s="286"/>
      <c r="BC697" s="286"/>
      <c r="BD697" s="286"/>
      <c r="BE697" s="286"/>
      <c r="BF697" s="286"/>
      <c r="BG697" s="286"/>
      <c r="BH697" s="286"/>
      <c r="BI697" s="286"/>
      <c r="BJ697" s="286"/>
      <c r="BK697" s="286"/>
      <c r="BL697" s="286"/>
      <c r="BM697" s="286"/>
      <c r="BN697" s="286"/>
      <c r="BO697" s="286"/>
      <c r="BP697" s="286"/>
      <c r="BQ697" s="286"/>
      <c r="BR697" s="286"/>
      <c r="BS697" s="286"/>
      <c r="BT697" s="286"/>
      <c r="BU697" s="286"/>
      <c r="BV697" s="286"/>
      <c r="BW697" s="286"/>
      <c r="BX697" s="286"/>
      <c r="BY697" s="286"/>
      <c r="BZ697" s="286"/>
      <c r="CA697" s="286"/>
      <c r="CB697" s="286"/>
      <c r="CC697" s="286"/>
      <c r="CD697" s="286"/>
      <c r="CE697" s="286"/>
      <c r="CF697" s="286"/>
      <c r="CG697" s="286"/>
      <c r="CH697" s="286"/>
      <c r="CI697" s="286"/>
      <c r="CJ697" s="286"/>
      <c r="CK697" s="286"/>
      <c r="CL697" s="286"/>
      <c r="CM697" s="286"/>
      <c r="CN697" s="286"/>
      <c r="CO697" s="286"/>
      <c r="CP697" s="286"/>
      <c r="CQ697" s="286"/>
      <c r="CR697" s="286"/>
      <c r="CS697" s="286"/>
      <c r="CT697" s="286"/>
      <c r="CU697" s="286"/>
      <c r="CV697" s="286"/>
      <c r="CW697" s="286"/>
      <c r="CX697" s="286"/>
      <c r="CY697" s="286"/>
      <c r="CZ697" s="286"/>
      <c r="DA697" s="286"/>
      <c r="DB697" s="286"/>
      <c r="DC697" s="286"/>
      <c r="DD697" s="286"/>
      <c r="DE697" s="286"/>
      <c r="DF697" s="286"/>
      <c r="DG697" s="286"/>
      <c r="DH697" s="286"/>
      <c r="DI697" s="286"/>
      <c r="DJ697" s="286"/>
      <c r="DK697" s="286"/>
      <c r="DL697" s="286"/>
      <c r="DM697" s="286"/>
      <c r="DN697" s="286"/>
      <c r="DO697" s="286"/>
      <c r="DP697" s="286"/>
      <c r="DQ697" s="286"/>
      <c r="DR697" s="286"/>
      <c r="DS697" s="286"/>
      <c r="DT697" s="286"/>
      <c r="DU697" s="286"/>
      <c r="DV697" s="286"/>
      <c r="DW697" s="286"/>
      <c r="DX697" s="286"/>
      <c r="DY697" s="286"/>
      <c r="DZ697" s="286"/>
      <c r="EA697" s="286"/>
      <c r="EB697" s="286"/>
      <c r="EC697" s="286"/>
      <c r="ED697" s="286"/>
      <c r="EE697" s="286"/>
      <c r="EF697" s="286"/>
      <c r="EG697" s="286"/>
      <c r="EH697" s="286"/>
      <c r="EI697" s="286"/>
      <c r="EJ697" s="286"/>
      <c r="EK697" s="286"/>
      <c r="EL697" s="286"/>
      <c r="EM697" s="286"/>
      <c r="EN697" s="286"/>
      <c r="EO697" s="286"/>
      <c r="EP697" s="286"/>
      <c r="EQ697" s="286"/>
      <c r="ER697" s="286"/>
      <c r="ES697" s="286"/>
      <c r="ET697" s="286"/>
      <c r="EU697" s="286"/>
      <c r="EV697" s="286"/>
      <c r="EW697" s="286"/>
      <c r="EX697" s="286"/>
      <c r="EY697" s="286"/>
      <c r="EZ697" s="286"/>
      <c r="FA697" s="286"/>
      <c r="FB697" s="286"/>
      <c r="FC697" s="286"/>
      <c r="FD697" s="286"/>
      <c r="FE697" s="286"/>
      <c r="FF697" s="286"/>
      <c r="FG697" s="286"/>
      <c r="FH697" s="286"/>
      <c r="FI697" s="286"/>
      <c r="FJ697" s="286"/>
      <c r="FK697" s="286"/>
      <c r="FL697" s="286"/>
      <c r="FM697" s="286"/>
      <c r="FN697" s="286"/>
      <c r="FO697" s="286"/>
      <c r="FP697" s="286"/>
      <c r="FQ697" s="286"/>
      <c r="FR697" s="286"/>
      <c r="FS697" s="286"/>
    </row>
    <row r="698" spans="1:175">
      <c r="A698" s="212" t="s">
        <v>3159</v>
      </c>
      <c r="B698" s="212" t="s">
        <v>3160</v>
      </c>
      <c r="C698" s="212" t="s">
        <v>3172</v>
      </c>
      <c r="D698" s="212" t="s">
        <v>3861</v>
      </c>
      <c r="E698" s="212" t="s">
        <v>3882</v>
      </c>
      <c r="F698" s="278">
        <v>3016</v>
      </c>
      <c r="G698" s="278">
        <v>57667</v>
      </c>
      <c r="H698" s="287">
        <f t="shared" si="10"/>
        <v>3.2687672325593491</v>
      </c>
      <c r="I698" s="286">
        <v>88</v>
      </c>
      <c r="J698" s="286">
        <v>1885</v>
      </c>
      <c r="K698" s="286">
        <v>710</v>
      </c>
      <c r="L698" s="286">
        <v>1175</v>
      </c>
      <c r="M698" s="286">
        <v>1827</v>
      </c>
      <c r="N698" s="286">
        <v>656</v>
      </c>
      <c r="O698" s="286">
        <v>1171</v>
      </c>
      <c r="P698" s="286">
        <v>87</v>
      </c>
      <c r="Q698" s="286">
        <v>1843</v>
      </c>
      <c r="R698" s="286">
        <v>686</v>
      </c>
      <c r="S698" s="286">
        <v>1157</v>
      </c>
      <c r="T698" s="286">
        <v>1785</v>
      </c>
      <c r="U698" s="286">
        <v>632</v>
      </c>
      <c r="V698" s="286">
        <v>1153</v>
      </c>
      <c r="W698" s="286"/>
      <c r="X698" s="286"/>
      <c r="Y698" s="286"/>
      <c r="Z698" s="286"/>
      <c r="AA698" s="286"/>
      <c r="AB698" s="286"/>
      <c r="AC698" s="286"/>
      <c r="AD698" s="286"/>
      <c r="AE698" s="286"/>
      <c r="AF698" s="286"/>
      <c r="AG698" s="286"/>
      <c r="AH698" s="286"/>
      <c r="AI698" s="286"/>
      <c r="AJ698" s="286"/>
      <c r="AK698" s="286"/>
      <c r="AL698" s="286"/>
      <c r="AM698" s="286"/>
      <c r="AN698" s="286"/>
      <c r="AO698" s="286"/>
      <c r="AP698" s="286"/>
      <c r="AQ698" s="286"/>
      <c r="AR698" s="286"/>
      <c r="AS698" s="286"/>
      <c r="AT698" s="286"/>
      <c r="AU698" s="286"/>
      <c r="AV698" s="286"/>
      <c r="AW698" s="286"/>
      <c r="AX698" s="286"/>
      <c r="AY698" s="286"/>
      <c r="AZ698" s="286"/>
      <c r="BA698" s="286"/>
      <c r="BB698" s="286"/>
      <c r="BC698" s="286"/>
      <c r="BD698" s="286"/>
      <c r="BE698" s="286"/>
      <c r="BF698" s="286"/>
      <c r="BG698" s="286"/>
      <c r="BH698" s="286"/>
      <c r="BI698" s="286"/>
      <c r="BJ698" s="286"/>
      <c r="BK698" s="286"/>
      <c r="BL698" s="286"/>
      <c r="BM698" s="286"/>
      <c r="BN698" s="286"/>
      <c r="BO698" s="286"/>
      <c r="BP698" s="286"/>
      <c r="BQ698" s="286"/>
      <c r="BR698" s="286"/>
      <c r="BS698" s="286"/>
      <c r="BT698" s="286"/>
      <c r="BU698" s="286"/>
      <c r="BV698" s="286"/>
      <c r="BW698" s="286"/>
      <c r="BX698" s="286"/>
      <c r="BY698" s="286"/>
      <c r="BZ698" s="286"/>
      <c r="CA698" s="286"/>
      <c r="CB698" s="286"/>
      <c r="CC698" s="286"/>
      <c r="CD698" s="286"/>
      <c r="CE698" s="286"/>
      <c r="CF698" s="286"/>
      <c r="CG698" s="286"/>
      <c r="CH698" s="286"/>
      <c r="CI698" s="286"/>
      <c r="CJ698" s="286"/>
      <c r="CK698" s="286"/>
      <c r="CL698" s="286"/>
      <c r="CM698" s="286"/>
      <c r="CN698" s="286"/>
      <c r="CO698" s="286"/>
      <c r="CP698" s="286"/>
      <c r="CQ698" s="286"/>
      <c r="CR698" s="286"/>
      <c r="CS698" s="286"/>
      <c r="CT698" s="286"/>
      <c r="CU698" s="286"/>
      <c r="CV698" s="286"/>
      <c r="CW698" s="286"/>
      <c r="CX698" s="286"/>
      <c r="CY698" s="286"/>
      <c r="CZ698" s="286"/>
      <c r="DA698" s="286"/>
      <c r="DB698" s="286"/>
      <c r="DC698" s="286"/>
      <c r="DD698" s="286"/>
      <c r="DE698" s="286"/>
      <c r="DF698" s="286"/>
      <c r="DG698" s="286"/>
      <c r="DH698" s="286"/>
      <c r="DI698" s="286"/>
      <c r="DJ698" s="286"/>
      <c r="DK698" s="286"/>
      <c r="DL698" s="286"/>
      <c r="DM698" s="286"/>
      <c r="DN698" s="286"/>
      <c r="DO698" s="286"/>
      <c r="DP698" s="286"/>
      <c r="DQ698" s="286"/>
      <c r="DR698" s="286"/>
      <c r="DS698" s="286"/>
      <c r="DT698" s="286"/>
      <c r="DU698" s="286"/>
      <c r="DV698" s="286"/>
      <c r="DW698" s="286"/>
      <c r="DX698" s="286"/>
      <c r="DY698" s="286"/>
      <c r="DZ698" s="286"/>
      <c r="EA698" s="286"/>
      <c r="EB698" s="286"/>
      <c r="EC698" s="286"/>
      <c r="ED698" s="286"/>
      <c r="EE698" s="286"/>
      <c r="EF698" s="286"/>
      <c r="EG698" s="286"/>
      <c r="EH698" s="286"/>
      <c r="EI698" s="286"/>
      <c r="EJ698" s="286"/>
      <c r="EK698" s="286"/>
      <c r="EL698" s="286"/>
      <c r="EM698" s="286"/>
      <c r="EN698" s="286"/>
      <c r="EO698" s="286"/>
      <c r="EP698" s="286"/>
      <c r="EQ698" s="286"/>
      <c r="ER698" s="286"/>
      <c r="ES698" s="286"/>
      <c r="ET698" s="286"/>
      <c r="EU698" s="286"/>
      <c r="EV698" s="286"/>
      <c r="EW698" s="286"/>
      <c r="EX698" s="286"/>
      <c r="EY698" s="286"/>
      <c r="EZ698" s="286"/>
      <c r="FA698" s="286"/>
      <c r="FB698" s="286"/>
      <c r="FC698" s="286"/>
      <c r="FD698" s="286"/>
      <c r="FE698" s="286"/>
      <c r="FF698" s="286"/>
      <c r="FG698" s="286"/>
      <c r="FH698" s="286"/>
      <c r="FI698" s="286"/>
      <c r="FJ698" s="286"/>
      <c r="FK698" s="286"/>
      <c r="FL698" s="286"/>
      <c r="FM698" s="286"/>
      <c r="FN698" s="286"/>
      <c r="FO698" s="286"/>
      <c r="FP698" s="286"/>
      <c r="FQ698" s="286"/>
      <c r="FR698" s="286"/>
      <c r="FS698" s="286"/>
    </row>
    <row r="699" spans="1:175">
      <c r="A699" s="212" t="s">
        <v>3159</v>
      </c>
      <c r="B699" s="212" t="s">
        <v>3160</v>
      </c>
      <c r="C699" s="212" t="s">
        <v>3172</v>
      </c>
      <c r="D699" s="212" t="s">
        <v>3861</v>
      </c>
      <c r="E699" s="212" t="s">
        <v>3883</v>
      </c>
      <c r="F699" s="278">
        <v>629</v>
      </c>
      <c r="G699" s="278">
        <v>46304</v>
      </c>
      <c r="H699" s="287">
        <f t="shared" si="10"/>
        <v>2.3842432619212164</v>
      </c>
      <c r="I699" s="286">
        <v>14</v>
      </c>
      <c r="J699" s="286">
        <v>1104</v>
      </c>
      <c r="K699" s="286">
        <v>365</v>
      </c>
      <c r="L699" s="286">
        <v>739</v>
      </c>
      <c r="M699" s="286">
        <v>1103</v>
      </c>
      <c r="N699" s="286">
        <v>365</v>
      </c>
      <c r="O699" s="286">
        <v>738</v>
      </c>
      <c r="P699" s="286">
        <v>0</v>
      </c>
      <c r="Q699" s="286">
        <v>0</v>
      </c>
      <c r="R699" s="286">
        <v>0</v>
      </c>
      <c r="S699" s="286">
        <v>0</v>
      </c>
      <c r="T699" s="286">
        <v>0</v>
      </c>
      <c r="U699" s="286">
        <v>0</v>
      </c>
      <c r="V699" s="286">
        <v>0</v>
      </c>
      <c r="W699" s="286"/>
      <c r="X699" s="286"/>
      <c r="Y699" s="286"/>
      <c r="Z699" s="286"/>
      <c r="AA699" s="286"/>
      <c r="AB699" s="286"/>
      <c r="AC699" s="286"/>
      <c r="AD699" s="286"/>
      <c r="AE699" s="286"/>
      <c r="AF699" s="286"/>
      <c r="AG699" s="286"/>
      <c r="AH699" s="286"/>
      <c r="AI699" s="286"/>
      <c r="AJ699" s="286"/>
      <c r="AK699" s="286"/>
      <c r="AL699" s="286"/>
      <c r="AM699" s="286"/>
      <c r="AN699" s="286"/>
      <c r="AO699" s="286"/>
      <c r="AP699" s="286"/>
      <c r="AQ699" s="286"/>
      <c r="AR699" s="286"/>
      <c r="AS699" s="286"/>
      <c r="AT699" s="286"/>
      <c r="AU699" s="286"/>
      <c r="AV699" s="286"/>
      <c r="AW699" s="286"/>
      <c r="AX699" s="286"/>
      <c r="AY699" s="286"/>
      <c r="AZ699" s="286"/>
      <c r="BA699" s="286"/>
      <c r="BB699" s="286"/>
      <c r="BC699" s="286"/>
      <c r="BD699" s="286"/>
      <c r="BE699" s="286"/>
      <c r="BF699" s="286"/>
      <c r="BG699" s="286"/>
      <c r="BH699" s="286"/>
      <c r="BI699" s="286"/>
      <c r="BJ699" s="286"/>
      <c r="BK699" s="286"/>
      <c r="BL699" s="286"/>
      <c r="BM699" s="286"/>
      <c r="BN699" s="286"/>
      <c r="BO699" s="286"/>
      <c r="BP699" s="286"/>
      <c r="BQ699" s="286"/>
      <c r="BR699" s="286"/>
      <c r="BS699" s="286"/>
      <c r="BT699" s="286"/>
      <c r="BU699" s="286"/>
      <c r="BV699" s="286"/>
      <c r="BW699" s="286"/>
      <c r="BX699" s="286"/>
      <c r="BY699" s="286"/>
      <c r="BZ699" s="286"/>
      <c r="CA699" s="286"/>
      <c r="CB699" s="286"/>
      <c r="CC699" s="286"/>
      <c r="CD699" s="286"/>
      <c r="CE699" s="286"/>
      <c r="CF699" s="286"/>
      <c r="CG699" s="286"/>
      <c r="CH699" s="286"/>
      <c r="CI699" s="286"/>
      <c r="CJ699" s="286"/>
      <c r="CK699" s="286"/>
      <c r="CL699" s="286"/>
      <c r="CM699" s="286"/>
      <c r="CN699" s="286"/>
      <c r="CO699" s="286"/>
      <c r="CP699" s="286"/>
      <c r="CQ699" s="286"/>
      <c r="CR699" s="286"/>
      <c r="CS699" s="286"/>
      <c r="CT699" s="286"/>
      <c r="CU699" s="286"/>
      <c r="CV699" s="286"/>
      <c r="CW699" s="286"/>
      <c r="CX699" s="286"/>
      <c r="CY699" s="286"/>
      <c r="CZ699" s="286"/>
      <c r="DA699" s="286"/>
      <c r="DB699" s="286"/>
      <c r="DC699" s="286"/>
      <c r="DD699" s="286"/>
      <c r="DE699" s="286"/>
      <c r="DF699" s="286"/>
      <c r="DG699" s="286"/>
      <c r="DH699" s="286"/>
      <c r="DI699" s="286"/>
      <c r="DJ699" s="286"/>
      <c r="DK699" s="286"/>
      <c r="DL699" s="286"/>
      <c r="DM699" s="286"/>
      <c r="DN699" s="286"/>
      <c r="DO699" s="286"/>
      <c r="DP699" s="286"/>
      <c r="DQ699" s="286"/>
      <c r="DR699" s="286"/>
      <c r="DS699" s="286"/>
      <c r="DT699" s="286"/>
      <c r="DU699" s="286"/>
      <c r="DV699" s="286"/>
      <c r="DW699" s="286"/>
      <c r="DX699" s="286"/>
      <c r="DY699" s="286"/>
      <c r="DZ699" s="286"/>
      <c r="EA699" s="286"/>
      <c r="EB699" s="286"/>
      <c r="EC699" s="286"/>
      <c r="ED699" s="286"/>
      <c r="EE699" s="286"/>
      <c r="EF699" s="286"/>
      <c r="EG699" s="286"/>
      <c r="EH699" s="286"/>
      <c r="EI699" s="286"/>
      <c r="EJ699" s="286"/>
      <c r="EK699" s="286"/>
      <c r="EL699" s="286"/>
      <c r="EM699" s="286"/>
      <c r="EN699" s="286"/>
      <c r="EO699" s="286"/>
      <c r="EP699" s="286"/>
      <c r="EQ699" s="286"/>
      <c r="ER699" s="286"/>
      <c r="ES699" s="286"/>
      <c r="ET699" s="286"/>
      <c r="EU699" s="286"/>
      <c r="EV699" s="286"/>
      <c r="EW699" s="286"/>
      <c r="EX699" s="286"/>
      <c r="EY699" s="286"/>
      <c r="EZ699" s="286"/>
      <c r="FA699" s="286"/>
      <c r="FB699" s="286"/>
      <c r="FC699" s="286"/>
      <c r="FD699" s="286"/>
      <c r="FE699" s="286"/>
      <c r="FF699" s="286"/>
      <c r="FG699" s="286"/>
      <c r="FH699" s="286"/>
      <c r="FI699" s="286"/>
      <c r="FJ699" s="286"/>
      <c r="FK699" s="286"/>
      <c r="FL699" s="286"/>
      <c r="FM699" s="286"/>
      <c r="FN699" s="286"/>
      <c r="FO699" s="286"/>
      <c r="FP699" s="286"/>
      <c r="FQ699" s="286"/>
      <c r="FR699" s="286"/>
      <c r="FS699" s="286"/>
    </row>
    <row r="700" spans="1:175">
      <c r="A700" s="212" t="s">
        <v>3159</v>
      </c>
      <c r="B700" s="212" t="s">
        <v>3160</v>
      </c>
      <c r="C700" s="212" t="s">
        <v>3172</v>
      </c>
      <c r="D700" s="212" t="s">
        <v>3861</v>
      </c>
      <c r="E700" s="212" t="s">
        <v>3884</v>
      </c>
      <c r="F700" s="278">
        <v>68844</v>
      </c>
      <c r="G700" s="278">
        <v>1133473</v>
      </c>
      <c r="H700" s="287">
        <f t="shared" si="10"/>
        <v>3.4514276034806302</v>
      </c>
      <c r="I700" s="286">
        <v>2687</v>
      </c>
      <c r="J700" s="286">
        <v>39121</v>
      </c>
      <c r="K700" s="286">
        <v>4903</v>
      </c>
      <c r="L700" s="286">
        <v>34013</v>
      </c>
      <c r="M700" s="286">
        <v>36901</v>
      </c>
      <c r="N700" s="286">
        <v>4278</v>
      </c>
      <c r="O700" s="286">
        <v>32418</v>
      </c>
      <c r="P700" s="286">
        <v>2123</v>
      </c>
      <c r="Q700" s="286">
        <v>29374</v>
      </c>
      <c r="R700" s="286">
        <v>4287</v>
      </c>
      <c r="S700" s="286">
        <v>24882</v>
      </c>
      <c r="T700" s="286">
        <v>27659</v>
      </c>
      <c r="U700" s="286">
        <v>3687</v>
      </c>
      <c r="V700" s="286">
        <v>23767</v>
      </c>
      <c r="W700" s="286"/>
      <c r="X700" s="286"/>
      <c r="Y700" s="286"/>
      <c r="Z700" s="286"/>
      <c r="AA700" s="286"/>
      <c r="AB700" s="286"/>
      <c r="AC700" s="286"/>
      <c r="AD700" s="286"/>
      <c r="AE700" s="286"/>
      <c r="AF700" s="286"/>
      <c r="AG700" s="286"/>
      <c r="AH700" s="286"/>
      <c r="AI700" s="286"/>
      <c r="AJ700" s="286"/>
      <c r="AK700" s="286"/>
      <c r="AL700" s="286"/>
      <c r="AM700" s="286"/>
      <c r="AN700" s="286"/>
      <c r="AO700" s="286"/>
      <c r="AP700" s="286"/>
      <c r="AQ700" s="286"/>
      <c r="AR700" s="286"/>
      <c r="AS700" s="286"/>
      <c r="AT700" s="286"/>
      <c r="AU700" s="286"/>
      <c r="AV700" s="286"/>
      <c r="AW700" s="286"/>
      <c r="AX700" s="286"/>
      <c r="AY700" s="286"/>
      <c r="AZ700" s="286"/>
      <c r="BA700" s="286"/>
      <c r="BB700" s="286"/>
      <c r="BC700" s="286"/>
      <c r="BD700" s="286"/>
      <c r="BE700" s="286"/>
      <c r="BF700" s="286"/>
      <c r="BG700" s="286"/>
      <c r="BH700" s="286"/>
      <c r="BI700" s="286"/>
      <c r="BJ700" s="286"/>
      <c r="BK700" s="286"/>
      <c r="BL700" s="286"/>
      <c r="BM700" s="286"/>
      <c r="BN700" s="286"/>
      <c r="BO700" s="286"/>
      <c r="BP700" s="286"/>
      <c r="BQ700" s="286"/>
      <c r="BR700" s="286"/>
      <c r="BS700" s="286"/>
      <c r="BT700" s="286"/>
      <c r="BU700" s="286"/>
      <c r="BV700" s="286"/>
      <c r="BW700" s="286"/>
      <c r="BX700" s="286"/>
      <c r="BY700" s="286"/>
      <c r="BZ700" s="286"/>
      <c r="CA700" s="286"/>
      <c r="CB700" s="286"/>
      <c r="CC700" s="286"/>
      <c r="CD700" s="286"/>
      <c r="CE700" s="286"/>
      <c r="CF700" s="286"/>
      <c r="CG700" s="286"/>
      <c r="CH700" s="286"/>
      <c r="CI700" s="286"/>
      <c r="CJ700" s="286"/>
      <c r="CK700" s="286"/>
      <c r="CL700" s="286"/>
      <c r="CM700" s="286"/>
      <c r="CN700" s="286"/>
      <c r="CO700" s="286"/>
      <c r="CP700" s="286"/>
      <c r="CQ700" s="286"/>
      <c r="CR700" s="286"/>
      <c r="CS700" s="286"/>
      <c r="CT700" s="286"/>
      <c r="CU700" s="286"/>
      <c r="CV700" s="286"/>
      <c r="CW700" s="286"/>
      <c r="CX700" s="286"/>
      <c r="CY700" s="286"/>
      <c r="CZ700" s="286"/>
      <c r="DA700" s="286"/>
      <c r="DB700" s="286"/>
      <c r="DC700" s="286"/>
      <c r="DD700" s="286"/>
      <c r="DE700" s="286"/>
      <c r="DF700" s="286"/>
      <c r="DG700" s="286"/>
      <c r="DH700" s="286"/>
      <c r="DI700" s="286"/>
      <c r="DJ700" s="286"/>
      <c r="DK700" s="286"/>
      <c r="DL700" s="286"/>
      <c r="DM700" s="286"/>
      <c r="DN700" s="286"/>
      <c r="DO700" s="286"/>
      <c r="DP700" s="286"/>
      <c r="DQ700" s="286"/>
      <c r="DR700" s="286"/>
      <c r="DS700" s="286"/>
      <c r="DT700" s="286"/>
      <c r="DU700" s="286"/>
      <c r="DV700" s="286"/>
      <c r="DW700" s="286"/>
      <c r="DX700" s="286"/>
      <c r="DY700" s="286"/>
      <c r="DZ700" s="286"/>
      <c r="EA700" s="286"/>
      <c r="EB700" s="286"/>
      <c r="EC700" s="286"/>
      <c r="ED700" s="286"/>
      <c r="EE700" s="286"/>
      <c r="EF700" s="286"/>
      <c r="EG700" s="286"/>
      <c r="EH700" s="286"/>
      <c r="EI700" s="286"/>
      <c r="EJ700" s="286"/>
      <c r="EK700" s="286"/>
      <c r="EL700" s="286"/>
      <c r="EM700" s="286"/>
      <c r="EN700" s="286"/>
      <c r="EO700" s="286"/>
      <c r="EP700" s="286"/>
      <c r="EQ700" s="286"/>
      <c r="ER700" s="286"/>
      <c r="ES700" s="286"/>
      <c r="ET700" s="286"/>
      <c r="EU700" s="286"/>
      <c r="EV700" s="286"/>
      <c r="EW700" s="286"/>
      <c r="EX700" s="286"/>
      <c r="EY700" s="286"/>
      <c r="EZ700" s="286"/>
      <c r="FA700" s="286"/>
      <c r="FB700" s="286"/>
      <c r="FC700" s="286"/>
      <c r="FD700" s="286"/>
      <c r="FE700" s="286"/>
      <c r="FF700" s="286"/>
      <c r="FG700" s="286"/>
      <c r="FH700" s="286"/>
      <c r="FI700" s="286"/>
      <c r="FJ700" s="286"/>
      <c r="FK700" s="286"/>
      <c r="FL700" s="286"/>
      <c r="FM700" s="286"/>
      <c r="FN700" s="286"/>
      <c r="FO700" s="286"/>
      <c r="FP700" s="286"/>
      <c r="FQ700" s="286"/>
      <c r="FR700" s="286"/>
      <c r="FS700" s="286"/>
    </row>
    <row r="701" spans="1:175">
      <c r="A701" s="212" t="s">
        <v>3159</v>
      </c>
      <c r="B701" s="212" t="s">
        <v>3160</v>
      </c>
      <c r="C701" s="212" t="s">
        <v>3432</v>
      </c>
      <c r="D701" s="212" t="s">
        <v>3861</v>
      </c>
      <c r="E701" s="212" t="s">
        <v>3885</v>
      </c>
      <c r="F701" s="278">
        <v>35473</v>
      </c>
      <c r="G701" s="278">
        <v>770122</v>
      </c>
      <c r="H701" s="287">
        <f t="shared" si="10"/>
        <v>3.1989736691069726</v>
      </c>
      <c r="I701" s="286">
        <v>1284</v>
      </c>
      <c r="J701" s="286">
        <v>24636</v>
      </c>
      <c r="K701" s="286">
        <v>1736</v>
      </c>
      <c r="L701" s="286">
        <v>22774</v>
      </c>
      <c r="M701" s="286">
        <v>23572</v>
      </c>
      <c r="N701" s="286">
        <v>1435</v>
      </c>
      <c r="O701" s="286">
        <v>22011</v>
      </c>
      <c r="P701" s="286">
        <v>1067</v>
      </c>
      <c r="Q701" s="286">
        <v>17901</v>
      </c>
      <c r="R701" s="286">
        <v>1563</v>
      </c>
      <c r="S701" s="286">
        <v>16212</v>
      </c>
      <c r="T701" s="286">
        <v>16966</v>
      </c>
      <c r="U701" s="286">
        <v>1264</v>
      </c>
      <c r="V701" s="286">
        <v>15576</v>
      </c>
      <c r="W701" s="286"/>
      <c r="X701" s="286"/>
      <c r="Y701" s="286"/>
      <c r="Z701" s="286"/>
      <c r="AA701" s="286"/>
      <c r="AB701" s="286"/>
      <c r="AC701" s="286"/>
      <c r="AD701" s="286"/>
      <c r="AE701" s="286"/>
      <c r="AF701" s="286"/>
      <c r="AG701" s="286"/>
      <c r="AH701" s="286"/>
      <c r="AI701" s="286"/>
      <c r="AJ701" s="286"/>
      <c r="AK701" s="286"/>
      <c r="AL701" s="286"/>
      <c r="AM701" s="286"/>
      <c r="AN701" s="286"/>
      <c r="AO701" s="286"/>
      <c r="AP701" s="286"/>
      <c r="AQ701" s="286"/>
      <c r="AR701" s="286"/>
      <c r="AS701" s="286"/>
      <c r="AT701" s="286"/>
      <c r="AU701" s="286"/>
      <c r="AV701" s="286"/>
      <c r="AW701" s="286"/>
      <c r="AX701" s="286"/>
      <c r="AY701" s="286"/>
      <c r="AZ701" s="286"/>
      <c r="BA701" s="286"/>
      <c r="BB701" s="286"/>
      <c r="BC701" s="286"/>
      <c r="BD701" s="286"/>
      <c r="BE701" s="286"/>
      <c r="BF701" s="286"/>
      <c r="BG701" s="286"/>
      <c r="BH701" s="286"/>
      <c r="BI701" s="286"/>
      <c r="BJ701" s="286"/>
      <c r="BK701" s="286"/>
      <c r="BL701" s="286"/>
      <c r="BM701" s="286"/>
      <c r="BN701" s="286"/>
      <c r="BO701" s="286"/>
      <c r="BP701" s="286"/>
      <c r="BQ701" s="286"/>
      <c r="BR701" s="286"/>
      <c r="BS701" s="286"/>
      <c r="BT701" s="286"/>
      <c r="BU701" s="286"/>
      <c r="BV701" s="286"/>
      <c r="BW701" s="286"/>
      <c r="BX701" s="286"/>
      <c r="BY701" s="286"/>
      <c r="BZ701" s="286"/>
      <c r="CA701" s="286"/>
      <c r="CB701" s="286"/>
      <c r="CC701" s="286"/>
      <c r="CD701" s="286"/>
      <c r="CE701" s="286"/>
      <c r="CF701" s="286"/>
      <c r="CG701" s="286"/>
      <c r="CH701" s="286"/>
      <c r="CI701" s="286"/>
      <c r="CJ701" s="286"/>
      <c r="CK701" s="286"/>
      <c r="CL701" s="286"/>
      <c r="CM701" s="286"/>
      <c r="CN701" s="286"/>
      <c r="CO701" s="286"/>
      <c r="CP701" s="286"/>
      <c r="CQ701" s="286"/>
      <c r="CR701" s="286"/>
      <c r="CS701" s="286"/>
      <c r="CT701" s="286"/>
      <c r="CU701" s="286"/>
      <c r="CV701" s="286"/>
      <c r="CW701" s="286"/>
      <c r="CX701" s="286"/>
      <c r="CY701" s="286"/>
      <c r="CZ701" s="286"/>
      <c r="DA701" s="286"/>
      <c r="DB701" s="286"/>
      <c r="DC701" s="286"/>
      <c r="DD701" s="286"/>
      <c r="DE701" s="286"/>
      <c r="DF701" s="286"/>
      <c r="DG701" s="286"/>
      <c r="DH701" s="286"/>
      <c r="DI701" s="286"/>
      <c r="DJ701" s="286"/>
      <c r="DK701" s="286"/>
      <c r="DL701" s="286"/>
      <c r="DM701" s="286"/>
      <c r="DN701" s="286"/>
      <c r="DO701" s="286"/>
      <c r="DP701" s="286"/>
      <c r="DQ701" s="286"/>
      <c r="DR701" s="286"/>
      <c r="DS701" s="286"/>
      <c r="DT701" s="286"/>
      <c r="DU701" s="286"/>
      <c r="DV701" s="286"/>
      <c r="DW701" s="286"/>
      <c r="DX701" s="286"/>
      <c r="DY701" s="286"/>
      <c r="DZ701" s="286"/>
      <c r="EA701" s="286"/>
      <c r="EB701" s="286"/>
      <c r="EC701" s="286"/>
      <c r="ED701" s="286"/>
      <c r="EE701" s="286"/>
      <c r="EF701" s="286"/>
      <c r="EG701" s="286"/>
      <c r="EH701" s="286"/>
      <c r="EI701" s="286"/>
      <c r="EJ701" s="286"/>
      <c r="EK701" s="286"/>
      <c r="EL701" s="286"/>
      <c r="EM701" s="286"/>
      <c r="EN701" s="286"/>
      <c r="EO701" s="286"/>
      <c r="EP701" s="286"/>
      <c r="EQ701" s="286"/>
      <c r="ER701" s="286"/>
      <c r="ES701" s="286"/>
      <c r="ET701" s="286"/>
      <c r="EU701" s="286"/>
      <c r="EV701" s="286"/>
      <c r="EW701" s="286"/>
      <c r="EX701" s="286"/>
      <c r="EY701" s="286"/>
      <c r="EZ701" s="286"/>
      <c r="FA701" s="286"/>
      <c r="FB701" s="286"/>
      <c r="FC701" s="286"/>
      <c r="FD701" s="286"/>
      <c r="FE701" s="286"/>
      <c r="FF701" s="286"/>
      <c r="FG701" s="286"/>
      <c r="FH701" s="286"/>
      <c r="FI701" s="286"/>
      <c r="FJ701" s="286"/>
      <c r="FK701" s="286"/>
      <c r="FL701" s="286"/>
      <c r="FM701" s="286"/>
      <c r="FN701" s="286"/>
      <c r="FO701" s="286"/>
      <c r="FP701" s="286"/>
      <c r="FQ701" s="286"/>
      <c r="FR701" s="286"/>
      <c r="FS701" s="286"/>
    </row>
    <row r="702" spans="1:175">
      <c r="A702" s="212" t="s">
        <v>3159</v>
      </c>
      <c r="B702" s="212" t="s">
        <v>3160</v>
      </c>
      <c r="C702" s="212" t="s">
        <v>3432</v>
      </c>
      <c r="D702" s="212" t="s">
        <v>3861</v>
      </c>
      <c r="E702" s="212" t="s">
        <v>3886</v>
      </c>
      <c r="F702" s="278">
        <v>33371</v>
      </c>
      <c r="G702" s="278">
        <v>363351</v>
      </c>
      <c r="H702" s="287">
        <f t="shared" si="10"/>
        <v>3.9865034085498596</v>
      </c>
      <c r="I702" s="286">
        <v>1403</v>
      </c>
      <c r="J702" s="286">
        <v>14485</v>
      </c>
      <c r="K702" s="286">
        <v>3167</v>
      </c>
      <c r="L702" s="286">
        <v>11239</v>
      </c>
      <c r="M702" s="286">
        <v>13329</v>
      </c>
      <c r="N702" s="286">
        <v>2843</v>
      </c>
      <c r="O702" s="286">
        <v>10407</v>
      </c>
      <c r="P702" s="286">
        <v>1056</v>
      </c>
      <c r="Q702" s="286">
        <v>11473</v>
      </c>
      <c r="R702" s="286">
        <v>2724</v>
      </c>
      <c r="S702" s="286">
        <v>8670</v>
      </c>
      <c r="T702" s="286">
        <v>10693</v>
      </c>
      <c r="U702" s="286">
        <v>2423</v>
      </c>
      <c r="V702" s="286">
        <v>8191</v>
      </c>
      <c r="W702" s="286"/>
      <c r="X702" s="286"/>
      <c r="Y702" s="286"/>
      <c r="Z702" s="286"/>
      <c r="AA702" s="286"/>
      <c r="AB702" s="286"/>
      <c r="AC702" s="286"/>
      <c r="AD702" s="286"/>
      <c r="AE702" s="286"/>
      <c r="AF702" s="286"/>
      <c r="AG702" s="286"/>
      <c r="AH702" s="286"/>
      <c r="AI702" s="286"/>
      <c r="AJ702" s="286"/>
      <c r="AK702" s="286"/>
      <c r="AL702" s="286"/>
      <c r="AM702" s="286"/>
      <c r="AN702" s="286"/>
      <c r="AO702" s="286"/>
      <c r="AP702" s="286"/>
      <c r="AQ702" s="286"/>
      <c r="AR702" s="286"/>
      <c r="AS702" s="286"/>
      <c r="AT702" s="286"/>
      <c r="AU702" s="286"/>
      <c r="AV702" s="286"/>
      <c r="AW702" s="286"/>
      <c r="AX702" s="286"/>
      <c r="AY702" s="286"/>
      <c r="AZ702" s="286"/>
      <c r="BA702" s="286"/>
      <c r="BB702" s="286"/>
      <c r="BC702" s="286"/>
      <c r="BD702" s="286"/>
      <c r="BE702" s="286"/>
      <c r="BF702" s="286"/>
      <c r="BG702" s="286"/>
      <c r="BH702" s="286"/>
      <c r="BI702" s="286"/>
      <c r="BJ702" s="286"/>
      <c r="BK702" s="286"/>
      <c r="BL702" s="286"/>
      <c r="BM702" s="286"/>
      <c r="BN702" s="286"/>
      <c r="BO702" s="286"/>
      <c r="BP702" s="286"/>
      <c r="BQ702" s="286"/>
      <c r="BR702" s="286"/>
      <c r="BS702" s="286"/>
      <c r="BT702" s="286"/>
      <c r="BU702" s="286"/>
      <c r="BV702" s="286"/>
      <c r="BW702" s="286"/>
      <c r="BX702" s="286"/>
      <c r="BY702" s="286"/>
      <c r="BZ702" s="286"/>
      <c r="CA702" s="286"/>
      <c r="CB702" s="286"/>
      <c r="CC702" s="286"/>
      <c r="CD702" s="286"/>
      <c r="CE702" s="286"/>
      <c r="CF702" s="286"/>
      <c r="CG702" s="286"/>
      <c r="CH702" s="286"/>
      <c r="CI702" s="286"/>
      <c r="CJ702" s="286"/>
      <c r="CK702" s="286"/>
      <c r="CL702" s="286"/>
      <c r="CM702" s="286"/>
      <c r="CN702" s="286"/>
      <c r="CO702" s="286"/>
      <c r="CP702" s="286"/>
      <c r="CQ702" s="286"/>
      <c r="CR702" s="286"/>
      <c r="CS702" s="286"/>
      <c r="CT702" s="286"/>
      <c r="CU702" s="286"/>
      <c r="CV702" s="286"/>
      <c r="CW702" s="286"/>
      <c r="CX702" s="286"/>
      <c r="CY702" s="286"/>
      <c r="CZ702" s="286"/>
      <c r="DA702" s="286"/>
      <c r="DB702" s="286"/>
      <c r="DC702" s="286"/>
      <c r="DD702" s="286"/>
      <c r="DE702" s="286"/>
      <c r="DF702" s="286"/>
      <c r="DG702" s="286"/>
      <c r="DH702" s="286"/>
      <c r="DI702" s="286"/>
      <c r="DJ702" s="286"/>
      <c r="DK702" s="286"/>
      <c r="DL702" s="286"/>
      <c r="DM702" s="286"/>
      <c r="DN702" s="286"/>
      <c r="DO702" s="286"/>
      <c r="DP702" s="286"/>
      <c r="DQ702" s="286"/>
      <c r="DR702" s="286"/>
      <c r="DS702" s="286"/>
      <c r="DT702" s="286"/>
      <c r="DU702" s="286"/>
      <c r="DV702" s="286"/>
      <c r="DW702" s="286"/>
      <c r="DX702" s="286"/>
      <c r="DY702" s="286"/>
      <c r="DZ702" s="286"/>
      <c r="EA702" s="286"/>
      <c r="EB702" s="286"/>
      <c r="EC702" s="286"/>
      <c r="ED702" s="286"/>
      <c r="EE702" s="286"/>
      <c r="EF702" s="286"/>
      <c r="EG702" s="286"/>
      <c r="EH702" s="286"/>
      <c r="EI702" s="286"/>
      <c r="EJ702" s="286"/>
      <c r="EK702" s="286"/>
      <c r="EL702" s="286"/>
      <c r="EM702" s="286"/>
      <c r="EN702" s="286"/>
      <c r="EO702" s="286"/>
      <c r="EP702" s="286"/>
      <c r="EQ702" s="286"/>
      <c r="ER702" s="286"/>
      <c r="ES702" s="286"/>
      <c r="ET702" s="286"/>
      <c r="EU702" s="286"/>
      <c r="EV702" s="286"/>
      <c r="EW702" s="286"/>
      <c r="EX702" s="286"/>
      <c r="EY702" s="286"/>
      <c r="EZ702" s="286"/>
      <c r="FA702" s="286"/>
      <c r="FB702" s="286"/>
      <c r="FC702" s="286"/>
      <c r="FD702" s="286"/>
      <c r="FE702" s="286"/>
      <c r="FF702" s="286"/>
      <c r="FG702" s="286"/>
      <c r="FH702" s="286"/>
      <c r="FI702" s="286"/>
      <c r="FJ702" s="286"/>
      <c r="FK702" s="286"/>
      <c r="FL702" s="286"/>
      <c r="FM702" s="286"/>
      <c r="FN702" s="286"/>
      <c r="FO702" s="286"/>
      <c r="FP702" s="286"/>
      <c r="FQ702" s="286"/>
      <c r="FR702" s="286"/>
      <c r="FS702" s="286"/>
    </row>
    <row r="703" spans="1:175">
      <c r="A703" s="212" t="s">
        <v>3159</v>
      </c>
      <c r="B703" s="212" t="s">
        <v>3160</v>
      </c>
      <c r="C703" s="212" t="s">
        <v>3172</v>
      </c>
      <c r="D703" s="212" t="s">
        <v>3861</v>
      </c>
      <c r="E703" s="212" t="s">
        <v>3887</v>
      </c>
      <c r="F703" s="278">
        <v>113437</v>
      </c>
      <c r="G703" s="278">
        <v>2540897</v>
      </c>
      <c r="H703" s="287">
        <f t="shared" si="10"/>
        <v>4.4533485615512944</v>
      </c>
      <c r="I703" s="286">
        <v>4631</v>
      </c>
      <c r="J703" s="286">
        <v>113155</v>
      </c>
      <c r="K703" s="286">
        <v>28052</v>
      </c>
      <c r="L703" s="286">
        <v>84457</v>
      </c>
      <c r="M703" s="286">
        <v>108638</v>
      </c>
      <c r="N703" s="286">
        <v>26458</v>
      </c>
      <c r="O703" s="286">
        <v>81620</v>
      </c>
      <c r="P703" s="286">
        <v>4604</v>
      </c>
      <c r="Q703" s="286">
        <v>112688</v>
      </c>
      <c r="R703" s="286">
        <v>27935</v>
      </c>
      <c r="S703" s="286">
        <v>84107</v>
      </c>
      <c r="T703" s="286">
        <v>108174</v>
      </c>
      <c r="U703" s="286">
        <v>26341</v>
      </c>
      <c r="V703" s="286">
        <v>81273</v>
      </c>
      <c r="W703" s="286"/>
      <c r="X703" s="286"/>
      <c r="Y703" s="286"/>
      <c r="Z703" s="286"/>
      <c r="AA703" s="286"/>
      <c r="AB703" s="286"/>
      <c r="AC703" s="286"/>
      <c r="AD703" s="286"/>
      <c r="AE703" s="286"/>
      <c r="AF703" s="286"/>
      <c r="AG703" s="286"/>
      <c r="AH703" s="286"/>
      <c r="AI703" s="286"/>
      <c r="AJ703" s="286"/>
      <c r="AK703" s="286"/>
      <c r="AL703" s="286"/>
      <c r="AM703" s="286"/>
      <c r="AN703" s="286"/>
      <c r="AO703" s="286"/>
      <c r="AP703" s="286"/>
      <c r="AQ703" s="286"/>
      <c r="AR703" s="286"/>
      <c r="AS703" s="286"/>
      <c r="AT703" s="286"/>
      <c r="AU703" s="286"/>
      <c r="AV703" s="286"/>
      <c r="AW703" s="286"/>
      <c r="AX703" s="286"/>
      <c r="AY703" s="286"/>
      <c r="AZ703" s="286"/>
      <c r="BA703" s="286"/>
      <c r="BB703" s="286"/>
      <c r="BC703" s="286"/>
      <c r="BD703" s="286"/>
      <c r="BE703" s="286"/>
      <c r="BF703" s="286"/>
      <c r="BG703" s="286"/>
      <c r="BH703" s="286"/>
      <c r="BI703" s="286"/>
      <c r="BJ703" s="286"/>
      <c r="BK703" s="286"/>
      <c r="BL703" s="286"/>
      <c r="BM703" s="286"/>
      <c r="BN703" s="286"/>
      <c r="BO703" s="286"/>
      <c r="BP703" s="286"/>
      <c r="BQ703" s="286"/>
      <c r="BR703" s="286"/>
      <c r="BS703" s="286"/>
      <c r="BT703" s="286"/>
      <c r="BU703" s="286"/>
      <c r="BV703" s="286"/>
      <c r="BW703" s="286"/>
      <c r="BX703" s="286"/>
      <c r="BY703" s="286"/>
      <c r="BZ703" s="286"/>
      <c r="CA703" s="286"/>
      <c r="CB703" s="286"/>
      <c r="CC703" s="286"/>
      <c r="CD703" s="286"/>
      <c r="CE703" s="286"/>
      <c r="CF703" s="286"/>
      <c r="CG703" s="286"/>
      <c r="CH703" s="286"/>
      <c r="CI703" s="286"/>
      <c r="CJ703" s="286"/>
      <c r="CK703" s="286"/>
      <c r="CL703" s="286"/>
      <c r="CM703" s="286"/>
      <c r="CN703" s="286"/>
      <c r="CO703" s="286"/>
      <c r="CP703" s="286"/>
      <c r="CQ703" s="286"/>
      <c r="CR703" s="286"/>
      <c r="CS703" s="286"/>
      <c r="CT703" s="286"/>
      <c r="CU703" s="286"/>
      <c r="CV703" s="286"/>
      <c r="CW703" s="286"/>
      <c r="CX703" s="286"/>
      <c r="CY703" s="286"/>
      <c r="CZ703" s="286"/>
      <c r="DA703" s="286"/>
      <c r="DB703" s="286"/>
      <c r="DC703" s="286"/>
      <c r="DD703" s="286"/>
      <c r="DE703" s="286"/>
      <c r="DF703" s="286"/>
      <c r="DG703" s="286"/>
      <c r="DH703" s="286"/>
      <c r="DI703" s="286"/>
      <c r="DJ703" s="286"/>
      <c r="DK703" s="286"/>
      <c r="DL703" s="286"/>
      <c r="DM703" s="286"/>
      <c r="DN703" s="286"/>
      <c r="DO703" s="286"/>
      <c r="DP703" s="286"/>
      <c r="DQ703" s="286"/>
      <c r="DR703" s="286"/>
      <c r="DS703" s="286"/>
      <c r="DT703" s="286"/>
      <c r="DU703" s="286"/>
      <c r="DV703" s="286"/>
      <c r="DW703" s="286"/>
      <c r="DX703" s="286"/>
      <c r="DY703" s="286"/>
      <c r="DZ703" s="286"/>
      <c r="EA703" s="286"/>
      <c r="EB703" s="286"/>
      <c r="EC703" s="286"/>
      <c r="ED703" s="286"/>
      <c r="EE703" s="286"/>
      <c r="EF703" s="286"/>
      <c r="EG703" s="286"/>
      <c r="EH703" s="286"/>
      <c r="EI703" s="286"/>
      <c r="EJ703" s="286"/>
      <c r="EK703" s="286"/>
      <c r="EL703" s="286"/>
      <c r="EM703" s="286"/>
      <c r="EN703" s="286"/>
      <c r="EO703" s="286"/>
      <c r="EP703" s="286"/>
      <c r="EQ703" s="286"/>
      <c r="ER703" s="286"/>
      <c r="ES703" s="286"/>
      <c r="ET703" s="286"/>
      <c r="EU703" s="286"/>
      <c r="EV703" s="286"/>
      <c r="EW703" s="286"/>
      <c r="EX703" s="286"/>
      <c r="EY703" s="286"/>
      <c r="EZ703" s="286"/>
      <c r="FA703" s="286"/>
      <c r="FB703" s="286"/>
      <c r="FC703" s="286"/>
      <c r="FD703" s="286"/>
      <c r="FE703" s="286"/>
      <c r="FF703" s="286"/>
      <c r="FG703" s="286"/>
      <c r="FH703" s="286"/>
      <c r="FI703" s="286"/>
      <c r="FJ703" s="286"/>
      <c r="FK703" s="286"/>
      <c r="FL703" s="286"/>
      <c r="FM703" s="286"/>
      <c r="FN703" s="286"/>
      <c r="FO703" s="286"/>
      <c r="FP703" s="286"/>
      <c r="FQ703" s="286"/>
      <c r="FR703" s="286"/>
      <c r="FS703" s="286"/>
    </row>
    <row r="704" spans="1:175">
      <c r="A704" s="212" t="s">
        <v>3159</v>
      </c>
      <c r="B704" s="212" t="s">
        <v>3160</v>
      </c>
      <c r="C704" s="212" t="s">
        <v>3432</v>
      </c>
      <c r="D704" s="212" t="s">
        <v>3861</v>
      </c>
      <c r="E704" s="212" t="s">
        <v>3888</v>
      </c>
      <c r="F704" s="278">
        <v>9979</v>
      </c>
      <c r="G704" s="278">
        <v>647028</v>
      </c>
      <c r="H704" s="287">
        <f t="shared" si="10"/>
        <v>5.0328579288686113</v>
      </c>
      <c r="I704" s="286">
        <v>440</v>
      </c>
      <c r="J704" s="286">
        <v>32564</v>
      </c>
      <c r="K704" s="286">
        <v>9960</v>
      </c>
      <c r="L704" s="286">
        <v>22284</v>
      </c>
      <c r="M704" s="286">
        <v>32134</v>
      </c>
      <c r="N704" s="286">
        <v>9760</v>
      </c>
      <c r="O704" s="286">
        <v>22136</v>
      </c>
      <c r="P704" s="286">
        <v>439</v>
      </c>
      <c r="Q704" s="286">
        <v>32543</v>
      </c>
      <c r="R704" s="286">
        <v>9957</v>
      </c>
      <c r="S704" s="286">
        <v>22266</v>
      </c>
      <c r="T704" s="286">
        <v>32113</v>
      </c>
      <c r="U704" s="286">
        <v>9757</v>
      </c>
      <c r="V704" s="286">
        <v>22118</v>
      </c>
      <c r="W704" s="286"/>
      <c r="X704" s="286"/>
      <c r="Y704" s="286"/>
      <c r="Z704" s="286"/>
      <c r="AA704" s="286"/>
      <c r="AB704" s="286"/>
      <c r="AC704" s="286"/>
      <c r="AD704" s="286"/>
      <c r="AE704" s="286"/>
      <c r="AF704" s="286"/>
      <c r="AG704" s="286"/>
      <c r="AH704" s="286"/>
      <c r="AI704" s="286"/>
      <c r="AJ704" s="286"/>
      <c r="AK704" s="286"/>
      <c r="AL704" s="286"/>
      <c r="AM704" s="286"/>
      <c r="AN704" s="286"/>
      <c r="AO704" s="286"/>
      <c r="AP704" s="286"/>
      <c r="AQ704" s="286"/>
      <c r="AR704" s="286"/>
      <c r="AS704" s="286"/>
      <c r="AT704" s="286"/>
      <c r="AU704" s="286"/>
      <c r="AV704" s="286"/>
      <c r="AW704" s="286"/>
      <c r="AX704" s="286"/>
      <c r="AY704" s="286"/>
      <c r="AZ704" s="286"/>
      <c r="BA704" s="286"/>
      <c r="BB704" s="286"/>
      <c r="BC704" s="286"/>
      <c r="BD704" s="286"/>
      <c r="BE704" s="286"/>
      <c r="BF704" s="286"/>
      <c r="BG704" s="286"/>
      <c r="BH704" s="286"/>
      <c r="BI704" s="286"/>
      <c r="BJ704" s="286"/>
      <c r="BK704" s="286"/>
      <c r="BL704" s="286"/>
      <c r="BM704" s="286"/>
      <c r="BN704" s="286"/>
      <c r="BO704" s="286"/>
      <c r="BP704" s="286"/>
      <c r="BQ704" s="286"/>
      <c r="BR704" s="286"/>
      <c r="BS704" s="286"/>
      <c r="BT704" s="286"/>
      <c r="BU704" s="286"/>
      <c r="BV704" s="286"/>
      <c r="BW704" s="286"/>
      <c r="BX704" s="286"/>
      <c r="BY704" s="286"/>
      <c r="BZ704" s="286"/>
      <c r="CA704" s="286"/>
      <c r="CB704" s="286"/>
      <c r="CC704" s="286"/>
      <c r="CD704" s="286"/>
      <c r="CE704" s="286"/>
      <c r="CF704" s="286"/>
      <c r="CG704" s="286"/>
      <c r="CH704" s="286"/>
      <c r="CI704" s="286"/>
      <c r="CJ704" s="286"/>
      <c r="CK704" s="286"/>
      <c r="CL704" s="286"/>
      <c r="CM704" s="286"/>
      <c r="CN704" s="286"/>
      <c r="CO704" s="286"/>
      <c r="CP704" s="286"/>
      <c r="CQ704" s="286"/>
      <c r="CR704" s="286"/>
      <c r="CS704" s="286"/>
      <c r="CT704" s="286"/>
      <c r="CU704" s="286"/>
      <c r="CV704" s="286"/>
      <c r="CW704" s="286"/>
      <c r="CX704" s="286"/>
      <c r="CY704" s="286"/>
      <c r="CZ704" s="286"/>
      <c r="DA704" s="286"/>
      <c r="DB704" s="286"/>
      <c r="DC704" s="286"/>
      <c r="DD704" s="286"/>
      <c r="DE704" s="286"/>
      <c r="DF704" s="286"/>
      <c r="DG704" s="286"/>
      <c r="DH704" s="286"/>
      <c r="DI704" s="286"/>
      <c r="DJ704" s="286"/>
      <c r="DK704" s="286"/>
      <c r="DL704" s="286"/>
      <c r="DM704" s="286"/>
      <c r="DN704" s="286"/>
      <c r="DO704" s="286"/>
      <c r="DP704" s="286"/>
      <c r="DQ704" s="286"/>
      <c r="DR704" s="286"/>
      <c r="DS704" s="286"/>
      <c r="DT704" s="286"/>
      <c r="DU704" s="286"/>
      <c r="DV704" s="286"/>
      <c r="DW704" s="286"/>
      <c r="DX704" s="286"/>
      <c r="DY704" s="286"/>
      <c r="DZ704" s="286"/>
      <c r="EA704" s="286"/>
      <c r="EB704" s="286"/>
      <c r="EC704" s="286"/>
      <c r="ED704" s="286"/>
      <c r="EE704" s="286"/>
      <c r="EF704" s="286"/>
      <c r="EG704" s="286"/>
      <c r="EH704" s="286"/>
      <c r="EI704" s="286"/>
      <c r="EJ704" s="286"/>
      <c r="EK704" s="286"/>
      <c r="EL704" s="286"/>
      <c r="EM704" s="286"/>
      <c r="EN704" s="286"/>
      <c r="EO704" s="286"/>
      <c r="EP704" s="286"/>
      <c r="EQ704" s="286"/>
      <c r="ER704" s="286"/>
      <c r="ES704" s="286"/>
      <c r="ET704" s="286"/>
      <c r="EU704" s="286"/>
      <c r="EV704" s="286"/>
      <c r="EW704" s="286"/>
      <c r="EX704" s="286"/>
      <c r="EY704" s="286"/>
      <c r="EZ704" s="286"/>
      <c r="FA704" s="286"/>
      <c r="FB704" s="286"/>
      <c r="FC704" s="286"/>
      <c r="FD704" s="286"/>
      <c r="FE704" s="286"/>
      <c r="FF704" s="286"/>
      <c r="FG704" s="286"/>
      <c r="FH704" s="286"/>
      <c r="FI704" s="286"/>
      <c r="FJ704" s="286"/>
      <c r="FK704" s="286"/>
      <c r="FL704" s="286"/>
      <c r="FM704" s="286"/>
      <c r="FN704" s="286"/>
      <c r="FO704" s="286"/>
      <c r="FP704" s="286"/>
      <c r="FQ704" s="286"/>
      <c r="FR704" s="286"/>
      <c r="FS704" s="286"/>
    </row>
    <row r="705" spans="1:175">
      <c r="A705" s="212" t="s">
        <v>3159</v>
      </c>
      <c r="B705" s="212" t="s">
        <v>3160</v>
      </c>
      <c r="C705" s="212" t="s">
        <v>3432</v>
      </c>
      <c r="D705" s="212" t="s">
        <v>3861</v>
      </c>
      <c r="E705" s="212" t="s">
        <v>3889</v>
      </c>
      <c r="F705" s="278">
        <v>3755</v>
      </c>
      <c r="G705" s="278">
        <v>290999</v>
      </c>
      <c r="H705" s="287">
        <f t="shared" si="10"/>
        <v>4.42510111718597</v>
      </c>
      <c r="I705" s="286">
        <v>154</v>
      </c>
      <c r="J705" s="286">
        <v>12877</v>
      </c>
      <c r="K705" s="286">
        <v>3690</v>
      </c>
      <c r="L705" s="286">
        <v>9089</v>
      </c>
      <c r="M705" s="286">
        <v>12512</v>
      </c>
      <c r="N705" s="286">
        <v>3562</v>
      </c>
      <c r="O705" s="286">
        <v>8852</v>
      </c>
      <c r="P705" s="286">
        <v>148</v>
      </c>
      <c r="Q705" s="286">
        <v>12617</v>
      </c>
      <c r="R705" s="286">
        <v>3618</v>
      </c>
      <c r="S705" s="286">
        <v>8901</v>
      </c>
      <c r="T705" s="286">
        <v>12252</v>
      </c>
      <c r="U705" s="286">
        <v>3490</v>
      </c>
      <c r="V705" s="286">
        <v>8664</v>
      </c>
      <c r="W705" s="286"/>
      <c r="X705" s="286"/>
      <c r="Y705" s="286"/>
      <c r="Z705" s="286"/>
      <c r="AA705" s="286"/>
      <c r="AB705" s="286"/>
      <c r="AC705" s="286"/>
      <c r="AD705" s="286"/>
      <c r="AE705" s="286"/>
      <c r="AF705" s="286"/>
      <c r="AG705" s="286"/>
      <c r="AH705" s="286"/>
      <c r="AI705" s="286"/>
      <c r="AJ705" s="286"/>
      <c r="AK705" s="286"/>
      <c r="AL705" s="286"/>
      <c r="AM705" s="286"/>
      <c r="AN705" s="286"/>
      <c r="AO705" s="286"/>
      <c r="AP705" s="286"/>
      <c r="AQ705" s="286"/>
      <c r="AR705" s="286"/>
      <c r="AS705" s="286"/>
      <c r="AT705" s="286"/>
      <c r="AU705" s="286"/>
      <c r="AV705" s="286"/>
      <c r="AW705" s="286"/>
      <c r="AX705" s="286"/>
      <c r="AY705" s="286"/>
      <c r="AZ705" s="286"/>
      <c r="BA705" s="286"/>
      <c r="BB705" s="286"/>
      <c r="BC705" s="286"/>
      <c r="BD705" s="286"/>
      <c r="BE705" s="286"/>
      <c r="BF705" s="286"/>
      <c r="BG705" s="286"/>
      <c r="BH705" s="286"/>
      <c r="BI705" s="286"/>
      <c r="BJ705" s="286"/>
      <c r="BK705" s="286"/>
      <c r="BL705" s="286"/>
      <c r="BM705" s="286"/>
      <c r="BN705" s="286"/>
      <c r="BO705" s="286"/>
      <c r="BP705" s="286"/>
      <c r="BQ705" s="286"/>
      <c r="BR705" s="286"/>
      <c r="BS705" s="286"/>
      <c r="BT705" s="286"/>
      <c r="BU705" s="286"/>
      <c r="BV705" s="286"/>
      <c r="BW705" s="286"/>
      <c r="BX705" s="286"/>
      <c r="BY705" s="286"/>
      <c r="BZ705" s="286"/>
      <c r="CA705" s="286"/>
      <c r="CB705" s="286"/>
      <c r="CC705" s="286"/>
      <c r="CD705" s="286"/>
      <c r="CE705" s="286"/>
      <c r="CF705" s="286"/>
      <c r="CG705" s="286"/>
      <c r="CH705" s="286"/>
      <c r="CI705" s="286"/>
      <c r="CJ705" s="286"/>
      <c r="CK705" s="286"/>
      <c r="CL705" s="286"/>
      <c r="CM705" s="286"/>
      <c r="CN705" s="286"/>
      <c r="CO705" s="286"/>
      <c r="CP705" s="286"/>
      <c r="CQ705" s="286"/>
      <c r="CR705" s="286"/>
      <c r="CS705" s="286"/>
      <c r="CT705" s="286"/>
      <c r="CU705" s="286"/>
      <c r="CV705" s="286"/>
      <c r="CW705" s="286"/>
      <c r="CX705" s="286"/>
      <c r="CY705" s="286"/>
      <c r="CZ705" s="286"/>
      <c r="DA705" s="286"/>
      <c r="DB705" s="286"/>
      <c r="DC705" s="286"/>
      <c r="DD705" s="286"/>
      <c r="DE705" s="286"/>
      <c r="DF705" s="286"/>
      <c r="DG705" s="286"/>
      <c r="DH705" s="286"/>
      <c r="DI705" s="286"/>
      <c r="DJ705" s="286"/>
      <c r="DK705" s="286"/>
      <c r="DL705" s="286"/>
      <c r="DM705" s="286"/>
      <c r="DN705" s="286"/>
      <c r="DO705" s="286"/>
      <c r="DP705" s="286"/>
      <c r="DQ705" s="286"/>
      <c r="DR705" s="286"/>
      <c r="DS705" s="286"/>
      <c r="DT705" s="286"/>
      <c r="DU705" s="286"/>
      <c r="DV705" s="286"/>
      <c r="DW705" s="286"/>
      <c r="DX705" s="286"/>
      <c r="DY705" s="286"/>
      <c r="DZ705" s="286"/>
      <c r="EA705" s="286"/>
      <c r="EB705" s="286"/>
      <c r="EC705" s="286"/>
      <c r="ED705" s="286"/>
      <c r="EE705" s="286"/>
      <c r="EF705" s="286"/>
      <c r="EG705" s="286"/>
      <c r="EH705" s="286"/>
      <c r="EI705" s="286"/>
      <c r="EJ705" s="286"/>
      <c r="EK705" s="286"/>
      <c r="EL705" s="286"/>
      <c r="EM705" s="286"/>
      <c r="EN705" s="286"/>
      <c r="EO705" s="286"/>
      <c r="EP705" s="286"/>
      <c r="EQ705" s="286"/>
      <c r="ER705" s="286"/>
      <c r="ES705" s="286"/>
      <c r="ET705" s="286"/>
      <c r="EU705" s="286"/>
      <c r="EV705" s="286"/>
      <c r="EW705" s="286"/>
      <c r="EX705" s="286"/>
      <c r="EY705" s="286"/>
      <c r="EZ705" s="286"/>
      <c r="FA705" s="286"/>
      <c r="FB705" s="286"/>
      <c r="FC705" s="286"/>
      <c r="FD705" s="286"/>
      <c r="FE705" s="286"/>
      <c r="FF705" s="286"/>
      <c r="FG705" s="286"/>
      <c r="FH705" s="286"/>
      <c r="FI705" s="286"/>
      <c r="FJ705" s="286"/>
      <c r="FK705" s="286"/>
      <c r="FL705" s="286"/>
      <c r="FM705" s="286"/>
      <c r="FN705" s="286"/>
      <c r="FO705" s="286"/>
      <c r="FP705" s="286"/>
      <c r="FQ705" s="286"/>
      <c r="FR705" s="286"/>
      <c r="FS705" s="286"/>
    </row>
    <row r="706" spans="1:175">
      <c r="A706" s="212" t="s">
        <v>3159</v>
      </c>
      <c r="B706" s="212" t="s">
        <v>3160</v>
      </c>
      <c r="C706" s="212" t="s">
        <v>3432</v>
      </c>
      <c r="D706" s="212" t="s">
        <v>3861</v>
      </c>
      <c r="E706" s="212" t="s">
        <v>3890</v>
      </c>
      <c r="F706" s="278">
        <v>38076</v>
      </c>
      <c r="G706" s="278">
        <v>596474</v>
      </c>
      <c r="H706" s="287">
        <f t="shared" si="10"/>
        <v>3.8818121158675818</v>
      </c>
      <c r="I706" s="286">
        <v>1586</v>
      </c>
      <c r="J706" s="286">
        <v>23154</v>
      </c>
      <c r="K706" s="286">
        <v>5599</v>
      </c>
      <c r="L706" s="286">
        <v>17503</v>
      </c>
      <c r="M706" s="286">
        <v>21881</v>
      </c>
      <c r="N706" s="286">
        <v>5063</v>
      </c>
      <c r="O706" s="286">
        <v>16767</v>
      </c>
      <c r="P706" s="286">
        <v>1585</v>
      </c>
      <c r="Q706" s="286">
        <v>23148</v>
      </c>
      <c r="R706" s="286">
        <v>5599</v>
      </c>
      <c r="S706" s="286">
        <v>17497</v>
      </c>
      <c r="T706" s="286">
        <v>21875</v>
      </c>
      <c r="U706" s="286">
        <v>5063</v>
      </c>
      <c r="V706" s="286">
        <v>16761</v>
      </c>
      <c r="W706" s="286"/>
      <c r="X706" s="286"/>
      <c r="Y706" s="286"/>
      <c r="Z706" s="286"/>
      <c r="AA706" s="286"/>
      <c r="AB706" s="286"/>
      <c r="AC706" s="286"/>
      <c r="AD706" s="286"/>
      <c r="AE706" s="286"/>
      <c r="AF706" s="286"/>
      <c r="AG706" s="286"/>
      <c r="AH706" s="286"/>
      <c r="AI706" s="286"/>
      <c r="AJ706" s="286"/>
      <c r="AK706" s="286"/>
      <c r="AL706" s="286"/>
      <c r="AM706" s="286"/>
      <c r="AN706" s="286"/>
      <c r="AO706" s="286"/>
      <c r="AP706" s="286"/>
      <c r="AQ706" s="286"/>
      <c r="AR706" s="286"/>
      <c r="AS706" s="286"/>
      <c r="AT706" s="286"/>
      <c r="AU706" s="286"/>
      <c r="AV706" s="286"/>
      <c r="AW706" s="286"/>
      <c r="AX706" s="286"/>
      <c r="AY706" s="286"/>
      <c r="AZ706" s="286"/>
      <c r="BA706" s="286"/>
      <c r="BB706" s="286"/>
      <c r="BC706" s="286"/>
      <c r="BD706" s="286"/>
      <c r="BE706" s="286"/>
      <c r="BF706" s="286"/>
      <c r="BG706" s="286"/>
      <c r="BH706" s="286"/>
      <c r="BI706" s="286"/>
      <c r="BJ706" s="286"/>
      <c r="BK706" s="286"/>
      <c r="BL706" s="286"/>
      <c r="BM706" s="286"/>
      <c r="BN706" s="286"/>
      <c r="BO706" s="286"/>
      <c r="BP706" s="286"/>
      <c r="BQ706" s="286"/>
      <c r="BR706" s="286"/>
      <c r="BS706" s="286"/>
      <c r="BT706" s="286"/>
      <c r="BU706" s="286"/>
      <c r="BV706" s="286"/>
      <c r="BW706" s="286"/>
      <c r="BX706" s="286"/>
      <c r="BY706" s="286"/>
      <c r="BZ706" s="286"/>
      <c r="CA706" s="286"/>
      <c r="CB706" s="286"/>
      <c r="CC706" s="286"/>
      <c r="CD706" s="286"/>
      <c r="CE706" s="286"/>
      <c r="CF706" s="286"/>
      <c r="CG706" s="286"/>
      <c r="CH706" s="286"/>
      <c r="CI706" s="286"/>
      <c r="CJ706" s="286"/>
      <c r="CK706" s="286"/>
      <c r="CL706" s="286"/>
      <c r="CM706" s="286"/>
      <c r="CN706" s="286"/>
      <c r="CO706" s="286"/>
      <c r="CP706" s="286"/>
      <c r="CQ706" s="286"/>
      <c r="CR706" s="286"/>
      <c r="CS706" s="286"/>
      <c r="CT706" s="286"/>
      <c r="CU706" s="286"/>
      <c r="CV706" s="286"/>
      <c r="CW706" s="286"/>
      <c r="CX706" s="286"/>
      <c r="CY706" s="286"/>
      <c r="CZ706" s="286"/>
      <c r="DA706" s="286"/>
      <c r="DB706" s="286"/>
      <c r="DC706" s="286"/>
      <c r="DD706" s="286"/>
      <c r="DE706" s="286"/>
      <c r="DF706" s="286"/>
      <c r="DG706" s="286"/>
      <c r="DH706" s="286"/>
      <c r="DI706" s="286"/>
      <c r="DJ706" s="286"/>
      <c r="DK706" s="286"/>
      <c r="DL706" s="286"/>
      <c r="DM706" s="286"/>
      <c r="DN706" s="286"/>
      <c r="DO706" s="286"/>
      <c r="DP706" s="286"/>
      <c r="DQ706" s="286"/>
      <c r="DR706" s="286"/>
      <c r="DS706" s="286"/>
      <c r="DT706" s="286"/>
      <c r="DU706" s="286"/>
      <c r="DV706" s="286"/>
      <c r="DW706" s="286"/>
      <c r="DX706" s="286"/>
      <c r="DY706" s="286"/>
      <c r="DZ706" s="286"/>
      <c r="EA706" s="286"/>
      <c r="EB706" s="286"/>
      <c r="EC706" s="286"/>
      <c r="ED706" s="286"/>
      <c r="EE706" s="286"/>
      <c r="EF706" s="286"/>
      <c r="EG706" s="286"/>
      <c r="EH706" s="286"/>
      <c r="EI706" s="286"/>
      <c r="EJ706" s="286"/>
      <c r="EK706" s="286"/>
      <c r="EL706" s="286"/>
      <c r="EM706" s="286"/>
      <c r="EN706" s="286"/>
      <c r="EO706" s="286"/>
      <c r="EP706" s="286"/>
      <c r="EQ706" s="286"/>
      <c r="ER706" s="286"/>
      <c r="ES706" s="286"/>
      <c r="ET706" s="286"/>
      <c r="EU706" s="286"/>
      <c r="EV706" s="286"/>
      <c r="EW706" s="286"/>
      <c r="EX706" s="286"/>
      <c r="EY706" s="286"/>
      <c r="EZ706" s="286"/>
      <c r="FA706" s="286"/>
      <c r="FB706" s="286"/>
      <c r="FC706" s="286"/>
      <c r="FD706" s="286"/>
      <c r="FE706" s="286"/>
      <c r="FF706" s="286"/>
      <c r="FG706" s="286"/>
      <c r="FH706" s="286"/>
      <c r="FI706" s="286"/>
      <c r="FJ706" s="286"/>
      <c r="FK706" s="286"/>
      <c r="FL706" s="286"/>
      <c r="FM706" s="286"/>
      <c r="FN706" s="286"/>
      <c r="FO706" s="286"/>
      <c r="FP706" s="286"/>
      <c r="FQ706" s="286"/>
      <c r="FR706" s="286"/>
      <c r="FS706" s="286"/>
    </row>
    <row r="707" spans="1:175">
      <c r="A707" s="212" t="s">
        <v>3159</v>
      </c>
      <c r="B707" s="212" t="s">
        <v>3160</v>
      </c>
      <c r="C707" s="212" t="s">
        <v>3432</v>
      </c>
      <c r="D707" s="212" t="s">
        <v>3861</v>
      </c>
      <c r="E707" s="212" t="s">
        <v>3891</v>
      </c>
      <c r="F707" s="278">
        <v>20238</v>
      </c>
      <c r="G707" s="278">
        <v>363689</v>
      </c>
      <c r="H707" s="287">
        <f t="shared" si="10"/>
        <v>5.5321992141637502</v>
      </c>
      <c r="I707" s="286">
        <v>1085</v>
      </c>
      <c r="J707" s="286">
        <v>20120</v>
      </c>
      <c r="K707" s="286">
        <v>3139</v>
      </c>
      <c r="L707" s="286">
        <v>16822</v>
      </c>
      <c r="M707" s="286">
        <v>18452</v>
      </c>
      <c r="N707" s="286">
        <v>2657</v>
      </c>
      <c r="O707" s="286">
        <v>15637</v>
      </c>
      <c r="P707" s="286">
        <v>1085</v>
      </c>
      <c r="Q707" s="286">
        <v>20120</v>
      </c>
      <c r="R707" s="286">
        <v>3139</v>
      </c>
      <c r="S707" s="286">
        <v>16822</v>
      </c>
      <c r="T707" s="286">
        <v>18452</v>
      </c>
      <c r="U707" s="286">
        <v>2657</v>
      </c>
      <c r="V707" s="286">
        <v>15637</v>
      </c>
      <c r="W707" s="286"/>
      <c r="X707" s="286"/>
      <c r="Y707" s="286"/>
      <c r="Z707" s="286"/>
      <c r="AA707" s="286"/>
      <c r="AB707" s="286"/>
      <c r="AC707" s="286"/>
      <c r="AD707" s="286"/>
      <c r="AE707" s="286"/>
      <c r="AF707" s="286"/>
      <c r="AG707" s="286"/>
      <c r="AH707" s="286"/>
      <c r="AI707" s="286"/>
      <c r="AJ707" s="286"/>
      <c r="AK707" s="286"/>
      <c r="AL707" s="286"/>
      <c r="AM707" s="286"/>
      <c r="AN707" s="286"/>
      <c r="AO707" s="286"/>
      <c r="AP707" s="286"/>
      <c r="AQ707" s="286"/>
      <c r="AR707" s="286"/>
      <c r="AS707" s="286"/>
      <c r="AT707" s="286"/>
      <c r="AU707" s="286"/>
      <c r="AV707" s="286"/>
      <c r="AW707" s="286"/>
      <c r="AX707" s="286"/>
      <c r="AY707" s="286"/>
      <c r="AZ707" s="286"/>
      <c r="BA707" s="286"/>
      <c r="BB707" s="286"/>
      <c r="BC707" s="286"/>
      <c r="BD707" s="286"/>
      <c r="BE707" s="286"/>
      <c r="BF707" s="286"/>
      <c r="BG707" s="286"/>
      <c r="BH707" s="286"/>
      <c r="BI707" s="286"/>
      <c r="BJ707" s="286"/>
      <c r="BK707" s="286"/>
      <c r="BL707" s="286"/>
      <c r="BM707" s="286"/>
      <c r="BN707" s="286"/>
      <c r="BO707" s="286"/>
      <c r="BP707" s="286"/>
      <c r="BQ707" s="286"/>
      <c r="BR707" s="286"/>
      <c r="BS707" s="286"/>
      <c r="BT707" s="286"/>
      <c r="BU707" s="286"/>
      <c r="BV707" s="286"/>
      <c r="BW707" s="286"/>
      <c r="BX707" s="286"/>
      <c r="BY707" s="286"/>
      <c r="BZ707" s="286"/>
      <c r="CA707" s="286"/>
      <c r="CB707" s="286"/>
      <c r="CC707" s="286"/>
      <c r="CD707" s="286"/>
      <c r="CE707" s="286"/>
      <c r="CF707" s="286"/>
      <c r="CG707" s="286"/>
      <c r="CH707" s="286"/>
      <c r="CI707" s="286"/>
      <c r="CJ707" s="286"/>
      <c r="CK707" s="286"/>
      <c r="CL707" s="286"/>
      <c r="CM707" s="286"/>
      <c r="CN707" s="286"/>
      <c r="CO707" s="286"/>
      <c r="CP707" s="286"/>
      <c r="CQ707" s="286"/>
      <c r="CR707" s="286"/>
      <c r="CS707" s="286"/>
      <c r="CT707" s="286"/>
      <c r="CU707" s="286"/>
      <c r="CV707" s="286"/>
      <c r="CW707" s="286"/>
      <c r="CX707" s="286"/>
      <c r="CY707" s="286"/>
      <c r="CZ707" s="286"/>
      <c r="DA707" s="286"/>
      <c r="DB707" s="286"/>
      <c r="DC707" s="286"/>
      <c r="DD707" s="286"/>
      <c r="DE707" s="286"/>
      <c r="DF707" s="286"/>
      <c r="DG707" s="286"/>
      <c r="DH707" s="286"/>
      <c r="DI707" s="286"/>
      <c r="DJ707" s="286"/>
      <c r="DK707" s="286"/>
      <c r="DL707" s="286"/>
      <c r="DM707" s="286"/>
      <c r="DN707" s="286"/>
      <c r="DO707" s="286"/>
      <c r="DP707" s="286"/>
      <c r="DQ707" s="286"/>
      <c r="DR707" s="286"/>
      <c r="DS707" s="286"/>
      <c r="DT707" s="286"/>
      <c r="DU707" s="286"/>
      <c r="DV707" s="286"/>
      <c r="DW707" s="286"/>
      <c r="DX707" s="286"/>
      <c r="DY707" s="286"/>
      <c r="DZ707" s="286"/>
      <c r="EA707" s="286"/>
      <c r="EB707" s="286"/>
      <c r="EC707" s="286"/>
      <c r="ED707" s="286"/>
      <c r="EE707" s="286"/>
      <c r="EF707" s="286"/>
      <c r="EG707" s="286"/>
      <c r="EH707" s="286"/>
      <c r="EI707" s="286"/>
      <c r="EJ707" s="286"/>
      <c r="EK707" s="286"/>
      <c r="EL707" s="286"/>
      <c r="EM707" s="286"/>
      <c r="EN707" s="286"/>
      <c r="EO707" s="286"/>
      <c r="EP707" s="286"/>
      <c r="EQ707" s="286"/>
      <c r="ER707" s="286"/>
      <c r="ES707" s="286"/>
      <c r="ET707" s="286"/>
      <c r="EU707" s="286"/>
      <c r="EV707" s="286"/>
      <c r="EW707" s="286"/>
      <c r="EX707" s="286"/>
      <c r="EY707" s="286"/>
      <c r="EZ707" s="286"/>
      <c r="FA707" s="286"/>
      <c r="FB707" s="286"/>
      <c r="FC707" s="286"/>
      <c r="FD707" s="286"/>
      <c r="FE707" s="286"/>
      <c r="FF707" s="286"/>
      <c r="FG707" s="286"/>
      <c r="FH707" s="286"/>
      <c r="FI707" s="286"/>
      <c r="FJ707" s="286"/>
      <c r="FK707" s="286"/>
      <c r="FL707" s="286"/>
      <c r="FM707" s="286"/>
      <c r="FN707" s="286"/>
      <c r="FO707" s="286"/>
      <c r="FP707" s="286"/>
      <c r="FQ707" s="286"/>
      <c r="FR707" s="286"/>
      <c r="FS707" s="286"/>
    </row>
    <row r="708" spans="1:175">
      <c r="A708" s="212" t="s">
        <v>3159</v>
      </c>
      <c r="B708" s="212" t="s">
        <v>3160</v>
      </c>
      <c r="C708" s="212" t="s">
        <v>3432</v>
      </c>
      <c r="D708" s="212" t="s">
        <v>3861</v>
      </c>
      <c r="E708" s="212" t="s">
        <v>3892</v>
      </c>
      <c r="F708" s="278">
        <v>11243</v>
      </c>
      <c r="G708" s="278">
        <v>200204</v>
      </c>
      <c r="H708" s="287">
        <f t="shared" si="10"/>
        <v>3.7411839923278256</v>
      </c>
      <c r="I708" s="286">
        <v>345</v>
      </c>
      <c r="J708" s="286">
        <v>7490</v>
      </c>
      <c r="K708" s="286">
        <v>1769</v>
      </c>
      <c r="L708" s="286">
        <v>5721</v>
      </c>
      <c r="M708" s="286">
        <v>7232</v>
      </c>
      <c r="N708" s="286">
        <v>1693</v>
      </c>
      <c r="O708" s="286">
        <v>5539</v>
      </c>
      <c r="P708" s="286">
        <v>345</v>
      </c>
      <c r="Q708" s="286">
        <v>7490</v>
      </c>
      <c r="R708" s="286">
        <v>1769</v>
      </c>
      <c r="S708" s="286">
        <v>5721</v>
      </c>
      <c r="T708" s="286">
        <v>7232</v>
      </c>
      <c r="U708" s="286">
        <v>1693</v>
      </c>
      <c r="V708" s="286">
        <v>5539</v>
      </c>
      <c r="W708" s="286"/>
      <c r="X708" s="286"/>
      <c r="Y708" s="286"/>
      <c r="Z708" s="286"/>
      <c r="AA708" s="286"/>
      <c r="AB708" s="286"/>
      <c r="AC708" s="286"/>
      <c r="AD708" s="286"/>
      <c r="AE708" s="286"/>
      <c r="AF708" s="286"/>
      <c r="AG708" s="286"/>
      <c r="AH708" s="286"/>
      <c r="AI708" s="286"/>
      <c r="AJ708" s="286"/>
      <c r="AK708" s="286"/>
      <c r="AL708" s="286"/>
      <c r="AM708" s="286"/>
      <c r="AN708" s="286"/>
      <c r="AO708" s="286"/>
      <c r="AP708" s="286"/>
      <c r="AQ708" s="286"/>
      <c r="AR708" s="286"/>
      <c r="AS708" s="286"/>
      <c r="AT708" s="286"/>
      <c r="AU708" s="286"/>
      <c r="AV708" s="286"/>
      <c r="AW708" s="286"/>
      <c r="AX708" s="286"/>
      <c r="AY708" s="286"/>
      <c r="AZ708" s="286"/>
      <c r="BA708" s="286"/>
      <c r="BB708" s="286"/>
      <c r="BC708" s="286"/>
      <c r="BD708" s="286"/>
      <c r="BE708" s="286"/>
      <c r="BF708" s="286"/>
      <c r="BG708" s="286"/>
      <c r="BH708" s="286"/>
      <c r="BI708" s="286"/>
      <c r="BJ708" s="286"/>
      <c r="BK708" s="286"/>
      <c r="BL708" s="286"/>
      <c r="BM708" s="286"/>
      <c r="BN708" s="286"/>
      <c r="BO708" s="286"/>
      <c r="BP708" s="286"/>
      <c r="BQ708" s="286"/>
      <c r="BR708" s="286"/>
      <c r="BS708" s="286"/>
      <c r="BT708" s="286"/>
      <c r="BU708" s="286"/>
      <c r="BV708" s="286"/>
      <c r="BW708" s="286"/>
      <c r="BX708" s="286"/>
      <c r="BY708" s="286"/>
      <c r="BZ708" s="286"/>
      <c r="CA708" s="286"/>
      <c r="CB708" s="286"/>
      <c r="CC708" s="286"/>
      <c r="CD708" s="286"/>
      <c r="CE708" s="286"/>
      <c r="CF708" s="286"/>
      <c r="CG708" s="286"/>
      <c r="CH708" s="286"/>
      <c r="CI708" s="286"/>
      <c r="CJ708" s="286"/>
      <c r="CK708" s="286"/>
      <c r="CL708" s="286"/>
      <c r="CM708" s="286"/>
      <c r="CN708" s="286"/>
      <c r="CO708" s="286"/>
      <c r="CP708" s="286"/>
      <c r="CQ708" s="286"/>
      <c r="CR708" s="286"/>
      <c r="CS708" s="286"/>
      <c r="CT708" s="286"/>
      <c r="CU708" s="286"/>
      <c r="CV708" s="286"/>
      <c r="CW708" s="286"/>
      <c r="CX708" s="286"/>
      <c r="CY708" s="286"/>
      <c r="CZ708" s="286"/>
      <c r="DA708" s="286"/>
      <c r="DB708" s="286"/>
      <c r="DC708" s="286"/>
      <c r="DD708" s="286"/>
      <c r="DE708" s="286"/>
      <c r="DF708" s="286"/>
      <c r="DG708" s="286"/>
      <c r="DH708" s="286"/>
      <c r="DI708" s="286"/>
      <c r="DJ708" s="286"/>
      <c r="DK708" s="286"/>
      <c r="DL708" s="286"/>
      <c r="DM708" s="286"/>
      <c r="DN708" s="286"/>
      <c r="DO708" s="286"/>
      <c r="DP708" s="286"/>
      <c r="DQ708" s="286"/>
      <c r="DR708" s="286"/>
      <c r="DS708" s="286"/>
      <c r="DT708" s="286"/>
      <c r="DU708" s="286"/>
      <c r="DV708" s="286"/>
      <c r="DW708" s="286"/>
      <c r="DX708" s="286"/>
      <c r="DY708" s="286"/>
      <c r="DZ708" s="286"/>
      <c r="EA708" s="286"/>
      <c r="EB708" s="286"/>
      <c r="EC708" s="286"/>
      <c r="ED708" s="286"/>
      <c r="EE708" s="286"/>
      <c r="EF708" s="286"/>
      <c r="EG708" s="286"/>
      <c r="EH708" s="286"/>
      <c r="EI708" s="286"/>
      <c r="EJ708" s="286"/>
      <c r="EK708" s="286"/>
      <c r="EL708" s="286"/>
      <c r="EM708" s="286"/>
      <c r="EN708" s="286"/>
      <c r="EO708" s="286"/>
      <c r="EP708" s="286"/>
      <c r="EQ708" s="286"/>
      <c r="ER708" s="286"/>
      <c r="ES708" s="286"/>
      <c r="ET708" s="286"/>
      <c r="EU708" s="286"/>
      <c r="EV708" s="286"/>
      <c r="EW708" s="286"/>
      <c r="EX708" s="286"/>
      <c r="EY708" s="286"/>
      <c r="EZ708" s="286"/>
      <c r="FA708" s="286"/>
      <c r="FB708" s="286"/>
      <c r="FC708" s="286"/>
      <c r="FD708" s="286"/>
      <c r="FE708" s="286"/>
      <c r="FF708" s="286"/>
      <c r="FG708" s="286"/>
      <c r="FH708" s="286"/>
      <c r="FI708" s="286"/>
      <c r="FJ708" s="286"/>
      <c r="FK708" s="286"/>
      <c r="FL708" s="286"/>
      <c r="FM708" s="286"/>
      <c r="FN708" s="286"/>
      <c r="FO708" s="286"/>
      <c r="FP708" s="286"/>
      <c r="FQ708" s="286"/>
      <c r="FR708" s="286"/>
      <c r="FS708" s="286"/>
    </row>
    <row r="709" spans="1:175">
      <c r="A709" s="212" t="s">
        <v>3159</v>
      </c>
      <c r="B709" s="212" t="s">
        <v>3160</v>
      </c>
      <c r="C709" s="212" t="s">
        <v>3432</v>
      </c>
      <c r="D709" s="212" t="s">
        <v>3861</v>
      </c>
      <c r="E709" s="212" t="s">
        <v>3893</v>
      </c>
      <c r="F709" s="278">
        <v>9792</v>
      </c>
      <c r="G709" s="278">
        <v>260793</v>
      </c>
      <c r="H709" s="287">
        <f t="shared" si="10"/>
        <v>3.4352915914154138</v>
      </c>
      <c r="I709" s="286">
        <v>222</v>
      </c>
      <c r="J709" s="286">
        <v>8959</v>
      </c>
      <c r="K709" s="286">
        <v>2239</v>
      </c>
      <c r="L709" s="286">
        <v>6720</v>
      </c>
      <c r="M709" s="286">
        <v>8849</v>
      </c>
      <c r="N709" s="286">
        <v>2200</v>
      </c>
      <c r="O709" s="286">
        <v>6649</v>
      </c>
      <c r="P709" s="286">
        <v>222</v>
      </c>
      <c r="Q709" s="286">
        <v>8959</v>
      </c>
      <c r="R709" s="286">
        <v>2239</v>
      </c>
      <c r="S709" s="286">
        <v>6720</v>
      </c>
      <c r="T709" s="286">
        <v>8849</v>
      </c>
      <c r="U709" s="286">
        <v>2200</v>
      </c>
      <c r="V709" s="286">
        <v>6649</v>
      </c>
      <c r="W709" s="286"/>
      <c r="X709" s="286"/>
      <c r="Y709" s="286"/>
      <c r="Z709" s="286"/>
      <c r="AA709" s="286"/>
      <c r="AB709" s="286"/>
      <c r="AC709" s="286"/>
      <c r="AD709" s="286"/>
      <c r="AE709" s="286"/>
      <c r="AF709" s="286"/>
      <c r="AG709" s="286"/>
      <c r="AH709" s="286"/>
      <c r="AI709" s="286"/>
      <c r="AJ709" s="286"/>
      <c r="AK709" s="286"/>
      <c r="AL709" s="286"/>
      <c r="AM709" s="286"/>
      <c r="AN709" s="286"/>
      <c r="AO709" s="286"/>
      <c r="AP709" s="286"/>
      <c r="AQ709" s="286"/>
      <c r="AR709" s="286"/>
      <c r="AS709" s="286"/>
      <c r="AT709" s="286"/>
      <c r="AU709" s="286"/>
      <c r="AV709" s="286"/>
      <c r="AW709" s="286"/>
      <c r="AX709" s="286"/>
      <c r="AY709" s="286"/>
      <c r="AZ709" s="286"/>
      <c r="BA709" s="286"/>
      <c r="BB709" s="286"/>
      <c r="BC709" s="286"/>
      <c r="BD709" s="286"/>
      <c r="BE709" s="286"/>
      <c r="BF709" s="286"/>
      <c r="BG709" s="286"/>
      <c r="BH709" s="286"/>
      <c r="BI709" s="286"/>
      <c r="BJ709" s="286"/>
      <c r="BK709" s="286"/>
      <c r="BL709" s="286"/>
      <c r="BM709" s="286"/>
      <c r="BN709" s="286"/>
      <c r="BO709" s="286"/>
      <c r="BP709" s="286"/>
      <c r="BQ709" s="286"/>
      <c r="BR709" s="286"/>
      <c r="BS709" s="286"/>
      <c r="BT709" s="286"/>
      <c r="BU709" s="286"/>
      <c r="BV709" s="286"/>
      <c r="BW709" s="286"/>
      <c r="BX709" s="286"/>
      <c r="BY709" s="286"/>
      <c r="BZ709" s="286"/>
      <c r="CA709" s="286"/>
      <c r="CB709" s="286"/>
      <c r="CC709" s="286"/>
      <c r="CD709" s="286"/>
      <c r="CE709" s="286"/>
      <c r="CF709" s="286"/>
      <c r="CG709" s="286"/>
      <c r="CH709" s="286"/>
      <c r="CI709" s="286"/>
      <c r="CJ709" s="286"/>
      <c r="CK709" s="286"/>
      <c r="CL709" s="286"/>
      <c r="CM709" s="286"/>
      <c r="CN709" s="286"/>
      <c r="CO709" s="286"/>
      <c r="CP709" s="286"/>
      <c r="CQ709" s="286"/>
      <c r="CR709" s="286"/>
      <c r="CS709" s="286"/>
      <c r="CT709" s="286"/>
      <c r="CU709" s="286"/>
      <c r="CV709" s="286"/>
      <c r="CW709" s="286"/>
      <c r="CX709" s="286"/>
      <c r="CY709" s="286"/>
      <c r="CZ709" s="286"/>
      <c r="DA709" s="286"/>
      <c r="DB709" s="286"/>
      <c r="DC709" s="286"/>
      <c r="DD709" s="286"/>
      <c r="DE709" s="286"/>
      <c r="DF709" s="286"/>
      <c r="DG709" s="286"/>
      <c r="DH709" s="286"/>
      <c r="DI709" s="286"/>
      <c r="DJ709" s="286"/>
      <c r="DK709" s="286"/>
      <c r="DL709" s="286"/>
      <c r="DM709" s="286"/>
      <c r="DN709" s="286"/>
      <c r="DO709" s="286"/>
      <c r="DP709" s="286"/>
      <c r="DQ709" s="286"/>
      <c r="DR709" s="286"/>
      <c r="DS709" s="286"/>
      <c r="DT709" s="286"/>
      <c r="DU709" s="286"/>
      <c r="DV709" s="286"/>
      <c r="DW709" s="286"/>
      <c r="DX709" s="286"/>
      <c r="DY709" s="286"/>
      <c r="DZ709" s="286"/>
      <c r="EA709" s="286"/>
      <c r="EB709" s="286"/>
      <c r="EC709" s="286"/>
      <c r="ED709" s="286"/>
      <c r="EE709" s="286"/>
      <c r="EF709" s="286"/>
      <c r="EG709" s="286"/>
      <c r="EH709" s="286"/>
      <c r="EI709" s="286"/>
      <c r="EJ709" s="286"/>
      <c r="EK709" s="286"/>
      <c r="EL709" s="286"/>
      <c r="EM709" s="286"/>
      <c r="EN709" s="286"/>
      <c r="EO709" s="286"/>
      <c r="EP709" s="286"/>
      <c r="EQ709" s="286"/>
      <c r="ER709" s="286"/>
      <c r="ES709" s="286"/>
      <c r="ET709" s="286"/>
      <c r="EU709" s="286"/>
      <c r="EV709" s="286"/>
      <c r="EW709" s="286"/>
      <c r="EX709" s="286"/>
      <c r="EY709" s="286"/>
      <c r="EZ709" s="286"/>
      <c r="FA709" s="286"/>
      <c r="FB709" s="286"/>
      <c r="FC709" s="286"/>
      <c r="FD709" s="286"/>
      <c r="FE709" s="286"/>
      <c r="FF709" s="286"/>
      <c r="FG709" s="286"/>
      <c r="FH709" s="286"/>
      <c r="FI709" s="286"/>
      <c r="FJ709" s="286"/>
      <c r="FK709" s="286"/>
      <c r="FL709" s="286"/>
      <c r="FM709" s="286"/>
      <c r="FN709" s="286"/>
      <c r="FO709" s="286"/>
      <c r="FP709" s="286"/>
      <c r="FQ709" s="286"/>
      <c r="FR709" s="286"/>
      <c r="FS709" s="286"/>
    </row>
    <row r="710" spans="1:175">
      <c r="A710" s="212" t="s">
        <v>3159</v>
      </c>
      <c r="B710" s="212" t="s">
        <v>3160</v>
      </c>
      <c r="C710" s="212" t="s">
        <v>3432</v>
      </c>
      <c r="D710" s="212" t="s">
        <v>3861</v>
      </c>
      <c r="E710" s="212" t="s">
        <v>3894</v>
      </c>
      <c r="F710" s="278">
        <v>20354</v>
      </c>
      <c r="G710" s="278">
        <v>181710</v>
      </c>
      <c r="H710" s="287">
        <f t="shared" si="10"/>
        <v>4.3976666116339223</v>
      </c>
      <c r="I710" s="286">
        <v>799</v>
      </c>
      <c r="J710" s="286">
        <v>7991</v>
      </c>
      <c r="K710" s="286">
        <v>1656</v>
      </c>
      <c r="L710" s="286">
        <v>6318</v>
      </c>
      <c r="M710" s="286">
        <v>7578</v>
      </c>
      <c r="N710" s="286">
        <v>1523</v>
      </c>
      <c r="O710" s="286">
        <v>6040</v>
      </c>
      <c r="P710" s="286">
        <v>780</v>
      </c>
      <c r="Q710" s="286">
        <v>7811</v>
      </c>
      <c r="R710" s="286">
        <v>1614</v>
      </c>
      <c r="S710" s="286">
        <v>6180</v>
      </c>
      <c r="T710" s="286">
        <v>7401</v>
      </c>
      <c r="U710" s="286">
        <v>1481</v>
      </c>
      <c r="V710" s="286">
        <v>5905</v>
      </c>
      <c r="W710" s="286"/>
      <c r="X710" s="286"/>
      <c r="Y710" s="286"/>
      <c r="Z710" s="286"/>
      <c r="AA710" s="286"/>
      <c r="AB710" s="286"/>
      <c r="AC710" s="286"/>
      <c r="AD710" s="286"/>
      <c r="AE710" s="286"/>
      <c r="AF710" s="286"/>
      <c r="AG710" s="286"/>
      <c r="AH710" s="286"/>
      <c r="AI710" s="286"/>
      <c r="AJ710" s="286"/>
      <c r="AK710" s="286"/>
      <c r="AL710" s="286"/>
      <c r="AM710" s="286"/>
      <c r="AN710" s="286"/>
      <c r="AO710" s="286"/>
      <c r="AP710" s="286"/>
      <c r="AQ710" s="286"/>
      <c r="AR710" s="286"/>
      <c r="AS710" s="286"/>
      <c r="AT710" s="286"/>
      <c r="AU710" s="286"/>
      <c r="AV710" s="286"/>
      <c r="AW710" s="286"/>
      <c r="AX710" s="286"/>
      <c r="AY710" s="286"/>
      <c r="AZ710" s="286"/>
      <c r="BA710" s="286"/>
      <c r="BB710" s="286"/>
      <c r="BC710" s="286"/>
      <c r="BD710" s="286"/>
      <c r="BE710" s="286"/>
      <c r="BF710" s="286"/>
      <c r="BG710" s="286"/>
      <c r="BH710" s="286"/>
      <c r="BI710" s="286"/>
      <c r="BJ710" s="286"/>
      <c r="BK710" s="286"/>
      <c r="BL710" s="286"/>
      <c r="BM710" s="286"/>
      <c r="BN710" s="286"/>
      <c r="BO710" s="286"/>
      <c r="BP710" s="286"/>
      <c r="BQ710" s="286"/>
      <c r="BR710" s="286"/>
      <c r="BS710" s="286"/>
      <c r="BT710" s="286"/>
      <c r="BU710" s="286"/>
      <c r="BV710" s="286"/>
      <c r="BW710" s="286"/>
      <c r="BX710" s="286"/>
      <c r="BY710" s="286"/>
      <c r="BZ710" s="286"/>
      <c r="CA710" s="286"/>
      <c r="CB710" s="286"/>
      <c r="CC710" s="286"/>
      <c r="CD710" s="286"/>
      <c r="CE710" s="286"/>
      <c r="CF710" s="286"/>
      <c r="CG710" s="286"/>
      <c r="CH710" s="286"/>
      <c r="CI710" s="286"/>
      <c r="CJ710" s="286"/>
      <c r="CK710" s="286"/>
      <c r="CL710" s="286"/>
      <c r="CM710" s="286"/>
      <c r="CN710" s="286"/>
      <c r="CO710" s="286"/>
      <c r="CP710" s="286"/>
      <c r="CQ710" s="286"/>
      <c r="CR710" s="286"/>
      <c r="CS710" s="286"/>
      <c r="CT710" s="286"/>
      <c r="CU710" s="286"/>
      <c r="CV710" s="286"/>
      <c r="CW710" s="286"/>
      <c r="CX710" s="286"/>
      <c r="CY710" s="286"/>
      <c r="CZ710" s="286"/>
      <c r="DA710" s="286"/>
      <c r="DB710" s="286"/>
      <c r="DC710" s="286"/>
      <c r="DD710" s="286"/>
      <c r="DE710" s="286"/>
      <c r="DF710" s="286"/>
      <c r="DG710" s="286"/>
      <c r="DH710" s="286"/>
      <c r="DI710" s="286"/>
      <c r="DJ710" s="286"/>
      <c r="DK710" s="286"/>
      <c r="DL710" s="286"/>
      <c r="DM710" s="286"/>
      <c r="DN710" s="286"/>
      <c r="DO710" s="286"/>
      <c r="DP710" s="286"/>
      <c r="DQ710" s="286"/>
      <c r="DR710" s="286"/>
      <c r="DS710" s="286"/>
      <c r="DT710" s="286"/>
      <c r="DU710" s="286"/>
      <c r="DV710" s="286"/>
      <c r="DW710" s="286"/>
      <c r="DX710" s="286"/>
      <c r="DY710" s="286"/>
      <c r="DZ710" s="286"/>
      <c r="EA710" s="286"/>
      <c r="EB710" s="286"/>
      <c r="EC710" s="286"/>
      <c r="ED710" s="286"/>
      <c r="EE710" s="286"/>
      <c r="EF710" s="286"/>
      <c r="EG710" s="286"/>
      <c r="EH710" s="286"/>
      <c r="EI710" s="286"/>
      <c r="EJ710" s="286"/>
      <c r="EK710" s="286"/>
      <c r="EL710" s="286"/>
      <c r="EM710" s="286"/>
      <c r="EN710" s="286"/>
      <c r="EO710" s="286"/>
      <c r="EP710" s="286"/>
      <c r="EQ710" s="286"/>
      <c r="ER710" s="286"/>
      <c r="ES710" s="286"/>
      <c r="ET710" s="286"/>
      <c r="EU710" s="286"/>
      <c r="EV710" s="286"/>
      <c r="EW710" s="286"/>
      <c r="EX710" s="286"/>
      <c r="EY710" s="286"/>
      <c r="EZ710" s="286"/>
      <c r="FA710" s="286"/>
      <c r="FB710" s="286"/>
      <c r="FC710" s="286"/>
      <c r="FD710" s="286"/>
      <c r="FE710" s="286"/>
      <c r="FF710" s="286"/>
      <c r="FG710" s="286"/>
      <c r="FH710" s="286"/>
      <c r="FI710" s="286"/>
      <c r="FJ710" s="286"/>
      <c r="FK710" s="286"/>
      <c r="FL710" s="286"/>
      <c r="FM710" s="286"/>
      <c r="FN710" s="286"/>
      <c r="FO710" s="286"/>
      <c r="FP710" s="286"/>
      <c r="FQ710" s="286"/>
      <c r="FR710" s="286"/>
      <c r="FS710" s="286"/>
    </row>
    <row r="711" spans="1:175">
      <c r="A711" s="212" t="s">
        <v>3159</v>
      </c>
      <c r="B711" s="212" t="s">
        <v>3160</v>
      </c>
      <c r="C711" s="212" t="s">
        <v>3172</v>
      </c>
      <c r="D711" s="212" t="s">
        <v>3861</v>
      </c>
      <c r="E711" s="212" t="s">
        <v>3895</v>
      </c>
      <c r="F711" s="278">
        <v>34999</v>
      </c>
      <c r="G711" s="278">
        <v>507394</v>
      </c>
      <c r="H711" s="287">
        <f t="shared" si="10"/>
        <v>4.3670205008336715</v>
      </c>
      <c r="I711" s="286">
        <v>1561</v>
      </c>
      <c r="J711" s="286">
        <v>22158</v>
      </c>
      <c r="K711" s="286">
        <v>7788</v>
      </c>
      <c r="L711" s="286">
        <v>13871</v>
      </c>
      <c r="M711" s="286">
        <v>20742</v>
      </c>
      <c r="N711" s="286">
        <v>7181</v>
      </c>
      <c r="O711" s="286">
        <v>13067</v>
      </c>
      <c r="P711" s="286">
        <v>1550</v>
      </c>
      <c r="Q711" s="286">
        <v>21997</v>
      </c>
      <c r="R711" s="286">
        <v>7709</v>
      </c>
      <c r="S711" s="286">
        <v>13789</v>
      </c>
      <c r="T711" s="286">
        <v>20581</v>
      </c>
      <c r="U711" s="286">
        <v>7102</v>
      </c>
      <c r="V711" s="286">
        <v>12985</v>
      </c>
      <c r="W711" s="286"/>
      <c r="X711" s="286"/>
      <c r="Y711" s="286"/>
      <c r="Z711" s="286"/>
      <c r="AA711" s="286"/>
      <c r="AB711" s="286"/>
      <c r="AC711" s="286"/>
      <c r="AD711" s="286"/>
      <c r="AE711" s="286"/>
      <c r="AF711" s="286"/>
      <c r="AG711" s="286"/>
      <c r="AH711" s="286"/>
      <c r="AI711" s="286"/>
      <c r="AJ711" s="286"/>
      <c r="AK711" s="286"/>
      <c r="AL711" s="286"/>
      <c r="AM711" s="286"/>
      <c r="AN711" s="286"/>
      <c r="AO711" s="286"/>
      <c r="AP711" s="286"/>
      <c r="AQ711" s="286"/>
      <c r="AR711" s="286"/>
      <c r="AS711" s="286"/>
      <c r="AT711" s="286"/>
      <c r="AU711" s="286"/>
      <c r="AV711" s="286"/>
      <c r="AW711" s="286"/>
      <c r="AX711" s="286"/>
      <c r="AY711" s="286"/>
      <c r="AZ711" s="286"/>
      <c r="BA711" s="286"/>
      <c r="BB711" s="286"/>
      <c r="BC711" s="286"/>
      <c r="BD711" s="286"/>
      <c r="BE711" s="286"/>
      <c r="BF711" s="286"/>
      <c r="BG711" s="286"/>
      <c r="BH711" s="286"/>
      <c r="BI711" s="286"/>
      <c r="BJ711" s="286"/>
      <c r="BK711" s="286"/>
      <c r="BL711" s="286"/>
      <c r="BM711" s="286"/>
      <c r="BN711" s="286"/>
      <c r="BO711" s="286"/>
      <c r="BP711" s="286"/>
      <c r="BQ711" s="286"/>
      <c r="BR711" s="286"/>
      <c r="BS711" s="286"/>
      <c r="BT711" s="286"/>
      <c r="BU711" s="286"/>
      <c r="BV711" s="286"/>
      <c r="BW711" s="286"/>
      <c r="BX711" s="286"/>
      <c r="BY711" s="286"/>
      <c r="BZ711" s="286"/>
      <c r="CA711" s="286"/>
      <c r="CB711" s="286"/>
      <c r="CC711" s="286"/>
      <c r="CD711" s="286"/>
      <c r="CE711" s="286"/>
      <c r="CF711" s="286"/>
      <c r="CG711" s="286"/>
      <c r="CH711" s="286"/>
      <c r="CI711" s="286"/>
      <c r="CJ711" s="286"/>
      <c r="CK711" s="286"/>
      <c r="CL711" s="286"/>
      <c r="CM711" s="286"/>
      <c r="CN711" s="286"/>
      <c r="CO711" s="286"/>
      <c r="CP711" s="286"/>
      <c r="CQ711" s="286"/>
      <c r="CR711" s="286"/>
      <c r="CS711" s="286"/>
      <c r="CT711" s="286"/>
      <c r="CU711" s="286"/>
      <c r="CV711" s="286"/>
      <c r="CW711" s="286"/>
      <c r="CX711" s="286"/>
      <c r="CY711" s="286"/>
      <c r="CZ711" s="286"/>
      <c r="DA711" s="286"/>
      <c r="DB711" s="286"/>
      <c r="DC711" s="286"/>
      <c r="DD711" s="286"/>
      <c r="DE711" s="286"/>
      <c r="DF711" s="286"/>
      <c r="DG711" s="286"/>
      <c r="DH711" s="286"/>
      <c r="DI711" s="286"/>
      <c r="DJ711" s="286"/>
      <c r="DK711" s="286"/>
      <c r="DL711" s="286"/>
      <c r="DM711" s="286"/>
      <c r="DN711" s="286"/>
      <c r="DO711" s="286"/>
      <c r="DP711" s="286"/>
      <c r="DQ711" s="286"/>
      <c r="DR711" s="286"/>
      <c r="DS711" s="286"/>
      <c r="DT711" s="286"/>
      <c r="DU711" s="286"/>
      <c r="DV711" s="286"/>
      <c r="DW711" s="286"/>
      <c r="DX711" s="286"/>
      <c r="DY711" s="286"/>
      <c r="DZ711" s="286"/>
      <c r="EA711" s="286"/>
      <c r="EB711" s="286"/>
      <c r="EC711" s="286"/>
      <c r="ED711" s="286"/>
      <c r="EE711" s="286"/>
      <c r="EF711" s="286"/>
      <c r="EG711" s="286"/>
      <c r="EH711" s="286"/>
      <c r="EI711" s="286"/>
      <c r="EJ711" s="286"/>
      <c r="EK711" s="286"/>
      <c r="EL711" s="286"/>
      <c r="EM711" s="286"/>
      <c r="EN711" s="286"/>
      <c r="EO711" s="286"/>
      <c r="EP711" s="286"/>
      <c r="EQ711" s="286"/>
      <c r="ER711" s="286"/>
      <c r="ES711" s="286"/>
      <c r="ET711" s="286"/>
      <c r="EU711" s="286"/>
      <c r="EV711" s="286"/>
      <c r="EW711" s="286"/>
      <c r="EX711" s="286"/>
      <c r="EY711" s="286"/>
      <c r="EZ711" s="286"/>
      <c r="FA711" s="286"/>
      <c r="FB711" s="286"/>
      <c r="FC711" s="286"/>
      <c r="FD711" s="286"/>
      <c r="FE711" s="286"/>
      <c r="FF711" s="286"/>
      <c r="FG711" s="286"/>
      <c r="FH711" s="286"/>
      <c r="FI711" s="286"/>
      <c r="FJ711" s="286"/>
      <c r="FK711" s="286"/>
      <c r="FL711" s="286"/>
      <c r="FM711" s="286"/>
      <c r="FN711" s="286"/>
      <c r="FO711" s="286"/>
      <c r="FP711" s="286"/>
      <c r="FQ711" s="286"/>
      <c r="FR711" s="286"/>
      <c r="FS711" s="286"/>
    </row>
    <row r="712" spans="1:175">
      <c r="A712" s="212" t="s">
        <v>3159</v>
      </c>
      <c r="B712" s="212" t="s">
        <v>3160</v>
      </c>
      <c r="C712" s="212" t="s">
        <v>3172</v>
      </c>
      <c r="D712" s="212" t="s">
        <v>3861</v>
      </c>
      <c r="E712" s="212" t="s">
        <v>3896</v>
      </c>
      <c r="F712" s="278">
        <v>6047</v>
      </c>
      <c r="G712" s="278">
        <v>112958</v>
      </c>
      <c r="H712" s="287">
        <f t="shared" si="10"/>
        <v>4.1316241434869596</v>
      </c>
      <c r="I712" s="286">
        <v>239</v>
      </c>
      <c r="J712" s="286">
        <v>4667</v>
      </c>
      <c r="K712" s="286">
        <v>1423</v>
      </c>
      <c r="L712" s="286">
        <v>3244</v>
      </c>
      <c r="M712" s="286">
        <v>4025</v>
      </c>
      <c r="N712" s="286">
        <v>1159</v>
      </c>
      <c r="O712" s="286">
        <v>2866</v>
      </c>
      <c r="P712" s="286">
        <v>164</v>
      </c>
      <c r="Q712" s="286">
        <v>4219</v>
      </c>
      <c r="R712" s="286">
        <v>1238</v>
      </c>
      <c r="S712" s="286">
        <v>2981</v>
      </c>
      <c r="T712" s="286">
        <v>3577</v>
      </c>
      <c r="U712" s="286">
        <v>974</v>
      </c>
      <c r="V712" s="286">
        <v>2603</v>
      </c>
      <c r="W712" s="286"/>
      <c r="X712" s="286"/>
      <c r="Y712" s="286"/>
      <c r="Z712" s="286"/>
      <c r="AA712" s="286"/>
      <c r="AB712" s="286"/>
      <c r="AC712" s="286"/>
      <c r="AD712" s="286"/>
      <c r="AE712" s="286"/>
      <c r="AF712" s="286"/>
      <c r="AG712" s="286"/>
      <c r="AH712" s="286"/>
      <c r="AI712" s="286"/>
      <c r="AJ712" s="286"/>
      <c r="AK712" s="286"/>
      <c r="AL712" s="286"/>
      <c r="AM712" s="286"/>
      <c r="AN712" s="286"/>
      <c r="AO712" s="286"/>
      <c r="AP712" s="286"/>
      <c r="AQ712" s="286"/>
      <c r="AR712" s="286"/>
      <c r="AS712" s="286"/>
      <c r="AT712" s="286"/>
      <c r="AU712" s="286"/>
      <c r="AV712" s="286"/>
      <c r="AW712" s="286"/>
      <c r="AX712" s="286"/>
      <c r="AY712" s="286"/>
      <c r="AZ712" s="286"/>
      <c r="BA712" s="286"/>
      <c r="BB712" s="286"/>
      <c r="BC712" s="286"/>
      <c r="BD712" s="286"/>
      <c r="BE712" s="286"/>
      <c r="BF712" s="286"/>
      <c r="BG712" s="286"/>
      <c r="BH712" s="286"/>
      <c r="BI712" s="286"/>
      <c r="BJ712" s="286"/>
      <c r="BK712" s="286"/>
      <c r="BL712" s="286"/>
      <c r="BM712" s="286"/>
      <c r="BN712" s="286"/>
      <c r="BO712" s="286"/>
      <c r="BP712" s="286"/>
      <c r="BQ712" s="286"/>
      <c r="BR712" s="286"/>
      <c r="BS712" s="286"/>
      <c r="BT712" s="286"/>
      <c r="BU712" s="286"/>
      <c r="BV712" s="286"/>
      <c r="BW712" s="286"/>
      <c r="BX712" s="286"/>
      <c r="BY712" s="286"/>
      <c r="BZ712" s="286"/>
      <c r="CA712" s="286"/>
      <c r="CB712" s="286"/>
      <c r="CC712" s="286"/>
      <c r="CD712" s="286"/>
      <c r="CE712" s="286"/>
      <c r="CF712" s="286"/>
      <c r="CG712" s="286"/>
      <c r="CH712" s="286"/>
      <c r="CI712" s="286"/>
      <c r="CJ712" s="286"/>
      <c r="CK712" s="286"/>
      <c r="CL712" s="286"/>
      <c r="CM712" s="286"/>
      <c r="CN712" s="286"/>
      <c r="CO712" s="286"/>
      <c r="CP712" s="286"/>
      <c r="CQ712" s="286"/>
      <c r="CR712" s="286"/>
      <c r="CS712" s="286"/>
      <c r="CT712" s="286"/>
      <c r="CU712" s="286"/>
      <c r="CV712" s="286"/>
      <c r="CW712" s="286"/>
      <c r="CX712" s="286"/>
      <c r="CY712" s="286"/>
      <c r="CZ712" s="286"/>
      <c r="DA712" s="286"/>
      <c r="DB712" s="286"/>
      <c r="DC712" s="286"/>
      <c r="DD712" s="286"/>
      <c r="DE712" s="286"/>
      <c r="DF712" s="286"/>
      <c r="DG712" s="286"/>
      <c r="DH712" s="286"/>
      <c r="DI712" s="286"/>
      <c r="DJ712" s="286"/>
      <c r="DK712" s="286"/>
      <c r="DL712" s="286"/>
      <c r="DM712" s="286"/>
      <c r="DN712" s="286"/>
      <c r="DO712" s="286"/>
      <c r="DP712" s="286"/>
      <c r="DQ712" s="286"/>
      <c r="DR712" s="286"/>
      <c r="DS712" s="286"/>
      <c r="DT712" s="286"/>
      <c r="DU712" s="286"/>
      <c r="DV712" s="286"/>
      <c r="DW712" s="286"/>
      <c r="DX712" s="286"/>
      <c r="DY712" s="286"/>
      <c r="DZ712" s="286"/>
      <c r="EA712" s="286"/>
      <c r="EB712" s="286"/>
      <c r="EC712" s="286"/>
      <c r="ED712" s="286"/>
      <c r="EE712" s="286"/>
      <c r="EF712" s="286"/>
      <c r="EG712" s="286"/>
      <c r="EH712" s="286"/>
      <c r="EI712" s="286"/>
      <c r="EJ712" s="286"/>
      <c r="EK712" s="286"/>
      <c r="EL712" s="286"/>
      <c r="EM712" s="286"/>
      <c r="EN712" s="286"/>
      <c r="EO712" s="286"/>
      <c r="EP712" s="286"/>
      <c r="EQ712" s="286"/>
      <c r="ER712" s="286"/>
      <c r="ES712" s="286"/>
      <c r="ET712" s="286"/>
      <c r="EU712" s="286"/>
      <c r="EV712" s="286"/>
      <c r="EW712" s="286"/>
      <c r="EX712" s="286"/>
      <c r="EY712" s="286"/>
      <c r="EZ712" s="286"/>
      <c r="FA712" s="286"/>
      <c r="FB712" s="286"/>
      <c r="FC712" s="286"/>
      <c r="FD712" s="286"/>
      <c r="FE712" s="286"/>
      <c r="FF712" s="286"/>
      <c r="FG712" s="286"/>
      <c r="FH712" s="286"/>
      <c r="FI712" s="286"/>
      <c r="FJ712" s="286"/>
      <c r="FK712" s="286"/>
      <c r="FL712" s="286"/>
      <c r="FM712" s="286"/>
      <c r="FN712" s="286"/>
      <c r="FO712" s="286"/>
      <c r="FP712" s="286"/>
      <c r="FQ712" s="286"/>
      <c r="FR712" s="286"/>
      <c r="FS712" s="286"/>
    </row>
    <row r="713" spans="1:175">
      <c r="A713" s="212" t="s">
        <v>3159</v>
      </c>
      <c r="B713" s="212" t="s">
        <v>3160</v>
      </c>
      <c r="C713" s="212" t="s">
        <v>3432</v>
      </c>
      <c r="D713" s="212" t="s">
        <v>3861</v>
      </c>
      <c r="E713" s="212" t="s">
        <v>3897</v>
      </c>
      <c r="F713" s="278">
        <v>242</v>
      </c>
      <c r="G713" s="278">
        <v>1780</v>
      </c>
      <c r="H713" s="287">
        <f t="shared" si="10"/>
        <v>5.786516853932584</v>
      </c>
      <c r="I713" s="286">
        <v>8</v>
      </c>
      <c r="J713" s="286">
        <v>103</v>
      </c>
      <c r="K713" s="286">
        <v>54</v>
      </c>
      <c r="L713" s="286">
        <v>49</v>
      </c>
      <c r="M713" s="286">
        <v>97</v>
      </c>
      <c r="N713" s="286">
        <v>48</v>
      </c>
      <c r="O713" s="286">
        <v>49</v>
      </c>
      <c r="P713" s="286">
        <v>8</v>
      </c>
      <c r="Q713" s="286">
        <v>103</v>
      </c>
      <c r="R713" s="286">
        <v>54</v>
      </c>
      <c r="S713" s="286">
        <v>49</v>
      </c>
      <c r="T713" s="286">
        <v>97</v>
      </c>
      <c r="U713" s="286">
        <v>48</v>
      </c>
      <c r="V713" s="286">
        <v>49</v>
      </c>
      <c r="W713" s="286"/>
      <c r="X713" s="286"/>
      <c r="Y713" s="286"/>
      <c r="Z713" s="286"/>
      <c r="AA713" s="286"/>
      <c r="AB713" s="286"/>
      <c r="AC713" s="286"/>
      <c r="AD713" s="286"/>
      <c r="AE713" s="286"/>
      <c r="AF713" s="286"/>
      <c r="AG713" s="286"/>
      <c r="AH713" s="286"/>
      <c r="AI713" s="286"/>
      <c r="AJ713" s="286"/>
      <c r="AK713" s="286"/>
      <c r="AL713" s="286"/>
      <c r="AM713" s="286"/>
      <c r="AN713" s="286"/>
      <c r="AO713" s="286"/>
      <c r="AP713" s="286"/>
      <c r="AQ713" s="286"/>
      <c r="AR713" s="286"/>
      <c r="AS713" s="286"/>
      <c r="AT713" s="286"/>
      <c r="AU713" s="286"/>
      <c r="AV713" s="286"/>
      <c r="AW713" s="286"/>
      <c r="AX713" s="286"/>
      <c r="AY713" s="286"/>
      <c r="AZ713" s="286"/>
      <c r="BA713" s="286"/>
      <c r="BB713" s="286"/>
      <c r="BC713" s="286"/>
      <c r="BD713" s="286"/>
      <c r="BE713" s="286"/>
      <c r="BF713" s="286"/>
      <c r="BG713" s="286"/>
      <c r="BH713" s="286"/>
      <c r="BI713" s="286"/>
      <c r="BJ713" s="286"/>
      <c r="BK713" s="286"/>
      <c r="BL713" s="286"/>
      <c r="BM713" s="286"/>
      <c r="BN713" s="286"/>
      <c r="BO713" s="286"/>
      <c r="BP713" s="286"/>
      <c r="BQ713" s="286"/>
      <c r="BR713" s="286"/>
      <c r="BS713" s="286"/>
      <c r="BT713" s="286"/>
      <c r="BU713" s="286"/>
      <c r="BV713" s="286"/>
      <c r="BW713" s="286"/>
      <c r="BX713" s="286"/>
      <c r="BY713" s="286"/>
      <c r="BZ713" s="286"/>
      <c r="CA713" s="286"/>
      <c r="CB713" s="286"/>
      <c r="CC713" s="286"/>
      <c r="CD713" s="286"/>
      <c r="CE713" s="286"/>
      <c r="CF713" s="286"/>
      <c r="CG713" s="286"/>
      <c r="CH713" s="286"/>
      <c r="CI713" s="286"/>
      <c r="CJ713" s="286"/>
      <c r="CK713" s="286"/>
      <c r="CL713" s="286"/>
      <c r="CM713" s="286"/>
      <c r="CN713" s="286"/>
      <c r="CO713" s="286"/>
      <c r="CP713" s="286"/>
      <c r="CQ713" s="286"/>
      <c r="CR713" s="286"/>
      <c r="CS713" s="286"/>
      <c r="CT713" s="286"/>
      <c r="CU713" s="286"/>
      <c r="CV713" s="286"/>
      <c r="CW713" s="286"/>
      <c r="CX713" s="286"/>
      <c r="CY713" s="286"/>
      <c r="CZ713" s="286"/>
      <c r="DA713" s="286"/>
      <c r="DB713" s="286"/>
      <c r="DC713" s="286"/>
      <c r="DD713" s="286"/>
      <c r="DE713" s="286"/>
      <c r="DF713" s="286"/>
      <c r="DG713" s="286"/>
      <c r="DH713" s="286"/>
      <c r="DI713" s="286"/>
      <c r="DJ713" s="286"/>
      <c r="DK713" s="286"/>
      <c r="DL713" s="286"/>
      <c r="DM713" s="286"/>
      <c r="DN713" s="286"/>
      <c r="DO713" s="286"/>
      <c r="DP713" s="286"/>
      <c r="DQ713" s="286"/>
      <c r="DR713" s="286"/>
      <c r="DS713" s="286"/>
      <c r="DT713" s="286"/>
      <c r="DU713" s="286"/>
      <c r="DV713" s="286"/>
      <c r="DW713" s="286"/>
      <c r="DX713" s="286"/>
      <c r="DY713" s="286"/>
      <c r="DZ713" s="286"/>
      <c r="EA713" s="286"/>
      <c r="EB713" s="286"/>
      <c r="EC713" s="286"/>
      <c r="ED713" s="286"/>
      <c r="EE713" s="286"/>
      <c r="EF713" s="286"/>
      <c r="EG713" s="286"/>
      <c r="EH713" s="286"/>
      <c r="EI713" s="286"/>
      <c r="EJ713" s="286"/>
      <c r="EK713" s="286"/>
      <c r="EL713" s="286"/>
      <c r="EM713" s="286"/>
      <c r="EN713" s="286"/>
      <c r="EO713" s="286"/>
      <c r="EP713" s="286"/>
      <c r="EQ713" s="286"/>
      <c r="ER713" s="286"/>
      <c r="ES713" s="286"/>
      <c r="ET713" s="286"/>
      <c r="EU713" s="286"/>
      <c r="EV713" s="286"/>
      <c r="EW713" s="286"/>
      <c r="EX713" s="286"/>
      <c r="EY713" s="286"/>
      <c r="EZ713" s="286"/>
      <c r="FA713" s="286"/>
      <c r="FB713" s="286"/>
      <c r="FC713" s="286"/>
      <c r="FD713" s="286"/>
      <c r="FE713" s="286"/>
      <c r="FF713" s="286"/>
      <c r="FG713" s="286"/>
      <c r="FH713" s="286"/>
      <c r="FI713" s="286"/>
      <c r="FJ713" s="286"/>
      <c r="FK713" s="286"/>
      <c r="FL713" s="286"/>
      <c r="FM713" s="286"/>
      <c r="FN713" s="286"/>
      <c r="FO713" s="286"/>
      <c r="FP713" s="286"/>
      <c r="FQ713" s="286"/>
      <c r="FR713" s="286"/>
      <c r="FS713" s="286"/>
    </row>
    <row r="714" spans="1:175">
      <c r="A714" s="212" t="s">
        <v>3159</v>
      </c>
      <c r="B714" s="212" t="s">
        <v>3160</v>
      </c>
      <c r="C714" s="212" t="s">
        <v>3432</v>
      </c>
      <c r="D714" s="212" t="s">
        <v>3861</v>
      </c>
      <c r="E714" s="212" t="s">
        <v>3898</v>
      </c>
      <c r="F714" s="278">
        <v>5805</v>
      </c>
      <c r="G714" s="278">
        <v>111178</v>
      </c>
      <c r="H714" s="287">
        <f t="shared" si="10"/>
        <v>4.1051287125150662</v>
      </c>
      <c r="I714" s="286">
        <v>231</v>
      </c>
      <c r="J714" s="286">
        <v>4564</v>
      </c>
      <c r="K714" s="286">
        <v>1369</v>
      </c>
      <c r="L714" s="286">
        <v>3195</v>
      </c>
      <c r="M714" s="286">
        <v>3928</v>
      </c>
      <c r="N714" s="286">
        <v>1111</v>
      </c>
      <c r="O714" s="286">
        <v>2817</v>
      </c>
      <c r="P714" s="286">
        <v>156</v>
      </c>
      <c r="Q714" s="286">
        <v>4116</v>
      </c>
      <c r="R714" s="286">
        <v>1184</v>
      </c>
      <c r="S714" s="286">
        <v>2932</v>
      </c>
      <c r="T714" s="286">
        <v>3480</v>
      </c>
      <c r="U714" s="286">
        <v>926</v>
      </c>
      <c r="V714" s="286">
        <v>2554</v>
      </c>
      <c r="W714" s="286"/>
      <c r="X714" s="286"/>
      <c r="Y714" s="286"/>
      <c r="Z714" s="286"/>
      <c r="AA714" s="286"/>
      <c r="AB714" s="286"/>
      <c r="AC714" s="286"/>
      <c r="AD714" s="286"/>
      <c r="AE714" s="286"/>
      <c r="AF714" s="286"/>
      <c r="AG714" s="286"/>
      <c r="AH714" s="286"/>
      <c r="AI714" s="286"/>
      <c r="AJ714" s="286"/>
      <c r="AK714" s="286"/>
      <c r="AL714" s="286"/>
      <c r="AM714" s="286"/>
      <c r="AN714" s="286"/>
      <c r="AO714" s="286"/>
      <c r="AP714" s="286"/>
      <c r="AQ714" s="286"/>
      <c r="AR714" s="286"/>
      <c r="AS714" s="286"/>
      <c r="AT714" s="286"/>
      <c r="AU714" s="286"/>
      <c r="AV714" s="286"/>
      <c r="AW714" s="286"/>
      <c r="AX714" s="286"/>
      <c r="AY714" s="286"/>
      <c r="AZ714" s="286"/>
      <c r="BA714" s="286"/>
      <c r="BB714" s="286"/>
      <c r="BC714" s="286"/>
      <c r="BD714" s="286"/>
      <c r="BE714" s="286"/>
      <c r="BF714" s="286"/>
      <c r="BG714" s="286"/>
      <c r="BH714" s="286"/>
      <c r="BI714" s="286"/>
      <c r="BJ714" s="286"/>
      <c r="BK714" s="286"/>
      <c r="BL714" s="286"/>
      <c r="BM714" s="286"/>
      <c r="BN714" s="286"/>
      <c r="BO714" s="286"/>
      <c r="BP714" s="286"/>
      <c r="BQ714" s="286"/>
      <c r="BR714" s="286"/>
      <c r="BS714" s="286"/>
      <c r="BT714" s="286"/>
      <c r="BU714" s="286"/>
      <c r="BV714" s="286"/>
      <c r="BW714" s="286"/>
      <c r="BX714" s="286"/>
      <c r="BY714" s="286"/>
      <c r="BZ714" s="286"/>
      <c r="CA714" s="286"/>
      <c r="CB714" s="286"/>
      <c r="CC714" s="286"/>
      <c r="CD714" s="286"/>
      <c r="CE714" s="286"/>
      <c r="CF714" s="286"/>
      <c r="CG714" s="286"/>
      <c r="CH714" s="286"/>
      <c r="CI714" s="286"/>
      <c r="CJ714" s="286"/>
      <c r="CK714" s="286"/>
      <c r="CL714" s="286"/>
      <c r="CM714" s="286"/>
      <c r="CN714" s="286"/>
      <c r="CO714" s="286"/>
      <c r="CP714" s="286"/>
      <c r="CQ714" s="286"/>
      <c r="CR714" s="286"/>
      <c r="CS714" s="286"/>
      <c r="CT714" s="286"/>
      <c r="CU714" s="286"/>
      <c r="CV714" s="286"/>
      <c r="CW714" s="286"/>
      <c r="CX714" s="286"/>
      <c r="CY714" s="286"/>
      <c r="CZ714" s="286"/>
      <c r="DA714" s="286"/>
      <c r="DB714" s="286"/>
      <c r="DC714" s="286"/>
      <c r="DD714" s="286"/>
      <c r="DE714" s="286"/>
      <c r="DF714" s="286"/>
      <c r="DG714" s="286"/>
      <c r="DH714" s="286"/>
      <c r="DI714" s="286"/>
      <c r="DJ714" s="286"/>
      <c r="DK714" s="286"/>
      <c r="DL714" s="286"/>
      <c r="DM714" s="286"/>
      <c r="DN714" s="286"/>
      <c r="DO714" s="286"/>
      <c r="DP714" s="286"/>
      <c r="DQ714" s="286"/>
      <c r="DR714" s="286"/>
      <c r="DS714" s="286"/>
      <c r="DT714" s="286"/>
      <c r="DU714" s="286"/>
      <c r="DV714" s="286"/>
      <c r="DW714" s="286"/>
      <c r="DX714" s="286"/>
      <c r="DY714" s="286"/>
      <c r="DZ714" s="286"/>
      <c r="EA714" s="286"/>
      <c r="EB714" s="286"/>
      <c r="EC714" s="286"/>
      <c r="ED714" s="286"/>
      <c r="EE714" s="286"/>
      <c r="EF714" s="286"/>
      <c r="EG714" s="286"/>
      <c r="EH714" s="286"/>
      <c r="EI714" s="286"/>
      <c r="EJ714" s="286"/>
      <c r="EK714" s="286"/>
      <c r="EL714" s="286"/>
      <c r="EM714" s="286"/>
      <c r="EN714" s="286"/>
      <c r="EO714" s="286"/>
      <c r="EP714" s="286"/>
      <c r="EQ714" s="286"/>
      <c r="ER714" s="286"/>
      <c r="ES714" s="286"/>
      <c r="ET714" s="286"/>
      <c r="EU714" s="286"/>
      <c r="EV714" s="286"/>
      <c r="EW714" s="286"/>
      <c r="EX714" s="286"/>
      <c r="EY714" s="286"/>
      <c r="EZ714" s="286"/>
      <c r="FA714" s="286"/>
      <c r="FB714" s="286"/>
      <c r="FC714" s="286"/>
      <c r="FD714" s="286"/>
      <c r="FE714" s="286"/>
      <c r="FF714" s="286"/>
      <c r="FG714" s="286"/>
      <c r="FH714" s="286"/>
      <c r="FI714" s="286"/>
      <c r="FJ714" s="286"/>
      <c r="FK714" s="286"/>
      <c r="FL714" s="286"/>
      <c r="FM714" s="286"/>
      <c r="FN714" s="286"/>
      <c r="FO714" s="286"/>
      <c r="FP714" s="286"/>
      <c r="FQ714" s="286"/>
      <c r="FR714" s="286"/>
      <c r="FS714" s="286"/>
    </row>
    <row r="715" spans="1:175">
      <c r="A715" s="212" t="s">
        <v>3159</v>
      </c>
      <c r="B715" s="212" t="s">
        <v>3160</v>
      </c>
      <c r="C715" s="212" t="s">
        <v>3168</v>
      </c>
      <c r="D715" s="212" t="s">
        <v>3899</v>
      </c>
      <c r="E715" s="212" t="s">
        <v>3900</v>
      </c>
      <c r="F715" s="278">
        <v>32161</v>
      </c>
      <c r="G715" s="278">
        <v>436032</v>
      </c>
      <c r="H715" s="287">
        <f t="shared" ref="H715:H779" si="11">J715/G715*100</f>
        <v>3.7375697196536035</v>
      </c>
      <c r="I715" s="286">
        <v>1270</v>
      </c>
      <c r="J715" s="286">
        <v>16297</v>
      </c>
      <c r="K715" s="286">
        <v>8912</v>
      </c>
      <c r="L715" s="286">
        <v>7385</v>
      </c>
      <c r="M715" s="286">
        <v>15729</v>
      </c>
      <c r="N715" s="286">
        <v>8544</v>
      </c>
      <c r="O715" s="286">
        <v>7185</v>
      </c>
      <c r="P715" s="286">
        <v>1270</v>
      </c>
      <c r="Q715" s="286">
        <v>16297</v>
      </c>
      <c r="R715" s="286">
        <v>8912</v>
      </c>
      <c r="S715" s="286">
        <v>7385</v>
      </c>
      <c r="T715" s="286">
        <v>15729</v>
      </c>
      <c r="U715" s="286">
        <v>8544</v>
      </c>
      <c r="V715" s="286">
        <v>7185</v>
      </c>
      <c r="W715" s="286"/>
      <c r="X715" s="286"/>
      <c r="Y715" s="286"/>
      <c r="Z715" s="286"/>
      <c r="AA715" s="286"/>
      <c r="AB715" s="286"/>
      <c r="AC715" s="286"/>
      <c r="AD715" s="286"/>
      <c r="AE715" s="286"/>
      <c r="AF715" s="286"/>
      <c r="AG715" s="286"/>
      <c r="AH715" s="286"/>
      <c r="AI715" s="286"/>
      <c r="AJ715" s="286"/>
      <c r="AK715" s="286"/>
      <c r="AL715" s="286"/>
      <c r="AM715" s="286"/>
      <c r="AN715" s="286"/>
      <c r="AO715" s="286"/>
      <c r="AP715" s="286"/>
      <c r="AQ715" s="286"/>
      <c r="AR715" s="286"/>
      <c r="AS715" s="286"/>
      <c r="AT715" s="286"/>
      <c r="AU715" s="286"/>
      <c r="AV715" s="286"/>
      <c r="AW715" s="286"/>
      <c r="AX715" s="286"/>
      <c r="AY715" s="286"/>
      <c r="AZ715" s="286"/>
      <c r="BA715" s="286"/>
      <c r="BB715" s="286"/>
      <c r="BC715" s="286"/>
      <c r="BD715" s="286"/>
      <c r="BE715" s="286"/>
      <c r="BF715" s="286"/>
      <c r="BG715" s="286"/>
      <c r="BH715" s="286"/>
      <c r="BI715" s="286"/>
      <c r="BJ715" s="286"/>
      <c r="BK715" s="286"/>
      <c r="BL715" s="286"/>
      <c r="BM715" s="286"/>
      <c r="BN715" s="286"/>
      <c r="BO715" s="286"/>
      <c r="BP715" s="286"/>
      <c r="BQ715" s="286"/>
      <c r="BR715" s="286"/>
      <c r="BS715" s="286"/>
      <c r="BT715" s="286"/>
      <c r="BU715" s="286"/>
      <c r="BV715" s="286"/>
      <c r="BW715" s="286"/>
      <c r="BX715" s="286"/>
      <c r="BY715" s="286"/>
      <c r="BZ715" s="286"/>
      <c r="CA715" s="286"/>
      <c r="CB715" s="286"/>
      <c r="CC715" s="286"/>
      <c r="CD715" s="286"/>
      <c r="CE715" s="286"/>
      <c r="CF715" s="286"/>
      <c r="CG715" s="286"/>
      <c r="CH715" s="286"/>
      <c r="CI715" s="286"/>
      <c r="CJ715" s="286"/>
      <c r="CK715" s="286"/>
      <c r="CL715" s="286"/>
      <c r="CM715" s="286"/>
      <c r="CN715" s="286"/>
      <c r="CO715" s="286"/>
      <c r="CP715" s="286"/>
      <c r="CQ715" s="286"/>
      <c r="CR715" s="286"/>
      <c r="CS715" s="286"/>
      <c r="CT715" s="286"/>
      <c r="CU715" s="286"/>
      <c r="CV715" s="286"/>
      <c r="CW715" s="286"/>
      <c r="CX715" s="286"/>
      <c r="CY715" s="286"/>
      <c r="CZ715" s="286"/>
      <c r="DA715" s="286"/>
      <c r="DB715" s="286"/>
      <c r="DC715" s="286"/>
      <c r="DD715" s="286"/>
      <c r="DE715" s="286"/>
      <c r="DF715" s="286"/>
      <c r="DG715" s="286"/>
      <c r="DH715" s="286"/>
      <c r="DI715" s="286"/>
      <c r="DJ715" s="286"/>
      <c r="DK715" s="286"/>
      <c r="DL715" s="286"/>
      <c r="DM715" s="286"/>
      <c r="DN715" s="286"/>
      <c r="DO715" s="286"/>
      <c r="DP715" s="286"/>
      <c r="DQ715" s="286"/>
      <c r="DR715" s="286"/>
      <c r="DS715" s="286"/>
      <c r="DT715" s="286"/>
      <c r="DU715" s="286"/>
      <c r="DV715" s="286"/>
      <c r="DW715" s="286"/>
      <c r="DX715" s="286"/>
      <c r="DY715" s="286"/>
      <c r="DZ715" s="286"/>
      <c r="EA715" s="286"/>
      <c r="EB715" s="286"/>
      <c r="EC715" s="286"/>
      <c r="ED715" s="286"/>
      <c r="EE715" s="286"/>
      <c r="EF715" s="286"/>
      <c r="EG715" s="286"/>
      <c r="EH715" s="286"/>
      <c r="EI715" s="286"/>
      <c r="EJ715" s="286"/>
      <c r="EK715" s="286"/>
      <c r="EL715" s="286"/>
      <c r="EM715" s="286"/>
      <c r="EN715" s="286"/>
      <c r="EO715" s="286"/>
      <c r="EP715" s="286"/>
      <c r="EQ715" s="286"/>
      <c r="ER715" s="286"/>
      <c r="ES715" s="286"/>
      <c r="ET715" s="286"/>
      <c r="EU715" s="286"/>
      <c r="EV715" s="286"/>
      <c r="EW715" s="286"/>
      <c r="EX715" s="286"/>
      <c r="EY715" s="286"/>
      <c r="EZ715" s="286"/>
      <c r="FA715" s="286"/>
      <c r="FB715" s="286"/>
      <c r="FC715" s="286"/>
      <c r="FD715" s="286"/>
      <c r="FE715" s="286"/>
      <c r="FF715" s="286"/>
      <c r="FG715" s="286"/>
      <c r="FH715" s="286"/>
      <c r="FI715" s="286"/>
      <c r="FJ715" s="286"/>
      <c r="FK715" s="286"/>
      <c r="FL715" s="286"/>
      <c r="FM715" s="286"/>
      <c r="FN715" s="286"/>
      <c r="FO715" s="286"/>
      <c r="FP715" s="286"/>
      <c r="FQ715" s="286"/>
      <c r="FR715" s="286"/>
      <c r="FS715" s="286"/>
    </row>
    <row r="716" spans="1:175">
      <c r="A716" s="212" t="s">
        <v>3159</v>
      </c>
      <c r="B716" s="212" t="s">
        <v>3160</v>
      </c>
      <c r="C716" s="212" t="s">
        <v>3459</v>
      </c>
      <c r="D716" s="212" t="s">
        <v>3901</v>
      </c>
      <c r="E716" s="212" t="s">
        <v>3902</v>
      </c>
      <c r="F716" s="278">
        <v>23449</v>
      </c>
      <c r="G716" s="278">
        <v>285146</v>
      </c>
      <c r="H716" s="287">
        <f t="shared" si="11"/>
        <v>3.7489566748262293</v>
      </c>
      <c r="I716" s="286">
        <v>944</v>
      </c>
      <c r="J716" s="286">
        <v>10690</v>
      </c>
      <c r="K716" s="286">
        <v>5971</v>
      </c>
      <c r="L716" s="286">
        <v>4719</v>
      </c>
      <c r="M716" s="286">
        <v>10395</v>
      </c>
      <c r="N716" s="286">
        <v>5846</v>
      </c>
      <c r="O716" s="286">
        <v>4549</v>
      </c>
      <c r="P716" s="286">
        <v>944</v>
      </c>
      <c r="Q716" s="286">
        <v>10690</v>
      </c>
      <c r="R716" s="286">
        <v>5971</v>
      </c>
      <c r="S716" s="286">
        <v>4719</v>
      </c>
      <c r="T716" s="286">
        <v>10395</v>
      </c>
      <c r="U716" s="286">
        <v>5846</v>
      </c>
      <c r="V716" s="286">
        <v>4549</v>
      </c>
      <c r="W716" s="286"/>
      <c r="X716" s="286"/>
      <c r="Y716" s="286"/>
      <c r="Z716" s="286"/>
      <c r="AA716" s="286"/>
      <c r="AB716" s="286"/>
      <c r="AC716" s="286"/>
      <c r="AD716" s="286"/>
      <c r="AE716" s="286"/>
      <c r="AF716" s="286"/>
      <c r="AG716" s="286"/>
      <c r="AH716" s="286"/>
      <c r="AI716" s="286"/>
      <c r="AJ716" s="286"/>
      <c r="AK716" s="286"/>
      <c r="AL716" s="286"/>
      <c r="AM716" s="286"/>
      <c r="AN716" s="286"/>
      <c r="AO716" s="286"/>
      <c r="AP716" s="286"/>
      <c r="AQ716" s="286"/>
      <c r="AR716" s="286"/>
      <c r="AS716" s="286"/>
      <c r="AT716" s="286"/>
      <c r="AU716" s="286"/>
      <c r="AV716" s="286"/>
      <c r="AW716" s="286"/>
      <c r="AX716" s="286"/>
      <c r="AY716" s="286"/>
      <c r="AZ716" s="286"/>
      <c r="BA716" s="286"/>
      <c r="BB716" s="286"/>
      <c r="BC716" s="286"/>
      <c r="BD716" s="286"/>
      <c r="BE716" s="286"/>
      <c r="BF716" s="286"/>
      <c r="BG716" s="286"/>
      <c r="BH716" s="286"/>
      <c r="BI716" s="286"/>
      <c r="BJ716" s="286"/>
      <c r="BK716" s="286"/>
      <c r="BL716" s="286"/>
      <c r="BM716" s="286"/>
      <c r="BN716" s="286"/>
      <c r="BO716" s="286"/>
      <c r="BP716" s="286"/>
      <c r="BQ716" s="286"/>
      <c r="BR716" s="286"/>
      <c r="BS716" s="286"/>
      <c r="BT716" s="286"/>
      <c r="BU716" s="286"/>
      <c r="BV716" s="286"/>
      <c r="BW716" s="286"/>
      <c r="BX716" s="286"/>
      <c r="BY716" s="286"/>
      <c r="BZ716" s="286"/>
      <c r="CA716" s="286"/>
      <c r="CB716" s="286"/>
      <c r="CC716" s="286"/>
      <c r="CD716" s="286"/>
      <c r="CE716" s="286"/>
      <c r="CF716" s="286"/>
      <c r="CG716" s="286"/>
      <c r="CH716" s="286"/>
      <c r="CI716" s="286"/>
      <c r="CJ716" s="286"/>
      <c r="CK716" s="286"/>
      <c r="CL716" s="286"/>
      <c r="CM716" s="286"/>
      <c r="CN716" s="286"/>
      <c r="CO716" s="286"/>
      <c r="CP716" s="286"/>
      <c r="CQ716" s="286"/>
      <c r="CR716" s="286"/>
      <c r="CS716" s="286"/>
      <c r="CT716" s="286"/>
      <c r="CU716" s="286"/>
      <c r="CV716" s="286"/>
      <c r="CW716" s="286"/>
      <c r="CX716" s="286"/>
      <c r="CY716" s="286"/>
      <c r="CZ716" s="286"/>
      <c r="DA716" s="286"/>
      <c r="DB716" s="286"/>
      <c r="DC716" s="286"/>
      <c r="DD716" s="286"/>
      <c r="DE716" s="286"/>
      <c r="DF716" s="286"/>
      <c r="DG716" s="286"/>
      <c r="DH716" s="286"/>
      <c r="DI716" s="286"/>
      <c r="DJ716" s="286"/>
      <c r="DK716" s="286"/>
      <c r="DL716" s="286"/>
      <c r="DM716" s="286"/>
      <c r="DN716" s="286"/>
      <c r="DO716" s="286"/>
      <c r="DP716" s="286"/>
      <c r="DQ716" s="286"/>
      <c r="DR716" s="286"/>
      <c r="DS716" s="286"/>
      <c r="DT716" s="286"/>
      <c r="DU716" s="286"/>
      <c r="DV716" s="286"/>
      <c r="DW716" s="286"/>
      <c r="DX716" s="286"/>
      <c r="DY716" s="286"/>
      <c r="DZ716" s="286"/>
      <c r="EA716" s="286"/>
      <c r="EB716" s="286"/>
      <c r="EC716" s="286"/>
      <c r="ED716" s="286"/>
      <c r="EE716" s="286"/>
      <c r="EF716" s="286"/>
      <c r="EG716" s="286"/>
      <c r="EH716" s="286"/>
      <c r="EI716" s="286"/>
      <c r="EJ716" s="286"/>
      <c r="EK716" s="286"/>
      <c r="EL716" s="286"/>
      <c r="EM716" s="286"/>
      <c r="EN716" s="286"/>
      <c r="EO716" s="286"/>
      <c r="EP716" s="286"/>
      <c r="EQ716" s="286"/>
      <c r="ER716" s="286"/>
      <c r="ES716" s="286"/>
      <c r="ET716" s="286"/>
      <c r="EU716" s="286"/>
      <c r="EV716" s="286"/>
      <c r="EW716" s="286"/>
      <c r="EX716" s="286"/>
      <c r="EY716" s="286"/>
      <c r="EZ716" s="286"/>
      <c r="FA716" s="286"/>
      <c r="FB716" s="286"/>
      <c r="FC716" s="286"/>
      <c r="FD716" s="286"/>
      <c r="FE716" s="286"/>
      <c r="FF716" s="286"/>
      <c r="FG716" s="286"/>
      <c r="FH716" s="286"/>
      <c r="FI716" s="286"/>
      <c r="FJ716" s="286"/>
      <c r="FK716" s="286"/>
      <c r="FL716" s="286"/>
      <c r="FM716" s="286"/>
      <c r="FN716" s="286"/>
      <c r="FO716" s="286"/>
      <c r="FP716" s="286"/>
      <c r="FQ716" s="286"/>
      <c r="FR716" s="286"/>
      <c r="FS716" s="286"/>
    </row>
    <row r="717" spans="1:175">
      <c r="A717" s="212" t="s">
        <v>3159</v>
      </c>
      <c r="B717" s="212" t="s">
        <v>3160</v>
      </c>
      <c r="C717" s="212" t="s">
        <v>3170</v>
      </c>
      <c r="D717" s="212" t="s">
        <v>3901</v>
      </c>
      <c r="E717" s="212" t="s">
        <v>3903</v>
      </c>
      <c r="F717" s="278">
        <v>23449</v>
      </c>
      <c r="G717" s="278">
        <v>285146</v>
      </c>
      <c r="H717" s="287">
        <f t="shared" si="11"/>
        <v>3.7489566748262293</v>
      </c>
      <c r="I717" s="286">
        <v>944</v>
      </c>
      <c r="J717" s="286">
        <v>10690</v>
      </c>
      <c r="K717" s="286">
        <v>5971</v>
      </c>
      <c r="L717" s="286">
        <v>4719</v>
      </c>
      <c r="M717" s="286">
        <v>10395</v>
      </c>
      <c r="N717" s="286">
        <v>5846</v>
      </c>
      <c r="O717" s="286">
        <v>4549</v>
      </c>
      <c r="P717" s="286">
        <v>944</v>
      </c>
      <c r="Q717" s="286">
        <v>10690</v>
      </c>
      <c r="R717" s="286">
        <v>5971</v>
      </c>
      <c r="S717" s="286">
        <v>4719</v>
      </c>
      <c r="T717" s="286">
        <v>10395</v>
      </c>
      <c r="U717" s="286">
        <v>5846</v>
      </c>
      <c r="V717" s="286">
        <v>4549</v>
      </c>
      <c r="W717" s="286"/>
      <c r="X717" s="286"/>
      <c r="Y717" s="286"/>
      <c r="Z717" s="286"/>
      <c r="AA717" s="286"/>
      <c r="AB717" s="286"/>
      <c r="AC717" s="286"/>
      <c r="AD717" s="286"/>
      <c r="AE717" s="286"/>
      <c r="AF717" s="286"/>
      <c r="AG717" s="286"/>
      <c r="AH717" s="286"/>
      <c r="AI717" s="286"/>
      <c r="AJ717" s="286"/>
      <c r="AK717" s="286"/>
      <c r="AL717" s="286"/>
      <c r="AM717" s="286"/>
      <c r="AN717" s="286"/>
      <c r="AO717" s="286"/>
      <c r="AP717" s="286"/>
      <c r="AQ717" s="286"/>
      <c r="AR717" s="286"/>
      <c r="AS717" s="286"/>
      <c r="AT717" s="286"/>
      <c r="AU717" s="286"/>
      <c r="AV717" s="286"/>
      <c r="AW717" s="286"/>
      <c r="AX717" s="286"/>
      <c r="AY717" s="286"/>
      <c r="AZ717" s="286"/>
      <c r="BA717" s="286"/>
      <c r="BB717" s="286"/>
      <c r="BC717" s="286"/>
      <c r="BD717" s="286"/>
      <c r="BE717" s="286"/>
      <c r="BF717" s="286"/>
      <c r="BG717" s="286"/>
      <c r="BH717" s="286"/>
      <c r="BI717" s="286"/>
      <c r="BJ717" s="286"/>
      <c r="BK717" s="286"/>
      <c r="BL717" s="286"/>
      <c r="BM717" s="286"/>
      <c r="BN717" s="286"/>
      <c r="BO717" s="286"/>
      <c r="BP717" s="286"/>
      <c r="BQ717" s="286"/>
      <c r="BR717" s="286"/>
      <c r="BS717" s="286"/>
      <c r="BT717" s="286"/>
      <c r="BU717" s="286"/>
      <c r="BV717" s="286"/>
      <c r="BW717" s="286"/>
      <c r="BX717" s="286"/>
      <c r="BY717" s="286"/>
      <c r="BZ717" s="286"/>
      <c r="CA717" s="286"/>
      <c r="CB717" s="286"/>
      <c r="CC717" s="286"/>
      <c r="CD717" s="286"/>
      <c r="CE717" s="286"/>
      <c r="CF717" s="286"/>
      <c r="CG717" s="286"/>
      <c r="CH717" s="286"/>
      <c r="CI717" s="286"/>
      <c r="CJ717" s="286"/>
      <c r="CK717" s="286"/>
      <c r="CL717" s="286"/>
      <c r="CM717" s="286"/>
      <c r="CN717" s="286"/>
      <c r="CO717" s="286"/>
      <c r="CP717" s="286"/>
      <c r="CQ717" s="286"/>
      <c r="CR717" s="286"/>
      <c r="CS717" s="286"/>
      <c r="CT717" s="286"/>
      <c r="CU717" s="286"/>
      <c r="CV717" s="286"/>
      <c r="CW717" s="286"/>
      <c r="CX717" s="286"/>
      <c r="CY717" s="286"/>
      <c r="CZ717" s="286"/>
      <c r="DA717" s="286"/>
      <c r="DB717" s="286"/>
      <c r="DC717" s="286"/>
      <c r="DD717" s="286"/>
      <c r="DE717" s="286"/>
      <c r="DF717" s="286"/>
      <c r="DG717" s="286"/>
      <c r="DH717" s="286"/>
      <c r="DI717" s="286"/>
      <c r="DJ717" s="286"/>
      <c r="DK717" s="286"/>
      <c r="DL717" s="286"/>
      <c r="DM717" s="286"/>
      <c r="DN717" s="286"/>
      <c r="DO717" s="286"/>
      <c r="DP717" s="286"/>
      <c r="DQ717" s="286"/>
      <c r="DR717" s="286"/>
      <c r="DS717" s="286"/>
      <c r="DT717" s="286"/>
      <c r="DU717" s="286"/>
      <c r="DV717" s="286"/>
      <c r="DW717" s="286"/>
      <c r="DX717" s="286"/>
      <c r="DY717" s="286"/>
      <c r="DZ717" s="286"/>
      <c r="EA717" s="286"/>
      <c r="EB717" s="286"/>
      <c r="EC717" s="286"/>
      <c r="ED717" s="286"/>
      <c r="EE717" s="286"/>
      <c r="EF717" s="286"/>
      <c r="EG717" s="286"/>
      <c r="EH717" s="286"/>
      <c r="EI717" s="286"/>
      <c r="EJ717" s="286"/>
      <c r="EK717" s="286"/>
      <c r="EL717" s="286"/>
      <c r="EM717" s="286"/>
      <c r="EN717" s="286"/>
      <c r="EO717" s="286"/>
      <c r="EP717" s="286"/>
      <c r="EQ717" s="286"/>
      <c r="ER717" s="286"/>
      <c r="ES717" s="286"/>
      <c r="ET717" s="286"/>
      <c r="EU717" s="286"/>
      <c r="EV717" s="286"/>
      <c r="EW717" s="286"/>
      <c r="EX717" s="286"/>
      <c r="EY717" s="286"/>
      <c r="EZ717" s="286"/>
      <c r="FA717" s="286"/>
      <c r="FB717" s="286"/>
      <c r="FC717" s="286"/>
      <c r="FD717" s="286"/>
      <c r="FE717" s="286"/>
      <c r="FF717" s="286"/>
      <c r="FG717" s="286"/>
      <c r="FH717" s="286"/>
      <c r="FI717" s="286"/>
      <c r="FJ717" s="286"/>
      <c r="FK717" s="286"/>
      <c r="FL717" s="286"/>
      <c r="FM717" s="286"/>
      <c r="FN717" s="286"/>
      <c r="FO717" s="286"/>
      <c r="FP717" s="286"/>
      <c r="FQ717" s="286"/>
      <c r="FR717" s="286"/>
      <c r="FS717" s="286"/>
    </row>
    <row r="718" spans="1:175">
      <c r="A718" s="212" t="s">
        <v>3159</v>
      </c>
      <c r="B718" s="212" t="s">
        <v>3160</v>
      </c>
      <c r="C718" s="212" t="s">
        <v>3172</v>
      </c>
      <c r="D718" s="212" t="s">
        <v>3901</v>
      </c>
      <c r="E718" s="212" t="s">
        <v>3904</v>
      </c>
      <c r="F718" s="278">
        <v>99</v>
      </c>
      <c r="G718" s="278">
        <v>14029</v>
      </c>
      <c r="H718" s="287">
        <f t="shared" si="11"/>
        <v>0.23522702972414286</v>
      </c>
      <c r="I718" s="286">
        <v>1</v>
      </c>
      <c r="J718" s="286">
        <v>33</v>
      </c>
      <c r="K718" s="286">
        <v>30</v>
      </c>
      <c r="L718" s="286">
        <v>3</v>
      </c>
      <c r="M718" s="286">
        <v>33</v>
      </c>
      <c r="N718" s="286">
        <v>30</v>
      </c>
      <c r="O718" s="286">
        <v>3</v>
      </c>
      <c r="P718" s="286">
        <v>1</v>
      </c>
      <c r="Q718" s="286">
        <v>33</v>
      </c>
      <c r="R718" s="286">
        <v>30</v>
      </c>
      <c r="S718" s="286">
        <v>3</v>
      </c>
      <c r="T718" s="286">
        <v>33</v>
      </c>
      <c r="U718" s="286">
        <v>30</v>
      </c>
      <c r="V718" s="286">
        <v>3</v>
      </c>
      <c r="W718" s="286"/>
      <c r="X718" s="286"/>
      <c r="Y718" s="286"/>
      <c r="Z718" s="286"/>
      <c r="AA718" s="286"/>
      <c r="AB718" s="286"/>
      <c r="AC718" s="286"/>
      <c r="AD718" s="286"/>
      <c r="AE718" s="286"/>
      <c r="AF718" s="286"/>
      <c r="AG718" s="286"/>
      <c r="AH718" s="286"/>
      <c r="AI718" s="286"/>
      <c r="AJ718" s="286"/>
      <c r="AK718" s="286"/>
      <c r="AL718" s="286"/>
      <c r="AM718" s="286"/>
      <c r="AN718" s="286"/>
      <c r="AO718" s="286"/>
      <c r="AP718" s="286"/>
      <c r="AQ718" s="286"/>
      <c r="AR718" s="286"/>
      <c r="AS718" s="286"/>
      <c r="AT718" s="286"/>
      <c r="AU718" s="286"/>
      <c r="AV718" s="286"/>
      <c r="AW718" s="286"/>
      <c r="AX718" s="286"/>
      <c r="AY718" s="286"/>
      <c r="AZ718" s="286"/>
      <c r="BA718" s="286"/>
      <c r="BB718" s="286"/>
      <c r="BC718" s="286"/>
      <c r="BD718" s="286"/>
      <c r="BE718" s="286"/>
      <c r="BF718" s="286"/>
      <c r="BG718" s="286"/>
      <c r="BH718" s="286"/>
      <c r="BI718" s="286"/>
      <c r="BJ718" s="286"/>
      <c r="BK718" s="286"/>
      <c r="BL718" s="286"/>
      <c r="BM718" s="286"/>
      <c r="BN718" s="286"/>
      <c r="BO718" s="286"/>
      <c r="BP718" s="286"/>
      <c r="BQ718" s="286"/>
      <c r="BR718" s="286"/>
      <c r="BS718" s="286"/>
      <c r="BT718" s="286"/>
      <c r="BU718" s="286"/>
      <c r="BV718" s="286"/>
      <c r="BW718" s="286"/>
      <c r="BX718" s="286"/>
      <c r="BY718" s="286"/>
      <c r="BZ718" s="286"/>
      <c r="CA718" s="286"/>
      <c r="CB718" s="286"/>
      <c r="CC718" s="286"/>
      <c r="CD718" s="286"/>
      <c r="CE718" s="286"/>
      <c r="CF718" s="286"/>
      <c r="CG718" s="286"/>
      <c r="CH718" s="286"/>
      <c r="CI718" s="286"/>
      <c r="CJ718" s="286"/>
      <c r="CK718" s="286"/>
      <c r="CL718" s="286"/>
      <c r="CM718" s="286"/>
      <c r="CN718" s="286"/>
      <c r="CO718" s="286"/>
      <c r="CP718" s="286"/>
      <c r="CQ718" s="286"/>
      <c r="CR718" s="286"/>
      <c r="CS718" s="286"/>
      <c r="CT718" s="286"/>
      <c r="CU718" s="286"/>
      <c r="CV718" s="286"/>
      <c r="CW718" s="286"/>
      <c r="CX718" s="286"/>
      <c r="CY718" s="286"/>
      <c r="CZ718" s="286"/>
      <c r="DA718" s="286"/>
      <c r="DB718" s="286"/>
      <c r="DC718" s="286"/>
      <c r="DD718" s="286"/>
      <c r="DE718" s="286"/>
      <c r="DF718" s="286"/>
      <c r="DG718" s="286"/>
      <c r="DH718" s="286"/>
      <c r="DI718" s="286"/>
      <c r="DJ718" s="286"/>
      <c r="DK718" s="286"/>
      <c r="DL718" s="286"/>
      <c r="DM718" s="286"/>
      <c r="DN718" s="286"/>
      <c r="DO718" s="286"/>
      <c r="DP718" s="286"/>
      <c r="DQ718" s="286"/>
      <c r="DR718" s="286"/>
      <c r="DS718" s="286"/>
      <c r="DT718" s="286"/>
      <c r="DU718" s="286"/>
      <c r="DV718" s="286"/>
      <c r="DW718" s="286"/>
      <c r="DX718" s="286"/>
      <c r="DY718" s="286"/>
      <c r="DZ718" s="286"/>
      <c r="EA718" s="286"/>
      <c r="EB718" s="286"/>
      <c r="EC718" s="286"/>
      <c r="ED718" s="286"/>
      <c r="EE718" s="286"/>
      <c r="EF718" s="286"/>
      <c r="EG718" s="286"/>
      <c r="EH718" s="286"/>
      <c r="EI718" s="286"/>
      <c r="EJ718" s="286"/>
      <c r="EK718" s="286"/>
      <c r="EL718" s="286"/>
      <c r="EM718" s="286"/>
      <c r="EN718" s="286"/>
      <c r="EO718" s="286"/>
      <c r="EP718" s="286"/>
      <c r="EQ718" s="286"/>
      <c r="ER718" s="286"/>
      <c r="ES718" s="286"/>
      <c r="ET718" s="286"/>
      <c r="EU718" s="286"/>
      <c r="EV718" s="286"/>
      <c r="EW718" s="286"/>
      <c r="EX718" s="286"/>
      <c r="EY718" s="286"/>
      <c r="EZ718" s="286"/>
      <c r="FA718" s="286"/>
      <c r="FB718" s="286"/>
      <c r="FC718" s="286"/>
      <c r="FD718" s="286"/>
      <c r="FE718" s="286"/>
      <c r="FF718" s="286"/>
      <c r="FG718" s="286"/>
      <c r="FH718" s="286"/>
      <c r="FI718" s="286"/>
      <c r="FJ718" s="286"/>
      <c r="FK718" s="286"/>
      <c r="FL718" s="286"/>
      <c r="FM718" s="286"/>
      <c r="FN718" s="286"/>
      <c r="FO718" s="286"/>
      <c r="FP718" s="286"/>
      <c r="FQ718" s="286"/>
      <c r="FR718" s="286"/>
      <c r="FS718" s="286"/>
    </row>
    <row r="719" spans="1:175">
      <c r="A719" s="212" t="s">
        <v>3159</v>
      </c>
      <c r="B719" s="212" t="s">
        <v>3160</v>
      </c>
      <c r="C719" s="212" t="s">
        <v>3172</v>
      </c>
      <c r="D719" s="212" t="s">
        <v>3901</v>
      </c>
      <c r="E719" s="212" t="s">
        <v>3905</v>
      </c>
      <c r="F719" s="278">
        <v>19813</v>
      </c>
      <c r="G719" s="278">
        <v>260588</v>
      </c>
      <c r="H719" s="287">
        <f t="shared" si="11"/>
        <v>3.9399358374138487</v>
      </c>
      <c r="I719" s="286">
        <v>824</v>
      </c>
      <c r="J719" s="286">
        <v>10267</v>
      </c>
      <c r="K719" s="286">
        <v>5859</v>
      </c>
      <c r="L719" s="286">
        <v>4408</v>
      </c>
      <c r="M719" s="286">
        <v>10132</v>
      </c>
      <c r="N719" s="286">
        <v>5775</v>
      </c>
      <c r="O719" s="286">
        <v>4357</v>
      </c>
      <c r="P719" s="286">
        <v>824</v>
      </c>
      <c r="Q719" s="286">
        <v>10267</v>
      </c>
      <c r="R719" s="286">
        <v>5859</v>
      </c>
      <c r="S719" s="286">
        <v>4408</v>
      </c>
      <c r="T719" s="286">
        <v>10132</v>
      </c>
      <c r="U719" s="286">
        <v>5775</v>
      </c>
      <c r="V719" s="286">
        <v>4357</v>
      </c>
      <c r="W719" s="286"/>
      <c r="X719" s="286"/>
      <c r="Y719" s="286"/>
      <c r="Z719" s="286"/>
      <c r="AA719" s="286"/>
      <c r="AB719" s="286"/>
      <c r="AC719" s="286"/>
      <c r="AD719" s="286"/>
      <c r="AE719" s="286"/>
      <c r="AF719" s="286"/>
      <c r="AG719" s="286"/>
      <c r="AH719" s="286"/>
      <c r="AI719" s="286"/>
      <c r="AJ719" s="286"/>
      <c r="AK719" s="286"/>
      <c r="AL719" s="286"/>
      <c r="AM719" s="286"/>
      <c r="AN719" s="286"/>
      <c r="AO719" s="286"/>
      <c r="AP719" s="286"/>
      <c r="AQ719" s="286"/>
      <c r="AR719" s="286"/>
      <c r="AS719" s="286"/>
      <c r="AT719" s="286"/>
      <c r="AU719" s="286"/>
      <c r="AV719" s="286"/>
      <c r="AW719" s="286"/>
      <c r="AX719" s="286"/>
      <c r="AY719" s="286"/>
      <c r="AZ719" s="286"/>
      <c r="BA719" s="286"/>
      <c r="BB719" s="286"/>
      <c r="BC719" s="286"/>
      <c r="BD719" s="286"/>
      <c r="BE719" s="286"/>
      <c r="BF719" s="286"/>
      <c r="BG719" s="286"/>
      <c r="BH719" s="286"/>
      <c r="BI719" s="286"/>
      <c r="BJ719" s="286"/>
      <c r="BK719" s="286"/>
      <c r="BL719" s="286"/>
      <c r="BM719" s="286"/>
      <c r="BN719" s="286"/>
      <c r="BO719" s="286"/>
      <c r="BP719" s="286"/>
      <c r="BQ719" s="286"/>
      <c r="BR719" s="286"/>
      <c r="BS719" s="286"/>
      <c r="BT719" s="286"/>
      <c r="BU719" s="286"/>
      <c r="BV719" s="286"/>
      <c r="BW719" s="286"/>
      <c r="BX719" s="286"/>
      <c r="BY719" s="286"/>
      <c r="BZ719" s="286"/>
      <c r="CA719" s="286"/>
      <c r="CB719" s="286"/>
      <c r="CC719" s="286"/>
      <c r="CD719" s="286"/>
      <c r="CE719" s="286"/>
      <c r="CF719" s="286"/>
      <c r="CG719" s="286"/>
      <c r="CH719" s="286"/>
      <c r="CI719" s="286"/>
      <c r="CJ719" s="286"/>
      <c r="CK719" s="286"/>
      <c r="CL719" s="286"/>
      <c r="CM719" s="286"/>
      <c r="CN719" s="286"/>
      <c r="CO719" s="286"/>
      <c r="CP719" s="286"/>
      <c r="CQ719" s="286"/>
      <c r="CR719" s="286"/>
      <c r="CS719" s="286"/>
      <c r="CT719" s="286"/>
      <c r="CU719" s="286"/>
      <c r="CV719" s="286"/>
      <c r="CW719" s="286"/>
      <c r="CX719" s="286"/>
      <c r="CY719" s="286"/>
      <c r="CZ719" s="286"/>
      <c r="DA719" s="286"/>
      <c r="DB719" s="286"/>
      <c r="DC719" s="286"/>
      <c r="DD719" s="286"/>
      <c r="DE719" s="286"/>
      <c r="DF719" s="286"/>
      <c r="DG719" s="286"/>
      <c r="DH719" s="286"/>
      <c r="DI719" s="286"/>
      <c r="DJ719" s="286"/>
      <c r="DK719" s="286"/>
      <c r="DL719" s="286"/>
      <c r="DM719" s="286"/>
      <c r="DN719" s="286"/>
      <c r="DO719" s="286"/>
      <c r="DP719" s="286"/>
      <c r="DQ719" s="286"/>
      <c r="DR719" s="286"/>
      <c r="DS719" s="286"/>
      <c r="DT719" s="286"/>
      <c r="DU719" s="286"/>
      <c r="DV719" s="286"/>
      <c r="DW719" s="286"/>
      <c r="DX719" s="286"/>
      <c r="DY719" s="286"/>
      <c r="DZ719" s="286"/>
      <c r="EA719" s="286"/>
      <c r="EB719" s="286"/>
      <c r="EC719" s="286"/>
      <c r="ED719" s="286"/>
      <c r="EE719" s="286"/>
      <c r="EF719" s="286"/>
      <c r="EG719" s="286"/>
      <c r="EH719" s="286"/>
      <c r="EI719" s="286"/>
      <c r="EJ719" s="286"/>
      <c r="EK719" s="286"/>
      <c r="EL719" s="286"/>
      <c r="EM719" s="286"/>
      <c r="EN719" s="286"/>
      <c r="EO719" s="286"/>
      <c r="EP719" s="286"/>
      <c r="EQ719" s="286"/>
      <c r="ER719" s="286"/>
      <c r="ES719" s="286"/>
      <c r="ET719" s="286"/>
      <c r="EU719" s="286"/>
      <c r="EV719" s="286"/>
      <c r="EW719" s="286"/>
      <c r="EX719" s="286"/>
      <c r="EY719" s="286"/>
      <c r="EZ719" s="286"/>
      <c r="FA719" s="286"/>
      <c r="FB719" s="286"/>
      <c r="FC719" s="286"/>
      <c r="FD719" s="286"/>
      <c r="FE719" s="286"/>
      <c r="FF719" s="286"/>
      <c r="FG719" s="286"/>
      <c r="FH719" s="286"/>
      <c r="FI719" s="286"/>
      <c r="FJ719" s="286"/>
      <c r="FK719" s="286"/>
      <c r="FL719" s="286"/>
      <c r="FM719" s="286"/>
      <c r="FN719" s="286"/>
      <c r="FO719" s="286"/>
      <c r="FP719" s="286"/>
      <c r="FQ719" s="286"/>
      <c r="FR719" s="286"/>
      <c r="FS719" s="286"/>
    </row>
    <row r="720" spans="1:175">
      <c r="A720" s="212" t="s">
        <v>3159</v>
      </c>
      <c r="B720" s="212" t="s">
        <v>3160</v>
      </c>
      <c r="C720" s="212" t="s">
        <v>3172</v>
      </c>
      <c r="D720" s="212" t="s">
        <v>3901</v>
      </c>
      <c r="E720" s="212" t="s">
        <v>3906</v>
      </c>
      <c r="F720" s="278">
        <v>3537</v>
      </c>
      <c r="G720" s="278">
        <v>10529</v>
      </c>
      <c r="H720" s="287">
        <f t="shared" si="11"/>
        <v>3.7040554658562068</v>
      </c>
      <c r="I720" s="286">
        <v>119</v>
      </c>
      <c r="J720" s="286">
        <v>390</v>
      </c>
      <c r="K720" s="286">
        <v>82</v>
      </c>
      <c r="L720" s="286">
        <v>308</v>
      </c>
      <c r="M720" s="286">
        <v>230</v>
      </c>
      <c r="N720" s="286">
        <v>41</v>
      </c>
      <c r="O720" s="286">
        <v>189</v>
      </c>
      <c r="P720" s="286">
        <v>119</v>
      </c>
      <c r="Q720" s="286">
        <v>390</v>
      </c>
      <c r="R720" s="286">
        <v>82</v>
      </c>
      <c r="S720" s="286">
        <v>308</v>
      </c>
      <c r="T720" s="286">
        <v>230</v>
      </c>
      <c r="U720" s="286">
        <v>41</v>
      </c>
      <c r="V720" s="286">
        <v>189</v>
      </c>
      <c r="W720" s="286"/>
      <c r="X720" s="286"/>
      <c r="Y720" s="286"/>
      <c r="Z720" s="286"/>
      <c r="AA720" s="286"/>
      <c r="AB720" s="286"/>
      <c r="AC720" s="286"/>
      <c r="AD720" s="286"/>
      <c r="AE720" s="286"/>
      <c r="AF720" s="286"/>
      <c r="AG720" s="286"/>
      <c r="AH720" s="286"/>
      <c r="AI720" s="286"/>
      <c r="AJ720" s="286"/>
      <c r="AK720" s="286"/>
      <c r="AL720" s="286"/>
      <c r="AM720" s="286"/>
      <c r="AN720" s="286"/>
      <c r="AO720" s="286"/>
      <c r="AP720" s="286"/>
      <c r="AQ720" s="286"/>
      <c r="AR720" s="286"/>
      <c r="AS720" s="286"/>
      <c r="AT720" s="286"/>
      <c r="AU720" s="286"/>
      <c r="AV720" s="286"/>
      <c r="AW720" s="286"/>
      <c r="AX720" s="286"/>
      <c r="AY720" s="286"/>
      <c r="AZ720" s="286"/>
      <c r="BA720" s="286"/>
      <c r="BB720" s="286"/>
      <c r="BC720" s="286"/>
      <c r="BD720" s="286"/>
      <c r="BE720" s="286"/>
      <c r="BF720" s="286"/>
      <c r="BG720" s="286"/>
      <c r="BH720" s="286"/>
      <c r="BI720" s="286"/>
      <c r="BJ720" s="286"/>
      <c r="BK720" s="286"/>
      <c r="BL720" s="286"/>
      <c r="BM720" s="286"/>
      <c r="BN720" s="286"/>
      <c r="BO720" s="286"/>
      <c r="BP720" s="286"/>
      <c r="BQ720" s="286"/>
      <c r="BR720" s="286"/>
      <c r="BS720" s="286"/>
      <c r="BT720" s="286"/>
      <c r="BU720" s="286"/>
      <c r="BV720" s="286"/>
      <c r="BW720" s="286"/>
      <c r="BX720" s="286"/>
      <c r="BY720" s="286"/>
      <c r="BZ720" s="286"/>
      <c r="CA720" s="286"/>
      <c r="CB720" s="286"/>
      <c r="CC720" s="286"/>
      <c r="CD720" s="286"/>
      <c r="CE720" s="286"/>
      <c r="CF720" s="286"/>
      <c r="CG720" s="286"/>
      <c r="CH720" s="286"/>
      <c r="CI720" s="286"/>
      <c r="CJ720" s="286"/>
      <c r="CK720" s="286"/>
      <c r="CL720" s="286"/>
      <c r="CM720" s="286"/>
      <c r="CN720" s="286"/>
      <c r="CO720" s="286"/>
      <c r="CP720" s="286"/>
      <c r="CQ720" s="286"/>
      <c r="CR720" s="286"/>
      <c r="CS720" s="286"/>
      <c r="CT720" s="286"/>
      <c r="CU720" s="286"/>
      <c r="CV720" s="286"/>
      <c r="CW720" s="286"/>
      <c r="CX720" s="286"/>
      <c r="CY720" s="286"/>
      <c r="CZ720" s="286"/>
      <c r="DA720" s="286"/>
      <c r="DB720" s="286"/>
      <c r="DC720" s="286"/>
      <c r="DD720" s="286"/>
      <c r="DE720" s="286"/>
      <c r="DF720" s="286"/>
      <c r="DG720" s="286"/>
      <c r="DH720" s="286"/>
      <c r="DI720" s="286"/>
      <c r="DJ720" s="286"/>
      <c r="DK720" s="286"/>
      <c r="DL720" s="286"/>
      <c r="DM720" s="286"/>
      <c r="DN720" s="286"/>
      <c r="DO720" s="286"/>
      <c r="DP720" s="286"/>
      <c r="DQ720" s="286"/>
      <c r="DR720" s="286"/>
      <c r="DS720" s="286"/>
      <c r="DT720" s="286"/>
      <c r="DU720" s="286"/>
      <c r="DV720" s="286"/>
      <c r="DW720" s="286"/>
      <c r="DX720" s="286"/>
      <c r="DY720" s="286"/>
      <c r="DZ720" s="286"/>
      <c r="EA720" s="286"/>
      <c r="EB720" s="286"/>
      <c r="EC720" s="286"/>
      <c r="ED720" s="286"/>
      <c r="EE720" s="286"/>
      <c r="EF720" s="286"/>
      <c r="EG720" s="286"/>
      <c r="EH720" s="286"/>
      <c r="EI720" s="286"/>
      <c r="EJ720" s="286"/>
      <c r="EK720" s="286"/>
      <c r="EL720" s="286"/>
      <c r="EM720" s="286"/>
      <c r="EN720" s="286"/>
      <c r="EO720" s="286"/>
      <c r="EP720" s="286"/>
      <c r="EQ720" s="286"/>
      <c r="ER720" s="286"/>
      <c r="ES720" s="286"/>
      <c r="ET720" s="286"/>
      <c r="EU720" s="286"/>
      <c r="EV720" s="286"/>
      <c r="EW720" s="286"/>
      <c r="EX720" s="286"/>
      <c r="EY720" s="286"/>
      <c r="EZ720" s="286"/>
      <c r="FA720" s="286"/>
      <c r="FB720" s="286"/>
      <c r="FC720" s="286"/>
      <c r="FD720" s="286"/>
      <c r="FE720" s="286"/>
      <c r="FF720" s="286"/>
      <c r="FG720" s="286"/>
      <c r="FH720" s="286"/>
      <c r="FI720" s="286"/>
      <c r="FJ720" s="286"/>
      <c r="FK720" s="286"/>
      <c r="FL720" s="286"/>
      <c r="FM720" s="286"/>
      <c r="FN720" s="286"/>
      <c r="FO720" s="286"/>
      <c r="FP720" s="286"/>
      <c r="FQ720" s="286"/>
      <c r="FR720" s="286"/>
      <c r="FS720" s="286"/>
    </row>
    <row r="721" spans="1:175">
      <c r="A721" s="212" t="s">
        <v>3159</v>
      </c>
      <c r="B721" s="212" t="s">
        <v>3160</v>
      </c>
      <c r="C721" s="212" t="s">
        <v>3459</v>
      </c>
      <c r="D721" s="212" t="s">
        <v>3907</v>
      </c>
      <c r="E721" s="212" t="s">
        <v>3908</v>
      </c>
      <c r="F721" s="278">
        <v>8712</v>
      </c>
      <c r="G721" s="278">
        <v>150886</v>
      </c>
      <c r="H721" s="287">
        <f t="shared" si="11"/>
        <v>3.7160505282133527</v>
      </c>
      <c r="I721" s="286">
        <v>326</v>
      </c>
      <c r="J721" s="286">
        <v>5607</v>
      </c>
      <c r="K721" s="286">
        <v>2941</v>
      </c>
      <c r="L721" s="286">
        <v>2666</v>
      </c>
      <c r="M721" s="286">
        <v>5334</v>
      </c>
      <c r="N721" s="286">
        <v>2698</v>
      </c>
      <c r="O721" s="286">
        <v>2636</v>
      </c>
      <c r="P721" s="286">
        <v>326</v>
      </c>
      <c r="Q721" s="286">
        <v>5607</v>
      </c>
      <c r="R721" s="286">
        <v>2941</v>
      </c>
      <c r="S721" s="286">
        <v>2666</v>
      </c>
      <c r="T721" s="286">
        <v>5334</v>
      </c>
      <c r="U721" s="286">
        <v>2698</v>
      </c>
      <c r="V721" s="286">
        <v>2636</v>
      </c>
      <c r="W721" s="286"/>
      <c r="X721" s="286"/>
      <c r="Y721" s="286"/>
      <c r="Z721" s="286"/>
      <c r="AA721" s="286"/>
      <c r="AB721" s="286"/>
      <c r="AC721" s="286"/>
      <c r="AD721" s="286"/>
      <c r="AE721" s="286"/>
      <c r="AF721" s="286"/>
      <c r="AG721" s="286"/>
      <c r="AH721" s="286"/>
      <c r="AI721" s="286"/>
      <c r="AJ721" s="286"/>
      <c r="AK721" s="286"/>
      <c r="AL721" s="286"/>
      <c r="AM721" s="286"/>
      <c r="AN721" s="286"/>
      <c r="AO721" s="286"/>
      <c r="AP721" s="286"/>
      <c r="AQ721" s="286"/>
      <c r="AR721" s="286"/>
      <c r="AS721" s="286"/>
      <c r="AT721" s="286"/>
      <c r="AU721" s="286"/>
      <c r="AV721" s="286"/>
      <c r="AW721" s="286"/>
      <c r="AX721" s="286"/>
      <c r="AY721" s="286"/>
      <c r="AZ721" s="286"/>
      <c r="BA721" s="286"/>
      <c r="BB721" s="286"/>
      <c r="BC721" s="286"/>
      <c r="BD721" s="286"/>
      <c r="BE721" s="286"/>
      <c r="BF721" s="286"/>
      <c r="BG721" s="286"/>
      <c r="BH721" s="286"/>
      <c r="BI721" s="286"/>
      <c r="BJ721" s="286"/>
      <c r="BK721" s="286"/>
      <c r="BL721" s="286"/>
      <c r="BM721" s="286"/>
      <c r="BN721" s="286"/>
      <c r="BO721" s="286"/>
      <c r="BP721" s="286"/>
      <c r="BQ721" s="286"/>
      <c r="BR721" s="286"/>
      <c r="BS721" s="286"/>
      <c r="BT721" s="286"/>
      <c r="BU721" s="286"/>
      <c r="BV721" s="286"/>
      <c r="BW721" s="286"/>
      <c r="BX721" s="286"/>
      <c r="BY721" s="286"/>
      <c r="BZ721" s="286"/>
      <c r="CA721" s="286"/>
      <c r="CB721" s="286"/>
      <c r="CC721" s="286"/>
      <c r="CD721" s="286"/>
      <c r="CE721" s="286"/>
      <c r="CF721" s="286"/>
      <c r="CG721" s="286"/>
      <c r="CH721" s="286"/>
      <c r="CI721" s="286"/>
      <c r="CJ721" s="286"/>
      <c r="CK721" s="286"/>
      <c r="CL721" s="286"/>
      <c r="CM721" s="286"/>
      <c r="CN721" s="286"/>
      <c r="CO721" s="286"/>
      <c r="CP721" s="286"/>
      <c r="CQ721" s="286"/>
      <c r="CR721" s="286"/>
      <c r="CS721" s="286"/>
      <c r="CT721" s="286"/>
      <c r="CU721" s="286"/>
      <c r="CV721" s="286"/>
      <c r="CW721" s="286"/>
      <c r="CX721" s="286"/>
      <c r="CY721" s="286"/>
      <c r="CZ721" s="286"/>
      <c r="DA721" s="286"/>
      <c r="DB721" s="286"/>
      <c r="DC721" s="286"/>
      <c r="DD721" s="286"/>
      <c r="DE721" s="286"/>
      <c r="DF721" s="286"/>
      <c r="DG721" s="286"/>
      <c r="DH721" s="286"/>
      <c r="DI721" s="286"/>
      <c r="DJ721" s="286"/>
      <c r="DK721" s="286"/>
      <c r="DL721" s="286"/>
      <c r="DM721" s="286"/>
      <c r="DN721" s="286"/>
      <c r="DO721" s="286"/>
      <c r="DP721" s="286"/>
      <c r="DQ721" s="286"/>
      <c r="DR721" s="286"/>
      <c r="DS721" s="286"/>
      <c r="DT721" s="286"/>
      <c r="DU721" s="286"/>
      <c r="DV721" s="286"/>
      <c r="DW721" s="286"/>
      <c r="DX721" s="286"/>
      <c r="DY721" s="286"/>
      <c r="DZ721" s="286"/>
      <c r="EA721" s="286"/>
      <c r="EB721" s="286"/>
      <c r="EC721" s="286"/>
      <c r="ED721" s="286"/>
      <c r="EE721" s="286"/>
      <c r="EF721" s="286"/>
      <c r="EG721" s="286"/>
      <c r="EH721" s="286"/>
      <c r="EI721" s="286"/>
      <c r="EJ721" s="286"/>
      <c r="EK721" s="286"/>
      <c r="EL721" s="286"/>
      <c r="EM721" s="286"/>
      <c r="EN721" s="286"/>
      <c r="EO721" s="286"/>
      <c r="EP721" s="286"/>
      <c r="EQ721" s="286"/>
      <c r="ER721" s="286"/>
      <c r="ES721" s="286"/>
      <c r="ET721" s="286"/>
      <c r="EU721" s="286"/>
      <c r="EV721" s="286"/>
      <c r="EW721" s="286"/>
      <c r="EX721" s="286"/>
      <c r="EY721" s="286"/>
      <c r="EZ721" s="286"/>
      <c r="FA721" s="286"/>
      <c r="FB721" s="286"/>
      <c r="FC721" s="286"/>
      <c r="FD721" s="286"/>
      <c r="FE721" s="286"/>
      <c r="FF721" s="286"/>
      <c r="FG721" s="286"/>
      <c r="FH721" s="286"/>
      <c r="FI721" s="286"/>
      <c r="FJ721" s="286"/>
      <c r="FK721" s="286"/>
      <c r="FL721" s="286"/>
      <c r="FM721" s="286"/>
      <c r="FN721" s="286"/>
      <c r="FO721" s="286"/>
      <c r="FP721" s="286"/>
      <c r="FQ721" s="286"/>
      <c r="FR721" s="286"/>
      <c r="FS721" s="286"/>
    </row>
    <row r="722" spans="1:175">
      <c r="A722" s="212" t="s">
        <v>3159</v>
      </c>
      <c r="B722" s="212" t="s">
        <v>3160</v>
      </c>
      <c r="C722" s="212" t="s">
        <v>3170</v>
      </c>
      <c r="D722" s="212" t="s">
        <v>3907</v>
      </c>
      <c r="E722" s="212" t="s">
        <v>3909</v>
      </c>
      <c r="F722" s="278">
        <v>8712</v>
      </c>
      <c r="G722" s="278">
        <v>150886</v>
      </c>
      <c r="H722" s="287">
        <f t="shared" si="11"/>
        <v>3.7160505282133527</v>
      </c>
      <c r="I722" s="286">
        <v>326</v>
      </c>
      <c r="J722" s="286">
        <v>5607</v>
      </c>
      <c r="K722" s="286">
        <v>2941</v>
      </c>
      <c r="L722" s="286">
        <v>2666</v>
      </c>
      <c r="M722" s="286">
        <v>5334</v>
      </c>
      <c r="N722" s="286">
        <v>2698</v>
      </c>
      <c r="O722" s="286">
        <v>2636</v>
      </c>
      <c r="P722" s="286">
        <v>326</v>
      </c>
      <c r="Q722" s="286">
        <v>5607</v>
      </c>
      <c r="R722" s="286">
        <v>2941</v>
      </c>
      <c r="S722" s="286">
        <v>2666</v>
      </c>
      <c r="T722" s="286">
        <v>5334</v>
      </c>
      <c r="U722" s="286">
        <v>2698</v>
      </c>
      <c r="V722" s="286">
        <v>2636</v>
      </c>
      <c r="W722" s="286"/>
      <c r="X722" s="286"/>
      <c r="Y722" s="286"/>
      <c r="Z722" s="286"/>
      <c r="AA722" s="286"/>
      <c r="AB722" s="286"/>
      <c r="AC722" s="286"/>
      <c r="AD722" s="286"/>
      <c r="AE722" s="286"/>
      <c r="AF722" s="286"/>
      <c r="AG722" s="286"/>
      <c r="AH722" s="286"/>
      <c r="AI722" s="286"/>
      <c r="AJ722" s="286"/>
      <c r="AK722" s="286"/>
      <c r="AL722" s="286"/>
      <c r="AM722" s="286"/>
      <c r="AN722" s="286"/>
      <c r="AO722" s="286"/>
      <c r="AP722" s="286"/>
      <c r="AQ722" s="286"/>
      <c r="AR722" s="286"/>
      <c r="AS722" s="286"/>
      <c r="AT722" s="286"/>
      <c r="AU722" s="286"/>
      <c r="AV722" s="286"/>
      <c r="AW722" s="286"/>
      <c r="AX722" s="286"/>
      <c r="AY722" s="286"/>
      <c r="AZ722" s="286"/>
      <c r="BA722" s="286"/>
      <c r="BB722" s="286"/>
      <c r="BC722" s="286"/>
      <c r="BD722" s="286"/>
      <c r="BE722" s="286"/>
      <c r="BF722" s="286"/>
      <c r="BG722" s="286"/>
      <c r="BH722" s="286"/>
      <c r="BI722" s="286"/>
      <c r="BJ722" s="286"/>
      <c r="BK722" s="286"/>
      <c r="BL722" s="286"/>
      <c r="BM722" s="286"/>
      <c r="BN722" s="286"/>
      <c r="BO722" s="286"/>
      <c r="BP722" s="286"/>
      <c r="BQ722" s="286"/>
      <c r="BR722" s="286"/>
      <c r="BS722" s="286"/>
      <c r="BT722" s="286"/>
      <c r="BU722" s="286"/>
      <c r="BV722" s="286"/>
      <c r="BW722" s="286"/>
      <c r="BX722" s="286"/>
      <c r="BY722" s="286"/>
      <c r="BZ722" s="286"/>
      <c r="CA722" s="286"/>
      <c r="CB722" s="286"/>
      <c r="CC722" s="286"/>
      <c r="CD722" s="286"/>
      <c r="CE722" s="286"/>
      <c r="CF722" s="286"/>
      <c r="CG722" s="286"/>
      <c r="CH722" s="286"/>
      <c r="CI722" s="286"/>
      <c r="CJ722" s="286"/>
      <c r="CK722" s="286"/>
      <c r="CL722" s="286"/>
      <c r="CM722" s="286"/>
      <c r="CN722" s="286"/>
      <c r="CO722" s="286"/>
      <c r="CP722" s="286"/>
      <c r="CQ722" s="286"/>
      <c r="CR722" s="286"/>
      <c r="CS722" s="286"/>
      <c r="CT722" s="286"/>
      <c r="CU722" s="286"/>
      <c r="CV722" s="286"/>
      <c r="CW722" s="286"/>
      <c r="CX722" s="286"/>
      <c r="CY722" s="286"/>
      <c r="CZ722" s="286"/>
      <c r="DA722" s="286"/>
      <c r="DB722" s="286"/>
      <c r="DC722" s="286"/>
      <c r="DD722" s="286"/>
      <c r="DE722" s="286"/>
      <c r="DF722" s="286"/>
      <c r="DG722" s="286"/>
      <c r="DH722" s="286"/>
      <c r="DI722" s="286"/>
      <c r="DJ722" s="286"/>
      <c r="DK722" s="286"/>
      <c r="DL722" s="286"/>
      <c r="DM722" s="286"/>
      <c r="DN722" s="286"/>
      <c r="DO722" s="286"/>
      <c r="DP722" s="286"/>
      <c r="DQ722" s="286"/>
      <c r="DR722" s="286"/>
      <c r="DS722" s="286"/>
      <c r="DT722" s="286"/>
      <c r="DU722" s="286"/>
      <c r="DV722" s="286"/>
      <c r="DW722" s="286"/>
      <c r="DX722" s="286"/>
      <c r="DY722" s="286"/>
      <c r="DZ722" s="286"/>
      <c r="EA722" s="286"/>
      <c r="EB722" s="286"/>
      <c r="EC722" s="286"/>
      <c r="ED722" s="286"/>
      <c r="EE722" s="286"/>
      <c r="EF722" s="286"/>
      <c r="EG722" s="286"/>
      <c r="EH722" s="286"/>
      <c r="EI722" s="286"/>
      <c r="EJ722" s="286"/>
      <c r="EK722" s="286"/>
      <c r="EL722" s="286"/>
      <c r="EM722" s="286"/>
      <c r="EN722" s="286"/>
      <c r="EO722" s="286"/>
      <c r="EP722" s="286"/>
      <c r="EQ722" s="286"/>
      <c r="ER722" s="286"/>
      <c r="ES722" s="286"/>
      <c r="ET722" s="286"/>
      <c r="EU722" s="286"/>
      <c r="EV722" s="286"/>
      <c r="EW722" s="286"/>
      <c r="EX722" s="286"/>
      <c r="EY722" s="286"/>
      <c r="EZ722" s="286"/>
      <c r="FA722" s="286"/>
      <c r="FB722" s="286"/>
      <c r="FC722" s="286"/>
      <c r="FD722" s="286"/>
      <c r="FE722" s="286"/>
      <c r="FF722" s="286"/>
      <c r="FG722" s="286"/>
      <c r="FH722" s="286"/>
      <c r="FI722" s="286"/>
      <c r="FJ722" s="286"/>
      <c r="FK722" s="286"/>
      <c r="FL722" s="286"/>
      <c r="FM722" s="286"/>
      <c r="FN722" s="286"/>
      <c r="FO722" s="286"/>
      <c r="FP722" s="286"/>
      <c r="FQ722" s="286"/>
      <c r="FR722" s="286"/>
      <c r="FS722" s="286"/>
    </row>
    <row r="723" spans="1:175">
      <c r="A723" s="212" t="s">
        <v>3159</v>
      </c>
      <c r="B723" s="212" t="s">
        <v>3160</v>
      </c>
      <c r="C723" s="212" t="s">
        <v>3172</v>
      </c>
      <c r="D723" s="212" t="s">
        <v>3907</v>
      </c>
      <c r="E723" s="212" t="s">
        <v>3910</v>
      </c>
      <c r="F723" s="278">
        <v>120</v>
      </c>
      <c r="G723" s="278">
        <v>5323</v>
      </c>
      <c r="H723" s="287">
        <f t="shared" si="11"/>
        <v>3.0997557768175841</v>
      </c>
      <c r="I723" s="286">
        <v>5</v>
      </c>
      <c r="J723" s="286">
        <v>165</v>
      </c>
      <c r="K723" s="286">
        <v>101</v>
      </c>
      <c r="L723" s="286">
        <v>64</v>
      </c>
      <c r="M723" s="286">
        <v>161</v>
      </c>
      <c r="N723" s="286">
        <v>97</v>
      </c>
      <c r="O723" s="286">
        <v>64</v>
      </c>
      <c r="P723" s="286">
        <v>5</v>
      </c>
      <c r="Q723" s="286">
        <v>165</v>
      </c>
      <c r="R723" s="286">
        <v>101</v>
      </c>
      <c r="S723" s="286">
        <v>64</v>
      </c>
      <c r="T723" s="286">
        <v>161</v>
      </c>
      <c r="U723" s="286">
        <v>97</v>
      </c>
      <c r="V723" s="286">
        <v>64</v>
      </c>
      <c r="W723" s="286"/>
      <c r="X723" s="286"/>
      <c r="Y723" s="286"/>
      <c r="Z723" s="286"/>
      <c r="AA723" s="286"/>
      <c r="AB723" s="286"/>
      <c r="AC723" s="286"/>
      <c r="AD723" s="286"/>
      <c r="AE723" s="286"/>
      <c r="AF723" s="286"/>
      <c r="AG723" s="286"/>
      <c r="AH723" s="286"/>
      <c r="AI723" s="286"/>
      <c r="AJ723" s="286"/>
      <c r="AK723" s="286"/>
      <c r="AL723" s="286"/>
      <c r="AM723" s="286"/>
      <c r="AN723" s="286"/>
      <c r="AO723" s="286"/>
      <c r="AP723" s="286"/>
      <c r="AQ723" s="286"/>
      <c r="AR723" s="286"/>
      <c r="AS723" s="286"/>
      <c r="AT723" s="286"/>
      <c r="AU723" s="286"/>
      <c r="AV723" s="286"/>
      <c r="AW723" s="286"/>
      <c r="AX723" s="286"/>
      <c r="AY723" s="286"/>
      <c r="AZ723" s="286"/>
      <c r="BA723" s="286"/>
      <c r="BB723" s="286"/>
      <c r="BC723" s="286"/>
      <c r="BD723" s="286"/>
      <c r="BE723" s="286"/>
      <c r="BF723" s="286"/>
      <c r="BG723" s="286"/>
      <c r="BH723" s="286"/>
      <c r="BI723" s="286"/>
      <c r="BJ723" s="286"/>
      <c r="BK723" s="286"/>
      <c r="BL723" s="286"/>
      <c r="BM723" s="286"/>
      <c r="BN723" s="286"/>
      <c r="BO723" s="286"/>
      <c r="BP723" s="286"/>
      <c r="BQ723" s="286"/>
      <c r="BR723" s="286"/>
      <c r="BS723" s="286"/>
      <c r="BT723" s="286"/>
      <c r="BU723" s="286"/>
      <c r="BV723" s="286"/>
      <c r="BW723" s="286"/>
      <c r="BX723" s="286"/>
      <c r="BY723" s="286"/>
      <c r="BZ723" s="286"/>
      <c r="CA723" s="286"/>
      <c r="CB723" s="286"/>
      <c r="CC723" s="286"/>
      <c r="CD723" s="286"/>
      <c r="CE723" s="286"/>
      <c r="CF723" s="286"/>
      <c r="CG723" s="286"/>
      <c r="CH723" s="286"/>
      <c r="CI723" s="286"/>
      <c r="CJ723" s="286"/>
      <c r="CK723" s="286"/>
      <c r="CL723" s="286"/>
      <c r="CM723" s="286"/>
      <c r="CN723" s="286"/>
      <c r="CO723" s="286"/>
      <c r="CP723" s="286"/>
      <c r="CQ723" s="286"/>
      <c r="CR723" s="286"/>
      <c r="CS723" s="286"/>
      <c r="CT723" s="286"/>
      <c r="CU723" s="286"/>
      <c r="CV723" s="286"/>
      <c r="CW723" s="286"/>
      <c r="CX723" s="286"/>
      <c r="CY723" s="286"/>
      <c r="CZ723" s="286"/>
      <c r="DA723" s="286"/>
      <c r="DB723" s="286"/>
      <c r="DC723" s="286"/>
      <c r="DD723" s="286"/>
      <c r="DE723" s="286"/>
      <c r="DF723" s="286"/>
      <c r="DG723" s="286"/>
      <c r="DH723" s="286"/>
      <c r="DI723" s="286"/>
      <c r="DJ723" s="286"/>
      <c r="DK723" s="286"/>
      <c r="DL723" s="286"/>
      <c r="DM723" s="286"/>
      <c r="DN723" s="286"/>
      <c r="DO723" s="286"/>
      <c r="DP723" s="286"/>
      <c r="DQ723" s="286"/>
      <c r="DR723" s="286"/>
      <c r="DS723" s="286"/>
      <c r="DT723" s="286"/>
      <c r="DU723" s="286"/>
      <c r="DV723" s="286"/>
      <c r="DW723" s="286"/>
      <c r="DX723" s="286"/>
      <c r="DY723" s="286"/>
      <c r="DZ723" s="286"/>
      <c r="EA723" s="286"/>
      <c r="EB723" s="286"/>
      <c r="EC723" s="286"/>
      <c r="ED723" s="286"/>
      <c r="EE723" s="286"/>
      <c r="EF723" s="286"/>
      <c r="EG723" s="286"/>
      <c r="EH723" s="286"/>
      <c r="EI723" s="286"/>
      <c r="EJ723" s="286"/>
      <c r="EK723" s="286"/>
      <c r="EL723" s="286"/>
      <c r="EM723" s="286"/>
      <c r="EN723" s="286"/>
      <c r="EO723" s="286"/>
      <c r="EP723" s="286"/>
      <c r="EQ723" s="286"/>
      <c r="ER723" s="286"/>
      <c r="ES723" s="286"/>
      <c r="ET723" s="286"/>
      <c r="EU723" s="286"/>
      <c r="EV723" s="286"/>
      <c r="EW723" s="286"/>
      <c r="EX723" s="286"/>
      <c r="EY723" s="286"/>
      <c r="EZ723" s="286"/>
      <c r="FA723" s="286"/>
      <c r="FB723" s="286"/>
      <c r="FC723" s="286"/>
      <c r="FD723" s="286"/>
      <c r="FE723" s="286"/>
      <c r="FF723" s="286"/>
      <c r="FG723" s="286"/>
      <c r="FH723" s="286"/>
      <c r="FI723" s="286"/>
      <c r="FJ723" s="286"/>
      <c r="FK723" s="286"/>
      <c r="FL723" s="286"/>
      <c r="FM723" s="286"/>
      <c r="FN723" s="286"/>
      <c r="FO723" s="286"/>
      <c r="FP723" s="286"/>
      <c r="FQ723" s="286"/>
      <c r="FR723" s="286"/>
      <c r="FS723" s="286"/>
    </row>
    <row r="724" spans="1:175">
      <c r="A724" s="212" t="s">
        <v>3159</v>
      </c>
      <c r="B724" s="212" t="s">
        <v>3160</v>
      </c>
      <c r="C724" s="212" t="s">
        <v>3172</v>
      </c>
      <c r="D724" s="212" t="s">
        <v>3907</v>
      </c>
      <c r="E724" s="212" t="s">
        <v>3911</v>
      </c>
      <c r="F724" s="278">
        <v>7616</v>
      </c>
      <c r="G724" s="278">
        <v>141016</v>
      </c>
      <c r="H724" s="287">
        <f t="shared" si="11"/>
        <v>3.6797242866057753</v>
      </c>
      <c r="I724" s="286">
        <v>294</v>
      </c>
      <c r="J724" s="286">
        <v>5189</v>
      </c>
      <c r="K724" s="286">
        <v>2767</v>
      </c>
      <c r="L724" s="286">
        <v>2422</v>
      </c>
      <c r="M724" s="286">
        <v>4960</v>
      </c>
      <c r="N724" s="286">
        <v>2563</v>
      </c>
      <c r="O724" s="286">
        <v>2397</v>
      </c>
      <c r="P724" s="286">
        <v>294</v>
      </c>
      <c r="Q724" s="286">
        <v>5189</v>
      </c>
      <c r="R724" s="286">
        <v>2767</v>
      </c>
      <c r="S724" s="286">
        <v>2422</v>
      </c>
      <c r="T724" s="286">
        <v>4960</v>
      </c>
      <c r="U724" s="286">
        <v>2563</v>
      </c>
      <c r="V724" s="286">
        <v>2397</v>
      </c>
      <c r="W724" s="286"/>
      <c r="X724" s="286"/>
      <c r="Y724" s="286"/>
      <c r="Z724" s="286"/>
      <c r="AA724" s="286"/>
      <c r="AB724" s="286"/>
      <c r="AC724" s="286"/>
      <c r="AD724" s="286"/>
      <c r="AE724" s="286"/>
      <c r="AF724" s="286"/>
      <c r="AG724" s="286"/>
      <c r="AH724" s="286"/>
      <c r="AI724" s="286"/>
      <c r="AJ724" s="286"/>
      <c r="AK724" s="286"/>
      <c r="AL724" s="286"/>
      <c r="AM724" s="286"/>
      <c r="AN724" s="286"/>
      <c r="AO724" s="286"/>
      <c r="AP724" s="286"/>
      <c r="AQ724" s="286"/>
      <c r="AR724" s="286"/>
      <c r="AS724" s="286"/>
      <c r="AT724" s="286"/>
      <c r="AU724" s="286"/>
      <c r="AV724" s="286"/>
      <c r="AW724" s="286"/>
      <c r="AX724" s="286"/>
      <c r="AY724" s="286"/>
      <c r="AZ724" s="286"/>
      <c r="BA724" s="286"/>
      <c r="BB724" s="286"/>
      <c r="BC724" s="286"/>
      <c r="BD724" s="286"/>
      <c r="BE724" s="286"/>
      <c r="BF724" s="286"/>
      <c r="BG724" s="286"/>
      <c r="BH724" s="286"/>
      <c r="BI724" s="286"/>
      <c r="BJ724" s="286"/>
      <c r="BK724" s="286"/>
      <c r="BL724" s="286"/>
      <c r="BM724" s="286"/>
      <c r="BN724" s="286"/>
      <c r="BO724" s="286"/>
      <c r="BP724" s="286"/>
      <c r="BQ724" s="286"/>
      <c r="BR724" s="286"/>
      <c r="BS724" s="286"/>
      <c r="BT724" s="286"/>
      <c r="BU724" s="286"/>
      <c r="BV724" s="286"/>
      <c r="BW724" s="286"/>
      <c r="BX724" s="286"/>
      <c r="BY724" s="286"/>
      <c r="BZ724" s="286"/>
      <c r="CA724" s="286"/>
      <c r="CB724" s="286"/>
      <c r="CC724" s="286"/>
      <c r="CD724" s="286"/>
      <c r="CE724" s="286"/>
      <c r="CF724" s="286"/>
      <c r="CG724" s="286"/>
      <c r="CH724" s="286"/>
      <c r="CI724" s="286"/>
      <c r="CJ724" s="286"/>
      <c r="CK724" s="286"/>
      <c r="CL724" s="286"/>
      <c r="CM724" s="286"/>
      <c r="CN724" s="286"/>
      <c r="CO724" s="286"/>
      <c r="CP724" s="286"/>
      <c r="CQ724" s="286"/>
      <c r="CR724" s="286"/>
      <c r="CS724" s="286"/>
      <c r="CT724" s="286"/>
      <c r="CU724" s="286"/>
      <c r="CV724" s="286"/>
      <c r="CW724" s="286"/>
      <c r="CX724" s="286"/>
      <c r="CY724" s="286"/>
      <c r="CZ724" s="286"/>
      <c r="DA724" s="286"/>
      <c r="DB724" s="286"/>
      <c r="DC724" s="286"/>
      <c r="DD724" s="286"/>
      <c r="DE724" s="286"/>
      <c r="DF724" s="286"/>
      <c r="DG724" s="286"/>
      <c r="DH724" s="286"/>
      <c r="DI724" s="286"/>
      <c r="DJ724" s="286"/>
      <c r="DK724" s="286"/>
      <c r="DL724" s="286"/>
      <c r="DM724" s="286"/>
      <c r="DN724" s="286"/>
      <c r="DO724" s="286"/>
      <c r="DP724" s="286"/>
      <c r="DQ724" s="286"/>
      <c r="DR724" s="286"/>
      <c r="DS724" s="286"/>
      <c r="DT724" s="286"/>
      <c r="DU724" s="286"/>
      <c r="DV724" s="286"/>
      <c r="DW724" s="286"/>
      <c r="DX724" s="286"/>
      <c r="DY724" s="286"/>
      <c r="DZ724" s="286"/>
      <c r="EA724" s="286"/>
      <c r="EB724" s="286"/>
      <c r="EC724" s="286"/>
      <c r="ED724" s="286"/>
      <c r="EE724" s="286"/>
      <c r="EF724" s="286"/>
      <c r="EG724" s="286"/>
      <c r="EH724" s="286"/>
      <c r="EI724" s="286"/>
      <c r="EJ724" s="286"/>
      <c r="EK724" s="286"/>
      <c r="EL724" s="286"/>
      <c r="EM724" s="286"/>
      <c r="EN724" s="286"/>
      <c r="EO724" s="286"/>
      <c r="EP724" s="286"/>
      <c r="EQ724" s="286"/>
      <c r="ER724" s="286"/>
      <c r="ES724" s="286"/>
      <c r="ET724" s="286"/>
      <c r="EU724" s="286"/>
      <c r="EV724" s="286"/>
      <c r="EW724" s="286"/>
      <c r="EX724" s="286"/>
      <c r="EY724" s="286"/>
      <c r="EZ724" s="286"/>
      <c r="FA724" s="286"/>
      <c r="FB724" s="286"/>
      <c r="FC724" s="286"/>
      <c r="FD724" s="286"/>
      <c r="FE724" s="286"/>
      <c r="FF724" s="286"/>
      <c r="FG724" s="286"/>
      <c r="FH724" s="286"/>
      <c r="FI724" s="286"/>
      <c r="FJ724" s="286"/>
      <c r="FK724" s="286"/>
      <c r="FL724" s="286"/>
      <c r="FM724" s="286"/>
      <c r="FN724" s="286"/>
      <c r="FO724" s="286"/>
      <c r="FP724" s="286"/>
      <c r="FQ724" s="286"/>
      <c r="FR724" s="286"/>
      <c r="FS724" s="286"/>
    </row>
    <row r="725" spans="1:175">
      <c r="A725" s="212" t="s">
        <v>3159</v>
      </c>
      <c r="B725" s="212" t="s">
        <v>3160</v>
      </c>
      <c r="C725" s="212" t="s">
        <v>3172</v>
      </c>
      <c r="D725" s="212" t="s">
        <v>3907</v>
      </c>
      <c r="E725" s="212" t="s">
        <v>3912</v>
      </c>
      <c r="F725" s="278">
        <v>976</v>
      </c>
      <c r="G725" s="278">
        <v>4547</v>
      </c>
      <c r="H725" s="287">
        <f t="shared" si="11"/>
        <v>5.5641082032109077</v>
      </c>
      <c r="I725" s="286">
        <v>27</v>
      </c>
      <c r="J725" s="286">
        <v>253</v>
      </c>
      <c r="K725" s="286">
        <v>73</v>
      </c>
      <c r="L725" s="286">
        <v>180</v>
      </c>
      <c r="M725" s="286">
        <v>213</v>
      </c>
      <c r="N725" s="286">
        <v>38</v>
      </c>
      <c r="O725" s="286">
        <v>175</v>
      </c>
      <c r="P725" s="286">
        <v>27</v>
      </c>
      <c r="Q725" s="286">
        <v>253</v>
      </c>
      <c r="R725" s="286">
        <v>73</v>
      </c>
      <c r="S725" s="286">
        <v>180</v>
      </c>
      <c r="T725" s="286">
        <v>213</v>
      </c>
      <c r="U725" s="286">
        <v>38</v>
      </c>
      <c r="V725" s="286">
        <v>175</v>
      </c>
      <c r="W725" s="286"/>
      <c r="X725" s="286"/>
      <c r="Y725" s="286"/>
      <c r="Z725" s="286"/>
      <c r="AA725" s="286"/>
      <c r="AB725" s="286"/>
      <c r="AC725" s="286"/>
      <c r="AD725" s="286"/>
      <c r="AE725" s="286"/>
      <c r="AF725" s="286"/>
      <c r="AG725" s="286"/>
      <c r="AH725" s="286"/>
      <c r="AI725" s="286"/>
      <c r="AJ725" s="286"/>
      <c r="AK725" s="286"/>
      <c r="AL725" s="286"/>
      <c r="AM725" s="286"/>
      <c r="AN725" s="286"/>
      <c r="AO725" s="286"/>
      <c r="AP725" s="286"/>
      <c r="AQ725" s="286"/>
      <c r="AR725" s="286"/>
      <c r="AS725" s="286"/>
      <c r="AT725" s="286"/>
      <c r="AU725" s="286"/>
      <c r="AV725" s="286"/>
      <c r="AW725" s="286"/>
      <c r="AX725" s="286"/>
      <c r="AY725" s="286"/>
      <c r="AZ725" s="286"/>
      <c r="BA725" s="286"/>
      <c r="BB725" s="286"/>
      <c r="BC725" s="286"/>
      <c r="BD725" s="286"/>
      <c r="BE725" s="286"/>
      <c r="BF725" s="286"/>
      <c r="BG725" s="286"/>
      <c r="BH725" s="286"/>
      <c r="BI725" s="286"/>
      <c r="BJ725" s="286"/>
      <c r="BK725" s="286"/>
      <c r="BL725" s="286"/>
      <c r="BM725" s="286"/>
      <c r="BN725" s="286"/>
      <c r="BO725" s="286"/>
      <c r="BP725" s="286"/>
      <c r="BQ725" s="286"/>
      <c r="BR725" s="286"/>
      <c r="BS725" s="286"/>
      <c r="BT725" s="286"/>
      <c r="BU725" s="286"/>
      <c r="BV725" s="286"/>
      <c r="BW725" s="286"/>
      <c r="BX725" s="286"/>
      <c r="BY725" s="286"/>
      <c r="BZ725" s="286"/>
      <c r="CA725" s="286"/>
      <c r="CB725" s="286"/>
      <c r="CC725" s="286"/>
      <c r="CD725" s="286"/>
      <c r="CE725" s="286"/>
      <c r="CF725" s="286"/>
      <c r="CG725" s="286"/>
      <c r="CH725" s="286"/>
      <c r="CI725" s="286"/>
      <c r="CJ725" s="286"/>
      <c r="CK725" s="286"/>
      <c r="CL725" s="286"/>
      <c r="CM725" s="286"/>
      <c r="CN725" s="286"/>
      <c r="CO725" s="286"/>
      <c r="CP725" s="286"/>
      <c r="CQ725" s="286"/>
      <c r="CR725" s="286"/>
      <c r="CS725" s="286"/>
      <c r="CT725" s="286"/>
      <c r="CU725" s="286"/>
      <c r="CV725" s="286"/>
      <c r="CW725" s="286"/>
      <c r="CX725" s="286"/>
      <c r="CY725" s="286"/>
      <c r="CZ725" s="286"/>
      <c r="DA725" s="286"/>
      <c r="DB725" s="286"/>
      <c r="DC725" s="286"/>
      <c r="DD725" s="286"/>
      <c r="DE725" s="286"/>
      <c r="DF725" s="286"/>
      <c r="DG725" s="286"/>
      <c r="DH725" s="286"/>
      <c r="DI725" s="286"/>
      <c r="DJ725" s="286"/>
      <c r="DK725" s="286"/>
      <c r="DL725" s="286"/>
      <c r="DM725" s="286"/>
      <c r="DN725" s="286"/>
      <c r="DO725" s="286"/>
      <c r="DP725" s="286"/>
      <c r="DQ725" s="286"/>
      <c r="DR725" s="286"/>
      <c r="DS725" s="286"/>
      <c r="DT725" s="286"/>
      <c r="DU725" s="286"/>
      <c r="DV725" s="286"/>
      <c r="DW725" s="286"/>
      <c r="DX725" s="286"/>
      <c r="DY725" s="286"/>
      <c r="DZ725" s="286"/>
      <c r="EA725" s="286"/>
      <c r="EB725" s="286"/>
      <c r="EC725" s="286"/>
      <c r="ED725" s="286"/>
      <c r="EE725" s="286"/>
      <c r="EF725" s="286"/>
      <c r="EG725" s="286"/>
      <c r="EH725" s="286"/>
      <c r="EI725" s="286"/>
      <c r="EJ725" s="286"/>
      <c r="EK725" s="286"/>
      <c r="EL725" s="286"/>
      <c r="EM725" s="286"/>
      <c r="EN725" s="286"/>
      <c r="EO725" s="286"/>
      <c r="EP725" s="286"/>
      <c r="EQ725" s="286"/>
      <c r="ER725" s="286"/>
      <c r="ES725" s="286"/>
      <c r="ET725" s="286"/>
      <c r="EU725" s="286"/>
      <c r="EV725" s="286"/>
      <c r="EW725" s="286"/>
      <c r="EX725" s="286"/>
      <c r="EY725" s="286"/>
      <c r="EZ725" s="286"/>
      <c r="FA725" s="286"/>
      <c r="FB725" s="286"/>
      <c r="FC725" s="286"/>
      <c r="FD725" s="286"/>
      <c r="FE725" s="286"/>
      <c r="FF725" s="286"/>
      <c r="FG725" s="286"/>
      <c r="FH725" s="286"/>
      <c r="FI725" s="286"/>
      <c r="FJ725" s="286"/>
      <c r="FK725" s="286"/>
      <c r="FL725" s="286"/>
      <c r="FM725" s="286"/>
      <c r="FN725" s="286"/>
      <c r="FO725" s="286"/>
      <c r="FP725" s="286"/>
      <c r="FQ725" s="286"/>
      <c r="FR725" s="286"/>
      <c r="FS725" s="286"/>
    </row>
    <row r="726" spans="1:175">
      <c r="A726" s="212" t="s">
        <v>3159</v>
      </c>
      <c r="B726" s="212" t="s">
        <v>3160</v>
      </c>
      <c r="C726" s="212" t="s">
        <v>3168</v>
      </c>
      <c r="D726" s="212" t="s">
        <v>3913</v>
      </c>
      <c r="E726" s="212" t="s">
        <v>3914</v>
      </c>
      <c r="F726" s="278">
        <v>375073</v>
      </c>
      <c r="G726" s="278">
        <v>5303693</v>
      </c>
      <c r="H726" s="287">
        <f t="shared" si="11"/>
        <v>3.5815609991000614</v>
      </c>
      <c r="I726" s="286">
        <v>15112</v>
      </c>
      <c r="J726" s="286">
        <v>189955</v>
      </c>
      <c r="K726" s="286">
        <v>112163</v>
      </c>
      <c r="L726" s="286">
        <v>77568</v>
      </c>
      <c r="M726" s="286">
        <v>168510</v>
      </c>
      <c r="N726" s="286">
        <v>96913</v>
      </c>
      <c r="O726" s="286">
        <v>71382</v>
      </c>
      <c r="P726" s="286">
        <v>14865</v>
      </c>
      <c r="Q726" s="286">
        <v>186397</v>
      </c>
      <c r="R726" s="286">
        <v>109178</v>
      </c>
      <c r="S726" s="286">
        <v>76995</v>
      </c>
      <c r="T726" s="286">
        <v>164981</v>
      </c>
      <c r="U726" s="286">
        <v>93948</v>
      </c>
      <c r="V726" s="286">
        <v>70818</v>
      </c>
      <c r="W726" s="286"/>
      <c r="X726" s="286"/>
      <c r="Y726" s="286"/>
      <c r="Z726" s="286"/>
      <c r="AA726" s="286"/>
      <c r="AB726" s="286"/>
      <c r="AC726" s="286"/>
      <c r="AD726" s="286"/>
      <c r="AE726" s="286"/>
      <c r="AF726" s="286"/>
      <c r="AG726" s="286"/>
      <c r="AH726" s="286"/>
      <c r="AI726" s="286"/>
      <c r="AJ726" s="286"/>
      <c r="AK726" s="286"/>
      <c r="AL726" s="286"/>
      <c r="AM726" s="286"/>
      <c r="AN726" s="286"/>
      <c r="AO726" s="286"/>
      <c r="AP726" s="286"/>
      <c r="AQ726" s="286"/>
      <c r="AR726" s="286"/>
      <c r="AS726" s="286"/>
      <c r="AT726" s="286"/>
      <c r="AU726" s="286"/>
      <c r="AV726" s="286"/>
      <c r="AW726" s="286"/>
      <c r="AX726" s="286"/>
      <c r="AY726" s="286"/>
      <c r="AZ726" s="286"/>
      <c r="BA726" s="286"/>
      <c r="BB726" s="286"/>
      <c r="BC726" s="286"/>
      <c r="BD726" s="286"/>
      <c r="BE726" s="286"/>
      <c r="BF726" s="286"/>
      <c r="BG726" s="286"/>
      <c r="BH726" s="286"/>
      <c r="BI726" s="286"/>
      <c r="BJ726" s="286"/>
      <c r="BK726" s="286"/>
      <c r="BL726" s="286"/>
      <c r="BM726" s="286"/>
      <c r="BN726" s="286"/>
      <c r="BO726" s="286"/>
      <c r="BP726" s="286"/>
      <c r="BQ726" s="286"/>
      <c r="BR726" s="286"/>
      <c r="BS726" s="286"/>
      <c r="BT726" s="286"/>
      <c r="BU726" s="286"/>
      <c r="BV726" s="286"/>
      <c r="BW726" s="286"/>
      <c r="BX726" s="286"/>
      <c r="BY726" s="286"/>
      <c r="BZ726" s="286"/>
      <c r="CA726" s="286"/>
      <c r="CB726" s="286"/>
      <c r="CC726" s="286"/>
      <c r="CD726" s="286"/>
      <c r="CE726" s="286"/>
      <c r="CF726" s="286"/>
      <c r="CG726" s="286"/>
      <c r="CH726" s="286"/>
      <c r="CI726" s="286"/>
      <c r="CJ726" s="286"/>
      <c r="CK726" s="286"/>
      <c r="CL726" s="286"/>
      <c r="CM726" s="286"/>
      <c r="CN726" s="286"/>
      <c r="CO726" s="286"/>
      <c r="CP726" s="286"/>
      <c r="CQ726" s="286"/>
      <c r="CR726" s="286"/>
      <c r="CS726" s="286"/>
      <c r="CT726" s="286"/>
      <c r="CU726" s="286"/>
      <c r="CV726" s="286"/>
      <c r="CW726" s="286"/>
      <c r="CX726" s="286"/>
      <c r="CY726" s="286"/>
      <c r="CZ726" s="286"/>
      <c r="DA726" s="286"/>
      <c r="DB726" s="286"/>
      <c r="DC726" s="286"/>
      <c r="DD726" s="286"/>
      <c r="DE726" s="286"/>
      <c r="DF726" s="286"/>
      <c r="DG726" s="286"/>
      <c r="DH726" s="286"/>
      <c r="DI726" s="286"/>
      <c r="DJ726" s="286"/>
      <c r="DK726" s="286"/>
      <c r="DL726" s="286"/>
      <c r="DM726" s="286"/>
      <c r="DN726" s="286"/>
      <c r="DO726" s="286"/>
      <c r="DP726" s="286"/>
      <c r="DQ726" s="286"/>
      <c r="DR726" s="286"/>
      <c r="DS726" s="286"/>
      <c r="DT726" s="286"/>
      <c r="DU726" s="286"/>
      <c r="DV726" s="286"/>
      <c r="DW726" s="286"/>
      <c r="DX726" s="286"/>
      <c r="DY726" s="286"/>
      <c r="DZ726" s="286"/>
      <c r="EA726" s="286"/>
      <c r="EB726" s="286"/>
      <c r="EC726" s="286"/>
      <c r="ED726" s="286"/>
      <c r="EE726" s="286"/>
      <c r="EF726" s="286"/>
      <c r="EG726" s="286"/>
      <c r="EH726" s="286"/>
      <c r="EI726" s="286"/>
      <c r="EJ726" s="286"/>
      <c r="EK726" s="286"/>
      <c r="EL726" s="286"/>
      <c r="EM726" s="286"/>
      <c r="EN726" s="286"/>
      <c r="EO726" s="286"/>
      <c r="EP726" s="286"/>
      <c r="EQ726" s="286"/>
      <c r="ER726" s="286"/>
      <c r="ES726" s="286"/>
      <c r="ET726" s="286"/>
      <c r="EU726" s="286"/>
      <c r="EV726" s="286"/>
      <c r="EW726" s="286"/>
      <c r="EX726" s="286"/>
      <c r="EY726" s="286"/>
      <c r="EZ726" s="286"/>
      <c r="FA726" s="286"/>
      <c r="FB726" s="286"/>
      <c r="FC726" s="286"/>
      <c r="FD726" s="286"/>
      <c r="FE726" s="286"/>
      <c r="FF726" s="286"/>
      <c r="FG726" s="286"/>
      <c r="FH726" s="286"/>
      <c r="FI726" s="286"/>
      <c r="FJ726" s="286"/>
      <c r="FK726" s="286"/>
      <c r="FL726" s="286"/>
      <c r="FM726" s="286"/>
      <c r="FN726" s="286"/>
      <c r="FO726" s="286"/>
      <c r="FP726" s="286"/>
      <c r="FQ726" s="286"/>
      <c r="FR726" s="286"/>
      <c r="FS726" s="286"/>
    </row>
    <row r="727" spans="1:175">
      <c r="A727" s="212" t="s">
        <v>3159</v>
      </c>
      <c r="B727" s="212" t="s">
        <v>3160</v>
      </c>
      <c r="C727" s="212" t="s">
        <v>3459</v>
      </c>
      <c r="D727" s="212" t="s">
        <v>3915</v>
      </c>
      <c r="E727" s="212" t="s">
        <v>3916</v>
      </c>
      <c r="F727" s="278">
        <v>153065</v>
      </c>
      <c r="G727" s="278">
        <v>550732</v>
      </c>
      <c r="H727" s="287">
        <f t="shared" si="11"/>
        <v>3.9856046134962195</v>
      </c>
      <c r="I727" s="286">
        <v>7048</v>
      </c>
      <c r="J727" s="286">
        <v>21950</v>
      </c>
      <c r="K727" s="286">
        <v>12609</v>
      </c>
      <c r="L727" s="286">
        <v>9328</v>
      </c>
      <c r="M727" s="286">
        <v>15016</v>
      </c>
      <c r="N727" s="286">
        <v>7287</v>
      </c>
      <c r="O727" s="286">
        <v>7720</v>
      </c>
      <c r="P727" s="286">
        <v>7048</v>
      </c>
      <c r="Q727" s="286">
        <v>21950</v>
      </c>
      <c r="R727" s="286">
        <v>12609</v>
      </c>
      <c r="S727" s="286">
        <v>9328</v>
      </c>
      <c r="T727" s="286">
        <v>15016</v>
      </c>
      <c r="U727" s="286">
        <v>7287</v>
      </c>
      <c r="V727" s="286">
        <v>7720</v>
      </c>
      <c r="W727" s="286"/>
      <c r="X727" s="286"/>
      <c r="Y727" s="286"/>
      <c r="Z727" s="286"/>
      <c r="AA727" s="286"/>
      <c r="AB727" s="286"/>
      <c r="AC727" s="286"/>
      <c r="AD727" s="286"/>
      <c r="AE727" s="286"/>
      <c r="AF727" s="286"/>
      <c r="AG727" s="286"/>
      <c r="AH727" s="286"/>
      <c r="AI727" s="286"/>
      <c r="AJ727" s="286"/>
      <c r="AK727" s="286"/>
      <c r="AL727" s="286"/>
      <c r="AM727" s="286"/>
      <c r="AN727" s="286"/>
      <c r="AO727" s="286"/>
      <c r="AP727" s="286"/>
      <c r="AQ727" s="286"/>
      <c r="AR727" s="286"/>
      <c r="AS727" s="286"/>
      <c r="AT727" s="286"/>
      <c r="AU727" s="286"/>
      <c r="AV727" s="286"/>
      <c r="AW727" s="286"/>
      <c r="AX727" s="286"/>
      <c r="AY727" s="286"/>
      <c r="AZ727" s="286"/>
      <c r="BA727" s="286"/>
      <c r="BB727" s="286"/>
      <c r="BC727" s="286"/>
      <c r="BD727" s="286"/>
      <c r="BE727" s="286"/>
      <c r="BF727" s="286"/>
      <c r="BG727" s="286"/>
      <c r="BH727" s="286"/>
      <c r="BI727" s="286"/>
      <c r="BJ727" s="286"/>
      <c r="BK727" s="286"/>
      <c r="BL727" s="286"/>
      <c r="BM727" s="286"/>
      <c r="BN727" s="286"/>
      <c r="BO727" s="286"/>
      <c r="BP727" s="286"/>
      <c r="BQ727" s="286"/>
      <c r="BR727" s="286"/>
      <c r="BS727" s="286"/>
      <c r="BT727" s="286"/>
      <c r="BU727" s="286"/>
      <c r="BV727" s="286"/>
      <c r="BW727" s="286"/>
      <c r="BX727" s="286"/>
      <c r="BY727" s="286"/>
      <c r="BZ727" s="286"/>
      <c r="CA727" s="286"/>
      <c r="CB727" s="286"/>
      <c r="CC727" s="286"/>
      <c r="CD727" s="286"/>
      <c r="CE727" s="286"/>
      <c r="CF727" s="286"/>
      <c r="CG727" s="286"/>
      <c r="CH727" s="286"/>
      <c r="CI727" s="286"/>
      <c r="CJ727" s="286"/>
      <c r="CK727" s="286"/>
      <c r="CL727" s="286"/>
      <c r="CM727" s="286"/>
      <c r="CN727" s="286"/>
      <c r="CO727" s="286"/>
      <c r="CP727" s="286"/>
      <c r="CQ727" s="286"/>
      <c r="CR727" s="286"/>
      <c r="CS727" s="286"/>
      <c r="CT727" s="286"/>
      <c r="CU727" s="286"/>
      <c r="CV727" s="286"/>
      <c r="CW727" s="286"/>
      <c r="CX727" s="286"/>
      <c r="CY727" s="286"/>
      <c r="CZ727" s="286"/>
      <c r="DA727" s="286"/>
      <c r="DB727" s="286"/>
      <c r="DC727" s="286"/>
      <c r="DD727" s="286"/>
      <c r="DE727" s="286"/>
      <c r="DF727" s="286"/>
      <c r="DG727" s="286"/>
      <c r="DH727" s="286"/>
      <c r="DI727" s="286"/>
      <c r="DJ727" s="286"/>
      <c r="DK727" s="286"/>
      <c r="DL727" s="286"/>
      <c r="DM727" s="286"/>
      <c r="DN727" s="286"/>
      <c r="DO727" s="286"/>
      <c r="DP727" s="286"/>
      <c r="DQ727" s="286"/>
      <c r="DR727" s="286"/>
      <c r="DS727" s="286"/>
      <c r="DT727" s="286"/>
      <c r="DU727" s="286"/>
      <c r="DV727" s="286"/>
      <c r="DW727" s="286"/>
      <c r="DX727" s="286"/>
      <c r="DY727" s="286"/>
      <c r="DZ727" s="286"/>
      <c r="EA727" s="286"/>
      <c r="EB727" s="286"/>
      <c r="EC727" s="286"/>
      <c r="ED727" s="286"/>
      <c r="EE727" s="286"/>
      <c r="EF727" s="286"/>
      <c r="EG727" s="286"/>
      <c r="EH727" s="286"/>
      <c r="EI727" s="286"/>
      <c r="EJ727" s="286"/>
      <c r="EK727" s="286"/>
      <c r="EL727" s="286"/>
      <c r="EM727" s="286"/>
      <c r="EN727" s="286"/>
      <c r="EO727" s="286"/>
      <c r="EP727" s="286"/>
      <c r="EQ727" s="286"/>
      <c r="ER727" s="286"/>
      <c r="ES727" s="286"/>
      <c r="ET727" s="286"/>
      <c r="EU727" s="286"/>
      <c r="EV727" s="286"/>
      <c r="EW727" s="286"/>
      <c r="EX727" s="286"/>
      <c r="EY727" s="286"/>
      <c r="EZ727" s="286"/>
      <c r="FA727" s="286"/>
      <c r="FB727" s="286"/>
      <c r="FC727" s="286"/>
      <c r="FD727" s="286"/>
      <c r="FE727" s="286"/>
      <c r="FF727" s="286"/>
      <c r="FG727" s="286"/>
      <c r="FH727" s="286"/>
      <c r="FI727" s="286"/>
      <c r="FJ727" s="286"/>
      <c r="FK727" s="286"/>
      <c r="FL727" s="286"/>
      <c r="FM727" s="286"/>
      <c r="FN727" s="286"/>
      <c r="FO727" s="286"/>
      <c r="FP727" s="286"/>
      <c r="FQ727" s="286"/>
      <c r="FR727" s="286"/>
      <c r="FS727" s="286"/>
    </row>
    <row r="728" spans="1:175">
      <c r="A728" s="212" t="s">
        <v>3159</v>
      </c>
      <c r="B728" s="212" t="s">
        <v>3160</v>
      </c>
      <c r="C728" s="212" t="s">
        <v>3170</v>
      </c>
      <c r="D728" s="212" t="s">
        <v>3915</v>
      </c>
      <c r="E728" s="212" t="s">
        <v>3917</v>
      </c>
      <c r="F728" s="278">
        <v>57103</v>
      </c>
      <c r="G728" s="278">
        <v>294505</v>
      </c>
      <c r="H728" s="287">
        <f t="shared" si="11"/>
        <v>3.4369535321980949</v>
      </c>
      <c r="I728" s="286">
        <v>2085</v>
      </c>
      <c r="J728" s="286">
        <v>10122</v>
      </c>
      <c r="K728" s="286">
        <v>5542</v>
      </c>
      <c r="L728" s="286">
        <v>4579</v>
      </c>
      <c r="M728" s="286">
        <v>8343</v>
      </c>
      <c r="N728" s="286">
        <v>4202</v>
      </c>
      <c r="O728" s="286">
        <v>4140</v>
      </c>
      <c r="P728" s="286">
        <v>2085</v>
      </c>
      <c r="Q728" s="286">
        <v>10122</v>
      </c>
      <c r="R728" s="286">
        <v>5542</v>
      </c>
      <c r="S728" s="286">
        <v>4579</v>
      </c>
      <c r="T728" s="286">
        <v>8343</v>
      </c>
      <c r="U728" s="286">
        <v>4202</v>
      </c>
      <c r="V728" s="286">
        <v>4140</v>
      </c>
      <c r="W728" s="286"/>
      <c r="X728" s="286"/>
      <c r="Y728" s="286"/>
      <c r="Z728" s="286"/>
      <c r="AA728" s="286"/>
      <c r="AB728" s="286"/>
      <c r="AC728" s="286"/>
      <c r="AD728" s="286"/>
      <c r="AE728" s="286"/>
      <c r="AF728" s="286"/>
      <c r="AG728" s="286"/>
      <c r="AH728" s="286"/>
      <c r="AI728" s="286"/>
      <c r="AJ728" s="286"/>
      <c r="AK728" s="286"/>
      <c r="AL728" s="286"/>
      <c r="AM728" s="286"/>
      <c r="AN728" s="286"/>
      <c r="AO728" s="286"/>
      <c r="AP728" s="286"/>
      <c r="AQ728" s="286"/>
      <c r="AR728" s="286"/>
      <c r="AS728" s="286"/>
      <c r="AT728" s="286"/>
      <c r="AU728" s="286"/>
      <c r="AV728" s="286"/>
      <c r="AW728" s="286"/>
      <c r="AX728" s="286"/>
      <c r="AY728" s="286"/>
      <c r="AZ728" s="286"/>
      <c r="BA728" s="286"/>
      <c r="BB728" s="286"/>
      <c r="BC728" s="286"/>
      <c r="BD728" s="286"/>
      <c r="BE728" s="286"/>
      <c r="BF728" s="286"/>
      <c r="BG728" s="286"/>
      <c r="BH728" s="286"/>
      <c r="BI728" s="286"/>
      <c r="BJ728" s="286"/>
      <c r="BK728" s="286"/>
      <c r="BL728" s="286"/>
      <c r="BM728" s="286"/>
      <c r="BN728" s="286"/>
      <c r="BO728" s="286"/>
      <c r="BP728" s="286"/>
      <c r="BQ728" s="286"/>
      <c r="BR728" s="286"/>
      <c r="BS728" s="286"/>
      <c r="BT728" s="286"/>
      <c r="BU728" s="286"/>
      <c r="BV728" s="286"/>
      <c r="BW728" s="286"/>
      <c r="BX728" s="286"/>
      <c r="BY728" s="286"/>
      <c r="BZ728" s="286"/>
      <c r="CA728" s="286"/>
      <c r="CB728" s="286"/>
      <c r="CC728" s="286"/>
      <c r="CD728" s="286"/>
      <c r="CE728" s="286"/>
      <c r="CF728" s="286"/>
      <c r="CG728" s="286"/>
      <c r="CH728" s="286"/>
      <c r="CI728" s="286"/>
      <c r="CJ728" s="286"/>
      <c r="CK728" s="286"/>
      <c r="CL728" s="286"/>
      <c r="CM728" s="286"/>
      <c r="CN728" s="286"/>
      <c r="CO728" s="286"/>
      <c r="CP728" s="286"/>
      <c r="CQ728" s="286"/>
      <c r="CR728" s="286"/>
      <c r="CS728" s="286"/>
      <c r="CT728" s="286"/>
      <c r="CU728" s="286"/>
      <c r="CV728" s="286"/>
      <c r="CW728" s="286"/>
      <c r="CX728" s="286"/>
      <c r="CY728" s="286"/>
      <c r="CZ728" s="286"/>
      <c r="DA728" s="286"/>
      <c r="DB728" s="286"/>
      <c r="DC728" s="286"/>
      <c r="DD728" s="286"/>
      <c r="DE728" s="286"/>
      <c r="DF728" s="286"/>
      <c r="DG728" s="286"/>
      <c r="DH728" s="286"/>
      <c r="DI728" s="286"/>
      <c r="DJ728" s="286"/>
      <c r="DK728" s="286"/>
      <c r="DL728" s="286"/>
      <c r="DM728" s="286"/>
      <c r="DN728" s="286"/>
      <c r="DO728" s="286"/>
      <c r="DP728" s="286"/>
      <c r="DQ728" s="286"/>
      <c r="DR728" s="286"/>
      <c r="DS728" s="286"/>
      <c r="DT728" s="286"/>
      <c r="DU728" s="286"/>
      <c r="DV728" s="286"/>
      <c r="DW728" s="286"/>
      <c r="DX728" s="286"/>
      <c r="DY728" s="286"/>
      <c r="DZ728" s="286"/>
      <c r="EA728" s="286"/>
      <c r="EB728" s="286"/>
      <c r="EC728" s="286"/>
      <c r="ED728" s="286"/>
      <c r="EE728" s="286"/>
      <c r="EF728" s="286"/>
      <c r="EG728" s="286"/>
      <c r="EH728" s="286"/>
      <c r="EI728" s="286"/>
      <c r="EJ728" s="286"/>
      <c r="EK728" s="286"/>
      <c r="EL728" s="286"/>
      <c r="EM728" s="286"/>
      <c r="EN728" s="286"/>
      <c r="EO728" s="286"/>
      <c r="EP728" s="286"/>
      <c r="EQ728" s="286"/>
      <c r="ER728" s="286"/>
      <c r="ES728" s="286"/>
      <c r="ET728" s="286"/>
      <c r="EU728" s="286"/>
      <c r="EV728" s="286"/>
      <c r="EW728" s="286"/>
      <c r="EX728" s="286"/>
      <c r="EY728" s="286"/>
      <c r="EZ728" s="286"/>
      <c r="FA728" s="286"/>
      <c r="FB728" s="286"/>
      <c r="FC728" s="286"/>
      <c r="FD728" s="286"/>
      <c r="FE728" s="286"/>
      <c r="FF728" s="286"/>
      <c r="FG728" s="286"/>
      <c r="FH728" s="286"/>
      <c r="FI728" s="286"/>
      <c r="FJ728" s="286"/>
      <c r="FK728" s="286"/>
      <c r="FL728" s="286"/>
      <c r="FM728" s="286"/>
      <c r="FN728" s="286"/>
      <c r="FO728" s="286"/>
      <c r="FP728" s="286"/>
      <c r="FQ728" s="286"/>
      <c r="FR728" s="286"/>
      <c r="FS728" s="286"/>
    </row>
    <row r="729" spans="1:175">
      <c r="A729" s="212" t="s">
        <v>3159</v>
      </c>
      <c r="B729" s="212" t="s">
        <v>3160</v>
      </c>
      <c r="C729" s="212" t="s">
        <v>3172</v>
      </c>
      <c r="D729" s="212" t="s">
        <v>3915</v>
      </c>
      <c r="E729" s="212" t="s">
        <v>3918</v>
      </c>
      <c r="F729" s="278">
        <v>22758</v>
      </c>
      <c r="G729" s="278">
        <v>121143</v>
      </c>
      <c r="H729" s="287">
        <f t="shared" si="11"/>
        <v>3.6073070668548741</v>
      </c>
      <c r="I729" s="286">
        <v>793</v>
      </c>
      <c r="J729" s="286">
        <v>4370</v>
      </c>
      <c r="K729" s="286">
        <v>2540</v>
      </c>
      <c r="L729" s="286">
        <v>1830</v>
      </c>
      <c r="M729" s="286">
        <v>3669</v>
      </c>
      <c r="N729" s="286">
        <v>1943</v>
      </c>
      <c r="O729" s="286">
        <v>1726</v>
      </c>
      <c r="P729" s="286">
        <v>793</v>
      </c>
      <c r="Q729" s="286">
        <v>4370</v>
      </c>
      <c r="R729" s="286">
        <v>2540</v>
      </c>
      <c r="S729" s="286">
        <v>1830</v>
      </c>
      <c r="T729" s="286">
        <v>3669</v>
      </c>
      <c r="U729" s="286">
        <v>1943</v>
      </c>
      <c r="V729" s="286">
        <v>1726</v>
      </c>
      <c r="W729" s="286"/>
      <c r="X729" s="286"/>
      <c r="Y729" s="286"/>
      <c r="Z729" s="286"/>
      <c r="AA729" s="286"/>
      <c r="AB729" s="286"/>
      <c r="AC729" s="286"/>
      <c r="AD729" s="286"/>
      <c r="AE729" s="286"/>
      <c r="AF729" s="286"/>
      <c r="AG729" s="286"/>
      <c r="AH729" s="286"/>
      <c r="AI729" s="286"/>
      <c r="AJ729" s="286"/>
      <c r="AK729" s="286"/>
      <c r="AL729" s="286"/>
      <c r="AM729" s="286"/>
      <c r="AN729" s="286"/>
      <c r="AO729" s="286"/>
      <c r="AP729" s="286"/>
      <c r="AQ729" s="286"/>
      <c r="AR729" s="286"/>
      <c r="AS729" s="286"/>
      <c r="AT729" s="286"/>
      <c r="AU729" s="286"/>
      <c r="AV729" s="286"/>
      <c r="AW729" s="286"/>
      <c r="AX729" s="286"/>
      <c r="AY729" s="286"/>
      <c r="AZ729" s="286"/>
      <c r="BA729" s="286"/>
      <c r="BB729" s="286"/>
      <c r="BC729" s="286"/>
      <c r="BD729" s="286"/>
      <c r="BE729" s="286"/>
      <c r="BF729" s="286"/>
      <c r="BG729" s="286"/>
      <c r="BH729" s="286"/>
      <c r="BI729" s="286"/>
      <c r="BJ729" s="286"/>
      <c r="BK729" s="286"/>
      <c r="BL729" s="286"/>
      <c r="BM729" s="286"/>
      <c r="BN729" s="286"/>
      <c r="BO729" s="286"/>
      <c r="BP729" s="286"/>
      <c r="BQ729" s="286"/>
      <c r="BR729" s="286"/>
      <c r="BS729" s="286"/>
      <c r="BT729" s="286"/>
      <c r="BU729" s="286"/>
      <c r="BV729" s="286"/>
      <c r="BW729" s="286"/>
      <c r="BX729" s="286"/>
      <c r="BY729" s="286"/>
      <c r="BZ729" s="286"/>
      <c r="CA729" s="286"/>
      <c r="CB729" s="286"/>
      <c r="CC729" s="286"/>
      <c r="CD729" s="286"/>
      <c r="CE729" s="286"/>
      <c r="CF729" s="286"/>
      <c r="CG729" s="286"/>
      <c r="CH729" s="286"/>
      <c r="CI729" s="286"/>
      <c r="CJ729" s="286"/>
      <c r="CK729" s="286"/>
      <c r="CL729" s="286"/>
      <c r="CM729" s="286"/>
      <c r="CN729" s="286"/>
      <c r="CO729" s="286"/>
      <c r="CP729" s="286"/>
      <c r="CQ729" s="286"/>
      <c r="CR729" s="286"/>
      <c r="CS729" s="286"/>
      <c r="CT729" s="286"/>
      <c r="CU729" s="286"/>
      <c r="CV729" s="286"/>
      <c r="CW729" s="286"/>
      <c r="CX729" s="286"/>
      <c r="CY729" s="286"/>
      <c r="CZ729" s="286"/>
      <c r="DA729" s="286"/>
      <c r="DB729" s="286"/>
      <c r="DC729" s="286"/>
      <c r="DD729" s="286"/>
      <c r="DE729" s="286"/>
      <c r="DF729" s="286"/>
      <c r="DG729" s="286"/>
      <c r="DH729" s="286"/>
      <c r="DI729" s="286"/>
      <c r="DJ729" s="286"/>
      <c r="DK729" s="286"/>
      <c r="DL729" s="286"/>
      <c r="DM729" s="286"/>
      <c r="DN729" s="286"/>
      <c r="DO729" s="286"/>
      <c r="DP729" s="286"/>
      <c r="DQ729" s="286"/>
      <c r="DR729" s="286"/>
      <c r="DS729" s="286"/>
      <c r="DT729" s="286"/>
      <c r="DU729" s="286"/>
      <c r="DV729" s="286"/>
      <c r="DW729" s="286"/>
      <c r="DX729" s="286"/>
      <c r="DY729" s="286"/>
      <c r="DZ729" s="286"/>
      <c r="EA729" s="286"/>
      <c r="EB729" s="286"/>
      <c r="EC729" s="286"/>
      <c r="ED729" s="286"/>
      <c r="EE729" s="286"/>
      <c r="EF729" s="286"/>
      <c r="EG729" s="286"/>
      <c r="EH729" s="286"/>
      <c r="EI729" s="286"/>
      <c r="EJ729" s="286"/>
      <c r="EK729" s="286"/>
      <c r="EL729" s="286"/>
      <c r="EM729" s="286"/>
      <c r="EN729" s="286"/>
      <c r="EO729" s="286"/>
      <c r="EP729" s="286"/>
      <c r="EQ729" s="286"/>
      <c r="ER729" s="286"/>
      <c r="ES729" s="286"/>
      <c r="ET729" s="286"/>
      <c r="EU729" s="286"/>
      <c r="EV729" s="286"/>
      <c r="EW729" s="286"/>
      <c r="EX729" s="286"/>
      <c r="EY729" s="286"/>
      <c r="EZ729" s="286"/>
      <c r="FA729" s="286"/>
      <c r="FB729" s="286"/>
      <c r="FC729" s="286"/>
      <c r="FD729" s="286"/>
      <c r="FE729" s="286"/>
      <c r="FF729" s="286"/>
      <c r="FG729" s="286"/>
      <c r="FH729" s="286"/>
      <c r="FI729" s="286"/>
      <c r="FJ729" s="286"/>
      <c r="FK729" s="286"/>
      <c r="FL729" s="286"/>
      <c r="FM729" s="286"/>
      <c r="FN729" s="286"/>
      <c r="FO729" s="286"/>
      <c r="FP729" s="286"/>
      <c r="FQ729" s="286"/>
      <c r="FR729" s="286"/>
      <c r="FS729" s="286"/>
    </row>
    <row r="730" spans="1:175">
      <c r="A730" s="212" t="s">
        <v>3159</v>
      </c>
      <c r="B730" s="212" t="s">
        <v>3160</v>
      </c>
      <c r="C730" s="212" t="s">
        <v>3172</v>
      </c>
      <c r="D730" s="212" t="s">
        <v>3915</v>
      </c>
      <c r="E730" s="212" t="s">
        <v>3919</v>
      </c>
      <c r="F730" s="278">
        <v>6327</v>
      </c>
      <c r="G730" s="278">
        <v>31258</v>
      </c>
      <c r="H730" s="287">
        <f t="shared" si="11"/>
        <v>3.4647130334634331</v>
      </c>
      <c r="I730" s="286">
        <v>270</v>
      </c>
      <c r="J730" s="286">
        <v>1083</v>
      </c>
      <c r="K730" s="286">
        <v>672</v>
      </c>
      <c r="L730" s="286">
        <v>411</v>
      </c>
      <c r="M730" s="286">
        <v>912</v>
      </c>
      <c r="N730" s="286">
        <v>539</v>
      </c>
      <c r="O730" s="286">
        <v>373</v>
      </c>
      <c r="P730" s="286">
        <v>270</v>
      </c>
      <c r="Q730" s="286">
        <v>1083</v>
      </c>
      <c r="R730" s="286">
        <v>672</v>
      </c>
      <c r="S730" s="286">
        <v>411</v>
      </c>
      <c r="T730" s="286">
        <v>912</v>
      </c>
      <c r="U730" s="286">
        <v>539</v>
      </c>
      <c r="V730" s="286">
        <v>373</v>
      </c>
      <c r="W730" s="286"/>
      <c r="X730" s="286"/>
      <c r="Y730" s="286"/>
      <c r="Z730" s="286"/>
      <c r="AA730" s="286"/>
      <c r="AB730" s="286"/>
      <c r="AC730" s="286"/>
      <c r="AD730" s="286"/>
      <c r="AE730" s="286"/>
      <c r="AF730" s="286"/>
      <c r="AG730" s="286"/>
      <c r="AH730" s="286"/>
      <c r="AI730" s="286"/>
      <c r="AJ730" s="286"/>
      <c r="AK730" s="286"/>
      <c r="AL730" s="286"/>
      <c r="AM730" s="286"/>
      <c r="AN730" s="286"/>
      <c r="AO730" s="286"/>
      <c r="AP730" s="286"/>
      <c r="AQ730" s="286"/>
      <c r="AR730" s="286"/>
      <c r="AS730" s="286"/>
      <c r="AT730" s="286"/>
      <c r="AU730" s="286"/>
      <c r="AV730" s="286"/>
      <c r="AW730" s="286"/>
      <c r="AX730" s="286"/>
      <c r="AY730" s="286"/>
      <c r="AZ730" s="286"/>
      <c r="BA730" s="286"/>
      <c r="BB730" s="286"/>
      <c r="BC730" s="286"/>
      <c r="BD730" s="286"/>
      <c r="BE730" s="286"/>
      <c r="BF730" s="286"/>
      <c r="BG730" s="286"/>
      <c r="BH730" s="286"/>
      <c r="BI730" s="286"/>
      <c r="BJ730" s="286"/>
      <c r="BK730" s="286"/>
      <c r="BL730" s="286"/>
      <c r="BM730" s="286"/>
      <c r="BN730" s="286"/>
      <c r="BO730" s="286"/>
      <c r="BP730" s="286"/>
      <c r="BQ730" s="286"/>
      <c r="BR730" s="286"/>
      <c r="BS730" s="286"/>
      <c r="BT730" s="286"/>
      <c r="BU730" s="286"/>
      <c r="BV730" s="286"/>
      <c r="BW730" s="286"/>
      <c r="BX730" s="286"/>
      <c r="BY730" s="286"/>
      <c r="BZ730" s="286"/>
      <c r="CA730" s="286"/>
      <c r="CB730" s="286"/>
      <c r="CC730" s="286"/>
      <c r="CD730" s="286"/>
      <c r="CE730" s="286"/>
      <c r="CF730" s="286"/>
      <c r="CG730" s="286"/>
      <c r="CH730" s="286"/>
      <c r="CI730" s="286"/>
      <c r="CJ730" s="286"/>
      <c r="CK730" s="286"/>
      <c r="CL730" s="286"/>
      <c r="CM730" s="286"/>
      <c r="CN730" s="286"/>
      <c r="CO730" s="286"/>
      <c r="CP730" s="286"/>
      <c r="CQ730" s="286"/>
      <c r="CR730" s="286"/>
      <c r="CS730" s="286"/>
      <c r="CT730" s="286"/>
      <c r="CU730" s="286"/>
      <c r="CV730" s="286"/>
      <c r="CW730" s="286"/>
      <c r="CX730" s="286"/>
      <c r="CY730" s="286"/>
      <c r="CZ730" s="286"/>
      <c r="DA730" s="286"/>
      <c r="DB730" s="286"/>
      <c r="DC730" s="286"/>
      <c r="DD730" s="286"/>
      <c r="DE730" s="286"/>
      <c r="DF730" s="286"/>
      <c r="DG730" s="286"/>
      <c r="DH730" s="286"/>
      <c r="DI730" s="286"/>
      <c r="DJ730" s="286"/>
      <c r="DK730" s="286"/>
      <c r="DL730" s="286"/>
      <c r="DM730" s="286"/>
      <c r="DN730" s="286"/>
      <c r="DO730" s="286"/>
      <c r="DP730" s="286"/>
      <c r="DQ730" s="286"/>
      <c r="DR730" s="286"/>
      <c r="DS730" s="286"/>
      <c r="DT730" s="286"/>
      <c r="DU730" s="286"/>
      <c r="DV730" s="286"/>
      <c r="DW730" s="286"/>
      <c r="DX730" s="286"/>
      <c r="DY730" s="286"/>
      <c r="DZ730" s="286"/>
      <c r="EA730" s="286"/>
      <c r="EB730" s="286"/>
      <c r="EC730" s="286"/>
      <c r="ED730" s="286"/>
      <c r="EE730" s="286"/>
      <c r="EF730" s="286"/>
      <c r="EG730" s="286"/>
      <c r="EH730" s="286"/>
      <c r="EI730" s="286"/>
      <c r="EJ730" s="286"/>
      <c r="EK730" s="286"/>
      <c r="EL730" s="286"/>
      <c r="EM730" s="286"/>
      <c r="EN730" s="286"/>
      <c r="EO730" s="286"/>
      <c r="EP730" s="286"/>
      <c r="EQ730" s="286"/>
      <c r="ER730" s="286"/>
      <c r="ES730" s="286"/>
      <c r="ET730" s="286"/>
      <c r="EU730" s="286"/>
      <c r="EV730" s="286"/>
      <c r="EW730" s="286"/>
      <c r="EX730" s="286"/>
      <c r="EY730" s="286"/>
      <c r="EZ730" s="286"/>
      <c r="FA730" s="286"/>
      <c r="FB730" s="286"/>
      <c r="FC730" s="286"/>
      <c r="FD730" s="286"/>
      <c r="FE730" s="286"/>
      <c r="FF730" s="286"/>
      <c r="FG730" s="286"/>
      <c r="FH730" s="286"/>
      <c r="FI730" s="286"/>
      <c r="FJ730" s="286"/>
      <c r="FK730" s="286"/>
      <c r="FL730" s="286"/>
      <c r="FM730" s="286"/>
      <c r="FN730" s="286"/>
      <c r="FO730" s="286"/>
      <c r="FP730" s="286"/>
      <c r="FQ730" s="286"/>
      <c r="FR730" s="286"/>
      <c r="FS730" s="286"/>
    </row>
    <row r="731" spans="1:175">
      <c r="A731" s="212" t="s">
        <v>3159</v>
      </c>
      <c r="B731" s="212" t="s">
        <v>3160</v>
      </c>
      <c r="C731" s="212" t="s">
        <v>3172</v>
      </c>
      <c r="D731" s="212" t="s">
        <v>3915</v>
      </c>
      <c r="E731" s="212" t="s">
        <v>3920</v>
      </c>
      <c r="F731" s="278">
        <v>1741</v>
      </c>
      <c r="G731" s="278">
        <v>10211</v>
      </c>
      <c r="H731" s="287">
        <f t="shared" si="11"/>
        <v>2.3699931446479288</v>
      </c>
      <c r="I731" s="286">
        <v>42</v>
      </c>
      <c r="J731" s="286">
        <v>242</v>
      </c>
      <c r="K731" s="286">
        <v>112</v>
      </c>
      <c r="L731" s="286">
        <v>130</v>
      </c>
      <c r="M731" s="286">
        <v>210</v>
      </c>
      <c r="N731" s="286">
        <v>93</v>
      </c>
      <c r="O731" s="286">
        <v>117</v>
      </c>
      <c r="P731" s="286">
        <v>42</v>
      </c>
      <c r="Q731" s="286">
        <v>242</v>
      </c>
      <c r="R731" s="286">
        <v>112</v>
      </c>
      <c r="S731" s="286">
        <v>130</v>
      </c>
      <c r="T731" s="286">
        <v>210</v>
      </c>
      <c r="U731" s="286">
        <v>93</v>
      </c>
      <c r="V731" s="286">
        <v>117</v>
      </c>
      <c r="W731" s="286"/>
      <c r="X731" s="286"/>
      <c r="Y731" s="286"/>
      <c r="Z731" s="286"/>
      <c r="AA731" s="286"/>
      <c r="AB731" s="286"/>
      <c r="AC731" s="286"/>
      <c r="AD731" s="286"/>
      <c r="AE731" s="286"/>
      <c r="AF731" s="286"/>
      <c r="AG731" s="286"/>
      <c r="AH731" s="286"/>
      <c r="AI731" s="286"/>
      <c r="AJ731" s="286"/>
      <c r="AK731" s="286"/>
      <c r="AL731" s="286"/>
      <c r="AM731" s="286"/>
      <c r="AN731" s="286"/>
      <c r="AO731" s="286"/>
      <c r="AP731" s="286"/>
      <c r="AQ731" s="286"/>
      <c r="AR731" s="286"/>
      <c r="AS731" s="286"/>
      <c r="AT731" s="286"/>
      <c r="AU731" s="286"/>
      <c r="AV731" s="286"/>
      <c r="AW731" s="286"/>
      <c r="AX731" s="286"/>
      <c r="AY731" s="286"/>
      <c r="AZ731" s="286"/>
      <c r="BA731" s="286"/>
      <c r="BB731" s="286"/>
      <c r="BC731" s="286"/>
      <c r="BD731" s="286"/>
      <c r="BE731" s="286"/>
      <c r="BF731" s="286"/>
      <c r="BG731" s="286"/>
      <c r="BH731" s="286"/>
      <c r="BI731" s="286"/>
      <c r="BJ731" s="286"/>
      <c r="BK731" s="286"/>
      <c r="BL731" s="286"/>
      <c r="BM731" s="286"/>
      <c r="BN731" s="286"/>
      <c r="BO731" s="286"/>
      <c r="BP731" s="286"/>
      <c r="BQ731" s="286"/>
      <c r="BR731" s="286"/>
      <c r="BS731" s="286"/>
      <c r="BT731" s="286"/>
      <c r="BU731" s="286"/>
      <c r="BV731" s="286"/>
      <c r="BW731" s="286"/>
      <c r="BX731" s="286"/>
      <c r="BY731" s="286"/>
      <c r="BZ731" s="286"/>
      <c r="CA731" s="286"/>
      <c r="CB731" s="286"/>
      <c r="CC731" s="286"/>
      <c r="CD731" s="286"/>
      <c r="CE731" s="286"/>
      <c r="CF731" s="286"/>
      <c r="CG731" s="286"/>
      <c r="CH731" s="286"/>
      <c r="CI731" s="286"/>
      <c r="CJ731" s="286"/>
      <c r="CK731" s="286"/>
      <c r="CL731" s="286"/>
      <c r="CM731" s="286"/>
      <c r="CN731" s="286"/>
      <c r="CO731" s="286"/>
      <c r="CP731" s="286"/>
      <c r="CQ731" s="286"/>
      <c r="CR731" s="286"/>
      <c r="CS731" s="286"/>
      <c r="CT731" s="286"/>
      <c r="CU731" s="286"/>
      <c r="CV731" s="286"/>
      <c r="CW731" s="286"/>
      <c r="CX731" s="286"/>
      <c r="CY731" s="286"/>
      <c r="CZ731" s="286"/>
      <c r="DA731" s="286"/>
      <c r="DB731" s="286"/>
      <c r="DC731" s="286"/>
      <c r="DD731" s="286"/>
      <c r="DE731" s="286"/>
      <c r="DF731" s="286"/>
      <c r="DG731" s="286"/>
      <c r="DH731" s="286"/>
      <c r="DI731" s="286"/>
      <c r="DJ731" s="286"/>
      <c r="DK731" s="286"/>
      <c r="DL731" s="286"/>
      <c r="DM731" s="286"/>
      <c r="DN731" s="286"/>
      <c r="DO731" s="286"/>
      <c r="DP731" s="286"/>
      <c r="DQ731" s="286"/>
      <c r="DR731" s="286"/>
      <c r="DS731" s="286"/>
      <c r="DT731" s="286"/>
      <c r="DU731" s="286"/>
      <c r="DV731" s="286"/>
      <c r="DW731" s="286"/>
      <c r="DX731" s="286"/>
      <c r="DY731" s="286"/>
      <c r="DZ731" s="286"/>
      <c r="EA731" s="286"/>
      <c r="EB731" s="286"/>
      <c r="EC731" s="286"/>
      <c r="ED731" s="286"/>
      <c r="EE731" s="286"/>
      <c r="EF731" s="286"/>
      <c r="EG731" s="286"/>
      <c r="EH731" s="286"/>
      <c r="EI731" s="286"/>
      <c r="EJ731" s="286"/>
      <c r="EK731" s="286"/>
      <c r="EL731" s="286"/>
      <c r="EM731" s="286"/>
      <c r="EN731" s="286"/>
      <c r="EO731" s="286"/>
      <c r="EP731" s="286"/>
      <c r="EQ731" s="286"/>
      <c r="ER731" s="286"/>
      <c r="ES731" s="286"/>
      <c r="ET731" s="286"/>
      <c r="EU731" s="286"/>
      <c r="EV731" s="286"/>
      <c r="EW731" s="286"/>
      <c r="EX731" s="286"/>
      <c r="EY731" s="286"/>
      <c r="EZ731" s="286"/>
      <c r="FA731" s="286"/>
      <c r="FB731" s="286"/>
      <c r="FC731" s="286"/>
      <c r="FD731" s="286"/>
      <c r="FE731" s="286"/>
      <c r="FF731" s="286"/>
      <c r="FG731" s="286"/>
      <c r="FH731" s="286"/>
      <c r="FI731" s="286"/>
      <c r="FJ731" s="286"/>
      <c r="FK731" s="286"/>
      <c r="FL731" s="286"/>
      <c r="FM731" s="286"/>
      <c r="FN731" s="286"/>
      <c r="FO731" s="286"/>
      <c r="FP731" s="286"/>
      <c r="FQ731" s="286"/>
      <c r="FR731" s="286"/>
      <c r="FS731" s="286"/>
    </row>
    <row r="732" spans="1:175">
      <c r="A732" s="212" t="s">
        <v>3159</v>
      </c>
      <c r="B732" s="212" t="s">
        <v>3160</v>
      </c>
      <c r="C732" s="212" t="s">
        <v>3172</v>
      </c>
      <c r="D732" s="212" t="s">
        <v>3915</v>
      </c>
      <c r="E732" s="212" t="s">
        <v>3921</v>
      </c>
      <c r="F732" s="278">
        <v>1741</v>
      </c>
      <c r="G732" s="278">
        <v>6782</v>
      </c>
      <c r="H732" s="287">
        <f t="shared" si="11"/>
        <v>3.0227071660277205</v>
      </c>
      <c r="I732" s="286">
        <v>69</v>
      </c>
      <c r="J732" s="286">
        <v>205</v>
      </c>
      <c r="K732" s="286">
        <v>133</v>
      </c>
      <c r="L732" s="286">
        <v>72</v>
      </c>
      <c r="M732" s="286">
        <v>185</v>
      </c>
      <c r="N732" s="286">
        <v>121</v>
      </c>
      <c r="O732" s="286">
        <v>64</v>
      </c>
      <c r="P732" s="286">
        <v>69</v>
      </c>
      <c r="Q732" s="286">
        <v>205</v>
      </c>
      <c r="R732" s="286">
        <v>133</v>
      </c>
      <c r="S732" s="286">
        <v>72</v>
      </c>
      <c r="T732" s="286">
        <v>185</v>
      </c>
      <c r="U732" s="286">
        <v>121</v>
      </c>
      <c r="V732" s="286">
        <v>64</v>
      </c>
      <c r="W732" s="286"/>
      <c r="X732" s="286"/>
      <c r="Y732" s="286"/>
      <c r="Z732" s="286"/>
      <c r="AA732" s="286"/>
      <c r="AB732" s="286"/>
      <c r="AC732" s="286"/>
      <c r="AD732" s="286"/>
      <c r="AE732" s="286"/>
      <c r="AF732" s="286"/>
      <c r="AG732" s="286"/>
      <c r="AH732" s="286"/>
      <c r="AI732" s="286"/>
      <c r="AJ732" s="286"/>
      <c r="AK732" s="286"/>
      <c r="AL732" s="286"/>
      <c r="AM732" s="286"/>
      <c r="AN732" s="286"/>
      <c r="AO732" s="286"/>
      <c r="AP732" s="286"/>
      <c r="AQ732" s="286"/>
      <c r="AR732" s="286"/>
      <c r="AS732" s="286"/>
      <c r="AT732" s="286"/>
      <c r="AU732" s="286"/>
      <c r="AV732" s="286"/>
      <c r="AW732" s="286"/>
      <c r="AX732" s="286"/>
      <c r="AY732" s="286"/>
      <c r="AZ732" s="286"/>
      <c r="BA732" s="286"/>
      <c r="BB732" s="286"/>
      <c r="BC732" s="286"/>
      <c r="BD732" s="286"/>
      <c r="BE732" s="286"/>
      <c r="BF732" s="286"/>
      <c r="BG732" s="286"/>
      <c r="BH732" s="286"/>
      <c r="BI732" s="286"/>
      <c r="BJ732" s="286"/>
      <c r="BK732" s="286"/>
      <c r="BL732" s="286"/>
      <c r="BM732" s="286"/>
      <c r="BN732" s="286"/>
      <c r="BO732" s="286"/>
      <c r="BP732" s="286"/>
      <c r="BQ732" s="286"/>
      <c r="BR732" s="286"/>
      <c r="BS732" s="286"/>
      <c r="BT732" s="286"/>
      <c r="BU732" s="286"/>
      <c r="BV732" s="286"/>
      <c r="BW732" s="286"/>
      <c r="BX732" s="286"/>
      <c r="BY732" s="286"/>
      <c r="BZ732" s="286"/>
      <c r="CA732" s="286"/>
      <c r="CB732" s="286"/>
      <c r="CC732" s="286"/>
      <c r="CD732" s="286"/>
      <c r="CE732" s="286"/>
      <c r="CF732" s="286"/>
      <c r="CG732" s="286"/>
      <c r="CH732" s="286"/>
      <c r="CI732" s="286"/>
      <c r="CJ732" s="286"/>
      <c r="CK732" s="286"/>
      <c r="CL732" s="286"/>
      <c r="CM732" s="286"/>
      <c r="CN732" s="286"/>
      <c r="CO732" s="286"/>
      <c r="CP732" s="286"/>
      <c r="CQ732" s="286"/>
      <c r="CR732" s="286"/>
      <c r="CS732" s="286"/>
      <c r="CT732" s="286"/>
      <c r="CU732" s="286"/>
      <c r="CV732" s="286"/>
      <c r="CW732" s="286"/>
      <c r="CX732" s="286"/>
      <c r="CY732" s="286"/>
      <c r="CZ732" s="286"/>
      <c r="DA732" s="286"/>
      <c r="DB732" s="286"/>
      <c r="DC732" s="286"/>
      <c r="DD732" s="286"/>
      <c r="DE732" s="286"/>
      <c r="DF732" s="286"/>
      <c r="DG732" s="286"/>
      <c r="DH732" s="286"/>
      <c r="DI732" s="286"/>
      <c r="DJ732" s="286"/>
      <c r="DK732" s="286"/>
      <c r="DL732" s="286"/>
      <c r="DM732" s="286"/>
      <c r="DN732" s="286"/>
      <c r="DO732" s="286"/>
      <c r="DP732" s="286"/>
      <c r="DQ732" s="286"/>
      <c r="DR732" s="286"/>
      <c r="DS732" s="286"/>
      <c r="DT732" s="286"/>
      <c r="DU732" s="286"/>
      <c r="DV732" s="286"/>
      <c r="DW732" s="286"/>
      <c r="DX732" s="286"/>
      <c r="DY732" s="286"/>
      <c r="DZ732" s="286"/>
      <c r="EA732" s="286"/>
      <c r="EB732" s="286"/>
      <c r="EC732" s="286"/>
      <c r="ED732" s="286"/>
      <c r="EE732" s="286"/>
      <c r="EF732" s="286"/>
      <c r="EG732" s="286"/>
      <c r="EH732" s="286"/>
      <c r="EI732" s="286"/>
      <c r="EJ732" s="286"/>
      <c r="EK732" s="286"/>
      <c r="EL732" s="286"/>
      <c r="EM732" s="286"/>
      <c r="EN732" s="286"/>
      <c r="EO732" s="286"/>
      <c r="EP732" s="286"/>
      <c r="EQ732" s="286"/>
      <c r="ER732" s="286"/>
      <c r="ES732" s="286"/>
      <c r="ET732" s="286"/>
      <c r="EU732" s="286"/>
      <c r="EV732" s="286"/>
      <c r="EW732" s="286"/>
      <c r="EX732" s="286"/>
      <c r="EY732" s="286"/>
      <c r="EZ732" s="286"/>
      <c r="FA732" s="286"/>
      <c r="FB732" s="286"/>
      <c r="FC732" s="286"/>
      <c r="FD732" s="286"/>
      <c r="FE732" s="286"/>
      <c r="FF732" s="286"/>
      <c r="FG732" s="286"/>
      <c r="FH732" s="286"/>
      <c r="FI732" s="286"/>
      <c r="FJ732" s="286"/>
      <c r="FK732" s="286"/>
      <c r="FL732" s="286"/>
      <c r="FM732" s="286"/>
      <c r="FN732" s="286"/>
      <c r="FO732" s="286"/>
      <c r="FP732" s="286"/>
      <c r="FQ732" s="286"/>
      <c r="FR732" s="286"/>
      <c r="FS732" s="286"/>
    </row>
    <row r="733" spans="1:175">
      <c r="A733" s="212" t="s">
        <v>3159</v>
      </c>
      <c r="B733" s="212" t="s">
        <v>3160</v>
      </c>
      <c r="C733" s="212" t="s">
        <v>3172</v>
      </c>
      <c r="D733" s="212" t="s">
        <v>3915</v>
      </c>
      <c r="E733" s="212" t="s">
        <v>3922</v>
      </c>
      <c r="F733" s="278">
        <v>24536</v>
      </c>
      <c r="G733" s="278">
        <v>125111</v>
      </c>
      <c r="H733" s="287">
        <f t="shared" si="11"/>
        <v>3.3746033522232257</v>
      </c>
      <c r="I733" s="286">
        <v>911</v>
      </c>
      <c r="J733" s="286">
        <v>4222</v>
      </c>
      <c r="K733" s="286">
        <v>2085</v>
      </c>
      <c r="L733" s="286">
        <v>2136</v>
      </c>
      <c r="M733" s="286">
        <v>3367</v>
      </c>
      <c r="N733" s="286">
        <v>1506</v>
      </c>
      <c r="O733" s="286">
        <v>1860</v>
      </c>
      <c r="P733" s="286">
        <v>911</v>
      </c>
      <c r="Q733" s="286">
        <v>4222</v>
      </c>
      <c r="R733" s="286">
        <v>2085</v>
      </c>
      <c r="S733" s="286">
        <v>2136</v>
      </c>
      <c r="T733" s="286">
        <v>3367</v>
      </c>
      <c r="U733" s="286">
        <v>1506</v>
      </c>
      <c r="V733" s="286">
        <v>1860</v>
      </c>
      <c r="W733" s="286"/>
      <c r="X733" s="286"/>
      <c r="Y733" s="286"/>
      <c r="Z733" s="286"/>
      <c r="AA733" s="286"/>
      <c r="AB733" s="286"/>
      <c r="AC733" s="286"/>
      <c r="AD733" s="286"/>
      <c r="AE733" s="286"/>
      <c r="AF733" s="286"/>
      <c r="AG733" s="286"/>
      <c r="AH733" s="286"/>
      <c r="AI733" s="286"/>
      <c r="AJ733" s="286"/>
      <c r="AK733" s="286"/>
      <c r="AL733" s="286"/>
      <c r="AM733" s="286"/>
      <c r="AN733" s="286"/>
      <c r="AO733" s="286"/>
      <c r="AP733" s="286"/>
      <c r="AQ733" s="286"/>
      <c r="AR733" s="286"/>
      <c r="AS733" s="286"/>
      <c r="AT733" s="286"/>
      <c r="AU733" s="286"/>
      <c r="AV733" s="286"/>
      <c r="AW733" s="286"/>
      <c r="AX733" s="286"/>
      <c r="AY733" s="286"/>
      <c r="AZ733" s="286"/>
      <c r="BA733" s="286"/>
      <c r="BB733" s="286"/>
      <c r="BC733" s="286"/>
      <c r="BD733" s="286"/>
      <c r="BE733" s="286"/>
      <c r="BF733" s="286"/>
      <c r="BG733" s="286"/>
      <c r="BH733" s="286"/>
      <c r="BI733" s="286"/>
      <c r="BJ733" s="286"/>
      <c r="BK733" s="286"/>
      <c r="BL733" s="286"/>
      <c r="BM733" s="286"/>
      <c r="BN733" s="286"/>
      <c r="BO733" s="286"/>
      <c r="BP733" s="286"/>
      <c r="BQ733" s="286"/>
      <c r="BR733" s="286"/>
      <c r="BS733" s="286"/>
      <c r="BT733" s="286"/>
      <c r="BU733" s="286"/>
      <c r="BV733" s="286"/>
      <c r="BW733" s="286"/>
      <c r="BX733" s="286"/>
      <c r="BY733" s="286"/>
      <c r="BZ733" s="286"/>
      <c r="CA733" s="286"/>
      <c r="CB733" s="286"/>
      <c r="CC733" s="286"/>
      <c r="CD733" s="286"/>
      <c r="CE733" s="286"/>
      <c r="CF733" s="286"/>
      <c r="CG733" s="286"/>
      <c r="CH733" s="286"/>
      <c r="CI733" s="286"/>
      <c r="CJ733" s="286"/>
      <c r="CK733" s="286"/>
      <c r="CL733" s="286"/>
      <c r="CM733" s="286"/>
      <c r="CN733" s="286"/>
      <c r="CO733" s="286"/>
      <c r="CP733" s="286"/>
      <c r="CQ733" s="286"/>
      <c r="CR733" s="286"/>
      <c r="CS733" s="286"/>
      <c r="CT733" s="286"/>
      <c r="CU733" s="286"/>
      <c r="CV733" s="286"/>
      <c r="CW733" s="286"/>
      <c r="CX733" s="286"/>
      <c r="CY733" s="286"/>
      <c r="CZ733" s="286"/>
      <c r="DA733" s="286"/>
      <c r="DB733" s="286"/>
      <c r="DC733" s="286"/>
      <c r="DD733" s="286"/>
      <c r="DE733" s="286"/>
      <c r="DF733" s="286"/>
      <c r="DG733" s="286"/>
      <c r="DH733" s="286"/>
      <c r="DI733" s="286"/>
      <c r="DJ733" s="286"/>
      <c r="DK733" s="286"/>
      <c r="DL733" s="286"/>
      <c r="DM733" s="286"/>
      <c r="DN733" s="286"/>
      <c r="DO733" s="286"/>
      <c r="DP733" s="286"/>
      <c r="DQ733" s="286"/>
      <c r="DR733" s="286"/>
      <c r="DS733" s="286"/>
      <c r="DT733" s="286"/>
      <c r="DU733" s="286"/>
      <c r="DV733" s="286"/>
      <c r="DW733" s="286"/>
      <c r="DX733" s="286"/>
      <c r="DY733" s="286"/>
      <c r="DZ733" s="286"/>
      <c r="EA733" s="286"/>
      <c r="EB733" s="286"/>
      <c r="EC733" s="286"/>
      <c r="ED733" s="286"/>
      <c r="EE733" s="286"/>
      <c r="EF733" s="286"/>
      <c r="EG733" s="286"/>
      <c r="EH733" s="286"/>
      <c r="EI733" s="286"/>
      <c r="EJ733" s="286"/>
      <c r="EK733" s="286"/>
      <c r="EL733" s="286"/>
      <c r="EM733" s="286"/>
      <c r="EN733" s="286"/>
      <c r="EO733" s="286"/>
      <c r="EP733" s="286"/>
      <c r="EQ733" s="286"/>
      <c r="ER733" s="286"/>
      <c r="ES733" s="286"/>
      <c r="ET733" s="286"/>
      <c r="EU733" s="286"/>
      <c r="EV733" s="286"/>
      <c r="EW733" s="286"/>
      <c r="EX733" s="286"/>
      <c r="EY733" s="286"/>
      <c r="EZ733" s="286"/>
      <c r="FA733" s="286"/>
      <c r="FB733" s="286"/>
      <c r="FC733" s="286"/>
      <c r="FD733" s="286"/>
      <c r="FE733" s="286"/>
      <c r="FF733" s="286"/>
      <c r="FG733" s="286"/>
      <c r="FH733" s="286"/>
      <c r="FI733" s="286"/>
      <c r="FJ733" s="286"/>
      <c r="FK733" s="286"/>
      <c r="FL733" s="286"/>
      <c r="FM733" s="286"/>
      <c r="FN733" s="286"/>
      <c r="FO733" s="286"/>
      <c r="FP733" s="286"/>
      <c r="FQ733" s="286"/>
      <c r="FR733" s="286"/>
      <c r="FS733" s="286"/>
    </row>
    <row r="734" spans="1:175">
      <c r="A734" s="212" t="s">
        <v>3159</v>
      </c>
      <c r="B734" s="212" t="s">
        <v>3160</v>
      </c>
      <c r="C734" s="212" t="s">
        <v>3170</v>
      </c>
      <c r="D734" s="212" t="s">
        <v>3915</v>
      </c>
      <c r="E734" s="212" t="s">
        <v>3923</v>
      </c>
      <c r="F734" s="278">
        <v>95958</v>
      </c>
      <c r="G734" s="278">
        <v>256179</v>
      </c>
      <c r="H734" s="287">
        <f t="shared" si="11"/>
        <v>4.6170841481932552</v>
      </c>
      <c r="I734" s="286">
        <v>4963</v>
      </c>
      <c r="J734" s="286">
        <v>11828</v>
      </c>
      <c r="K734" s="286">
        <v>7067</v>
      </c>
      <c r="L734" s="286">
        <v>4749</v>
      </c>
      <c r="M734" s="286">
        <v>6673</v>
      </c>
      <c r="N734" s="286">
        <v>3085</v>
      </c>
      <c r="O734" s="286">
        <v>3580</v>
      </c>
      <c r="P734" s="286">
        <v>4963</v>
      </c>
      <c r="Q734" s="286">
        <v>11828</v>
      </c>
      <c r="R734" s="286">
        <v>7067</v>
      </c>
      <c r="S734" s="286">
        <v>4749</v>
      </c>
      <c r="T734" s="286">
        <v>6673</v>
      </c>
      <c r="U734" s="286">
        <v>3085</v>
      </c>
      <c r="V734" s="286">
        <v>3580</v>
      </c>
      <c r="W734" s="286"/>
      <c r="X734" s="286"/>
      <c r="Y734" s="286"/>
      <c r="Z734" s="286"/>
      <c r="AA734" s="286"/>
      <c r="AB734" s="286"/>
      <c r="AC734" s="286"/>
      <c r="AD734" s="286"/>
      <c r="AE734" s="286"/>
      <c r="AF734" s="286"/>
      <c r="AG734" s="286"/>
      <c r="AH734" s="286"/>
      <c r="AI734" s="286"/>
      <c r="AJ734" s="286"/>
      <c r="AK734" s="286"/>
      <c r="AL734" s="286"/>
      <c r="AM734" s="286"/>
      <c r="AN734" s="286"/>
      <c r="AO734" s="286"/>
      <c r="AP734" s="286"/>
      <c r="AQ734" s="286"/>
      <c r="AR734" s="286"/>
      <c r="AS734" s="286"/>
      <c r="AT734" s="286"/>
      <c r="AU734" s="286"/>
      <c r="AV734" s="286"/>
      <c r="AW734" s="286"/>
      <c r="AX734" s="286"/>
      <c r="AY734" s="286"/>
      <c r="AZ734" s="286"/>
      <c r="BA734" s="286"/>
      <c r="BB734" s="286"/>
      <c r="BC734" s="286"/>
      <c r="BD734" s="286"/>
      <c r="BE734" s="286"/>
      <c r="BF734" s="286"/>
      <c r="BG734" s="286"/>
      <c r="BH734" s="286"/>
      <c r="BI734" s="286"/>
      <c r="BJ734" s="286"/>
      <c r="BK734" s="286"/>
      <c r="BL734" s="286"/>
      <c r="BM734" s="286"/>
      <c r="BN734" s="286"/>
      <c r="BO734" s="286"/>
      <c r="BP734" s="286"/>
      <c r="BQ734" s="286"/>
      <c r="BR734" s="286"/>
      <c r="BS734" s="286"/>
      <c r="BT734" s="286"/>
      <c r="BU734" s="286"/>
      <c r="BV734" s="286"/>
      <c r="BW734" s="286"/>
      <c r="BX734" s="286"/>
      <c r="BY734" s="286"/>
      <c r="BZ734" s="286"/>
      <c r="CA734" s="286"/>
      <c r="CB734" s="286"/>
      <c r="CC734" s="286"/>
      <c r="CD734" s="286"/>
      <c r="CE734" s="286"/>
      <c r="CF734" s="286"/>
      <c r="CG734" s="286"/>
      <c r="CH734" s="286"/>
      <c r="CI734" s="286"/>
      <c r="CJ734" s="286"/>
      <c r="CK734" s="286"/>
      <c r="CL734" s="286"/>
      <c r="CM734" s="286"/>
      <c r="CN734" s="286"/>
      <c r="CO734" s="286"/>
      <c r="CP734" s="286"/>
      <c r="CQ734" s="286"/>
      <c r="CR734" s="286"/>
      <c r="CS734" s="286"/>
      <c r="CT734" s="286"/>
      <c r="CU734" s="286"/>
      <c r="CV734" s="286"/>
      <c r="CW734" s="286"/>
      <c r="CX734" s="286"/>
      <c r="CY734" s="286"/>
      <c r="CZ734" s="286"/>
      <c r="DA734" s="286"/>
      <c r="DB734" s="286"/>
      <c r="DC734" s="286"/>
      <c r="DD734" s="286"/>
      <c r="DE734" s="286"/>
      <c r="DF734" s="286"/>
      <c r="DG734" s="286"/>
      <c r="DH734" s="286"/>
      <c r="DI734" s="286"/>
      <c r="DJ734" s="286"/>
      <c r="DK734" s="286"/>
      <c r="DL734" s="286"/>
      <c r="DM734" s="286"/>
      <c r="DN734" s="286"/>
      <c r="DO734" s="286"/>
      <c r="DP734" s="286"/>
      <c r="DQ734" s="286"/>
      <c r="DR734" s="286"/>
      <c r="DS734" s="286"/>
      <c r="DT734" s="286"/>
      <c r="DU734" s="286"/>
      <c r="DV734" s="286"/>
      <c r="DW734" s="286"/>
      <c r="DX734" s="286"/>
      <c r="DY734" s="286"/>
      <c r="DZ734" s="286"/>
      <c r="EA734" s="286"/>
      <c r="EB734" s="286"/>
      <c r="EC734" s="286"/>
      <c r="ED734" s="286"/>
      <c r="EE734" s="286"/>
      <c r="EF734" s="286"/>
      <c r="EG734" s="286"/>
      <c r="EH734" s="286"/>
      <c r="EI734" s="286"/>
      <c r="EJ734" s="286"/>
      <c r="EK734" s="286"/>
      <c r="EL734" s="286"/>
      <c r="EM734" s="286"/>
      <c r="EN734" s="286"/>
      <c r="EO734" s="286"/>
      <c r="EP734" s="286"/>
      <c r="EQ734" s="286"/>
      <c r="ER734" s="286"/>
      <c r="ES734" s="286"/>
      <c r="ET734" s="286"/>
      <c r="EU734" s="286"/>
      <c r="EV734" s="286"/>
      <c r="EW734" s="286"/>
      <c r="EX734" s="286"/>
      <c r="EY734" s="286"/>
      <c r="EZ734" s="286"/>
      <c r="FA734" s="286"/>
      <c r="FB734" s="286"/>
      <c r="FC734" s="286"/>
      <c r="FD734" s="286"/>
      <c r="FE734" s="286"/>
      <c r="FF734" s="286"/>
      <c r="FG734" s="286"/>
      <c r="FH734" s="286"/>
      <c r="FI734" s="286"/>
      <c r="FJ734" s="286"/>
      <c r="FK734" s="286"/>
      <c r="FL734" s="286"/>
      <c r="FM734" s="286"/>
      <c r="FN734" s="286"/>
      <c r="FO734" s="286"/>
      <c r="FP734" s="286"/>
      <c r="FQ734" s="286"/>
      <c r="FR734" s="286"/>
      <c r="FS734" s="286"/>
    </row>
    <row r="735" spans="1:175">
      <c r="A735" s="212" t="s">
        <v>3159</v>
      </c>
      <c r="B735" s="212" t="s">
        <v>3160</v>
      </c>
      <c r="C735" s="212" t="s">
        <v>3172</v>
      </c>
      <c r="D735" s="212" t="s">
        <v>3915</v>
      </c>
      <c r="E735" s="212" t="s">
        <v>3924</v>
      </c>
      <c r="F735" s="278">
        <v>14187</v>
      </c>
      <c r="G735" s="278">
        <v>43542</v>
      </c>
      <c r="H735" s="287">
        <f t="shared" si="11"/>
        <v>4.1637958752468878</v>
      </c>
      <c r="I735" s="286">
        <v>682</v>
      </c>
      <c r="J735" s="286">
        <v>1813</v>
      </c>
      <c r="K735" s="286">
        <v>1101</v>
      </c>
      <c r="L735" s="286">
        <v>709</v>
      </c>
      <c r="M735" s="286">
        <v>1020</v>
      </c>
      <c r="N735" s="286">
        <v>505</v>
      </c>
      <c r="O735" s="286">
        <v>515</v>
      </c>
      <c r="P735" s="286">
        <v>682</v>
      </c>
      <c r="Q735" s="286">
        <v>1813</v>
      </c>
      <c r="R735" s="286">
        <v>1101</v>
      </c>
      <c r="S735" s="286">
        <v>709</v>
      </c>
      <c r="T735" s="286">
        <v>1020</v>
      </c>
      <c r="U735" s="286">
        <v>505</v>
      </c>
      <c r="V735" s="286">
        <v>515</v>
      </c>
      <c r="W735" s="286"/>
      <c r="X735" s="286"/>
      <c r="Y735" s="286"/>
      <c r="Z735" s="286"/>
      <c r="AA735" s="286"/>
      <c r="AB735" s="286"/>
      <c r="AC735" s="286"/>
      <c r="AD735" s="286"/>
      <c r="AE735" s="286"/>
      <c r="AF735" s="286"/>
      <c r="AG735" s="286"/>
      <c r="AH735" s="286"/>
      <c r="AI735" s="286"/>
      <c r="AJ735" s="286"/>
      <c r="AK735" s="286"/>
      <c r="AL735" s="286"/>
      <c r="AM735" s="286"/>
      <c r="AN735" s="286"/>
      <c r="AO735" s="286"/>
      <c r="AP735" s="286"/>
      <c r="AQ735" s="286"/>
      <c r="AR735" s="286"/>
      <c r="AS735" s="286"/>
      <c r="AT735" s="286"/>
      <c r="AU735" s="286"/>
      <c r="AV735" s="286"/>
      <c r="AW735" s="286"/>
      <c r="AX735" s="286"/>
      <c r="AY735" s="286"/>
      <c r="AZ735" s="286"/>
      <c r="BA735" s="286"/>
      <c r="BB735" s="286"/>
      <c r="BC735" s="286"/>
      <c r="BD735" s="286"/>
      <c r="BE735" s="286"/>
      <c r="BF735" s="286"/>
      <c r="BG735" s="286"/>
      <c r="BH735" s="286"/>
      <c r="BI735" s="286"/>
      <c r="BJ735" s="286"/>
      <c r="BK735" s="286"/>
      <c r="BL735" s="286"/>
      <c r="BM735" s="286"/>
      <c r="BN735" s="286"/>
      <c r="BO735" s="286"/>
      <c r="BP735" s="286"/>
      <c r="BQ735" s="286"/>
      <c r="BR735" s="286"/>
      <c r="BS735" s="286"/>
      <c r="BT735" s="286"/>
      <c r="BU735" s="286"/>
      <c r="BV735" s="286"/>
      <c r="BW735" s="286"/>
      <c r="BX735" s="286"/>
      <c r="BY735" s="286"/>
      <c r="BZ735" s="286"/>
      <c r="CA735" s="286"/>
      <c r="CB735" s="286"/>
      <c r="CC735" s="286"/>
      <c r="CD735" s="286"/>
      <c r="CE735" s="286"/>
      <c r="CF735" s="286"/>
      <c r="CG735" s="286"/>
      <c r="CH735" s="286"/>
      <c r="CI735" s="286"/>
      <c r="CJ735" s="286"/>
      <c r="CK735" s="286"/>
      <c r="CL735" s="286"/>
      <c r="CM735" s="286"/>
      <c r="CN735" s="286"/>
      <c r="CO735" s="286"/>
      <c r="CP735" s="286"/>
      <c r="CQ735" s="286"/>
      <c r="CR735" s="286"/>
      <c r="CS735" s="286"/>
      <c r="CT735" s="286"/>
      <c r="CU735" s="286"/>
      <c r="CV735" s="286"/>
      <c r="CW735" s="286"/>
      <c r="CX735" s="286"/>
      <c r="CY735" s="286"/>
      <c r="CZ735" s="286"/>
      <c r="DA735" s="286"/>
      <c r="DB735" s="286"/>
      <c r="DC735" s="286"/>
      <c r="DD735" s="286"/>
      <c r="DE735" s="286"/>
      <c r="DF735" s="286"/>
      <c r="DG735" s="286"/>
      <c r="DH735" s="286"/>
      <c r="DI735" s="286"/>
      <c r="DJ735" s="286"/>
      <c r="DK735" s="286"/>
      <c r="DL735" s="286"/>
      <c r="DM735" s="286"/>
      <c r="DN735" s="286"/>
      <c r="DO735" s="286"/>
      <c r="DP735" s="286"/>
      <c r="DQ735" s="286"/>
      <c r="DR735" s="286"/>
      <c r="DS735" s="286"/>
      <c r="DT735" s="286"/>
      <c r="DU735" s="286"/>
      <c r="DV735" s="286"/>
      <c r="DW735" s="286"/>
      <c r="DX735" s="286"/>
      <c r="DY735" s="286"/>
      <c r="DZ735" s="286"/>
      <c r="EA735" s="286"/>
      <c r="EB735" s="286"/>
      <c r="EC735" s="286"/>
      <c r="ED735" s="286"/>
      <c r="EE735" s="286"/>
      <c r="EF735" s="286"/>
      <c r="EG735" s="286"/>
      <c r="EH735" s="286"/>
      <c r="EI735" s="286"/>
      <c r="EJ735" s="286"/>
      <c r="EK735" s="286"/>
      <c r="EL735" s="286"/>
      <c r="EM735" s="286"/>
      <c r="EN735" s="286"/>
      <c r="EO735" s="286"/>
      <c r="EP735" s="286"/>
      <c r="EQ735" s="286"/>
      <c r="ER735" s="286"/>
      <c r="ES735" s="286"/>
      <c r="ET735" s="286"/>
      <c r="EU735" s="286"/>
      <c r="EV735" s="286"/>
      <c r="EW735" s="286"/>
      <c r="EX735" s="286"/>
      <c r="EY735" s="286"/>
      <c r="EZ735" s="286"/>
      <c r="FA735" s="286"/>
      <c r="FB735" s="286"/>
      <c r="FC735" s="286"/>
      <c r="FD735" s="286"/>
      <c r="FE735" s="286"/>
      <c r="FF735" s="286"/>
      <c r="FG735" s="286"/>
      <c r="FH735" s="286"/>
      <c r="FI735" s="286"/>
      <c r="FJ735" s="286"/>
      <c r="FK735" s="286"/>
      <c r="FL735" s="286"/>
      <c r="FM735" s="286"/>
      <c r="FN735" s="286"/>
      <c r="FO735" s="286"/>
      <c r="FP735" s="286"/>
      <c r="FQ735" s="286"/>
      <c r="FR735" s="286"/>
      <c r="FS735" s="286"/>
    </row>
    <row r="736" spans="1:175">
      <c r="A736" s="212" t="s">
        <v>3159</v>
      </c>
      <c r="B736" s="212" t="s">
        <v>3160</v>
      </c>
      <c r="C736" s="212" t="s">
        <v>3172</v>
      </c>
      <c r="D736" s="212" t="s">
        <v>3915</v>
      </c>
      <c r="E736" s="212" t="s">
        <v>3925</v>
      </c>
      <c r="F736" s="278">
        <v>61064</v>
      </c>
      <c r="G736" s="278">
        <v>161549</v>
      </c>
      <c r="H736" s="287">
        <f t="shared" si="11"/>
        <v>4.1764418226049065</v>
      </c>
      <c r="I736" s="286">
        <v>2787</v>
      </c>
      <c r="J736" s="286">
        <v>6747</v>
      </c>
      <c r="K736" s="286">
        <v>4095</v>
      </c>
      <c r="L736" s="286">
        <v>2651</v>
      </c>
      <c r="M736" s="286">
        <v>3623</v>
      </c>
      <c r="N736" s="286">
        <v>1619</v>
      </c>
      <c r="O736" s="286">
        <v>2004</v>
      </c>
      <c r="P736" s="286">
        <v>2787</v>
      </c>
      <c r="Q736" s="286">
        <v>6747</v>
      </c>
      <c r="R736" s="286">
        <v>4095</v>
      </c>
      <c r="S736" s="286">
        <v>2651</v>
      </c>
      <c r="T736" s="286">
        <v>3623</v>
      </c>
      <c r="U736" s="286">
        <v>1619</v>
      </c>
      <c r="V736" s="286">
        <v>2004</v>
      </c>
      <c r="W736" s="286"/>
      <c r="X736" s="286"/>
      <c r="Y736" s="286"/>
      <c r="Z736" s="286"/>
      <c r="AA736" s="286"/>
      <c r="AB736" s="286"/>
      <c r="AC736" s="286"/>
      <c r="AD736" s="286"/>
      <c r="AE736" s="286"/>
      <c r="AF736" s="286"/>
      <c r="AG736" s="286"/>
      <c r="AH736" s="286"/>
      <c r="AI736" s="286"/>
      <c r="AJ736" s="286"/>
      <c r="AK736" s="286"/>
      <c r="AL736" s="286"/>
      <c r="AM736" s="286"/>
      <c r="AN736" s="286"/>
      <c r="AO736" s="286"/>
      <c r="AP736" s="286"/>
      <c r="AQ736" s="286"/>
      <c r="AR736" s="286"/>
      <c r="AS736" s="286"/>
      <c r="AT736" s="286"/>
      <c r="AU736" s="286"/>
      <c r="AV736" s="286"/>
      <c r="AW736" s="286"/>
      <c r="AX736" s="286"/>
      <c r="AY736" s="286"/>
      <c r="AZ736" s="286"/>
      <c r="BA736" s="286"/>
      <c r="BB736" s="286"/>
      <c r="BC736" s="286"/>
      <c r="BD736" s="286"/>
      <c r="BE736" s="286"/>
      <c r="BF736" s="286"/>
      <c r="BG736" s="286"/>
      <c r="BH736" s="286"/>
      <c r="BI736" s="286"/>
      <c r="BJ736" s="286"/>
      <c r="BK736" s="286"/>
      <c r="BL736" s="286"/>
      <c r="BM736" s="286"/>
      <c r="BN736" s="286"/>
      <c r="BO736" s="286"/>
      <c r="BP736" s="286"/>
      <c r="BQ736" s="286"/>
      <c r="BR736" s="286"/>
      <c r="BS736" s="286"/>
      <c r="BT736" s="286"/>
      <c r="BU736" s="286"/>
      <c r="BV736" s="286"/>
      <c r="BW736" s="286"/>
      <c r="BX736" s="286"/>
      <c r="BY736" s="286"/>
      <c r="BZ736" s="286"/>
      <c r="CA736" s="286"/>
      <c r="CB736" s="286"/>
      <c r="CC736" s="286"/>
      <c r="CD736" s="286"/>
      <c r="CE736" s="286"/>
      <c r="CF736" s="286"/>
      <c r="CG736" s="286"/>
      <c r="CH736" s="286"/>
      <c r="CI736" s="286"/>
      <c r="CJ736" s="286"/>
      <c r="CK736" s="286"/>
      <c r="CL736" s="286"/>
      <c r="CM736" s="286"/>
      <c r="CN736" s="286"/>
      <c r="CO736" s="286"/>
      <c r="CP736" s="286"/>
      <c r="CQ736" s="286"/>
      <c r="CR736" s="286"/>
      <c r="CS736" s="286"/>
      <c r="CT736" s="286"/>
      <c r="CU736" s="286"/>
      <c r="CV736" s="286"/>
      <c r="CW736" s="286"/>
      <c r="CX736" s="286"/>
      <c r="CY736" s="286"/>
      <c r="CZ736" s="286"/>
      <c r="DA736" s="286"/>
      <c r="DB736" s="286"/>
      <c r="DC736" s="286"/>
      <c r="DD736" s="286"/>
      <c r="DE736" s="286"/>
      <c r="DF736" s="286"/>
      <c r="DG736" s="286"/>
      <c r="DH736" s="286"/>
      <c r="DI736" s="286"/>
      <c r="DJ736" s="286"/>
      <c r="DK736" s="286"/>
      <c r="DL736" s="286"/>
      <c r="DM736" s="286"/>
      <c r="DN736" s="286"/>
      <c r="DO736" s="286"/>
      <c r="DP736" s="286"/>
      <c r="DQ736" s="286"/>
      <c r="DR736" s="286"/>
      <c r="DS736" s="286"/>
      <c r="DT736" s="286"/>
      <c r="DU736" s="286"/>
      <c r="DV736" s="286"/>
      <c r="DW736" s="286"/>
      <c r="DX736" s="286"/>
      <c r="DY736" s="286"/>
      <c r="DZ736" s="286"/>
      <c r="EA736" s="286"/>
      <c r="EB736" s="286"/>
      <c r="EC736" s="286"/>
      <c r="ED736" s="286"/>
      <c r="EE736" s="286"/>
      <c r="EF736" s="286"/>
      <c r="EG736" s="286"/>
      <c r="EH736" s="286"/>
      <c r="EI736" s="286"/>
      <c r="EJ736" s="286"/>
      <c r="EK736" s="286"/>
      <c r="EL736" s="286"/>
      <c r="EM736" s="286"/>
      <c r="EN736" s="286"/>
      <c r="EO736" s="286"/>
      <c r="EP736" s="286"/>
      <c r="EQ736" s="286"/>
      <c r="ER736" s="286"/>
      <c r="ES736" s="286"/>
      <c r="ET736" s="286"/>
      <c r="EU736" s="286"/>
      <c r="EV736" s="286"/>
      <c r="EW736" s="286"/>
      <c r="EX736" s="286"/>
      <c r="EY736" s="286"/>
      <c r="EZ736" s="286"/>
      <c r="FA736" s="286"/>
      <c r="FB736" s="286"/>
      <c r="FC736" s="286"/>
      <c r="FD736" s="286"/>
      <c r="FE736" s="286"/>
      <c r="FF736" s="286"/>
      <c r="FG736" s="286"/>
      <c r="FH736" s="286"/>
      <c r="FI736" s="286"/>
      <c r="FJ736" s="286"/>
      <c r="FK736" s="286"/>
      <c r="FL736" s="286"/>
      <c r="FM736" s="286"/>
      <c r="FN736" s="286"/>
      <c r="FO736" s="286"/>
      <c r="FP736" s="286"/>
      <c r="FQ736" s="286"/>
      <c r="FR736" s="286"/>
      <c r="FS736" s="286"/>
    </row>
    <row r="737" spans="1:175">
      <c r="A737" s="212" t="s">
        <v>3159</v>
      </c>
      <c r="B737" s="212" t="s">
        <v>3160</v>
      </c>
      <c r="C737" s="212" t="s">
        <v>3172</v>
      </c>
      <c r="D737" s="212" t="s">
        <v>3915</v>
      </c>
      <c r="E737" s="212" t="s">
        <v>3926</v>
      </c>
      <c r="F737" s="278">
        <v>7696</v>
      </c>
      <c r="G737" s="278">
        <v>19917</v>
      </c>
      <c r="H737" s="287">
        <f t="shared" si="11"/>
        <v>5.7689411055881914</v>
      </c>
      <c r="I737" s="286">
        <v>453</v>
      </c>
      <c r="J737" s="286">
        <v>1149</v>
      </c>
      <c r="K737" s="286">
        <v>636</v>
      </c>
      <c r="L737" s="286">
        <v>507</v>
      </c>
      <c r="M737" s="286">
        <v>917</v>
      </c>
      <c r="N737" s="286">
        <v>448</v>
      </c>
      <c r="O737" s="286">
        <v>463</v>
      </c>
      <c r="P737" s="286">
        <v>453</v>
      </c>
      <c r="Q737" s="286">
        <v>1149</v>
      </c>
      <c r="R737" s="286">
        <v>636</v>
      </c>
      <c r="S737" s="286">
        <v>507</v>
      </c>
      <c r="T737" s="286">
        <v>917</v>
      </c>
      <c r="U737" s="286">
        <v>448</v>
      </c>
      <c r="V737" s="286">
        <v>463</v>
      </c>
      <c r="W737" s="286"/>
      <c r="X737" s="286"/>
      <c r="Y737" s="286"/>
      <c r="Z737" s="286"/>
      <c r="AA737" s="286"/>
      <c r="AB737" s="286"/>
      <c r="AC737" s="286"/>
      <c r="AD737" s="286"/>
      <c r="AE737" s="286"/>
      <c r="AF737" s="286"/>
      <c r="AG737" s="286"/>
      <c r="AH737" s="286"/>
      <c r="AI737" s="286"/>
      <c r="AJ737" s="286"/>
      <c r="AK737" s="286"/>
      <c r="AL737" s="286"/>
      <c r="AM737" s="286"/>
      <c r="AN737" s="286"/>
      <c r="AO737" s="286"/>
      <c r="AP737" s="286"/>
      <c r="AQ737" s="286"/>
      <c r="AR737" s="286"/>
      <c r="AS737" s="286"/>
      <c r="AT737" s="286"/>
      <c r="AU737" s="286"/>
      <c r="AV737" s="286"/>
      <c r="AW737" s="286"/>
      <c r="AX737" s="286"/>
      <c r="AY737" s="286"/>
      <c r="AZ737" s="286"/>
      <c r="BA737" s="286"/>
      <c r="BB737" s="286"/>
      <c r="BC737" s="286"/>
      <c r="BD737" s="286"/>
      <c r="BE737" s="286"/>
      <c r="BF737" s="286"/>
      <c r="BG737" s="286"/>
      <c r="BH737" s="286"/>
      <c r="BI737" s="286"/>
      <c r="BJ737" s="286"/>
      <c r="BK737" s="286"/>
      <c r="BL737" s="286"/>
      <c r="BM737" s="286"/>
      <c r="BN737" s="286"/>
      <c r="BO737" s="286"/>
      <c r="BP737" s="286"/>
      <c r="BQ737" s="286"/>
      <c r="BR737" s="286"/>
      <c r="BS737" s="286"/>
      <c r="BT737" s="286"/>
      <c r="BU737" s="286"/>
      <c r="BV737" s="286"/>
      <c r="BW737" s="286"/>
      <c r="BX737" s="286"/>
      <c r="BY737" s="286"/>
      <c r="BZ737" s="286"/>
      <c r="CA737" s="286"/>
      <c r="CB737" s="286"/>
      <c r="CC737" s="286"/>
      <c r="CD737" s="286"/>
      <c r="CE737" s="286"/>
      <c r="CF737" s="286"/>
      <c r="CG737" s="286"/>
      <c r="CH737" s="286"/>
      <c r="CI737" s="286"/>
      <c r="CJ737" s="286"/>
      <c r="CK737" s="286"/>
      <c r="CL737" s="286"/>
      <c r="CM737" s="286"/>
      <c r="CN737" s="286"/>
      <c r="CO737" s="286"/>
      <c r="CP737" s="286"/>
      <c r="CQ737" s="286"/>
      <c r="CR737" s="286"/>
      <c r="CS737" s="286"/>
      <c r="CT737" s="286"/>
      <c r="CU737" s="286"/>
      <c r="CV737" s="286"/>
      <c r="CW737" s="286"/>
      <c r="CX737" s="286"/>
      <c r="CY737" s="286"/>
      <c r="CZ737" s="286"/>
      <c r="DA737" s="286"/>
      <c r="DB737" s="286"/>
      <c r="DC737" s="286"/>
      <c r="DD737" s="286"/>
      <c r="DE737" s="286"/>
      <c r="DF737" s="286"/>
      <c r="DG737" s="286"/>
      <c r="DH737" s="286"/>
      <c r="DI737" s="286"/>
      <c r="DJ737" s="286"/>
      <c r="DK737" s="286"/>
      <c r="DL737" s="286"/>
      <c r="DM737" s="286"/>
      <c r="DN737" s="286"/>
      <c r="DO737" s="286"/>
      <c r="DP737" s="286"/>
      <c r="DQ737" s="286"/>
      <c r="DR737" s="286"/>
      <c r="DS737" s="286"/>
      <c r="DT737" s="286"/>
      <c r="DU737" s="286"/>
      <c r="DV737" s="286"/>
      <c r="DW737" s="286"/>
      <c r="DX737" s="286"/>
      <c r="DY737" s="286"/>
      <c r="DZ737" s="286"/>
      <c r="EA737" s="286"/>
      <c r="EB737" s="286"/>
      <c r="EC737" s="286"/>
      <c r="ED737" s="286"/>
      <c r="EE737" s="286"/>
      <c r="EF737" s="286"/>
      <c r="EG737" s="286"/>
      <c r="EH737" s="286"/>
      <c r="EI737" s="286"/>
      <c r="EJ737" s="286"/>
      <c r="EK737" s="286"/>
      <c r="EL737" s="286"/>
      <c r="EM737" s="286"/>
      <c r="EN737" s="286"/>
      <c r="EO737" s="286"/>
      <c r="EP737" s="286"/>
      <c r="EQ737" s="286"/>
      <c r="ER737" s="286"/>
      <c r="ES737" s="286"/>
      <c r="ET737" s="286"/>
      <c r="EU737" s="286"/>
      <c r="EV737" s="286"/>
      <c r="EW737" s="286"/>
      <c r="EX737" s="286"/>
      <c r="EY737" s="286"/>
      <c r="EZ737" s="286"/>
      <c r="FA737" s="286"/>
      <c r="FB737" s="286"/>
      <c r="FC737" s="286"/>
      <c r="FD737" s="286"/>
      <c r="FE737" s="286"/>
      <c r="FF737" s="286"/>
      <c r="FG737" s="286"/>
      <c r="FH737" s="286"/>
      <c r="FI737" s="286"/>
      <c r="FJ737" s="286"/>
      <c r="FK737" s="286"/>
      <c r="FL737" s="286"/>
      <c r="FM737" s="286"/>
      <c r="FN737" s="286"/>
      <c r="FO737" s="286"/>
      <c r="FP737" s="286"/>
      <c r="FQ737" s="286"/>
      <c r="FR737" s="286"/>
      <c r="FS737" s="286"/>
    </row>
    <row r="738" spans="1:175">
      <c r="A738" s="212" t="s">
        <v>3159</v>
      </c>
      <c r="B738" s="212" t="s">
        <v>3160</v>
      </c>
      <c r="C738" s="212" t="s">
        <v>3172</v>
      </c>
      <c r="D738" s="212" t="s">
        <v>3915</v>
      </c>
      <c r="E738" s="212" t="s">
        <v>3927</v>
      </c>
      <c r="F738" s="278">
        <v>13011</v>
      </c>
      <c r="G738" s="278">
        <v>31171</v>
      </c>
      <c r="H738" s="287">
        <f t="shared" si="11"/>
        <v>6.7979853068557317</v>
      </c>
      <c r="I738" s="286">
        <v>1041</v>
      </c>
      <c r="J738" s="286">
        <v>2119</v>
      </c>
      <c r="K738" s="286">
        <v>1235</v>
      </c>
      <c r="L738" s="286">
        <v>882</v>
      </c>
      <c r="M738" s="286">
        <v>1113</v>
      </c>
      <c r="N738" s="286">
        <v>513</v>
      </c>
      <c r="O738" s="286">
        <v>598</v>
      </c>
      <c r="P738" s="286">
        <v>1041</v>
      </c>
      <c r="Q738" s="286">
        <v>2119</v>
      </c>
      <c r="R738" s="286">
        <v>1235</v>
      </c>
      <c r="S738" s="286">
        <v>882</v>
      </c>
      <c r="T738" s="286">
        <v>1113</v>
      </c>
      <c r="U738" s="286">
        <v>513</v>
      </c>
      <c r="V738" s="286">
        <v>598</v>
      </c>
      <c r="W738" s="286"/>
      <c r="X738" s="286"/>
      <c r="Y738" s="286"/>
      <c r="Z738" s="286"/>
      <c r="AA738" s="286"/>
      <c r="AB738" s="286"/>
      <c r="AC738" s="286"/>
      <c r="AD738" s="286"/>
      <c r="AE738" s="286"/>
      <c r="AF738" s="286"/>
      <c r="AG738" s="286"/>
      <c r="AH738" s="286"/>
      <c r="AI738" s="286"/>
      <c r="AJ738" s="286"/>
      <c r="AK738" s="286"/>
      <c r="AL738" s="286"/>
      <c r="AM738" s="286"/>
      <c r="AN738" s="286"/>
      <c r="AO738" s="286"/>
      <c r="AP738" s="286"/>
      <c r="AQ738" s="286"/>
      <c r="AR738" s="286"/>
      <c r="AS738" s="286"/>
      <c r="AT738" s="286"/>
      <c r="AU738" s="286"/>
      <c r="AV738" s="286"/>
      <c r="AW738" s="286"/>
      <c r="AX738" s="286"/>
      <c r="AY738" s="286"/>
      <c r="AZ738" s="286"/>
      <c r="BA738" s="286"/>
      <c r="BB738" s="286"/>
      <c r="BC738" s="286"/>
      <c r="BD738" s="286"/>
      <c r="BE738" s="286"/>
      <c r="BF738" s="286"/>
      <c r="BG738" s="286"/>
      <c r="BH738" s="286"/>
      <c r="BI738" s="286"/>
      <c r="BJ738" s="286"/>
      <c r="BK738" s="286"/>
      <c r="BL738" s="286"/>
      <c r="BM738" s="286"/>
      <c r="BN738" s="286"/>
      <c r="BO738" s="286"/>
      <c r="BP738" s="286"/>
      <c r="BQ738" s="286"/>
      <c r="BR738" s="286"/>
      <c r="BS738" s="286"/>
      <c r="BT738" s="286"/>
      <c r="BU738" s="286"/>
      <c r="BV738" s="286"/>
      <c r="BW738" s="286"/>
      <c r="BX738" s="286"/>
      <c r="BY738" s="286"/>
      <c r="BZ738" s="286"/>
      <c r="CA738" s="286"/>
      <c r="CB738" s="286"/>
      <c r="CC738" s="286"/>
      <c r="CD738" s="286"/>
      <c r="CE738" s="286"/>
      <c r="CF738" s="286"/>
      <c r="CG738" s="286"/>
      <c r="CH738" s="286"/>
      <c r="CI738" s="286"/>
      <c r="CJ738" s="286"/>
      <c r="CK738" s="286"/>
      <c r="CL738" s="286"/>
      <c r="CM738" s="286"/>
      <c r="CN738" s="286"/>
      <c r="CO738" s="286"/>
      <c r="CP738" s="286"/>
      <c r="CQ738" s="286"/>
      <c r="CR738" s="286"/>
      <c r="CS738" s="286"/>
      <c r="CT738" s="286"/>
      <c r="CU738" s="286"/>
      <c r="CV738" s="286"/>
      <c r="CW738" s="286"/>
      <c r="CX738" s="286"/>
      <c r="CY738" s="286"/>
      <c r="CZ738" s="286"/>
      <c r="DA738" s="286"/>
      <c r="DB738" s="286"/>
      <c r="DC738" s="286"/>
      <c r="DD738" s="286"/>
      <c r="DE738" s="286"/>
      <c r="DF738" s="286"/>
      <c r="DG738" s="286"/>
      <c r="DH738" s="286"/>
      <c r="DI738" s="286"/>
      <c r="DJ738" s="286"/>
      <c r="DK738" s="286"/>
      <c r="DL738" s="286"/>
      <c r="DM738" s="286"/>
      <c r="DN738" s="286"/>
      <c r="DO738" s="286"/>
      <c r="DP738" s="286"/>
      <c r="DQ738" s="286"/>
      <c r="DR738" s="286"/>
      <c r="DS738" s="286"/>
      <c r="DT738" s="286"/>
      <c r="DU738" s="286"/>
      <c r="DV738" s="286"/>
      <c r="DW738" s="286"/>
      <c r="DX738" s="286"/>
      <c r="DY738" s="286"/>
      <c r="DZ738" s="286"/>
      <c r="EA738" s="286"/>
      <c r="EB738" s="286"/>
      <c r="EC738" s="286"/>
      <c r="ED738" s="286"/>
      <c r="EE738" s="286"/>
      <c r="EF738" s="286"/>
      <c r="EG738" s="286"/>
      <c r="EH738" s="286"/>
      <c r="EI738" s="286"/>
      <c r="EJ738" s="286"/>
      <c r="EK738" s="286"/>
      <c r="EL738" s="286"/>
      <c r="EM738" s="286"/>
      <c r="EN738" s="286"/>
      <c r="EO738" s="286"/>
      <c r="EP738" s="286"/>
      <c r="EQ738" s="286"/>
      <c r="ER738" s="286"/>
      <c r="ES738" s="286"/>
      <c r="ET738" s="286"/>
      <c r="EU738" s="286"/>
      <c r="EV738" s="286"/>
      <c r="EW738" s="286"/>
      <c r="EX738" s="286"/>
      <c r="EY738" s="286"/>
      <c r="EZ738" s="286"/>
      <c r="FA738" s="286"/>
      <c r="FB738" s="286"/>
      <c r="FC738" s="286"/>
      <c r="FD738" s="286"/>
      <c r="FE738" s="286"/>
      <c r="FF738" s="286"/>
      <c r="FG738" s="286"/>
      <c r="FH738" s="286"/>
      <c r="FI738" s="286"/>
      <c r="FJ738" s="286"/>
      <c r="FK738" s="286"/>
      <c r="FL738" s="286"/>
      <c r="FM738" s="286"/>
      <c r="FN738" s="286"/>
      <c r="FO738" s="286"/>
      <c r="FP738" s="286"/>
      <c r="FQ738" s="286"/>
      <c r="FR738" s="286"/>
      <c r="FS738" s="286"/>
    </row>
    <row r="739" spans="1:175">
      <c r="A739" s="212" t="s">
        <v>3159</v>
      </c>
      <c r="B739" s="212" t="s">
        <v>3160</v>
      </c>
      <c r="C739" s="212" t="s">
        <v>3459</v>
      </c>
      <c r="D739" s="212" t="s">
        <v>3928</v>
      </c>
      <c r="E739" s="212" t="s">
        <v>3929</v>
      </c>
      <c r="F739" s="278">
        <v>222008</v>
      </c>
      <c r="G739" s="278">
        <v>4752961</v>
      </c>
      <c r="H739" s="287">
        <f t="shared" si="11"/>
        <v>3.5347439206843903</v>
      </c>
      <c r="I739" s="286">
        <v>8064</v>
      </c>
      <c r="J739" s="286">
        <v>168005</v>
      </c>
      <c r="K739" s="286">
        <v>99554</v>
      </c>
      <c r="L739" s="286">
        <v>68240</v>
      </c>
      <c r="M739" s="286">
        <v>153494</v>
      </c>
      <c r="N739" s="286">
        <v>89626</v>
      </c>
      <c r="O739" s="286">
        <v>63662</v>
      </c>
      <c r="P739" s="286">
        <v>7817</v>
      </c>
      <c r="Q739" s="286">
        <v>164447</v>
      </c>
      <c r="R739" s="286">
        <v>96569</v>
      </c>
      <c r="S739" s="286">
        <v>67667</v>
      </c>
      <c r="T739" s="286">
        <v>149965</v>
      </c>
      <c r="U739" s="286">
        <v>86661</v>
      </c>
      <c r="V739" s="286">
        <v>63098</v>
      </c>
      <c r="W739" s="286"/>
      <c r="X739" s="286"/>
      <c r="Y739" s="286"/>
      <c r="Z739" s="286"/>
      <c r="AA739" s="286"/>
      <c r="AB739" s="286"/>
      <c r="AC739" s="286"/>
      <c r="AD739" s="286"/>
      <c r="AE739" s="286"/>
      <c r="AF739" s="286"/>
      <c r="AG739" s="286"/>
      <c r="AH739" s="286"/>
      <c r="AI739" s="286"/>
      <c r="AJ739" s="286"/>
      <c r="AK739" s="286"/>
      <c r="AL739" s="286"/>
      <c r="AM739" s="286"/>
      <c r="AN739" s="286"/>
      <c r="AO739" s="286"/>
      <c r="AP739" s="286"/>
      <c r="AQ739" s="286"/>
      <c r="AR739" s="286"/>
      <c r="AS739" s="286"/>
      <c r="AT739" s="286"/>
      <c r="AU739" s="286"/>
      <c r="AV739" s="286"/>
      <c r="AW739" s="286"/>
      <c r="AX739" s="286"/>
      <c r="AY739" s="286"/>
      <c r="AZ739" s="286"/>
      <c r="BA739" s="286"/>
      <c r="BB739" s="286"/>
      <c r="BC739" s="286"/>
      <c r="BD739" s="286"/>
      <c r="BE739" s="286"/>
      <c r="BF739" s="286"/>
      <c r="BG739" s="286"/>
      <c r="BH739" s="286"/>
      <c r="BI739" s="286"/>
      <c r="BJ739" s="286"/>
      <c r="BK739" s="286"/>
      <c r="BL739" s="286"/>
      <c r="BM739" s="286"/>
      <c r="BN739" s="286"/>
      <c r="BO739" s="286"/>
      <c r="BP739" s="286"/>
      <c r="BQ739" s="286"/>
      <c r="BR739" s="286"/>
      <c r="BS739" s="286"/>
      <c r="BT739" s="286"/>
      <c r="BU739" s="286"/>
      <c r="BV739" s="286"/>
      <c r="BW739" s="286"/>
      <c r="BX739" s="286"/>
      <c r="BY739" s="286"/>
      <c r="BZ739" s="286"/>
      <c r="CA739" s="286"/>
      <c r="CB739" s="286"/>
      <c r="CC739" s="286"/>
      <c r="CD739" s="286"/>
      <c r="CE739" s="286"/>
      <c r="CF739" s="286"/>
      <c r="CG739" s="286"/>
      <c r="CH739" s="286"/>
      <c r="CI739" s="286"/>
      <c r="CJ739" s="286"/>
      <c r="CK739" s="286"/>
      <c r="CL739" s="286"/>
      <c r="CM739" s="286"/>
      <c r="CN739" s="286"/>
      <c r="CO739" s="286"/>
      <c r="CP739" s="286"/>
      <c r="CQ739" s="286"/>
      <c r="CR739" s="286"/>
      <c r="CS739" s="286"/>
      <c r="CT739" s="286"/>
      <c r="CU739" s="286"/>
      <c r="CV739" s="286"/>
      <c r="CW739" s="286"/>
      <c r="CX739" s="286"/>
      <c r="CY739" s="286"/>
      <c r="CZ739" s="286"/>
      <c r="DA739" s="286"/>
      <c r="DB739" s="286"/>
      <c r="DC739" s="286"/>
      <c r="DD739" s="286"/>
      <c r="DE739" s="286"/>
      <c r="DF739" s="286"/>
      <c r="DG739" s="286"/>
      <c r="DH739" s="286"/>
      <c r="DI739" s="286"/>
      <c r="DJ739" s="286"/>
      <c r="DK739" s="286"/>
      <c r="DL739" s="286"/>
      <c r="DM739" s="286"/>
      <c r="DN739" s="286"/>
      <c r="DO739" s="286"/>
      <c r="DP739" s="286"/>
      <c r="DQ739" s="286"/>
      <c r="DR739" s="286"/>
      <c r="DS739" s="286"/>
      <c r="DT739" s="286"/>
      <c r="DU739" s="286"/>
      <c r="DV739" s="286"/>
      <c r="DW739" s="286"/>
      <c r="DX739" s="286"/>
      <c r="DY739" s="286"/>
      <c r="DZ739" s="286"/>
      <c r="EA739" s="286"/>
      <c r="EB739" s="286"/>
      <c r="EC739" s="286"/>
      <c r="ED739" s="286"/>
      <c r="EE739" s="286"/>
      <c r="EF739" s="286"/>
      <c r="EG739" s="286"/>
      <c r="EH739" s="286"/>
      <c r="EI739" s="286"/>
      <c r="EJ739" s="286"/>
      <c r="EK739" s="286"/>
      <c r="EL739" s="286"/>
      <c r="EM739" s="286"/>
      <c r="EN739" s="286"/>
      <c r="EO739" s="286"/>
      <c r="EP739" s="286"/>
      <c r="EQ739" s="286"/>
      <c r="ER739" s="286"/>
      <c r="ES739" s="286"/>
      <c r="ET739" s="286"/>
      <c r="EU739" s="286"/>
      <c r="EV739" s="286"/>
      <c r="EW739" s="286"/>
      <c r="EX739" s="286"/>
      <c r="EY739" s="286"/>
      <c r="EZ739" s="286"/>
      <c r="FA739" s="286"/>
      <c r="FB739" s="286"/>
      <c r="FC739" s="286"/>
      <c r="FD739" s="286"/>
      <c r="FE739" s="286"/>
      <c r="FF739" s="286"/>
      <c r="FG739" s="286"/>
      <c r="FH739" s="286"/>
      <c r="FI739" s="286"/>
      <c r="FJ739" s="286"/>
      <c r="FK739" s="286"/>
      <c r="FL739" s="286"/>
      <c r="FM739" s="286"/>
      <c r="FN739" s="286"/>
      <c r="FO739" s="286"/>
      <c r="FP739" s="286"/>
      <c r="FQ739" s="286"/>
      <c r="FR739" s="286"/>
      <c r="FS739" s="286"/>
    </row>
    <row r="740" spans="1:175">
      <c r="A740" s="212" t="s">
        <v>3159</v>
      </c>
      <c r="B740" s="212" t="s">
        <v>3160</v>
      </c>
      <c r="C740" s="212" t="s">
        <v>3170</v>
      </c>
      <c r="D740" s="212" t="s">
        <v>3928</v>
      </c>
      <c r="E740" s="212" t="s">
        <v>3930</v>
      </c>
      <c r="F740" s="278">
        <v>24178</v>
      </c>
      <c r="G740" s="278">
        <v>344579</v>
      </c>
      <c r="H740" s="287">
        <f t="shared" si="11"/>
        <v>3.6427060267747016</v>
      </c>
      <c r="I740" s="286">
        <v>776</v>
      </c>
      <c r="J740" s="286">
        <v>12552</v>
      </c>
      <c r="K740" s="286">
        <v>10678</v>
      </c>
      <c r="L740" s="286">
        <v>1863</v>
      </c>
      <c r="M740" s="286">
        <v>11420</v>
      </c>
      <c r="N740" s="286">
        <v>9899</v>
      </c>
      <c r="O740" s="286">
        <v>1511</v>
      </c>
      <c r="P740" s="286">
        <v>692</v>
      </c>
      <c r="Q740" s="286">
        <v>9953</v>
      </c>
      <c r="R740" s="286">
        <v>8211</v>
      </c>
      <c r="S740" s="286">
        <v>1731</v>
      </c>
      <c r="T740" s="286">
        <v>8845</v>
      </c>
      <c r="U740" s="286">
        <v>7448</v>
      </c>
      <c r="V740" s="286">
        <v>1387</v>
      </c>
      <c r="W740" s="286"/>
      <c r="X740" s="286"/>
      <c r="Y740" s="286"/>
      <c r="Z740" s="286"/>
      <c r="AA740" s="286"/>
      <c r="AB740" s="286"/>
      <c r="AC740" s="286"/>
      <c r="AD740" s="286"/>
      <c r="AE740" s="286"/>
      <c r="AF740" s="286"/>
      <c r="AG740" s="286"/>
      <c r="AH740" s="286"/>
      <c r="AI740" s="286"/>
      <c r="AJ740" s="286"/>
      <c r="AK740" s="286"/>
      <c r="AL740" s="286"/>
      <c r="AM740" s="286"/>
      <c r="AN740" s="286"/>
      <c r="AO740" s="286"/>
      <c r="AP740" s="286"/>
      <c r="AQ740" s="286"/>
      <c r="AR740" s="286"/>
      <c r="AS740" s="286"/>
      <c r="AT740" s="286"/>
      <c r="AU740" s="286"/>
      <c r="AV740" s="286"/>
      <c r="AW740" s="286"/>
      <c r="AX740" s="286"/>
      <c r="AY740" s="286"/>
      <c r="AZ740" s="286"/>
      <c r="BA740" s="286"/>
      <c r="BB740" s="286"/>
      <c r="BC740" s="286"/>
      <c r="BD740" s="286"/>
      <c r="BE740" s="286"/>
      <c r="BF740" s="286"/>
      <c r="BG740" s="286"/>
      <c r="BH740" s="286"/>
      <c r="BI740" s="286"/>
      <c r="BJ740" s="286"/>
      <c r="BK740" s="286"/>
      <c r="BL740" s="286"/>
      <c r="BM740" s="286"/>
      <c r="BN740" s="286"/>
      <c r="BO740" s="286"/>
      <c r="BP740" s="286"/>
      <c r="BQ740" s="286"/>
      <c r="BR740" s="286"/>
      <c r="BS740" s="286"/>
      <c r="BT740" s="286"/>
      <c r="BU740" s="286"/>
      <c r="BV740" s="286"/>
      <c r="BW740" s="286"/>
      <c r="BX740" s="286"/>
      <c r="BY740" s="286"/>
      <c r="BZ740" s="286"/>
      <c r="CA740" s="286"/>
      <c r="CB740" s="286"/>
      <c r="CC740" s="286"/>
      <c r="CD740" s="286"/>
      <c r="CE740" s="286"/>
      <c r="CF740" s="286"/>
      <c r="CG740" s="286"/>
      <c r="CH740" s="286"/>
      <c r="CI740" s="286"/>
      <c r="CJ740" s="286"/>
      <c r="CK740" s="286"/>
      <c r="CL740" s="286"/>
      <c r="CM740" s="286"/>
      <c r="CN740" s="286"/>
      <c r="CO740" s="286"/>
      <c r="CP740" s="286"/>
      <c r="CQ740" s="286"/>
      <c r="CR740" s="286"/>
      <c r="CS740" s="286"/>
      <c r="CT740" s="286"/>
      <c r="CU740" s="286"/>
      <c r="CV740" s="286"/>
      <c r="CW740" s="286"/>
      <c r="CX740" s="286"/>
      <c r="CY740" s="286"/>
      <c r="CZ740" s="286"/>
      <c r="DA740" s="286"/>
      <c r="DB740" s="286"/>
      <c r="DC740" s="286"/>
      <c r="DD740" s="286"/>
      <c r="DE740" s="286"/>
      <c r="DF740" s="286"/>
      <c r="DG740" s="286"/>
      <c r="DH740" s="286"/>
      <c r="DI740" s="286"/>
      <c r="DJ740" s="286"/>
      <c r="DK740" s="286"/>
      <c r="DL740" s="286"/>
      <c r="DM740" s="286"/>
      <c r="DN740" s="286"/>
      <c r="DO740" s="286"/>
      <c r="DP740" s="286"/>
      <c r="DQ740" s="286"/>
      <c r="DR740" s="286"/>
      <c r="DS740" s="286"/>
      <c r="DT740" s="286"/>
      <c r="DU740" s="286"/>
      <c r="DV740" s="286"/>
      <c r="DW740" s="286"/>
      <c r="DX740" s="286"/>
      <c r="DY740" s="286"/>
      <c r="DZ740" s="286"/>
      <c r="EA740" s="286"/>
      <c r="EB740" s="286"/>
      <c r="EC740" s="286"/>
      <c r="ED740" s="286"/>
      <c r="EE740" s="286"/>
      <c r="EF740" s="286"/>
      <c r="EG740" s="286"/>
      <c r="EH740" s="286"/>
      <c r="EI740" s="286"/>
      <c r="EJ740" s="286"/>
      <c r="EK740" s="286"/>
      <c r="EL740" s="286"/>
      <c r="EM740" s="286"/>
      <c r="EN740" s="286"/>
      <c r="EO740" s="286"/>
      <c r="EP740" s="286"/>
      <c r="EQ740" s="286"/>
      <c r="ER740" s="286"/>
      <c r="ES740" s="286"/>
      <c r="ET740" s="286"/>
      <c r="EU740" s="286"/>
      <c r="EV740" s="286"/>
      <c r="EW740" s="286"/>
      <c r="EX740" s="286"/>
      <c r="EY740" s="286"/>
      <c r="EZ740" s="286"/>
      <c r="FA740" s="286"/>
      <c r="FB740" s="286"/>
      <c r="FC740" s="286"/>
      <c r="FD740" s="286"/>
      <c r="FE740" s="286"/>
      <c r="FF740" s="286"/>
      <c r="FG740" s="286"/>
      <c r="FH740" s="286"/>
      <c r="FI740" s="286"/>
      <c r="FJ740" s="286"/>
      <c r="FK740" s="286"/>
      <c r="FL740" s="286"/>
      <c r="FM740" s="286"/>
      <c r="FN740" s="286"/>
      <c r="FO740" s="286"/>
      <c r="FP740" s="286"/>
      <c r="FQ740" s="286"/>
      <c r="FR740" s="286"/>
      <c r="FS740" s="286"/>
    </row>
    <row r="741" spans="1:175">
      <c r="A741" s="212" t="s">
        <v>3159</v>
      </c>
      <c r="B741" s="212" t="s">
        <v>3160</v>
      </c>
      <c r="C741" s="212" t="s">
        <v>3172</v>
      </c>
      <c r="D741" s="212" t="s">
        <v>3928</v>
      </c>
      <c r="E741" s="212" t="s">
        <v>3931</v>
      </c>
      <c r="F741" s="278">
        <v>334</v>
      </c>
      <c r="G741" s="278">
        <v>3929</v>
      </c>
      <c r="H741" s="287">
        <f t="shared" si="11"/>
        <v>1.2980402137948588</v>
      </c>
      <c r="I741" s="286">
        <v>7</v>
      </c>
      <c r="J741" s="286">
        <v>51</v>
      </c>
      <c r="K741" s="286">
        <v>29</v>
      </c>
      <c r="L741" s="286">
        <v>22</v>
      </c>
      <c r="M741" s="286">
        <v>42</v>
      </c>
      <c r="N741" s="286">
        <v>21</v>
      </c>
      <c r="O741" s="286">
        <v>21</v>
      </c>
      <c r="P741" s="286">
        <v>7</v>
      </c>
      <c r="Q741" s="286">
        <v>51</v>
      </c>
      <c r="R741" s="286">
        <v>29</v>
      </c>
      <c r="S741" s="286">
        <v>22</v>
      </c>
      <c r="T741" s="286">
        <v>42</v>
      </c>
      <c r="U741" s="286">
        <v>21</v>
      </c>
      <c r="V741" s="286">
        <v>21</v>
      </c>
      <c r="W741" s="286"/>
      <c r="X741" s="286"/>
      <c r="Y741" s="286"/>
      <c r="Z741" s="286"/>
      <c r="AA741" s="286"/>
      <c r="AB741" s="286"/>
      <c r="AC741" s="286"/>
      <c r="AD741" s="286"/>
      <c r="AE741" s="286"/>
      <c r="AF741" s="286"/>
      <c r="AG741" s="286"/>
      <c r="AH741" s="286"/>
      <c r="AI741" s="286"/>
      <c r="AJ741" s="286"/>
      <c r="AK741" s="286"/>
      <c r="AL741" s="286"/>
      <c r="AM741" s="286"/>
      <c r="AN741" s="286"/>
      <c r="AO741" s="286"/>
      <c r="AP741" s="286"/>
      <c r="AQ741" s="286"/>
      <c r="AR741" s="286"/>
      <c r="AS741" s="286"/>
      <c r="AT741" s="286"/>
      <c r="AU741" s="286"/>
      <c r="AV741" s="286"/>
      <c r="AW741" s="286"/>
      <c r="AX741" s="286"/>
      <c r="AY741" s="286"/>
      <c r="AZ741" s="286"/>
      <c r="BA741" s="286"/>
      <c r="BB741" s="286"/>
      <c r="BC741" s="286"/>
      <c r="BD741" s="286"/>
      <c r="BE741" s="286"/>
      <c r="BF741" s="286"/>
      <c r="BG741" s="286"/>
      <c r="BH741" s="286"/>
      <c r="BI741" s="286"/>
      <c r="BJ741" s="286"/>
      <c r="BK741" s="286"/>
      <c r="BL741" s="286"/>
      <c r="BM741" s="286"/>
      <c r="BN741" s="286"/>
      <c r="BO741" s="286"/>
      <c r="BP741" s="286"/>
      <c r="BQ741" s="286"/>
      <c r="BR741" s="286"/>
      <c r="BS741" s="286"/>
      <c r="BT741" s="286"/>
      <c r="BU741" s="286"/>
      <c r="BV741" s="286"/>
      <c r="BW741" s="286"/>
      <c r="BX741" s="286"/>
      <c r="BY741" s="286"/>
      <c r="BZ741" s="286"/>
      <c r="CA741" s="286"/>
      <c r="CB741" s="286"/>
      <c r="CC741" s="286"/>
      <c r="CD741" s="286"/>
      <c r="CE741" s="286"/>
      <c r="CF741" s="286"/>
      <c r="CG741" s="286"/>
      <c r="CH741" s="286"/>
      <c r="CI741" s="286"/>
      <c r="CJ741" s="286"/>
      <c r="CK741" s="286"/>
      <c r="CL741" s="286"/>
      <c r="CM741" s="286"/>
      <c r="CN741" s="286"/>
      <c r="CO741" s="286"/>
      <c r="CP741" s="286"/>
      <c r="CQ741" s="286"/>
      <c r="CR741" s="286"/>
      <c r="CS741" s="286"/>
      <c r="CT741" s="286"/>
      <c r="CU741" s="286"/>
      <c r="CV741" s="286"/>
      <c r="CW741" s="286"/>
      <c r="CX741" s="286"/>
      <c r="CY741" s="286"/>
      <c r="CZ741" s="286"/>
      <c r="DA741" s="286"/>
      <c r="DB741" s="286"/>
      <c r="DC741" s="286"/>
      <c r="DD741" s="286"/>
      <c r="DE741" s="286"/>
      <c r="DF741" s="286"/>
      <c r="DG741" s="286"/>
      <c r="DH741" s="286"/>
      <c r="DI741" s="286"/>
      <c r="DJ741" s="286"/>
      <c r="DK741" s="286"/>
      <c r="DL741" s="286"/>
      <c r="DM741" s="286"/>
      <c r="DN741" s="286"/>
      <c r="DO741" s="286"/>
      <c r="DP741" s="286"/>
      <c r="DQ741" s="286"/>
      <c r="DR741" s="286"/>
      <c r="DS741" s="286"/>
      <c r="DT741" s="286"/>
      <c r="DU741" s="286"/>
      <c r="DV741" s="286"/>
      <c r="DW741" s="286"/>
      <c r="DX741" s="286"/>
      <c r="DY741" s="286"/>
      <c r="DZ741" s="286"/>
      <c r="EA741" s="286"/>
      <c r="EB741" s="286"/>
      <c r="EC741" s="286"/>
      <c r="ED741" s="286"/>
      <c r="EE741" s="286"/>
      <c r="EF741" s="286"/>
      <c r="EG741" s="286"/>
      <c r="EH741" s="286"/>
      <c r="EI741" s="286"/>
      <c r="EJ741" s="286"/>
      <c r="EK741" s="286"/>
      <c r="EL741" s="286"/>
      <c r="EM741" s="286"/>
      <c r="EN741" s="286"/>
      <c r="EO741" s="286"/>
      <c r="EP741" s="286"/>
      <c r="EQ741" s="286"/>
      <c r="ER741" s="286"/>
      <c r="ES741" s="286"/>
      <c r="ET741" s="286"/>
      <c r="EU741" s="286"/>
      <c r="EV741" s="286"/>
      <c r="EW741" s="286"/>
      <c r="EX741" s="286"/>
      <c r="EY741" s="286"/>
      <c r="EZ741" s="286"/>
      <c r="FA741" s="286"/>
      <c r="FB741" s="286"/>
      <c r="FC741" s="286"/>
      <c r="FD741" s="286"/>
      <c r="FE741" s="286"/>
      <c r="FF741" s="286"/>
      <c r="FG741" s="286"/>
      <c r="FH741" s="286"/>
      <c r="FI741" s="286"/>
      <c r="FJ741" s="286"/>
      <c r="FK741" s="286"/>
      <c r="FL741" s="286"/>
      <c r="FM741" s="286"/>
      <c r="FN741" s="286"/>
      <c r="FO741" s="286"/>
      <c r="FP741" s="286"/>
      <c r="FQ741" s="286"/>
      <c r="FR741" s="286"/>
      <c r="FS741" s="286"/>
    </row>
    <row r="742" spans="1:175">
      <c r="A742" s="212" t="s">
        <v>3159</v>
      </c>
      <c r="B742" s="212" t="s">
        <v>3160</v>
      </c>
      <c r="C742" s="212" t="s">
        <v>3172</v>
      </c>
      <c r="D742" s="212" t="s">
        <v>3928</v>
      </c>
      <c r="E742" s="212" t="s">
        <v>3932</v>
      </c>
      <c r="F742" s="278">
        <v>13894</v>
      </c>
      <c r="G742" s="278">
        <v>211133</v>
      </c>
      <c r="H742" s="287">
        <f t="shared" si="11"/>
        <v>3.6455693804379226</v>
      </c>
      <c r="I742" s="286">
        <v>425</v>
      </c>
      <c r="J742" s="286">
        <v>7697</v>
      </c>
      <c r="K742" s="286">
        <v>6767</v>
      </c>
      <c r="L742" s="286">
        <v>930</v>
      </c>
      <c r="M742" s="286">
        <v>7080</v>
      </c>
      <c r="N742" s="286">
        <v>6357</v>
      </c>
      <c r="O742" s="286">
        <v>723</v>
      </c>
      <c r="P742" s="286">
        <v>341</v>
      </c>
      <c r="Q742" s="286">
        <v>5098</v>
      </c>
      <c r="R742" s="286">
        <v>4300</v>
      </c>
      <c r="S742" s="286">
        <v>798</v>
      </c>
      <c r="T742" s="286">
        <v>4505</v>
      </c>
      <c r="U742" s="286">
        <v>3906</v>
      </c>
      <c r="V742" s="286">
        <v>599</v>
      </c>
      <c r="W742" s="286"/>
      <c r="X742" s="286"/>
      <c r="Y742" s="286"/>
      <c r="Z742" s="286"/>
      <c r="AA742" s="286"/>
      <c r="AB742" s="286"/>
      <c r="AC742" s="286"/>
      <c r="AD742" s="286"/>
      <c r="AE742" s="286"/>
      <c r="AF742" s="286"/>
      <c r="AG742" s="286"/>
      <c r="AH742" s="286"/>
      <c r="AI742" s="286"/>
      <c r="AJ742" s="286"/>
      <c r="AK742" s="286"/>
      <c r="AL742" s="286"/>
      <c r="AM742" s="286"/>
      <c r="AN742" s="286"/>
      <c r="AO742" s="286"/>
      <c r="AP742" s="286"/>
      <c r="AQ742" s="286"/>
      <c r="AR742" s="286"/>
      <c r="AS742" s="286"/>
      <c r="AT742" s="286"/>
      <c r="AU742" s="286"/>
      <c r="AV742" s="286"/>
      <c r="AW742" s="286"/>
      <c r="AX742" s="286"/>
      <c r="AY742" s="286"/>
      <c r="AZ742" s="286"/>
      <c r="BA742" s="286"/>
      <c r="BB742" s="286"/>
      <c r="BC742" s="286"/>
      <c r="BD742" s="286"/>
      <c r="BE742" s="286"/>
      <c r="BF742" s="286"/>
      <c r="BG742" s="286"/>
      <c r="BH742" s="286"/>
      <c r="BI742" s="286"/>
      <c r="BJ742" s="286"/>
      <c r="BK742" s="286"/>
      <c r="BL742" s="286"/>
      <c r="BM742" s="286"/>
      <c r="BN742" s="286"/>
      <c r="BO742" s="286"/>
      <c r="BP742" s="286"/>
      <c r="BQ742" s="286"/>
      <c r="BR742" s="286"/>
      <c r="BS742" s="286"/>
      <c r="BT742" s="286"/>
      <c r="BU742" s="286"/>
      <c r="BV742" s="286"/>
      <c r="BW742" s="286"/>
      <c r="BX742" s="286"/>
      <c r="BY742" s="286"/>
      <c r="BZ742" s="286"/>
      <c r="CA742" s="286"/>
      <c r="CB742" s="286"/>
      <c r="CC742" s="286"/>
      <c r="CD742" s="286"/>
      <c r="CE742" s="286"/>
      <c r="CF742" s="286"/>
      <c r="CG742" s="286"/>
      <c r="CH742" s="286"/>
      <c r="CI742" s="286"/>
      <c r="CJ742" s="286"/>
      <c r="CK742" s="286"/>
      <c r="CL742" s="286"/>
      <c r="CM742" s="286"/>
      <c r="CN742" s="286"/>
      <c r="CO742" s="286"/>
      <c r="CP742" s="286"/>
      <c r="CQ742" s="286"/>
      <c r="CR742" s="286"/>
      <c r="CS742" s="286"/>
      <c r="CT742" s="286"/>
      <c r="CU742" s="286"/>
      <c r="CV742" s="286"/>
      <c r="CW742" s="286"/>
      <c r="CX742" s="286"/>
      <c r="CY742" s="286"/>
      <c r="CZ742" s="286"/>
      <c r="DA742" s="286"/>
      <c r="DB742" s="286"/>
      <c r="DC742" s="286"/>
      <c r="DD742" s="286"/>
      <c r="DE742" s="286"/>
      <c r="DF742" s="286"/>
      <c r="DG742" s="286"/>
      <c r="DH742" s="286"/>
      <c r="DI742" s="286"/>
      <c r="DJ742" s="286"/>
      <c r="DK742" s="286"/>
      <c r="DL742" s="286"/>
      <c r="DM742" s="286"/>
      <c r="DN742" s="286"/>
      <c r="DO742" s="286"/>
      <c r="DP742" s="286"/>
      <c r="DQ742" s="286"/>
      <c r="DR742" s="286"/>
      <c r="DS742" s="286"/>
      <c r="DT742" s="286"/>
      <c r="DU742" s="286"/>
      <c r="DV742" s="286"/>
      <c r="DW742" s="286"/>
      <c r="DX742" s="286"/>
      <c r="DY742" s="286"/>
      <c r="DZ742" s="286"/>
      <c r="EA742" s="286"/>
      <c r="EB742" s="286"/>
      <c r="EC742" s="286"/>
      <c r="ED742" s="286"/>
      <c r="EE742" s="286"/>
      <c r="EF742" s="286"/>
      <c r="EG742" s="286"/>
      <c r="EH742" s="286"/>
      <c r="EI742" s="286"/>
      <c r="EJ742" s="286"/>
      <c r="EK742" s="286"/>
      <c r="EL742" s="286"/>
      <c r="EM742" s="286"/>
      <c r="EN742" s="286"/>
      <c r="EO742" s="286"/>
      <c r="EP742" s="286"/>
      <c r="EQ742" s="286"/>
      <c r="ER742" s="286"/>
      <c r="ES742" s="286"/>
      <c r="ET742" s="286"/>
      <c r="EU742" s="286"/>
      <c r="EV742" s="286"/>
      <c r="EW742" s="286"/>
      <c r="EX742" s="286"/>
      <c r="EY742" s="286"/>
      <c r="EZ742" s="286"/>
      <c r="FA742" s="286"/>
      <c r="FB742" s="286"/>
      <c r="FC742" s="286"/>
      <c r="FD742" s="286"/>
      <c r="FE742" s="286"/>
      <c r="FF742" s="286"/>
      <c r="FG742" s="286"/>
      <c r="FH742" s="286"/>
      <c r="FI742" s="286"/>
      <c r="FJ742" s="286"/>
      <c r="FK742" s="286"/>
      <c r="FL742" s="286"/>
      <c r="FM742" s="286"/>
      <c r="FN742" s="286"/>
      <c r="FO742" s="286"/>
      <c r="FP742" s="286"/>
      <c r="FQ742" s="286"/>
      <c r="FR742" s="286"/>
      <c r="FS742" s="286"/>
    </row>
    <row r="743" spans="1:175">
      <c r="A743" s="212" t="s">
        <v>3159</v>
      </c>
      <c r="B743" s="212" t="s">
        <v>3160</v>
      </c>
      <c r="C743" s="212" t="s">
        <v>3172</v>
      </c>
      <c r="D743" s="212" t="s">
        <v>3928</v>
      </c>
      <c r="E743" s="212" t="s">
        <v>3933</v>
      </c>
      <c r="F743" s="278">
        <v>9897</v>
      </c>
      <c r="G743" s="278">
        <v>128086</v>
      </c>
      <c r="H743" s="287">
        <f t="shared" si="11"/>
        <v>3.7506050622238183</v>
      </c>
      <c r="I743" s="286">
        <v>344</v>
      </c>
      <c r="J743" s="286">
        <v>4804</v>
      </c>
      <c r="K743" s="286">
        <v>3882</v>
      </c>
      <c r="L743" s="286">
        <v>911</v>
      </c>
      <c r="M743" s="286">
        <v>4298</v>
      </c>
      <c r="N743" s="286">
        <v>3521</v>
      </c>
      <c r="O743" s="286">
        <v>767</v>
      </c>
      <c r="P743" s="286">
        <v>344</v>
      </c>
      <c r="Q743" s="286">
        <v>4804</v>
      </c>
      <c r="R743" s="286">
        <v>3882</v>
      </c>
      <c r="S743" s="286">
        <v>911</v>
      </c>
      <c r="T743" s="286">
        <v>4298</v>
      </c>
      <c r="U743" s="286">
        <v>3521</v>
      </c>
      <c r="V743" s="286">
        <v>767</v>
      </c>
      <c r="W743" s="286"/>
      <c r="X743" s="286"/>
      <c r="Y743" s="286"/>
      <c r="Z743" s="286"/>
      <c r="AA743" s="286"/>
      <c r="AB743" s="286"/>
      <c r="AC743" s="286"/>
      <c r="AD743" s="286"/>
      <c r="AE743" s="286"/>
      <c r="AF743" s="286"/>
      <c r="AG743" s="286"/>
      <c r="AH743" s="286"/>
      <c r="AI743" s="286"/>
      <c r="AJ743" s="286"/>
      <c r="AK743" s="286"/>
      <c r="AL743" s="286"/>
      <c r="AM743" s="286"/>
      <c r="AN743" s="286"/>
      <c r="AO743" s="286"/>
      <c r="AP743" s="286"/>
      <c r="AQ743" s="286"/>
      <c r="AR743" s="286"/>
      <c r="AS743" s="286"/>
      <c r="AT743" s="286"/>
      <c r="AU743" s="286"/>
      <c r="AV743" s="286"/>
      <c r="AW743" s="286"/>
      <c r="AX743" s="286"/>
      <c r="AY743" s="286"/>
      <c r="AZ743" s="286"/>
      <c r="BA743" s="286"/>
      <c r="BB743" s="286"/>
      <c r="BC743" s="286"/>
      <c r="BD743" s="286"/>
      <c r="BE743" s="286"/>
      <c r="BF743" s="286"/>
      <c r="BG743" s="286"/>
      <c r="BH743" s="286"/>
      <c r="BI743" s="286"/>
      <c r="BJ743" s="286"/>
      <c r="BK743" s="286"/>
      <c r="BL743" s="286"/>
      <c r="BM743" s="286"/>
      <c r="BN743" s="286"/>
      <c r="BO743" s="286"/>
      <c r="BP743" s="286"/>
      <c r="BQ743" s="286"/>
      <c r="BR743" s="286"/>
      <c r="BS743" s="286"/>
      <c r="BT743" s="286"/>
      <c r="BU743" s="286"/>
      <c r="BV743" s="286"/>
      <c r="BW743" s="286"/>
      <c r="BX743" s="286"/>
      <c r="BY743" s="286"/>
      <c r="BZ743" s="286"/>
      <c r="CA743" s="286"/>
      <c r="CB743" s="286"/>
      <c r="CC743" s="286"/>
      <c r="CD743" s="286"/>
      <c r="CE743" s="286"/>
      <c r="CF743" s="286"/>
      <c r="CG743" s="286"/>
      <c r="CH743" s="286"/>
      <c r="CI743" s="286"/>
      <c r="CJ743" s="286"/>
      <c r="CK743" s="286"/>
      <c r="CL743" s="286"/>
      <c r="CM743" s="286"/>
      <c r="CN743" s="286"/>
      <c r="CO743" s="286"/>
      <c r="CP743" s="286"/>
      <c r="CQ743" s="286"/>
      <c r="CR743" s="286"/>
      <c r="CS743" s="286"/>
      <c r="CT743" s="286"/>
      <c r="CU743" s="286"/>
      <c r="CV743" s="286"/>
      <c r="CW743" s="286"/>
      <c r="CX743" s="286"/>
      <c r="CY743" s="286"/>
      <c r="CZ743" s="286"/>
      <c r="DA743" s="286"/>
      <c r="DB743" s="286"/>
      <c r="DC743" s="286"/>
      <c r="DD743" s="286"/>
      <c r="DE743" s="286"/>
      <c r="DF743" s="286"/>
      <c r="DG743" s="286"/>
      <c r="DH743" s="286"/>
      <c r="DI743" s="286"/>
      <c r="DJ743" s="286"/>
      <c r="DK743" s="286"/>
      <c r="DL743" s="286"/>
      <c r="DM743" s="286"/>
      <c r="DN743" s="286"/>
      <c r="DO743" s="286"/>
      <c r="DP743" s="286"/>
      <c r="DQ743" s="286"/>
      <c r="DR743" s="286"/>
      <c r="DS743" s="286"/>
      <c r="DT743" s="286"/>
      <c r="DU743" s="286"/>
      <c r="DV743" s="286"/>
      <c r="DW743" s="286"/>
      <c r="DX743" s="286"/>
      <c r="DY743" s="286"/>
      <c r="DZ743" s="286"/>
      <c r="EA743" s="286"/>
      <c r="EB743" s="286"/>
      <c r="EC743" s="286"/>
      <c r="ED743" s="286"/>
      <c r="EE743" s="286"/>
      <c r="EF743" s="286"/>
      <c r="EG743" s="286"/>
      <c r="EH743" s="286"/>
      <c r="EI743" s="286"/>
      <c r="EJ743" s="286"/>
      <c r="EK743" s="286"/>
      <c r="EL743" s="286"/>
      <c r="EM743" s="286"/>
      <c r="EN743" s="286"/>
      <c r="EO743" s="286"/>
      <c r="EP743" s="286"/>
      <c r="EQ743" s="286"/>
      <c r="ER743" s="286"/>
      <c r="ES743" s="286"/>
      <c r="ET743" s="286"/>
      <c r="EU743" s="286"/>
      <c r="EV743" s="286"/>
      <c r="EW743" s="286"/>
      <c r="EX743" s="286"/>
      <c r="EY743" s="286"/>
      <c r="EZ743" s="286"/>
      <c r="FA743" s="286"/>
      <c r="FB743" s="286"/>
      <c r="FC743" s="286"/>
      <c r="FD743" s="286"/>
      <c r="FE743" s="286"/>
      <c r="FF743" s="286"/>
      <c r="FG743" s="286"/>
      <c r="FH743" s="286"/>
      <c r="FI743" s="286"/>
      <c r="FJ743" s="286"/>
      <c r="FK743" s="286"/>
      <c r="FL743" s="286"/>
      <c r="FM743" s="286"/>
      <c r="FN743" s="286"/>
      <c r="FO743" s="286"/>
      <c r="FP743" s="286"/>
      <c r="FQ743" s="286"/>
      <c r="FR743" s="286"/>
      <c r="FS743" s="286"/>
    </row>
    <row r="744" spans="1:175">
      <c r="A744" s="212" t="s">
        <v>3159</v>
      </c>
      <c r="B744" s="212" t="s">
        <v>3160</v>
      </c>
      <c r="C744" s="212" t="s">
        <v>3172</v>
      </c>
      <c r="D744" s="212" t="s">
        <v>3928</v>
      </c>
      <c r="E744" s="212" t="s">
        <v>3934</v>
      </c>
      <c r="F744" s="278">
        <v>53</v>
      </c>
      <c r="G744" s="278">
        <v>1431</v>
      </c>
      <c r="H744" s="287">
        <f t="shared" si="11"/>
        <v>0</v>
      </c>
      <c r="I744" s="286">
        <v>0</v>
      </c>
      <c r="J744" s="286">
        <v>0</v>
      </c>
      <c r="K744" s="286">
        <v>0</v>
      </c>
      <c r="L744" s="286">
        <v>0</v>
      </c>
      <c r="M744" s="286">
        <v>0</v>
      </c>
      <c r="N744" s="286">
        <v>0</v>
      </c>
      <c r="O744" s="286">
        <v>0</v>
      </c>
      <c r="P744" s="286">
        <v>0</v>
      </c>
      <c r="Q744" s="286">
        <v>0</v>
      </c>
      <c r="R744" s="286">
        <v>0</v>
      </c>
      <c r="S744" s="286">
        <v>0</v>
      </c>
      <c r="T744" s="286">
        <v>0</v>
      </c>
      <c r="U744" s="286">
        <v>0</v>
      </c>
      <c r="V744" s="286">
        <v>0</v>
      </c>
      <c r="W744" s="286"/>
      <c r="X744" s="286"/>
      <c r="Y744" s="286"/>
      <c r="Z744" s="286"/>
      <c r="AA744" s="286"/>
      <c r="AB744" s="286"/>
      <c r="AC744" s="286"/>
      <c r="AD744" s="286"/>
      <c r="AE744" s="286"/>
      <c r="AF744" s="286"/>
      <c r="AG744" s="286"/>
      <c r="AH744" s="286"/>
      <c r="AI744" s="286"/>
      <c r="AJ744" s="286"/>
      <c r="AK744" s="286"/>
      <c r="AL744" s="286"/>
      <c r="AM744" s="286"/>
      <c r="AN744" s="286"/>
      <c r="AO744" s="286"/>
      <c r="AP744" s="286"/>
      <c r="AQ744" s="286"/>
      <c r="AR744" s="286"/>
      <c r="AS744" s="286"/>
      <c r="AT744" s="286"/>
      <c r="AU744" s="286"/>
      <c r="AV744" s="286"/>
      <c r="AW744" s="286"/>
      <c r="AX744" s="286"/>
      <c r="AY744" s="286"/>
      <c r="AZ744" s="286"/>
      <c r="BA744" s="286"/>
      <c r="BB744" s="286"/>
      <c r="BC744" s="286"/>
      <c r="BD744" s="286"/>
      <c r="BE744" s="286"/>
      <c r="BF744" s="286"/>
      <c r="BG744" s="286"/>
      <c r="BH744" s="286"/>
      <c r="BI744" s="286"/>
      <c r="BJ744" s="286"/>
      <c r="BK744" s="286"/>
      <c r="BL744" s="286"/>
      <c r="BM744" s="286"/>
      <c r="BN744" s="286"/>
      <c r="BO744" s="286"/>
      <c r="BP744" s="286"/>
      <c r="BQ744" s="286"/>
      <c r="BR744" s="286"/>
      <c r="BS744" s="286"/>
      <c r="BT744" s="286"/>
      <c r="BU744" s="286"/>
      <c r="BV744" s="286"/>
      <c r="BW744" s="286"/>
      <c r="BX744" s="286"/>
      <c r="BY744" s="286"/>
      <c r="BZ744" s="286"/>
      <c r="CA744" s="286"/>
      <c r="CB744" s="286"/>
      <c r="CC744" s="286"/>
      <c r="CD744" s="286"/>
      <c r="CE744" s="286"/>
      <c r="CF744" s="286"/>
      <c r="CG744" s="286"/>
      <c r="CH744" s="286"/>
      <c r="CI744" s="286"/>
      <c r="CJ744" s="286"/>
      <c r="CK744" s="286"/>
      <c r="CL744" s="286"/>
      <c r="CM744" s="286"/>
      <c r="CN744" s="286"/>
      <c r="CO744" s="286"/>
      <c r="CP744" s="286"/>
      <c r="CQ744" s="286"/>
      <c r="CR744" s="286"/>
      <c r="CS744" s="286"/>
      <c r="CT744" s="286"/>
      <c r="CU744" s="286"/>
      <c r="CV744" s="286"/>
      <c r="CW744" s="286"/>
      <c r="CX744" s="286"/>
      <c r="CY744" s="286"/>
      <c r="CZ744" s="286"/>
      <c r="DA744" s="286"/>
      <c r="DB744" s="286"/>
      <c r="DC744" s="286"/>
      <c r="DD744" s="286"/>
      <c r="DE744" s="286"/>
      <c r="DF744" s="286"/>
      <c r="DG744" s="286"/>
      <c r="DH744" s="286"/>
      <c r="DI744" s="286"/>
      <c r="DJ744" s="286"/>
      <c r="DK744" s="286"/>
      <c r="DL744" s="286"/>
      <c r="DM744" s="286"/>
      <c r="DN744" s="286"/>
      <c r="DO744" s="286"/>
      <c r="DP744" s="286"/>
      <c r="DQ744" s="286"/>
      <c r="DR744" s="286"/>
      <c r="DS744" s="286"/>
      <c r="DT744" s="286"/>
      <c r="DU744" s="286"/>
      <c r="DV744" s="286"/>
      <c r="DW744" s="286"/>
      <c r="DX744" s="286"/>
      <c r="DY744" s="286"/>
      <c r="DZ744" s="286"/>
      <c r="EA744" s="286"/>
      <c r="EB744" s="286"/>
      <c r="EC744" s="286"/>
      <c r="ED744" s="286"/>
      <c r="EE744" s="286"/>
      <c r="EF744" s="286"/>
      <c r="EG744" s="286"/>
      <c r="EH744" s="286"/>
      <c r="EI744" s="286"/>
      <c r="EJ744" s="286"/>
      <c r="EK744" s="286"/>
      <c r="EL744" s="286"/>
      <c r="EM744" s="286"/>
      <c r="EN744" s="286"/>
      <c r="EO744" s="286"/>
      <c r="EP744" s="286"/>
      <c r="EQ744" s="286"/>
      <c r="ER744" s="286"/>
      <c r="ES744" s="286"/>
      <c r="ET744" s="286"/>
      <c r="EU744" s="286"/>
      <c r="EV744" s="286"/>
      <c r="EW744" s="286"/>
      <c r="EX744" s="286"/>
      <c r="EY744" s="286"/>
      <c r="EZ744" s="286"/>
      <c r="FA744" s="286"/>
      <c r="FB744" s="286"/>
      <c r="FC744" s="286"/>
      <c r="FD744" s="286"/>
      <c r="FE744" s="286"/>
      <c r="FF744" s="286"/>
      <c r="FG744" s="286"/>
      <c r="FH744" s="286"/>
      <c r="FI744" s="286"/>
      <c r="FJ744" s="286"/>
      <c r="FK744" s="286"/>
      <c r="FL744" s="286"/>
      <c r="FM744" s="286"/>
      <c r="FN744" s="286"/>
      <c r="FO744" s="286"/>
      <c r="FP744" s="286"/>
      <c r="FQ744" s="286"/>
      <c r="FR744" s="286"/>
      <c r="FS744" s="286"/>
    </row>
    <row r="745" spans="1:175">
      <c r="A745" s="212" t="s">
        <v>3159</v>
      </c>
      <c r="B745" s="212" t="s">
        <v>3160</v>
      </c>
      <c r="C745" s="212" t="s">
        <v>3170</v>
      </c>
      <c r="D745" s="212" t="s">
        <v>3928</v>
      </c>
      <c r="E745" s="212" t="s">
        <v>3935</v>
      </c>
      <c r="F745" s="278">
        <v>48798</v>
      </c>
      <c r="G745" s="278">
        <v>220145</v>
      </c>
      <c r="H745" s="287">
        <f t="shared" si="11"/>
        <v>3.2519475800040878</v>
      </c>
      <c r="I745" s="286">
        <v>1575</v>
      </c>
      <c r="J745" s="286">
        <v>7159</v>
      </c>
      <c r="K745" s="286">
        <v>5685</v>
      </c>
      <c r="L745" s="286">
        <v>1470</v>
      </c>
      <c r="M745" s="286">
        <v>5055</v>
      </c>
      <c r="N745" s="286">
        <v>4070</v>
      </c>
      <c r="O745" s="286">
        <v>981</v>
      </c>
      <c r="P745" s="286">
        <v>1575</v>
      </c>
      <c r="Q745" s="286">
        <v>7159</v>
      </c>
      <c r="R745" s="286">
        <v>5685</v>
      </c>
      <c r="S745" s="286">
        <v>1470</v>
      </c>
      <c r="T745" s="286">
        <v>5055</v>
      </c>
      <c r="U745" s="286">
        <v>4070</v>
      </c>
      <c r="V745" s="286">
        <v>981</v>
      </c>
      <c r="W745" s="286"/>
      <c r="X745" s="286"/>
      <c r="Y745" s="286"/>
      <c r="Z745" s="286"/>
      <c r="AA745" s="286"/>
      <c r="AB745" s="286"/>
      <c r="AC745" s="286"/>
      <c r="AD745" s="286"/>
      <c r="AE745" s="286"/>
      <c r="AF745" s="286"/>
      <c r="AG745" s="286"/>
      <c r="AH745" s="286"/>
      <c r="AI745" s="286"/>
      <c r="AJ745" s="286"/>
      <c r="AK745" s="286"/>
      <c r="AL745" s="286"/>
      <c r="AM745" s="286"/>
      <c r="AN745" s="286"/>
      <c r="AO745" s="286"/>
      <c r="AP745" s="286"/>
      <c r="AQ745" s="286"/>
      <c r="AR745" s="286"/>
      <c r="AS745" s="286"/>
      <c r="AT745" s="286"/>
      <c r="AU745" s="286"/>
      <c r="AV745" s="286"/>
      <c r="AW745" s="286"/>
      <c r="AX745" s="286"/>
      <c r="AY745" s="286"/>
      <c r="AZ745" s="286"/>
      <c r="BA745" s="286"/>
      <c r="BB745" s="286"/>
      <c r="BC745" s="286"/>
      <c r="BD745" s="286"/>
      <c r="BE745" s="286"/>
      <c r="BF745" s="286"/>
      <c r="BG745" s="286"/>
      <c r="BH745" s="286"/>
      <c r="BI745" s="286"/>
      <c r="BJ745" s="286"/>
      <c r="BK745" s="286"/>
      <c r="BL745" s="286"/>
      <c r="BM745" s="286"/>
      <c r="BN745" s="286"/>
      <c r="BO745" s="286"/>
      <c r="BP745" s="286"/>
      <c r="BQ745" s="286"/>
      <c r="BR745" s="286"/>
      <c r="BS745" s="286"/>
      <c r="BT745" s="286"/>
      <c r="BU745" s="286"/>
      <c r="BV745" s="286"/>
      <c r="BW745" s="286"/>
      <c r="BX745" s="286"/>
      <c r="BY745" s="286"/>
      <c r="BZ745" s="286"/>
      <c r="CA745" s="286"/>
      <c r="CB745" s="286"/>
      <c r="CC745" s="286"/>
      <c r="CD745" s="286"/>
      <c r="CE745" s="286"/>
      <c r="CF745" s="286"/>
      <c r="CG745" s="286"/>
      <c r="CH745" s="286"/>
      <c r="CI745" s="286"/>
      <c r="CJ745" s="286"/>
      <c r="CK745" s="286"/>
      <c r="CL745" s="286"/>
      <c r="CM745" s="286"/>
      <c r="CN745" s="286"/>
      <c r="CO745" s="286"/>
      <c r="CP745" s="286"/>
      <c r="CQ745" s="286"/>
      <c r="CR745" s="286"/>
      <c r="CS745" s="286"/>
      <c r="CT745" s="286"/>
      <c r="CU745" s="286"/>
      <c r="CV745" s="286"/>
      <c r="CW745" s="286"/>
      <c r="CX745" s="286"/>
      <c r="CY745" s="286"/>
      <c r="CZ745" s="286"/>
      <c r="DA745" s="286"/>
      <c r="DB745" s="286"/>
      <c r="DC745" s="286"/>
      <c r="DD745" s="286"/>
      <c r="DE745" s="286"/>
      <c r="DF745" s="286"/>
      <c r="DG745" s="286"/>
      <c r="DH745" s="286"/>
      <c r="DI745" s="286"/>
      <c r="DJ745" s="286"/>
      <c r="DK745" s="286"/>
      <c r="DL745" s="286"/>
      <c r="DM745" s="286"/>
      <c r="DN745" s="286"/>
      <c r="DO745" s="286"/>
      <c r="DP745" s="286"/>
      <c r="DQ745" s="286"/>
      <c r="DR745" s="286"/>
      <c r="DS745" s="286"/>
      <c r="DT745" s="286"/>
      <c r="DU745" s="286"/>
      <c r="DV745" s="286"/>
      <c r="DW745" s="286"/>
      <c r="DX745" s="286"/>
      <c r="DY745" s="286"/>
      <c r="DZ745" s="286"/>
      <c r="EA745" s="286"/>
      <c r="EB745" s="286"/>
      <c r="EC745" s="286"/>
      <c r="ED745" s="286"/>
      <c r="EE745" s="286"/>
      <c r="EF745" s="286"/>
      <c r="EG745" s="286"/>
      <c r="EH745" s="286"/>
      <c r="EI745" s="286"/>
      <c r="EJ745" s="286"/>
      <c r="EK745" s="286"/>
      <c r="EL745" s="286"/>
      <c r="EM745" s="286"/>
      <c r="EN745" s="286"/>
      <c r="EO745" s="286"/>
      <c r="EP745" s="286"/>
      <c r="EQ745" s="286"/>
      <c r="ER745" s="286"/>
      <c r="ES745" s="286"/>
      <c r="ET745" s="286"/>
      <c r="EU745" s="286"/>
      <c r="EV745" s="286"/>
      <c r="EW745" s="286"/>
      <c r="EX745" s="286"/>
      <c r="EY745" s="286"/>
      <c r="EZ745" s="286"/>
      <c r="FA745" s="286"/>
      <c r="FB745" s="286"/>
      <c r="FC745" s="286"/>
      <c r="FD745" s="286"/>
      <c r="FE745" s="286"/>
      <c r="FF745" s="286"/>
      <c r="FG745" s="286"/>
      <c r="FH745" s="286"/>
      <c r="FI745" s="286"/>
      <c r="FJ745" s="286"/>
      <c r="FK745" s="286"/>
      <c r="FL745" s="286"/>
      <c r="FM745" s="286"/>
      <c r="FN745" s="286"/>
      <c r="FO745" s="286"/>
      <c r="FP745" s="286"/>
      <c r="FQ745" s="286"/>
      <c r="FR745" s="286"/>
      <c r="FS745" s="286"/>
    </row>
    <row r="746" spans="1:175">
      <c r="A746" s="212" t="s">
        <v>3159</v>
      </c>
      <c r="B746" s="212" t="s">
        <v>3160</v>
      </c>
      <c r="C746" s="212" t="s">
        <v>3172</v>
      </c>
      <c r="D746" s="212" t="s">
        <v>3928</v>
      </c>
      <c r="E746" s="212" t="s">
        <v>3936</v>
      </c>
      <c r="F746" s="278">
        <v>120</v>
      </c>
      <c r="G746" s="278">
        <v>806</v>
      </c>
      <c r="H746" s="287">
        <f t="shared" si="11"/>
        <v>1.3647642679900744</v>
      </c>
      <c r="I746" s="286">
        <v>3</v>
      </c>
      <c r="J746" s="286">
        <v>11</v>
      </c>
      <c r="K746" s="286">
        <v>4</v>
      </c>
      <c r="L746" s="286">
        <v>7</v>
      </c>
      <c r="M746" s="286">
        <v>7</v>
      </c>
      <c r="N746" s="286">
        <v>1</v>
      </c>
      <c r="O746" s="286">
        <v>6</v>
      </c>
      <c r="P746" s="286">
        <v>3</v>
      </c>
      <c r="Q746" s="286">
        <v>11</v>
      </c>
      <c r="R746" s="286">
        <v>4</v>
      </c>
      <c r="S746" s="286">
        <v>7</v>
      </c>
      <c r="T746" s="286">
        <v>7</v>
      </c>
      <c r="U746" s="286">
        <v>1</v>
      </c>
      <c r="V746" s="286">
        <v>6</v>
      </c>
      <c r="W746" s="286"/>
      <c r="X746" s="286"/>
      <c r="Y746" s="286"/>
      <c r="Z746" s="286"/>
      <c r="AA746" s="286"/>
      <c r="AB746" s="286"/>
      <c r="AC746" s="286"/>
      <c r="AD746" s="286"/>
      <c r="AE746" s="286"/>
      <c r="AF746" s="286"/>
      <c r="AG746" s="286"/>
      <c r="AH746" s="286"/>
      <c r="AI746" s="286"/>
      <c r="AJ746" s="286"/>
      <c r="AK746" s="286"/>
      <c r="AL746" s="286"/>
      <c r="AM746" s="286"/>
      <c r="AN746" s="286"/>
      <c r="AO746" s="286"/>
      <c r="AP746" s="286"/>
      <c r="AQ746" s="286"/>
      <c r="AR746" s="286"/>
      <c r="AS746" s="286"/>
      <c r="AT746" s="286"/>
      <c r="AU746" s="286"/>
      <c r="AV746" s="286"/>
      <c r="AW746" s="286"/>
      <c r="AX746" s="286"/>
      <c r="AY746" s="286"/>
      <c r="AZ746" s="286"/>
      <c r="BA746" s="286"/>
      <c r="BB746" s="286"/>
      <c r="BC746" s="286"/>
      <c r="BD746" s="286"/>
      <c r="BE746" s="286"/>
      <c r="BF746" s="286"/>
      <c r="BG746" s="286"/>
      <c r="BH746" s="286"/>
      <c r="BI746" s="286"/>
      <c r="BJ746" s="286"/>
      <c r="BK746" s="286"/>
      <c r="BL746" s="286"/>
      <c r="BM746" s="286"/>
      <c r="BN746" s="286"/>
      <c r="BO746" s="286"/>
      <c r="BP746" s="286"/>
      <c r="BQ746" s="286"/>
      <c r="BR746" s="286"/>
      <c r="BS746" s="286"/>
      <c r="BT746" s="286"/>
      <c r="BU746" s="286"/>
      <c r="BV746" s="286"/>
      <c r="BW746" s="286"/>
      <c r="BX746" s="286"/>
      <c r="BY746" s="286"/>
      <c r="BZ746" s="286"/>
      <c r="CA746" s="286"/>
      <c r="CB746" s="286"/>
      <c r="CC746" s="286"/>
      <c r="CD746" s="286"/>
      <c r="CE746" s="286"/>
      <c r="CF746" s="286"/>
      <c r="CG746" s="286"/>
      <c r="CH746" s="286"/>
      <c r="CI746" s="286"/>
      <c r="CJ746" s="286"/>
      <c r="CK746" s="286"/>
      <c r="CL746" s="286"/>
      <c r="CM746" s="286"/>
      <c r="CN746" s="286"/>
      <c r="CO746" s="286"/>
      <c r="CP746" s="286"/>
      <c r="CQ746" s="286"/>
      <c r="CR746" s="286"/>
      <c r="CS746" s="286"/>
      <c r="CT746" s="286"/>
      <c r="CU746" s="286"/>
      <c r="CV746" s="286"/>
      <c r="CW746" s="286"/>
      <c r="CX746" s="286"/>
      <c r="CY746" s="286"/>
      <c r="CZ746" s="286"/>
      <c r="DA746" s="286"/>
      <c r="DB746" s="286"/>
      <c r="DC746" s="286"/>
      <c r="DD746" s="286"/>
      <c r="DE746" s="286"/>
      <c r="DF746" s="286"/>
      <c r="DG746" s="286"/>
      <c r="DH746" s="286"/>
      <c r="DI746" s="286"/>
      <c r="DJ746" s="286"/>
      <c r="DK746" s="286"/>
      <c r="DL746" s="286"/>
      <c r="DM746" s="286"/>
      <c r="DN746" s="286"/>
      <c r="DO746" s="286"/>
      <c r="DP746" s="286"/>
      <c r="DQ746" s="286"/>
      <c r="DR746" s="286"/>
      <c r="DS746" s="286"/>
      <c r="DT746" s="286"/>
      <c r="DU746" s="286"/>
      <c r="DV746" s="286"/>
      <c r="DW746" s="286"/>
      <c r="DX746" s="286"/>
      <c r="DY746" s="286"/>
      <c r="DZ746" s="286"/>
      <c r="EA746" s="286"/>
      <c r="EB746" s="286"/>
      <c r="EC746" s="286"/>
      <c r="ED746" s="286"/>
      <c r="EE746" s="286"/>
      <c r="EF746" s="286"/>
      <c r="EG746" s="286"/>
      <c r="EH746" s="286"/>
      <c r="EI746" s="286"/>
      <c r="EJ746" s="286"/>
      <c r="EK746" s="286"/>
      <c r="EL746" s="286"/>
      <c r="EM746" s="286"/>
      <c r="EN746" s="286"/>
      <c r="EO746" s="286"/>
      <c r="EP746" s="286"/>
      <c r="EQ746" s="286"/>
      <c r="ER746" s="286"/>
      <c r="ES746" s="286"/>
      <c r="ET746" s="286"/>
      <c r="EU746" s="286"/>
      <c r="EV746" s="286"/>
      <c r="EW746" s="286"/>
      <c r="EX746" s="286"/>
      <c r="EY746" s="286"/>
      <c r="EZ746" s="286"/>
      <c r="FA746" s="286"/>
      <c r="FB746" s="286"/>
      <c r="FC746" s="286"/>
      <c r="FD746" s="286"/>
      <c r="FE746" s="286"/>
      <c r="FF746" s="286"/>
      <c r="FG746" s="286"/>
      <c r="FH746" s="286"/>
      <c r="FI746" s="286"/>
      <c r="FJ746" s="286"/>
      <c r="FK746" s="286"/>
      <c r="FL746" s="286"/>
      <c r="FM746" s="286"/>
      <c r="FN746" s="286"/>
      <c r="FO746" s="286"/>
      <c r="FP746" s="286"/>
      <c r="FQ746" s="286"/>
      <c r="FR746" s="286"/>
      <c r="FS746" s="286"/>
    </row>
    <row r="747" spans="1:175">
      <c r="A747" s="212" t="s">
        <v>3159</v>
      </c>
      <c r="B747" s="212" t="s">
        <v>3160</v>
      </c>
      <c r="C747" s="212" t="s">
        <v>3172</v>
      </c>
      <c r="D747" s="212" t="s">
        <v>3928</v>
      </c>
      <c r="E747" s="212" t="s">
        <v>3937</v>
      </c>
      <c r="F747" s="278">
        <v>48678</v>
      </c>
      <c r="G747" s="278">
        <v>219339</v>
      </c>
      <c r="H747" s="287">
        <f t="shared" si="11"/>
        <v>3.2588823693004891</v>
      </c>
      <c r="I747" s="286">
        <v>1572</v>
      </c>
      <c r="J747" s="286">
        <v>7148</v>
      </c>
      <c r="K747" s="286">
        <v>5681</v>
      </c>
      <c r="L747" s="286">
        <v>1463</v>
      </c>
      <c r="M747" s="286">
        <v>5048</v>
      </c>
      <c r="N747" s="286">
        <v>4069</v>
      </c>
      <c r="O747" s="286">
        <v>975</v>
      </c>
      <c r="P747" s="286">
        <v>1572</v>
      </c>
      <c r="Q747" s="286">
        <v>7148</v>
      </c>
      <c r="R747" s="286">
        <v>5681</v>
      </c>
      <c r="S747" s="286">
        <v>1463</v>
      </c>
      <c r="T747" s="286">
        <v>5048</v>
      </c>
      <c r="U747" s="286">
        <v>4069</v>
      </c>
      <c r="V747" s="286">
        <v>975</v>
      </c>
      <c r="W747" s="286"/>
      <c r="X747" s="286"/>
      <c r="Y747" s="286"/>
      <c r="Z747" s="286"/>
      <c r="AA747" s="286"/>
      <c r="AB747" s="286"/>
      <c r="AC747" s="286"/>
      <c r="AD747" s="286"/>
      <c r="AE747" s="286"/>
      <c r="AF747" s="286"/>
      <c r="AG747" s="286"/>
      <c r="AH747" s="286"/>
      <c r="AI747" s="286"/>
      <c r="AJ747" s="286"/>
      <c r="AK747" s="286"/>
      <c r="AL747" s="286"/>
      <c r="AM747" s="286"/>
      <c r="AN747" s="286"/>
      <c r="AO747" s="286"/>
      <c r="AP747" s="286"/>
      <c r="AQ747" s="286"/>
      <c r="AR747" s="286"/>
      <c r="AS747" s="286"/>
      <c r="AT747" s="286"/>
      <c r="AU747" s="286"/>
      <c r="AV747" s="286"/>
      <c r="AW747" s="286"/>
      <c r="AX747" s="286"/>
      <c r="AY747" s="286"/>
      <c r="AZ747" s="286"/>
      <c r="BA747" s="286"/>
      <c r="BB747" s="286"/>
      <c r="BC747" s="286"/>
      <c r="BD747" s="286"/>
      <c r="BE747" s="286"/>
      <c r="BF747" s="286"/>
      <c r="BG747" s="286"/>
      <c r="BH747" s="286"/>
      <c r="BI747" s="286"/>
      <c r="BJ747" s="286"/>
      <c r="BK747" s="286"/>
      <c r="BL747" s="286"/>
      <c r="BM747" s="286"/>
      <c r="BN747" s="286"/>
      <c r="BO747" s="286"/>
      <c r="BP747" s="286"/>
      <c r="BQ747" s="286"/>
      <c r="BR747" s="286"/>
      <c r="BS747" s="286"/>
      <c r="BT747" s="286"/>
      <c r="BU747" s="286"/>
      <c r="BV747" s="286"/>
      <c r="BW747" s="286"/>
      <c r="BX747" s="286"/>
      <c r="BY747" s="286"/>
      <c r="BZ747" s="286"/>
      <c r="CA747" s="286"/>
      <c r="CB747" s="286"/>
      <c r="CC747" s="286"/>
      <c r="CD747" s="286"/>
      <c r="CE747" s="286"/>
      <c r="CF747" s="286"/>
      <c r="CG747" s="286"/>
      <c r="CH747" s="286"/>
      <c r="CI747" s="286"/>
      <c r="CJ747" s="286"/>
      <c r="CK747" s="286"/>
      <c r="CL747" s="286"/>
      <c r="CM747" s="286"/>
      <c r="CN747" s="286"/>
      <c r="CO747" s="286"/>
      <c r="CP747" s="286"/>
      <c r="CQ747" s="286"/>
      <c r="CR747" s="286"/>
      <c r="CS747" s="286"/>
      <c r="CT747" s="286"/>
      <c r="CU747" s="286"/>
      <c r="CV747" s="286"/>
      <c r="CW747" s="286"/>
      <c r="CX747" s="286"/>
      <c r="CY747" s="286"/>
      <c r="CZ747" s="286"/>
      <c r="DA747" s="286"/>
      <c r="DB747" s="286"/>
      <c r="DC747" s="286"/>
      <c r="DD747" s="286"/>
      <c r="DE747" s="286"/>
      <c r="DF747" s="286"/>
      <c r="DG747" s="286"/>
      <c r="DH747" s="286"/>
      <c r="DI747" s="286"/>
      <c r="DJ747" s="286"/>
      <c r="DK747" s="286"/>
      <c r="DL747" s="286"/>
      <c r="DM747" s="286"/>
      <c r="DN747" s="286"/>
      <c r="DO747" s="286"/>
      <c r="DP747" s="286"/>
      <c r="DQ747" s="286"/>
      <c r="DR747" s="286"/>
      <c r="DS747" s="286"/>
      <c r="DT747" s="286"/>
      <c r="DU747" s="286"/>
      <c r="DV747" s="286"/>
      <c r="DW747" s="286"/>
      <c r="DX747" s="286"/>
      <c r="DY747" s="286"/>
      <c r="DZ747" s="286"/>
      <c r="EA747" s="286"/>
      <c r="EB747" s="286"/>
      <c r="EC747" s="286"/>
      <c r="ED747" s="286"/>
      <c r="EE747" s="286"/>
      <c r="EF747" s="286"/>
      <c r="EG747" s="286"/>
      <c r="EH747" s="286"/>
      <c r="EI747" s="286"/>
      <c r="EJ747" s="286"/>
      <c r="EK747" s="286"/>
      <c r="EL747" s="286"/>
      <c r="EM747" s="286"/>
      <c r="EN747" s="286"/>
      <c r="EO747" s="286"/>
      <c r="EP747" s="286"/>
      <c r="EQ747" s="286"/>
      <c r="ER747" s="286"/>
      <c r="ES747" s="286"/>
      <c r="ET747" s="286"/>
      <c r="EU747" s="286"/>
      <c r="EV747" s="286"/>
      <c r="EW747" s="286"/>
      <c r="EX747" s="286"/>
      <c r="EY747" s="286"/>
      <c r="EZ747" s="286"/>
      <c r="FA747" s="286"/>
      <c r="FB747" s="286"/>
      <c r="FC747" s="286"/>
      <c r="FD747" s="286"/>
      <c r="FE747" s="286"/>
      <c r="FF747" s="286"/>
      <c r="FG747" s="286"/>
      <c r="FH747" s="286"/>
      <c r="FI747" s="286"/>
      <c r="FJ747" s="286"/>
      <c r="FK747" s="286"/>
      <c r="FL747" s="286"/>
      <c r="FM747" s="286"/>
      <c r="FN747" s="286"/>
      <c r="FO747" s="286"/>
      <c r="FP747" s="286"/>
      <c r="FQ747" s="286"/>
      <c r="FR747" s="286"/>
      <c r="FS747" s="286"/>
    </row>
    <row r="748" spans="1:175">
      <c r="A748" s="212" t="s">
        <v>3159</v>
      </c>
      <c r="B748" s="212" t="s">
        <v>3160</v>
      </c>
      <c r="C748" s="212" t="s">
        <v>3170</v>
      </c>
      <c r="D748" s="212" t="s">
        <v>3928</v>
      </c>
      <c r="E748" s="212" t="s">
        <v>3938</v>
      </c>
      <c r="F748" s="278">
        <v>28705</v>
      </c>
      <c r="G748" s="278">
        <v>228732</v>
      </c>
      <c r="H748" s="287">
        <f t="shared" si="11"/>
        <v>3.4297780808981688</v>
      </c>
      <c r="I748" s="286">
        <v>1173</v>
      </c>
      <c r="J748" s="286">
        <v>7845</v>
      </c>
      <c r="K748" s="286">
        <v>6562</v>
      </c>
      <c r="L748" s="286">
        <v>1275</v>
      </c>
      <c r="M748" s="286">
        <v>6603</v>
      </c>
      <c r="N748" s="286">
        <v>5607</v>
      </c>
      <c r="O748" s="286">
        <v>988</v>
      </c>
      <c r="P748" s="286">
        <v>1173</v>
      </c>
      <c r="Q748" s="286">
        <v>7845</v>
      </c>
      <c r="R748" s="286">
        <v>6562</v>
      </c>
      <c r="S748" s="286">
        <v>1275</v>
      </c>
      <c r="T748" s="286">
        <v>6603</v>
      </c>
      <c r="U748" s="286">
        <v>5607</v>
      </c>
      <c r="V748" s="286">
        <v>988</v>
      </c>
      <c r="W748" s="286"/>
      <c r="X748" s="286"/>
      <c r="Y748" s="286"/>
      <c r="Z748" s="286"/>
      <c r="AA748" s="286"/>
      <c r="AB748" s="286"/>
      <c r="AC748" s="286"/>
      <c r="AD748" s="286"/>
      <c r="AE748" s="286"/>
      <c r="AF748" s="286"/>
      <c r="AG748" s="286"/>
      <c r="AH748" s="286"/>
      <c r="AI748" s="286"/>
      <c r="AJ748" s="286"/>
      <c r="AK748" s="286"/>
      <c r="AL748" s="286"/>
      <c r="AM748" s="286"/>
      <c r="AN748" s="286"/>
      <c r="AO748" s="286"/>
      <c r="AP748" s="286"/>
      <c r="AQ748" s="286"/>
      <c r="AR748" s="286"/>
      <c r="AS748" s="286"/>
      <c r="AT748" s="286"/>
      <c r="AU748" s="286"/>
      <c r="AV748" s="286"/>
      <c r="AW748" s="286"/>
      <c r="AX748" s="286"/>
      <c r="AY748" s="286"/>
      <c r="AZ748" s="286"/>
      <c r="BA748" s="286"/>
      <c r="BB748" s="286"/>
      <c r="BC748" s="286"/>
      <c r="BD748" s="286"/>
      <c r="BE748" s="286"/>
      <c r="BF748" s="286"/>
      <c r="BG748" s="286"/>
      <c r="BH748" s="286"/>
      <c r="BI748" s="286"/>
      <c r="BJ748" s="286"/>
      <c r="BK748" s="286"/>
      <c r="BL748" s="286"/>
      <c r="BM748" s="286"/>
      <c r="BN748" s="286"/>
      <c r="BO748" s="286"/>
      <c r="BP748" s="286"/>
      <c r="BQ748" s="286"/>
      <c r="BR748" s="286"/>
      <c r="BS748" s="286"/>
      <c r="BT748" s="286"/>
      <c r="BU748" s="286"/>
      <c r="BV748" s="286"/>
      <c r="BW748" s="286"/>
      <c r="BX748" s="286"/>
      <c r="BY748" s="286"/>
      <c r="BZ748" s="286"/>
      <c r="CA748" s="286"/>
      <c r="CB748" s="286"/>
      <c r="CC748" s="286"/>
      <c r="CD748" s="286"/>
      <c r="CE748" s="286"/>
      <c r="CF748" s="286"/>
      <c r="CG748" s="286"/>
      <c r="CH748" s="286"/>
      <c r="CI748" s="286"/>
      <c r="CJ748" s="286"/>
      <c r="CK748" s="286"/>
      <c r="CL748" s="286"/>
      <c r="CM748" s="286"/>
      <c r="CN748" s="286"/>
      <c r="CO748" s="286"/>
      <c r="CP748" s="286"/>
      <c r="CQ748" s="286"/>
      <c r="CR748" s="286"/>
      <c r="CS748" s="286"/>
      <c r="CT748" s="286"/>
      <c r="CU748" s="286"/>
      <c r="CV748" s="286"/>
      <c r="CW748" s="286"/>
      <c r="CX748" s="286"/>
      <c r="CY748" s="286"/>
      <c r="CZ748" s="286"/>
      <c r="DA748" s="286"/>
      <c r="DB748" s="286"/>
      <c r="DC748" s="286"/>
      <c r="DD748" s="286"/>
      <c r="DE748" s="286"/>
      <c r="DF748" s="286"/>
      <c r="DG748" s="286"/>
      <c r="DH748" s="286"/>
      <c r="DI748" s="286"/>
      <c r="DJ748" s="286"/>
      <c r="DK748" s="286"/>
      <c r="DL748" s="286"/>
      <c r="DM748" s="286"/>
      <c r="DN748" s="286"/>
      <c r="DO748" s="286"/>
      <c r="DP748" s="286"/>
      <c r="DQ748" s="286"/>
      <c r="DR748" s="286"/>
      <c r="DS748" s="286"/>
      <c r="DT748" s="286"/>
      <c r="DU748" s="286"/>
      <c r="DV748" s="286"/>
      <c r="DW748" s="286"/>
      <c r="DX748" s="286"/>
      <c r="DY748" s="286"/>
      <c r="DZ748" s="286"/>
      <c r="EA748" s="286"/>
      <c r="EB748" s="286"/>
      <c r="EC748" s="286"/>
      <c r="ED748" s="286"/>
      <c r="EE748" s="286"/>
      <c r="EF748" s="286"/>
      <c r="EG748" s="286"/>
      <c r="EH748" s="286"/>
      <c r="EI748" s="286"/>
      <c r="EJ748" s="286"/>
      <c r="EK748" s="286"/>
      <c r="EL748" s="286"/>
      <c r="EM748" s="286"/>
      <c r="EN748" s="286"/>
      <c r="EO748" s="286"/>
      <c r="EP748" s="286"/>
      <c r="EQ748" s="286"/>
      <c r="ER748" s="286"/>
      <c r="ES748" s="286"/>
      <c r="ET748" s="286"/>
      <c r="EU748" s="286"/>
      <c r="EV748" s="286"/>
      <c r="EW748" s="286"/>
      <c r="EX748" s="286"/>
      <c r="EY748" s="286"/>
      <c r="EZ748" s="286"/>
      <c r="FA748" s="286"/>
      <c r="FB748" s="286"/>
      <c r="FC748" s="286"/>
      <c r="FD748" s="286"/>
      <c r="FE748" s="286"/>
      <c r="FF748" s="286"/>
      <c r="FG748" s="286"/>
      <c r="FH748" s="286"/>
      <c r="FI748" s="286"/>
      <c r="FJ748" s="286"/>
      <c r="FK748" s="286"/>
      <c r="FL748" s="286"/>
      <c r="FM748" s="286"/>
      <c r="FN748" s="286"/>
      <c r="FO748" s="286"/>
      <c r="FP748" s="286"/>
      <c r="FQ748" s="286"/>
      <c r="FR748" s="286"/>
      <c r="FS748" s="286"/>
    </row>
    <row r="749" spans="1:175">
      <c r="A749" s="212" t="s">
        <v>3159</v>
      </c>
      <c r="B749" s="212" t="s">
        <v>3160</v>
      </c>
      <c r="C749" s="212" t="s">
        <v>3172</v>
      </c>
      <c r="D749" s="212" t="s">
        <v>3928</v>
      </c>
      <c r="E749" s="212" t="s">
        <v>3939</v>
      </c>
      <c r="F749" s="278">
        <v>161</v>
      </c>
      <c r="G749" s="278">
        <v>2236</v>
      </c>
      <c r="H749" s="287">
        <f t="shared" si="11"/>
        <v>1.1627906976744187</v>
      </c>
      <c r="I749" s="286">
        <v>2</v>
      </c>
      <c r="J749" s="286">
        <v>26</v>
      </c>
      <c r="K749" s="286">
        <v>15</v>
      </c>
      <c r="L749" s="286">
        <v>11</v>
      </c>
      <c r="M749" s="286">
        <v>21</v>
      </c>
      <c r="N749" s="286">
        <v>12</v>
      </c>
      <c r="O749" s="286">
        <v>9</v>
      </c>
      <c r="P749" s="286">
        <v>2</v>
      </c>
      <c r="Q749" s="286">
        <v>26</v>
      </c>
      <c r="R749" s="286">
        <v>15</v>
      </c>
      <c r="S749" s="286">
        <v>11</v>
      </c>
      <c r="T749" s="286">
        <v>21</v>
      </c>
      <c r="U749" s="286">
        <v>12</v>
      </c>
      <c r="V749" s="286">
        <v>9</v>
      </c>
      <c r="W749" s="286"/>
      <c r="X749" s="286"/>
      <c r="Y749" s="286"/>
      <c r="Z749" s="286"/>
      <c r="AA749" s="286"/>
      <c r="AB749" s="286"/>
      <c r="AC749" s="286"/>
      <c r="AD749" s="286"/>
      <c r="AE749" s="286"/>
      <c r="AF749" s="286"/>
      <c r="AG749" s="286"/>
      <c r="AH749" s="286"/>
      <c r="AI749" s="286"/>
      <c r="AJ749" s="286"/>
      <c r="AK749" s="286"/>
      <c r="AL749" s="286"/>
      <c r="AM749" s="286"/>
      <c r="AN749" s="286"/>
      <c r="AO749" s="286"/>
      <c r="AP749" s="286"/>
      <c r="AQ749" s="286"/>
      <c r="AR749" s="286"/>
      <c r="AS749" s="286"/>
      <c r="AT749" s="286"/>
      <c r="AU749" s="286"/>
      <c r="AV749" s="286"/>
      <c r="AW749" s="286"/>
      <c r="AX749" s="286"/>
      <c r="AY749" s="286"/>
      <c r="AZ749" s="286"/>
      <c r="BA749" s="286"/>
      <c r="BB749" s="286"/>
      <c r="BC749" s="286"/>
      <c r="BD749" s="286"/>
      <c r="BE749" s="286"/>
      <c r="BF749" s="286"/>
      <c r="BG749" s="286"/>
      <c r="BH749" s="286"/>
      <c r="BI749" s="286"/>
      <c r="BJ749" s="286"/>
      <c r="BK749" s="286"/>
      <c r="BL749" s="286"/>
      <c r="BM749" s="286"/>
      <c r="BN749" s="286"/>
      <c r="BO749" s="286"/>
      <c r="BP749" s="286"/>
      <c r="BQ749" s="286"/>
      <c r="BR749" s="286"/>
      <c r="BS749" s="286"/>
      <c r="BT749" s="286"/>
      <c r="BU749" s="286"/>
      <c r="BV749" s="286"/>
      <c r="BW749" s="286"/>
      <c r="BX749" s="286"/>
      <c r="BY749" s="286"/>
      <c r="BZ749" s="286"/>
      <c r="CA749" s="286"/>
      <c r="CB749" s="286"/>
      <c r="CC749" s="286"/>
      <c r="CD749" s="286"/>
      <c r="CE749" s="286"/>
      <c r="CF749" s="286"/>
      <c r="CG749" s="286"/>
      <c r="CH749" s="286"/>
      <c r="CI749" s="286"/>
      <c r="CJ749" s="286"/>
      <c r="CK749" s="286"/>
      <c r="CL749" s="286"/>
      <c r="CM749" s="286"/>
      <c r="CN749" s="286"/>
      <c r="CO749" s="286"/>
      <c r="CP749" s="286"/>
      <c r="CQ749" s="286"/>
      <c r="CR749" s="286"/>
      <c r="CS749" s="286"/>
      <c r="CT749" s="286"/>
      <c r="CU749" s="286"/>
      <c r="CV749" s="286"/>
      <c r="CW749" s="286"/>
      <c r="CX749" s="286"/>
      <c r="CY749" s="286"/>
      <c r="CZ749" s="286"/>
      <c r="DA749" s="286"/>
      <c r="DB749" s="286"/>
      <c r="DC749" s="286"/>
      <c r="DD749" s="286"/>
      <c r="DE749" s="286"/>
      <c r="DF749" s="286"/>
      <c r="DG749" s="286"/>
      <c r="DH749" s="286"/>
      <c r="DI749" s="286"/>
      <c r="DJ749" s="286"/>
      <c r="DK749" s="286"/>
      <c r="DL749" s="286"/>
      <c r="DM749" s="286"/>
      <c r="DN749" s="286"/>
      <c r="DO749" s="286"/>
      <c r="DP749" s="286"/>
      <c r="DQ749" s="286"/>
      <c r="DR749" s="286"/>
      <c r="DS749" s="286"/>
      <c r="DT749" s="286"/>
      <c r="DU749" s="286"/>
      <c r="DV749" s="286"/>
      <c r="DW749" s="286"/>
      <c r="DX749" s="286"/>
      <c r="DY749" s="286"/>
      <c r="DZ749" s="286"/>
      <c r="EA749" s="286"/>
      <c r="EB749" s="286"/>
      <c r="EC749" s="286"/>
      <c r="ED749" s="286"/>
      <c r="EE749" s="286"/>
      <c r="EF749" s="286"/>
      <c r="EG749" s="286"/>
      <c r="EH749" s="286"/>
      <c r="EI749" s="286"/>
      <c r="EJ749" s="286"/>
      <c r="EK749" s="286"/>
      <c r="EL749" s="286"/>
      <c r="EM749" s="286"/>
      <c r="EN749" s="286"/>
      <c r="EO749" s="286"/>
      <c r="EP749" s="286"/>
      <c r="EQ749" s="286"/>
      <c r="ER749" s="286"/>
      <c r="ES749" s="286"/>
      <c r="ET749" s="286"/>
      <c r="EU749" s="286"/>
      <c r="EV749" s="286"/>
      <c r="EW749" s="286"/>
      <c r="EX749" s="286"/>
      <c r="EY749" s="286"/>
      <c r="EZ749" s="286"/>
      <c r="FA749" s="286"/>
      <c r="FB749" s="286"/>
      <c r="FC749" s="286"/>
      <c r="FD749" s="286"/>
      <c r="FE749" s="286"/>
      <c r="FF749" s="286"/>
      <c r="FG749" s="286"/>
      <c r="FH749" s="286"/>
      <c r="FI749" s="286"/>
      <c r="FJ749" s="286"/>
      <c r="FK749" s="286"/>
      <c r="FL749" s="286"/>
      <c r="FM749" s="286"/>
      <c r="FN749" s="286"/>
      <c r="FO749" s="286"/>
      <c r="FP749" s="286"/>
      <c r="FQ749" s="286"/>
      <c r="FR749" s="286"/>
      <c r="FS749" s="286"/>
    </row>
    <row r="750" spans="1:175">
      <c r="A750" s="212" t="s">
        <v>3159</v>
      </c>
      <c r="B750" s="212" t="s">
        <v>3160</v>
      </c>
      <c r="C750" s="212" t="s">
        <v>3172</v>
      </c>
      <c r="D750" s="212" t="s">
        <v>3928</v>
      </c>
      <c r="E750" s="212" t="s">
        <v>3940</v>
      </c>
      <c r="F750" s="278">
        <v>15285</v>
      </c>
      <c r="G750" s="278">
        <v>142658</v>
      </c>
      <c r="H750" s="287">
        <f t="shared" si="11"/>
        <v>3.6850369414964459</v>
      </c>
      <c r="I750" s="286">
        <v>607</v>
      </c>
      <c r="J750" s="286">
        <v>5257</v>
      </c>
      <c r="K750" s="286">
        <v>4535</v>
      </c>
      <c r="L750" s="286">
        <v>714</v>
      </c>
      <c r="M750" s="286">
        <v>4620</v>
      </c>
      <c r="N750" s="286">
        <v>4057</v>
      </c>
      <c r="O750" s="286">
        <v>555</v>
      </c>
      <c r="P750" s="286">
        <v>607</v>
      </c>
      <c r="Q750" s="286">
        <v>5257</v>
      </c>
      <c r="R750" s="286">
        <v>4535</v>
      </c>
      <c r="S750" s="286">
        <v>714</v>
      </c>
      <c r="T750" s="286">
        <v>4620</v>
      </c>
      <c r="U750" s="286">
        <v>4057</v>
      </c>
      <c r="V750" s="286">
        <v>555</v>
      </c>
      <c r="W750" s="286"/>
      <c r="X750" s="286"/>
      <c r="Y750" s="286"/>
      <c r="Z750" s="286"/>
      <c r="AA750" s="286"/>
      <c r="AB750" s="286"/>
      <c r="AC750" s="286"/>
      <c r="AD750" s="286"/>
      <c r="AE750" s="286"/>
      <c r="AF750" s="286"/>
      <c r="AG750" s="286"/>
      <c r="AH750" s="286"/>
      <c r="AI750" s="286"/>
      <c r="AJ750" s="286"/>
      <c r="AK750" s="286"/>
      <c r="AL750" s="286"/>
      <c r="AM750" s="286"/>
      <c r="AN750" s="286"/>
      <c r="AO750" s="286"/>
      <c r="AP750" s="286"/>
      <c r="AQ750" s="286"/>
      <c r="AR750" s="286"/>
      <c r="AS750" s="286"/>
      <c r="AT750" s="286"/>
      <c r="AU750" s="286"/>
      <c r="AV750" s="286"/>
      <c r="AW750" s="286"/>
      <c r="AX750" s="286"/>
      <c r="AY750" s="286"/>
      <c r="AZ750" s="286"/>
      <c r="BA750" s="286"/>
      <c r="BB750" s="286"/>
      <c r="BC750" s="286"/>
      <c r="BD750" s="286"/>
      <c r="BE750" s="286"/>
      <c r="BF750" s="286"/>
      <c r="BG750" s="286"/>
      <c r="BH750" s="286"/>
      <c r="BI750" s="286"/>
      <c r="BJ750" s="286"/>
      <c r="BK750" s="286"/>
      <c r="BL750" s="286"/>
      <c r="BM750" s="286"/>
      <c r="BN750" s="286"/>
      <c r="BO750" s="286"/>
      <c r="BP750" s="286"/>
      <c r="BQ750" s="286"/>
      <c r="BR750" s="286"/>
      <c r="BS750" s="286"/>
      <c r="BT750" s="286"/>
      <c r="BU750" s="286"/>
      <c r="BV750" s="286"/>
      <c r="BW750" s="286"/>
      <c r="BX750" s="286"/>
      <c r="BY750" s="286"/>
      <c r="BZ750" s="286"/>
      <c r="CA750" s="286"/>
      <c r="CB750" s="286"/>
      <c r="CC750" s="286"/>
      <c r="CD750" s="286"/>
      <c r="CE750" s="286"/>
      <c r="CF750" s="286"/>
      <c r="CG750" s="286"/>
      <c r="CH750" s="286"/>
      <c r="CI750" s="286"/>
      <c r="CJ750" s="286"/>
      <c r="CK750" s="286"/>
      <c r="CL750" s="286"/>
      <c r="CM750" s="286"/>
      <c r="CN750" s="286"/>
      <c r="CO750" s="286"/>
      <c r="CP750" s="286"/>
      <c r="CQ750" s="286"/>
      <c r="CR750" s="286"/>
      <c r="CS750" s="286"/>
      <c r="CT750" s="286"/>
      <c r="CU750" s="286"/>
      <c r="CV750" s="286"/>
      <c r="CW750" s="286"/>
      <c r="CX750" s="286"/>
      <c r="CY750" s="286"/>
      <c r="CZ750" s="286"/>
      <c r="DA750" s="286"/>
      <c r="DB750" s="286"/>
      <c r="DC750" s="286"/>
      <c r="DD750" s="286"/>
      <c r="DE750" s="286"/>
      <c r="DF750" s="286"/>
      <c r="DG750" s="286"/>
      <c r="DH750" s="286"/>
      <c r="DI750" s="286"/>
      <c r="DJ750" s="286"/>
      <c r="DK750" s="286"/>
      <c r="DL750" s="286"/>
      <c r="DM750" s="286"/>
      <c r="DN750" s="286"/>
      <c r="DO750" s="286"/>
      <c r="DP750" s="286"/>
      <c r="DQ750" s="286"/>
      <c r="DR750" s="286"/>
      <c r="DS750" s="286"/>
      <c r="DT750" s="286"/>
      <c r="DU750" s="286"/>
      <c r="DV750" s="286"/>
      <c r="DW750" s="286"/>
      <c r="DX750" s="286"/>
      <c r="DY750" s="286"/>
      <c r="DZ750" s="286"/>
      <c r="EA750" s="286"/>
      <c r="EB750" s="286"/>
      <c r="EC750" s="286"/>
      <c r="ED750" s="286"/>
      <c r="EE750" s="286"/>
      <c r="EF750" s="286"/>
      <c r="EG750" s="286"/>
      <c r="EH750" s="286"/>
      <c r="EI750" s="286"/>
      <c r="EJ750" s="286"/>
      <c r="EK750" s="286"/>
      <c r="EL750" s="286"/>
      <c r="EM750" s="286"/>
      <c r="EN750" s="286"/>
      <c r="EO750" s="286"/>
      <c r="EP750" s="286"/>
      <c r="EQ750" s="286"/>
      <c r="ER750" s="286"/>
      <c r="ES750" s="286"/>
      <c r="ET750" s="286"/>
      <c r="EU750" s="286"/>
      <c r="EV750" s="286"/>
      <c r="EW750" s="286"/>
      <c r="EX750" s="286"/>
      <c r="EY750" s="286"/>
      <c r="EZ750" s="286"/>
      <c r="FA750" s="286"/>
      <c r="FB750" s="286"/>
      <c r="FC750" s="286"/>
      <c r="FD750" s="286"/>
      <c r="FE750" s="286"/>
      <c r="FF750" s="286"/>
      <c r="FG750" s="286"/>
      <c r="FH750" s="286"/>
      <c r="FI750" s="286"/>
      <c r="FJ750" s="286"/>
      <c r="FK750" s="286"/>
      <c r="FL750" s="286"/>
      <c r="FM750" s="286"/>
      <c r="FN750" s="286"/>
      <c r="FO750" s="286"/>
      <c r="FP750" s="286"/>
      <c r="FQ750" s="286"/>
      <c r="FR750" s="286"/>
      <c r="FS750" s="286"/>
    </row>
    <row r="751" spans="1:175">
      <c r="A751" s="212" t="s">
        <v>3159</v>
      </c>
      <c r="B751" s="212" t="s">
        <v>3160</v>
      </c>
      <c r="C751" s="212" t="s">
        <v>3172</v>
      </c>
      <c r="D751" s="212" t="s">
        <v>3928</v>
      </c>
      <c r="E751" s="212" t="s">
        <v>3941</v>
      </c>
      <c r="F751" s="278">
        <v>5737</v>
      </c>
      <c r="G751" s="278">
        <v>58998</v>
      </c>
      <c r="H751" s="287">
        <f t="shared" si="11"/>
        <v>2.471270212549578</v>
      </c>
      <c r="I751" s="286">
        <v>216</v>
      </c>
      <c r="J751" s="286">
        <v>1458</v>
      </c>
      <c r="K751" s="286">
        <v>1156</v>
      </c>
      <c r="L751" s="286">
        <v>302</v>
      </c>
      <c r="M751" s="286">
        <v>1265</v>
      </c>
      <c r="N751" s="286">
        <v>1008</v>
      </c>
      <c r="O751" s="286">
        <v>257</v>
      </c>
      <c r="P751" s="286">
        <v>216</v>
      </c>
      <c r="Q751" s="286">
        <v>1458</v>
      </c>
      <c r="R751" s="286">
        <v>1156</v>
      </c>
      <c r="S751" s="286">
        <v>302</v>
      </c>
      <c r="T751" s="286">
        <v>1265</v>
      </c>
      <c r="U751" s="286">
        <v>1008</v>
      </c>
      <c r="V751" s="286">
        <v>257</v>
      </c>
      <c r="W751" s="286"/>
      <c r="X751" s="286"/>
      <c r="Y751" s="286"/>
      <c r="Z751" s="286"/>
      <c r="AA751" s="286"/>
      <c r="AB751" s="286"/>
      <c r="AC751" s="286"/>
      <c r="AD751" s="286"/>
      <c r="AE751" s="286"/>
      <c r="AF751" s="286"/>
      <c r="AG751" s="286"/>
      <c r="AH751" s="286"/>
      <c r="AI751" s="286"/>
      <c r="AJ751" s="286"/>
      <c r="AK751" s="286"/>
      <c r="AL751" s="286"/>
      <c r="AM751" s="286"/>
      <c r="AN751" s="286"/>
      <c r="AO751" s="286"/>
      <c r="AP751" s="286"/>
      <c r="AQ751" s="286"/>
      <c r="AR751" s="286"/>
      <c r="AS751" s="286"/>
      <c r="AT751" s="286"/>
      <c r="AU751" s="286"/>
      <c r="AV751" s="286"/>
      <c r="AW751" s="286"/>
      <c r="AX751" s="286"/>
      <c r="AY751" s="286"/>
      <c r="AZ751" s="286"/>
      <c r="BA751" s="286"/>
      <c r="BB751" s="286"/>
      <c r="BC751" s="286"/>
      <c r="BD751" s="286"/>
      <c r="BE751" s="286"/>
      <c r="BF751" s="286"/>
      <c r="BG751" s="286"/>
      <c r="BH751" s="286"/>
      <c r="BI751" s="286"/>
      <c r="BJ751" s="286"/>
      <c r="BK751" s="286"/>
      <c r="BL751" s="286"/>
      <c r="BM751" s="286"/>
      <c r="BN751" s="286"/>
      <c r="BO751" s="286"/>
      <c r="BP751" s="286"/>
      <c r="BQ751" s="286"/>
      <c r="BR751" s="286"/>
      <c r="BS751" s="286"/>
      <c r="BT751" s="286"/>
      <c r="BU751" s="286"/>
      <c r="BV751" s="286"/>
      <c r="BW751" s="286"/>
      <c r="BX751" s="286"/>
      <c r="BY751" s="286"/>
      <c r="BZ751" s="286"/>
      <c r="CA751" s="286"/>
      <c r="CB751" s="286"/>
      <c r="CC751" s="286"/>
      <c r="CD751" s="286"/>
      <c r="CE751" s="286"/>
      <c r="CF751" s="286"/>
      <c r="CG751" s="286"/>
      <c r="CH751" s="286"/>
      <c r="CI751" s="286"/>
      <c r="CJ751" s="286"/>
      <c r="CK751" s="286"/>
      <c r="CL751" s="286"/>
      <c r="CM751" s="286"/>
      <c r="CN751" s="286"/>
      <c r="CO751" s="286"/>
      <c r="CP751" s="286"/>
      <c r="CQ751" s="286"/>
      <c r="CR751" s="286"/>
      <c r="CS751" s="286"/>
      <c r="CT751" s="286"/>
      <c r="CU751" s="286"/>
      <c r="CV751" s="286"/>
      <c r="CW751" s="286"/>
      <c r="CX751" s="286"/>
      <c r="CY751" s="286"/>
      <c r="CZ751" s="286"/>
      <c r="DA751" s="286"/>
      <c r="DB751" s="286"/>
      <c r="DC751" s="286"/>
      <c r="DD751" s="286"/>
      <c r="DE751" s="286"/>
      <c r="DF751" s="286"/>
      <c r="DG751" s="286"/>
      <c r="DH751" s="286"/>
      <c r="DI751" s="286"/>
      <c r="DJ751" s="286"/>
      <c r="DK751" s="286"/>
      <c r="DL751" s="286"/>
      <c r="DM751" s="286"/>
      <c r="DN751" s="286"/>
      <c r="DO751" s="286"/>
      <c r="DP751" s="286"/>
      <c r="DQ751" s="286"/>
      <c r="DR751" s="286"/>
      <c r="DS751" s="286"/>
      <c r="DT751" s="286"/>
      <c r="DU751" s="286"/>
      <c r="DV751" s="286"/>
      <c r="DW751" s="286"/>
      <c r="DX751" s="286"/>
      <c r="DY751" s="286"/>
      <c r="DZ751" s="286"/>
      <c r="EA751" s="286"/>
      <c r="EB751" s="286"/>
      <c r="EC751" s="286"/>
      <c r="ED751" s="286"/>
      <c r="EE751" s="286"/>
      <c r="EF751" s="286"/>
      <c r="EG751" s="286"/>
      <c r="EH751" s="286"/>
      <c r="EI751" s="286"/>
      <c r="EJ751" s="286"/>
      <c r="EK751" s="286"/>
      <c r="EL751" s="286"/>
      <c r="EM751" s="286"/>
      <c r="EN751" s="286"/>
      <c r="EO751" s="286"/>
      <c r="EP751" s="286"/>
      <c r="EQ751" s="286"/>
      <c r="ER751" s="286"/>
      <c r="ES751" s="286"/>
      <c r="ET751" s="286"/>
      <c r="EU751" s="286"/>
      <c r="EV751" s="286"/>
      <c r="EW751" s="286"/>
      <c r="EX751" s="286"/>
      <c r="EY751" s="286"/>
      <c r="EZ751" s="286"/>
      <c r="FA751" s="286"/>
      <c r="FB751" s="286"/>
      <c r="FC751" s="286"/>
      <c r="FD751" s="286"/>
      <c r="FE751" s="286"/>
      <c r="FF751" s="286"/>
      <c r="FG751" s="286"/>
      <c r="FH751" s="286"/>
      <c r="FI751" s="286"/>
      <c r="FJ751" s="286"/>
      <c r="FK751" s="286"/>
      <c r="FL751" s="286"/>
      <c r="FM751" s="286"/>
      <c r="FN751" s="286"/>
      <c r="FO751" s="286"/>
      <c r="FP751" s="286"/>
      <c r="FQ751" s="286"/>
      <c r="FR751" s="286"/>
      <c r="FS751" s="286"/>
    </row>
    <row r="752" spans="1:175">
      <c r="A752" s="212" t="s">
        <v>3159</v>
      </c>
      <c r="B752" s="212" t="s">
        <v>3160</v>
      </c>
      <c r="C752" s="212" t="s">
        <v>3172</v>
      </c>
      <c r="D752" s="212" t="s">
        <v>3928</v>
      </c>
      <c r="E752" s="212" t="s">
        <v>3942</v>
      </c>
      <c r="F752" s="278">
        <v>1989</v>
      </c>
      <c r="G752" s="278">
        <v>3827</v>
      </c>
      <c r="H752" s="287">
        <f t="shared" si="11"/>
        <v>3.9195192056441077</v>
      </c>
      <c r="I752" s="286">
        <v>95</v>
      </c>
      <c r="J752" s="286">
        <v>150</v>
      </c>
      <c r="K752" s="286">
        <v>112</v>
      </c>
      <c r="L752" s="286">
        <v>38</v>
      </c>
      <c r="M752" s="286">
        <v>30</v>
      </c>
      <c r="N752" s="286">
        <v>12</v>
      </c>
      <c r="O752" s="286">
        <v>18</v>
      </c>
      <c r="P752" s="286">
        <v>95</v>
      </c>
      <c r="Q752" s="286">
        <v>150</v>
      </c>
      <c r="R752" s="286">
        <v>112</v>
      </c>
      <c r="S752" s="286">
        <v>38</v>
      </c>
      <c r="T752" s="286">
        <v>30</v>
      </c>
      <c r="U752" s="286">
        <v>12</v>
      </c>
      <c r="V752" s="286">
        <v>18</v>
      </c>
      <c r="W752" s="286"/>
      <c r="X752" s="286"/>
      <c r="Y752" s="286"/>
      <c r="Z752" s="286"/>
      <c r="AA752" s="286"/>
      <c r="AB752" s="286"/>
      <c r="AC752" s="286"/>
      <c r="AD752" s="286"/>
      <c r="AE752" s="286"/>
      <c r="AF752" s="286"/>
      <c r="AG752" s="286"/>
      <c r="AH752" s="286"/>
      <c r="AI752" s="286"/>
      <c r="AJ752" s="286"/>
      <c r="AK752" s="286"/>
      <c r="AL752" s="286"/>
      <c r="AM752" s="286"/>
      <c r="AN752" s="286"/>
      <c r="AO752" s="286"/>
      <c r="AP752" s="286"/>
      <c r="AQ752" s="286"/>
      <c r="AR752" s="286"/>
      <c r="AS752" s="286"/>
      <c r="AT752" s="286"/>
      <c r="AU752" s="286"/>
      <c r="AV752" s="286"/>
      <c r="AW752" s="286"/>
      <c r="AX752" s="286"/>
      <c r="AY752" s="286"/>
      <c r="AZ752" s="286"/>
      <c r="BA752" s="286"/>
      <c r="BB752" s="286"/>
      <c r="BC752" s="286"/>
      <c r="BD752" s="286"/>
      <c r="BE752" s="286"/>
      <c r="BF752" s="286"/>
      <c r="BG752" s="286"/>
      <c r="BH752" s="286"/>
      <c r="BI752" s="286"/>
      <c r="BJ752" s="286"/>
      <c r="BK752" s="286"/>
      <c r="BL752" s="286"/>
      <c r="BM752" s="286"/>
      <c r="BN752" s="286"/>
      <c r="BO752" s="286"/>
      <c r="BP752" s="286"/>
      <c r="BQ752" s="286"/>
      <c r="BR752" s="286"/>
      <c r="BS752" s="286"/>
      <c r="BT752" s="286"/>
      <c r="BU752" s="286"/>
      <c r="BV752" s="286"/>
      <c r="BW752" s="286"/>
      <c r="BX752" s="286"/>
      <c r="BY752" s="286"/>
      <c r="BZ752" s="286"/>
      <c r="CA752" s="286"/>
      <c r="CB752" s="286"/>
      <c r="CC752" s="286"/>
      <c r="CD752" s="286"/>
      <c r="CE752" s="286"/>
      <c r="CF752" s="286"/>
      <c r="CG752" s="286"/>
      <c r="CH752" s="286"/>
      <c r="CI752" s="286"/>
      <c r="CJ752" s="286"/>
      <c r="CK752" s="286"/>
      <c r="CL752" s="286"/>
      <c r="CM752" s="286"/>
      <c r="CN752" s="286"/>
      <c r="CO752" s="286"/>
      <c r="CP752" s="286"/>
      <c r="CQ752" s="286"/>
      <c r="CR752" s="286"/>
      <c r="CS752" s="286"/>
      <c r="CT752" s="286"/>
      <c r="CU752" s="286"/>
      <c r="CV752" s="286"/>
      <c r="CW752" s="286"/>
      <c r="CX752" s="286"/>
      <c r="CY752" s="286"/>
      <c r="CZ752" s="286"/>
      <c r="DA752" s="286"/>
      <c r="DB752" s="286"/>
      <c r="DC752" s="286"/>
      <c r="DD752" s="286"/>
      <c r="DE752" s="286"/>
      <c r="DF752" s="286"/>
      <c r="DG752" s="286"/>
      <c r="DH752" s="286"/>
      <c r="DI752" s="286"/>
      <c r="DJ752" s="286"/>
      <c r="DK752" s="286"/>
      <c r="DL752" s="286"/>
      <c r="DM752" s="286"/>
      <c r="DN752" s="286"/>
      <c r="DO752" s="286"/>
      <c r="DP752" s="286"/>
      <c r="DQ752" s="286"/>
      <c r="DR752" s="286"/>
      <c r="DS752" s="286"/>
      <c r="DT752" s="286"/>
      <c r="DU752" s="286"/>
      <c r="DV752" s="286"/>
      <c r="DW752" s="286"/>
      <c r="DX752" s="286"/>
      <c r="DY752" s="286"/>
      <c r="DZ752" s="286"/>
      <c r="EA752" s="286"/>
      <c r="EB752" s="286"/>
      <c r="EC752" s="286"/>
      <c r="ED752" s="286"/>
      <c r="EE752" s="286"/>
      <c r="EF752" s="286"/>
      <c r="EG752" s="286"/>
      <c r="EH752" s="286"/>
      <c r="EI752" s="286"/>
      <c r="EJ752" s="286"/>
      <c r="EK752" s="286"/>
      <c r="EL752" s="286"/>
      <c r="EM752" s="286"/>
      <c r="EN752" s="286"/>
      <c r="EO752" s="286"/>
      <c r="EP752" s="286"/>
      <c r="EQ752" s="286"/>
      <c r="ER752" s="286"/>
      <c r="ES752" s="286"/>
      <c r="ET752" s="286"/>
      <c r="EU752" s="286"/>
      <c r="EV752" s="286"/>
      <c r="EW752" s="286"/>
      <c r="EX752" s="286"/>
      <c r="EY752" s="286"/>
      <c r="EZ752" s="286"/>
      <c r="FA752" s="286"/>
      <c r="FB752" s="286"/>
      <c r="FC752" s="286"/>
      <c r="FD752" s="286"/>
      <c r="FE752" s="286"/>
      <c r="FF752" s="286"/>
      <c r="FG752" s="286"/>
      <c r="FH752" s="286"/>
      <c r="FI752" s="286"/>
      <c r="FJ752" s="286"/>
      <c r="FK752" s="286"/>
      <c r="FL752" s="286"/>
      <c r="FM752" s="286"/>
      <c r="FN752" s="286"/>
      <c r="FO752" s="286"/>
      <c r="FP752" s="286"/>
      <c r="FQ752" s="286"/>
      <c r="FR752" s="286"/>
      <c r="FS752" s="286"/>
    </row>
    <row r="753" spans="1:175">
      <c r="A753" s="212" t="s">
        <v>3159</v>
      </c>
      <c r="B753" s="212" t="s">
        <v>3160</v>
      </c>
      <c r="C753" s="212" t="s">
        <v>3172</v>
      </c>
      <c r="D753" s="212" t="s">
        <v>3928</v>
      </c>
      <c r="E753" s="212" t="s">
        <v>3943</v>
      </c>
      <c r="F753" s="278">
        <v>5533</v>
      </c>
      <c r="G753" s="278">
        <v>21013</v>
      </c>
      <c r="H753" s="287">
        <f t="shared" si="11"/>
        <v>4.5400466377956503</v>
      </c>
      <c r="I753" s="286">
        <v>253</v>
      </c>
      <c r="J753" s="286">
        <v>954</v>
      </c>
      <c r="K753" s="286">
        <v>744</v>
      </c>
      <c r="L753" s="286">
        <v>210</v>
      </c>
      <c r="M753" s="286">
        <v>667</v>
      </c>
      <c r="N753" s="286">
        <v>518</v>
      </c>
      <c r="O753" s="286">
        <v>149</v>
      </c>
      <c r="P753" s="286">
        <v>253</v>
      </c>
      <c r="Q753" s="286">
        <v>954</v>
      </c>
      <c r="R753" s="286">
        <v>744</v>
      </c>
      <c r="S753" s="286">
        <v>210</v>
      </c>
      <c r="T753" s="286">
        <v>667</v>
      </c>
      <c r="U753" s="286">
        <v>518</v>
      </c>
      <c r="V753" s="286">
        <v>149</v>
      </c>
      <c r="W753" s="286"/>
      <c r="X753" s="286"/>
      <c r="Y753" s="286"/>
      <c r="Z753" s="286"/>
      <c r="AA753" s="286"/>
      <c r="AB753" s="286"/>
      <c r="AC753" s="286"/>
      <c r="AD753" s="286"/>
      <c r="AE753" s="286"/>
      <c r="AF753" s="286"/>
      <c r="AG753" s="286"/>
      <c r="AH753" s="286"/>
      <c r="AI753" s="286"/>
      <c r="AJ753" s="286"/>
      <c r="AK753" s="286"/>
      <c r="AL753" s="286"/>
      <c r="AM753" s="286"/>
      <c r="AN753" s="286"/>
      <c r="AO753" s="286"/>
      <c r="AP753" s="286"/>
      <c r="AQ753" s="286"/>
      <c r="AR753" s="286"/>
      <c r="AS753" s="286"/>
      <c r="AT753" s="286"/>
      <c r="AU753" s="286"/>
      <c r="AV753" s="286"/>
      <c r="AW753" s="286"/>
      <c r="AX753" s="286"/>
      <c r="AY753" s="286"/>
      <c r="AZ753" s="286"/>
      <c r="BA753" s="286"/>
      <c r="BB753" s="286"/>
      <c r="BC753" s="286"/>
      <c r="BD753" s="286"/>
      <c r="BE753" s="286"/>
      <c r="BF753" s="286"/>
      <c r="BG753" s="286"/>
      <c r="BH753" s="286"/>
      <c r="BI753" s="286"/>
      <c r="BJ753" s="286"/>
      <c r="BK753" s="286"/>
      <c r="BL753" s="286"/>
      <c r="BM753" s="286"/>
      <c r="BN753" s="286"/>
      <c r="BO753" s="286"/>
      <c r="BP753" s="286"/>
      <c r="BQ753" s="286"/>
      <c r="BR753" s="286"/>
      <c r="BS753" s="286"/>
      <c r="BT753" s="286"/>
      <c r="BU753" s="286"/>
      <c r="BV753" s="286"/>
      <c r="BW753" s="286"/>
      <c r="BX753" s="286"/>
      <c r="BY753" s="286"/>
      <c r="BZ753" s="286"/>
      <c r="CA753" s="286"/>
      <c r="CB753" s="286"/>
      <c r="CC753" s="286"/>
      <c r="CD753" s="286"/>
      <c r="CE753" s="286"/>
      <c r="CF753" s="286"/>
      <c r="CG753" s="286"/>
      <c r="CH753" s="286"/>
      <c r="CI753" s="286"/>
      <c r="CJ753" s="286"/>
      <c r="CK753" s="286"/>
      <c r="CL753" s="286"/>
      <c r="CM753" s="286"/>
      <c r="CN753" s="286"/>
      <c r="CO753" s="286"/>
      <c r="CP753" s="286"/>
      <c r="CQ753" s="286"/>
      <c r="CR753" s="286"/>
      <c r="CS753" s="286"/>
      <c r="CT753" s="286"/>
      <c r="CU753" s="286"/>
      <c r="CV753" s="286"/>
      <c r="CW753" s="286"/>
      <c r="CX753" s="286"/>
      <c r="CY753" s="286"/>
      <c r="CZ753" s="286"/>
      <c r="DA753" s="286"/>
      <c r="DB753" s="286"/>
      <c r="DC753" s="286"/>
      <c r="DD753" s="286"/>
      <c r="DE753" s="286"/>
      <c r="DF753" s="286"/>
      <c r="DG753" s="286"/>
      <c r="DH753" s="286"/>
      <c r="DI753" s="286"/>
      <c r="DJ753" s="286"/>
      <c r="DK753" s="286"/>
      <c r="DL753" s="286"/>
      <c r="DM753" s="286"/>
      <c r="DN753" s="286"/>
      <c r="DO753" s="286"/>
      <c r="DP753" s="286"/>
      <c r="DQ753" s="286"/>
      <c r="DR753" s="286"/>
      <c r="DS753" s="286"/>
      <c r="DT753" s="286"/>
      <c r="DU753" s="286"/>
      <c r="DV753" s="286"/>
      <c r="DW753" s="286"/>
      <c r="DX753" s="286"/>
      <c r="DY753" s="286"/>
      <c r="DZ753" s="286"/>
      <c r="EA753" s="286"/>
      <c r="EB753" s="286"/>
      <c r="EC753" s="286"/>
      <c r="ED753" s="286"/>
      <c r="EE753" s="286"/>
      <c r="EF753" s="286"/>
      <c r="EG753" s="286"/>
      <c r="EH753" s="286"/>
      <c r="EI753" s="286"/>
      <c r="EJ753" s="286"/>
      <c r="EK753" s="286"/>
      <c r="EL753" s="286"/>
      <c r="EM753" s="286"/>
      <c r="EN753" s="286"/>
      <c r="EO753" s="286"/>
      <c r="EP753" s="286"/>
      <c r="EQ753" s="286"/>
      <c r="ER753" s="286"/>
      <c r="ES753" s="286"/>
      <c r="ET753" s="286"/>
      <c r="EU753" s="286"/>
      <c r="EV753" s="286"/>
      <c r="EW753" s="286"/>
      <c r="EX753" s="286"/>
      <c r="EY753" s="286"/>
      <c r="EZ753" s="286"/>
      <c r="FA753" s="286"/>
      <c r="FB753" s="286"/>
      <c r="FC753" s="286"/>
      <c r="FD753" s="286"/>
      <c r="FE753" s="286"/>
      <c r="FF753" s="286"/>
      <c r="FG753" s="286"/>
      <c r="FH753" s="286"/>
      <c r="FI753" s="286"/>
      <c r="FJ753" s="286"/>
      <c r="FK753" s="286"/>
      <c r="FL753" s="286"/>
      <c r="FM753" s="286"/>
      <c r="FN753" s="286"/>
      <c r="FO753" s="286"/>
      <c r="FP753" s="286"/>
      <c r="FQ753" s="286"/>
      <c r="FR753" s="286"/>
      <c r="FS753" s="286"/>
    </row>
    <row r="754" spans="1:175">
      <c r="A754" s="212" t="s">
        <v>3159</v>
      </c>
      <c r="B754" s="212" t="s">
        <v>3160</v>
      </c>
      <c r="C754" s="212" t="s">
        <v>3170</v>
      </c>
      <c r="D754" s="212" t="s">
        <v>3928</v>
      </c>
      <c r="E754" s="212" t="s">
        <v>3944</v>
      </c>
      <c r="F754" s="278">
        <v>21690</v>
      </c>
      <c r="G754" s="278">
        <v>1261643</v>
      </c>
      <c r="H754" s="287">
        <f t="shared" si="11"/>
        <v>3.4769740726972684</v>
      </c>
      <c r="I754" s="286">
        <v>752</v>
      </c>
      <c r="J754" s="286">
        <v>43867</v>
      </c>
      <c r="K754" s="286">
        <v>20850</v>
      </c>
      <c r="L754" s="286">
        <v>22958</v>
      </c>
      <c r="M754" s="286">
        <v>41820</v>
      </c>
      <c r="N754" s="286">
        <v>19787</v>
      </c>
      <c r="O754" s="286">
        <v>21975</v>
      </c>
      <c r="P754" s="286">
        <v>750</v>
      </c>
      <c r="Q754" s="286">
        <v>43861</v>
      </c>
      <c r="R754" s="286">
        <v>20850</v>
      </c>
      <c r="S754" s="286">
        <v>22952</v>
      </c>
      <c r="T754" s="286">
        <v>41814</v>
      </c>
      <c r="U754" s="286">
        <v>19787</v>
      </c>
      <c r="V754" s="286">
        <v>21969</v>
      </c>
      <c r="W754" s="286"/>
      <c r="X754" s="286"/>
      <c r="Y754" s="286"/>
      <c r="Z754" s="286"/>
      <c r="AA754" s="286"/>
      <c r="AB754" s="286"/>
      <c r="AC754" s="286"/>
      <c r="AD754" s="286"/>
      <c r="AE754" s="286"/>
      <c r="AF754" s="286"/>
      <c r="AG754" s="286"/>
      <c r="AH754" s="286"/>
      <c r="AI754" s="286"/>
      <c r="AJ754" s="286"/>
      <c r="AK754" s="286"/>
      <c r="AL754" s="286"/>
      <c r="AM754" s="286"/>
      <c r="AN754" s="286"/>
      <c r="AO754" s="286"/>
      <c r="AP754" s="286"/>
      <c r="AQ754" s="286"/>
      <c r="AR754" s="286"/>
      <c r="AS754" s="286"/>
      <c r="AT754" s="286"/>
      <c r="AU754" s="286"/>
      <c r="AV754" s="286"/>
      <c r="AW754" s="286"/>
      <c r="AX754" s="286"/>
      <c r="AY754" s="286"/>
      <c r="AZ754" s="286"/>
      <c r="BA754" s="286"/>
      <c r="BB754" s="286"/>
      <c r="BC754" s="286"/>
      <c r="BD754" s="286"/>
      <c r="BE754" s="286"/>
      <c r="BF754" s="286"/>
      <c r="BG754" s="286"/>
      <c r="BH754" s="286"/>
      <c r="BI754" s="286"/>
      <c r="BJ754" s="286"/>
      <c r="BK754" s="286"/>
      <c r="BL754" s="286"/>
      <c r="BM754" s="286"/>
      <c r="BN754" s="286"/>
      <c r="BO754" s="286"/>
      <c r="BP754" s="286"/>
      <c r="BQ754" s="286"/>
      <c r="BR754" s="286"/>
      <c r="BS754" s="286"/>
      <c r="BT754" s="286"/>
      <c r="BU754" s="286"/>
      <c r="BV754" s="286"/>
      <c r="BW754" s="286"/>
      <c r="BX754" s="286"/>
      <c r="BY754" s="286"/>
      <c r="BZ754" s="286"/>
      <c r="CA754" s="286"/>
      <c r="CB754" s="286"/>
      <c r="CC754" s="286"/>
      <c r="CD754" s="286"/>
      <c r="CE754" s="286"/>
      <c r="CF754" s="286"/>
      <c r="CG754" s="286"/>
      <c r="CH754" s="286"/>
      <c r="CI754" s="286"/>
      <c r="CJ754" s="286"/>
      <c r="CK754" s="286"/>
      <c r="CL754" s="286"/>
      <c r="CM754" s="286"/>
      <c r="CN754" s="286"/>
      <c r="CO754" s="286"/>
      <c r="CP754" s="286"/>
      <c r="CQ754" s="286"/>
      <c r="CR754" s="286"/>
      <c r="CS754" s="286"/>
      <c r="CT754" s="286"/>
      <c r="CU754" s="286"/>
      <c r="CV754" s="286"/>
      <c r="CW754" s="286"/>
      <c r="CX754" s="286"/>
      <c r="CY754" s="286"/>
      <c r="CZ754" s="286"/>
      <c r="DA754" s="286"/>
      <c r="DB754" s="286"/>
      <c r="DC754" s="286"/>
      <c r="DD754" s="286"/>
      <c r="DE754" s="286"/>
      <c r="DF754" s="286"/>
      <c r="DG754" s="286"/>
      <c r="DH754" s="286"/>
      <c r="DI754" s="286"/>
      <c r="DJ754" s="286"/>
      <c r="DK754" s="286"/>
      <c r="DL754" s="286"/>
      <c r="DM754" s="286"/>
      <c r="DN754" s="286"/>
      <c r="DO754" s="286"/>
      <c r="DP754" s="286"/>
      <c r="DQ754" s="286"/>
      <c r="DR754" s="286"/>
      <c r="DS754" s="286"/>
      <c r="DT754" s="286"/>
      <c r="DU754" s="286"/>
      <c r="DV754" s="286"/>
      <c r="DW754" s="286"/>
      <c r="DX754" s="286"/>
      <c r="DY754" s="286"/>
      <c r="DZ754" s="286"/>
      <c r="EA754" s="286"/>
      <c r="EB754" s="286"/>
      <c r="EC754" s="286"/>
      <c r="ED754" s="286"/>
      <c r="EE754" s="286"/>
      <c r="EF754" s="286"/>
      <c r="EG754" s="286"/>
      <c r="EH754" s="286"/>
      <c r="EI754" s="286"/>
      <c r="EJ754" s="286"/>
      <c r="EK754" s="286"/>
      <c r="EL754" s="286"/>
      <c r="EM754" s="286"/>
      <c r="EN754" s="286"/>
      <c r="EO754" s="286"/>
      <c r="EP754" s="286"/>
      <c r="EQ754" s="286"/>
      <c r="ER754" s="286"/>
      <c r="ES754" s="286"/>
      <c r="ET754" s="286"/>
      <c r="EU754" s="286"/>
      <c r="EV754" s="286"/>
      <c r="EW754" s="286"/>
      <c r="EX754" s="286"/>
      <c r="EY754" s="286"/>
      <c r="EZ754" s="286"/>
      <c r="FA754" s="286"/>
      <c r="FB754" s="286"/>
      <c r="FC754" s="286"/>
      <c r="FD754" s="286"/>
      <c r="FE754" s="286"/>
      <c r="FF754" s="286"/>
      <c r="FG754" s="286"/>
      <c r="FH754" s="286"/>
      <c r="FI754" s="286"/>
      <c r="FJ754" s="286"/>
      <c r="FK754" s="286"/>
      <c r="FL754" s="286"/>
      <c r="FM754" s="286"/>
      <c r="FN754" s="286"/>
      <c r="FO754" s="286"/>
      <c r="FP754" s="286"/>
      <c r="FQ754" s="286"/>
      <c r="FR754" s="286"/>
      <c r="FS754" s="286"/>
    </row>
    <row r="755" spans="1:175">
      <c r="A755" s="212" t="s">
        <v>3159</v>
      </c>
      <c r="B755" s="212" t="s">
        <v>3160</v>
      </c>
      <c r="C755" s="212" t="s">
        <v>3172</v>
      </c>
      <c r="D755" s="212" t="s">
        <v>3928</v>
      </c>
      <c r="E755" s="212" t="s">
        <v>3945</v>
      </c>
      <c r="F755" s="278">
        <v>165</v>
      </c>
      <c r="G755" s="278">
        <v>7778</v>
      </c>
      <c r="H755" s="287">
        <f t="shared" si="11"/>
        <v>2.3270763692465928</v>
      </c>
      <c r="I755" s="286">
        <v>5</v>
      </c>
      <c r="J755" s="286">
        <v>181</v>
      </c>
      <c r="K755" s="286">
        <v>43</v>
      </c>
      <c r="L755" s="286">
        <v>138</v>
      </c>
      <c r="M755" s="286">
        <v>168</v>
      </c>
      <c r="N755" s="286">
        <v>35</v>
      </c>
      <c r="O755" s="286">
        <v>133</v>
      </c>
      <c r="P755" s="286">
        <v>5</v>
      </c>
      <c r="Q755" s="286">
        <v>181</v>
      </c>
      <c r="R755" s="286">
        <v>43</v>
      </c>
      <c r="S755" s="286">
        <v>138</v>
      </c>
      <c r="T755" s="286">
        <v>168</v>
      </c>
      <c r="U755" s="286">
        <v>35</v>
      </c>
      <c r="V755" s="286">
        <v>133</v>
      </c>
      <c r="W755" s="286"/>
      <c r="X755" s="286"/>
      <c r="Y755" s="286"/>
      <c r="Z755" s="286"/>
      <c r="AA755" s="286"/>
      <c r="AB755" s="286"/>
      <c r="AC755" s="286"/>
      <c r="AD755" s="286"/>
      <c r="AE755" s="286"/>
      <c r="AF755" s="286"/>
      <c r="AG755" s="286"/>
      <c r="AH755" s="286"/>
      <c r="AI755" s="286"/>
      <c r="AJ755" s="286"/>
      <c r="AK755" s="286"/>
      <c r="AL755" s="286"/>
      <c r="AM755" s="286"/>
      <c r="AN755" s="286"/>
      <c r="AO755" s="286"/>
      <c r="AP755" s="286"/>
      <c r="AQ755" s="286"/>
      <c r="AR755" s="286"/>
      <c r="AS755" s="286"/>
      <c r="AT755" s="286"/>
      <c r="AU755" s="286"/>
      <c r="AV755" s="286"/>
      <c r="AW755" s="286"/>
      <c r="AX755" s="286"/>
      <c r="AY755" s="286"/>
      <c r="AZ755" s="286"/>
      <c r="BA755" s="286"/>
      <c r="BB755" s="286"/>
      <c r="BC755" s="286"/>
      <c r="BD755" s="286"/>
      <c r="BE755" s="286"/>
      <c r="BF755" s="286"/>
      <c r="BG755" s="286"/>
      <c r="BH755" s="286"/>
      <c r="BI755" s="286"/>
      <c r="BJ755" s="286"/>
      <c r="BK755" s="286"/>
      <c r="BL755" s="286"/>
      <c r="BM755" s="286"/>
      <c r="BN755" s="286"/>
      <c r="BO755" s="286"/>
      <c r="BP755" s="286"/>
      <c r="BQ755" s="286"/>
      <c r="BR755" s="286"/>
      <c r="BS755" s="286"/>
      <c r="BT755" s="286"/>
      <c r="BU755" s="286"/>
      <c r="BV755" s="286"/>
      <c r="BW755" s="286"/>
      <c r="BX755" s="286"/>
      <c r="BY755" s="286"/>
      <c r="BZ755" s="286"/>
      <c r="CA755" s="286"/>
      <c r="CB755" s="286"/>
      <c r="CC755" s="286"/>
      <c r="CD755" s="286"/>
      <c r="CE755" s="286"/>
      <c r="CF755" s="286"/>
      <c r="CG755" s="286"/>
      <c r="CH755" s="286"/>
      <c r="CI755" s="286"/>
      <c r="CJ755" s="286"/>
      <c r="CK755" s="286"/>
      <c r="CL755" s="286"/>
      <c r="CM755" s="286"/>
      <c r="CN755" s="286"/>
      <c r="CO755" s="286"/>
      <c r="CP755" s="286"/>
      <c r="CQ755" s="286"/>
      <c r="CR755" s="286"/>
      <c r="CS755" s="286"/>
      <c r="CT755" s="286"/>
      <c r="CU755" s="286"/>
      <c r="CV755" s="286"/>
      <c r="CW755" s="286"/>
      <c r="CX755" s="286"/>
      <c r="CY755" s="286"/>
      <c r="CZ755" s="286"/>
      <c r="DA755" s="286"/>
      <c r="DB755" s="286"/>
      <c r="DC755" s="286"/>
      <c r="DD755" s="286"/>
      <c r="DE755" s="286"/>
      <c r="DF755" s="286"/>
      <c r="DG755" s="286"/>
      <c r="DH755" s="286"/>
      <c r="DI755" s="286"/>
      <c r="DJ755" s="286"/>
      <c r="DK755" s="286"/>
      <c r="DL755" s="286"/>
      <c r="DM755" s="286"/>
      <c r="DN755" s="286"/>
      <c r="DO755" s="286"/>
      <c r="DP755" s="286"/>
      <c r="DQ755" s="286"/>
      <c r="DR755" s="286"/>
      <c r="DS755" s="286"/>
      <c r="DT755" s="286"/>
      <c r="DU755" s="286"/>
      <c r="DV755" s="286"/>
      <c r="DW755" s="286"/>
      <c r="DX755" s="286"/>
      <c r="DY755" s="286"/>
      <c r="DZ755" s="286"/>
      <c r="EA755" s="286"/>
      <c r="EB755" s="286"/>
      <c r="EC755" s="286"/>
      <c r="ED755" s="286"/>
      <c r="EE755" s="286"/>
      <c r="EF755" s="286"/>
      <c r="EG755" s="286"/>
      <c r="EH755" s="286"/>
      <c r="EI755" s="286"/>
      <c r="EJ755" s="286"/>
      <c r="EK755" s="286"/>
      <c r="EL755" s="286"/>
      <c r="EM755" s="286"/>
      <c r="EN755" s="286"/>
      <c r="EO755" s="286"/>
      <c r="EP755" s="286"/>
      <c r="EQ755" s="286"/>
      <c r="ER755" s="286"/>
      <c r="ES755" s="286"/>
      <c r="ET755" s="286"/>
      <c r="EU755" s="286"/>
      <c r="EV755" s="286"/>
      <c r="EW755" s="286"/>
      <c r="EX755" s="286"/>
      <c r="EY755" s="286"/>
      <c r="EZ755" s="286"/>
      <c r="FA755" s="286"/>
      <c r="FB755" s="286"/>
      <c r="FC755" s="286"/>
      <c r="FD755" s="286"/>
      <c r="FE755" s="286"/>
      <c r="FF755" s="286"/>
      <c r="FG755" s="286"/>
      <c r="FH755" s="286"/>
      <c r="FI755" s="286"/>
      <c r="FJ755" s="286"/>
      <c r="FK755" s="286"/>
      <c r="FL755" s="286"/>
      <c r="FM755" s="286"/>
      <c r="FN755" s="286"/>
      <c r="FO755" s="286"/>
      <c r="FP755" s="286"/>
      <c r="FQ755" s="286"/>
      <c r="FR755" s="286"/>
      <c r="FS755" s="286"/>
    </row>
    <row r="756" spans="1:175">
      <c r="A756" s="212" t="s">
        <v>3159</v>
      </c>
      <c r="B756" s="212" t="s">
        <v>3160</v>
      </c>
      <c r="C756" s="212" t="s">
        <v>3172</v>
      </c>
      <c r="D756" s="212" t="s">
        <v>3928</v>
      </c>
      <c r="E756" s="212" t="s">
        <v>3946</v>
      </c>
      <c r="F756" s="278">
        <v>6919</v>
      </c>
      <c r="G756" s="278">
        <v>94422</v>
      </c>
      <c r="H756" s="287">
        <f t="shared" si="11"/>
        <v>1.7771282116455911</v>
      </c>
      <c r="I756" s="286">
        <v>203</v>
      </c>
      <c r="J756" s="286">
        <v>1678</v>
      </c>
      <c r="K756" s="286">
        <v>1027</v>
      </c>
      <c r="L756" s="286">
        <v>651</v>
      </c>
      <c r="M756" s="286">
        <v>1304</v>
      </c>
      <c r="N756" s="286">
        <v>763</v>
      </c>
      <c r="O756" s="286">
        <v>541</v>
      </c>
      <c r="P756" s="286">
        <v>201</v>
      </c>
      <c r="Q756" s="286">
        <v>1672</v>
      </c>
      <c r="R756" s="286">
        <v>1027</v>
      </c>
      <c r="S756" s="286">
        <v>645</v>
      </c>
      <c r="T756" s="286">
        <v>1298</v>
      </c>
      <c r="U756" s="286">
        <v>763</v>
      </c>
      <c r="V756" s="286">
        <v>535</v>
      </c>
      <c r="W756" s="286"/>
      <c r="X756" s="286"/>
      <c r="Y756" s="286"/>
      <c r="Z756" s="286"/>
      <c r="AA756" s="286"/>
      <c r="AB756" s="286"/>
      <c r="AC756" s="286"/>
      <c r="AD756" s="286"/>
      <c r="AE756" s="286"/>
      <c r="AF756" s="286"/>
      <c r="AG756" s="286"/>
      <c r="AH756" s="286"/>
      <c r="AI756" s="286"/>
      <c r="AJ756" s="286"/>
      <c r="AK756" s="286"/>
      <c r="AL756" s="286"/>
      <c r="AM756" s="286"/>
      <c r="AN756" s="286"/>
      <c r="AO756" s="286"/>
      <c r="AP756" s="286"/>
      <c r="AQ756" s="286"/>
      <c r="AR756" s="286"/>
      <c r="AS756" s="286"/>
      <c r="AT756" s="286"/>
      <c r="AU756" s="286"/>
      <c r="AV756" s="286"/>
      <c r="AW756" s="286"/>
      <c r="AX756" s="286"/>
      <c r="AY756" s="286"/>
      <c r="AZ756" s="286"/>
      <c r="BA756" s="286"/>
      <c r="BB756" s="286"/>
      <c r="BC756" s="286"/>
      <c r="BD756" s="286"/>
      <c r="BE756" s="286"/>
      <c r="BF756" s="286"/>
      <c r="BG756" s="286"/>
      <c r="BH756" s="286"/>
      <c r="BI756" s="286"/>
      <c r="BJ756" s="286"/>
      <c r="BK756" s="286"/>
      <c r="BL756" s="286"/>
      <c r="BM756" s="286"/>
      <c r="BN756" s="286"/>
      <c r="BO756" s="286"/>
      <c r="BP756" s="286"/>
      <c r="BQ756" s="286"/>
      <c r="BR756" s="286"/>
      <c r="BS756" s="286"/>
      <c r="BT756" s="286"/>
      <c r="BU756" s="286"/>
      <c r="BV756" s="286"/>
      <c r="BW756" s="286"/>
      <c r="BX756" s="286"/>
      <c r="BY756" s="286"/>
      <c r="BZ756" s="286"/>
      <c r="CA756" s="286"/>
      <c r="CB756" s="286"/>
      <c r="CC756" s="286"/>
      <c r="CD756" s="286"/>
      <c r="CE756" s="286"/>
      <c r="CF756" s="286"/>
      <c r="CG756" s="286"/>
      <c r="CH756" s="286"/>
      <c r="CI756" s="286"/>
      <c r="CJ756" s="286"/>
      <c r="CK756" s="286"/>
      <c r="CL756" s="286"/>
      <c r="CM756" s="286"/>
      <c r="CN756" s="286"/>
      <c r="CO756" s="286"/>
      <c r="CP756" s="286"/>
      <c r="CQ756" s="286"/>
      <c r="CR756" s="286"/>
      <c r="CS756" s="286"/>
      <c r="CT756" s="286"/>
      <c r="CU756" s="286"/>
      <c r="CV756" s="286"/>
      <c r="CW756" s="286"/>
      <c r="CX756" s="286"/>
      <c r="CY756" s="286"/>
      <c r="CZ756" s="286"/>
      <c r="DA756" s="286"/>
      <c r="DB756" s="286"/>
      <c r="DC756" s="286"/>
      <c r="DD756" s="286"/>
      <c r="DE756" s="286"/>
      <c r="DF756" s="286"/>
      <c r="DG756" s="286"/>
      <c r="DH756" s="286"/>
      <c r="DI756" s="286"/>
      <c r="DJ756" s="286"/>
      <c r="DK756" s="286"/>
      <c r="DL756" s="286"/>
      <c r="DM756" s="286"/>
      <c r="DN756" s="286"/>
      <c r="DO756" s="286"/>
      <c r="DP756" s="286"/>
      <c r="DQ756" s="286"/>
      <c r="DR756" s="286"/>
      <c r="DS756" s="286"/>
      <c r="DT756" s="286"/>
      <c r="DU756" s="286"/>
      <c r="DV756" s="286"/>
      <c r="DW756" s="286"/>
      <c r="DX756" s="286"/>
      <c r="DY756" s="286"/>
      <c r="DZ756" s="286"/>
      <c r="EA756" s="286"/>
      <c r="EB756" s="286"/>
      <c r="EC756" s="286"/>
      <c r="ED756" s="286"/>
      <c r="EE756" s="286"/>
      <c r="EF756" s="286"/>
      <c r="EG756" s="286"/>
      <c r="EH756" s="286"/>
      <c r="EI756" s="286"/>
      <c r="EJ756" s="286"/>
      <c r="EK756" s="286"/>
      <c r="EL756" s="286"/>
      <c r="EM756" s="286"/>
      <c r="EN756" s="286"/>
      <c r="EO756" s="286"/>
      <c r="EP756" s="286"/>
      <c r="EQ756" s="286"/>
      <c r="ER756" s="286"/>
      <c r="ES756" s="286"/>
      <c r="ET756" s="286"/>
      <c r="EU756" s="286"/>
      <c r="EV756" s="286"/>
      <c r="EW756" s="286"/>
      <c r="EX756" s="286"/>
      <c r="EY756" s="286"/>
      <c r="EZ756" s="286"/>
      <c r="FA756" s="286"/>
      <c r="FB756" s="286"/>
      <c r="FC756" s="286"/>
      <c r="FD756" s="286"/>
      <c r="FE756" s="286"/>
      <c r="FF756" s="286"/>
      <c r="FG756" s="286"/>
      <c r="FH756" s="286"/>
      <c r="FI756" s="286"/>
      <c r="FJ756" s="286"/>
      <c r="FK756" s="286"/>
      <c r="FL756" s="286"/>
      <c r="FM756" s="286"/>
      <c r="FN756" s="286"/>
      <c r="FO756" s="286"/>
      <c r="FP756" s="286"/>
      <c r="FQ756" s="286"/>
      <c r="FR756" s="286"/>
      <c r="FS756" s="286"/>
    </row>
    <row r="757" spans="1:175">
      <c r="A757" s="212" t="s">
        <v>3159</v>
      </c>
      <c r="B757" s="212" t="s">
        <v>3160</v>
      </c>
      <c r="C757" s="212" t="s">
        <v>3172</v>
      </c>
      <c r="D757" s="212" t="s">
        <v>3928</v>
      </c>
      <c r="E757" s="212" t="s">
        <v>3947</v>
      </c>
      <c r="F757" s="278">
        <v>14606</v>
      </c>
      <c r="G757" s="278">
        <v>1159443</v>
      </c>
      <c r="H757" s="287">
        <f t="shared" si="11"/>
        <v>3.6231190321559574</v>
      </c>
      <c r="I757" s="286">
        <v>544</v>
      </c>
      <c r="J757" s="286">
        <v>42008</v>
      </c>
      <c r="K757" s="286">
        <v>19780</v>
      </c>
      <c r="L757" s="286">
        <v>22169</v>
      </c>
      <c r="M757" s="286">
        <v>40348</v>
      </c>
      <c r="N757" s="286">
        <v>18989</v>
      </c>
      <c r="O757" s="286">
        <v>21301</v>
      </c>
      <c r="P757" s="286">
        <v>544</v>
      </c>
      <c r="Q757" s="286">
        <v>42008</v>
      </c>
      <c r="R757" s="286">
        <v>19780</v>
      </c>
      <c r="S757" s="286">
        <v>22169</v>
      </c>
      <c r="T757" s="286">
        <v>40348</v>
      </c>
      <c r="U757" s="286">
        <v>18989</v>
      </c>
      <c r="V757" s="286">
        <v>21301</v>
      </c>
      <c r="W757" s="286"/>
      <c r="X757" s="286"/>
      <c r="Y757" s="286"/>
      <c r="Z757" s="286"/>
      <c r="AA757" s="286"/>
      <c r="AB757" s="286"/>
      <c r="AC757" s="286"/>
      <c r="AD757" s="286"/>
      <c r="AE757" s="286"/>
      <c r="AF757" s="286"/>
      <c r="AG757" s="286"/>
      <c r="AH757" s="286"/>
      <c r="AI757" s="286"/>
      <c r="AJ757" s="286"/>
      <c r="AK757" s="286"/>
      <c r="AL757" s="286"/>
      <c r="AM757" s="286"/>
      <c r="AN757" s="286"/>
      <c r="AO757" s="286"/>
      <c r="AP757" s="286"/>
      <c r="AQ757" s="286"/>
      <c r="AR757" s="286"/>
      <c r="AS757" s="286"/>
      <c r="AT757" s="286"/>
      <c r="AU757" s="286"/>
      <c r="AV757" s="286"/>
      <c r="AW757" s="286"/>
      <c r="AX757" s="286"/>
      <c r="AY757" s="286"/>
      <c r="AZ757" s="286"/>
      <c r="BA757" s="286"/>
      <c r="BB757" s="286"/>
      <c r="BC757" s="286"/>
      <c r="BD757" s="286"/>
      <c r="BE757" s="286"/>
      <c r="BF757" s="286"/>
      <c r="BG757" s="286"/>
      <c r="BH757" s="286"/>
      <c r="BI757" s="286"/>
      <c r="BJ757" s="286"/>
      <c r="BK757" s="286"/>
      <c r="BL757" s="286"/>
      <c r="BM757" s="286"/>
      <c r="BN757" s="286"/>
      <c r="BO757" s="286"/>
      <c r="BP757" s="286"/>
      <c r="BQ757" s="286"/>
      <c r="BR757" s="286"/>
      <c r="BS757" s="286"/>
      <c r="BT757" s="286"/>
      <c r="BU757" s="286"/>
      <c r="BV757" s="286"/>
      <c r="BW757" s="286"/>
      <c r="BX757" s="286"/>
      <c r="BY757" s="286"/>
      <c r="BZ757" s="286"/>
      <c r="CA757" s="286"/>
      <c r="CB757" s="286"/>
      <c r="CC757" s="286"/>
      <c r="CD757" s="286"/>
      <c r="CE757" s="286"/>
      <c r="CF757" s="286"/>
      <c r="CG757" s="286"/>
      <c r="CH757" s="286"/>
      <c r="CI757" s="286"/>
      <c r="CJ757" s="286"/>
      <c r="CK757" s="286"/>
      <c r="CL757" s="286"/>
      <c r="CM757" s="286"/>
      <c r="CN757" s="286"/>
      <c r="CO757" s="286"/>
      <c r="CP757" s="286"/>
      <c r="CQ757" s="286"/>
      <c r="CR757" s="286"/>
      <c r="CS757" s="286"/>
      <c r="CT757" s="286"/>
      <c r="CU757" s="286"/>
      <c r="CV757" s="286"/>
      <c r="CW757" s="286"/>
      <c r="CX757" s="286"/>
      <c r="CY757" s="286"/>
      <c r="CZ757" s="286"/>
      <c r="DA757" s="286"/>
      <c r="DB757" s="286"/>
      <c r="DC757" s="286"/>
      <c r="DD757" s="286"/>
      <c r="DE757" s="286"/>
      <c r="DF757" s="286"/>
      <c r="DG757" s="286"/>
      <c r="DH757" s="286"/>
      <c r="DI757" s="286"/>
      <c r="DJ757" s="286"/>
      <c r="DK757" s="286"/>
      <c r="DL757" s="286"/>
      <c r="DM757" s="286"/>
      <c r="DN757" s="286"/>
      <c r="DO757" s="286"/>
      <c r="DP757" s="286"/>
      <c r="DQ757" s="286"/>
      <c r="DR757" s="286"/>
      <c r="DS757" s="286"/>
      <c r="DT757" s="286"/>
      <c r="DU757" s="286"/>
      <c r="DV757" s="286"/>
      <c r="DW757" s="286"/>
      <c r="DX757" s="286"/>
      <c r="DY757" s="286"/>
      <c r="DZ757" s="286"/>
      <c r="EA757" s="286"/>
      <c r="EB757" s="286"/>
      <c r="EC757" s="286"/>
      <c r="ED757" s="286"/>
      <c r="EE757" s="286"/>
      <c r="EF757" s="286"/>
      <c r="EG757" s="286"/>
      <c r="EH757" s="286"/>
      <c r="EI757" s="286"/>
      <c r="EJ757" s="286"/>
      <c r="EK757" s="286"/>
      <c r="EL757" s="286"/>
      <c r="EM757" s="286"/>
      <c r="EN757" s="286"/>
      <c r="EO757" s="286"/>
      <c r="EP757" s="286"/>
      <c r="EQ757" s="286"/>
      <c r="ER757" s="286"/>
      <c r="ES757" s="286"/>
      <c r="ET757" s="286"/>
      <c r="EU757" s="286"/>
      <c r="EV757" s="286"/>
      <c r="EW757" s="286"/>
      <c r="EX757" s="286"/>
      <c r="EY757" s="286"/>
      <c r="EZ757" s="286"/>
      <c r="FA757" s="286"/>
      <c r="FB757" s="286"/>
      <c r="FC757" s="286"/>
      <c r="FD757" s="286"/>
      <c r="FE757" s="286"/>
      <c r="FF757" s="286"/>
      <c r="FG757" s="286"/>
      <c r="FH757" s="286"/>
      <c r="FI757" s="286"/>
      <c r="FJ757" s="286"/>
      <c r="FK757" s="286"/>
      <c r="FL757" s="286"/>
      <c r="FM757" s="286"/>
      <c r="FN757" s="286"/>
      <c r="FO757" s="286"/>
      <c r="FP757" s="286"/>
      <c r="FQ757" s="286"/>
      <c r="FR757" s="286"/>
      <c r="FS757" s="286"/>
    </row>
    <row r="758" spans="1:175">
      <c r="A758" s="212" t="s">
        <v>3159</v>
      </c>
      <c r="B758" s="212" t="s">
        <v>3160</v>
      </c>
      <c r="C758" s="212" t="s">
        <v>3170</v>
      </c>
      <c r="D758" s="212" t="s">
        <v>3928</v>
      </c>
      <c r="E758" s="212" t="s">
        <v>3948</v>
      </c>
      <c r="F758" s="278">
        <v>90625</v>
      </c>
      <c r="G758" s="278">
        <v>2633560</v>
      </c>
      <c r="H758" s="287">
        <f t="shared" si="11"/>
        <v>3.5739455338021537</v>
      </c>
      <c r="I758" s="286">
        <v>3429</v>
      </c>
      <c r="J758" s="286">
        <v>94122</v>
      </c>
      <c r="K758" s="286">
        <v>54700</v>
      </c>
      <c r="L758" s="286">
        <v>39293</v>
      </c>
      <c r="M758" s="286">
        <v>86328</v>
      </c>
      <c r="N758" s="286">
        <v>49276</v>
      </c>
      <c r="O758" s="286">
        <v>36926</v>
      </c>
      <c r="P758" s="286">
        <v>3422</v>
      </c>
      <c r="Q758" s="286">
        <v>94052</v>
      </c>
      <c r="R758" s="286">
        <v>54647</v>
      </c>
      <c r="S758" s="286">
        <v>39276</v>
      </c>
      <c r="T758" s="286">
        <v>86258</v>
      </c>
      <c r="U758" s="286">
        <v>49223</v>
      </c>
      <c r="V758" s="286">
        <v>36909</v>
      </c>
      <c r="W758" s="286"/>
      <c r="X758" s="286"/>
      <c r="Y758" s="286"/>
      <c r="Z758" s="286"/>
      <c r="AA758" s="286"/>
      <c r="AB758" s="286"/>
      <c r="AC758" s="286"/>
      <c r="AD758" s="286"/>
      <c r="AE758" s="286"/>
      <c r="AF758" s="286"/>
      <c r="AG758" s="286"/>
      <c r="AH758" s="286"/>
      <c r="AI758" s="286"/>
      <c r="AJ758" s="286"/>
      <c r="AK758" s="286"/>
      <c r="AL758" s="286"/>
      <c r="AM758" s="286"/>
      <c r="AN758" s="286"/>
      <c r="AO758" s="286"/>
      <c r="AP758" s="286"/>
      <c r="AQ758" s="286"/>
      <c r="AR758" s="286"/>
      <c r="AS758" s="286"/>
      <c r="AT758" s="286"/>
      <c r="AU758" s="286"/>
      <c r="AV758" s="286"/>
      <c r="AW758" s="286"/>
      <c r="AX758" s="286"/>
      <c r="AY758" s="286"/>
      <c r="AZ758" s="286"/>
      <c r="BA758" s="286"/>
      <c r="BB758" s="286"/>
      <c r="BC758" s="286"/>
      <c r="BD758" s="286"/>
      <c r="BE758" s="286"/>
      <c r="BF758" s="286"/>
      <c r="BG758" s="286"/>
      <c r="BH758" s="286"/>
      <c r="BI758" s="286"/>
      <c r="BJ758" s="286"/>
      <c r="BK758" s="286"/>
      <c r="BL758" s="286"/>
      <c r="BM758" s="286"/>
      <c r="BN758" s="286"/>
      <c r="BO758" s="286"/>
      <c r="BP758" s="286"/>
      <c r="BQ758" s="286"/>
      <c r="BR758" s="286"/>
      <c r="BS758" s="286"/>
      <c r="BT758" s="286"/>
      <c r="BU758" s="286"/>
      <c r="BV758" s="286"/>
      <c r="BW758" s="286"/>
      <c r="BX758" s="286"/>
      <c r="BY758" s="286"/>
      <c r="BZ758" s="286"/>
      <c r="CA758" s="286"/>
      <c r="CB758" s="286"/>
      <c r="CC758" s="286"/>
      <c r="CD758" s="286"/>
      <c r="CE758" s="286"/>
      <c r="CF758" s="286"/>
      <c r="CG758" s="286"/>
      <c r="CH758" s="286"/>
      <c r="CI758" s="286"/>
      <c r="CJ758" s="286"/>
      <c r="CK758" s="286"/>
      <c r="CL758" s="286"/>
      <c r="CM758" s="286"/>
      <c r="CN758" s="286"/>
      <c r="CO758" s="286"/>
      <c r="CP758" s="286"/>
      <c r="CQ758" s="286"/>
      <c r="CR758" s="286"/>
      <c r="CS758" s="286"/>
      <c r="CT758" s="286"/>
      <c r="CU758" s="286"/>
      <c r="CV758" s="286"/>
      <c r="CW758" s="286"/>
      <c r="CX758" s="286"/>
      <c r="CY758" s="286"/>
      <c r="CZ758" s="286"/>
      <c r="DA758" s="286"/>
      <c r="DB758" s="286"/>
      <c r="DC758" s="286"/>
      <c r="DD758" s="286"/>
      <c r="DE758" s="286"/>
      <c r="DF758" s="286"/>
      <c r="DG758" s="286"/>
      <c r="DH758" s="286"/>
      <c r="DI758" s="286"/>
      <c r="DJ758" s="286"/>
      <c r="DK758" s="286"/>
      <c r="DL758" s="286"/>
      <c r="DM758" s="286"/>
      <c r="DN758" s="286"/>
      <c r="DO758" s="286"/>
      <c r="DP758" s="286"/>
      <c r="DQ758" s="286"/>
      <c r="DR758" s="286"/>
      <c r="DS758" s="286"/>
      <c r="DT758" s="286"/>
      <c r="DU758" s="286"/>
      <c r="DV758" s="286"/>
      <c r="DW758" s="286"/>
      <c r="DX758" s="286"/>
      <c r="DY758" s="286"/>
      <c r="DZ758" s="286"/>
      <c r="EA758" s="286"/>
      <c r="EB758" s="286"/>
      <c r="EC758" s="286"/>
      <c r="ED758" s="286"/>
      <c r="EE758" s="286"/>
      <c r="EF758" s="286"/>
      <c r="EG758" s="286"/>
      <c r="EH758" s="286"/>
      <c r="EI758" s="286"/>
      <c r="EJ758" s="286"/>
      <c r="EK758" s="286"/>
      <c r="EL758" s="286"/>
      <c r="EM758" s="286"/>
      <c r="EN758" s="286"/>
      <c r="EO758" s="286"/>
      <c r="EP758" s="286"/>
      <c r="EQ758" s="286"/>
      <c r="ER758" s="286"/>
      <c r="ES758" s="286"/>
      <c r="ET758" s="286"/>
      <c r="EU758" s="286"/>
      <c r="EV758" s="286"/>
      <c r="EW758" s="286"/>
      <c r="EX758" s="286"/>
      <c r="EY758" s="286"/>
      <c r="EZ758" s="286"/>
      <c r="FA758" s="286"/>
      <c r="FB758" s="286"/>
      <c r="FC758" s="286"/>
      <c r="FD758" s="286"/>
      <c r="FE758" s="286"/>
      <c r="FF758" s="286"/>
      <c r="FG758" s="286"/>
      <c r="FH758" s="286"/>
      <c r="FI758" s="286"/>
      <c r="FJ758" s="286"/>
      <c r="FK758" s="286"/>
      <c r="FL758" s="286"/>
      <c r="FM758" s="286"/>
      <c r="FN758" s="286"/>
      <c r="FO758" s="286"/>
      <c r="FP758" s="286"/>
      <c r="FQ758" s="286"/>
      <c r="FR758" s="286"/>
      <c r="FS758" s="286"/>
    </row>
    <row r="759" spans="1:175">
      <c r="A759" s="212" t="s">
        <v>3159</v>
      </c>
      <c r="B759" s="212" t="s">
        <v>3160</v>
      </c>
      <c r="C759" s="212" t="s">
        <v>3172</v>
      </c>
      <c r="D759" s="212" t="s">
        <v>3928</v>
      </c>
      <c r="E759" s="212" t="s">
        <v>3949</v>
      </c>
      <c r="F759" s="278">
        <v>581</v>
      </c>
      <c r="G759" s="278">
        <v>11438</v>
      </c>
      <c r="H759" s="287">
        <f t="shared" si="11"/>
        <v>1.4425598880923238</v>
      </c>
      <c r="I759" s="286">
        <v>18</v>
      </c>
      <c r="J759" s="286">
        <v>165</v>
      </c>
      <c r="K759" s="286">
        <v>103</v>
      </c>
      <c r="L759" s="286">
        <v>62</v>
      </c>
      <c r="M759" s="286">
        <v>114</v>
      </c>
      <c r="N759" s="286">
        <v>60</v>
      </c>
      <c r="O759" s="286">
        <v>54</v>
      </c>
      <c r="P759" s="286">
        <v>18</v>
      </c>
      <c r="Q759" s="286">
        <v>165</v>
      </c>
      <c r="R759" s="286">
        <v>103</v>
      </c>
      <c r="S759" s="286">
        <v>62</v>
      </c>
      <c r="T759" s="286">
        <v>114</v>
      </c>
      <c r="U759" s="286">
        <v>60</v>
      </c>
      <c r="V759" s="286">
        <v>54</v>
      </c>
      <c r="W759" s="286"/>
      <c r="X759" s="286"/>
      <c r="Y759" s="286"/>
      <c r="Z759" s="286"/>
      <c r="AA759" s="286"/>
      <c r="AB759" s="286"/>
      <c r="AC759" s="286"/>
      <c r="AD759" s="286"/>
      <c r="AE759" s="286"/>
      <c r="AF759" s="286"/>
      <c r="AG759" s="286"/>
      <c r="AH759" s="286"/>
      <c r="AI759" s="286"/>
      <c r="AJ759" s="286"/>
      <c r="AK759" s="286"/>
      <c r="AL759" s="286"/>
      <c r="AM759" s="286"/>
      <c r="AN759" s="286"/>
      <c r="AO759" s="286"/>
      <c r="AP759" s="286"/>
      <c r="AQ759" s="286"/>
      <c r="AR759" s="286"/>
      <c r="AS759" s="286"/>
      <c r="AT759" s="286"/>
      <c r="AU759" s="286"/>
      <c r="AV759" s="286"/>
      <c r="AW759" s="286"/>
      <c r="AX759" s="286"/>
      <c r="AY759" s="286"/>
      <c r="AZ759" s="286"/>
      <c r="BA759" s="286"/>
      <c r="BB759" s="286"/>
      <c r="BC759" s="286"/>
      <c r="BD759" s="286"/>
      <c r="BE759" s="286"/>
      <c r="BF759" s="286"/>
      <c r="BG759" s="286"/>
      <c r="BH759" s="286"/>
      <c r="BI759" s="286"/>
      <c r="BJ759" s="286"/>
      <c r="BK759" s="286"/>
      <c r="BL759" s="286"/>
      <c r="BM759" s="286"/>
      <c r="BN759" s="286"/>
      <c r="BO759" s="286"/>
      <c r="BP759" s="286"/>
      <c r="BQ759" s="286"/>
      <c r="BR759" s="286"/>
      <c r="BS759" s="286"/>
      <c r="BT759" s="286"/>
      <c r="BU759" s="286"/>
      <c r="BV759" s="286"/>
      <c r="BW759" s="286"/>
      <c r="BX759" s="286"/>
      <c r="BY759" s="286"/>
      <c r="BZ759" s="286"/>
      <c r="CA759" s="286"/>
      <c r="CB759" s="286"/>
      <c r="CC759" s="286"/>
      <c r="CD759" s="286"/>
      <c r="CE759" s="286"/>
      <c r="CF759" s="286"/>
      <c r="CG759" s="286"/>
      <c r="CH759" s="286"/>
      <c r="CI759" s="286"/>
      <c r="CJ759" s="286"/>
      <c r="CK759" s="286"/>
      <c r="CL759" s="286"/>
      <c r="CM759" s="286"/>
      <c r="CN759" s="286"/>
      <c r="CO759" s="286"/>
      <c r="CP759" s="286"/>
      <c r="CQ759" s="286"/>
      <c r="CR759" s="286"/>
      <c r="CS759" s="286"/>
      <c r="CT759" s="286"/>
      <c r="CU759" s="286"/>
      <c r="CV759" s="286"/>
      <c r="CW759" s="286"/>
      <c r="CX759" s="286"/>
      <c r="CY759" s="286"/>
      <c r="CZ759" s="286"/>
      <c r="DA759" s="286"/>
      <c r="DB759" s="286"/>
      <c r="DC759" s="286"/>
      <c r="DD759" s="286"/>
      <c r="DE759" s="286"/>
      <c r="DF759" s="286"/>
      <c r="DG759" s="286"/>
      <c r="DH759" s="286"/>
      <c r="DI759" s="286"/>
      <c r="DJ759" s="286"/>
      <c r="DK759" s="286"/>
      <c r="DL759" s="286"/>
      <c r="DM759" s="286"/>
      <c r="DN759" s="286"/>
      <c r="DO759" s="286"/>
      <c r="DP759" s="286"/>
      <c r="DQ759" s="286"/>
      <c r="DR759" s="286"/>
      <c r="DS759" s="286"/>
      <c r="DT759" s="286"/>
      <c r="DU759" s="286"/>
      <c r="DV759" s="286"/>
      <c r="DW759" s="286"/>
      <c r="DX759" s="286"/>
      <c r="DY759" s="286"/>
      <c r="DZ759" s="286"/>
      <c r="EA759" s="286"/>
      <c r="EB759" s="286"/>
      <c r="EC759" s="286"/>
      <c r="ED759" s="286"/>
      <c r="EE759" s="286"/>
      <c r="EF759" s="286"/>
      <c r="EG759" s="286"/>
      <c r="EH759" s="286"/>
      <c r="EI759" s="286"/>
      <c r="EJ759" s="286"/>
      <c r="EK759" s="286"/>
      <c r="EL759" s="286"/>
      <c r="EM759" s="286"/>
      <c r="EN759" s="286"/>
      <c r="EO759" s="286"/>
      <c r="EP759" s="286"/>
      <c r="EQ759" s="286"/>
      <c r="ER759" s="286"/>
      <c r="ES759" s="286"/>
      <c r="ET759" s="286"/>
      <c r="EU759" s="286"/>
      <c r="EV759" s="286"/>
      <c r="EW759" s="286"/>
      <c r="EX759" s="286"/>
      <c r="EY759" s="286"/>
      <c r="EZ759" s="286"/>
      <c r="FA759" s="286"/>
      <c r="FB759" s="286"/>
      <c r="FC759" s="286"/>
      <c r="FD759" s="286"/>
      <c r="FE759" s="286"/>
      <c r="FF759" s="286"/>
      <c r="FG759" s="286"/>
      <c r="FH759" s="286"/>
      <c r="FI759" s="286"/>
      <c r="FJ759" s="286"/>
      <c r="FK759" s="286"/>
      <c r="FL759" s="286"/>
      <c r="FM759" s="286"/>
      <c r="FN759" s="286"/>
      <c r="FO759" s="286"/>
      <c r="FP759" s="286"/>
      <c r="FQ759" s="286"/>
      <c r="FR759" s="286"/>
      <c r="FS759" s="286"/>
    </row>
    <row r="760" spans="1:175">
      <c r="A760" s="212" t="s">
        <v>3159</v>
      </c>
      <c r="B760" s="212" t="s">
        <v>3160</v>
      </c>
      <c r="C760" s="212" t="s">
        <v>3172</v>
      </c>
      <c r="D760" s="212" t="s">
        <v>3928</v>
      </c>
      <c r="E760" s="212" t="s">
        <v>3950</v>
      </c>
      <c r="F760" s="278">
        <v>1394</v>
      </c>
      <c r="G760" s="278">
        <v>10219</v>
      </c>
      <c r="H760" s="287">
        <f t="shared" si="11"/>
        <v>5.2647030042078482</v>
      </c>
      <c r="I760" s="286">
        <v>69</v>
      </c>
      <c r="J760" s="286">
        <v>538</v>
      </c>
      <c r="K760" s="286">
        <v>274</v>
      </c>
      <c r="L760" s="286">
        <v>264</v>
      </c>
      <c r="M760" s="286">
        <v>470</v>
      </c>
      <c r="N760" s="286">
        <v>228</v>
      </c>
      <c r="O760" s="286">
        <v>242</v>
      </c>
      <c r="P760" s="286">
        <v>69</v>
      </c>
      <c r="Q760" s="286">
        <v>538</v>
      </c>
      <c r="R760" s="286">
        <v>274</v>
      </c>
      <c r="S760" s="286">
        <v>264</v>
      </c>
      <c r="T760" s="286">
        <v>470</v>
      </c>
      <c r="U760" s="286">
        <v>228</v>
      </c>
      <c r="V760" s="286">
        <v>242</v>
      </c>
      <c r="W760" s="286"/>
      <c r="X760" s="286"/>
      <c r="Y760" s="286"/>
      <c r="Z760" s="286"/>
      <c r="AA760" s="286"/>
      <c r="AB760" s="286"/>
      <c r="AC760" s="286"/>
      <c r="AD760" s="286"/>
      <c r="AE760" s="286"/>
      <c r="AF760" s="286"/>
      <c r="AG760" s="286"/>
      <c r="AH760" s="286"/>
      <c r="AI760" s="286"/>
      <c r="AJ760" s="286"/>
      <c r="AK760" s="286"/>
      <c r="AL760" s="286"/>
      <c r="AM760" s="286"/>
      <c r="AN760" s="286"/>
      <c r="AO760" s="286"/>
      <c r="AP760" s="286"/>
      <c r="AQ760" s="286"/>
      <c r="AR760" s="286"/>
      <c r="AS760" s="286"/>
      <c r="AT760" s="286"/>
      <c r="AU760" s="286"/>
      <c r="AV760" s="286"/>
      <c r="AW760" s="286"/>
      <c r="AX760" s="286"/>
      <c r="AY760" s="286"/>
      <c r="AZ760" s="286"/>
      <c r="BA760" s="286"/>
      <c r="BB760" s="286"/>
      <c r="BC760" s="286"/>
      <c r="BD760" s="286"/>
      <c r="BE760" s="286"/>
      <c r="BF760" s="286"/>
      <c r="BG760" s="286"/>
      <c r="BH760" s="286"/>
      <c r="BI760" s="286"/>
      <c r="BJ760" s="286"/>
      <c r="BK760" s="286"/>
      <c r="BL760" s="286"/>
      <c r="BM760" s="286"/>
      <c r="BN760" s="286"/>
      <c r="BO760" s="286"/>
      <c r="BP760" s="286"/>
      <c r="BQ760" s="286"/>
      <c r="BR760" s="286"/>
      <c r="BS760" s="286"/>
      <c r="BT760" s="286"/>
      <c r="BU760" s="286"/>
      <c r="BV760" s="286"/>
      <c r="BW760" s="286"/>
      <c r="BX760" s="286"/>
      <c r="BY760" s="286"/>
      <c r="BZ760" s="286"/>
      <c r="CA760" s="286"/>
      <c r="CB760" s="286"/>
      <c r="CC760" s="286"/>
      <c r="CD760" s="286"/>
      <c r="CE760" s="286"/>
      <c r="CF760" s="286"/>
      <c r="CG760" s="286"/>
      <c r="CH760" s="286"/>
      <c r="CI760" s="286"/>
      <c r="CJ760" s="286"/>
      <c r="CK760" s="286"/>
      <c r="CL760" s="286"/>
      <c r="CM760" s="286"/>
      <c r="CN760" s="286"/>
      <c r="CO760" s="286"/>
      <c r="CP760" s="286"/>
      <c r="CQ760" s="286"/>
      <c r="CR760" s="286"/>
      <c r="CS760" s="286"/>
      <c r="CT760" s="286"/>
      <c r="CU760" s="286"/>
      <c r="CV760" s="286"/>
      <c r="CW760" s="286"/>
      <c r="CX760" s="286"/>
      <c r="CY760" s="286"/>
      <c r="CZ760" s="286"/>
      <c r="DA760" s="286"/>
      <c r="DB760" s="286"/>
      <c r="DC760" s="286"/>
      <c r="DD760" s="286"/>
      <c r="DE760" s="286"/>
      <c r="DF760" s="286"/>
      <c r="DG760" s="286"/>
      <c r="DH760" s="286"/>
      <c r="DI760" s="286"/>
      <c r="DJ760" s="286"/>
      <c r="DK760" s="286"/>
      <c r="DL760" s="286"/>
      <c r="DM760" s="286"/>
      <c r="DN760" s="286"/>
      <c r="DO760" s="286"/>
      <c r="DP760" s="286"/>
      <c r="DQ760" s="286"/>
      <c r="DR760" s="286"/>
      <c r="DS760" s="286"/>
      <c r="DT760" s="286"/>
      <c r="DU760" s="286"/>
      <c r="DV760" s="286"/>
      <c r="DW760" s="286"/>
      <c r="DX760" s="286"/>
      <c r="DY760" s="286"/>
      <c r="DZ760" s="286"/>
      <c r="EA760" s="286"/>
      <c r="EB760" s="286"/>
      <c r="EC760" s="286"/>
      <c r="ED760" s="286"/>
      <c r="EE760" s="286"/>
      <c r="EF760" s="286"/>
      <c r="EG760" s="286"/>
      <c r="EH760" s="286"/>
      <c r="EI760" s="286"/>
      <c r="EJ760" s="286"/>
      <c r="EK760" s="286"/>
      <c r="EL760" s="286"/>
      <c r="EM760" s="286"/>
      <c r="EN760" s="286"/>
      <c r="EO760" s="286"/>
      <c r="EP760" s="286"/>
      <c r="EQ760" s="286"/>
      <c r="ER760" s="286"/>
      <c r="ES760" s="286"/>
      <c r="ET760" s="286"/>
      <c r="EU760" s="286"/>
      <c r="EV760" s="286"/>
      <c r="EW760" s="286"/>
      <c r="EX760" s="286"/>
      <c r="EY760" s="286"/>
      <c r="EZ760" s="286"/>
      <c r="FA760" s="286"/>
      <c r="FB760" s="286"/>
      <c r="FC760" s="286"/>
      <c r="FD760" s="286"/>
      <c r="FE760" s="286"/>
      <c r="FF760" s="286"/>
      <c r="FG760" s="286"/>
      <c r="FH760" s="286"/>
      <c r="FI760" s="286"/>
      <c r="FJ760" s="286"/>
      <c r="FK760" s="286"/>
      <c r="FL760" s="286"/>
      <c r="FM760" s="286"/>
      <c r="FN760" s="286"/>
      <c r="FO760" s="286"/>
      <c r="FP760" s="286"/>
      <c r="FQ760" s="286"/>
      <c r="FR760" s="286"/>
      <c r="FS760" s="286"/>
    </row>
    <row r="761" spans="1:175">
      <c r="A761" s="212" t="s">
        <v>3159</v>
      </c>
      <c r="B761" s="212" t="s">
        <v>3160</v>
      </c>
      <c r="C761" s="212" t="s">
        <v>3172</v>
      </c>
      <c r="D761" s="212" t="s">
        <v>3928</v>
      </c>
      <c r="E761" s="212" t="s">
        <v>3951</v>
      </c>
      <c r="F761" s="278">
        <v>27977</v>
      </c>
      <c r="G761" s="278">
        <v>983703</v>
      </c>
      <c r="H761" s="287">
        <f t="shared" si="11"/>
        <v>3.2897124436948957</v>
      </c>
      <c r="I761" s="286">
        <v>928</v>
      </c>
      <c r="J761" s="286">
        <v>32361</v>
      </c>
      <c r="K761" s="286">
        <v>17153</v>
      </c>
      <c r="L761" s="286">
        <v>15184</v>
      </c>
      <c r="M761" s="286">
        <v>30245</v>
      </c>
      <c r="N761" s="286">
        <v>15916</v>
      </c>
      <c r="O761" s="286">
        <v>14307</v>
      </c>
      <c r="P761" s="286">
        <v>928</v>
      </c>
      <c r="Q761" s="286">
        <v>32361</v>
      </c>
      <c r="R761" s="286">
        <v>17153</v>
      </c>
      <c r="S761" s="286">
        <v>15184</v>
      </c>
      <c r="T761" s="286">
        <v>30245</v>
      </c>
      <c r="U761" s="286">
        <v>15916</v>
      </c>
      <c r="V761" s="286">
        <v>14307</v>
      </c>
      <c r="W761" s="286"/>
      <c r="X761" s="286"/>
      <c r="Y761" s="286"/>
      <c r="Z761" s="286"/>
      <c r="AA761" s="286"/>
      <c r="AB761" s="286"/>
      <c r="AC761" s="286"/>
      <c r="AD761" s="286"/>
      <c r="AE761" s="286"/>
      <c r="AF761" s="286"/>
      <c r="AG761" s="286"/>
      <c r="AH761" s="286"/>
      <c r="AI761" s="286"/>
      <c r="AJ761" s="286"/>
      <c r="AK761" s="286"/>
      <c r="AL761" s="286"/>
      <c r="AM761" s="286"/>
      <c r="AN761" s="286"/>
      <c r="AO761" s="286"/>
      <c r="AP761" s="286"/>
      <c r="AQ761" s="286"/>
      <c r="AR761" s="286"/>
      <c r="AS761" s="286"/>
      <c r="AT761" s="286"/>
      <c r="AU761" s="286"/>
      <c r="AV761" s="286"/>
      <c r="AW761" s="286"/>
      <c r="AX761" s="286"/>
      <c r="AY761" s="286"/>
      <c r="AZ761" s="286"/>
      <c r="BA761" s="286"/>
      <c r="BB761" s="286"/>
      <c r="BC761" s="286"/>
      <c r="BD761" s="286"/>
      <c r="BE761" s="286"/>
      <c r="BF761" s="286"/>
      <c r="BG761" s="286"/>
      <c r="BH761" s="286"/>
      <c r="BI761" s="286"/>
      <c r="BJ761" s="286"/>
      <c r="BK761" s="286"/>
      <c r="BL761" s="286"/>
      <c r="BM761" s="286"/>
      <c r="BN761" s="286"/>
      <c r="BO761" s="286"/>
      <c r="BP761" s="286"/>
      <c r="BQ761" s="286"/>
      <c r="BR761" s="286"/>
      <c r="BS761" s="286"/>
      <c r="BT761" s="286"/>
      <c r="BU761" s="286"/>
      <c r="BV761" s="286"/>
      <c r="BW761" s="286"/>
      <c r="BX761" s="286"/>
      <c r="BY761" s="286"/>
      <c r="BZ761" s="286"/>
      <c r="CA761" s="286"/>
      <c r="CB761" s="286"/>
      <c r="CC761" s="286"/>
      <c r="CD761" s="286"/>
      <c r="CE761" s="286"/>
      <c r="CF761" s="286"/>
      <c r="CG761" s="286"/>
      <c r="CH761" s="286"/>
      <c r="CI761" s="286"/>
      <c r="CJ761" s="286"/>
      <c r="CK761" s="286"/>
      <c r="CL761" s="286"/>
      <c r="CM761" s="286"/>
      <c r="CN761" s="286"/>
      <c r="CO761" s="286"/>
      <c r="CP761" s="286"/>
      <c r="CQ761" s="286"/>
      <c r="CR761" s="286"/>
      <c r="CS761" s="286"/>
      <c r="CT761" s="286"/>
      <c r="CU761" s="286"/>
      <c r="CV761" s="286"/>
      <c r="CW761" s="286"/>
      <c r="CX761" s="286"/>
      <c r="CY761" s="286"/>
      <c r="CZ761" s="286"/>
      <c r="DA761" s="286"/>
      <c r="DB761" s="286"/>
      <c r="DC761" s="286"/>
      <c r="DD761" s="286"/>
      <c r="DE761" s="286"/>
      <c r="DF761" s="286"/>
      <c r="DG761" s="286"/>
      <c r="DH761" s="286"/>
      <c r="DI761" s="286"/>
      <c r="DJ761" s="286"/>
      <c r="DK761" s="286"/>
      <c r="DL761" s="286"/>
      <c r="DM761" s="286"/>
      <c r="DN761" s="286"/>
      <c r="DO761" s="286"/>
      <c r="DP761" s="286"/>
      <c r="DQ761" s="286"/>
      <c r="DR761" s="286"/>
      <c r="DS761" s="286"/>
      <c r="DT761" s="286"/>
      <c r="DU761" s="286"/>
      <c r="DV761" s="286"/>
      <c r="DW761" s="286"/>
      <c r="DX761" s="286"/>
      <c r="DY761" s="286"/>
      <c r="DZ761" s="286"/>
      <c r="EA761" s="286"/>
      <c r="EB761" s="286"/>
      <c r="EC761" s="286"/>
      <c r="ED761" s="286"/>
      <c r="EE761" s="286"/>
      <c r="EF761" s="286"/>
      <c r="EG761" s="286"/>
      <c r="EH761" s="286"/>
      <c r="EI761" s="286"/>
      <c r="EJ761" s="286"/>
      <c r="EK761" s="286"/>
      <c r="EL761" s="286"/>
      <c r="EM761" s="286"/>
      <c r="EN761" s="286"/>
      <c r="EO761" s="286"/>
      <c r="EP761" s="286"/>
      <c r="EQ761" s="286"/>
      <c r="ER761" s="286"/>
      <c r="ES761" s="286"/>
      <c r="ET761" s="286"/>
      <c r="EU761" s="286"/>
      <c r="EV761" s="286"/>
      <c r="EW761" s="286"/>
      <c r="EX761" s="286"/>
      <c r="EY761" s="286"/>
      <c r="EZ761" s="286"/>
      <c r="FA761" s="286"/>
      <c r="FB761" s="286"/>
      <c r="FC761" s="286"/>
      <c r="FD761" s="286"/>
      <c r="FE761" s="286"/>
      <c r="FF761" s="286"/>
      <c r="FG761" s="286"/>
      <c r="FH761" s="286"/>
      <c r="FI761" s="286"/>
      <c r="FJ761" s="286"/>
      <c r="FK761" s="286"/>
      <c r="FL761" s="286"/>
      <c r="FM761" s="286"/>
      <c r="FN761" s="286"/>
      <c r="FO761" s="286"/>
      <c r="FP761" s="286"/>
      <c r="FQ761" s="286"/>
      <c r="FR761" s="286"/>
      <c r="FS761" s="286"/>
    </row>
    <row r="762" spans="1:175">
      <c r="A762" s="212" t="s">
        <v>3159</v>
      </c>
      <c r="B762" s="212" t="s">
        <v>3160</v>
      </c>
      <c r="C762" s="212" t="s">
        <v>3432</v>
      </c>
      <c r="D762" s="212" t="s">
        <v>3928</v>
      </c>
      <c r="E762" s="212" t="s">
        <v>3952</v>
      </c>
      <c r="F762" s="278">
        <v>12604</v>
      </c>
      <c r="G762" s="278">
        <v>662555</v>
      </c>
      <c r="H762" s="287">
        <f t="shared" si="11"/>
        <v>3.0552935228018807</v>
      </c>
      <c r="I762" s="286">
        <v>399</v>
      </c>
      <c r="J762" s="286">
        <v>20243</v>
      </c>
      <c r="K762" s="286">
        <v>10484</v>
      </c>
      <c r="L762" s="286">
        <v>9736</v>
      </c>
      <c r="M762" s="286">
        <v>18902</v>
      </c>
      <c r="N762" s="286">
        <v>9816</v>
      </c>
      <c r="O762" s="286">
        <v>9065</v>
      </c>
      <c r="P762" s="286">
        <v>399</v>
      </c>
      <c r="Q762" s="286">
        <v>20243</v>
      </c>
      <c r="R762" s="286">
        <v>10484</v>
      </c>
      <c r="S762" s="286">
        <v>9736</v>
      </c>
      <c r="T762" s="286">
        <v>18902</v>
      </c>
      <c r="U762" s="286">
        <v>9816</v>
      </c>
      <c r="V762" s="286">
        <v>9065</v>
      </c>
      <c r="W762" s="286"/>
      <c r="X762" s="286"/>
      <c r="Y762" s="286"/>
      <c r="Z762" s="286"/>
      <c r="AA762" s="286"/>
      <c r="AB762" s="286"/>
      <c r="AC762" s="286"/>
      <c r="AD762" s="286"/>
      <c r="AE762" s="286"/>
      <c r="AF762" s="286"/>
      <c r="AG762" s="286"/>
      <c r="AH762" s="286"/>
      <c r="AI762" s="286"/>
      <c r="AJ762" s="286"/>
      <c r="AK762" s="286"/>
      <c r="AL762" s="286"/>
      <c r="AM762" s="286"/>
      <c r="AN762" s="286"/>
      <c r="AO762" s="286"/>
      <c r="AP762" s="286"/>
      <c r="AQ762" s="286"/>
      <c r="AR762" s="286"/>
      <c r="AS762" s="286"/>
      <c r="AT762" s="286"/>
      <c r="AU762" s="286"/>
      <c r="AV762" s="286"/>
      <c r="AW762" s="286"/>
      <c r="AX762" s="286"/>
      <c r="AY762" s="286"/>
      <c r="AZ762" s="286"/>
      <c r="BA762" s="286"/>
      <c r="BB762" s="286"/>
      <c r="BC762" s="286"/>
      <c r="BD762" s="286"/>
      <c r="BE762" s="286"/>
      <c r="BF762" s="286"/>
      <c r="BG762" s="286"/>
      <c r="BH762" s="286"/>
      <c r="BI762" s="286"/>
      <c r="BJ762" s="286"/>
      <c r="BK762" s="286"/>
      <c r="BL762" s="286"/>
      <c r="BM762" s="286"/>
      <c r="BN762" s="286"/>
      <c r="BO762" s="286"/>
      <c r="BP762" s="286"/>
      <c r="BQ762" s="286"/>
      <c r="BR762" s="286"/>
      <c r="BS762" s="286"/>
      <c r="BT762" s="286"/>
      <c r="BU762" s="286"/>
      <c r="BV762" s="286"/>
      <c r="BW762" s="286"/>
      <c r="BX762" s="286"/>
      <c r="BY762" s="286"/>
      <c r="BZ762" s="286"/>
      <c r="CA762" s="286"/>
      <c r="CB762" s="286"/>
      <c r="CC762" s="286"/>
      <c r="CD762" s="286"/>
      <c r="CE762" s="286"/>
      <c r="CF762" s="286"/>
      <c r="CG762" s="286"/>
      <c r="CH762" s="286"/>
      <c r="CI762" s="286"/>
      <c r="CJ762" s="286"/>
      <c r="CK762" s="286"/>
      <c r="CL762" s="286"/>
      <c r="CM762" s="286"/>
      <c r="CN762" s="286"/>
      <c r="CO762" s="286"/>
      <c r="CP762" s="286"/>
      <c r="CQ762" s="286"/>
      <c r="CR762" s="286"/>
      <c r="CS762" s="286"/>
      <c r="CT762" s="286"/>
      <c r="CU762" s="286"/>
      <c r="CV762" s="286"/>
      <c r="CW762" s="286"/>
      <c r="CX762" s="286"/>
      <c r="CY762" s="286"/>
      <c r="CZ762" s="286"/>
      <c r="DA762" s="286"/>
      <c r="DB762" s="286"/>
      <c r="DC762" s="286"/>
      <c r="DD762" s="286"/>
      <c r="DE762" s="286"/>
      <c r="DF762" s="286"/>
      <c r="DG762" s="286"/>
      <c r="DH762" s="286"/>
      <c r="DI762" s="286"/>
      <c r="DJ762" s="286"/>
      <c r="DK762" s="286"/>
      <c r="DL762" s="286"/>
      <c r="DM762" s="286"/>
      <c r="DN762" s="286"/>
      <c r="DO762" s="286"/>
      <c r="DP762" s="286"/>
      <c r="DQ762" s="286"/>
      <c r="DR762" s="286"/>
      <c r="DS762" s="286"/>
      <c r="DT762" s="286"/>
      <c r="DU762" s="286"/>
      <c r="DV762" s="286"/>
      <c r="DW762" s="286"/>
      <c r="DX762" s="286"/>
      <c r="DY762" s="286"/>
      <c r="DZ762" s="286"/>
      <c r="EA762" s="286"/>
      <c r="EB762" s="286"/>
      <c r="EC762" s="286"/>
      <c r="ED762" s="286"/>
      <c r="EE762" s="286"/>
      <c r="EF762" s="286"/>
      <c r="EG762" s="286"/>
      <c r="EH762" s="286"/>
      <c r="EI762" s="286"/>
      <c r="EJ762" s="286"/>
      <c r="EK762" s="286"/>
      <c r="EL762" s="286"/>
      <c r="EM762" s="286"/>
      <c r="EN762" s="286"/>
      <c r="EO762" s="286"/>
      <c r="EP762" s="286"/>
      <c r="EQ762" s="286"/>
      <c r="ER762" s="286"/>
      <c r="ES762" s="286"/>
      <c r="ET762" s="286"/>
      <c r="EU762" s="286"/>
      <c r="EV762" s="286"/>
      <c r="EW762" s="286"/>
      <c r="EX762" s="286"/>
      <c r="EY762" s="286"/>
      <c r="EZ762" s="286"/>
      <c r="FA762" s="286"/>
      <c r="FB762" s="286"/>
      <c r="FC762" s="286"/>
      <c r="FD762" s="286"/>
      <c r="FE762" s="286"/>
      <c r="FF762" s="286"/>
      <c r="FG762" s="286"/>
      <c r="FH762" s="286"/>
      <c r="FI762" s="286"/>
      <c r="FJ762" s="286"/>
      <c r="FK762" s="286"/>
      <c r="FL762" s="286"/>
      <c r="FM762" s="286"/>
      <c r="FN762" s="286"/>
      <c r="FO762" s="286"/>
      <c r="FP762" s="286"/>
      <c r="FQ762" s="286"/>
      <c r="FR762" s="286"/>
      <c r="FS762" s="286"/>
    </row>
    <row r="763" spans="1:175">
      <c r="A763" s="212" t="s">
        <v>3159</v>
      </c>
      <c r="B763" s="212" t="s">
        <v>3160</v>
      </c>
      <c r="C763" s="212" t="s">
        <v>3432</v>
      </c>
      <c r="D763" s="212" t="s">
        <v>3928</v>
      </c>
      <c r="E763" s="212" t="s">
        <v>3953</v>
      </c>
      <c r="F763" s="278">
        <v>15373</v>
      </c>
      <c r="G763" s="278">
        <v>321148</v>
      </c>
      <c r="H763" s="287">
        <f t="shared" si="11"/>
        <v>3.7733381493890668</v>
      </c>
      <c r="I763" s="286">
        <v>529</v>
      </c>
      <c r="J763" s="286">
        <v>12118</v>
      </c>
      <c r="K763" s="286">
        <v>6669</v>
      </c>
      <c r="L763" s="286">
        <v>5448</v>
      </c>
      <c r="M763" s="286">
        <v>11343</v>
      </c>
      <c r="N763" s="286">
        <v>6100</v>
      </c>
      <c r="O763" s="286">
        <v>5242</v>
      </c>
      <c r="P763" s="286">
        <v>529</v>
      </c>
      <c r="Q763" s="286">
        <v>12118</v>
      </c>
      <c r="R763" s="286">
        <v>6669</v>
      </c>
      <c r="S763" s="286">
        <v>5448</v>
      </c>
      <c r="T763" s="286">
        <v>11343</v>
      </c>
      <c r="U763" s="286">
        <v>6100</v>
      </c>
      <c r="V763" s="286">
        <v>5242</v>
      </c>
      <c r="W763" s="286"/>
      <c r="X763" s="286"/>
      <c r="Y763" s="286"/>
      <c r="Z763" s="286"/>
      <c r="AA763" s="286"/>
      <c r="AB763" s="286"/>
      <c r="AC763" s="286"/>
      <c r="AD763" s="286"/>
      <c r="AE763" s="286"/>
      <c r="AF763" s="286"/>
      <c r="AG763" s="286"/>
      <c r="AH763" s="286"/>
      <c r="AI763" s="286"/>
      <c r="AJ763" s="286"/>
      <c r="AK763" s="286"/>
      <c r="AL763" s="286"/>
      <c r="AM763" s="286"/>
      <c r="AN763" s="286"/>
      <c r="AO763" s="286"/>
      <c r="AP763" s="286"/>
      <c r="AQ763" s="286"/>
      <c r="AR763" s="286"/>
      <c r="AS763" s="286"/>
      <c r="AT763" s="286"/>
      <c r="AU763" s="286"/>
      <c r="AV763" s="286"/>
      <c r="AW763" s="286"/>
      <c r="AX763" s="286"/>
      <c r="AY763" s="286"/>
      <c r="AZ763" s="286"/>
      <c r="BA763" s="286"/>
      <c r="BB763" s="286"/>
      <c r="BC763" s="286"/>
      <c r="BD763" s="286"/>
      <c r="BE763" s="286"/>
      <c r="BF763" s="286"/>
      <c r="BG763" s="286"/>
      <c r="BH763" s="286"/>
      <c r="BI763" s="286"/>
      <c r="BJ763" s="286"/>
      <c r="BK763" s="286"/>
      <c r="BL763" s="286"/>
      <c r="BM763" s="286"/>
      <c r="BN763" s="286"/>
      <c r="BO763" s="286"/>
      <c r="BP763" s="286"/>
      <c r="BQ763" s="286"/>
      <c r="BR763" s="286"/>
      <c r="BS763" s="286"/>
      <c r="BT763" s="286"/>
      <c r="BU763" s="286"/>
      <c r="BV763" s="286"/>
      <c r="BW763" s="286"/>
      <c r="BX763" s="286"/>
      <c r="BY763" s="286"/>
      <c r="BZ763" s="286"/>
      <c r="CA763" s="286"/>
      <c r="CB763" s="286"/>
      <c r="CC763" s="286"/>
      <c r="CD763" s="286"/>
      <c r="CE763" s="286"/>
      <c r="CF763" s="286"/>
      <c r="CG763" s="286"/>
      <c r="CH763" s="286"/>
      <c r="CI763" s="286"/>
      <c r="CJ763" s="286"/>
      <c r="CK763" s="286"/>
      <c r="CL763" s="286"/>
      <c r="CM763" s="286"/>
      <c r="CN763" s="286"/>
      <c r="CO763" s="286"/>
      <c r="CP763" s="286"/>
      <c r="CQ763" s="286"/>
      <c r="CR763" s="286"/>
      <c r="CS763" s="286"/>
      <c r="CT763" s="286"/>
      <c r="CU763" s="286"/>
      <c r="CV763" s="286"/>
      <c r="CW763" s="286"/>
      <c r="CX763" s="286"/>
      <c r="CY763" s="286"/>
      <c r="CZ763" s="286"/>
      <c r="DA763" s="286"/>
      <c r="DB763" s="286"/>
      <c r="DC763" s="286"/>
      <c r="DD763" s="286"/>
      <c r="DE763" s="286"/>
      <c r="DF763" s="286"/>
      <c r="DG763" s="286"/>
      <c r="DH763" s="286"/>
      <c r="DI763" s="286"/>
      <c r="DJ763" s="286"/>
      <c r="DK763" s="286"/>
      <c r="DL763" s="286"/>
      <c r="DM763" s="286"/>
      <c r="DN763" s="286"/>
      <c r="DO763" s="286"/>
      <c r="DP763" s="286"/>
      <c r="DQ763" s="286"/>
      <c r="DR763" s="286"/>
      <c r="DS763" s="286"/>
      <c r="DT763" s="286"/>
      <c r="DU763" s="286"/>
      <c r="DV763" s="286"/>
      <c r="DW763" s="286"/>
      <c r="DX763" s="286"/>
      <c r="DY763" s="286"/>
      <c r="DZ763" s="286"/>
      <c r="EA763" s="286"/>
      <c r="EB763" s="286"/>
      <c r="EC763" s="286"/>
      <c r="ED763" s="286"/>
      <c r="EE763" s="286"/>
      <c r="EF763" s="286"/>
      <c r="EG763" s="286"/>
      <c r="EH763" s="286"/>
      <c r="EI763" s="286"/>
      <c r="EJ763" s="286"/>
      <c r="EK763" s="286"/>
      <c r="EL763" s="286"/>
      <c r="EM763" s="286"/>
      <c r="EN763" s="286"/>
      <c r="EO763" s="286"/>
      <c r="EP763" s="286"/>
      <c r="EQ763" s="286"/>
      <c r="ER763" s="286"/>
      <c r="ES763" s="286"/>
      <c r="ET763" s="286"/>
      <c r="EU763" s="286"/>
      <c r="EV763" s="286"/>
      <c r="EW763" s="286"/>
      <c r="EX763" s="286"/>
      <c r="EY763" s="286"/>
      <c r="EZ763" s="286"/>
      <c r="FA763" s="286"/>
      <c r="FB763" s="286"/>
      <c r="FC763" s="286"/>
      <c r="FD763" s="286"/>
      <c r="FE763" s="286"/>
      <c r="FF763" s="286"/>
      <c r="FG763" s="286"/>
      <c r="FH763" s="286"/>
      <c r="FI763" s="286"/>
      <c r="FJ763" s="286"/>
      <c r="FK763" s="286"/>
      <c r="FL763" s="286"/>
      <c r="FM763" s="286"/>
      <c r="FN763" s="286"/>
      <c r="FO763" s="286"/>
      <c r="FP763" s="286"/>
      <c r="FQ763" s="286"/>
      <c r="FR763" s="286"/>
      <c r="FS763" s="286"/>
    </row>
    <row r="764" spans="1:175">
      <c r="A764" s="212" t="s">
        <v>3159</v>
      </c>
      <c r="B764" s="212" t="s">
        <v>3160</v>
      </c>
      <c r="C764" s="212" t="s">
        <v>3172</v>
      </c>
      <c r="D764" s="212" t="s">
        <v>3928</v>
      </c>
      <c r="E764" s="212" t="s">
        <v>3954</v>
      </c>
      <c r="F764" s="278">
        <v>9720</v>
      </c>
      <c r="G764" s="278">
        <v>460609</v>
      </c>
      <c r="H764" s="287">
        <f t="shared" si="11"/>
        <v>4.0205467109848048</v>
      </c>
      <c r="I764" s="286">
        <v>440</v>
      </c>
      <c r="J764" s="286">
        <v>18519</v>
      </c>
      <c r="K764" s="286">
        <v>16309</v>
      </c>
      <c r="L764" s="286">
        <v>2200</v>
      </c>
      <c r="M764" s="286">
        <v>16216</v>
      </c>
      <c r="N764" s="286">
        <v>14263</v>
      </c>
      <c r="O764" s="286">
        <v>1943</v>
      </c>
      <c r="P764" s="286">
        <v>440</v>
      </c>
      <c r="Q764" s="286">
        <v>18519</v>
      </c>
      <c r="R764" s="286">
        <v>16309</v>
      </c>
      <c r="S764" s="286">
        <v>2200</v>
      </c>
      <c r="T764" s="286">
        <v>16216</v>
      </c>
      <c r="U764" s="286">
        <v>14263</v>
      </c>
      <c r="V764" s="286">
        <v>1943</v>
      </c>
      <c r="W764" s="286"/>
      <c r="X764" s="286"/>
      <c r="Y764" s="286"/>
      <c r="Z764" s="286"/>
      <c r="AA764" s="286"/>
      <c r="AB764" s="286"/>
      <c r="AC764" s="286"/>
      <c r="AD764" s="286"/>
      <c r="AE764" s="286"/>
      <c r="AF764" s="286"/>
      <c r="AG764" s="286"/>
      <c r="AH764" s="286"/>
      <c r="AI764" s="286"/>
      <c r="AJ764" s="286"/>
      <c r="AK764" s="286"/>
      <c r="AL764" s="286"/>
      <c r="AM764" s="286"/>
      <c r="AN764" s="286"/>
      <c r="AO764" s="286"/>
      <c r="AP764" s="286"/>
      <c r="AQ764" s="286"/>
      <c r="AR764" s="286"/>
      <c r="AS764" s="286"/>
      <c r="AT764" s="286"/>
      <c r="AU764" s="286"/>
      <c r="AV764" s="286"/>
      <c r="AW764" s="286"/>
      <c r="AX764" s="286"/>
      <c r="AY764" s="286"/>
      <c r="AZ764" s="286"/>
      <c r="BA764" s="286"/>
      <c r="BB764" s="286"/>
      <c r="BC764" s="286"/>
      <c r="BD764" s="286"/>
      <c r="BE764" s="286"/>
      <c r="BF764" s="286"/>
      <c r="BG764" s="286"/>
      <c r="BH764" s="286"/>
      <c r="BI764" s="286"/>
      <c r="BJ764" s="286"/>
      <c r="BK764" s="286"/>
      <c r="BL764" s="286"/>
      <c r="BM764" s="286"/>
      <c r="BN764" s="286"/>
      <c r="BO764" s="286"/>
      <c r="BP764" s="286"/>
      <c r="BQ764" s="286"/>
      <c r="BR764" s="286"/>
      <c r="BS764" s="286"/>
      <c r="BT764" s="286"/>
      <c r="BU764" s="286"/>
      <c r="BV764" s="286"/>
      <c r="BW764" s="286"/>
      <c r="BX764" s="286"/>
      <c r="BY764" s="286"/>
      <c r="BZ764" s="286"/>
      <c r="CA764" s="286"/>
      <c r="CB764" s="286"/>
      <c r="CC764" s="286"/>
      <c r="CD764" s="286"/>
      <c r="CE764" s="286"/>
      <c r="CF764" s="286"/>
      <c r="CG764" s="286"/>
      <c r="CH764" s="286"/>
      <c r="CI764" s="286"/>
      <c r="CJ764" s="286"/>
      <c r="CK764" s="286"/>
      <c r="CL764" s="286"/>
      <c r="CM764" s="286"/>
      <c r="CN764" s="286"/>
      <c r="CO764" s="286"/>
      <c r="CP764" s="286"/>
      <c r="CQ764" s="286"/>
      <c r="CR764" s="286"/>
      <c r="CS764" s="286"/>
      <c r="CT764" s="286"/>
      <c r="CU764" s="286"/>
      <c r="CV764" s="286"/>
      <c r="CW764" s="286"/>
      <c r="CX764" s="286"/>
      <c r="CY764" s="286"/>
      <c r="CZ764" s="286"/>
      <c r="DA764" s="286"/>
      <c r="DB764" s="286"/>
      <c r="DC764" s="286"/>
      <c r="DD764" s="286"/>
      <c r="DE764" s="286"/>
      <c r="DF764" s="286"/>
      <c r="DG764" s="286"/>
      <c r="DH764" s="286"/>
      <c r="DI764" s="286"/>
      <c r="DJ764" s="286"/>
      <c r="DK764" s="286"/>
      <c r="DL764" s="286"/>
      <c r="DM764" s="286"/>
      <c r="DN764" s="286"/>
      <c r="DO764" s="286"/>
      <c r="DP764" s="286"/>
      <c r="DQ764" s="286"/>
      <c r="DR764" s="286"/>
      <c r="DS764" s="286"/>
      <c r="DT764" s="286"/>
      <c r="DU764" s="286"/>
      <c r="DV764" s="286"/>
      <c r="DW764" s="286"/>
      <c r="DX764" s="286"/>
      <c r="DY764" s="286"/>
      <c r="DZ764" s="286"/>
      <c r="EA764" s="286"/>
      <c r="EB764" s="286"/>
      <c r="EC764" s="286"/>
      <c r="ED764" s="286"/>
      <c r="EE764" s="286"/>
      <c r="EF764" s="286"/>
      <c r="EG764" s="286"/>
      <c r="EH764" s="286"/>
      <c r="EI764" s="286"/>
      <c r="EJ764" s="286"/>
      <c r="EK764" s="286"/>
      <c r="EL764" s="286"/>
      <c r="EM764" s="286"/>
      <c r="EN764" s="286"/>
      <c r="EO764" s="286"/>
      <c r="EP764" s="286"/>
      <c r="EQ764" s="286"/>
      <c r="ER764" s="286"/>
      <c r="ES764" s="286"/>
      <c r="ET764" s="286"/>
      <c r="EU764" s="286"/>
      <c r="EV764" s="286"/>
      <c r="EW764" s="286"/>
      <c r="EX764" s="286"/>
      <c r="EY764" s="286"/>
      <c r="EZ764" s="286"/>
      <c r="FA764" s="286"/>
      <c r="FB764" s="286"/>
      <c r="FC764" s="286"/>
      <c r="FD764" s="286"/>
      <c r="FE764" s="286"/>
      <c r="FF764" s="286"/>
      <c r="FG764" s="286"/>
      <c r="FH764" s="286"/>
      <c r="FI764" s="286"/>
      <c r="FJ764" s="286"/>
      <c r="FK764" s="286"/>
      <c r="FL764" s="286"/>
      <c r="FM764" s="286"/>
      <c r="FN764" s="286"/>
      <c r="FO764" s="286"/>
      <c r="FP764" s="286"/>
      <c r="FQ764" s="286"/>
      <c r="FR764" s="286"/>
      <c r="FS764" s="286"/>
    </row>
    <row r="765" spans="1:175">
      <c r="A765" s="212" t="s">
        <v>3159</v>
      </c>
      <c r="B765" s="212" t="s">
        <v>3160</v>
      </c>
      <c r="C765" s="212" t="s">
        <v>3172</v>
      </c>
      <c r="D765" s="212" t="s">
        <v>3928</v>
      </c>
      <c r="E765" s="212" t="s">
        <v>3955</v>
      </c>
      <c r="F765" s="278">
        <v>50953</v>
      </c>
      <c r="G765" s="278">
        <v>1167591</v>
      </c>
      <c r="H765" s="287">
        <f t="shared" si="11"/>
        <v>3.6433134547970996</v>
      </c>
      <c r="I765" s="286">
        <v>1974</v>
      </c>
      <c r="J765" s="286">
        <v>42539</v>
      </c>
      <c r="K765" s="286">
        <v>20861</v>
      </c>
      <c r="L765" s="286">
        <v>21583</v>
      </c>
      <c r="M765" s="286">
        <v>39283</v>
      </c>
      <c r="N765" s="286">
        <v>18809</v>
      </c>
      <c r="O765" s="286">
        <v>20380</v>
      </c>
      <c r="P765" s="286">
        <v>1967</v>
      </c>
      <c r="Q765" s="286">
        <v>42469</v>
      </c>
      <c r="R765" s="286">
        <v>20808</v>
      </c>
      <c r="S765" s="286">
        <v>21566</v>
      </c>
      <c r="T765" s="286">
        <v>39213</v>
      </c>
      <c r="U765" s="286">
        <v>18756</v>
      </c>
      <c r="V765" s="286">
        <v>20363</v>
      </c>
      <c r="W765" s="286"/>
      <c r="X765" s="286"/>
      <c r="Y765" s="286"/>
      <c r="Z765" s="286"/>
      <c r="AA765" s="286"/>
      <c r="AB765" s="286"/>
      <c r="AC765" s="286"/>
      <c r="AD765" s="286"/>
      <c r="AE765" s="286"/>
      <c r="AF765" s="286"/>
      <c r="AG765" s="286"/>
      <c r="AH765" s="286"/>
      <c r="AI765" s="286"/>
      <c r="AJ765" s="286"/>
      <c r="AK765" s="286"/>
      <c r="AL765" s="286"/>
      <c r="AM765" s="286"/>
      <c r="AN765" s="286"/>
      <c r="AO765" s="286"/>
      <c r="AP765" s="286"/>
      <c r="AQ765" s="286"/>
      <c r="AR765" s="286"/>
      <c r="AS765" s="286"/>
      <c r="AT765" s="286"/>
      <c r="AU765" s="286"/>
      <c r="AV765" s="286"/>
      <c r="AW765" s="286"/>
      <c r="AX765" s="286"/>
      <c r="AY765" s="286"/>
      <c r="AZ765" s="286"/>
      <c r="BA765" s="286"/>
      <c r="BB765" s="286"/>
      <c r="BC765" s="286"/>
      <c r="BD765" s="286"/>
      <c r="BE765" s="286"/>
      <c r="BF765" s="286"/>
      <c r="BG765" s="286"/>
      <c r="BH765" s="286"/>
      <c r="BI765" s="286"/>
      <c r="BJ765" s="286"/>
      <c r="BK765" s="286"/>
      <c r="BL765" s="286"/>
      <c r="BM765" s="286"/>
      <c r="BN765" s="286"/>
      <c r="BO765" s="286"/>
      <c r="BP765" s="286"/>
      <c r="BQ765" s="286"/>
      <c r="BR765" s="286"/>
      <c r="BS765" s="286"/>
      <c r="BT765" s="286"/>
      <c r="BU765" s="286"/>
      <c r="BV765" s="286"/>
      <c r="BW765" s="286"/>
      <c r="BX765" s="286"/>
      <c r="BY765" s="286"/>
      <c r="BZ765" s="286"/>
      <c r="CA765" s="286"/>
      <c r="CB765" s="286"/>
      <c r="CC765" s="286"/>
      <c r="CD765" s="286"/>
      <c r="CE765" s="286"/>
      <c r="CF765" s="286"/>
      <c r="CG765" s="286"/>
      <c r="CH765" s="286"/>
      <c r="CI765" s="286"/>
      <c r="CJ765" s="286"/>
      <c r="CK765" s="286"/>
      <c r="CL765" s="286"/>
      <c r="CM765" s="286"/>
      <c r="CN765" s="286"/>
      <c r="CO765" s="286"/>
      <c r="CP765" s="286"/>
      <c r="CQ765" s="286"/>
      <c r="CR765" s="286"/>
      <c r="CS765" s="286"/>
      <c r="CT765" s="286"/>
      <c r="CU765" s="286"/>
      <c r="CV765" s="286"/>
      <c r="CW765" s="286"/>
      <c r="CX765" s="286"/>
      <c r="CY765" s="286"/>
      <c r="CZ765" s="286"/>
      <c r="DA765" s="286"/>
      <c r="DB765" s="286"/>
      <c r="DC765" s="286"/>
      <c r="DD765" s="286"/>
      <c r="DE765" s="286"/>
      <c r="DF765" s="286"/>
      <c r="DG765" s="286"/>
      <c r="DH765" s="286"/>
      <c r="DI765" s="286"/>
      <c r="DJ765" s="286"/>
      <c r="DK765" s="286"/>
      <c r="DL765" s="286"/>
      <c r="DM765" s="286"/>
      <c r="DN765" s="286"/>
      <c r="DO765" s="286"/>
      <c r="DP765" s="286"/>
      <c r="DQ765" s="286"/>
      <c r="DR765" s="286"/>
      <c r="DS765" s="286"/>
      <c r="DT765" s="286"/>
      <c r="DU765" s="286"/>
      <c r="DV765" s="286"/>
      <c r="DW765" s="286"/>
      <c r="DX765" s="286"/>
      <c r="DY765" s="286"/>
      <c r="DZ765" s="286"/>
      <c r="EA765" s="286"/>
      <c r="EB765" s="286"/>
      <c r="EC765" s="286"/>
      <c r="ED765" s="286"/>
      <c r="EE765" s="286"/>
      <c r="EF765" s="286"/>
      <c r="EG765" s="286"/>
      <c r="EH765" s="286"/>
      <c r="EI765" s="286"/>
      <c r="EJ765" s="286"/>
      <c r="EK765" s="286"/>
      <c r="EL765" s="286"/>
      <c r="EM765" s="286"/>
      <c r="EN765" s="286"/>
      <c r="EO765" s="286"/>
      <c r="EP765" s="286"/>
      <c r="EQ765" s="286"/>
      <c r="ER765" s="286"/>
      <c r="ES765" s="286"/>
      <c r="ET765" s="286"/>
      <c r="EU765" s="286"/>
      <c r="EV765" s="286"/>
      <c r="EW765" s="286"/>
      <c r="EX765" s="286"/>
      <c r="EY765" s="286"/>
      <c r="EZ765" s="286"/>
      <c r="FA765" s="286"/>
      <c r="FB765" s="286"/>
      <c r="FC765" s="286"/>
      <c r="FD765" s="286"/>
      <c r="FE765" s="286"/>
      <c r="FF765" s="286"/>
      <c r="FG765" s="286"/>
      <c r="FH765" s="286"/>
      <c r="FI765" s="286"/>
      <c r="FJ765" s="286"/>
      <c r="FK765" s="286"/>
      <c r="FL765" s="286"/>
      <c r="FM765" s="286"/>
      <c r="FN765" s="286"/>
      <c r="FO765" s="286"/>
      <c r="FP765" s="286"/>
      <c r="FQ765" s="286"/>
      <c r="FR765" s="286"/>
      <c r="FS765" s="286"/>
    </row>
    <row r="766" spans="1:175">
      <c r="A766" s="212" t="s">
        <v>3159</v>
      </c>
      <c r="B766" s="212" t="s">
        <v>3160</v>
      </c>
      <c r="C766" s="212" t="s">
        <v>3170</v>
      </c>
      <c r="D766" s="212" t="s">
        <v>3928</v>
      </c>
      <c r="E766" s="212" t="s">
        <v>3956</v>
      </c>
      <c r="F766" s="278">
        <v>7831</v>
      </c>
      <c r="G766" s="278">
        <v>61712</v>
      </c>
      <c r="H766" s="287">
        <f t="shared" si="11"/>
        <v>3.8063909774436091</v>
      </c>
      <c r="I766" s="286">
        <v>352</v>
      </c>
      <c r="J766" s="286">
        <v>2349</v>
      </c>
      <c r="K766" s="286">
        <v>1027</v>
      </c>
      <c r="L766" s="286">
        <v>1322</v>
      </c>
      <c r="M766" s="286">
        <v>2170</v>
      </c>
      <c r="N766" s="286">
        <v>940</v>
      </c>
      <c r="O766" s="286">
        <v>1230</v>
      </c>
      <c r="P766" s="286">
        <v>198</v>
      </c>
      <c r="Q766" s="286">
        <v>1466</v>
      </c>
      <c r="R766" s="286">
        <v>562</v>
      </c>
      <c r="S766" s="286">
        <v>904</v>
      </c>
      <c r="T766" s="286">
        <v>1292</v>
      </c>
      <c r="U766" s="286">
        <v>479</v>
      </c>
      <c r="V766" s="286">
        <v>813</v>
      </c>
      <c r="W766" s="286"/>
      <c r="X766" s="286"/>
      <c r="Y766" s="286"/>
      <c r="Z766" s="286"/>
      <c r="AA766" s="286"/>
      <c r="AB766" s="286"/>
      <c r="AC766" s="286"/>
      <c r="AD766" s="286"/>
      <c r="AE766" s="286"/>
      <c r="AF766" s="286"/>
      <c r="AG766" s="286"/>
      <c r="AH766" s="286"/>
      <c r="AI766" s="286"/>
      <c r="AJ766" s="286"/>
      <c r="AK766" s="286"/>
      <c r="AL766" s="286"/>
      <c r="AM766" s="286"/>
      <c r="AN766" s="286"/>
      <c r="AO766" s="286"/>
      <c r="AP766" s="286"/>
      <c r="AQ766" s="286"/>
      <c r="AR766" s="286"/>
      <c r="AS766" s="286"/>
      <c r="AT766" s="286"/>
      <c r="AU766" s="286"/>
      <c r="AV766" s="286"/>
      <c r="AW766" s="286"/>
      <c r="AX766" s="286"/>
      <c r="AY766" s="286"/>
      <c r="AZ766" s="286"/>
      <c r="BA766" s="286"/>
      <c r="BB766" s="286"/>
      <c r="BC766" s="286"/>
      <c r="BD766" s="286"/>
      <c r="BE766" s="286"/>
      <c r="BF766" s="286"/>
      <c r="BG766" s="286"/>
      <c r="BH766" s="286"/>
      <c r="BI766" s="286"/>
      <c r="BJ766" s="286"/>
      <c r="BK766" s="286"/>
      <c r="BL766" s="286"/>
      <c r="BM766" s="286"/>
      <c r="BN766" s="286"/>
      <c r="BO766" s="286"/>
      <c r="BP766" s="286"/>
      <c r="BQ766" s="286"/>
      <c r="BR766" s="286"/>
      <c r="BS766" s="286"/>
      <c r="BT766" s="286"/>
      <c r="BU766" s="286"/>
      <c r="BV766" s="286"/>
      <c r="BW766" s="286"/>
      <c r="BX766" s="286"/>
      <c r="BY766" s="286"/>
      <c r="BZ766" s="286"/>
      <c r="CA766" s="286"/>
      <c r="CB766" s="286"/>
      <c r="CC766" s="286"/>
      <c r="CD766" s="286"/>
      <c r="CE766" s="286"/>
      <c r="CF766" s="286"/>
      <c r="CG766" s="286"/>
      <c r="CH766" s="286"/>
      <c r="CI766" s="286"/>
      <c r="CJ766" s="286"/>
      <c r="CK766" s="286"/>
      <c r="CL766" s="286"/>
      <c r="CM766" s="286"/>
      <c r="CN766" s="286"/>
      <c r="CO766" s="286"/>
      <c r="CP766" s="286"/>
      <c r="CQ766" s="286"/>
      <c r="CR766" s="286"/>
      <c r="CS766" s="286"/>
      <c r="CT766" s="286"/>
      <c r="CU766" s="286"/>
      <c r="CV766" s="286"/>
      <c r="CW766" s="286"/>
      <c r="CX766" s="286"/>
      <c r="CY766" s="286"/>
      <c r="CZ766" s="286"/>
      <c r="DA766" s="286"/>
      <c r="DB766" s="286"/>
      <c r="DC766" s="286"/>
      <c r="DD766" s="286"/>
      <c r="DE766" s="286"/>
      <c r="DF766" s="286"/>
      <c r="DG766" s="286"/>
      <c r="DH766" s="286"/>
      <c r="DI766" s="286"/>
      <c r="DJ766" s="286"/>
      <c r="DK766" s="286"/>
      <c r="DL766" s="286"/>
      <c r="DM766" s="286"/>
      <c r="DN766" s="286"/>
      <c r="DO766" s="286"/>
      <c r="DP766" s="286"/>
      <c r="DQ766" s="286"/>
      <c r="DR766" s="286"/>
      <c r="DS766" s="286"/>
      <c r="DT766" s="286"/>
      <c r="DU766" s="286"/>
      <c r="DV766" s="286"/>
      <c r="DW766" s="286"/>
      <c r="DX766" s="286"/>
      <c r="DY766" s="286"/>
      <c r="DZ766" s="286"/>
      <c r="EA766" s="286"/>
      <c r="EB766" s="286"/>
      <c r="EC766" s="286"/>
      <c r="ED766" s="286"/>
      <c r="EE766" s="286"/>
      <c r="EF766" s="286"/>
      <c r="EG766" s="286"/>
      <c r="EH766" s="286"/>
      <c r="EI766" s="286"/>
      <c r="EJ766" s="286"/>
      <c r="EK766" s="286"/>
      <c r="EL766" s="286"/>
      <c r="EM766" s="286"/>
      <c r="EN766" s="286"/>
      <c r="EO766" s="286"/>
      <c r="EP766" s="286"/>
      <c r="EQ766" s="286"/>
      <c r="ER766" s="286"/>
      <c r="ES766" s="286"/>
      <c r="ET766" s="286"/>
      <c r="EU766" s="286"/>
      <c r="EV766" s="286"/>
      <c r="EW766" s="286"/>
      <c r="EX766" s="286"/>
      <c r="EY766" s="286"/>
      <c r="EZ766" s="286"/>
      <c r="FA766" s="286"/>
      <c r="FB766" s="286"/>
      <c r="FC766" s="286"/>
      <c r="FD766" s="286"/>
      <c r="FE766" s="286"/>
      <c r="FF766" s="286"/>
      <c r="FG766" s="286"/>
      <c r="FH766" s="286"/>
      <c r="FI766" s="286"/>
      <c r="FJ766" s="286"/>
      <c r="FK766" s="286"/>
      <c r="FL766" s="286"/>
      <c r="FM766" s="286"/>
      <c r="FN766" s="286"/>
      <c r="FO766" s="286"/>
      <c r="FP766" s="286"/>
      <c r="FQ766" s="286"/>
      <c r="FR766" s="286"/>
      <c r="FS766" s="286"/>
    </row>
    <row r="767" spans="1:175">
      <c r="A767" s="212" t="s">
        <v>3159</v>
      </c>
      <c r="B767" s="212" t="s">
        <v>3160</v>
      </c>
      <c r="C767" s="212" t="s">
        <v>3172</v>
      </c>
      <c r="D767" s="212" t="s">
        <v>3928</v>
      </c>
      <c r="E767" s="212" t="s">
        <v>3957</v>
      </c>
      <c r="F767" s="278">
        <v>21</v>
      </c>
      <c r="G767" s="278">
        <v>152</v>
      </c>
      <c r="H767" s="287">
        <f t="shared" si="11"/>
        <v>0</v>
      </c>
      <c r="I767" s="286">
        <v>0</v>
      </c>
      <c r="J767" s="286">
        <v>0</v>
      </c>
      <c r="K767" s="286">
        <v>0</v>
      </c>
      <c r="L767" s="286">
        <v>0</v>
      </c>
      <c r="M767" s="286">
        <v>0</v>
      </c>
      <c r="N767" s="286">
        <v>0</v>
      </c>
      <c r="O767" s="286">
        <v>0</v>
      </c>
      <c r="P767" s="286">
        <v>0</v>
      </c>
      <c r="Q767" s="286">
        <v>0</v>
      </c>
      <c r="R767" s="286">
        <v>0</v>
      </c>
      <c r="S767" s="286">
        <v>0</v>
      </c>
      <c r="T767" s="286">
        <v>0</v>
      </c>
      <c r="U767" s="286">
        <v>0</v>
      </c>
      <c r="V767" s="286">
        <v>0</v>
      </c>
      <c r="W767" s="286"/>
      <c r="X767" s="286"/>
      <c r="Y767" s="286"/>
      <c r="Z767" s="286"/>
      <c r="AA767" s="286"/>
      <c r="AB767" s="286"/>
      <c r="AC767" s="286"/>
      <c r="AD767" s="286"/>
      <c r="AE767" s="286"/>
      <c r="AF767" s="286"/>
      <c r="AG767" s="286"/>
      <c r="AH767" s="286"/>
      <c r="AI767" s="286"/>
      <c r="AJ767" s="286"/>
      <c r="AK767" s="286"/>
      <c r="AL767" s="286"/>
      <c r="AM767" s="286"/>
      <c r="AN767" s="286"/>
      <c r="AO767" s="286"/>
      <c r="AP767" s="286"/>
      <c r="AQ767" s="286"/>
      <c r="AR767" s="286"/>
      <c r="AS767" s="286"/>
      <c r="AT767" s="286"/>
      <c r="AU767" s="286"/>
      <c r="AV767" s="286"/>
      <c r="AW767" s="286"/>
      <c r="AX767" s="286"/>
      <c r="AY767" s="286"/>
      <c r="AZ767" s="286"/>
      <c r="BA767" s="286"/>
      <c r="BB767" s="286"/>
      <c r="BC767" s="286"/>
      <c r="BD767" s="286"/>
      <c r="BE767" s="286"/>
      <c r="BF767" s="286"/>
      <c r="BG767" s="286"/>
      <c r="BH767" s="286"/>
      <c r="BI767" s="286"/>
      <c r="BJ767" s="286"/>
      <c r="BK767" s="286"/>
      <c r="BL767" s="286"/>
      <c r="BM767" s="286"/>
      <c r="BN767" s="286"/>
      <c r="BO767" s="286"/>
      <c r="BP767" s="286"/>
      <c r="BQ767" s="286"/>
      <c r="BR767" s="286"/>
      <c r="BS767" s="286"/>
      <c r="BT767" s="286"/>
      <c r="BU767" s="286"/>
      <c r="BV767" s="286"/>
      <c r="BW767" s="286"/>
      <c r="BX767" s="286"/>
      <c r="BY767" s="286"/>
      <c r="BZ767" s="286"/>
      <c r="CA767" s="286"/>
      <c r="CB767" s="286"/>
      <c r="CC767" s="286"/>
      <c r="CD767" s="286"/>
      <c r="CE767" s="286"/>
      <c r="CF767" s="286"/>
      <c r="CG767" s="286"/>
      <c r="CH767" s="286"/>
      <c r="CI767" s="286"/>
      <c r="CJ767" s="286"/>
      <c r="CK767" s="286"/>
      <c r="CL767" s="286"/>
      <c r="CM767" s="286"/>
      <c r="CN767" s="286"/>
      <c r="CO767" s="286"/>
      <c r="CP767" s="286"/>
      <c r="CQ767" s="286"/>
      <c r="CR767" s="286"/>
      <c r="CS767" s="286"/>
      <c r="CT767" s="286"/>
      <c r="CU767" s="286"/>
      <c r="CV767" s="286"/>
      <c r="CW767" s="286"/>
      <c r="CX767" s="286"/>
      <c r="CY767" s="286"/>
      <c r="CZ767" s="286"/>
      <c r="DA767" s="286"/>
      <c r="DB767" s="286"/>
      <c r="DC767" s="286"/>
      <c r="DD767" s="286"/>
      <c r="DE767" s="286"/>
      <c r="DF767" s="286"/>
      <c r="DG767" s="286"/>
      <c r="DH767" s="286"/>
      <c r="DI767" s="286"/>
      <c r="DJ767" s="286"/>
      <c r="DK767" s="286"/>
      <c r="DL767" s="286"/>
      <c r="DM767" s="286"/>
      <c r="DN767" s="286"/>
      <c r="DO767" s="286"/>
      <c r="DP767" s="286"/>
      <c r="DQ767" s="286"/>
      <c r="DR767" s="286"/>
      <c r="DS767" s="286"/>
      <c r="DT767" s="286"/>
      <c r="DU767" s="286"/>
      <c r="DV767" s="286"/>
      <c r="DW767" s="286"/>
      <c r="DX767" s="286"/>
      <c r="DY767" s="286"/>
      <c r="DZ767" s="286"/>
      <c r="EA767" s="286"/>
      <c r="EB767" s="286"/>
      <c r="EC767" s="286"/>
      <c r="ED767" s="286"/>
      <c r="EE767" s="286"/>
      <c r="EF767" s="286"/>
      <c r="EG767" s="286"/>
      <c r="EH767" s="286"/>
      <c r="EI767" s="286"/>
      <c r="EJ767" s="286"/>
      <c r="EK767" s="286"/>
      <c r="EL767" s="286"/>
      <c r="EM767" s="286"/>
      <c r="EN767" s="286"/>
      <c r="EO767" s="286"/>
      <c r="EP767" s="286"/>
      <c r="EQ767" s="286"/>
      <c r="ER767" s="286"/>
      <c r="ES767" s="286"/>
      <c r="ET767" s="286"/>
      <c r="EU767" s="286"/>
      <c r="EV767" s="286"/>
      <c r="EW767" s="286"/>
      <c r="EX767" s="286"/>
      <c r="EY767" s="286"/>
      <c r="EZ767" s="286"/>
      <c r="FA767" s="286"/>
      <c r="FB767" s="286"/>
      <c r="FC767" s="286"/>
      <c r="FD767" s="286"/>
      <c r="FE767" s="286"/>
      <c r="FF767" s="286"/>
      <c r="FG767" s="286"/>
      <c r="FH767" s="286"/>
      <c r="FI767" s="286"/>
      <c r="FJ767" s="286"/>
      <c r="FK767" s="286"/>
      <c r="FL767" s="286"/>
      <c r="FM767" s="286"/>
      <c r="FN767" s="286"/>
      <c r="FO767" s="286"/>
      <c r="FP767" s="286"/>
      <c r="FQ767" s="286"/>
      <c r="FR767" s="286"/>
      <c r="FS767" s="286"/>
    </row>
    <row r="768" spans="1:175">
      <c r="A768" s="212" t="s">
        <v>3159</v>
      </c>
      <c r="B768" s="212" t="s">
        <v>3160</v>
      </c>
      <c r="C768" s="212" t="s">
        <v>3172</v>
      </c>
      <c r="D768" s="212" t="s">
        <v>3928</v>
      </c>
      <c r="E768" s="212" t="s">
        <v>3958</v>
      </c>
      <c r="F768" s="278">
        <v>6562</v>
      </c>
      <c r="G768" s="278">
        <v>46546</v>
      </c>
      <c r="H768" s="287">
        <f t="shared" si="11"/>
        <v>4.2517079877970181</v>
      </c>
      <c r="I768" s="286">
        <v>309</v>
      </c>
      <c r="J768" s="286">
        <v>1979</v>
      </c>
      <c r="K768" s="286">
        <v>792</v>
      </c>
      <c r="L768" s="286">
        <v>1187</v>
      </c>
      <c r="M768" s="286">
        <v>1816</v>
      </c>
      <c r="N768" s="286">
        <v>721</v>
      </c>
      <c r="O768" s="286">
        <v>1095</v>
      </c>
      <c r="P768" s="286">
        <v>177</v>
      </c>
      <c r="Q768" s="286">
        <v>1342</v>
      </c>
      <c r="R768" s="286">
        <v>480</v>
      </c>
      <c r="S768" s="286">
        <v>862</v>
      </c>
      <c r="T768" s="286">
        <v>1184</v>
      </c>
      <c r="U768" s="286">
        <v>413</v>
      </c>
      <c r="V768" s="286">
        <v>771</v>
      </c>
      <c r="W768" s="286"/>
      <c r="X768" s="286"/>
      <c r="Y768" s="286"/>
      <c r="Z768" s="286"/>
      <c r="AA768" s="286"/>
      <c r="AB768" s="286"/>
      <c r="AC768" s="286"/>
      <c r="AD768" s="286"/>
      <c r="AE768" s="286"/>
      <c r="AF768" s="286"/>
      <c r="AG768" s="286"/>
      <c r="AH768" s="286"/>
      <c r="AI768" s="286"/>
      <c r="AJ768" s="286"/>
      <c r="AK768" s="286"/>
      <c r="AL768" s="286"/>
      <c r="AM768" s="286"/>
      <c r="AN768" s="286"/>
      <c r="AO768" s="286"/>
      <c r="AP768" s="286"/>
      <c r="AQ768" s="286"/>
      <c r="AR768" s="286"/>
      <c r="AS768" s="286"/>
      <c r="AT768" s="286"/>
      <c r="AU768" s="286"/>
      <c r="AV768" s="286"/>
      <c r="AW768" s="286"/>
      <c r="AX768" s="286"/>
      <c r="AY768" s="286"/>
      <c r="AZ768" s="286"/>
      <c r="BA768" s="286"/>
      <c r="BB768" s="286"/>
      <c r="BC768" s="286"/>
      <c r="BD768" s="286"/>
      <c r="BE768" s="286"/>
      <c r="BF768" s="286"/>
      <c r="BG768" s="286"/>
      <c r="BH768" s="286"/>
      <c r="BI768" s="286"/>
      <c r="BJ768" s="286"/>
      <c r="BK768" s="286"/>
      <c r="BL768" s="286"/>
      <c r="BM768" s="286"/>
      <c r="BN768" s="286"/>
      <c r="BO768" s="286"/>
      <c r="BP768" s="286"/>
      <c r="BQ768" s="286"/>
      <c r="BR768" s="286"/>
      <c r="BS768" s="286"/>
      <c r="BT768" s="286"/>
      <c r="BU768" s="286"/>
      <c r="BV768" s="286"/>
      <c r="BW768" s="286"/>
      <c r="BX768" s="286"/>
      <c r="BY768" s="286"/>
      <c r="BZ768" s="286"/>
      <c r="CA768" s="286"/>
      <c r="CB768" s="286"/>
      <c r="CC768" s="286"/>
      <c r="CD768" s="286"/>
      <c r="CE768" s="286"/>
      <c r="CF768" s="286"/>
      <c r="CG768" s="286"/>
      <c r="CH768" s="286"/>
      <c r="CI768" s="286"/>
      <c r="CJ768" s="286"/>
      <c r="CK768" s="286"/>
      <c r="CL768" s="286"/>
      <c r="CM768" s="286"/>
      <c r="CN768" s="286"/>
      <c r="CO768" s="286"/>
      <c r="CP768" s="286"/>
      <c r="CQ768" s="286"/>
      <c r="CR768" s="286"/>
      <c r="CS768" s="286"/>
      <c r="CT768" s="286"/>
      <c r="CU768" s="286"/>
      <c r="CV768" s="286"/>
      <c r="CW768" s="286"/>
      <c r="CX768" s="286"/>
      <c r="CY768" s="286"/>
      <c r="CZ768" s="286"/>
      <c r="DA768" s="286"/>
      <c r="DB768" s="286"/>
      <c r="DC768" s="286"/>
      <c r="DD768" s="286"/>
      <c r="DE768" s="286"/>
      <c r="DF768" s="286"/>
      <c r="DG768" s="286"/>
      <c r="DH768" s="286"/>
      <c r="DI768" s="286"/>
      <c r="DJ768" s="286"/>
      <c r="DK768" s="286"/>
      <c r="DL768" s="286"/>
      <c r="DM768" s="286"/>
      <c r="DN768" s="286"/>
      <c r="DO768" s="286"/>
      <c r="DP768" s="286"/>
      <c r="DQ768" s="286"/>
      <c r="DR768" s="286"/>
      <c r="DS768" s="286"/>
      <c r="DT768" s="286"/>
      <c r="DU768" s="286"/>
      <c r="DV768" s="286"/>
      <c r="DW768" s="286"/>
      <c r="DX768" s="286"/>
      <c r="DY768" s="286"/>
      <c r="DZ768" s="286"/>
      <c r="EA768" s="286"/>
      <c r="EB768" s="286"/>
      <c r="EC768" s="286"/>
      <c r="ED768" s="286"/>
      <c r="EE768" s="286"/>
      <c r="EF768" s="286"/>
      <c r="EG768" s="286"/>
      <c r="EH768" s="286"/>
      <c r="EI768" s="286"/>
      <c r="EJ768" s="286"/>
      <c r="EK768" s="286"/>
      <c r="EL768" s="286"/>
      <c r="EM768" s="286"/>
      <c r="EN768" s="286"/>
      <c r="EO768" s="286"/>
      <c r="EP768" s="286"/>
      <c r="EQ768" s="286"/>
      <c r="ER768" s="286"/>
      <c r="ES768" s="286"/>
      <c r="ET768" s="286"/>
      <c r="EU768" s="286"/>
      <c r="EV768" s="286"/>
      <c r="EW768" s="286"/>
      <c r="EX768" s="286"/>
      <c r="EY768" s="286"/>
      <c r="EZ768" s="286"/>
      <c r="FA768" s="286"/>
      <c r="FB768" s="286"/>
      <c r="FC768" s="286"/>
      <c r="FD768" s="286"/>
      <c r="FE768" s="286"/>
      <c r="FF768" s="286"/>
      <c r="FG768" s="286"/>
      <c r="FH768" s="286"/>
      <c r="FI768" s="286"/>
      <c r="FJ768" s="286"/>
      <c r="FK768" s="286"/>
      <c r="FL768" s="286"/>
      <c r="FM768" s="286"/>
      <c r="FN768" s="286"/>
      <c r="FO768" s="286"/>
      <c r="FP768" s="286"/>
      <c r="FQ768" s="286"/>
      <c r="FR768" s="286"/>
      <c r="FS768" s="286"/>
    </row>
    <row r="769" spans="1:175">
      <c r="A769" s="212" t="s">
        <v>3159</v>
      </c>
      <c r="B769" s="212" t="s">
        <v>3160</v>
      </c>
      <c r="C769" s="212" t="s">
        <v>3172</v>
      </c>
      <c r="D769" s="212" t="s">
        <v>3928</v>
      </c>
      <c r="E769" s="212" t="s">
        <v>3959</v>
      </c>
      <c r="F769" s="278">
        <v>89</v>
      </c>
      <c r="G769" s="278">
        <v>2760</v>
      </c>
      <c r="H769" s="287">
        <f t="shared" si="11"/>
        <v>1.1956521739130435</v>
      </c>
      <c r="I769" s="286">
        <v>4</v>
      </c>
      <c r="J769" s="286">
        <v>33</v>
      </c>
      <c r="K769" s="286">
        <v>28</v>
      </c>
      <c r="L769" s="286">
        <v>5</v>
      </c>
      <c r="M769" s="286">
        <v>28</v>
      </c>
      <c r="N769" s="286">
        <v>23</v>
      </c>
      <c r="O769" s="286">
        <v>5</v>
      </c>
      <c r="P769" s="286">
        <v>4</v>
      </c>
      <c r="Q769" s="286">
        <v>33</v>
      </c>
      <c r="R769" s="286">
        <v>28</v>
      </c>
      <c r="S769" s="286">
        <v>5</v>
      </c>
      <c r="T769" s="286">
        <v>28</v>
      </c>
      <c r="U769" s="286">
        <v>23</v>
      </c>
      <c r="V769" s="286">
        <v>5</v>
      </c>
      <c r="W769" s="286"/>
      <c r="X769" s="286"/>
      <c r="Y769" s="286"/>
      <c r="Z769" s="286"/>
      <c r="AA769" s="286"/>
      <c r="AB769" s="286"/>
      <c r="AC769" s="286"/>
      <c r="AD769" s="286"/>
      <c r="AE769" s="286"/>
      <c r="AF769" s="286"/>
      <c r="AG769" s="286"/>
      <c r="AH769" s="286"/>
      <c r="AI769" s="286"/>
      <c r="AJ769" s="286"/>
      <c r="AK769" s="286"/>
      <c r="AL769" s="286"/>
      <c r="AM769" s="286"/>
      <c r="AN769" s="286"/>
      <c r="AO769" s="286"/>
      <c r="AP769" s="286"/>
      <c r="AQ769" s="286"/>
      <c r="AR769" s="286"/>
      <c r="AS769" s="286"/>
      <c r="AT769" s="286"/>
      <c r="AU769" s="286"/>
      <c r="AV769" s="286"/>
      <c r="AW769" s="286"/>
      <c r="AX769" s="286"/>
      <c r="AY769" s="286"/>
      <c r="AZ769" s="286"/>
      <c r="BA769" s="286"/>
      <c r="BB769" s="286"/>
      <c r="BC769" s="286"/>
      <c r="BD769" s="286"/>
      <c r="BE769" s="286"/>
      <c r="BF769" s="286"/>
      <c r="BG769" s="286"/>
      <c r="BH769" s="286"/>
      <c r="BI769" s="286"/>
      <c r="BJ769" s="286"/>
      <c r="BK769" s="286"/>
      <c r="BL769" s="286"/>
      <c r="BM769" s="286"/>
      <c r="BN769" s="286"/>
      <c r="BO769" s="286"/>
      <c r="BP769" s="286"/>
      <c r="BQ769" s="286"/>
      <c r="BR769" s="286"/>
      <c r="BS769" s="286"/>
      <c r="BT769" s="286"/>
      <c r="BU769" s="286"/>
      <c r="BV769" s="286"/>
      <c r="BW769" s="286"/>
      <c r="BX769" s="286"/>
      <c r="BY769" s="286"/>
      <c r="BZ769" s="286"/>
      <c r="CA769" s="286"/>
      <c r="CB769" s="286"/>
      <c r="CC769" s="286"/>
      <c r="CD769" s="286"/>
      <c r="CE769" s="286"/>
      <c r="CF769" s="286"/>
      <c r="CG769" s="286"/>
      <c r="CH769" s="286"/>
      <c r="CI769" s="286"/>
      <c r="CJ769" s="286"/>
      <c r="CK769" s="286"/>
      <c r="CL769" s="286"/>
      <c r="CM769" s="286"/>
      <c r="CN769" s="286"/>
      <c r="CO769" s="286"/>
      <c r="CP769" s="286"/>
      <c r="CQ769" s="286"/>
      <c r="CR769" s="286"/>
      <c r="CS769" s="286"/>
      <c r="CT769" s="286"/>
      <c r="CU769" s="286"/>
      <c r="CV769" s="286"/>
      <c r="CW769" s="286"/>
      <c r="CX769" s="286"/>
      <c r="CY769" s="286"/>
      <c r="CZ769" s="286"/>
      <c r="DA769" s="286"/>
      <c r="DB769" s="286"/>
      <c r="DC769" s="286"/>
      <c r="DD769" s="286"/>
      <c r="DE769" s="286"/>
      <c r="DF769" s="286"/>
      <c r="DG769" s="286"/>
      <c r="DH769" s="286"/>
      <c r="DI769" s="286"/>
      <c r="DJ769" s="286"/>
      <c r="DK769" s="286"/>
      <c r="DL769" s="286"/>
      <c r="DM769" s="286"/>
      <c r="DN769" s="286"/>
      <c r="DO769" s="286"/>
      <c r="DP769" s="286"/>
      <c r="DQ769" s="286"/>
      <c r="DR769" s="286"/>
      <c r="DS769" s="286"/>
      <c r="DT769" s="286"/>
      <c r="DU769" s="286"/>
      <c r="DV769" s="286"/>
      <c r="DW769" s="286"/>
      <c r="DX769" s="286"/>
      <c r="DY769" s="286"/>
      <c r="DZ769" s="286"/>
      <c r="EA769" s="286"/>
      <c r="EB769" s="286"/>
      <c r="EC769" s="286"/>
      <c r="ED769" s="286"/>
      <c r="EE769" s="286"/>
      <c r="EF769" s="286"/>
      <c r="EG769" s="286"/>
      <c r="EH769" s="286"/>
      <c r="EI769" s="286"/>
      <c r="EJ769" s="286"/>
      <c r="EK769" s="286"/>
      <c r="EL769" s="286"/>
      <c r="EM769" s="286"/>
      <c r="EN769" s="286"/>
      <c r="EO769" s="286"/>
      <c r="EP769" s="286"/>
      <c r="EQ769" s="286"/>
      <c r="ER769" s="286"/>
      <c r="ES769" s="286"/>
      <c r="ET769" s="286"/>
      <c r="EU769" s="286"/>
      <c r="EV769" s="286"/>
      <c r="EW769" s="286"/>
      <c r="EX769" s="286"/>
      <c r="EY769" s="286"/>
      <c r="EZ769" s="286"/>
      <c r="FA769" s="286"/>
      <c r="FB769" s="286"/>
      <c r="FC769" s="286"/>
      <c r="FD769" s="286"/>
      <c r="FE769" s="286"/>
      <c r="FF769" s="286"/>
      <c r="FG769" s="286"/>
      <c r="FH769" s="286"/>
      <c r="FI769" s="286"/>
      <c r="FJ769" s="286"/>
      <c r="FK769" s="286"/>
      <c r="FL769" s="286"/>
      <c r="FM769" s="286"/>
      <c r="FN769" s="286"/>
      <c r="FO769" s="286"/>
      <c r="FP769" s="286"/>
      <c r="FQ769" s="286"/>
      <c r="FR769" s="286"/>
      <c r="FS769" s="286"/>
    </row>
    <row r="770" spans="1:175">
      <c r="A770" s="212" t="s">
        <v>3159</v>
      </c>
      <c r="B770" s="212" t="s">
        <v>3160</v>
      </c>
      <c r="C770" s="212" t="s">
        <v>3172</v>
      </c>
      <c r="D770" s="212" t="s">
        <v>3928</v>
      </c>
      <c r="E770" s="212" t="s">
        <v>3960</v>
      </c>
      <c r="F770" s="278">
        <v>1158</v>
      </c>
      <c r="G770" s="278">
        <v>12253</v>
      </c>
      <c r="H770" s="287">
        <f t="shared" si="11"/>
        <v>2.7503468538317146</v>
      </c>
      <c r="I770" s="286">
        <v>39</v>
      </c>
      <c r="J770" s="286">
        <v>337</v>
      </c>
      <c r="K770" s="286">
        <v>207</v>
      </c>
      <c r="L770" s="286">
        <v>130</v>
      </c>
      <c r="M770" s="286">
        <v>326</v>
      </c>
      <c r="N770" s="286">
        <v>196</v>
      </c>
      <c r="O770" s="286">
        <v>130</v>
      </c>
      <c r="P770" s="286">
        <v>17</v>
      </c>
      <c r="Q770" s="286">
        <v>91</v>
      </c>
      <c r="R770" s="286">
        <v>54</v>
      </c>
      <c r="S770" s="286">
        <v>37</v>
      </c>
      <c r="T770" s="286">
        <v>80</v>
      </c>
      <c r="U770" s="286">
        <v>43</v>
      </c>
      <c r="V770" s="286">
        <v>37</v>
      </c>
      <c r="W770" s="286"/>
      <c r="X770" s="286"/>
      <c r="Y770" s="286"/>
      <c r="Z770" s="286"/>
      <c r="AA770" s="286"/>
      <c r="AB770" s="286"/>
      <c r="AC770" s="286"/>
      <c r="AD770" s="286"/>
      <c r="AE770" s="286"/>
      <c r="AF770" s="286"/>
      <c r="AG770" s="286"/>
      <c r="AH770" s="286"/>
      <c r="AI770" s="286"/>
      <c r="AJ770" s="286"/>
      <c r="AK770" s="286"/>
      <c r="AL770" s="286"/>
      <c r="AM770" s="286"/>
      <c r="AN770" s="286"/>
      <c r="AO770" s="286"/>
      <c r="AP770" s="286"/>
      <c r="AQ770" s="286"/>
      <c r="AR770" s="286"/>
      <c r="AS770" s="286"/>
      <c r="AT770" s="286"/>
      <c r="AU770" s="286"/>
      <c r="AV770" s="286"/>
      <c r="AW770" s="286"/>
      <c r="AX770" s="286"/>
      <c r="AY770" s="286"/>
      <c r="AZ770" s="286"/>
      <c r="BA770" s="286"/>
      <c r="BB770" s="286"/>
      <c r="BC770" s="286"/>
      <c r="BD770" s="286"/>
      <c r="BE770" s="286"/>
      <c r="BF770" s="286"/>
      <c r="BG770" s="286"/>
      <c r="BH770" s="286"/>
      <c r="BI770" s="286"/>
      <c r="BJ770" s="286"/>
      <c r="BK770" s="286"/>
      <c r="BL770" s="286"/>
      <c r="BM770" s="286"/>
      <c r="BN770" s="286"/>
      <c r="BO770" s="286"/>
      <c r="BP770" s="286"/>
      <c r="BQ770" s="286"/>
      <c r="BR770" s="286"/>
      <c r="BS770" s="286"/>
      <c r="BT770" s="286"/>
      <c r="BU770" s="286"/>
      <c r="BV770" s="286"/>
      <c r="BW770" s="286"/>
      <c r="BX770" s="286"/>
      <c r="BY770" s="286"/>
      <c r="BZ770" s="286"/>
      <c r="CA770" s="286"/>
      <c r="CB770" s="286"/>
      <c r="CC770" s="286"/>
      <c r="CD770" s="286"/>
      <c r="CE770" s="286"/>
      <c r="CF770" s="286"/>
      <c r="CG770" s="286"/>
      <c r="CH770" s="286"/>
      <c r="CI770" s="286"/>
      <c r="CJ770" s="286"/>
      <c r="CK770" s="286"/>
      <c r="CL770" s="286"/>
      <c r="CM770" s="286"/>
      <c r="CN770" s="286"/>
      <c r="CO770" s="286"/>
      <c r="CP770" s="286"/>
      <c r="CQ770" s="286"/>
      <c r="CR770" s="286"/>
      <c r="CS770" s="286"/>
      <c r="CT770" s="286"/>
      <c r="CU770" s="286"/>
      <c r="CV770" s="286"/>
      <c r="CW770" s="286"/>
      <c r="CX770" s="286"/>
      <c r="CY770" s="286"/>
      <c r="CZ770" s="286"/>
      <c r="DA770" s="286"/>
      <c r="DB770" s="286"/>
      <c r="DC770" s="286"/>
      <c r="DD770" s="286"/>
      <c r="DE770" s="286"/>
      <c r="DF770" s="286"/>
      <c r="DG770" s="286"/>
      <c r="DH770" s="286"/>
      <c r="DI770" s="286"/>
      <c r="DJ770" s="286"/>
      <c r="DK770" s="286"/>
      <c r="DL770" s="286"/>
      <c r="DM770" s="286"/>
      <c r="DN770" s="286"/>
      <c r="DO770" s="286"/>
      <c r="DP770" s="286"/>
      <c r="DQ770" s="286"/>
      <c r="DR770" s="286"/>
      <c r="DS770" s="286"/>
      <c r="DT770" s="286"/>
      <c r="DU770" s="286"/>
      <c r="DV770" s="286"/>
      <c r="DW770" s="286"/>
      <c r="DX770" s="286"/>
      <c r="DY770" s="286"/>
      <c r="DZ770" s="286"/>
      <c r="EA770" s="286"/>
      <c r="EB770" s="286"/>
      <c r="EC770" s="286"/>
      <c r="ED770" s="286"/>
      <c r="EE770" s="286"/>
      <c r="EF770" s="286"/>
      <c r="EG770" s="286"/>
      <c r="EH770" s="286"/>
      <c r="EI770" s="286"/>
      <c r="EJ770" s="286"/>
      <c r="EK770" s="286"/>
      <c r="EL770" s="286"/>
      <c r="EM770" s="286"/>
      <c r="EN770" s="286"/>
      <c r="EO770" s="286"/>
      <c r="EP770" s="286"/>
      <c r="EQ770" s="286"/>
      <c r="ER770" s="286"/>
      <c r="ES770" s="286"/>
      <c r="ET770" s="286"/>
      <c r="EU770" s="286"/>
      <c r="EV770" s="286"/>
      <c r="EW770" s="286"/>
      <c r="EX770" s="286"/>
      <c r="EY770" s="286"/>
      <c r="EZ770" s="286"/>
      <c r="FA770" s="286"/>
      <c r="FB770" s="286"/>
      <c r="FC770" s="286"/>
      <c r="FD770" s="286"/>
      <c r="FE770" s="286"/>
      <c r="FF770" s="286"/>
      <c r="FG770" s="286"/>
      <c r="FH770" s="286"/>
      <c r="FI770" s="286"/>
      <c r="FJ770" s="286"/>
      <c r="FK770" s="286"/>
      <c r="FL770" s="286"/>
      <c r="FM770" s="286"/>
      <c r="FN770" s="286"/>
      <c r="FO770" s="286"/>
      <c r="FP770" s="286"/>
      <c r="FQ770" s="286"/>
      <c r="FR770" s="286"/>
      <c r="FS770" s="286"/>
    </row>
    <row r="771" spans="1:175">
      <c r="A771" s="212" t="s">
        <v>3159</v>
      </c>
      <c r="B771" s="212" t="s">
        <v>3160</v>
      </c>
      <c r="C771" s="212" t="s">
        <v>3168</v>
      </c>
      <c r="D771" s="212" t="s">
        <v>3961</v>
      </c>
      <c r="E771" s="212" t="s">
        <v>3962</v>
      </c>
      <c r="F771" s="278">
        <v>38812</v>
      </c>
      <c r="G771" s="278">
        <v>2024856</v>
      </c>
      <c r="H771" s="287">
        <f t="shared" si="11"/>
        <v>3.4141193250285453</v>
      </c>
      <c r="I771" s="286">
        <v>1265</v>
      </c>
      <c r="J771" s="286">
        <v>69131</v>
      </c>
      <c r="K771" s="286">
        <v>48159</v>
      </c>
      <c r="L771" s="286">
        <v>20972</v>
      </c>
      <c r="M771" s="286">
        <v>68796</v>
      </c>
      <c r="N771" s="286">
        <v>48126</v>
      </c>
      <c r="O771" s="286">
        <v>20670</v>
      </c>
      <c r="P771" s="286">
        <v>0</v>
      </c>
      <c r="Q771" s="286">
        <v>0</v>
      </c>
      <c r="R771" s="286">
        <v>0</v>
      </c>
      <c r="S771" s="286">
        <v>0</v>
      </c>
      <c r="T771" s="286">
        <v>0</v>
      </c>
      <c r="U771" s="286">
        <v>0</v>
      </c>
      <c r="V771" s="286">
        <v>0</v>
      </c>
      <c r="W771" s="286"/>
      <c r="X771" s="286"/>
      <c r="Y771" s="286"/>
      <c r="Z771" s="286"/>
      <c r="AA771" s="286"/>
      <c r="AB771" s="286"/>
      <c r="AC771" s="286"/>
      <c r="AD771" s="286"/>
      <c r="AE771" s="286"/>
      <c r="AF771" s="286"/>
      <c r="AG771" s="286"/>
      <c r="AH771" s="286"/>
      <c r="AI771" s="286"/>
      <c r="AJ771" s="286"/>
      <c r="AK771" s="286"/>
      <c r="AL771" s="286"/>
      <c r="AM771" s="286"/>
      <c r="AN771" s="286"/>
      <c r="AO771" s="286"/>
      <c r="AP771" s="286"/>
      <c r="AQ771" s="286"/>
      <c r="AR771" s="286"/>
      <c r="AS771" s="286"/>
      <c r="AT771" s="286"/>
      <c r="AU771" s="286"/>
      <c r="AV771" s="286"/>
      <c r="AW771" s="286"/>
      <c r="AX771" s="286"/>
      <c r="AY771" s="286"/>
      <c r="AZ771" s="286"/>
      <c r="BA771" s="286"/>
      <c r="BB771" s="286"/>
      <c r="BC771" s="286"/>
      <c r="BD771" s="286"/>
      <c r="BE771" s="286"/>
      <c r="BF771" s="286"/>
      <c r="BG771" s="286"/>
      <c r="BH771" s="286"/>
      <c r="BI771" s="286"/>
      <c r="BJ771" s="286"/>
      <c r="BK771" s="286"/>
      <c r="BL771" s="286"/>
      <c r="BM771" s="286"/>
      <c r="BN771" s="286"/>
      <c r="BO771" s="286"/>
      <c r="BP771" s="286"/>
      <c r="BQ771" s="286"/>
      <c r="BR771" s="286"/>
      <c r="BS771" s="286"/>
      <c r="BT771" s="286"/>
      <c r="BU771" s="286"/>
      <c r="BV771" s="286"/>
      <c r="BW771" s="286"/>
      <c r="BX771" s="286"/>
      <c r="BY771" s="286"/>
      <c r="BZ771" s="286"/>
      <c r="CA771" s="286"/>
      <c r="CB771" s="286"/>
      <c r="CC771" s="286"/>
      <c r="CD771" s="286"/>
      <c r="CE771" s="286"/>
      <c r="CF771" s="286"/>
      <c r="CG771" s="286"/>
      <c r="CH771" s="286"/>
      <c r="CI771" s="286"/>
      <c r="CJ771" s="286"/>
      <c r="CK771" s="286"/>
      <c r="CL771" s="286"/>
      <c r="CM771" s="286"/>
      <c r="CN771" s="286"/>
      <c r="CO771" s="286"/>
      <c r="CP771" s="286"/>
      <c r="CQ771" s="286"/>
      <c r="CR771" s="286"/>
      <c r="CS771" s="286"/>
      <c r="CT771" s="286"/>
      <c r="CU771" s="286"/>
      <c r="CV771" s="286"/>
      <c r="CW771" s="286"/>
      <c r="CX771" s="286"/>
      <c r="CY771" s="286"/>
      <c r="CZ771" s="286"/>
      <c r="DA771" s="286"/>
      <c r="DB771" s="286"/>
      <c r="DC771" s="286"/>
      <c r="DD771" s="286"/>
      <c r="DE771" s="286"/>
      <c r="DF771" s="286"/>
      <c r="DG771" s="286"/>
      <c r="DH771" s="286"/>
      <c r="DI771" s="286"/>
      <c r="DJ771" s="286"/>
      <c r="DK771" s="286"/>
      <c r="DL771" s="286"/>
      <c r="DM771" s="286"/>
      <c r="DN771" s="286"/>
      <c r="DO771" s="286"/>
      <c r="DP771" s="286"/>
      <c r="DQ771" s="286"/>
      <c r="DR771" s="286"/>
      <c r="DS771" s="286"/>
      <c r="DT771" s="286"/>
      <c r="DU771" s="286"/>
      <c r="DV771" s="286"/>
      <c r="DW771" s="286"/>
      <c r="DX771" s="286"/>
      <c r="DY771" s="286"/>
      <c r="DZ771" s="286"/>
      <c r="EA771" s="286"/>
      <c r="EB771" s="286"/>
      <c r="EC771" s="286"/>
      <c r="ED771" s="286"/>
      <c r="EE771" s="286"/>
      <c r="EF771" s="286"/>
      <c r="EG771" s="286"/>
      <c r="EH771" s="286"/>
      <c r="EI771" s="286"/>
      <c r="EJ771" s="286"/>
      <c r="EK771" s="286"/>
      <c r="EL771" s="286"/>
      <c r="EM771" s="286"/>
      <c r="EN771" s="286"/>
      <c r="EO771" s="286"/>
      <c r="EP771" s="286"/>
      <c r="EQ771" s="286"/>
      <c r="ER771" s="286"/>
      <c r="ES771" s="286"/>
      <c r="ET771" s="286"/>
      <c r="EU771" s="286"/>
      <c r="EV771" s="286"/>
      <c r="EW771" s="286"/>
      <c r="EX771" s="286"/>
      <c r="EY771" s="286"/>
      <c r="EZ771" s="286"/>
      <c r="FA771" s="286"/>
      <c r="FB771" s="286"/>
      <c r="FC771" s="286"/>
      <c r="FD771" s="286"/>
      <c r="FE771" s="286"/>
      <c r="FF771" s="286"/>
      <c r="FG771" s="286"/>
      <c r="FH771" s="286"/>
      <c r="FI771" s="286"/>
      <c r="FJ771" s="286"/>
      <c r="FK771" s="286"/>
      <c r="FL771" s="286"/>
      <c r="FM771" s="286"/>
      <c r="FN771" s="286"/>
      <c r="FO771" s="286"/>
      <c r="FP771" s="286"/>
      <c r="FQ771" s="286"/>
      <c r="FR771" s="286"/>
      <c r="FS771" s="286"/>
    </row>
    <row r="772" spans="1:175">
      <c r="A772" s="212" t="s">
        <v>3159</v>
      </c>
      <c r="B772" s="212" t="s">
        <v>3160</v>
      </c>
      <c r="C772" s="212" t="s">
        <v>3170</v>
      </c>
      <c r="D772" s="212" t="s">
        <v>3961</v>
      </c>
      <c r="E772" s="212" t="s">
        <v>3963</v>
      </c>
      <c r="F772" s="278">
        <v>5857</v>
      </c>
      <c r="G772" s="278">
        <v>582326</v>
      </c>
      <c r="H772" s="287">
        <f t="shared" si="11"/>
        <v>2.6481730164890456</v>
      </c>
      <c r="I772" s="286">
        <v>183</v>
      </c>
      <c r="J772" s="286">
        <v>15421</v>
      </c>
      <c r="K772" s="286">
        <v>11579</v>
      </c>
      <c r="L772" s="286">
        <v>3842</v>
      </c>
      <c r="M772" s="286">
        <v>15389</v>
      </c>
      <c r="N772" s="286">
        <v>11579</v>
      </c>
      <c r="O772" s="286">
        <v>3810</v>
      </c>
      <c r="P772" s="286">
        <v>0</v>
      </c>
      <c r="Q772" s="286">
        <v>0</v>
      </c>
      <c r="R772" s="286">
        <v>0</v>
      </c>
      <c r="S772" s="286">
        <v>0</v>
      </c>
      <c r="T772" s="286">
        <v>0</v>
      </c>
      <c r="U772" s="286">
        <v>0</v>
      </c>
      <c r="V772" s="286">
        <v>0</v>
      </c>
      <c r="W772" s="286"/>
      <c r="X772" s="286"/>
      <c r="Y772" s="286"/>
      <c r="Z772" s="286"/>
      <c r="AA772" s="286"/>
      <c r="AB772" s="286"/>
      <c r="AC772" s="286"/>
      <c r="AD772" s="286"/>
      <c r="AE772" s="286"/>
      <c r="AF772" s="286"/>
      <c r="AG772" s="286"/>
      <c r="AH772" s="286"/>
      <c r="AI772" s="286"/>
      <c r="AJ772" s="286"/>
      <c r="AK772" s="286"/>
      <c r="AL772" s="286"/>
      <c r="AM772" s="286"/>
      <c r="AN772" s="286"/>
      <c r="AO772" s="286"/>
      <c r="AP772" s="286"/>
      <c r="AQ772" s="286"/>
      <c r="AR772" s="286"/>
      <c r="AS772" s="286"/>
      <c r="AT772" s="286"/>
      <c r="AU772" s="286"/>
      <c r="AV772" s="286"/>
      <c r="AW772" s="286"/>
      <c r="AX772" s="286"/>
      <c r="AY772" s="286"/>
      <c r="AZ772" s="286"/>
      <c r="BA772" s="286"/>
      <c r="BB772" s="286"/>
      <c r="BC772" s="286"/>
      <c r="BD772" s="286"/>
      <c r="BE772" s="286"/>
      <c r="BF772" s="286"/>
      <c r="BG772" s="286"/>
      <c r="BH772" s="286"/>
      <c r="BI772" s="286"/>
      <c r="BJ772" s="286"/>
      <c r="BK772" s="286"/>
      <c r="BL772" s="286"/>
      <c r="BM772" s="286"/>
      <c r="BN772" s="286"/>
      <c r="BO772" s="286"/>
      <c r="BP772" s="286"/>
      <c r="BQ772" s="286"/>
      <c r="BR772" s="286"/>
      <c r="BS772" s="286"/>
      <c r="BT772" s="286"/>
      <c r="BU772" s="286"/>
      <c r="BV772" s="286"/>
      <c r="BW772" s="286"/>
      <c r="BX772" s="286"/>
      <c r="BY772" s="286"/>
      <c r="BZ772" s="286"/>
      <c r="CA772" s="286"/>
      <c r="CB772" s="286"/>
      <c r="CC772" s="286"/>
      <c r="CD772" s="286"/>
      <c r="CE772" s="286"/>
      <c r="CF772" s="286"/>
      <c r="CG772" s="286"/>
      <c r="CH772" s="286"/>
      <c r="CI772" s="286"/>
      <c r="CJ772" s="286"/>
      <c r="CK772" s="286"/>
      <c r="CL772" s="286"/>
      <c r="CM772" s="286"/>
      <c r="CN772" s="286"/>
      <c r="CO772" s="286"/>
      <c r="CP772" s="286"/>
      <c r="CQ772" s="286"/>
      <c r="CR772" s="286"/>
      <c r="CS772" s="286"/>
      <c r="CT772" s="286"/>
      <c r="CU772" s="286"/>
      <c r="CV772" s="286"/>
      <c r="CW772" s="286"/>
      <c r="CX772" s="286"/>
      <c r="CY772" s="286"/>
      <c r="CZ772" s="286"/>
      <c r="DA772" s="286"/>
      <c r="DB772" s="286"/>
      <c r="DC772" s="286"/>
      <c r="DD772" s="286"/>
      <c r="DE772" s="286"/>
      <c r="DF772" s="286"/>
      <c r="DG772" s="286"/>
      <c r="DH772" s="286"/>
      <c r="DI772" s="286"/>
      <c r="DJ772" s="286"/>
      <c r="DK772" s="286"/>
      <c r="DL772" s="286"/>
      <c r="DM772" s="286"/>
      <c r="DN772" s="286"/>
      <c r="DO772" s="286"/>
      <c r="DP772" s="286"/>
      <c r="DQ772" s="286"/>
      <c r="DR772" s="286"/>
      <c r="DS772" s="286"/>
      <c r="DT772" s="286"/>
      <c r="DU772" s="286"/>
      <c r="DV772" s="286"/>
      <c r="DW772" s="286"/>
      <c r="DX772" s="286"/>
      <c r="DY772" s="286"/>
      <c r="DZ772" s="286"/>
      <c r="EA772" s="286"/>
      <c r="EB772" s="286"/>
      <c r="EC772" s="286"/>
      <c r="ED772" s="286"/>
      <c r="EE772" s="286"/>
      <c r="EF772" s="286"/>
      <c r="EG772" s="286"/>
      <c r="EH772" s="286"/>
      <c r="EI772" s="286"/>
      <c r="EJ772" s="286"/>
      <c r="EK772" s="286"/>
      <c r="EL772" s="286"/>
      <c r="EM772" s="286"/>
      <c r="EN772" s="286"/>
      <c r="EO772" s="286"/>
      <c r="EP772" s="286"/>
      <c r="EQ772" s="286"/>
      <c r="ER772" s="286"/>
      <c r="ES772" s="286"/>
      <c r="ET772" s="286"/>
      <c r="EU772" s="286"/>
      <c r="EV772" s="286"/>
      <c r="EW772" s="286"/>
      <c r="EX772" s="286"/>
      <c r="EY772" s="286"/>
      <c r="EZ772" s="286"/>
      <c r="FA772" s="286"/>
      <c r="FB772" s="286"/>
      <c r="FC772" s="286"/>
      <c r="FD772" s="286"/>
      <c r="FE772" s="286"/>
      <c r="FF772" s="286"/>
      <c r="FG772" s="286"/>
      <c r="FH772" s="286"/>
      <c r="FI772" s="286"/>
      <c r="FJ772" s="286"/>
      <c r="FK772" s="286"/>
      <c r="FL772" s="286"/>
      <c r="FM772" s="286"/>
      <c r="FN772" s="286"/>
      <c r="FO772" s="286"/>
      <c r="FP772" s="286"/>
      <c r="FQ772" s="286"/>
      <c r="FR772" s="286"/>
      <c r="FS772" s="286"/>
    </row>
    <row r="773" spans="1:175">
      <c r="A773" s="212" t="s">
        <v>3159</v>
      </c>
      <c r="B773" s="212" t="s">
        <v>3160</v>
      </c>
      <c r="C773" s="212" t="s">
        <v>3172</v>
      </c>
      <c r="D773" s="212" t="s">
        <v>3961</v>
      </c>
      <c r="E773" s="212" t="s">
        <v>3964</v>
      </c>
      <c r="F773" s="278">
        <v>16</v>
      </c>
      <c r="G773" s="278">
        <v>3071</v>
      </c>
      <c r="H773" s="287">
        <f t="shared" si="11"/>
        <v>0</v>
      </c>
      <c r="I773" s="286">
        <v>0</v>
      </c>
      <c r="J773" s="286">
        <v>0</v>
      </c>
      <c r="K773" s="286">
        <v>0</v>
      </c>
      <c r="L773" s="286">
        <v>0</v>
      </c>
      <c r="M773" s="286">
        <v>0</v>
      </c>
      <c r="N773" s="286">
        <v>0</v>
      </c>
      <c r="O773" s="286">
        <v>0</v>
      </c>
      <c r="P773" s="286">
        <v>0</v>
      </c>
      <c r="Q773" s="286">
        <v>0</v>
      </c>
      <c r="R773" s="286">
        <v>0</v>
      </c>
      <c r="S773" s="286">
        <v>0</v>
      </c>
      <c r="T773" s="286">
        <v>0</v>
      </c>
      <c r="U773" s="286">
        <v>0</v>
      </c>
      <c r="V773" s="286">
        <v>0</v>
      </c>
      <c r="W773" s="286"/>
      <c r="X773" s="286"/>
      <c r="Y773" s="286"/>
      <c r="Z773" s="286"/>
      <c r="AA773" s="286"/>
      <c r="AB773" s="286"/>
      <c r="AC773" s="286"/>
      <c r="AD773" s="286"/>
      <c r="AE773" s="286"/>
      <c r="AF773" s="286"/>
      <c r="AG773" s="286"/>
      <c r="AH773" s="286"/>
      <c r="AI773" s="286"/>
      <c r="AJ773" s="286"/>
      <c r="AK773" s="286"/>
      <c r="AL773" s="286"/>
      <c r="AM773" s="286"/>
      <c r="AN773" s="286"/>
      <c r="AO773" s="286"/>
      <c r="AP773" s="286"/>
      <c r="AQ773" s="286"/>
      <c r="AR773" s="286"/>
      <c r="AS773" s="286"/>
      <c r="AT773" s="286"/>
      <c r="AU773" s="286"/>
      <c r="AV773" s="286"/>
      <c r="AW773" s="286"/>
      <c r="AX773" s="286"/>
      <c r="AY773" s="286"/>
      <c r="AZ773" s="286"/>
      <c r="BA773" s="286"/>
      <c r="BB773" s="286"/>
      <c r="BC773" s="286"/>
      <c r="BD773" s="286"/>
      <c r="BE773" s="286"/>
      <c r="BF773" s="286"/>
      <c r="BG773" s="286"/>
      <c r="BH773" s="286"/>
      <c r="BI773" s="286"/>
      <c r="BJ773" s="286"/>
      <c r="BK773" s="286"/>
      <c r="BL773" s="286"/>
      <c r="BM773" s="286"/>
      <c r="BN773" s="286"/>
      <c r="BO773" s="286"/>
      <c r="BP773" s="286"/>
      <c r="BQ773" s="286"/>
      <c r="BR773" s="286"/>
      <c r="BS773" s="286"/>
      <c r="BT773" s="286"/>
      <c r="BU773" s="286"/>
      <c r="BV773" s="286"/>
      <c r="BW773" s="286"/>
      <c r="BX773" s="286"/>
      <c r="BY773" s="286"/>
      <c r="BZ773" s="286"/>
      <c r="CA773" s="286"/>
      <c r="CB773" s="286"/>
      <c r="CC773" s="286"/>
      <c r="CD773" s="286"/>
      <c r="CE773" s="286"/>
      <c r="CF773" s="286"/>
      <c r="CG773" s="286"/>
      <c r="CH773" s="286"/>
      <c r="CI773" s="286"/>
      <c r="CJ773" s="286"/>
      <c r="CK773" s="286"/>
      <c r="CL773" s="286"/>
      <c r="CM773" s="286"/>
      <c r="CN773" s="286"/>
      <c r="CO773" s="286"/>
      <c r="CP773" s="286"/>
      <c r="CQ773" s="286"/>
      <c r="CR773" s="286"/>
      <c r="CS773" s="286"/>
      <c r="CT773" s="286"/>
      <c r="CU773" s="286"/>
      <c r="CV773" s="286"/>
      <c r="CW773" s="286"/>
      <c r="CX773" s="286"/>
      <c r="CY773" s="286"/>
      <c r="CZ773" s="286"/>
      <c r="DA773" s="286"/>
      <c r="DB773" s="286"/>
      <c r="DC773" s="286"/>
      <c r="DD773" s="286"/>
      <c r="DE773" s="286"/>
      <c r="DF773" s="286"/>
      <c r="DG773" s="286"/>
      <c r="DH773" s="286"/>
      <c r="DI773" s="286"/>
      <c r="DJ773" s="286"/>
      <c r="DK773" s="286"/>
      <c r="DL773" s="286"/>
      <c r="DM773" s="286"/>
      <c r="DN773" s="286"/>
      <c r="DO773" s="286"/>
      <c r="DP773" s="286"/>
      <c r="DQ773" s="286"/>
      <c r="DR773" s="286"/>
      <c r="DS773" s="286"/>
      <c r="DT773" s="286"/>
      <c r="DU773" s="286"/>
      <c r="DV773" s="286"/>
      <c r="DW773" s="286"/>
      <c r="DX773" s="286"/>
      <c r="DY773" s="286"/>
      <c r="DZ773" s="286"/>
      <c r="EA773" s="286"/>
      <c r="EB773" s="286"/>
      <c r="EC773" s="286"/>
      <c r="ED773" s="286"/>
      <c r="EE773" s="286"/>
      <c r="EF773" s="286"/>
      <c r="EG773" s="286"/>
      <c r="EH773" s="286"/>
      <c r="EI773" s="286"/>
      <c r="EJ773" s="286"/>
      <c r="EK773" s="286"/>
      <c r="EL773" s="286"/>
      <c r="EM773" s="286"/>
      <c r="EN773" s="286"/>
      <c r="EO773" s="286"/>
      <c r="EP773" s="286"/>
      <c r="EQ773" s="286"/>
      <c r="ER773" s="286"/>
      <c r="ES773" s="286"/>
      <c r="ET773" s="286"/>
      <c r="EU773" s="286"/>
      <c r="EV773" s="286"/>
      <c r="EW773" s="286"/>
      <c r="EX773" s="286"/>
      <c r="EY773" s="286"/>
      <c r="EZ773" s="286"/>
      <c r="FA773" s="286"/>
      <c r="FB773" s="286"/>
      <c r="FC773" s="286"/>
      <c r="FD773" s="286"/>
      <c r="FE773" s="286"/>
      <c r="FF773" s="286"/>
      <c r="FG773" s="286"/>
      <c r="FH773" s="286"/>
      <c r="FI773" s="286"/>
      <c r="FJ773" s="286"/>
      <c r="FK773" s="286"/>
      <c r="FL773" s="286"/>
      <c r="FM773" s="286"/>
      <c r="FN773" s="286"/>
      <c r="FO773" s="286"/>
      <c r="FP773" s="286"/>
      <c r="FQ773" s="286"/>
      <c r="FR773" s="286"/>
      <c r="FS773" s="286"/>
    </row>
    <row r="774" spans="1:175">
      <c r="A774" s="212" t="s">
        <v>3159</v>
      </c>
      <c r="B774" s="212" t="s">
        <v>3160</v>
      </c>
      <c r="C774" s="212" t="s">
        <v>3172</v>
      </c>
      <c r="D774" s="212" t="s">
        <v>3961</v>
      </c>
      <c r="E774" s="212" t="s">
        <v>3965</v>
      </c>
      <c r="F774" s="278">
        <v>554</v>
      </c>
      <c r="G774" s="278">
        <v>25096</v>
      </c>
      <c r="H774" s="287">
        <f t="shared" si="11"/>
        <v>3.4746573159069176</v>
      </c>
      <c r="I774" s="286">
        <v>16</v>
      </c>
      <c r="J774" s="286">
        <v>872</v>
      </c>
      <c r="K774" s="286">
        <v>501</v>
      </c>
      <c r="L774" s="286">
        <v>371</v>
      </c>
      <c r="M774" s="286">
        <v>872</v>
      </c>
      <c r="N774" s="286">
        <v>501</v>
      </c>
      <c r="O774" s="286">
        <v>371</v>
      </c>
      <c r="P774" s="286">
        <v>0</v>
      </c>
      <c r="Q774" s="286">
        <v>0</v>
      </c>
      <c r="R774" s="286">
        <v>0</v>
      </c>
      <c r="S774" s="286">
        <v>0</v>
      </c>
      <c r="T774" s="286">
        <v>0</v>
      </c>
      <c r="U774" s="286">
        <v>0</v>
      </c>
      <c r="V774" s="286">
        <v>0</v>
      </c>
      <c r="W774" s="286"/>
      <c r="X774" s="286"/>
      <c r="Y774" s="286"/>
      <c r="Z774" s="286"/>
      <c r="AA774" s="286"/>
      <c r="AB774" s="286"/>
      <c r="AC774" s="286"/>
      <c r="AD774" s="286"/>
      <c r="AE774" s="286"/>
      <c r="AF774" s="286"/>
      <c r="AG774" s="286"/>
      <c r="AH774" s="286"/>
      <c r="AI774" s="286"/>
      <c r="AJ774" s="286"/>
      <c r="AK774" s="286"/>
      <c r="AL774" s="286"/>
      <c r="AM774" s="286"/>
      <c r="AN774" s="286"/>
      <c r="AO774" s="286"/>
      <c r="AP774" s="286"/>
      <c r="AQ774" s="286"/>
      <c r="AR774" s="286"/>
      <c r="AS774" s="286"/>
      <c r="AT774" s="286"/>
      <c r="AU774" s="286"/>
      <c r="AV774" s="286"/>
      <c r="AW774" s="286"/>
      <c r="AX774" s="286"/>
      <c r="AY774" s="286"/>
      <c r="AZ774" s="286"/>
      <c r="BA774" s="286"/>
      <c r="BB774" s="286"/>
      <c r="BC774" s="286"/>
      <c r="BD774" s="286"/>
      <c r="BE774" s="286"/>
      <c r="BF774" s="286"/>
      <c r="BG774" s="286"/>
      <c r="BH774" s="286"/>
      <c r="BI774" s="286"/>
      <c r="BJ774" s="286"/>
      <c r="BK774" s="286"/>
      <c r="BL774" s="286"/>
      <c r="BM774" s="286"/>
      <c r="BN774" s="286"/>
      <c r="BO774" s="286"/>
      <c r="BP774" s="286"/>
      <c r="BQ774" s="286"/>
      <c r="BR774" s="286"/>
      <c r="BS774" s="286"/>
      <c r="BT774" s="286"/>
      <c r="BU774" s="286"/>
      <c r="BV774" s="286"/>
      <c r="BW774" s="286"/>
      <c r="BX774" s="286"/>
      <c r="BY774" s="286"/>
      <c r="BZ774" s="286"/>
      <c r="CA774" s="286"/>
      <c r="CB774" s="286"/>
      <c r="CC774" s="286"/>
      <c r="CD774" s="286"/>
      <c r="CE774" s="286"/>
      <c r="CF774" s="286"/>
      <c r="CG774" s="286"/>
      <c r="CH774" s="286"/>
      <c r="CI774" s="286"/>
      <c r="CJ774" s="286"/>
      <c r="CK774" s="286"/>
      <c r="CL774" s="286"/>
      <c r="CM774" s="286"/>
      <c r="CN774" s="286"/>
      <c r="CO774" s="286"/>
      <c r="CP774" s="286"/>
      <c r="CQ774" s="286"/>
      <c r="CR774" s="286"/>
      <c r="CS774" s="286"/>
      <c r="CT774" s="286"/>
      <c r="CU774" s="286"/>
      <c r="CV774" s="286"/>
      <c r="CW774" s="286"/>
      <c r="CX774" s="286"/>
      <c r="CY774" s="286"/>
      <c r="CZ774" s="286"/>
      <c r="DA774" s="286"/>
      <c r="DB774" s="286"/>
      <c r="DC774" s="286"/>
      <c r="DD774" s="286"/>
      <c r="DE774" s="286"/>
      <c r="DF774" s="286"/>
      <c r="DG774" s="286"/>
      <c r="DH774" s="286"/>
      <c r="DI774" s="286"/>
      <c r="DJ774" s="286"/>
      <c r="DK774" s="286"/>
      <c r="DL774" s="286"/>
      <c r="DM774" s="286"/>
      <c r="DN774" s="286"/>
      <c r="DO774" s="286"/>
      <c r="DP774" s="286"/>
      <c r="DQ774" s="286"/>
      <c r="DR774" s="286"/>
      <c r="DS774" s="286"/>
      <c r="DT774" s="286"/>
      <c r="DU774" s="286"/>
      <c r="DV774" s="286"/>
      <c r="DW774" s="286"/>
      <c r="DX774" s="286"/>
      <c r="DY774" s="286"/>
      <c r="DZ774" s="286"/>
      <c r="EA774" s="286"/>
      <c r="EB774" s="286"/>
      <c r="EC774" s="286"/>
      <c r="ED774" s="286"/>
      <c r="EE774" s="286"/>
      <c r="EF774" s="286"/>
      <c r="EG774" s="286"/>
      <c r="EH774" s="286"/>
      <c r="EI774" s="286"/>
      <c r="EJ774" s="286"/>
      <c r="EK774" s="286"/>
      <c r="EL774" s="286"/>
      <c r="EM774" s="286"/>
      <c r="EN774" s="286"/>
      <c r="EO774" s="286"/>
      <c r="EP774" s="286"/>
      <c r="EQ774" s="286"/>
      <c r="ER774" s="286"/>
      <c r="ES774" s="286"/>
      <c r="ET774" s="286"/>
      <c r="EU774" s="286"/>
      <c r="EV774" s="286"/>
      <c r="EW774" s="286"/>
      <c r="EX774" s="286"/>
      <c r="EY774" s="286"/>
      <c r="EZ774" s="286"/>
      <c r="FA774" s="286"/>
      <c r="FB774" s="286"/>
      <c r="FC774" s="286"/>
      <c r="FD774" s="286"/>
      <c r="FE774" s="286"/>
      <c r="FF774" s="286"/>
      <c r="FG774" s="286"/>
      <c r="FH774" s="286"/>
      <c r="FI774" s="286"/>
      <c r="FJ774" s="286"/>
      <c r="FK774" s="286"/>
      <c r="FL774" s="286"/>
      <c r="FM774" s="286"/>
      <c r="FN774" s="286"/>
      <c r="FO774" s="286"/>
      <c r="FP774" s="286"/>
      <c r="FQ774" s="286"/>
      <c r="FR774" s="286"/>
      <c r="FS774" s="286"/>
    </row>
    <row r="775" spans="1:175">
      <c r="A775" s="212" t="s">
        <v>3159</v>
      </c>
      <c r="B775" s="212" t="s">
        <v>3160</v>
      </c>
      <c r="C775" s="212" t="s">
        <v>3172</v>
      </c>
      <c r="D775" s="212" t="s">
        <v>3961</v>
      </c>
      <c r="E775" s="212" t="s">
        <v>3966</v>
      </c>
      <c r="F775" s="278">
        <v>5287</v>
      </c>
      <c r="G775" s="278">
        <v>554159</v>
      </c>
      <c r="H775" s="287">
        <f t="shared" si="11"/>
        <v>2.6254197802435764</v>
      </c>
      <c r="I775" s="286">
        <v>167</v>
      </c>
      <c r="J775" s="286">
        <v>14549</v>
      </c>
      <c r="K775" s="286">
        <v>11078</v>
      </c>
      <c r="L775" s="286">
        <v>3471</v>
      </c>
      <c r="M775" s="286">
        <v>14517</v>
      </c>
      <c r="N775" s="286">
        <v>11078</v>
      </c>
      <c r="O775" s="286">
        <v>3439</v>
      </c>
      <c r="P775" s="286">
        <v>0</v>
      </c>
      <c r="Q775" s="286">
        <v>0</v>
      </c>
      <c r="R775" s="286">
        <v>0</v>
      </c>
      <c r="S775" s="286">
        <v>0</v>
      </c>
      <c r="T775" s="286">
        <v>0</v>
      </c>
      <c r="U775" s="286">
        <v>0</v>
      </c>
      <c r="V775" s="286">
        <v>0</v>
      </c>
      <c r="W775" s="286"/>
      <c r="X775" s="286"/>
      <c r="Y775" s="286"/>
      <c r="Z775" s="286"/>
      <c r="AA775" s="286"/>
      <c r="AB775" s="286"/>
      <c r="AC775" s="286"/>
      <c r="AD775" s="286"/>
      <c r="AE775" s="286"/>
      <c r="AF775" s="286"/>
      <c r="AG775" s="286"/>
      <c r="AH775" s="286"/>
      <c r="AI775" s="286"/>
      <c r="AJ775" s="286"/>
      <c r="AK775" s="286"/>
      <c r="AL775" s="286"/>
      <c r="AM775" s="286"/>
      <c r="AN775" s="286"/>
      <c r="AO775" s="286"/>
      <c r="AP775" s="286"/>
      <c r="AQ775" s="286"/>
      <c r="AR775" s="286"/>
      <c r="AS775" s="286"/>
      <c r="AT775" s="286"/>
      <c r="AU775" s="286"/>
      <c r="AV775" s="286"/>
      <c r="AW775" s="286"/>
      <c r="AX775" s="286"/>
      <c r="AY775" s="286"/>
      <c r="AZ775" s="286"/>
      <c r="BA775" s="286"/>
      <c r="BB775" s="286"/>
      <c r="BC775" s="286"/>
      <c r="BD775" s="286"/>
      <c r="BE775" s="286"/>
      <c r="BF775" s="286"/>
      <c r="BG775" s="286"/>
      <c r="BH775" s="286"/>
      <c r="BI775" s="286"/>
      <c r="BJ775" s="286"/>
      <c r="BK775" s="286"/>
      <c r="BL775" s="286"/>
      <c r="BM775" s="286"/>
      <c r="BN775" s="286"/>
      <c r="BO775" s="286"/>
      <c r="BP775" s="286"/>
      <c r="BQ775" s="286"/>
      <c r="BR775" s="286"/>
      <c r="BS775" s="286"/>
      <c r="BT775" s="286"/>
      <c r="BU775" s="286"/>
      <c r="BV775" s="286"/>
      <c r="BW775" s="286"/>
      <c r="BX775" s="286"/>
      <c r="BY775" s="286"/>
      <c r="BZ775" s="286"/>
      <c r="CA775" s="286"/>
      <c r="CB775" s="286"/>
      <c r="CC775" s="286"/>
      <c r="CD775" s="286"/>
      <c r="CE775" s="286"/>
      <c r="CF775" s="286"/>
      <c r="CG775" s="286"/>
      <c r="CH775" s="286"/>
      <c r="CI775" s="286"/>
      <c r="CJ775" s="286"/>
      <c r="CK775" s="286"/>
      <c r="CL775" s="286"/>
      <c r="CM775" s="286"/>
      <c r="CN775" s="286"/>
      <c r="CO775" s="286"/>
      <c r="CP775" s="286"/>
      <c r="CQ775" s="286"/>
      <c r="CR775" s="286"/>
      <c r="CS775" s="286"/>
      <c r="CT775" s="286"/>
      <c r="CU775" s="286"/>
      <c r="CV775" s="286"/>
      <c r="CW775" s="286"/>
      <c r="CX775" s="286"/>
      <c r="CY775" s="286"/>
      <c r="CZ775" s="286"/>
      <c r="DA775" s="286"/>
      <c r="DB775" s="286"/>
      <c r="DC775" s="286"/>
      <c r="DD775" s="286"/>
      <c r="DE775" s="286"/>
      <c r="DF775" s="286"/>
      <c r="DG775" s="286"/>
      <c r="DH775" s="286"/>
      <c r="DI775" s="286"/>
      <c r="DJ775" s="286"/>
      <c r="DK775" s="286"/>
      <c r="DL775" s="286"/>
      <c r="DM775" s="286"/>
      <c r="DN775" s="286"/>
      <c r="DO775" s="286"/>
      <c r="DP775" s="286"/>
      <c r="DQ775" s="286"/>
      <c r="DR775" s="286"/>
      <c r="DS775" s="286"/>
      <c r="DT775" s="286"/>
      <c r="DU775" s="286"/>
      <c r="DV775" s="286"/>
      <c r="DW775" s="286"/>
      <c r="DX775" s="286"/>
      <c r="DY775" s="286"/>
      <c r="DZ775" s="286"/>
      <c r="EA775" s="286"/>
      <c r="EB775" s="286"/>
      <c r="EC775" s="286"/>
      <c r="ED775" s="286"/>
      <c r="EE775" s="286"/>
      <c r="EF775" s="286"/>
      <c r="EG775" s="286"/>
      <c r="EH775" s="286"/>
      <c r="EI775" s="286"/>
      <c r="EJ775" s="286"/>
      <c r="EK775" s="286"/>
      <c r="EL775" s="286"/>
      <c r="EM775" s="286"/>
      <c r="EN775" s="286"/>
      <c r="EO775" s="286"/>
      <c r="EP775" s="286"/>
      <c r="EQ775" s="286"/>
      <c r="ER775" s="286"/>
      <c r="ES775" s="286"/>
      <c r="ET775" s="286"/>
      <c r="EU775" s="286"/>
      <c r="EV775" s="286"/>
      <c r="EW775" s="286"/>
      <c r="EX775" s="286"/>
      <c r="EY775" s="286"/>
      <c r="EZ775" s="286"/>
      <c r="FA775" s="286"/>
      <c r="FB775" s="286"/>
      <c r="FC775" s="286"/>
      <c r="FD775" s="286"/>
      <c r="FE775" s="286"/>
      <c r="FF775" s="286"/>
      <c r="FG775" s="286"/>
      <c r="FH775" s="286"/>
      <c r="FI775" s="286"/>
      <c r="FJ775" s="286"/>
      <c r="FK775" s="286"/>
      <c r="FL775" s="286"/>
      <c r="FM775" s="286"/>
      <c r="FN775" s="286"/>
      <c r="FO775" s="286"/>
      <c r="FP775" s="286"/>
      <c r="FQ775" s="286"/>
      <c r="FR775" s="286"/>
      <c r="FS775" s="286"/>
    </row>
    <row r="776" spans="1:175">
      <c r="A776" s="212" t="s">
        <v>3159</v>
      </c>
      <c r="B776" s="212" t="s">
        <v>3160</v>
      </c>
      <c r="C776" s="212" t="s">
        <v>3170</v>
      </c>
      <c r="D776" s="212" t="s">
        <v>3961</v>
      </c>
      <c r="E776" s="212" t="s">
        <v>3967</v>
      </c>
      <c r="F776" s="278">
        <v>32955</v>
      </c>
      <c r="G776" s="278">
        <v>1442530</v>
      </c>
      <c r="H776" s="287">
        <f t="shared" si="11"/>
        <v>3.7233194456961036</v>
      </c>
      <c r="I776" s="286">
        <v>1082</v>
      </c>
      <c r="J776" s="286">
        <v>53710</v>
      </c>
      <c r="K776" s="286">
        <v>36580</v>
      </c>
      <c r="L776" s="286">
        <v>17130</v>
      </c>
      <c r="M776" s="286">
        <v>53407</v>
      </c>
      <c r="N776" s="286">
        <v>36547</v>
      </c>
      <c r="O776" s="286">
        <v>16860</v>
      </c>
      <c r="P776" s="286">
        <v>0</v>
      </c>
      <c r="Q776" s="286">
        <v>0</v>
      </c>
      <c r="R776" s="286">
        <v>0</v>
      </c>
      <c r="S776" s="286">
        <v>0</v>
      </c>
      <c r="T776" s="286">
        <v>0</v>
      </c>
      <c r="U776" s="286">
        <v>0</v>
      </c>
      <c r="V776" s="286">
        <v>0</v>
      </c>
      <c r="W776" s="286"/>
      <c r="X776" s="286"/>
      <c r="Y776" s="286"/>
      <c r="Z776" s="286"/>
      <c r="AA776" s="286"/>
      <c r="AB776" s="286"/>
      <c r="AC776" s="286"/>
      <c r="AD776" s="286"/>
      <c r="AE776" s="286"/>
      <c r="AF776" s="286"/>
      <c r="AG776" s="286"/>
      <c r="AH776" s="286"/>
      <c r="AI776" s="286"/>
      <c r="AJ776" s="286"/>
      <c r="AK776" s="286"/>
      <c r="AL776" s="286"/>
      <c r="AM776" s="286"/>
      <c r="AN776" s="286"/>
      <c r="AO776" s="286"/>
      <c r="AP776" s="286"/>
      <c r="AQ776" s="286"/>
      <c r="AR776" s="286"/>
      <c r="AS776" s="286"/>
      <c r="AT776" s="286"/>
      <c r="AU776" s="286"/>
      <c r="AV776" s="286"/>
      <c r="AW776" s="286"/>
      <c r="AX776" s="286"/>
      <c r="AY776" s="286"/>
      <c r="AZ776" s="286"/>
      <c r="BA776" s="286"/>
      <c r="BB776" s="286"/>
      <c r="BC776" s="286"/>
      <c r="BD776" s="286"/>
      <c r="BE776" s="286"/>
      <c r="BF776" s="286"/>
      <c r="BG776" s="286"/>
      <c r="BH776" s="286"/>
      <c r="BI776" s="286"/>
      <c r="BJ776" s="286"/>
      <c r="BK776" s="286"/>
      <c r="BL776" s="286"/>
      <c r="BM776" s="286"/>
      <c r="BN776" s="286"/>
      <c r="BO776" s="286"/>
      <c r="BP776" s="286"/>
      <c r="BQ776" s="286"/>
      <c r="BR776" s="286"/>
      <c r="BS776" s="286"/>
      <c r="BT776" s="286"/>
      <c r="BU776" s="286"/>
      <c r="BV776" s="286"/>
      <c r="BW776" s="286"/>
      <c r="BX776" s="286"/>
      <c r="BY776" s="286"/>
      <c r="BZ776" s="286"/>
      <c r="CA776" s="286"/>
      <c r="CB776" s="286"/>
      <c r="CC776" s="286"/>
      <c r="CD776" s="286"/>
      <c r="CE776" s="286"/>
      <c r="CF776" s="286"/>
      <c r="CG776" s="286"/>
      <c r="CH776" s="286"/>
      <c r="CI776" s="286"/>
      <c r="CJ776" s="286"/>
      <c r="CK776" s="286"/>
      <c r="CL776" s="286"/>
      <c r="CM776" s="286"/>
      <c r="CN776" s="286"/>
      <c r="CO776" s="286"/>
      <c r="CP776" s="286"/>
      <c r="CQ776" s="286"/>
      <c r="CR776" s="286"/>
      <c r="CS776" s="286"/>
      <c r="CT776" s="286"/>
      <c r="CU776" s="286"/>
      <c r="CV776" s="286"/>
      <c r="CW776" s="286"/>
      <c r="CX776" s="286"/>
      <c r="CY776" s="286"/>
      <c r="CZ776" s="286"/>
      <c r="DA776" s="286"/>
      <c r="DB776" s="286"/>
      <c r="DC776" s="286"/>
      <c r="DD776" s="286"/>
      <c r="DE776" s="286"/>
      <c r="DF776" s="286"/>
      <c r="DG776" s="286"/>
      <c r="DH776" s="286"/>
      <c r="DI776" s="286"/>
      <c r="DJ776" s="286"/>
      <c r="DK776" s="286"/>
      <c r="DL776" s="286"/>
      <c r="DM776" s="286"/>
      <c r="DN776" s="286"/>
      <c r="DO776" s="286"/>
      <c r="DP776" s="286"/>
      <c r="DQ776" s="286"/>
      <c r="DR776" s="286"/>
      <c r="DS776" s="286"/>
      <c r="DT776" s="286"/>
      <c r="DU776" s="286"/>
      <c r="DV776" s="286"/>
      <c r="DW776" s="286"/>
      <c r="DX776" s="286"/>
      <c r="DY776" s="286"/>
      <c r="DZ776" s="286"/>
      <c r="EA776" s="286"/>
      <c r="EB776" s="286"/>
      <c r="EC776" s="286"/>
      <c r="ED776" s="286"/>
      <c r="EE776" s="286"/>
      <c r="EF776" s="286"/>
      <c r="EG776" s="286"/>
      <c r="EH776" s="286"/>
      <c r="EI776" s="286"/>
      <c r="EJ776" s="286"/>
      <c r="EK776" s="286"/>
      <c r="EL776" s="286"/>
      <c r="EM776" s="286"/>
      <c r="EN776" s="286"/>
      <c r="EO776" s="286"/>
      <c r="EP776" s="286"/>
      <c r="EQ776" s="286"/>
      <c r="ER776" s="286"/>
      <c r="ES776" s="286"/>
      <c r="ET776" s="286"/>
      <c r="EU776" s="286"/>
      <c r="EV776" s="286"/>
      <c r="EW776" s="286"/>
      <c r="EX776" s="286"/>
      <c r="EY776" s="286"/>
      <c r="EZ776" s="286"/>
      <c r="FA776" s="286"/>
      <c r="FB776" s="286"/>
      <c r="FC776" s="286"/>
      <c r="FD776" s="286"/>
      <c r="FE776" s="286"/>
      <c r="FF776" s="286"/>
      <c r="FG776" s="286"/>
      <c r="FH776" s="286"/>
      <c r="FI776" s="286"/>
      <c r="FJ776" s="286"/>
      <c r="FK776" s="286"/>
      <c r="FL776" s="286"/>
      <c r="FM776" s="286"/>
      <c r="FN776" s="286"/>
      <c r="FO776" s="286"/>
      <c r="FP776" s="286"/>
      <c r="FQ776" s="286"/>
      <c r="FR776" s="286"/>
      <c r="FS776" s="286"/>
    </row>
    <row r="777" spans="1:175">
      <c r="A777" s="212" t="s">
        <v>3159</v>
      </c>
      <c r="B777" s="212" t="s">
        <v>3160</v>
      </c>
      <c r="C777" s="212" t="s">
        <v>3172</v>
      </c>
      <c r="D777" s="212" t="s">
        <v>3961</v>
      </c>
      <c r="E777" s="212" t="s">
        <v>3968</v>
      </c>
      <c r="F777" s="278">
        <v>12377</v>
      </c>
      <c r="G777" s="278">
        <v>514396</v>
      </c>
      <c r="H777" s="287">
        <f t="shared" si="11"/>
        <v>3.5330756848809091</v>
      </c>
      <c r="I777" s="286">
        <v>420</v>
      </c>
      <c r="J777" s="286">
        <v>18174</v>
      </c>
      <c r="K777" s="286">
        <v>14892</v>
      </c>
      <c r="L777" s="286">
        <v>3282</v>
      </c>
      <c r="M777" s="286">
        <v>18169</v>
      </c>
      <c r="N777" s="286">
        <v>14890</v>
      </c>
      <c r="O777" s="286">
        <v>3279</v>
      </c>
      <c r="P777" s="286">
        <v>0</v>
      </c>
      <c r="Q777" s="286">
        <v>0</v>
      </c>
      <c r="R777" s="286">
        <v>0</v>
      </c>
      <c r="S777" s="286">
        <v>0</v>
      </c>
      <c r="T777" s="286">
        <v>0</v>
      </c>
      <c r="U777" s="286">
        <v>0</v>
      </c>
      <c r="V777" s="286">
        <v>0</v>
      </c>
      <c r="W777" s="286"/>
      <c r="X777" s="286"/>
      <c r="Y777" s="286"/>
      <c r="Z777" s="286"/>
      <c r="AA777" s="286"/>
      <c r="AB777" s="286"/>
      <c r="AC777" s="286"/>
      <c r="AD777" s="286"/>
      <c r="AE777" s="286"/>
      <c r="AF777" s="286"/>
      <c r="AG777" s="286"/>
      <c r="AH777" s="286"/>
      <c r="AI777" s="286"/>
      <c r="AJ777" s="286"/>
      <c r="AK777" s="286"/>
      <c r="AL777" s="286"/>
      <c r="AM777" s="286"/>
      <c r="AN777" s="286"/>
      <c r="AO777" s="286"/>
      <c r="AP777" s="286"/>
      <c r="AQ777" s="286"/>
      <c r="AR777" s="286"/>
      <c r="AS777" s="286"/>
      <c r="AT777" s="286"/>
      <c r="AU777" s="286"/>
      <c r="AV777" s="286"/>
      <c r="AW777" s="286"/>
      <c r="AX777" s="286"/>
      <c r="AY777" s="286"/>
      <c r="AZ777" s="286"/>
      <c r="BA777" s="286"/>
      <c r="BB777" s="286"/>
      <c r="BC777" s="286"/>
      <c r="BD777" s="286"/>
      <c r="BE777" s="286"/>
      <c r="BF777" s="286"/>
      <c r="BG777" s="286"/>
      <c r="BH777" s="286"/>
      <c r="BI777" s="286"/>
      <c r="BJ777" s="286"/>
      <c r="BK777" s="286"/>
      <c r="BL777" s="286"/>
      <c r="BM777" s="286"/>
      <c r="BN777" s="286"/>
      <c r="BO777" s="286"/>
      <c r="BP777" s="286"/>
      <c r="BQ777" s="286"/>
      <c r="BR777" s="286"/>
      <c r="BS777" s="286"/>
      <c r="BT777" s="286"/>
      <c r="BU777" s="286"/>
      <c r="BV777" s="286"/>
      <c r="BW777" s="286"/>
      <c r="BX777" s="286"/>
      <c r="BY777" s="286"/>
      <c r="BZ777" s="286"/>
      <c r="CA777" s="286"/>
      <c r="CB777" s="286"/>
      <c r="CC777" s="286"/>
      <c r="CD777" s="286"/>
      <c r="CE777" s="286"/>
      <c r="CF777" s="286"/>
      <c r="CG777" s="286"/>
      <c r="CH777" s="286"/>
      <c r="CI777" s="286"/>
      <c r="CJ777" s="286"/>
      <c r="CK777" s="286"/>
      <c r="CL777" s="286"/>
      <c r="CM777" s="286"/>
      <c r="CN777" s="286"/>
      <c r="CO777" s="286"/>
      <c r="CP777" s="286"/>
      <c r="CQ777" s="286"/>
      <c r="CR777" s="286"/>
      <c r="CS777" s="286"/>
      <c r="CT777" s="286"/>
      <c r="CU777" s="286"/>
      <c r="CV777" s="286"/>
      <c r="CW777" s="286"/>
      <c r="CX777" s="286"/>
      <c r="CY777" s="286"/>
      <c r="CZ777" s="286"/>
      <c r="DA777" s="286"/>
      <c r="DB777" s="286"/>
      <c r="DC777" s="286"/>
      <c r="DD777" s="286"/>
      <c r="DE777" s="286"/>
      <c r="DF777" s="286"/>
      <c r="DG777" s="286"/>
      <c r="DH777" s="286"/>
      <c r="DI777" s="286"/>
      <c r="DJ777" s="286"/>
      <c r="DK777" s="286"/>
      <c r="DL777" s="286"/>
      <c r="DM777" s="286"/>
      <c r="DN777" s="286"/>
      <c r="DO777" s="286"/>
      <c r="DP777" s="286"/>
      <c r="DQ777" s="286"/>
      <c r="DR777" s="286"/>
      <c r="DS777" s="286"/>
      <c r="DT777" s="286"/>
      <c r="DU777" s="286"/>
      <c r="DV777" s="286"/>
      <c r="DW777" s="286"/>
      <c r="DX777" s="286"/>
      <c r="DY777" s="286"/>
      <c r="DZ777" s="286"/>
      <c r="EA777" s="286"/>
      <c r="EB777" s="286"/>
      <c r="EC777" s="286"/>
      <c r="ED777" s="286"/>
      <c r="EE777" s="286"/>
      <c r="EF777" s="286"/>
      <c r="EG777" s="286"/>
      <c r="EH777" s="286"/>
      <c r="EI777" s="286"/>
      <c r="EJ777" s="286"/>
      <c r="EK777" s="286"/>
      <c r="EL777" s="286"/>
      <c r="EM777" s="286"/>
      <c r="EN777" s="286"/>
      <c r="EO777" s="286"/>
      <c r="EP777" s="286"/>
      <c r="EQ777" s="286"/>
      <c r="ER777" s="286"/>
      <c r="ES777" s="286"/>
      <c r="ET777" s="286"/>
      <c r="EU777" s="286"/>
      <c r="EV777" s="286"/>
      <c r="EW777" s="286"/>
      <c r="EX777" s="286"/>
      <c r="EY777" s="286"/>
      <c r="EZ777" s="286"/>
      <c r="FA777" s="286"/>
      <c r="FB777" s="286"/>
      <c r="FC777" s="286"/>
      <c r="FD777" s="286"/>
      <c r="FE777" s="286"/>
      <c r="FF777" s="286"/>
      <c r="FG777" s="286"/>
      <c r="FH777" s="286"/>
      <c r="FI777" s="286"/>
      <c r="FJ777" s="286"/>
      <c r="FK777" s="286"/>
      <c r="FL777" s="286"/>
      <c r="FM777" s="286"/>
      <c r="FN777" s="286"/>
      <c r="FO777" s="286"/>
      <c r="FP777" s="286"/>
      <c r="FQ777" s="286"/>
      <c r="FR777" s="286"/>
      <c r="FS777" s="286"/>
    </row>
    <row r="778" spans="1:175">
      <c r="A778" s="212" t="s">
        <v>3159</v>
      </c>
      <c r="B778" s="212" t="s">
        <v>3160</v>
      </c>
      <c r="C778" s="212" t="s">
        <v>3172</v>
      </c>
      <c r="D778" s="212" t="s">
        <v>3961</v>
      </c>
      <c r="E778" s="212" t="s">
        <v>3969</v>
      </c>
      <c r="F778" s="278">
        <v>20578</v>
      </c>
      <c r="G778" s="278">
        <v>928134</v>
      </c>
      <c r="H778" s="287">
        <f t="shared" si="11"/>
        <v>3.8287574854492994</v>
      </c>
      <c r="I778" s="286">
        <v>662</v>
      </c>
      <c r="J778" s="286">
        <v>35536</v>
      </c>
      <c r="K778" s="286">
        <v>21688</v>
      </c>
      <c r="L778" s="286">
        <v>13848</v>
      </c>
      <c r="M778" s="286">
        <v>35238</v>
      </c>
      <c r="N778" s="286">
        <v>21657</v>
      </c>
      <c r="O778" s="286">
        <v>13581</v>
      </c>
      <c r="P778" s="286">
        <v>0</v>
      </c>
      <c r="Q778" s="286">
        <v>0</v>
      </c>
      <c r="R778" s="286">
        <v>0</v>
      </c>
      <c r="S778" s="286">
        <v>0</v>
      </c>
      <c r="T778" s="286">
        <v>0</v>
      </c>
      <c r="U778" s="286">
        <v>0</v>
      </c>
      <c r="V778" s="286">
        <v>0</v>
      </c>
      <c r="W778" s="286"/>
      <c r="X778" s="286"/>
      <c r="Y778" s="286"/>
      <c r="Z778" s="286"/>
      <c r="AA778" s="286"/>
      <c r="AB778" s="286"/>
      <c r="AC778" s="286"/>
      <c r="AD778" s="286"/>
      <c r="AE778" s="286"/>
      <c r="AF778" s="286"/>
      <c r="AG778" s="286"/>
      <c r="AH778" s="286"/>
      <c r="AI778" s="286"/>
      <c r="AJ778" s="286"/>
      <c r="AK778" s="286"/>
      <c r="AL778" s="286"/>
      <c r="AM778" s="286"/>
      <c r="AN778" s="286"/>
      <c r="AO778" s="286"/>
      <c r="AP778" s="286"/>
      <c r="AQ778" s="286"/>
      <c r="AR778" s="286"/>
      <c r="AS778" s="286"/>
      <c r="AT778" s="286"/>
      <c r="AU778" s="286"/>
      <c r="AV778" s="286"/>
      <c r="AW778" s="286"/>
      <c r="AX778" s="286"/>
      <c r="AY778" s="286"/>
      <c r="AZ778" s="286"/>
      <c r="BA778" s="286"/>
      <c r="BB778" s="286"/>
      <c r="BC778" s="286"/>
      <c r="BD778" s="286"/>
      <c r="BE778" s="286"/>
      <c r="BF778" s="286"/>
      <c r="BG778" s="286"/>
      <c r="BH778" s="286"/>
      <c r="BI778" s="286"/>
      <c r="BJ778" s="286"/>
      <c r="BK778" s="286"/>
      <c r="BL778" s="286"/>
      <c r="BM778" s="286"/>
      <c r="BN778" s="286"/>
      <c r="BO778" s="286"/>
      <c r="BP778" s="286"/>
      <c r="BQ778" s="286"/>
      <c r="BR778" s="286"/>
      <c r="BS778" s="286"/>
      <c r="BT778" s="286"/>
      <c r="BU778" s="286"/>
      <c r="BV778" s="286"/>
      <c r="BW778" s="286"/>
      <c r="BX778" s="286"/>
      <c r="BY778" s="286"/>
      <c r="BZ778" s="286"/>
      <c r="CA778" s="286"/>
      <c r="CB778" s="286"/>
      <c r="CC778" s="286"/>
      <c r="CD778" s="286"/>
      <c r="CE778" s="286"/>
      <c r="CF778" s="286"/>
      <c r="CG778" s="286"/>
      <c r="CH778" s="286"/>
      <c r="CI778" s="286"/>
      <c r="CJ778" s="286"/>
      <c r="CK778" s="286"/>
      <c r="CL778" s="286"/>
      <c r="CM778" s="286"/>
      <c r="CN778" s="286"/>
      <c r="CO778" s="286"/>
      <c r="CP778" s="286"/>
      <c r="CQ778" s="286"/>
      <c r="CR778" s="286"/>
      <c r="CS778" s="286"/>
      <c r="CT778" s="286"/>
      <c r="CU778" s="286"/>
      <c r="CV778" s="286"/>
      <c r="CW778" s="286"/>
      <c r="CX778" s="286"/>
      <c r="CY778" s="286"/>
      <c r="CZ778" s="286"/>
      <c r="DA778" s="286"/>
      <c r="DB778" s="286"/>
      <c r="DC778" s="286"/>
      <c r="DD778" s="286"/>
      <c r="DE778" s="286"/>
      <c r="DF778" s="286"/>
      <c r="DG778" s="286"/>
      <c r="DH778" s="286"/>
      <c r="DI778" s="286"/>
      <c r="DJ778" s="286"/>
      <c r="DK778" s="286"/>
      <c r="DL778" s="286"/>
      <c r="DM778" s="286"/>
      <c r="DN778" s="286"/>
      <c r="DO778" s="286"/>
      <c r="DP778" s="286"/>
      <c r="DQ778" s="286"/>
      <c r="DR778" s="286"/>
      <c r="DS778" s="286"/>
      <c r="DT778" s="286"/>
      <c r="DU778" s="286"/>
      <c r="DV778" s="286"/>
      <c r="DW778" s="286"/>
      <c r="DX778" s="286"/>
      <c r="DY778" s="286"/>
      <c r="DZ778" s="286"/>
      <c r="EA778" s="286"/>
      <c r="EB778" s="286"/>
      <c r="EC778" s="286"/>
      <c r="ED778" s="286"/>
      <c r="EE778" s="286"/>
      <c r="EF778" s="286"/>
      <c r="EG778" s="286"/>
      <c r="EH778" s="286"/>
      <c r="EI778" s="286"/>
      <c r="EJ778" s="286"/>
      <c r="EK778" s="286"/>
      <c r="EL778" s="286"/>
      <c r="EM778" s="286"/>
      <c r="EN778" s="286"/>
      <c r="EO778" s="286"/>
      <c r="EP778" s="286"/>
      <c r="EQ778" s="286"/>
      <c r="ER778" s="286"/>
      <c r="ES778" s="286"/>
      <c r="ET778" s="286"/>
      <c r="EU778" s="286"/>
      <c r="EV778" s="286"/>
      <c r="EW778" s="286"/>
      <c r="EX778" s="286"/>
      <c r="EY778" s="286"/>
      <c r="EZ778" s="286"/>
      <c r="FA778" s="286"/>
      <c r="FB778" s="286"/>
      <c r="FC778" s="286"/>
      <c r="FD778" s="286"/>
      <c r="FE778" s="286"/>
      <c r="FF778" s="286"/>
      <c r="FG778" s="286"/>
      <c r="FH778" s="286"/>
      <c r="FI778" s="286"/>
      <c r="FJ778" s="286"/>
      <c r="FK778" s="286"/>
      <c r="FL778" s="286"/>
      <c r="FM778" s="286"/>
      <c r="FN778" s="286"/>
      <c r="FO778" s="286"/>
      <c r="FP778" s="286"/>
      <c r="FQ778" s="286"/>
      <c r="FR778" s="286"/>
      <c r="FS778" s="286"/>
    </row>
    <row r="779" spans="1:175">
      <c r="E779" s="280" t="s">
        <v>5307</v>
      </c>
      <c r="F779" s="275">
        <f>F272+F447+F513+SUM(F621:F631)+F675</f>
        <v>69942</v>
      </c>
      <c r="G779" s="275">
        <f t="shared" ref="G779:V779" si="12">G272+G447+G513+SUM(G621:G631)+G675</f>
        <v>860856</v>
      </c>
      <c r="H779" s="296">
        <f t="shared" si="11"/>
        <v>5.3341093051567281</v>
      </c>
      <c r="I779" s="275">
        <f t="shared" si="12"/>
        <v>3224</v>
      </c>
      <c r="J779" s="275">
        <f t="shared" si="12"/>
        <v>45919</v>
      </c>
      <c r="K779" s="275">
        <f t="shared" si="12"/>
        <v>22825</v>
      </c>
      <c r="L779" s="275">
        <f t="shared" si="12"/>
        <v>23092</v>
      </c>
      <c r="M779" s="275">
        <f t="shared" si="12"/>
        <v>40923</v>
      </c>
      <c r="N779" s="275">
        <f t="shared" si="12"/>
        <v>19851</v>
      </c>
      <c r="O779" s="275">
        <f t="shared" si="12"/>
        <v>21070</v>
      </c>
      <c r="P779" s="275">
        <f t="shared" si="12"/>
        <v>3116</v>
      </c>
      <c r="Q779" s="275">
        <f t="shared" si="12"/>
        <v>44982</v>
      </c>
      <c r="R779" s="275">
        <f t="shared" si="12"/>
        <v>22295</v>
      </c>
      <c r="S779" s="275">
        <f t="shared" si="12"/>
        <v>22685</v>
      </c>
      <c r="T779" s="275">
        <f t="shared" si="12"/>
        <v>40268</v>
      </c>
      <c r="U779" s="275">
        <f t="shared" si="12"/>
        <v>19428</v>
      </c>
      <c r="V779" s="275">
        <f t="shared" si="12"/>
        <v>20838</v>
      </c>
      <c r="W779" s="286"/>
      <c r="X779" s="286"/>
      <c r="Y779" s="286"/>
      <c r="Z779" s="286"/>
      <c r="AA779" s="286"/>
      <c r="AB779" s="286"/>
      <c r="AC779" s="286"/>
      <c r="AD779" s="286"/>
      <c r="AE779" s="286"/>
      <c r="AF779" s="286"/>
      <c r="AG779" s="286"/>
      <c r="AH779" s="286"/>
      <c r="AI779" s="286"/>
      <c r="AJ779" s="286"/>
      <c r="AK779" s="286"/>
      <c r="AL779" s="286"/>
      <c r="AM779" s="286"/>
      <c r="AN779" s="286"/>
      <c r="AO779" s="286"/>
      <c r="AP779" s="286"/>
      <c r="AQ779" s="286"/>
      <c r="AR779" s="286"/>
      <c r="AS779" s="286"/>
      <c r="AT779" s="286"/>
      <c r="AU779" s="286"/>
      <c r="AV779" s="286"/>
      <c r="AW779" s="286"/>
      <c r="AX779" s="286"/>
      <c r="AY779" s="286"/>
      <c r="AZ779" s="286"/>
      <c r="BA779" s="286"/>
      <c r="BB779" s="286"/>
      <c r="BC779" s="286"/>
      <c r="BD779" s="286"/>
      <c r="BE779" s="286"/>
      <c r="BF779" s="286"/>
      <c r="BG779" s="286"/>
      <c r="BH779" s="286"/>
      <c r="BI779" s="286"/>
      <c r="BJ779" s="286"/>
      <c r="BK779" s="286"/>
      <c r="BL779" s="286"/>
      <c r="BM779" s="286"/>
      <c r="BN779" s="286"/>
      <c r="BO779" s="286"/>
      <c r="BP779" s="286"/>
      <c r="BQ779" s="286"/>
      <c r="BR779" s="286"/>
      <c r="BS779" s="286"/>
      <c r="BT779" s="286"/>
      <c r="BU779" s="286"/>
      <c r="BV779" s="286"/>
      <c r="BW779" s="286"/>
      <c r="BX779" s="286"/>
      <c r="BY779" s="286"/>
      <c r="BZ779" s="286"/>
      <c r="CA779" s="286"/>
      <c r="CB779" s="286"/>
      <c r="CC779" s="286"/>
      <c r="CD779" s="286"/>
      <c r="CE779" s="286"/>
      <c r="CF779" s="286"/>
      <c r="CG779" s="286"/>
      <c r="CH779" s="286"/>
      <c r="CI779" s="286"/>
      <c r="CJ779" s="286"/>
      <c r="CK779" s="286"/>
      <c r="CL779" s="286"/>
      <c r="CM779" s="286"/>
      <c r="CN779" s="286"/>
      <c r="CO779" s="286"/>
      <c r="CP779" s="286"/>
      <c r="CQ779" s="286"/>
      <c r="CR779" s="286"/>
      <c r="CS779" s="286"/>
      <c r="CT779" s="286"/>
      <c r="CU779" s="286"/>
      <c r="CV779" s="286"/>
      <c r="CW779" s="286"/>
      <c r="CX779" s="286"/>
      <c r="CY779" s="286"/>
      <c r="CZ779" s="286"/>
      <c r="DA779" s="286"/>
      <c r="DB779" s="286"/>
      <c r="DC779" s="286"/>
      <c r="DD779" s="286"/>
      <c r="DE779" s="286"/>
      <c r="DF779" s="286"/>
      <c r="DG779" s="286"/>
      <c r="DH779" s="286"/>
      <c r="DI779" s="286"/>
      <c r="DJ779" s="286"/>
      <c r="DK779" s="286"/>
      <c r="DL779" s="286"/>
      <c r="DM779" s="286"/>
      <c r="DN779" s="286"/>
      <c r="DO779" s="286"/>
      <c r="DP779" s="286"/>
      <c r="DQ779" s="286"/>
      <c r="DR779" s="286"/>
      <c r="DS779" s="286"/>
      <c r="DT779" s="286"/>
      <c r="DU779" s="286"/>
      <c r="DV779" s="286"/>
      <c r="DW779" s="286"/>
      <c r="DX779" s="286"/>
      <c r="DY779" s="286"/>
      <c r="DZ779" s="286"/>
      <c r="EA779" s="286"/>
      <c r="EB779" s="286"/>
      <c r="EC779" s="286"/>
      <c r="ED779" s="286"/>
      <c r="EE779" s="286"/>
      <c r="EF779" s="286"/>
      <c r="EG779" s="286"/>
      <c r="EH779" s="286"/>
      <c r="EI779" s="286"/>
      <c r="EJ779" s="286"/>
      <c r="EK779" s="286"/>
      <c r="EL779" s="286"/>
      <c r="EM779" s="286"/>
      <c r="EN779" s="286"/>
      <c r="EO779" s="286"/>
      <c r="EP779" s="286"/>
      <c r="EQ779" s="286"/>
      <c r="ER779" s="286"/>
      <c r="ES779" s="286"/>
      <c r="ET779" s="286"/>
      <c r="EU779" s="286"/>
      <c r="EV779" s="286"/>
      <c r="EW779" s="286"/>
      <c r="EX779" s="286"/>
      <c r="EY779" s="286"/>
      <c r="EZ779" s="286"/>
      <c r="FA779" s="286"/>
      <c r="FB779" s="286"/>
      <c r="FC779" s="286"/>
      <c r="FD779" s="286"/>
      <c r="FE779" s="286"/>
      <c r="FF779" s="286"/>
      <c r="FG779" s="286"/>
      <c r="FH779" s="286"/>
      <c r="FI779" s="286"/>
      <c r="FJ779" s="286"/>
      <c r="FK779" s="286"/>
      <c r="FL779" s="286"/>
      <c r="FM779" s="286"/>
      <c r="FN779" s="286"/>
      <c r="FO779" s="286"/>
      <c r="FP779" s="286"/>
      <c r="FQ779" s="286"/>
      <c r="FR779" s="286"/>
      <c r="FS779" s="286"/>
    </row>
    <row r="780" spans="1:175">
      <c r="E780" s="212" t="s">
        <v>5306</v>
      </c>
      <c r="F780" s="272">
        <f>F779/F10*100</f>
        <v>1.3224322452476334</v>
      </c>
      <c r="G780" s="272">
        <f t="shared" ref="G780:L780" si="13">G779/G10*100</f>
        <v>1.3789601919705528</v>
      </c>
      <c r="H780" s="272" t="s">
        <v>5308</v>
      </c>
      <c r="I780" s="272">
        <f t="shared" si="13"/>
        <v>1.5493296169926474</v>
      </c>
      <c r="J780" s="272">
        <f t="shared" si="13"/>
        <v>1.9154002030568651</v>
      </c>
      <c r="K780" s="272">
        <f t="shared" si="13"/>
        <v>1.810493485396278</v>
      </c>
      <c r="L780" s="272">
        <f t="shared" si="13"/>
        <v>2.0594302409476306</v>
      </c>
      <c r="M780" s="272">
        <f t="shared" ref="M780" si="14">M779/M10*100</f>
        <v>1.9407369327601971</v>
      </c>
      <c r="N780" s="272">
        <f t="shared" ref="N780" si="15">N779/N10*100</f>
        <v>1.8330773925995421</v>
      </c>
      <c r="O780" s="272">
        <f t="shared" ref="O780" si="16">O779/O10*100</f>
        <v>2.0847123403691139</v>
      </c>
      <c r="P780" s="272">
        <f t="shared" ref="P780" si="17">P779/P10*100</f>
        <v>1.5341214004027315</v>
      </c>
      <c r="Q780" s="272">
        <f t="shared" ref="Q780" si="18">Q779/Q10*100</f>
        <v>2.0248763318326746</v>
      </c>
      <c r="R780" s="272">
        <f t="shared" ref="R780" si="19">R779/R10*100</f>
        <v>1.9067370806696455</v>
      </c>
      <c r="S780" s="272">
        <f t="shared" ref="S780" si="20">S779/S10*100</f>
        <v>2.1879337167481818</v>
      </c>
      <c r="T780" s="272">
        <f t="shared" ref="T780" si="21">T779/T10*100</f>
        <v>2.0817619394485822</v>
      </c>
      <c r="U780" s="272">
        <f t="shared" ref="U780" si="22">U779/U10*100</f>
        <v>1.9587876245919191</v>
      </c>
      <c r="V780" s="272">
        <f t="shared" ref="V780" si="23">V779/V10*100</f>
        <v>2.2467403504345658</v>
      </c>
      <c r="W780" s="286"/>
      <c r="X780" s="286"/>
      <c r="Y780" s="286"/>
      <c r="Z780" s="286"/>
      <c r="AA780" s="286"/>
      <c r="AB780" s="286"/>
      <c r="AC780" s="286"/>
      <c r="AD780" s="286"/>
      <c r="AE780" s="286"/>
      <c r="AF780" s="286"/>
      <c r="AG780" s="286"/>
      <c r="AH780" s="286"/>
      <c r="AI780" s="286"/>
      <c r="AJ780" s="286"/>
      <c r="AK780" s="286"/>
      <c r="AL780" s="286"/>
      <c r="AM780" s="286"/>
      <c r="AN780" s="286"/>
      <c r="AO780" s="286"/>
      <c r="AP780" s="286"/>
      <c r="AQ780" s="286"/>
      <c r="AR780" s="286"/>
      <c r="AS780" s="286"/>
      <c r="AT780" s="286"/>
      <c r="AU780" s="286"/>
      <c r="AV780" s="286"/>
      <c r="AW780" s="286"/>
      <c r="AX780" s="286"/>
      <c r="AY780" s="286"/>
      <c r="AZ780" s="286"/>
      <c r="BA780" s="286"/>
      <c r="BB780" s="286"/>
      <c r="BC780" s="286"/>
      <c r="BD780" s="286"/>
      <c r="BE780" s="286"/>
      <c r="BF780" s="286"/>
      <c r="BG780" s="286"/>
      <c r="BH780" s="286"/>
      <c r="BI780" s="286"/>
      <c r="BJ780" s="286"/>
      <c r="BK780" s="286"/>
      <c r="BL780" s="286"/>
      <c r="BM780" s="286"/>
      <c r="BN780" s="286"/>
      <c r="BO780" s="286"/>
      <c r="BP780" s="286"/>
      <c r="BQ780" s="286"/>
      <c r="BR780" s="286"/>
      <c r="BS780" s="286"/>
      <c r="BT780" s="286"/>
      <c r="BU780" s="286"/>
      <c r="BV780" s="286"/>
      <c r="BW780" s="286"/>
      <c r="BX780" s="286"/>
      <c r="BY780" s="286"/>
      <c r="BZ780" s="286"/>
      <c r="CA780" s="286"/>
      <c r="CB780" s="286"/>
      <c r="CC780" s="286"/>
      <c r="CD780" s="286"/>
      <c r="CE780" s="286"/>
      <c r="CF780" s="286"/>
      <c r="CG780" s="286"/>
      <c r="CH780" s="286"/>
      <c r="CI780" s="286"/>
      <c r="CJ780" s="286"/>
      <c r="CK780" s="286"/>
      <c r="CL780" s="286"/>
      <c r="CM780" s="286"/>
      <c r="CN780" s="286"/>
      <c r="CO780" s="286"/>
      <c r="CP780" s="286"/>
      <c r="CQ780" s="286"/>
      <c r="CR780" s="286"/>
      <c r="CS780" s="286"/>
      <c r="CT780" s="286"/>
      <c r="CU780" s="286"/>
      <c r="CV780" s="286"/>
      <c r="CW780" s="286"/>
      <c r="CX780" s="286"/>
      <c r="CY780" s="286"/>
      <c r="CZ780" s="286"/>
      <c r="DA780" s="286"/>
      <c r="DB780" s="286"/>
      <c r="DC780" s="286"/>
      <c r="DD780" s="286"/>
      <c r="DE780" s="286"/>
      <c r="DF780" s="286"/>
      <c r="DG780" s="286"/>
      <c r="DH780" s="286"/>
      <c r="DI780" s="286"/>
      <c r="DJ780" s="286"/>
      <c r="DK780" s="286"/>
      <c r="DL780" s="286"/>
      <c r="DM780" s="286"/>
      <c r="DN780" s="286"/>
      <c r="DO780" s="286"/>
      <c r="DP780" s="286"/>
      <c r="DQ780" s="286"/>
      <c r="DR780" s="286"/>
      <c r="DS780" s="286"/>
      <c r="DT780" s="286"/>
      <c r="DU780" s="286"/>
      <c r="DV780" s="286"/>
      <c r="DW780" s="286"/>
      <c r="DX780" s="286"/>
      <c r="DY780" s="286"/>
      <c r="DZ780" s="286"/>
      <c r="EA780" s="286"/>
      <c r="EB780" s="286"/>
      <c r="EC780" s="286"/>
      <c r="ED780" s="286"/>
      <c r="EE780" s="286"/>
      <c r="EF780" s="286"/>
      <c r="EG780" s="286"/>
      <c r="EH780" s="286"/>
      <c r="EI780" s="286"/>
      <c r="EJ780" s="286"/>
      <c r="EK780" s="286"/>
      <c r="EL780" s="286"/>
      <c r="EM780" s="286"/>
      <c r="EN780" s="286"/>
      <c r="EO780" s="286"/>
      <c r="EP780" s="286"/>
      <c r="EQ780" s="286"/>
      <c r="ER780" s="286"/>
      <c r="ES780" s="286"/>
      <c r="ET780" s="286"/>
      <c r="EU780" s="286"/>
      <c r="EV780" s="286"/>
      <c r="EW780" s="286"/>
      <c r="EX780" s="286"/>
      <c r="EY780" s="286"/>
      <c r="EZ780" s="286"/>
      <c r="FA780" s="286"/>
      <c r="FB780" s="286"/>
      <c r="FC780" s="286"/>
      <c r="FD780" s="286"/>
      <c r="FE780" s="286"/>
      <c r="FF780" s="286"/>
      <c r="FG780" s="286"/>
      <c r="FH780" s="286"/>
      <c r="FI780" s="286"/>
      <c r="FJ780" s="286"/>
      <c r="FK780" s="286"/>
      <c r="FL780" s="286"/>
      <c r="FM780" s="286"/>
      <c r="FN780" s="286"/>
      <c r="FO780" s="286"/>
      <c r="FP780" s="286"/>
      <c r="FQ780" s="286"/>
      <c r="FR780" s="286"/>
      <c r="FS780" s="286"/>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27</vt:i4>
      </vt:variant>
    </vt:vector>
  </HeadingPairs>
  <TitlesOfParts>
    <vt:vector size="27" baseType="lpstr">
      <vt:lpstr>目次</vt:lpstr>
      <vt:lpstr>まとめ</vt:lpstr>
      <vt:lpstr>表1SGDP39</vt:lpstr>
      <vt:lpstr>表2SGDP39_2</vt:lpstr>
      <vt:lpstr>表3経済効果</vt:lpstr>
      <vt:lpstr>4推計WS106</vt:lpstr>
      <vt:lpstr>付加価値率</vt:lpstr>
      <vt:lpstr>QE付加価値率</vt:lpstr>
      <vt:lpstr>5従業者数2021</vt:lpstr>
      <vt:lpstr>6統計定義</vt:lpstr>
      <vt:lpstr>従業者数</vt:lpstr>
      <vt:lpstr>QE総生産</vt:lpstr>
      <vt:lpstr>QE産出</vt:lpstr>
      <vt:lpstr>国QE1</vt:lpstr>
      <vt:lpstr>国QE2</vt:lpstr>
      <vt:lpstr>2022県産出</vt:lpstr>
      <vt:lpstr>CT作業分類比較</vt:lpstr>
      <vt:lpstr>CT2020</vt:lpstr>
      <vt:lpstr>CT2015</vt:lpstr>
      <vt:lpstr>雇用表2020</vt:lpstr>
      <vt:lpstr>投入係数</vt:lpstr>
      <vt:lpstr>商業運輸マージン</vt:lpstr>
      <vt:lpstr>雇用表</vt:lpstr>
      <vt:lpstr>h28経済センサス</vt:lpstr>
      <vt:lpstr>r3_2経済センサス</vt:lpstr>
      <vt:lpstr>経済構造実態1</vt:lpstr>
      <vt:lpstr>経済構造実態2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恒憲 芦谷</cp:lastModifiedBy>
  <dcterms:created xsi:type="dcterms:W3CDTF">2023-09-02T06:32:10Z</dcterms:created>
  <dcterms:modified xsi:type="dcterms:W3CDTF">2026-03-22T08:55:59Z</dcterms:modified>
</cp:coreProperties>
</file>